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cornwallenergy.sharepoint.com/sites/ProductDevelopment/Shared Documents/General/Management/Strategy/Addressable market analysis/July 25/"/>
    </mc:Choice>
  </mc:AlternateContent>
  <xr:revisionPtr revIDLastSave="461" documentId="8_{16CD2923-4AF5-4E56-B499-E800389F96E0}" xr6:coauthVersionLast="47" xr6:coauthVersionMax="47" xr10:uidLastSave="{2D0DEF67-6415-4753-8A72-041C34A2A005}"/>
  <bookViews>
    <workbookView xWindow="-120" yWindow="-120" windowWidth="51840" windowHeight="21120" firstSheet="20" activeTab="20" xr2:uid="{9BDD40FA-5355-440E-9829-26AE3378BDEE}"/>
  </bookViews>
  <sheets>
    <sheet name="Company lists" sheetId="1" r:id="rId1"/>
    <sheet name="Summary" sheetId="8" state="hidden" r:id="rId2"/>
    <sheet name="SummaryNew" sheetId="11" state="hidden" r:id="rId3"/>
    <sheet name="PieCharts" sheetId="13" state="hidden" r:id="rId4"/>
    <sheet name="SegmentSOM" sheetId="10" state="hidden" r:id="rId5"/>
    <sheet name="New pivot" sheetId="6" state="hidden" r:id="rId6"/>
    <sheet name="Definitions" sheetId="9" state="hidden" r:id="rId7"/>
    <sheet name="Legacy Product Mapping" sheetId="14" r:id="rId8"/>
    <sheet name="Sheet3" sheetId="20" r:id="rId9"/>
    <sheet name="Customer data" sheetId="7" state="hidden" r:id="rId10"/>
    <sheet name="Top30Customers" sheetId="12" state="hidden" r:id="rId11"/>
    <sheet name="Calculations Tab" sheetId="4" state="hidden" r:id="rId12"/>
    <sheet name="Categories" sheetId="2" state="hidden" r:id="rId13"/>
    <sheet name="Next steps" sheetId="5" state="hidden" r:id="rId14"/>
    <sheet name="Pivot" sheetId="3" state="hidden" r:id="rId15"/>
    <sheet name="Whitespace Analysis" sheetId="17" r:id="rId16"/>
    <sheet name="TAM Matching" sheetId="18" r:id="rId17"/>
    <sheet name="Lookup" sheetId="21" r:id="rId18"/>
    <sheet name="Product Order Book" sheetId="23" r:id="rId19"/>
    <sheet name="Subs order book" sheetId="15" r:id="rId20"/>
    <sheet name="Package Coverage" sheetId="22" r:id="rId21"/>
    <sheet name="Clean Package Product Lists" sheetId="24" r:id="rId22"/>
  </sheets>
  <definedNames>
    <definedName name="_xlnm._FilterDatabase" localSheetId="0" hidden="1">'Company lists'!$A$2:$W$1561</definedName>
    <definedName name="_xlnm._FilterDatabase" localSheetId="9" hidden="1">'Customer data'!$B$6:$J$510</definedName>
    <definedName name="_xlnm._FilterDatabase" localSheetId="7" hidden="1">'Legacy Product Mapping'!$A$1:$G$163</definedName>
    <definedName name="_xlnm._FilterDatabase" localSheetId="18" hidden="1">'Product Order Book'!$A$1:$L$1055</definedName>
    <definedName name="_xlchart.v1.0" hidden="1">Summary!$H$100:$H$106</definedName>
    <definedName name="_xlchart.v1.1" hidden="1">Summary!$I$100:$I$106</definedName>
    <definedName name="ExternalData_1" localSheetId="14" hidden="1">Pivot!$Q$2:$S$132</definedName>
    <definedName name="Users">Categories!$B$2:$B$15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23" l="1"/>
  <c r="W7" i="23"/>
  <c r="W8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W54" i="23"/>
  <c r="W55" i="23"/>
  <c r="W56" i="23"/>
  <c r="W57" i="23"/>
  <c r="W58" i="23"/>
  <c r="W59" i="23"/>
  <c r="W60" i="23"/>
  <c r="W61" i="23"/>
  <c r="W62" i="23"/>
  <c r="W63" i="23"/>
  <c r="W64" i="23"/>
  <c r="W65" i="23"/>
  <c r="W66" i="23"/>
  <c r="W67" i="23"/>
  <c r="W68" i="23"/>
  <c r="W69" i="23"/>
  <c r="W70" i="23"/>
  <c r="W71" i="23"/>
  <c r="W72" i="23"/>
  <c r="W73" i="23"/>
  <c r="W74" i="23"/>
  <c r="W75" i="23"/>
  <c r="W76" i="23"/>
  <c r="W77" i="23"/>
  <c r="W78" i="23"/>
  <c r="W79" i="23"/>
  <c r="W80" i="23"/>
  <c r="W81" i="23"/>
  <c r="W82" i="23"/>
  <c r="W83" i="23"/>
  <c r="W84" i="23"/>
  <c r="W85" i="23"/>
  <c r="W86" i="23"/>
  <c r="W87" i="23"/>
  <c r="W88" i="23"/>
  <c r="W89" i="23"/>
  <c r="W90" i="23"/>
  <c r="W91" i="23"/>
  <c r="W92" i="23"/>
  <c r="W93" i="23"/>
  <c r="W94" i="23"/>
  <c r="W95" i="23"/>
  <c r="W96" i="23"/>
  <c r="W97" i="23"/>
  <c r="W98" i="23"/>
  <c r="W99" i="23"/>
  <c r="W100" i="23"/>
  <c r="W101" i="23"/>
  <c r="W102" i="23"/>
  <c r="W103" i="23"/>
  <c r="W104" i="23"/>
  <c r="W105" i="23"/>
  <c r="W106" i="23"/>
  <c r="W107" i="23"/>
  <c r="W108" i="23"/>
  <c r="W109" i="23"/>
  <c r="W110" i="23"/>
  <c r="W111" i="23"/>
  <c r="W112" i="23"/>
  <c r="W113" i="23"/>
  <c r="W114" i="23"/>
  <c r="W115" i="23"/>
  <c r="W116" i="23"/>
  <c r="W117" i="23"/>
  <c r="W118" i="23"/>
  <c r="W119" i="23"/>
  <c r="W120" i="23"/>
  <c r="W121" i="23"/>
  <c r="W122" i="23"/>
  <c r="W123" i="23"/>
  <c r="W124" i="23"/>
  <c r="W125" i="23"/>
  <c r="W126" i="23"/>
  <c r="W127" i="23"/>
  <c r="W128" i="23"/>
  <c r="W129" i="23"/>
  <c r="W130" i="23"/>
  <c r="W131" i="23"/>
  <c r="W132" i="23"/>
  <c r="W133" i="23"/>
  <c r="W134" i="23"/>
  <c r="W135" i="23"/>
  <c r="W136" i="23"/>
  <c r="W137" i="23"/>
  <c r="W138" i="23"/>
  <c r="W139" i="23"/>
  <c r="W140" i="23"/>
  <c r="W141" i="23"/>
  <c r="W142" i="23"/>
  <c r="W143" i="23"/>
  <c r="W144" i="23"/>
  <c r="W145" i="23"/>
  <c r="W146" i="23"/>
  <c r="W147" i="23"/>
  <c r="W148" i="23"/>
  <c r="W149" i="23"/>
  <c r="W150" i="23"/>
  <c r="W151" i="23"/>
  <c r="W152" i="23"/>
  <c r="W153" i="23"/>
  <c r="W154" i="23"/>
  <c r="W155" i="23"/>
  <c r="W156" i="23"/>
  <c r="W157" i="23"/>
  <c r="W158" i="23"/>
  <c r="W159" i="23"/>
  <c r="W160" i="23"/>
  <c r="W161" i="23"/>
  <c r="W162" i="23"/>
  <c r="W163" i="23"/>
  <c r="W164" i="23"/>
  <c r="W165" i="23"/>
  <c r="W166" i="23"/>
  <c r="W167" i="23"/>
  <c r="W168" i="23"/>
  <c r="W169" i="23"/>
  <c r="W170" i="23"/>
  <c r="W171" i="23"/>
  <c r="W172" i="23"/>
  <c r="W173" i="23"/>
  <c r="W174" i="23"/>
  <c r="W175" i="23"/>
  <c r="W176" i="23"/>
  <c r="W177" i="23"/>
  <c r="W178" i="23"/>
  <c r="W179" i="23"/>
  <c r="W180" i="23"/>
  <c r="W181" i="23"/>
  <c r="W182" i="23"/>
  <c r="W183" i="23"/>
  <c r="W184" i="23"/>
  <c r="W185" i="23"/>
  <c r="W186" i="23"/>
  <c r="W187" i="23"/>
  <c r="W188" i="23"/>
  <c r="W189" i="23"/>
  <c r="W190" i="23"/>
  <c r="W191" i="23"/>
  <c r="W192" i="23"/>
  <c r="W193" i="23"/>
  <c r="W194" i="23"/>
  <c r="W195" i="23"/>
  <c r="W196" i="23"/>
  <c r="W197" i="23"/>
  <c r="W198" i="23"/>
  <c r="W199" i="23"/>
  <c r="W200" i="23"/>
  <c r="W201" i="23"/>
  <c r="W202" i="23"/>
  <c r="W203" i="23"/>
  <c r="W204" i="23"/>
  <c r="W205" i="23"/>
  <c r="W206" i="23"/>
  <c r="W207" i="23"/>
  <c r="W208" i="23"/>
  <c r="W209" i="23"/>
  <c r="W210" i="23"/>
  <c r="W211" i="23"/>
  <c r="W212" i="23"/>
  <c r="W213" i="23"/>
  <c r="W214" i="23"/>
  <c r="W215" i="23"/>
  <c r="W216" i="23"/>
  <c r="W217" i="23"/>
  <c r="W5" i="23"/>
  <c r="X5" i="23"/>
  <c r="AA6" i="23" s="1"/>
  <c r="X6" i="23"/>
  <c r="X7" i="23"/>
  <c r="X8" i="23"/>
  <c r="X9" i="23"/>
  <c r="X10" i="23"/>
  <c r="X11" i="23"/>
  <c r="X12" i="23"/>
  <c r="X13" i="23"/>
  <c r="X14" i="23"/>
  <c r="X15" i="23"/>
  <c r="X16" i="23"/>
  <c r="X17" i="23"/>
  <c r="X18" i="23"/>
  <c r="X19" i="23"/>
  <c r="X20" i="23"/>
  <c r="X21" i="23"/>
  <c r="X22" i="23"/>
  <c r="X23" i="23"/>
  <c r="X24" i="23"/>
  <c r="X25" i="23"/>
  <c r="X26" i="23"/>
  <c r="X27" i="23"/>
  <c r="X28" i="23"/>
  <c r="X29" i="23"/>
  <c r="X30" i="23"/>
  <c r="X31" i="23"/>
  <c r="X32" i="23"/>
  <c r="X33" i="23"/>
  <c r="X34" i="23"/>
  <c r="X35" i="23"/>
  <c r="X36" i="23"/>
  <c r="X37" i="23"/>
  <c r="X38" i="23"/>
  <c r="X39" i="23"/>
  <c r="X40" i="23"/>
  <c r="X41" i="23"/>
  <c r="X42" i="23"/>
  <c r="X43" i="23"/>
  <c r="X44" i="23"/>
  <c r="X45" i="23"/>
  <c r="X46" i="23"/>
  <c r="X47" i="23"/>
  <c r="X48" i="23"/>
  <c r="X49" i="23"/>
  <c r="X50" i="23"/>
  <c r="X51" i="23"/>
  <c r="X52" i="23"/>
  <c r="X53" i="23"/>
  <c r="X54" i="23"/>
  <c r="X55" i="23"/>
  <c r="X56" i="23"/>
  <c r="X57" i="23"/>
  <c r="X58" i="23"/>
  <c r="X59" i="23"/>
  <c r="X60" i="23"/>
  <c r="X61" i="23"/>
  <c r="X62" i="23"/>
  <c r="X63" i="23"/>
  <c r="X64" i="23"/>
  <c r="X65" i="23"/>
  <c r="X66" i="23"/>
  <c r="X67" i="23"/>
  <c r="X68" i="23"/>
  <c r="X69" i="23"/>
  <c r="X70" i="23"/>
  <c r="X71" i="23"/>
  <c r="X72" i="23"/>
  <c r="X73" i="23"/>
  <c r="X74" i="23"/>
  <c r="X75" i="23"/>
  <c r="X76" i="23"/>
  <c r="X77" i="23"/>
  <c r="X78" i="23"/>
  <c r="X79" i="23"/>
  <c r="X80" i="23"/>
  <c r="X81" i="23"/>
  <c r="X82" i="23"/>
  <c r="X83" i="23"/>
  <c r="X84" i="23"/>
  <c r="X85" i="23"/>
  <c r="X86" i="23"/>
  <c r="X87" i="23"/>
  <c r="X88" i="23"/>
  <c r="X89" i="23"/>
  <c r="X90" i="23"/>
  <c r="X91" i="23"/>
  <c r="X92" i="23"/>
  <c r="X93" i="23"/>
  <c r="X94" i="23"/>
  <c r="X95" i="23"/>
  <c r="X96" i="23"/>
  <c r="X97" i="23"/>
  <c r="X98" i="23"/>
  <c r="X99" i="23"/>
  <c r="X100" i="23"/>
  <c r="X101" i="23"/>
  <c r="X102" i="23"/>
  <c r="X103" i="23"/>
  <c r="X104" i="23"/>
  <c r="X105" i="23"/>
  <c r="X106" i="23"/>
  <c r="X107" i="23"/>
  <c r="X108" i="23"/>
  <c r="X109" i="23"/>
  <c r="X110" i="23"/>
  <c r="X111" i="23"/>
  <c r="X112" i="23"/>
  <c r="X113" i="23"/>
  <c r="X114" i="23"/>
  <c r="X115" i="23"/>
  <c r="X116" i="23"/>
  <c r="X117" i="23"/>
  <c r="X118" i="23"/>
  <c r="X119" i="23"/>
  <c r="X120" i="23"/>
  <c r="X121" i="23"/>
  <c r="X122" i="23"/>
  <c r="X123" i="23"/>
  <c r="X124" i="23"/>
  <c r="X125" i="23"/>
  <c r="X126" i="23"/>
  <c r="X127" i="23"/>
  <c r="X128" i="23"/>
  <c r="X129" i="23"/>
  <c r="X130" i="23"/>
  <c r="X131" i="23"/>
  <c r="X132" i="23"/>
  <c r="X133" i="23"/>
  <c r="X134" i="23"/>
  <c r="X135" i="23"/>
  <c r="X136" i="23"/>
  <c r="X137" i="23"/>
  <c r="X138" i="23"/>
  <c r="X139" i="23"/>
  <c r="X140" i="23"/>
  <c r="X141" i="23"/>
  <c r="X142" i="23"/>
  <c r="X143" i="23"/>
  <c r="X144" i="23"/>
  <c r="X145" i="23"/>
  <c r="X146" i="23"/>
  <c r="X147" i="23"/>
  <c r="X148" i="23"/>
  <c r="X149" i="23"/>
  <c r="X150" i="23"/>
  <c r="X151" i="23"/>
  <c r="X152" i="23"/>
  <c r="X153" i="23"/>
  <c r="X154" i="23"/>
  <c r="X155" i="23"/>
  <c r="X156" i="23"/>
  <c r="X157" i="23"/>
  <c r="X158" i="23"/>
  <c r="X159" i="23"/>
  <c r="X160" i="23"/>
  <c r="X161" i="23"/>
  <c r="X162" i="23"/>
  <c r="X163" i="23"/>
  <c r="X164" i="23"/>
  <c r="X165" i="23"/>
  <c r="X166" i="23"/>
  <c r="X167" i="23"/>
  <c r="X168" i="23"/>
  <c r="X169" i="23"/>
  <c r="X170" i="23"/>
  <c r="X171" i="23"/>
  <c r="X172" i="23"/>
  <c r="X173" i="23"/>
  <c r="X174" i="23"/>
  <c r="X175" i="23"/>
  <c r="X176" i="23"/>
  <c r="X177" i="23"/>
  <c r="X178" i="23"/>
  <c r="X179" i="23"/>
  <c r="X180" i="23"/>
  <c r="X181" i="23"/>
  <c r="X182" i="23"/>
  <c r="X183" i="23"/>
  <c r="X184" i="23"/>
  <c r="X185" i="23"/>
  <c r="X186" i="23"/>
  <c r="X187" i="23"/>
  <c r="X188" i="23"/>
  <c r="X189" i="23"/>
  <c r="X190" i="23"/>
  <c r="X191" i="23"/>
  <c r="X192" i="23"/>
  <c r="X193" i="23"/>
  <c r="X194" i="23"/>
  <c r="X195" i="23"/>
  <c r="X196" i="23"/>
  <c r="X197" i="23"/>
  <c r="X198" i="23"/>
  <c r="X199" i="23"/>
  <c r="X200" i="23"/>
  <c r="X201" i="23"/>
  <c r="X202" i="23"/>
  <c r="X203" i="23"/>
  <c r="X204" i="23"/>
  <c r="X205" i="23"/>
  <c r="X206" i="23"/>
  <c r="X207" i="23"/>
  <c r="X208" i="23"/>
  <c r="X209" i="23"/>
  <c r="X210" i="23"/>
  <c r="X211" i="23"/>
  <c r="X212" i="23"/>
  <c r="X213" i="23"/>
  <c r="X214" i="23"/>
  <c r="X215" i="23"/>
  <c r="X216" i="23"/>
  <c r="X217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378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403" i="23"/>
  <c r="B404" i="23"/>
  <c r="B405" i="23"/>
  <c r="B406" i="23"/>
  <c r="B407" i="23"/>
  <c r="B408" i="23"/>
  <c r="B409" i="23"/>
  <c r="B410" i="23"/>
  <c r="B411" i="23"/>
  <c r="B412" i="23"/>
  <c r="B413" i="23"/>
  <c r="B414" i="23"/>
  <c r="B415" i="23"/>
  <c r="B416" i="23"/>
  <c r="B417" i="23"/>
  <c r="B418" i="23"/>
  <c r="B419" i="23"/>
  <c r="B420" i="23"/>
  <c r="B421" i="23"/>
  <c r="B422" i="23"/>
  <c r="B423" i="23"/>
  <c r="B424" i="23"/>
  <c r="B425" i="23"/>
  <c r="B426" i="23"/>
  <c r="B427" i="23"/>
  <c r="B428" i="23"/>
  <c r="B429" i="23"/>
  <c r="B430" i="23"/>
  <c r="B431" i="23"/>
  <c r="B432" i="23"/>
  <c r="B433" i="23"/>
  <c r="B434" i="23"/>
  <c r="B435" i="23"/>
  <c r="B436" i="23"/>
  <c r="B437" i="23"/>
  <c r="B438" i="23"/>
  <c r="B439" i="23"/>
  <c r="B440" i="23"/>
  <c r="B441" i="23"/>
  <c r="B442" i="23"/>
  <c r="B443" i="23"/>
  <c r="B444" i="23"/>
  <c r="B445" i="23"/>
  <c r="B446" i="23"/>
  <c r="B447" i="23"/>
  <c r="B448" i="23"/>
  <c r="B449" i="23"/>
  <c r="B450" i="23"/>
  <c r="B451" i="23"/>
  <c r="B452" i="23"/>
  <c r="B453" i="23"/>
  <c r="B454" i="23"/>
  <c r="B455" i="23"/>
  <c r="B456" i="23"/>
  <c r="B457" i="23"/>
  <c r="B458" i="23"/>
  <c r="B459" i="23"/>
  <c r="B460" i="23"/>
  <c r="B461" i="23"/>
  <c r="B462" i="23"/>
  <c r="B463" i="23"/>
  <c r="B464" i="23"/>
  <c r="B465" i="23"/>
  <c r="B466" i="23"/>
  <c r="B467" i="23"/>
  <c r="B468" i="23"/>
  <c r="B469" i="23"/>
  <c r="B470" i="23"/>
  <c r="B471" i="23"/>
  <c r="B472" i="23"/>
  <c r="B473" i="23"/>
  <c r="B474" i="23"/>
  <c r="B475" i="23"/>
  <c r="B476" i="23"/>
  <c r="B477" i="23"/>
  <c r="B478" i="23"/>
  <c r="B479" i="23"/>
  <c r="B480" i="23"/>
  <c r="B481" i="23"/>
  <c r="B482" i="23"/>
  <c r="B483" i="23"/>
  <c r="B484" i="23"/>
  <c r="B485" i="23"/>
  <c r="B486" i="23"/>
  <c r="B487" i="23"/>
  <c r="B488" i="23"/>
  <c r="B489" i="23"/>
  <c r="B490" i="23"/>
  <c r="B491" i="23"/>
  <c r="B492" i="23"/>
  <c r="B493" i="23"/>
  <c r="B494" i="23"/>
  <c r="B495" i="23"/>
  <c r="B496" i="23"/>
  <c r="B497" i="23"/>
  <c r="B498" i="23"/>
  <c r="B499" i="23"/>
  <c r="B500" i="23"/>
  <c r="B501" i="23"/>
  <c r="B502" i="23"/>
  <c r="B503" i="23"/>
  <c r="B504" i="23"/>
  <c r="B505" i="23"/>
  <c r="B506" i="23"/>
  <c r="B507" i="23"/>
  <c r="B508" i="23"/>
  <c r="B509" i="23"/>
  <c r="B510" i="23"/>
  <c r="B511" i="23"/>
  <c r="B512" i="23"/>
  <c r="B513" i="23"/>
  <c r="B514" i="23"/>
  <c r="B515" i="23"/>
  <c r="B516" i="23"/>
  <c r="B517" i="23"/>
  <c r="B518" i="23"/>
  <c r="B519" i="23"/>
  <c r="B520" i="23"/>
  <c r="B521" i="23"/>
  <c r="B522" i="23"/>
  <c r="B523" i="23"/>
  <c r="B524" i="23"/>
  <c r="B525" i="23"/>
  <c r="B526" i="23"/>
  <c r="B527" i="23"/>
  <c r="B528" i="23"/>
  <c r="B529" i="23"/>
  <c r="B530" i="23"/>
  <c r="B531" i="23"/>
  <c r="B532" i="23"/>
  <c r="B533" i="23"/>
  <c r="B534" i="23"/>
  <c r="B535" i="23"/>
  <c r="B536" i="23"/>
  <c r="B537" i="23"/>
  <c r="B538" i="23"/>
  <c r="B539" i="23"/>
  <c r="B540" i="23"/>
  <c r="B541" i="23"/>
  <c r="B542" i="23"/>
  <c r="B543" i="23"/>
  <c r="B544" i="23"/>
  <c r="B545" i="23"/>
  <c r="B546" i="23"/>
  <c r="B547" i="23"/>
  <c r="B548" i="23"/>
  <c r="B549" i="23"/>
  <c r="B550" i="23"/>
  <c r="B551" i="23"/>
  <c r="B552" i="23"/>
  <c r="B553" i="23"/>
  <c r="B554" i="23"/>
  <c r="B555" i="23"/>
  <c r="B556" i="23"/>
  <c r="B557" i="23"/>
  <c r="B558" i="23"/>
  <c r="B559" i="23"/>
  <c r="B560" i="23"/>
  <c r="B561" i="23"/>
  <c r="B562" i="23"/>
  <c r="B563" i="23"/>
  <c r="B564" i="23"/>
  <c r="B565" i="23"/>
  <c r="B566" i="23"/>
  <c r="B567" i="23"/>
  <c r="B568" i="23"/>
  <c r="B569" i="23"/>
  <c r="B570" i="23"/>
  <c r="B571" i="23"/>
  <c r="B572" i="23"/>
  <c r="B573" i="23"/>
  <c r="B574" i="23"/>
  <c r="B575" i="23"/>
  <c r="B576" i="23"/>
  <c r="B577" i="23"/>
  <c r="B578" i="23"/>
  <c r="B579" i="23"/>
  <c r="B580" i="23"/>
  <c r="B581" i="23"/>
  <c r="B582" i="23"/>
  <c r="B583" i="23"/>
  <c r="B584" i="23"/>
  <c r="B585" i="23"/>
  <c r="B586" i="23"/>
  <c r="B587" i="23"/>
  <c r="B588" i="23"/>
  <c r="B589" i="23"/>
  <c r="B590" i="23"/>
  <c r="B591" i="23"/>
  <c r="B592" i="23"/>
  <c r="B593" i="23"/>
  <c r="B594" i="23"/>
  <c r="B595" i="23"/>
  <c r="B596" i="23"/>
  <c r="B597" i="23"/>
  <c r="B598" i="23"/>
  <c r="B599" i="23"/>
  <c r="B600" i="23"/>
  <c r="B601" i="23"/>
  <c r="B602" i="23"/>
  <c r="B603" i="23"/>
  <c r="B604" i="23"/>
  <c r="B605" i="23"/>
  <c r="B606" i="23"/>
  <c r="B607" i="23"/>
  <c r="B608" i="23"/>
  <c r="B609" i="23"/>
  <c r="B610" i="23"/>
  <c r="B611" i="23"/>
  <c r="B612" i="23"/>
  <c r="B613" i="23"/>
  <c r="B614" i="23"/>
  <c r="B615" i="23"/>
  <c r="B616" i="23"/>
  <c r="B617" i="23"/>
  <c r="B618" i="23"/>
  <c r="B619" i="23"/>
  <c r="B620" i="23"/>
  <c r="B621" i="23"/>
  <c r="B622" i="23"/>
  <c r="B623" i="23"/>
  <c r="B624" i="23"/>
  <c r="B625" i="23"/>
  <c r="B626" i="23"/>
  <c r="B627" i="23"/>
  <c r="B628" i="23"/>
  <c r="B629" i="23"/>
  <c r="B630" i="23"/>
  <c r="B631" i="23"/>
  <c r="B632" i="23"/>
  <c r="B633" i="23"/>
  <c r="B634" i="23"/>
  <c r="B635" i="23"/>
  <c r="B636" i="23"/>
  <c r="B637" i="23"/>
  <c r="B638" i="23"/>
  <c r="B639" i="23"/>
  <c r="B640" i="23"/>
  <c r="B641" i="23"/>
  <c r="B642" i="23"/>
  <c r="B643" i="23"/>
  <c r="B644" i="23"/>
  <c r="B645" i="23"/>
  <c r="B646" i="23"/>
  <c r="B647" i="23"/>
  <c r="B648" i="23"/>
  <c r="B649" i="23"/>
  <c r="B650" i="23"/>
  <c r="B651" i="23"/>
  <c r="B652" i="23"/>
  <c r="B653" i="23"/>
  <c r="B654" i="23"/>
  <c r="B655" i="23"/>
  <c r="B656" i="23"/>
  <c r="B657" i="23"/>
  <c r="B658" i="23"/>
  <c r="B659" i="23"/>
  <c r="B660" i="23"/>
  <c r="B661" i="23"/>
  <c r="B662" i="23"/>
  <c r="B663" i="23"/>
  <c r="B664" i="23"/>
  <c r="B665" i="23"/>
  <c r="B666" i="23"/>
  <c r="B667" i="23"/>
  <c r="B668" i="23"/>
  <c r="B669" i="23"/>
  <c r="B670" i="23"/>
  <c r="B671" i="23"/>
  <c r="B672" i="23"/>
  <c r="B673" i="23"/>
  <c r="B674" i="23"/>
  <c r="B675" i="23"/>
  <c r="B676" i="23"/>
  <c r="B677" i="23"/>
  <c r="B678" i="23"/>
  <c r="B679" i="23"/>
  <c r="B680" i="23"/>
  <c r="B681" i="23"/>
  <c r="B682" i="23"/>
  <c r="B683" i="23"/>
  <c r="B684" i="23"/>
  <c r="B685" i="23"/>
  <c r="B686" i="23"/>
  <c r="B687" i="23"/>
  <c r="B688" i="23"/>
  <c r="B689" i="23"/>
  <c r="B690" i="23"/>
  <c r="B691" i="23"/>
  <c r="B692" i="23"/>
  <c r="B693" i="23"/>
  <c r="B694" i="23"/>
  <c r="B695" i="23"/>
  <c r="B696" i="23"/>
  <c r="B697" i="23"/>
  <c r="B698" i="23"/>
  <c r="B699" i="23"/>
  <c r="B700" i="23"/>
  <c r="B701" i="23"/>
  <c r="B702" i="23"/>
  <c r="B703" i="23"/>
  <c r="B704" i="23"/>
  <c r="B705" i="23"/>
  <c r="B706" i="23"/>
  <c r="B707" i="23"/>
  <c r="B708" i="23"/>
  <c r="B709" i="23"/>
  <c r="B710" i="23"/>
  <c r="B711" i="23"/>
  <c r="B712" i="23"/>
  <c r="B713" i="23"/>
  <c r="B714" i="23"/>
  <c r="B715" i="23"/>
  <c r="B716" i="23"/>
  <c r="B717" i="23"/>
  <c r="B718" i="23"/>
  <c r="B719" i="23"/>
  <c r="B720" i="23"/>
  <c r="B721" i="23"/>
  <c r="B722" i="23"/>
  <c r="B723" i="23"/>
  <c r="B724" i="23"/>
  <c r="B725" i="23"/>
  <c r="B726" i="23"/>
  <c r="B727" i="23"/>
  <c r="B728" i="23"/>
  <c r="B729" i="23"/>
  <c r="B730" i="23"/>
  <c r="B731" i="23"/>
  <c r="B732" i="23"/>
  <c r="B733" i="23"/>
  <c r="B734" i="23"/>
  <c r="B735" i="23"/>
  <c r="B736" i="23"/>
  <c r="B737" i="23"/>
  <c r="B738" i="23"/>
  <c r="B739" i="23"/>
  <c r="B740" i="23"/>
  <c r="B741" i="23"/>
  <c r="B742" i="23"/>
  <c r="B743" i="23"/>
  <c r="B744" i="23"/>
  <c r="B745" i="23"/>
  <c r="B746" i="23"/>
  <c r="B747" i="23"/>
  <c r="B748" i="23"/>
  <c r="B749" i="23"/>
  <c r="B750" i="23"/>
  <c r="B751" i="23"/>
  <c r="B752" i="23"/>
  <c r="B753" i="23"/>
  <c r="B754" i="23"/>
  <c r="B755" i="23"/>
  <c r="B756" i="23"/>
  <c r="B757" i="23"/>
  <c r="B758" i="23"/>
  <c r="B759" i="23"/>
  <c r="B760" i="23"/>
  <c r="B761" i="23"/>
  <c r="B762" i="23"/>
  <c r="B763" i="23"/>
  <c r="B764" i="23"/>
  <c r="B765" i="23"/>
  <c r="B766" i="23"/>
  <c r="B767" i="23"/>
  <c r="B768" i="23"/>
  <c r="B769" i="23"/>
  <c r="B770" i="23"/>
  <c r="B771" i="23"/>
  <c r="B772" i="23"/>
  <c r="B773" i="23"/>
  <c r="B774" i="23"/>
  <c r="B775" i="23"/>
  <c r="B776" i="23"/>
  <c r="B777" i="23"/>
  <c r="B778" i="23"/>
  <c r="B779" i="23"/>
  <c r="B780" i="23"/>
  <c r="B781" i="23"/>
  <c r="B782" i="23"/>
  <c r="B783" i="23"/>
  <c r="B784" i="23"/>
  <c r="B785" i="23"/>
  <c r="B786" i="23"/>
  <c r="B787" i="23"/>
  <c r="B788" i="23"/>
  <c r="B789" i="23"/>
  <c r="B790" i="23"/>
  <c r="B791" i="23"/>
  <c r="B792" i="23"/>
  <c r="B793" i="23"/>
  <c r="B794" i="23"/>
  <c r="B795" i="23"/>
  <c r="B796" i="23"/>
  <c r="B797" i="23"/>
  <c r="B798" i="23"/>
  <c r="B799" i="23"/>
  <c r="B800" i="23"/>
  <c r="B801" i="23"/>
  <c r="B802" i="23"/>
  <c r="B803" i="23"/>
  <c r="B804" i="23"/>
  <c r="B805" i="23"/>
  <c r="B806" i="23"/>
  <c r="B807" i="23"/>
  <c r="B808" i="23"/>
  <c r="B809" i="23"/>
  <c r="B810" i="23"/>
  <c r="B811" i="23"/>
  <c r="B812" i="23"/>
  <c r="B813" i="23"/>
  <c r="B814" i="23"/>
  <c r="B815" i="23"/>
  <c r="B816" i="23"/>
  <c r="B817" i="23"/>
  <c r="B818" i="23"/>
  <c r="B819" i="23"/>
  <c r="B820" i="23"/>
  <c r="B821" i="23"/>
  <c r="B822" i="23"/>
  <c r="B823" i="23"/>
  <c r="B824" i="23"/>
  <c r="B825" i="23"/>
  <c r="B826" i="23"/>
  <c r="B827" i="23"/>
  <c r="B828" i="23"/>
  <c r="B829" i="23"/>
  <c r="B830" i="23"/>
  <c r="B831" i="23"/>
  <c r="B832" i="23"/>
  <c r="B833" i="23"/>
  <c r="B834" i="23"/>
  <c r="B835" i="23"/>
  <c r="B836" i="23"/>
  <c r="B837" i="23"/>
  <c r="B838" i="23"/>
  <c r="B839" i="23"/>
  <c r="B840" i="23"/>
  <c r="B841" i="23"/>
  <c r="B842" i="23"/>
  <c r="B843" i="23"/>
  <c r="B844" i="23"/>
  <c r="B845" i="23"/>
  <c r="B846" i="23"/>
  <c r="B847" i="23"/>
  <c r="B848" i="23"/>
  <c r="B849" i="23"/>
  <c r="B850" i="23"/>
  <c r="B851" i="23"/>
  <c r="B852" i="23"/>
  <c r="B853" i="23"/>
  <c r="B854" i="23"/>
  <c r="B855" i="23"/>
  <c r="B856" i="23"/>
  <c r="B857" i="23"/>
  <c r="B858" i="23"/>
  <c r="B859" i="23"/>
  <c r="B860" i="23"/>
  <c r="B861" i="23"/>
  <c r="B862" i="23"/>
  <c r="B863" i="23"/>
  <c r="B864" i="23"/>
  <c r="B865" i="23"/>
  <c r="B866" i="23"/>
  <c r="B867" i="23"/>
  <c r="B868" i="23"/>
  <c r="B869" i="23"/>
  <c r="B870" i="23"/>
  <c r="B871" i="23"/>
  <c r="B872" i="23"/>
  <c r="B873" i="23"/>
  <c r="B874" i="23"/>
  <c r="B875" i="23"/>
  <c r="B876" i="23"/>
  <c r="B877" i="23"/>
  <c r="B878" i="23"/>
  <c r="B879" i="23"/>
  <c r="B880" i="23"/>
  <c r="B881" i="23"/>
  <c r="B882" i="23"/>
  <c r="B883" i="23"/>
  <c r="B884" i="23"/>
  <c r="B885" i="23"/>
  <c r="B886" i="23"/>
  <c r="B887" i="23"/>
  <c r="B888" i="23"/>
  <c r="B889" i="23"/>
  <c r="B890" i="23"/>
  <c r="B891" i="23"/>
  <c r="B892" i="23"/>
  <c r="B893" i="23"/>
  <c r="B894" i="23"/>
  <c r="B895" i="23"/>
  <c r="B896" i="23"/>
  <c r="B897" i="23"/>
  <c r="B898" i="23"/>
  <c r="B899" i="23"/>
  <c r="B900" i="23"/>
  <c r="B901" i="23"/>
  <c r="B902" i="23"/>
  <c r="B903" i="23"/>
  <c r="B904" i="23"/>
  <c r="B905" i="23"/>
  <c r="B906" i="23"/>
  <c r="B907" i="23"/>
  <c r="B908" i="23"/>
  <c r="B909" i="23"/>
  <c r="B910" i="23"/>
  <c r="B911" i="23"/>
  <c r="B912" i="23"/>
  <c r="B913" i="23"/>
  <c r="B914" i="23"/>
  <c r="B915" i="23"/>
  <c r="B916" i="23"/>
  <c r="B917" i="23"/>
  <c r="B918" i="23"/>
  <c r="B919" i="23"/>
  <c r="B920" i="23"/>
  <c r="B921" i="23"/>
  <c r="B922" i="23"/>
  <c r="B923" i="23"/>
  <c r="B924" i="23"/>
  <c r="B925" i="23"/>
  <c r="B926" i="23"/>
  <c r="B927" i="23"/>
  <c r="B928" i="23"/>
  <c r="B929" i="23"/>
  <c r="B930" i="23"/>
  <c r="B931" i="23"/>
  <c r="B932" i="23"/>
  <c r="B933" i="23"/>
  <c r="B934" i="23"/>
  <c r="B935" i="23"/>
  <c r="B936" i="23"/>
  <c r="B937" i="23"/>
  <c r="B938" i="23"/>
  <c r="B939" i="23"/>
  <c r="B940" i="23"/>
  <c r="B941" i="23"/>
  <c r="B942" i="23"/>
  <c r="B943" i="23"/>
  <c r="B944" i="23"/>
  <c r="B945" i="23"/>
  <c r="B946" i="23"/>
  <c r="B947" i="23"/>
  <c r="B948" i="23"/>
  <c r="B949" i="23"/>
  <c r="B950" i="23"/>
  <c r="B951" i="23"/>
  <c r="B952" i="23"/>
  <c r="B953" i="23"/>
  <c r="B954" i="23"/>
  <c r="B955" i="23"/>
  <c r="B956" i="23"/>
  <c r="B957" i="23"/>
  <c r="B958" i="23"/>
  <c r="B959" i="23"/>
  <c r="B960" i="23"/>
  <c r="B961" i="23"/>
  <c r="B962" i="23"/>
  <c r="B963" i="23"/>
  <c r="B964" i="23"/>
  <c r="B965" i="23"/>
  <c r="B966" i="23"/>
  <c r="B967" i="23"/>
  <c r="B968" i="23"/>
  <c r="B969" i="23"/>
  <c r="B970" i="23"/>
  <c r="B971" i="23"/>
  <c r="B972" i="23"/>
  <c r="B973" i="23"/>
  <c r="B974" i="23"/>
  <c r="B975" i="23"/>
  <c r="B976" i="23"/>
  <c r="B977" i="23"/>
  <c r="B978" i="23"/>
  <c r="B979" i="23"/>
  <c r="B980" i="23"/>
  <c r="B981" i="23"/>
  <c r="B982" i="23"/>
  <c r="B983" i="23"/>
  <c r="B984" i="23"/>
  <c r="B985" i="23"/>
  <c r="B986" i="23"/>
  <c r="B987" i="23"/>
  <c r="B988" i="23"/>
  <c r="B989" i="23"/>
  <c r="B990" i="23"/>
  <c r="B991" i="23"/>
  <c r="B992" i="23"/>
  <c r="B993" i="23"/>
  <c r="B994" i="23"/>
  <c r="B995" i="23"/>
  <c r="B996" i="23"/>
  <c r="B997" i="23"/>
  <c r="B998" i="23"/>
  <c r="B999" i="23"/>
  <c r="B1000" i="23"/>
  <c r="B1001" i="23"/>
  <c r="B1002" i="23"/>
  <c r="B1003" i="23"/>
  <c r="B1004" i="23"/>
  <c r="B1005" i="23"/>
  <c r="B1006" i="23"/>
  <c r="B1007" i="23"/>
  <c r="B1008" i="23"/>
  <c r="B1009" i="23"/>
  <c r="B1010" i="23"/>
  <c r="B1011" i="23"/>
  <c r="B1012" i="23"/>
  <c r="B1013" i="23"/>
  <c r="B1014" i="23"/>
  <c r="B1015" i="23"/>
  <c r="B1016" i="23"/>
  <c r="B1017" i="23"/>
  <c r="B1018" i="23"/>
  <c r="B1019" i="23"/>
  <c r="B1020" i="23"/>
  <c r="B1021" i="23"/>
  <c r="B1022" i="23"/>
  <c r="B1023" i="23"/>
  <c r="B1024" i="23"/>
  <c r="B1025" i="23"/>
  <c r="B1026" i="23"/>
  <c r="B1027" i="23"/>
  <c r="B1028" i="23"/>
  <c r="B1029" i="23"/>
  <c r="B1030" i="23"/>
  <c r="B1031" i="23"/>
  <c r="B1032" i="23"/>
  <c r="B1033" i="23"/>
  <c r="B1034" i="23"/>
  <c r="B1035" i="23"/>
  <c r="B1036" i="23"/>
  <c r="B1037" i="23"/>
  <c r="B1038" i="23"/>
  <c r="B1039" i="23"/>
  <c r="B1040" i="23"/>
  <c r="B1041" i="23"/>
  <c r="B1042" i="23"/>
  <c r="B1043" i="23"/>
  <c r="B1044" i="23"/>
  <c r="B1045" i="23"/>
  <c r="B1046" i="23"/>
  <c r="B1047" i="23"/>
  <c r="B1048" i="23"/>
  <c r="B1049" i="23"/>
  <c r="B1050" i="23"/>
  <c r="B1051" i="23"/>
  <c r="B1052" i="23"/>
  <c r="B1053" i="23"/>
  <c r="B2" i="23"/>
  <c r="J1006" i="23"/>
  <c r="J1007" i="23"/>
  <c r="J1008" i="23"/>
  <c r="J1009" i="23"/>
  <c r="J1010" i="23"/>
  <c r="J1011" i="23"/>
  <c r="J1012" i="23"/>
  <c r="J1013" i="23"/>
  <c r="J1014" i="23"/>
  <c r="J1015" i="23"/>
  <c r="J1016" i="23"/>
  <c r="J1017" i="23"/>
  <c r="J1018" i="23"/>
  <c r="J1019" i="23"/>
  <c r="J1020" i="23"/>
  <c r="J1021" i="23"/>
  <c r="J1022" i="23"/>
  <c r="J1023" i="23"/>
  <c r="J1024" i="23"/>
  <c r="J1025" i="23"/>
  <c r="J1026" i="23"/>
  <c r="J1027" i="23"/>
  <c r="J1028" i="23"/>
  <c r="J1029" i="23"/>
  <c r="J1030" i="23"/>
  <c r="J1031" i="23"/>
  <c r="J1032" i="23"/>
  <c r="J1033" i="23"/>
  <c r="J1034" i="23"/>
  <c r="J1035" i="23"/>
  <c r="J1036" i="23"/>
  <c r="J1037" i="23"/>
  <c r="J1038" i="23"/>
  <c r="J1039" i="23"/>
  <c r="J1040" i="23"/>
  <c r="J1041" i="23"/>
  <c r="J1042" i="23"/>
  <c r="J1043" i="23"/>
  <c r="J1044" i="23"/>
  <c r="J1045" i="23"/>
  <c r="J1046" i="23"/>
  <c r="J1047" i="23"/>
  <c r="J1048" i="23"/>
  <c r="J1049" i="23"/>
  <c r="J1050" i="23"/>
  <c r="J1051" i="23"/>
  <c r="J1052" i="23"/>
  <c r="J1053" i="23"/>
  <c r="J1054" i="23"/>
  <c r="J1055" i="23"/>
  <c r="J1005" i="23"/>
  <c r="A13" i="22" a="1"/>
  <c r="AC5" i="23" a="1"/>
  <c r="AC5" i="23" s="1"/>
  <c r="AD5" i="23" s="1"/>
  <c r="O5" i="23" a="1"/>
  <c r="O5" i="23" s="1"/>
  <c r="P5" i="23" s="1"/>
  <c r="U5" i="23" a="1"/>
  <c r="P137" i="23"/>
  <c r="P138" i="23"/>
  <c r="P139" i="23"/>
  <c r="P140" i="23"/>
  <c r="P141" i="23"/>
  <c r="P142" i="23"/>
  <c r="P143" i="23"/>
  <c r="P144" i="23"/>
  <c r="P145" i="23"/>
  <c r="P146" i="23"/>
  <c r="P147" i="23"/>
  <c r="P148" i="23"/>
  <c r="P149" i="23"/>
  <c r="P150" i="23"/>
  <c r="P151" i="23"/>
  <c r="P152" i="23"/>
  <c r="P153" i="23"/>
  <c r="P154" i="23"/>
  <c r="P155" i="23"/>
  <c r="P156" i="23"/>
  <c r="P157" i="23"/>
  <c r="P158" i="23"/>
  <c r="P159" i="23"/>
  <c r="P160" i="23"/>
  <c r="P161" i="23"/>
  <c r="P162" i="23"/>
  <c r="P163" i="23"/>
  <c r="P164" i="23"/>
  <c r="P165" i="23"/>
  <c r="P166" i="23"/>
  <c r="P167" i="23"/>
  <c r="P168" i="23"/>
  <c r="P169" i="23"/>
  <c r="P170" i="23"/>
  <c r="P171" i="23"/>
  <c r="K221" i="22"/>
  <c r="I221" i="22"/>
  <c r="J220" i="22"/>
  <c r="H220" i="22"/>
  <c r="G220" i="22"/>
  <c r="F220" i="22"/>
  <c r="E220" i="22"/>
  <c r="C220" i="22"/>
  <c r="I219" i="22"/>
  <c r="H219" i="22"/>
  <c r="D219" i="22"/>
  <c r="F218" i="22"/>
  <c r="E218" i="22"/>
  <c r="D218" i="22"/>
  <c r="C218" i="22"/>
  <c r="B218" i="22"/>
  <c r="K217" i="22"/>
  <c r="F217" i="22"/>
  <c r="C217" i="22"/>
  <c r="J216" i="22"/>
  <c r="G216" i="22"/>
  <c r="E216" i="22"/>
  <c r="C216" i="22"/>
  <c r="J215" i="22"/>
  <c r="G215" i="22"/>
  <c r="F215" i="22"/>
  <c r="E215" i="22"/>
  <c r="B215" i="22"/>
  <c r="G214" i="22"/>
  <c r="D214" i="22"/>
  <c r="K213" i="22"/>
  <c r="I213" i="22"/>
  <c r="G213" i="22"/>
  <c r="D213" i="22"/>
  <c r="B213" i="22"/>
  <c r="K212" i="22"/>
  <c r="I212" i="22"/>
  <c r="G212" i="22"/>
  <c r="I211" i="22"/>
  <c r="G211" i="22"/>
  <c r="F211" i="22"/>
  <c r="D211" i="22"/>
  <c r="C211" i="22"/>
  <c r="K210" i="22"/>
  <c r="H210" i="22"/>
  <c r="E210" i="22"/>
  <c r="C210" i="22"/>
  <c r="H209" i="22"/>
  <c r="C209" i="22"/>
  <c r="B209" i="22"/>
  <c r="K208" i="22"/>
  <c r="I208" i="22"/>
  <c r="H208" i="22"/>
  <c r="G208" i="22"/>
  <c r="E208" i="22"/>
  <c r="I207" i="22"/>
  <c r="E207" i="22"/>
  <c r="B207" i="22"/>
  <c r="H206" i="22"/>
  <c r="G206" i="22"/>
  <c r="F206" i="22"/>
  <c r="E206" i="22"/>
  <c r="C206" i="22"/>
  <c r="B206" i="22"/>
  <c r="E205" i="22"/>
  <c r="K204" i="22"/>
  <c r="J204" i="22"/>
  <c r="I204" i="22"/>
  <c r="H204" i="22"/>
  <c r="B204" i="22"/>
  <c r="K203" i="22"/>
  <c r="J203" i="22"/>
  <c r="G203" i="22"/>
  <c r="E203" i="22"/>
  <c r="H202" i="22"/>
  <c r="G202" i="22"/>
  <c r="E202" i="22"/>
  <c r="D202" i="22"/>
  <c r="C202" i="22"/>
  <c r="F201" i="22"/>
  <c r="E201" i="22"/>
  <c r="D201" i="22"/>
  <c r="B201" i="22"/>
  <c r="F200" i="22"/>
  <c r="C200" i="22"/>
  <c r="K199" i="22"/>
  <c r="I199" i="22"/>
  <c r="G199" i="22"/>
  <c r="F199" i="22"/>
  <c r="E199" i="22"/>
  <c r="C199" i="22"/>
  <c r="I198" i="22"/>
  <c r="C198" i="22"/>
  <c r="J197" i="22"/>
  <c r="G197" i="22"/>
  <c r="F197" i="22"/>
  <c r="E197" i="22"/>
  <c r="C197" i="22"/>
  <c r="B197" i="22"/>
  <c r="K196" i="22"/>
  <c r="D196" i="22"/>
  <c r="I195" i="22"/>
  <c r="H195" i="22"/>
  <c r="G195" i="22"/>
  <c r="F195" i="22"/>
  <c r="D195" i="22"/>
  <c r="K194" i="22"/>
  <c r="G194" i="22"/>
  <c r="F194" i="22"/>
  <c r="C194" i="22"/>
  <c r="F193" i="22"/>
  <c r="E193" i="22"/>
  <c r="D193" i="22"/>
  <c r="B193" i="22"/>
  <c r="J192" i="22"/>
  <c r="H192" i="22"/>
  <c r="D192" i="22"/>
  <c r="B192" i="22"/>
  <c r="J191" i="22"/>
  <c r="E191" i="22"/>
  <c r="K190" i="22"/>
  <c r="I190" i="22"/>
  <c r="H190" i="22"/>
  <c r="G190" i="22"/>
  <c r="E190" i="22"/>
  <c r="D190" i="22"/>
  <c r="K189" i="22"/>
  <c r="F189" i="22"/>
  <c r="B189" i="22"/>
  <c r="K188" i="22"/>
  <c r="H188" i="22"/>
  <c r="D188" i="22"/>
  <c r="C188" i="22"/>
  <c r="B188" i="22"/>
  <c r="J187" i="22"/>
  <c r="I187" i="22"/>
  <c r="E187" i="22"/>
  <c r="I186" i="22"/>
  <c r="G186" i="22"/>
  <c r="E186" i="22"/>
  <c r="B186" i="22"/>
  <c r="I185" i="22"/>
  <c r="H185" i="22"/>
  <c r="G185" i="22"/>
  <c r="F185" i="22"/>
  <c r="B185" i="22"/>
  <c r="D184" i="22"/>
  <c r="C184" i="22"/>
  <c r="K183" i="22"/>
  <c r="J183" i="22"/>
  <c r="I183" i="22"/>
  <c r="H183" i="22"/>
  <c r="C183" i="22"/>
  <c r="B183" i="22"/>
  <c r="G182" i="22"/>
  <c r="C182" i="22"/>
  <c r="J181" i="22"/>
  <c r="I181" i="22"/>
  <c r="G181" i="22"/>
  <c r="E181" i="22"/>
  <c r="D181" i="22"/>
  <c r="C181" i="22"/>
  <c r="G180" i="22"/>
  <c r="D180" i="22"/>
  <c r="K179" i="22"/>
  <c r="J179" i="22"/>
  <c r="G179" i="22"/>
  <c r="C179" i="22"/>
  <c r="K178" i="22"/>
  <c r="I178" i="22"/>
  <c r="H178" i="22"/>
  <c r="G178" i="22"/>
  <c r="D178" i="22"/>
  <c r="G177" i="22"/>
  <c r="E177" i="22"/>
  <c r="D177" i="22"/>
  <c r="K176" i="22"/>
  <c r="G176" i="22"/>
  <c r="F176" i="22"/>
  <c r="E176" i="22"/>
  <c r="D176" i="22"/>
  <c r="B176" i="22"/>
  <c r="C175" i="22"/>
  <c r="K174" i="22"/>
  <c r="J174" i="22"/>
  <c r="I174" i="22"/>
  <c r="H174" i="22"/>
  <c r="G174" i="22"/>
  <c r="D174" i="22"/>
  <c r="K173" i="22"/>
  <c r="G173" i="22"/>
  <c r="K172" i="22"/>
  <c r="H172" i="22"/>
  <c r="G172" i="22"/>
  <c r="F172" i="22"/>
  <c r="E172" i="22"/>
  <c r="C172" i="22"/>
  <c r="J171" i="22"/>
  <c r="H171" i="22"/>
  <c r="C171" i="22"/>
  <c r="I170" i="22"/>
  <c r="H170" i="22"/>
  <c r="E170" i="22"/>
  <c r="B170" i="22"/>
  <c r="J169" i="22"/>
  <c r="I169" i="22"/>
  <c r="G169" i="22"/>
  <c r="E169" i="22"/>
  <c r="B169" i="22"/>
  <c r="E168" i="22"/>
  <c r="D168" i="22"/>
  <c r="B168" i="22"/>
  <c r="K167" i="22"/>
  <c r="I167" i="22"/>
  <c r="E167" i="22"/>
  <c r="C167" i="22"/>
  <c r="B167" i="22"/>
  <c r="I166" i="22"/>
  <c r="K165" i="22"/>
  <c r="J165" i="22"/>
  <c r="I165" i="22"/>
  <c r="G165" i="22"/>
  <c r="F165" i="22"/>
  <c r="C165" i="22"/>
  <c r="I164" i="22"/>
  <c r="H164" i="22"/>
  <c r="F164" i="22"/>
  <c r="B164" i="22"/>
  <c r="F163" i="22"/>
  <c r="D163" i="22"/>
  <c r="C163" i="22"/>
  <c r="B163" i="22"/>
  <c r="K162" i="22"/>
  <c r="J162" i="22"/>
  <c r="I162" i="22"/>
  <c r="B162" i="22"/>
  <c r="G161" i="22"/>
  <c r="F161" i="22"/>
  <c r="C161" i="22"/>
  <c r="J160" i="22"/>
  <c r="I160" i="22"/>
  <c r="H160" i="22"/>
  <c r="F160" i="22"/>
  <c r="E160" i="22"/>
  <c r="G159" i="22"/>
  <c r="D159" i="22"/>
  <c r="C159" i="22"/>
  <c r="B159" i="22"/>
  <c r="K158" i="22"/>
  <c r="G158" i="22"/>
  <c r="D158" i="22"/>
  <c r="B158" i="22"/>
  <c r="J157" i="22"/>
  <c r="G157" i="22"/>
  <c r="K156" i="22"/>
  <c r="J156" i="22"/>
  <c r="H156" i="22"/>
  <c r="E156" i="22"/>
  <c r="D156" i="22"/>
  <c r="K155" i="22"/>
  <c r="H155" i="22"/>
  <c r="G155" i="22"/>
  <c r="E155" i="22"/>
  <c r="H154" i="22"/>
  <c r="E154" i="22"/>
  <c r="D154" i="22"/>
  <c r="K153" i="22"/>
  <c r="J153" i="22"/>
  <c r="I153" i="22"/>
  <c r="H153" i="22"/>
  <c r="G153" i="22"/>
  <c r="B153" i="22"/>
  <c r="F152" i="22"/>
  <c r="D152" i="22"/>
  <c r="B152" i="22"/>
  <c r="I151" i="22"/>
  <c r="G151" i="22"/>
  <c r="F151" i="22"/>
  <c r="E151" i="22"/>
  <c r="C151" i="22"/>
  <c r="I150" i="22"/>
  <c r="B150" i="22"/>
  <c r="K149" i="22"/>
  <c r="J149" i="22"/>
  <c r="I149" i="22"/>
  <c r="F149" i="22"/>
  <c r="B149" i="22"/>
  <c r="J148" i="22"/>
  <c r="I148" i="22"/>
  <c r="F148" i="22"/>
  <c r="I147" i="22"/>
  <c r="G147" i="22"/>
  <c r="F147" i="22"/>
  <c r="E147" i="22"/>
  <c r="C147" i="22"/>
  <c r="B147" i="22"/>
  <c r="I146" i="22"/>
  <c r="E146" i="22"/>
  <c r="C146" i="22"/>
  <c r="I145" i="22"/>
  <c r="F145" i="22"/>
  <c r="B145" i="22"/>
  <c r="K144" i="22"/>
  <c r="J144" i="22"/>
  <c r="H144" i="22"/>
  <c r="G144" i="22"/>
  <c r="C144" i="22"/>
  <c r="I143" i="22"/>
  <c r="E143" i="22"/>
  <c r="C143" i="22"/>
  <c r="B143" i="22"/>
  <c r="G142" i="22"/>
  <c r="E142" i="22"/>
  <c r="D142" i="22"/>
  <c r="C142" i="22"/>
  <c r="K141" i="22"/>
  <c r="I141" i="22"/>
  <c r="B141" i="22"/>
  <c r="H140" i="22"/>
  <c r="G140" i="22"/>
  <c r="F140" i="22"/>
  <c r="D140" i="22"/>
  <c r="K139" i="22"/>
  <c r="J139" i="22"/>
  <c r="I139" i="22"/>
  <c r="E139" i="22"/>
  <c r="G138" i="22"/>
  <c r="E138" i="22"/>
  <c r="D138" i="22"/>
  <c r="C138" i="22"/>
  <c r="B138" i="22"/>
  <c r="K137" i="22"/>
  <c r="H137" i="22"/>
  <c r="E137" i="22"/>
  <c r="J136" i="22"/>
  <c r="G136" i="22"/>
  <c r="E136" i="22"/>
  <c r="K135" i="22"/>
  <c r="J135" i="22"/>
  <c r="H135" i="22"/>
  <c r="F135" i="22"/>
  <c r="E135" i="22"/>
  <c r="B135" i="22"/>
  <c r="G134" i="22"/>
  <c r="D134" i="22"/>
  <c r="C134" i="22"/>
  <c r="I133" i="22"/>
  <c r="E133" i="22"/>
  <c r="D133" i="22"/>
  <c r="B133" i="22"/>
  <c r="K132" i="22"/>
  <c r="J132" i="22"/>
  <c r="H132" i="22"/>
  <c r="I131" i="22"/>
  <c r="H131" i="22"/>
  <c r="G131" i="22"/>
  <c r="E131" i="22"/>
  <c r="B131" i="22"/>
  <c r="I130" i="22"/>
  <c r="H130" i="22"/>
  <c r="G130" i="22"/>
  <c r="D130" i="22"/>
  <c r="F129" i="22"/>
  <c r="D129" i="22"/>
  <c r="C129" i="22"/>
  <c r="B129" i="22"/>
  <c r="K128" i="22"/>
  <c r="J128" i="22"/>
  <c r="G128" i="22"/>
  <c r="D128" i="22"/>
  <c r="K127" i="22"/>
  <c r="G127" i="22"/>
  <c r="E127" i="22"/>
  <c r="B127" i="22"/>
  <c r="J126" i="22"/>
  <c r="I126" i="22"/>
  <c r="H126" i="22"/>
  <c r="F126" i="22"/>
  <c r="E126" i="22"/>
  <c r="J125" i="22"/>
  <c r="F125" i="22"/>
  <c r="E125" i="22"/>
  <c r="D125" i="22"/>
  <c r="C125" i="22"/>
  <c r="I124" i="22"/>
  <c r="H124" i="22"/>
  <c r="G124" i="22"/>
  <c r="E124" i="22"/>
  <c r="B124" i="22"/>
  <c r="G123" i="22"/>
  <c r="F123" i="22"/>
  <c r="D123" i="22"/>
  <c r="C123" i="22"/>
  <c r="B123" i="22"/>
  <c r="K122" i="22"/>
  <c r="J122" i="22"/>
  <c r="G122" i="22"/>
  <c r="D122" i="22"/>
  <c r="K121" i="22"/>
  <c r="I121" i="22"/>
  <c r="H121" i="22"/>
  <c r="G121" i="22"/>
  <c r="E121" i="22"/>
  <c r="B121" i="22"/>
  <c r="K120" i="22"/>
  <c r="J120" i="22"/>
  <c r="H120" i="22"/>
  <c r="C120" i="22"/>
  <c r="K119" i="22"/>
  <c r="J119" i="22"/>
  <c r="H119" i="22"/>
  <c r="G119" i="22"/>
  <c r="F119" i="22"/>
  <c r="E119" i="22"/>
  <c r="D119" i="22"/>
  <c r="K118" i="22"/>
  <c r="F118" i="22"/>
  <c r="D118" i="22"/>
  <c r="C118" i="22"/>
  <c r="B118" i="22"/>
  <c r="K117" i="22"/>
  <c r="I117" i="22"/>
  <c r="G117" i="22"/>
  <c r="F117" i="22"/>
  <c r="D117" i="22"/>
  <c r="I116" i="22"/>
  <c r="G116" i="22"/>
  <c r="E116" i="22"/>
  <c r="D116" i="22"/>
  <c r="C116" i="22"/>
  <c r="B116" i="22"/>
  <c r="K115" i="22"/>
  <c r="J115" i="22"/>
  <c r="E115" i="22"/>
  <c r="K114" i="22"/>
  <c r="J114" i="22"/>
  <c r="I114" i="22"/>
  <c r="H114" i="22"/>
  <c r="G114" i="22"/>
  <c r="F114" i="22"/>
  <c r="E114" i="22"/>
  <c r="C114" i="22"/>
  <c r="H113" i="22"/>
  <c r="E113" i="22"/>
  <c r="D113" i="22"/>
  <c r="C113" i="22"/>
  <c r="K112" i="22"/>
  <c r="I112" i="22"/>
  <c r="H112" i="22"/>
  <c r="F112" i="22"/>
  <c r="D112" i="22"/>
  <c r="B112" i="22"/>
  <c r="I111" i="22"/>
  <c r="H111" i="22"/>
  <c r="G111" i="22"/>
  <c r="F111" i="22"/>
  <c r="D111" i="22"/>
  <c r="C111" i="22"/>
  <c r="K110" i="22"/>
  <c r="J110" i="22"/>
  <c r="H110" i="22"/>
  <c r="E110" i="22"/>
  <c r="D110" i="22"/>
  <c r="B110" i="22"/>
  <c r="K109" i="22"/>
  <c r="J109" i="22"/>
  <c r="H109" i="22"/>
  <c r="G109" i="22"/>
  <c r="F109" i="22"/>
  <c r="D109" i="22"/>
  <c r="J108" i="22"/>
  <c r="I108" i="22"/>
  <c r="H108" i="22"/>
  <c r="G108" i="22"/>
  <c r="E108" i="22"/>
  <c r="D108" i="22"/>
  <c r="C108" i="22"/>
  <c r="B108" i="22"/>
  <c r="J107" i="22"/>
  <c r="F107" i="22"/>
  <c r="E107" i="22"/>
  <c r="D107" i="22"/>
  <c r="B107" i="22"/>
  <c r="K106" i="22"/>
  <c r="J106" i="22"/>
  <c r="I106" i="22"/>
  <c r="H106" i="22"/>
  <c r="E106" i="22"/>
  <c r="B106" i="22"/>
  <c r="K105" i="22"/>
  <c r="I105" i="22"/>
  <c r="H105" i="22"/>
  <c r="G105" i="22"/>
  <c r="F105" i="22"/>
  <c r="D105" i="22"/>
  <c r="C105" i="22"/>
  <c r="K104" i="22"/>
  <c r="H104" i="22"/>
  <c r="F104" i="22"/>
  <c r="E104" i="22"/>
  <c r="D104" i="22"/>
  <c r="B104" i="22"/>
  <c r="K103" i="22"/>
  <c r="J103" i="22"/>
  <c r="I103" i="22"/>
  <c r="G103" i="22"/>
  <c r="C103" i="22"/>
  <c r="B103" i="22"/>
  <c r="J102" i="22"/>
  <c r="I102" i="22"/>
  <c r="H102" i="22"/>
  <c r="G102" i="22"/>
  <c r="F102" i="22"/>
  <c r="E102" i="22"/>
  <c r="C102" i="22"/>
  <c r="H101" i="22"/>
  <c r="G101" i="22"/>
  <c r="F101" i="22"/>
  <c r="E101" i="22"/>
  <c r="D101" i="22"/>
  <c r="C101" i="22"/>
  <c r="B101" i="22"/>
  <c r="K100" i="22"/>
  <c r="I100" i="22"/>
  <c r="D100" i="22"/>
  <c r="C100" i="22"/>
  <c r="B100" i="22"/>
  <c r="K99" i="22"/>
  <c r="J99" i="22"/>
  <c r="I99" i="22"/>
  <c r="H99" i="22"/>
  <c r="G99" i="22"/>
  <c r="C99" i="22"/>
  <c r="J98" i="22"/>
  <c r="I98" i="22"/>
  <c r="H98" i="22"/>
  <c r="G98" i="22"/>
  <c r="F98" i="22"/>
  <c r="E98" i="22"/>
  <c r="D98" i="22"/>
  <c r="B98" i="22"/>
  <c r="I97" i="22"/>
  <c r="F97" i="22"/>
  <c r="E97" i="22"/>
  <c r="D97" i="22"/>
  <c r="C97" i="22"/>
  <c r="B97" i="22"/>
  <c r="J96" i="22"/>
  <c r="I96" i="22"/>
  <c r="G96" i="22"/>
  <c r="E96" i="22"/>
  <c r="B96" i="22"/>
  <c r="K95" i="22"/>
  <c r="J95" i="22"/>
  <c r="H95" i="22"/>
  <c r="G95" i="22"/>
  <c r="F95" i="22"/>
  <c r="D95" i="22"/>
  <c r="C95" i="22"/>
  <c r="K94" i="22"/>
  <c r="H94" i="22"/>
  <c r="F94" i="22"/>
  <c r="E94" i="22"/>
  <c r="D94" i="22"/>
  <c r="C94" i="22"/>
  <c r="K93" i="22"/>
  <c r="J93" i="22"/>
  <c r="I93" i="22"/>
  <c r="G93" i="22"/>
  <c r="C93" i="22"/>
  <c r="B93" i="22"/>
  <c r="K92" i="22"/>
  <c r="J92" i="22"/>
  <c r="H92" i="22"/>
  <c r="G92" i="22"/>
  <c r="F92" i="22"/>
  <c r="E92" i="22"/>
  <c r="B92" i="22"/>
  <c r="I91" i="22"/>
  <c r="H91" i="22"/>
  <c r="G91" i="22"/>
  <c r="E91" i="22"/>
  <c r="D91" i="22"/>
  <c r="C91" i="22"/>
  <c r="B91" i="22"/>
  <c r="J90" i="22"/>
  <c r="H90" i="22"/>
  <c r="E90" i="22"/>
  <c r="D90" i="22"/>
  <c r="B90" i="22"/>
  <c r="K89" i="22"/>
  <c r="J89" i="22"/>
  <c r="H89" i="22"/>
  <c r="G89" i="22"/>
  <c r="F89" i="22"/>
  <c r="D89" i="22"/>
  <c r="K88" i="22"/>
  <c r="I88" i="22"/>
  <c r="H88" i="22"/>
  <c r="F88" i="22"/>
  <c r="E88" i="22"/>
  <c r="D88" i="22"/>
  <c r="C88" i="22"/>
  <c r="B88" i="22"/>
  <c r="J87" i="22"/>
  <c r="F87" i="22"/>
  <c r="E87" i="22"/>
  <c r="D87" i="22"/>
  <c r="C87" i="22"/>
  <c r="B87" i="22"/>
  <c r="K86" i="22"/>
  <c r="J86" i="22"/>
  <c r="I86" i="22"/>
  <c r="G86" i="22"/>
  <c r="C86" i="22"/>
  <c r="B86" i="22"/>
  <c r="K85" i="22"/>
  <c r="J85" i="22"/>
  <c r="I85" i="22"/>
  <c r="H85" i="22"/>
  <c r="G85" i="22"/>
  <c r="F85" i="22"/>
  <c r="D85" i="22"/>
  <c r="J84" i="22"/>
  <c r="I84" i="22"/>
  <c r="H84" i="22"/>
  <c r="G84" i="22"/>
  <c r="F84" i="22"/>
  <c r="E84" i="22"/>
  <c r="D84" i="22"/>
  <c r="C84" i="22"/>
  <c r="J83" i="22"/>
  <c r="G83" i="22"/>
  <c r="F83" i="22"/>
  <c r="E83" i="22"/>
  <c r="D83" i="22"/>
  <c r="C83" i="22"/>
  <c r="B83" i="22"/>
  <c r="K82" i="22"/>
  <c r="J82" i="22"/>
  <c r="H82" i="22"/>
  <c r="E82" i="22"/>
  <c r="D82" i="22"/>
  <c r="C82" i="22"/>
  <c r="B82" i="22"/>
  <c r="K81" i="22"/>
  <c r="J81" i="22"/>
  <c r="I81" i="22"/>
  <c r="H81" i="22"/>
  <c r="F81" i="22"/>
  <c r="C81" i="22"/>
  <c r="B81" i="22"/>
  <c r="K80" i="22"/>
  <c r="J80" i="22"/>
  <c r="I80" i="22"/>
  <c r="H80" i="22"/>
  <c r="G80" i="22"/>
  <c r="F80" i="22"/>
  <c r="D80" i="22"/>
  <c r="K79" i="22"/>
  <c r="J79" i="22"/>
  <c r="I79" i="22"/>
  <c r="H79" i="22"/>
  <c r="G79" i="22"/>
  <c r="F79" i="22"/>
  <c r="E79" i="22"/>
  <c r="D79" i="22"/>
  <c r="B79" i="22"/>
  <c r="I78" i="22"/>
  <c r="H78" i="22"/>
  <c r="G78" i="22"/>
  <c r="F78" i="22"/>
  <c r="E78" i="22"/>
  <c r="D78" i="22"/>
  <c r="C78" i="22"/>
  <c r="B78" i="22"/>
  <c r="J77" i="22"/>
  <c r="G77" i="22"/>
  <c r="F77" i="22"/>
  <c r="E77" i="22"/>
  <c r="D77" i="22"/>
  <c r="C77" i="22"/>
  <c r="B77" i="22"/>
  <c r="K76" i="22"/>
  <c r="J76" i="22"/>
  <c r="H76" i="22"/>
  <c r="E76" i="22"/>
  <c r="D76" i="22"/>
  <c r="C76" i="22"/>
  <c r="B76" i="22"/>
  <c r="K75" i="22"/>
  <c r="J75" i="22"/>
  <c r="I75" i="22"/>
  <c r="H75" i="22"/>
  <c r="F75" i="22"/>
  <c r="C75" i="22"/>
  <c r="B75" i="22"/>
  <c r="K74" i="22"/>
  <c r="J74" i="22"/>
  <c r="I74" i="22"/>
  <c r="H74" i="22"/>
  <c r="G74" i="22"/>
  <c r="F74" i="22"/>
  <c r="D74" i="22"/>
  <c r="K73" i="22"/>
  <c r="J73" i="22"/>
  <c r="I73" i="22"/>
  <c r="H73" i="22"/>
  <c r="G73" i="22"/>
  <c r="F73" i="22"/>
  <c r="E73" i="22"/>
  <c r="D73" i="22"/>
  <c r="B73" i="22"/>
  <c r="I72" i="22"/>
  <c r="H72" i="22"/>
  <c r="G72" i="22"/>
  <c r="F72" i="22"/>
  <c r="E72" i="22"/>
  <c r="D72" i="22"/>
  <c r="C72" i="22"/>
  <c r="B72" i="22"/>
  <c r="J71" i="22"/>
  <c r="G71" i="22"/>
  <c r="F71" i="22"/>
  <c r="E71" i="22"/>
  <c r="D71" i="22"/>
  <c r="C71" i="22"/>
  <c r="B71" i="22"/>
  <c r="K70" i="22"/>
  <c r="J70" i="22"/>
  <c r="H70" i="22"/>
  <c r="E70" i="22"/>
  <c r="D70" i="22"/>
  <c r="C70" i="22"/>
  <c r="B70" i="22"/>
  <c r="K69" i="22"/>
  <c r="J69" i="22"/>
  <c r="I69" i="22"/>
  <c r="H69" i="22"/>
  <c r="F69" i="22"/>
  <c r="C69" i="22"/>
  <c r="B69" i="22"/>
  <c r="K68" i="22"/>
  <c r="J68" i="22"/>
  <c r="I68" i="22"/>
  <c r="H68" i="22"/>
  <c r="G68" i="22"/>
  <c r="F68" i="22"/>
  <c r="D68" i="22"/>
  <c r="K67" i="22"/>
  <c r="J67" i="22"/>
  <c r="I67" i="22"/>
  <c r="H67" i="22"/>
  <c r="G67" i="22"/>
  <c r="F67" i="22"/>
  <c r="E67" i="22"/>
  <c r="D67" i="22"/>
  <c r="B67" i="22"/>
  <c r="I66" i="22"/>
  <c r="H66" i="22"/>
  <c r="G66" i="22"/>
  <c r="F66" i="22"/>
  <c r="E66" i="22"/>
  <c r="D66" i="22"/>
  <c r="C66" i="22"/>
  <c r="B66" i="22"/>
  <c r="J65" i="22"/>
  <c r="I65" i="22"/>
  <c r="H65" i="22"/>
  <c r="G65" i="22"/>
  <c r="F65" i="22"/>
  <c r="E65" i="22"/>
  <c r="D65" i="22"/>
  <c r="C65" i="22"/>
  <c r="B65" i="22"/>
  <c r="K64" i="22"/>
  <c r="J64" i="22"/>
  <c r="I64" i="22"/>
  <c r="H64" i="22"/>
  <c r="G64" i="22"/>
  <c r="F64" i="22"/>
  <c r="E64" i="22"/>
  <c r="D64" i="22"/>
  <c r="C64" i="22"/>
  <c r="B64" i="22"/>
  <c r="K63" i="22"/>
  <c r="J63" i="22"/>
  <c r="I63" i="22"/>
  <c r="H63" i="22"/>
  <c r="G63" i="22"/>
  <c r="F63" i="22"/>
  <c r="E63" i="22"/>
  <c r="D63" i="22"/>
  <c r="C63" i="22"/>
  <c r="B63" i="22"/>
  <c r="K62" i="22"/>
  <c r="J62" i="22"/>
  <c r="I62" i="22"/>
  <c r="H62" i="22"/>
  <c r="G62" i="22"/>
  <c r="F62" i="22"/>
  <c r="E62" i="22"/>
  <c r="D62" i="22"/>
  <c r="C62" i="22"/>
  <c r="B62" i="22"/>
  <c r="K61" i="22"/>
  <c r="J61" i="22"/>
  <c r="I61" i="22"/>
  <c r="H61" i="22"/>
  <c r="G61" i="22"/>
  <c r="F61" i="22"/>
  <c r="E61" i="22"/>
  <c r="D61" i="22"/>
  <c r="C61" i="22"/>
  <c r="B61" i="22"/>
  <c r="K60" i="22"/>
  <c r="J60" i="22"/>
  <c r="I60" i="22"/>
  <c r="H60" i="22"/>
  <c r="G60" i="22"/>
  <c r="F60" i="22"/>
  <c r="E60" i="22"/>
  <c r="D60" i="22"/>
  <c r="C60" i="22"/>
  <c r="B60" i="22"/>
  <c r="K59" i="22"/>
  <c r="J59" i="22"/>
  <c r="I59" i="22"/>
  <c r="H59" i="22"/>
  <c r="G59" i="22"/>
  <c r="F59" i="22"/>
  <c r="E59" i="22"/>
  <c r="D59" i="22"/>
  <c r="C59" i="22"/>
  <c r="B59" i="22"/>
  <c r="K58" i="22"/>
  <c r="J58" i="22"/>
  <c r="I58" i="22"/>
  <c r="H58" i="22"/>
  <c r="G58" i="22"/>
  <c r="F58" i="22"/>
  <c r="E58" i="22"/>
  <c r="D58" i="22"/>
  <c r="C58" i="22"/>
  <c r="B58" i="22"/>
  <c r="K57" i="22"/>
  <c r="J57" i="22"/>
  <c r="I57" i="22"/>
  <c r="H57" i="22"/>
  <c r="G57" i="22"/>
  <c r="F57" i="22"/>
  <c r="E57" i="22"/>
  <c r="D57" i="22"/>
  <c r="C57" i="22"/>
  <c r="B57" i="22"/>
  <c r="K56" i="22"/>
  <c r="J56" i="22"/>
  <c r="I56" i="22"/>
  <c r="H56" i="22"/>
  <c r="G56" i="22"/>
  <c r="F56" i="22"/>
  <c r="E56" i="22"/>
  <c r="D56" i="22"/>
  <c r="C56" i="22"/>
  <c r="B56" i="22"/>
  <c r="K55" i="22"/>
  <c r="J55" i="22"/>
  <c r="I55" i="22"/>
  <c r="H55" i="22"/>
  <c r="G55" i="22"/>
  <c r="F55" i="22"/>
  <c r="E55" i="22"/>
  <c r="D55" i="22"/>
  <c r="C55" i="22"/>
  <c r="B55" i="22"/>
  <c r="K54" i="22"/>
  <c r="J54" i="22"/>
  <c r="I54" i="22"/>
  <c r="H54" i="22"/>
  <c r="G54" i="22"/>
  <c r="F54" i="22"/>
  <c r="E54" i="22"/>
  <c r="D54" i="22"/>
  <c r="C54" i="22"/>
  <c r="B54" i="22"/>
  <c r="K53" i="22"/>
  <c r="J53" i="22"/>
  <c r="I53" i="22"/>
  <c r="H53" i="22"/>
  <c r="G53" i="22"/>
  <c r="F53" i="22"/>
  <c r="E53" i="22"/>
  <c r="D53" i="22"/>
  <c r="C53" i="22"/>
  <c r="B53" i="22"/>
  <c r="K52" i="22"/>
  <c r="J52" i="22"/>
  <c r="I52" i="22"/>
  <c r="H52" i="22"/>
  <c r="G52" i="22"/>
  <c r="F52" i="22"/>
  <c r="E52" i="22"/>
  <c r="D52" i="22"/>
  <c r="C52" i="22"/>
  <c r="B52" i="22"/>
  <c r="K51" i="22"/>
  <c r="J51" i="22"/>
  <c r="I51" i="22"/>
  <c r="H51" i="22"/>
  <c r="G51" i="22"/>
  <c r="F51" i="22"/>
  <c r="E51" i="22"/>
  <c r="D51" i="22"/>
  <c r="C51" i="22"/>
  <c r="B51" i="22"/>
  <c r="K50" i="22"/>
  <c r="J50" i="22"/>
  <c r="I50" i="22"/>
  <c r="H50" i="22"/>
  <c r="G50" i="22"/>
  <c r="F50" i="22"/>
  <c r="E50" i="22"/>
  <c r="D50" i="22"/>
  <c r="C50" i="22"/>
  <c r="B50" i="22"/>
  <c r="K49" i="22"/>
  <c r="J49" i="22"/>
  <c r="I49" i="22"/>
  <c r="H49" i="22"/>
  <c r="G49" i="22"/>
  <c r="F49" i="22"/>
  <c r="E49" i="22"/>
  <c r="D49" i="22"/>
  <c r="C49" i="22"/>
  <c r="B49" i="22"/>
  <c r="K48" i="22"/>
  <c r="J48" i="22"/>
  <c r="I48" i="22"/>
  <c r="H48" i="22"/>
  <c r="G48" i="22"/>
  <c r="F48" i="22"/>
  <c r="E48" i="22"/>
  <c r="D48" i="22"/>
  <c r="C48" i="22"/>
  <c r="B48" i="22"/>
  <c r="K47" i="22"/>
  <c r="J47" i="22"/>
  <c r="I47" i="22"/>
  <c r="H47" i="22"/>
  <c r="G47" i="22"/>
  <c r="F47" i="22"/>
  <c r="E47" i="22"/>
  <c r="D47" i="22"/>
  <c r="C47" i="22"/>
  <c r="B47" i="22"/>
  <c r="K46" i="22"/>
  <c r="J46" i="22"/>
  <c r="I46" i="22"/>
  <c r="H46" i="22"/>
  <c r="G46" i="22"/>
  <c r="F46" i="22"/>
  <c r="E46" i="22"/>
  <c r="D46" i="22"/>
  <c r="C46" i="22"/>
  <c r="B46" i="22"/>
  <c r="K45" i="22"/>
  <c r="J45" i="22"/>
  <c r="I45" i="22"/>
  <c r="H45" i="22"/>
  <c r="G45" i="22"/>
  <c r="F45" i="22"/>
  <c r="E45" i="22"/>
  <c r="D45" i="22"/>
  <c r="C45" i="22"/>
  <c r="B45" i="22"/>
  <c r="K44" i="22"/>
  <c r="J44" i="22"/>
  <c r="I44" i="22"/>
  <c r="H44" i="22"/>
  <c r="G44" i="22"/>
  <c r="F44" i="22"/>
  <c r="E44" i="22"/>
  <c r="D44" i="22"/>
  <c r="C44" i="22"/>
  <c r="B44" i="22"/>
  <c r="K43" i="22"/>
  <c r="J43" i="22"/>
  <c r="I43" i="22"/>
  <c r="H43" i="22"/>
  <c r="G43" i="22"/>
  <c r="F43" i="22"/>
  <c r="E43" i="22"/>
  <c r="D43" i="22"/>
  <c r="C43" i="22"/>
  <c r="B43" i="22"/>
  <c r="K42" i="22"/>
  <c r="J42" i="22"/>
  <c r="I42" i="22"/>
  <c r="H42" i="22"/>
  <c r="G42" i="22"/>
  <c r="F42" i="22"/>
  <c r="E42" i="22"/>
  <c r="D42" i="22"/>
  <c r="C42" i="22"/>
  <c r="B42" i="22"/>
  <c r="K41" i="22"/>
  <c r="J41" i="22"/>
  <c r="I41" i="22"/>
  <c r="H41" i="22"/>
  <c r="G41" i="22"/>
  <c r="F41" i="22"/>
  <c r="E41" i="22"/>
  <c r="D41" i="22"/>
  <c r="C41" i="22"/>
  <c r="B41" i="22"/>
  <c r="K40" i="22"/>
  <c r="J40" i="22"/>
  <c r="I40" i="22"/>
  <c r="H40" i="22"/>
  <c r="G40" i="22"/>
  <c r="F40" i="22"/>
  <c r="E40" i="22"/>
  <c r="D40" i="22"/>
  <c r="C40" i="22"/>
  <c r="B40" i="22"/>
  <c r="K39" i="22"/>
  <c r="J39" i="22"/>
  <c r="I39" i="22"/>
  <c r="H39" i="22"/>
  <c r="G39" i="22"/>
  <c r="F39" i="22"/>
  <c r="E39" i="22"/>
  <c r="D39" i="22"/>
  <c r="C39" i="22"/>
  <c r="B39" i="22"/>
  <c r="K38" i="22"/>
  <c r="J38" i="22"/>
  <c r="I38" i="22"/>
  <c r="H38" i="22"/>
  <c r="G38" i="22"/>
  <c r="F38" i="22"/>
  <c r="E38" i="22"/>
  <c r="D38" i="22"/>
  <c r="C38" i="22"/>
  <c r="B38" i="22"/>
  <c r="K37" i="22"/>
  <c r="J37" i="22"/>
  <c r="I37" i="22"/>
  <c r="H37" i="22"/>
  <c r="G37" i="22"/>
  <c r="F37" i="22"/>
  <c r="E37" i="22"/>
  <c r="D37" i="22"/>
  <c r="C37" i="22"/>
  <c r="B37" i="22"/>
  <c r="K36" i="22"/>
  <c r="J36" i="22"/>
  <c r="I36" i="22"/>
  <c r="H36" i="22"/>
  <c r="G36" i="22"/>
  <c r="F36" i="22"/>
  <c r="E36" i="22"/>
  <c r="D36" i="22"/>
  <c r="C36" i="22"/>
  <c r="B36" i="22"/>
  <c r="K35" i="22"/>
  <c r="J35" i="22"/>
  <c r="I35" i="22"/>
  <c r="H35" i="22"/>
  <c r="G35" i="22"/>
  <c r="F35" i="22"/>
  <c r="E35" i="22"/>
  <c r="D35" i="22"/>
  <c r="C35" i="22"/>
  <c r="B35" i="22"/>
  <c r="K34" i="22"/>
  <c r="J34" i="22"/>
  <c r="I34" i="22"/>
  <c r="H34" i="22"/>
  <c r="G34" i="22"/>
  <c r="F34" i="22"/>
  <c r="E34" i="22"/>
  <c r="D34" i="22"/>
  <c r="C34" i="22"/>
  <c r="B34" i="22"/>
  <c r="K33" i="22"/>
  <c r="J33" i="22"/>
  <c r="I33" i="22"/>
  <c r="H33" i="22"/>
  <c r="G33" i="22"/>
  <c r="F33" i="22"/>
  <c r="E33" i="22"/>
  <c r="D33" i="22"/>
  <c r="C33" i="22"/>
  <c r="B33" i="22"/>
  <c r="K32" i="22"/>
  <c r="J32" i="22"/>
  <c r="I32" i="22"/>
  <c r="H32" i="22"/>
  <c r="G32" i="22"/>
  <c r="F32" i="22"/>
  <c r="E32" i="22"/>
  <c r="D32" i="22"/>
  <c r="C32" i="22"/>
  <c r="B32" i="22"/>
  <c r="K31" i="22"/>
  <c r="J31" i="22"/>
  <c r="I31" i="22"/>
  <c r="H31" i="22"/>
  <c r="G31" i="22"/>
  <c r="F31" i="22"/>
  <c r="E31" i="22"/>
  <c r="D31" i="22"/>
  <c r="C31" i="22"/>
  <c r="B31" i="22"/>
  <c r="K30" i="22"/>
  <c r="J30" i="22"/>
  <c r="I30" i="22"/>
  <c r="H30" i="22"/>
  <c r="G30" i="22"/>
  <c r="F30" i="22"/>
  <c r="E30" i="22"/>
  <c r="D30" i="22"/>
  <c r="C30" i="22"/>
  <c r="B30" i="22"/>
  <c r="K29" i="22"/>
  <c r="J29" i="22"/>
  <c r="I29" i="22"/>
  <c r="H29" i="22"/>
  <c r="G29" i="22"/>
  <c r="F29" i="22"/>
  <c r="E29" i="22"/>
  <c r="D29" i="22"/>
  <c r="C29" i="22"/>
  <c r="B29" i="22"/>
  <c r="K28" i="22"/>
  <c r="J28" i="22"/>
  <c r="I28" i="22"/>
  <c r="H28" i="22"/>
  <c r="G28" i="22"/>
  <c r="F28" i="22"/>
  <c r="E28" i="22"/>
  <c r="D28" i="22"/>
  <c r="C28" i="22"/>
  <c r="B28" i="22"/>
  <c r="K27" i="22"/>
  <c r="J27" i="22"/>
  <c r="I27" i="22"/>
  <c r="H27" i="22"/>
  <c r="G27" i="22"/>
  <c r="F27" i="22"/>
  <c r="E27" i="22"/>
  <c r="D27" i="22"/>
  <c r="C27" i="22"/>
  <c r="B27" i="22"/>
  <c r="K26" i="22"/>
  <c r="J26" i="22"/>
  <c r="I26" i="22"/>
  <c r="H26" i="22"/>
  <c r="G26" i="22"/>
  <c r="F26" i="22"/>
  <c r="E26" i="22"/>
  <c r="D26" i="22"/>
  <c r="C26" i="22"/>
  <c r="B26" i="22"/>
  <c r="K25" i="22"/>
  <c r="J25" i="22"/>
  <c r="I25" i="22"/>
  <c r="H25" i="22"/>
  <c r="G25" i="22"/>
  <c r="F25" i="22"/>
  <c r="E25" i="22"/>
  <c r="D25" i="22"/>
  <c r="C25" i="22"/>
  <c r="B25" i="22"/>
  <c r="K24" i="22"/>
  <c r="J24" i="22"/>
  <c r="I24" i="22"/>
  <c r="H24" i="22"/>
  <c r="G24" i="22"/>
  <c r="F24" i="22"/>
  <c r="E24" i="22"/>
  <c r="D24" i="22"/>
  <c r="C24" i="22"/>
  <c r="B24" i="22"/>
  <c r="K23" i="22"/>
  <c r="J23" i="22"/>
  <c r="I23" i="22"/>
  <c r="H23" i="22"/>
  <c r="G23" i="22"/>
  <c r="F23" i="22"/>
  <c r="E23" i="22"/>
  <c r="D23" i="22"/>
  <c r="C23" i="22"/>
  <c r="B23" i="22"/>
  <c r="K22" i="22"/>
  <c r="J22" i="22"/>
  <c r="I22" i="22"/>
  <c r="H22" i="22"/>
  <c r="G22" i="22"/>
  <c r="F22" i="22"/>
  <c r="E22" i="22"/>
  <c r="D22" i="22"/>
  <c r="C22" i="22"/>
  <c r="B22" i="22"/>
  <c r="K21" i="22"/>
  <c r="J21" i="22"/>
  <c r="I21" i="22"/>
  <c r="H21" i="22"/>
  <c r="G21" i="22"/>
  <c r="F21" i="22"/>
  <c r="E21" i="22"/>
  <c r="D21" i="22"/>
  <c r="C21" i="22"/>
  <c r="B21" i="22"/>
  <c r="K20" i="22"/>
  <c r="J20" i="22"/>
  <c r="I20" i="22"/>
  <c r="H20" i="22"/>
  <c r="G20" i="22"/>
  <c r="F20" i="22"/>
  <c r="E20" i="22"/>
  <c r="D20" i="22"/>
  <c r="C20" i="22"/>
  <c r="B20" i="22"/>
  <c r="K19" i="22"/>
  <c r="J19" i="22"/>
  <c r="I19" i="22"/>
  <c r="H19" i="22"/>
  <c r="G19" i="22"/>
  <c r="F19" i="22"/>
  <c r="E19" i="22"/>
  <c r="D19" i="22"/>
  <c r="C19" i="22"/>
  <c r="B19" i="22"/>
  <c r="K18" i="22"/>
  <c r="J18" i="22"/>
  <c r="I18" i="22"/>
  <c r="H18" i="22"/>
  <c r="G18" i="22"/>
  <c r="F18" i="22"/>
  <c r="E18" i="22"/>
  <c r="D18" i="22"/>
  <c r="C18" i="22"/>
  <c r="B18" i="22"/>
  <c r="K17" i="22"/>
  <c r="J17" i="22"/>
  <c r="I17" i="22"/>
  <c r="H17" i="22"/>
  <c r="G17" i="22"/>
  <c r="F17" i="22"/>
  <c r="E17" i="22"/>
  <c r="D17" i="22"/>
  <c r="C17" i="22"/>
  <c r="B17" i="22"/>
  <c r="K16" i="22"/>
  <c r="J16" i="22"/>
  <c r="I16" i="22"/>
  <c r="H16" i="22"/>
  <c r="G16" i="22"/>
  <c r="F16" i="22"/>
  <c r="E16" i="22"/>
  <c r="D16" i="22"/>
  <c r="C16" i="22"/>
  <c r="B16" i="22"/>
  <c r="K15" i="22"/>
  <c r="J15" i="22"/>
  <c r="I15" i="22"/>
  <c r="H15" i="22"/>
  <c r="G15" i="22"/>
  <c r="F15" i="22"/>
  <c r="E15" i="22"/>
  <c r="D15" i="22"/>
  <c r="C15" i="22"/>
  <c r="B15" i="22"/>
  <c r="K14" i="22"/>
  <c r="J14" i="22"/>
  <c r="I14" i="22"/>
  <c r="H14" i="22"/>
  <c r="G14" i="22"/>
  <c r="F14" i="22"/>
  <c r="E14" i="22"/>
  <c r="D14" i="22"/>
  <c r="C14" i="22"/>
  <c r="B14" i="22"/>
  <c r="K12" i="22"/>
  <c r="J12" i="22"/>
  <c r="I12" i="22"/>
  <c r="H12" i="22"/>
  <c r="G12" i="22"/>
  <c r="F12" i="22"/>
  <c r="E12" i="22"/>
  <c r="D12" i="22"/>
  <c r="C12" i="22"/>
  <c r="B12" i="22"/>
  <c r="K11" i="22"/>
  <c r="J11" i="22"/>
  <c r="I11" i="22"/>
  <c r="H11" i="22"/>
  <c r="G11" i="22"/>
  <c r="F11" i="22"/>
  <c r="E11" i="22"/>
  <c r="D11" i="22"/>
  <c r="C11" i="22"/>
  <c r="B11" i="22"/>
  <c r="K10" i="22"/>
  <c r="J10" i="22"/>
  <c r="I10" i="22"/>
  <c r="H10" i="22"/>
  <c r="G10" i="22"/>
  <c r="F10" i="22"/>
  <c r="E10" i="22"/>
  <c r="D10" i="22"/>
  <c r="C10" i="22"/>
  <c r="B10" i="22"/>
  <c r="K9" i="22"/>
  <c r="J9" i="22"/>
  <c r="I9" i="22"/>
  <c r="H9" i="22"/>
  <c r="G9" i="22"/>
  <c r="F9" i="22"/>
  <c r="E9" i="22"/>
  <c r="D9" i="22"/>
  <c r="C9" i="22"/>
  <c r="B9" i="22"/>
  <c r="K8" i="22"/>
  <c r="J8" i="22"/>
  <c r="I8" i="22"/>
  <c r="H8" i="22"/>
  <c r="G8" i="22"/>
  <c r="F8" i="22"/>
  <c r="E8" i="22"/>
  <c r="D8" i="22"/>
  <c r="C8" i="22"/>
  <c r="B8" i="22"/>
  <c r="K7" i="22"/>
  <c r="J7" i="22"/>
  <c r="I7" i="22"/>
  <c r="H7" i="22"/>
  <c r="G7" i="22"/>
  <c r="F7" i="22"/>
  <c r="E7" i="22"/>
  <c r="D7" i="22"/>
  <c r="C7" i="22"/>
  <c r="B7" i="22"/>
  <c r="K6" i="22"/>
  <c r="J6" i="22"/>
  <c r="I6" i="22"/>
  <c r="H6" i="22"/>
  <c r="G6" i="22"/>
  <c r="F6" i="22"/>
  <c r="E6" i="22"/>
  <c r="D6" i="22"/>
  <c r="C6" i="22"/>
  <c r="B6" i="22"/>
  <c r="K5" i="22"/>
  <c r="J5" i="22"/>
  <c r="I5" i="22"/>
  <c r="H5" i="22"/>
  <c r="G5" i="22"/>
  <c r="F5" i="22"/>
  <c r="E5" i="22"/>
  <c r="D5" i="22"/>
  <c r="C5" i="22"/>
  <c r="B5" i="22"/>
  <c r="K4" i="22"/>
  <c r="J4" i="22"/>
  <c r="I4" i="22"/>
  <c r="H4" i="22"/>
  <c r="G4" i="22"/>
  <c r="F4" i="22"/>
  <c r="E4" i="22"/>
  <c r="D4" i="22"/>
  <c r="C4" i="22"/>
  <c r="B4" i="22"/>
  <c r="V221" i="22"/>
  <c r="U221" i="22"/>
  <c r="T221" i="22"/>
  <c r="S221" i="22"/>
  <c r="R221" i="22"/>
  <c r="Q221" i="22"/>
  <c r="P221" i="22"/>
  <c r="O221" i="22"/>
  <c r="N221" i="22"/>
  <c r="M221" i="22"/>
  <c r="V220" i="22"/>
  <c r="U220" i="22"/>
  <c r="T220" i="22"/>
  <c r="S220" i="22"/>
  <c r="R220" i="22"/>
  <c r="Q220" i="22"/>
  <c r="P220" i="22"/>
  <c r="O220" i="22"/>
  <c r="N220" i="22"/>
  <c r="M220" i="22"/>
  <c r="V219" i="22"/>
  <c r="U219" i="22"/>
  <c r="T219" i="22"/>
  <c r="S219" i="22"/>
  <c r="R219" i="22"/>
  <c r="Q219" i="22"/>
  <c r="P219" i="22"/>
  <c r="O219" i="22"/>
  <c r="N219" i="22"/>
  <c r="M219" i="22"/>
  <c r="V218" i="22"/>
  <c r="U218" i="22"/>
  <c r="T218" i="22"/>
  <c r="S218" i="22"/>
  <c r="R218" i="22"/>
  <c r="Q218" i="22"/>
  <c r="P218" i="22"/>
  <c r="O218" i="22"/>
  <c r="N218" i="22"/>
  <c r="M218" i="22"/>
  <c r="V217" i="22"/>
  <c r="U217" i="22"/>
  <c r="T217" i="22"/>
  <c r="S217" i="22"/>
  <c r="R217" i="22"/>
  <c r="Q217" i="22"/>
  <c r="P217" i="22"/>
  <c r="O217" i="22"/>
  <c r="N217" i="22"/>
  <c r="M217" i="22"/>
  <c r="V216" i="22"/>
  <c r="U216" i="22"/>
  <c r="T216" i="22"/>
  <c r="S216" i="22"/>
  <c r="R216" i="22"/>
  <c r="Q216" i="22"/>
  <c r="P216" i="22"/>
  <c r="O216" i="22"/>
  <c r="N216" i="22"/>
  <c r="M216" i="22"/>
  <c r="V215" i="22"/>
  <c r="U215" i="22"/>
  <c r="T215" i="22"/>
  <c r="S215" i="22"/>
  <c r="R215" i="22"/>
  <c r="Q215" i="22"/>
  <c r="P215" i="22"/>
  <c r="O215" i="22"/>
  <c r="N215" i="22"/>
  <c r="M215" i="22"/>
  <c r="V214" i="22"/>
  <c r="U214" i="22"/>
  <c r="T214" i="22"/>
  <c r="S214" i="22"/>
  <c r="R214" i="22"/>
  <c r="Q214" i="22"/>
  <c r="P214" i="22"/>
  <c r="O214" i="22"/>
  <c r="N214" i="22"/>
  <c r="M214" i="22"/>
  <c r="V213" i="22"/>
  <c r="U213" i="22"/>
  <c r="T213" i="22"/>
  <c r="S213" i="22"/>
  <c r="R213" i="22"/>
  <c r="Q213" i="22"/>
  <c r="P213" i="22"/>
  <c r="O213" i="22"/>
  <c r="N213" i="22"/>
  <c r="M213" i="22"/>
  <c r="V212" i="22"/>
  <c r="U212" i="22"/>
  <c r="T212" i="22"/>
  <c r="S212" i="22"/>
  <c r="R212" i="22"/>
  <c r="Q212" i="22"/>
  <c r="P212" i="22"/>
  <c r="O212" i="22"/>
  <c r="N212" i="22"/>
  <c r="M212" i="22"/>
  <c r="V211" i="22"/>
  <c r="U211" i="22"/>
  <c r="T211" i="22"/>
  <c r="S211" i="22"/>
  <c r="R211" i="22"/>
  <c r="Q211" i="22"/>
  <c r="P211" i="22"/>
  <c r="O211" i="22"/>
  <c r="N211" i="22"/>
  <c r="M211" i="22"/>
  <c r="V210" i="22"/>
  <c r="U210" i="22"/>
  <c r="T210" i="22"/>
  <c r="S210" i="22"/>
  <c r="R210" i="22"/>
  <c r="Q210" i="22"/>
  <c r="P210" i="22"/>
  <c r="O210" i="22"/>
  <c r="N210" i="22"/>
  <c r="M210" i="22"/>
  <c r="V209" i="22"/>
  <c r="U209" i="22"/>
  <c r="T209" i="22"/>
  <c r="S209" i="22"/>
  <c r="R209" i="22"/>
  <c r="Q209" i="22"/>
  <c r="P209" i="22"/>
  <c r="O209" i="22"/>
  <c r="N209" i="22"/>
  <c r="M209" i="22"/>
  <c r="V208" i="22"/>
  <c r="U208" i="22"/>
  <c r="T208" i="22"/>
  <c r="S208" i="22"/>
  <c r="R208" i="22"/>
  <c r="Q208" i="22"/>
  <c r="P208" i="22"/>
  <c r="O208" i="22"/>
  <c r="N208" i="22"/>
  <c r="M208" i="22"/>
  <c r="V207" i="22"/>
  <c r="U207" i="22"/>
  <c r="T207" i="22"/>
  <c r="S207" i="22"/>
  <c r="R207" i="22"/>
  <c r="Q207" i="22"/>
  <c r="P207" i="22"/>
  <c r="O207" i="22"/>
  <c r="N207" i="22"/>
  <c r="M207" i="22"/>
  <c r="V206" i="22"/>
  <c r="U206" i="22"/>
  <c r="T206" i="22"/>
  <c r="S206" i="22"/>
  <c r="R206" i="22"/>
  <c r="Q206" i="22"/>
  <c r="P206" i="22"/>
  <c r="O206" i="22"/>
  <c r="N206" i="22"/>
  <c r="M206" i="22"/>
  <c r="V205" i="22"/>
  <c r="U205" i="22"/>
  <c r="T205" i="22"/>
  <c r="S205" i="22"/>
  <c r="R205" i="22"/>
  <c r="Q205" i="22"/>
  <c r="P205" i="22"/>
  <c r="O205" i="22"/>
  <c r="N205" i="22"/>
  <c r="M205" i="22"/>
  <c r="V204" i="22"/>
  <c r="U204" i="22"/>
  <c r="T204" i="22"/>
  <c r="S204" i="22"/>
  <c r="R204" i="22"/>
  <c r="Q204" i="22"/>
  <c r="P204" i="22"/>
  <c r="O204" i="22"/>
  <c r="N204" i="22"/>
  <c r="M204" i="22"/>
  <c r="V203" i="22"/>
  <c r="U203" i="22"/>
  <c r="T203" i="22"/>
  <c r="S203" i="22"/>
  <c r="R203" i="22"/>
  <c r="Q203" i="22"/>
  <c r="P203" i="22"/>
  <c r="O203" i="22"/>
  <c r="N203" i="22"/>
  <c r="M203" i="22"/>
  <c r="V202" i="22"/>
  <c r="U202" i="22"/>
  <c r="T202" i="22"/>
  <c r="S202" i="22"/>
  <c r="R202" i="22"/>
  <c r="Q202" i="22"/>
  <c r="P202" i="22"/>
  <c r="O202" i="22"/>
  <c r="N202" i="22"/>
  <c r="M202" i="22"/>
  <c r="V201" i="22"/>
  <c r="U201" i="22"/>
  <c r="T201" i="22"/>
  <c r="S201" i="22"/>
  <c r="R201" i="22"/>
  <c r="Q201" i="22"/>
  <c r="P201" i="22"/>
  <c r="O201" i="22"/>
  <c r="N201" i="22"/>
  <c r="M201" i="22"/>
  <c r="V200" i="22"/>
  <c r="U200" i="22"/>
  <c r="T200" i="22"/>
  <c r="S200" i="22"/>
  <c r="R200" i="22"/>
  <c r="Q200" i="22"/>
  <c r="P200" i="22"/>
  <c r="O200" i="22"/>
  <c r="N200" i="22"/>
  <c r="M200" i="22"/>
  <c r="V199" i="22"/>
  <c r="U199" i="22"/>
  <c r="T199" i="22"/>
  <c r="S199" i="22"/>
  <c r="R199" i="22"/>
  <c r="Q199" i="22"/>
  <c r="P199" i="22"/>
  <c r="O199" i="22"/>
  <c r="N199" i="22"/>
  <c r="M199" i="22"/>
  <c r="V198" i="22"/>
  <c r="U198" i="22"/>
  <c r="T198" i="22"/>
  <c r="S198" i="22"/>
  <c r="R198" i="22"/>
  <c r="Q198" i="22"/>
  <c r="P198" i="22"/>
  <c r="O198" i="22"/>
  <c r="N198" i="22"/>
  <c r="M198" i="22"/>
  <c r="V197" i="22"/>
  <c r="U197" i="22"/>
  <c r="T197" i="22"/>
  <c r="S197" i="22"/>
  <c r="R197" i="22"/>
  <c r="Q197" i="22"/>
  <c r="P197" i="22"/>
  <c r="O197" i="22"/>
  <c r="N197" i="22"/>
  <c r="M197" i="22"/>
  <c r="V196" i="22"/>
  <c r="U196" i="22"/>
  <c r="T196" i="22"/>
  <c r="S196" i="22"/>
  <c r="R196" i="22"/>
  <c r="Q196" i="22"/>
  <c r="P196" i="22"/>
  <c r="O196" i="22"/>
  <c r="N196" i="22"/>
  <c r="M196" i="22"/>
  <c r="V195" i="22"/>
  <c r="U195" i="22"/>
  <c r="T195" i="22"/>
  <c r="S195" i="22"/>
  <c r="R195" i="22"/>
  <c r="Q195" i="22"/>
  <c r="P195" i="22"/>
  <c r="O195" i="22"/>
  <c r="N195" i="22"/>
  <c r="M195" i="22"/>
  <c r="V194" i="22"/>
  <c r="U194" i="22"/>
  <c r="T194" i="22"/>
  <c r="S194" i="22"/>
  <c r="R194" i="22"/>
  <c r="Q194" i="22"/>
  <c r="P194" i="22"/>
  <c r="O194" i="22"/>
  <c r="N194" i="22"/>
  <c r="M194" i="22"/>
  <c r="V193" i="22"/>
  <c r="U193" i="22"/>
  <c r="T193" i="22"/>
  <c r="S193" i="22"/>
  <c r="R193" i="22"/>
  <c r="Q193" i="22"/>
  <c r="P193" i="22"/>
  <c r="O193" i="22"/>
  <c r="N193" i="22"/>
  <c r="M193" i="22"/>
  <c r="V192" i="22"/>
  <c r="U192" i="22"/>
  <c r="T192" i="22"/>
  <c r="S192" i="22"/>
  <c r="R192" i="22"/>
  <c r="Q192" i="22"/>
  <c r="P192" i="22"/>
  <c r="O192" i="22"/>
  <c r="N192" i="22"/>
  <c r="M192" i="22"/>
  <c r="V191" i="22"/>
  <c r="U191" i="22"/>
  <c r="T191" i="22"/>
  <c r="S191" i="22"/>
  <c r="R191" i="22"/>
  <c r="Q191" i="22"/>
  <c r="P191" i="22"/>
  <c r="O191" i="22"/>
  <c r="N191" i="22"/>
  <c r="M191" i="22"/>
  <c r="V190" i="22"/>
  <c r="U190" i="22"/>
  <c r="T190" i="22"/>
  <c r="S190" i="22"/>
  <c r="R190" i="22"/>
  <c r="Q190" i="22"/>
  <c r="P190" i="22"/>
  <c r="O190" i="22"/>
  <c r="N190" i="22"/>
  <c r="M190" i="22"/>
  <c r="V189" i="22"/>
  <c r="U189" i="22"/>
  <c r="T189" i="22"/>
  <c r="S189" i="22"/>
  <c r="R189" i="22"/>
  <c r="Q189" i="22"/>
  <c r="P189" i="22"/>
  <c r="O189" i="22"/>
  <c r="N189" i="22"/>
  <c r="M189" i="22"/>
  <c r="V188" i="22"/>
  <c r="U188" i="22"/>
  <c r="T188" i="22"/>
  <c r="S188" i="22"/>
  <c r="R188" i="22"/>
  <c r="Q188" i="22"/>
  <c r="P188" i="22"/>
  <c r="O188" i="22"/>
  <c r="N188" i="22"/>
  <c r="M188" i="22"/>
  <c r="V187" i="22"/>
  <c r="U187" i="22"/>
  <c r="T187" i="22"/>
  <c r="S187" i="22"/>
  <c r="R187" i="22"/>
  <c r="Q187" i="22"/>
  <c r="P187" i="22"/>
  <c r="O187" i="22"/>
  <c r="N187" i="22"/>
  <c r="M187" i="22"/>
  <c r="V186" i="22"/>
  <c r="U186" i="22"/>
  <c r="T186" i="22"/>
  <c r="S186" i="22"/>
  <c r="R186" i="22"/>
  <c r="Q186" i="22"/>
  <c r="P186" i="22"/>
  <c r="O186" i="22"/>
  <c r="N186" i="22"/>
  <c r="M186" i="22"/>
  <c r="V185" i="22"/>
  <c r="U185" i="22"/>
  <c r="T185" i="22"/>
  <c r="S185" i="22"/>
  <c r="R185" i="22"/>
  <c r="Q185" i="22"/>
  <c r="P185" i="22"/>
  <c r="O185" i="22"/>
  <c r="N185" i="22"/>
  <c r="M185" i="22"/>
  <c r="V184" i="22"/>
  <c r="U184" i="22"/>
  <c r="T184" i="22"/>
  <c r="S184" i="22"/>
  <c r="R184" i="22"/>
  <c r="Q184" i="22"/>
  <c r="P184" i="22"/>
  <c r="O184" i="22"/>
  <c r="N184" i="22"/>
  <c r="M184" i="22"/>
  <c r="V183" i="22"/>
  <c r="U183" i="22"/>
  <c r="T183" i="22"/>
  <c r="S183" i="22"/>
  <c r="R183" i="22"/>
  <c r="Q183" i="22"/>
  <c r="P183" i="22"/>
  <c r="O183" i="22"/>
  <c r="N183" i="22"/>
  <c r="M183" i="22"/>
  <c r="V182" i="22"/>
  <c r="U182" i="22"/>
  <c r="T182" i="22"/>
  <c r="S182" i="22"/>
  <c r="R182" i="22"/>
  <c r="Q182" i="22"/>
  <c r="P182" i="22"/>
  <c r="O182" i="22"/>
  <c r="N182" i="22"/>
  <c r="M182" i="22"/>
  <c r="V181" i="22"/>
  <c r="U181" i="22"/>
  <c r="T181" i="22"/>
  <c r="S181" i="22"/>
  <c r="R181" i="22"/>
  <c r="Q181" i="22"/>
  <c r="P181" i="22"/>
  <c r="O181" i="22"/>
  <c r="N181" i="22"/>
  <c r="M181" i="22"/>
  <c r="V180" i="22"/>
  <c r="U180" i="22"/>
  <c r="T180" i="22"/>
  <c r="S180" i="22"/>
  <c r="R180" i="22"/>
  <c r="Q180" i="22"/>
  <c r="P180" i="22"/>
  <c r="O180" i="22"/>
  <c r="N180" i="22"/>
  <c r="M180" i="22"/>
  <c r="V179" i="22"/>
  <c r="U179" i="22"/>
  <c r="T179" i="22"/>
  <c r="S179" i="22"/>
  <c r="R179" i="22"/>
  <c r="Q179" i="22"/>
  <c r="P179" i="22"/>
  <c r="O179" i="22"/>
  <c r="N179" i="22"/>
  <c r="M179" i="22"/>
  <c r="V178" i="22"/>
  <c r="U178" i="22"/>
  <c r="T178" i="22"/>
  <c r="S178" i="22"/>
  <c r="R178" i="22"/>
  <c r="Q178" i="22"/>
  <c r="P178" i="22"/>
  <c r="O178" i="22"/>
  <c r="N178" i="22"/>
  <c r="M178" i="22"/>
  <c r="V177" i="22"/>
  <c r="U177" i="22"/>
  <c r="T177" i="22"/>
  <c r="S177" i="22"/>
  <c r="R177" i="22"/>
  <c r="Q177" i="22"/>
  <c r="P177" i="22"/>
  <c r="O177" i="22"/>
  <c r="N177" i="22"/>
  <c r="M177" i="22"/>
  <c r="V176" i="22"/>
  <c r="U176" i="22"/>
  <c r="T176" i="22"/>
  <c r="S176" i="22"/>
  <c r="R176" i="22"/>
  <c r="Q176" i="22"/>
  <c r="P176" i="22"/>
  <c r="O176" i="22"/>
  <c r="N176" i="22"/>
  <c r="M176" i="22"/>
  <c r="V175" i="22"/>
  <c r="U175" i="22"/>
  <c r="T175" i="22"/>
  <c r="S175" i="22"/>
  <c r="R175" i="22"/>
  <c r="Q175" i="22"/>
  <c r="P175" i="22"/>
  <c r="O175" i="22"/>
  <c r="N175" i="22"/>
  <c r="M175" i="22"/>
  <c r="V174" i="22"/>
  <c r="U174" i="22"/>
  <c r="T174" i="22"/>
  <c r="S174" i="22"/>
  <c r="R174" i="22"/>
  <c r="Q174" i="22"/>
  <c r="P174" i="22"/>
  <c r="O174" i="22"/>
  <c r="N174" i="22"/>
  <c r="M174" i="22"/>
  <c r="V173" i="22"/>
  <c r="U173" i="22"/>
  <c r="T173" i="22"/>
  <c r="S173" i="22"/>
  <c r="R173" i="22"/>
  <c r="Q173" i="22"/>
  <c r="P173" i="22"/>
  <c r="O173" i="22"/>
  <c r="N173" i="22"/>
  <c r="M173" i="22"/>
  <c r="V172" i="22"/>
  <c r="U172" i="22"/>
  <c r="T172" i="22"/>
  <c r="S172" i="22"/>
  <c r="R172" i="22"/>
  <c r="Q172" i="22"/>
  <c r="P172" i="22"/>
  <c r="O172" i="22"/>
  <c r="N172" i="22"/>
  <c r="M172" i="22"/>
  <c r="V171" i="22"/>
  <c r="U171" i="22"/>
  <c r="T171" i="22"/>
  <c r="S171" i="22"/>
  <c r="R171" i="22"/>
  <c r="Q171" i="22"/>
  <c r="P171" i="22"/>
  <c r="O171" i="22"/>
  <c r="N171" i="22"/>
  <c r="M171" i="22"/>
  <c r="V170" i="22"/>
  <c r="U170" i="22"/>
  <c r="T170" i="22"/>
  <c r="S170" i="22"/>
  <c r="R170" i="22"/>
  <c r="Q170" i="22"/>
  <c r="P170" i="22"/>
  <c r="O170" i="22"/>
  <c r="N170" i="22"/>
  <c r="M170" i="22"/>
  <c r="V169" i="22"/>
  <c r="U169" i="22"/>
  <c r="T169" i="22"/>
  <c r="S169" i="22"/>
  <c r="R169" i="22"/>
  <c r="Q169" i="22"/>
  <c r="P169" i="22"/>
  <c r="O169" i="22"/>
  <c r="N169" i="22"/>
  <c r="M169" i="22"/>
  <c r="V168" i="22"/>
  <c r="U168" i="22"/>
  <c r="T168" i="22"/>
  <c r="S168" i="22"/>
  <c r="R168" i="22"/>
  <c r="Q168" i="22"/>
  <c r="P168" i="22"/>
  <c r="O168" i="22"/>
  <c r="N168" i="22"/>
  <c r="M168" i="22"/>
  <c r="V167" i="22"/>
  <c r="U167" i="22"/>
  <c r="T167" i="22"/>
  <c r="S167" i="22"/>
  <c r="R167" i="22"/>
  <c r="Q167" i="22"/>
  <c r="P167" i="22"/>
  <c r="O167" i="22"/>
  <c r="N167" i="22"/>
  <c r="M167" i="22"/>
  <c r="V166" i="22"/>
  <c r="U166" i="22"/>
  <c r="T166" i="22"/>
  <c r="S166" i="22"/>
  <c r="R166" i="22"/>
  <c r="Q166" i="22"/>
  <c r="P166" i="22"/>
  <c r="O166" i="22"/>
  <c r="N166" i="22"/>
  <c r="M166" i="22"/>
  <c r="V165" i="22"/>
  <c r="U165" i="22"/>
  <c r="T165" i="22"/>
  <c r="S165" i="22"/>
  <c r="R165" i="22"/>
  <c r="Q165" i="22"/>
  <c r="P165" i="22"/>
  <c r="O165" i="22"/>
  <c r="N165" i="22"/>
  <c r="M165" i="22"/>
  <c r="V164" i="22"/>
  <c r="U164" i="22"/>
  <c r="T164" i="22"/>
  <c r="S164" i="22"/>
  <c r="R164" i="22"/>
  <c r="Q164" i="22"/>
  <c r="P164" i="22"/>
  <c r="O164" i="22"/>
  <c r="N164" i="22"/>
  <c r="M164" i="22"/>
  <c r="V163" i="22"/>
  <c r="U163" i="22"/>
  <c r="T163" i="22"/>
  <c r="S163" i="22"/>
  <c r="R163" i="22"/>
  <c r="Q163" i="22"/>
  <c r="P163" i="22"/>
  <c r="O163" i="22"/>
  <c r="N163" i="22"/>
  <c r="M163" i="22"/>
  <c r="V162" i="22"/>
  <c r="U162" i="22"/>
  <c r="T162" i="22"/>
  <c r="S162" i="22"/>
  <c r="R162" i="22"/>
  <c r="Q162" i="22"/>
  <c r="P162" i="22"/>
  <c r="O162" i="22"/>
  <c r="N162" i="22"/>
  <c r="M162" i="22"/>
  <c r="V161" i="22"/>
  <c r="U161" i="22"/>
  <c r="T161" i="22"/>
  <c r="S161" i="22"/>
  <c r="R161" i="22"/>
  <c r="Q161" i="22"/>
  <c r="P161" i="22"/>
  <c r="O161" i="22"/>
  <c r="N161" i="22"/>
  <c r="M161" i="22"/>
  <c r="V160" i="22"/>
  <c r="U160" i="22"/>
  <c r="T160" i="22"/>
  <c r="S160" i="22"/>
  <c r="R160" i="22"/>
  <c r="Q160" i="22"/>
  <c r="P160" i="22"/>
  <c r="O160" i="22"/>
  <c r="N160" i="22"/>
  <c r="M160" i="22"/>
  <c r="V159" i="22"/>
  <c r="U159" i="22"/>
  <c r="T159" i="22"/>
  <c r="S159" i="22"/>
  <c r="R159" i="22"/>
  <c r="Q159" i="22"/>
  <c r="P159" i="22"/>
  <c r="O159" i="22"/>
  <c r="N159" i="22"/>
  <c r="M159" i="22"/>
  <c r="V158" i="22"/>
  <c r="U158" i="22"/>
  <c r="T158" i="22"/>
  <c r="S158" i="22"/>
  <c r="R158" i="22"/>
  <c r="Q158" i="22"/>
  <c r="P158" i="22"/>
  <c r="O158" i="22"/>
  <c r="N158" i="22"/>
  <c r="M158" i="22"/>
  <c r="V157" i="22"/>
  <c r="U157" i="22"/>
  <c r="T157" i="22"/>
  <c r="S157" i="22"/>
  <c r="R157" i="22"/>
  <c r="Q157" i="22"/>
  <c r="P157" i="22"/>
  <c r="O157" i="22"/>
  <c r="N157" i="22"/>
  <c r="M157" i="22"/>
  <c r="V156" i="22"/>
  <c r="U156" i="22"/>
  <c r="T156" i="22"/>
  <c r="S156" i="22"/>
  <c r="R156" i="22"/>
  <c r="Q156" i="22"/>
  <c r="P156" i="22"/>
  <c r="O156" i="22"/>
  <c r="N156" i="22"/>
  <c r="M156" i="22"/>
  <c r="V155" i="22"/>
  <c r="U155" i="22"/>
  <c r="T155" i="22"/>
  <c r="S155" i="22"/>
  <c r="R155" i="22"/>
  <c r="Q155" i="22"/>
  <c r="P155" i="22"/>
  <c r="O155" i="22"/>
  <c r="N155" i="22"/>
  <c r="M155" i="22"/>
  <c r="V154" i="22"/>
  <c r="U154" i="22"/>
  <c r="T154" i="22"/>
  <c r="S154" i="22"/>
  <c r="R154" i="22"/>
  <c r="Q154" i="22"/>
  <c r="P154" i="22"/>
  <c r="O154" i="22"/>
  <c r="N154" i="22"/>
  <c r="M154" i="22"/>
  <c r="V153" i="22"/>
  <c r="U153" i="22"/>
  <c r="T153" i="22"/>
  <c r="S153" i="22"/>
  <c r="R153" i="22"/>
  <c r="Q153" i="22"/>
  <c r="P153" i="22"/>
  <c r="O153" i="22"/>
  <c r="N153" i="22"/>
  <c r="M153" i="22"/>
  <c r="V152" i="22"/>
  <c r="U152" i="22"/>
  <c r="T152" i="22"/>
  <c r="S152" i="22"/>
  <c r="R152" i="22"/>
  <c r="Q152" i="22"/>
  <c r="P152" i="22"/>
  <c r="O152" i="22"/>
  <c r="N152" i="22"/>
  <c r="M152" i="22"/>
  <c r="V151" i="22"/>
  <c r="U151" i="22"/>
  <c r="T151" i="22"/>
  <c r="S151" i="22"/>
  <c r="R151" i="22"/>
  <c r="Q151" i="22"/>
  <c r="P151" i="22"/>
  <c r="O151" i="22"/>
  <c r="N151" i="22"/>
  <c r="M151" i="22"/>
  <c r="V150" i="22"/>
  <c r="U150" i="22"/>
  <c r="T150" i="22"/>
  <c r="S150" i="22"/>
  <c r="R150" i="22"/>
  <c r="Q150" i="22"/>
  <c r="P150" i="22"/>
  <c r="O150" i="22"/>
  <c r="N150" i="22"/>
  <c r="M150" i="22"/>
  <c r="V149" i="22"/>
  <c r="U149" i="22"/>
  <c r="T149" i="22"/>
  <c r="S149" i="22"/>
  <c r="R149" i="22"/>
  <c r="Q149" i="22"/>
  <c r="P149" i="22"/>
  <c r="O149" i="22"/>
  <c r="N149" i="22"/>
  <c r="M149" i="22"/>
  <c r="V148" i="22"/>
  <c r="U148" i="22"/>
  <c r="T148" i="22"/>
  <c r="S148" i="22"/>
  <c r="R148" i="22"/>
  <c r="Q148" i="22"/>
  <c r="P148" i="22"/>
  <c r="O148" i="22"/>
  <c r="N148" i="22"/>
  <c r="M148" i="22"/>
  <c r="V147" i="22"/>
  <c r="U147" i="22"/>
  <c r="T147" i="22"/>
  <c r="S147" i="22"/>
  <c r="R147" i="22"/>
  <c r="Q147" i="22"/>
  <c r="P147" i="22"/>
  <c r="O147" i="22"/>
  <c r="N147" i="22"/>
  <c r="M147" i="22"/>
  <c r="V146" i="22"/>
  <c r="U146" i="22"/>
  <c r="T146" i="22"/>
  <c r="S146" i="22"/>
  <c r="R146" i="22"/>
  <c r="Q146" i="22"/>
  <c r="P146" i="22"/>
  <c r="O146" i="22"/>
  <c r="N146" i="22"/>
  <c r="M146" i="22"/>
  <c r="V145" i="22"/>
  <c r="U145" i="22"/>
  <c r="T145" i="22"/>
  <c r="S145" i="22"/>
  <c r="R145" i="22"/>
  <c r="Q145" i="22"/>
  <c r="P145" i="22"/>
  <c r="O145" i="22"/>
  <c r="N145" i="22"/>
  <c r="M145" i="22"/>
  <c r="V144" i="22"/>
  <c r="U144" i="22"/>
  <c r="T144" i="22"/>
  <c r="S144" i="22"/>
  <c r="R144" i="22"/>
  <c r="Q144" i="22"/>
  <c r="P144" i="22"/>
  <c r="O144" i="22"/>
  <c r="N144" i="22"/>
  <c r="M144" i="22"/>
  <c r="V143" i="22"/>
  <c r="U143" i="22"/>
  <c r="T143" i="22"/>
  <c r="S143" i="22"/>
  <c r="R143" i="22"/>
  <c r="Q143" i="22"/>
  <c r="P143" i="22"/>
  <c r="O143" i="22"/>
  <c r="N143" i="22"/>
  <c r="M143" i="22"/>
  <c r="V142" i="22"/>
  <c r="U142" i="22"/>
  <c r="T142" i="22"/>
  <c r="S142" i="22"/>
  <c r="R142" i="22"/>
  <c r="Q142" i="22"/>
  <c r="P142" i="22"/>
  <c r="O142" i="22"/>
  <c r="N142" i="22"/>
  <c r="M142" i="22"/>
  <c r="V141" i="22"/>
  <c r="U141" i="22"/>
  <c r="T141" i="22"/>
  <c r="S141" i="22"/>
  <c r="R141" i="22"/>
  <c r="Q141" i="22"/>
  <c r="P141" i="22"/>
  <c r="O141" i="22"/>
  <c r="N141" i="22"/>
  <c r="M141" i="22"/>
  <c r="V140" i="22"/>
  <c r="U140" i="22"/>
  <c r="T140" i="22"/>
  <c r="S140" i="22"/>
  <c r="R140" i="22"/>
  <c r="Q140" i="22"/>
  <c r="P140" i="22"/>
  <c r="O140" i="22"/>
  <c r="N140" i="22"/>
  <c r="M140" i="22"/>
  <c r="V139" i="22"/>
  <c r="U139" i="22"/>
  <c r="T139" i="22"/>
  <c r="S139" i="22"/>
  <c r="R139" i="22"/>
  <c r="Q139" i="22"/>
  <c r="P139" i="22"/>
  <c r="O139" i="22"/>
  <c r="N139" i="22"/>
  <c r="M139" i="22"/>
  <c r="V138" i="22"/>
  <c r="U138" i="22"/>
  <c r="T138" i="22"/>
  <c r="S138" i="22"/>
  <c r="R138" i="22"/>
  <c r="Q138" i="22"/>
  <c r="P138" i="22"/>
  <c r="O138" i="22"/>
  <c r="N138" i="22"/>
  <c r="M138" i="22"/>
  <c r="V137" i="22"/>
  <c r="U137" i="22"/>
  <c r="T137" i="22"/>
  <c r="S137" i="22"/>
  <c r="R137" i="22"/>
  <c r="Q137" i="22"/>
  <c r="P137" i="22"/>
  <c r="O137" i="22"/>
  <c r="N137" i="22"/>
  <c r="M137" i="22"/>
  <c r="V136" i="22"/>
  <c r="U136" i="22"/>
  <c r="T136" i="22"/>
  <c r="S136" i="22"/>
  <c r="R136" i="22"/>
  <c r="Q136" i="22"/>
  <c r="P136" i="22"/>
  <c r="O136" i="22"/>
  <c r="N136" i="22"/>
  <c r="M136" i="22"/>
  <c r="V135" i="22"/>
  <c r="U135" i="22"/>
  <c r="T135" i="22"/>
  <c r="S135" i="22"/>
  <c r="R135" i="22"/>
  <c r="Q135" i="22"/>
  <c r="P135" i="22"/>
  <c r="O135" i="22"/>
  <c r="N135" i="22"/>
  <c r="M135" i="22"/>
  <c r="V134" i="22"/>
  <c r="U134" i="22"/>
  <c r="T134" i="22"/>
  <c r="S134" i="22"/>
  <c r="R134" i="22"/>
  <c r="Q134" i="22"/>
  <c r="P134" i="22"/>
  <c r="O134" i="22"/>
  <c r="N134" i="22"/>
  <c r="M134" i="22"/>
  <c r="V133" i="22"/>
  <c r="U133" i="22"/>
  <c r="T133" i="22"/>
  <c r="S133" i="22"/>
  <c r="R133" i="22"/>
  <c r="Q133" i="22"/>
  <c r="P133" i="22"/>
  <c r="O133" i="22"/>
  <c r="N133" i="22"/>
  <c r="M133" i="22"/>
  <c r="V132" i="22"/>
  <c r="U132" i="22"/>
  <c r="T132" i="22"/>
  <c r="S132" i="22"/>
  <c r="R132" i="22"/>
  <c r="Q132" i="22"/>
  <c r="P132" i="22"/>
  <c r="O132" i="22"/>
  <c r="N132" i="22"/>
  <c r="M132" i="22"/>
  <c r="V131" i="22"/>
  <c r="U131" i="22"/>
  <c r="T131" i="22"/>
  <c r="S131" i="22"/>
  <c r="R131" i="22"/>
  <c r="Q131" i="22"/>
  <c r="P131" i="22"/>
  <c r="O131" i="22"/>
  <c r="N131" i="22"/>
  <c r="M131" i="22"/>
  <c r="V130" i="22"/>
  <c r="U130" i="22"/>
  <c r="T130" i="22"/>
  <c r="S130" i="22"/>
  <c r="R130" i="22"/>
  <c r="Q130" i="22"/>
  <c r="P130" i="22"/>
  <c r="O130" i="22"/>
  <c r="N130" i="22"/>
  <c r="M130" i="22"/>
  <c r="V129" i="22"/>
  <c r="U129" i="22"/>
  <c r="T129" i="22"/>
  <c r="S129" i="22"/>
  <c r="R129" i="22"/>
  <c r="Q129" i="22"/>
  <c r="P129" i="22"/>
  <c r="O129" i="22"/>
  <c r="N129" i="22"/>
  <c r="M129" i="22"/>
  <c r="V128" i="22"/>
  <c r="U128" i="22"/>
  <c r="T128" i="22"/>
  <c r="S128" i="22"/>
  <c r="R128" i="22"/>
  <c r="Q128" i="22"/>
  <c r="P128" i="22"/>
  <c r="O128" i="22"/>
  <c r="N128" i="22"/>
  <c r="M128" i="22"/>
  <c r="V127" i="22"/>
  <c r="U127" i="22"/>
  <c r="T127" i="22"/>
  <c r="S127" i="22"/>
  <c r="R127" i="22"/>
  <c r="Q127" i="22"/>
  <c r="P127" i="22"/>
  <c r="O127" i="22"/>
  <c r="N127" i="22"/>
  <c r="M127" i="22"/>
  <c r="V126" i="22"/>
  <c r="U126" i="22"/>
  <c r="T126" i="22"/>
  <c r="S126" i="22"/>
  <c r="R126" i="22"/>
  <c r="Q126" i="22"/>
  <c r="P126" i="22"/>
  <c r="O126" i="22"/>
  <c r="N126" i="22"/>
  <c r="M126" i="22"/>
  <c r="V125" i="22"/>
  <c r="U125" i="22"/>
  <c r="T125" i="22"/>
  <c r="S125" i="22"/>
  <c r="R125" i="22"/>
  <c r="Q125" i="22"/>
  <c r="P125" i="22"/>
  <c r="O125" i="22"/>
  <c r="N125" i="22"/>
  <c r="M125" i="22"/>
  <c r="V124" i="22"/>
  <c r="U124" i="22"/>
  <c r="T124" i="22"/>
  <c r="S124" i="22"/>
  <c r="R124" i="22"/>
  <c r="Q124" i="22"/>
  <c r="P124" i="22"/>
  <c r="O124" i="22"/>
  <c r="N124" i="22"/>
  <c r="M124" i="22"/>
  <c r="V123" i="22"/>
  <c r="U123" i="22"/>
  <c r="T123" i="22"/>
  <c r="S123" i="22"/>
  <c r="R123" i="22"/>
  <c r="Q123" i="22"/>
  <c r="P123" i="22"/>
  <c r="O123" i="22"/>
  <c r="N123" i="22"/>
  <c r="M123" i="22"/>
  <c r="V122" i="22"/>
  <c r="U122" i="22"/>
  <c r="T122" i="22"/>
  <c r="S122" i="22"/>
  <c r="R122" i="22"/>
  <c r="Q122" i="22"/>
  <c r="P122" i="22"/>
  <c r="O122" i="22"/>
  <c r="N122" i="22"/>
  <c r="M122" i="22"/>
  <c r="V121" i="22"/>
  <c r="U121" i="22"/>
  <c r="T121" i="22"/>
  <c r="S121" i="22"/>
  <c r="R121" i="22"/>
  <c r="Q121" i="22"/>
  <c r="P121" i="22"/>
  <c r="O121" i="22"/>
  <c r="N121" i="22"/>
  <c r="M121" i="22"/>
  <c r="V120" i="22"/>
  <c r="U120" i="22"/>
  <c r="T120" i="22"/>
  <c r="S120" i="22"/>
  <c r="R120" i="22"/>
  <c r="Q120" i="22"/>
  <c r="P120" i="22"/>
  <c r="O120" i="22"/>
  <c r="N120" i="22"/>
  <c r="M120" i="22"/>
  <c r="V119" i="22"/>
  <c r="U119" i="22"/>
  <c r="T119" i="22"/>
  <c r="S119" i="22"/>
  <c r="R119" i="22"/>
  <c r="Q119" i="22"/>
  <c r="P119" i="22"/>
  <c r="O119" i="22"/>
  <c r="N119" i="22"/>
  <c r="M119" i="22"/>
  <c r="V118" i="22"/>
  <c r="U118" i="22"/>
  <c r="T118" i="22"/>
  <c r="S118" i="22"/>
  <c r="R118" i="22"/>
  <c r="Q118" i="22"/>
  <c r="P118" i="22"/>
  <c r="O118" i="22"/>
  <c r="N118" i="22"/>
  <c r="M118" i="22"/>
  <c r="V117" i="22"/>
  <c r="U117" i="22"/>
  <c r="T117" i="22"/>
  <c r="S117" i="22"/>
  <c r="R117" i="22"/>
  <c r="Q117" i="22"/>
  <c r="P117" i="22"/>
  <c r="O117" i="22"/>
  <c r="N117" i="22"/>
  <c r="M117" i="22"/>
  <c r="V116" i="22"/>
  <c r="U116" i="22"/>
  <c r="T116" i="22"/>
  <c r="S116" i="22"/>
  <c r="R116" i="22"/>
  <c r="Q116" i="22"/>
  <c r="P116" i="22"/>
  <c r="O116" i="22"/>
  <c r="N116" i="22"/>
  <c r="M116" i="22"/>
  <c r="V115" i="22"/>
  <c r="U115" i="22"/>
  <c r="T115" i="22"/>
  <c r="S115" i="22"/>
  <c r="R115" i="22"/>
  <c r="Q115" i="22"/>
  <c r="P115" i="22"/>
  <c r="O115" i="22"/>
  <c r="N115" i="22"/>
  <c r="M115" i="22"/>
  <c r="V114" i="22"/>
  <c r="U114" i="22"/>
  <c r="T114" i="22"/>
  <c r="S114" i="22"/>
  <c r="R114" i="22"/>
  <c r="Q114" i="22"/>
  <c r="P114" i="22"/>
  <c r="O114" i="22"/>
  <c r="N114" i="22"/>
  <c r="M114" i="22"/>
  <c r="V113" i="22"/>
  <c r="U113" i="22"/>
  <c r="T113" i="22"/>
  <c r="S113" i="22"/>
  <c r="R113" i="22"/>
  <c r="Q113" i="22"/>
  <c r="P113" i="22"/>
  <c r="O113" i="22"/>
  <c r="N113" i="22"/>
  <c r="M113" i="22"/>
  <c r="V112" i="22"/>
  <c r="U112" i="22"/>
  <c r="T112" i="22"/>
  <c r="S112" i="22"/>
  <c r="R112" i="22"/>
  <c r="Q112" i="22"/>
  <c r="P112" i="22"/>
  <c r="O112" i="22"/>
  <c r="N112" i="22"/>
  <c r="M112" i="22"/>
  <c r="V111" i="22"/>
  <c r="U111" i="22"/>
  <c r="T111" i="22"/>
  <c r="S111" i="22"/>
  <c r="R111" i="22"/>
  <c r="Q111" i="22"/>
  <c r="P111" i="22"/>
  <c r="O111" i="22"/>
  <c r="N111" i="22"/>
  <c r="M111" i="22"/>
  <c r="V110" i="22"/>
  <c r="U110" i="22"/>
  <c r="T110" i="22"/>
  <c r="S110" i="22"/>
  <c r="R110" i="22"/>
  <c r="Q110" i="22"/>
  <c r="P110" i="22"/>
  <c r="O110" i="22"/>
  <c r="N110" i="22"/>
  <c r="M110" i="22"/>
  <c r="V109" i="22"/>
  <c r="U109" i="22"/>
  <c r="T109" i="22"/>
  <c r="S109" i="22"/>
  <c r="R109" i="22"/>
  <c r="Q109" i="22"/>
  <c r="P109" i="22"/>
  <c r="O109" i="22"/>
  <c r="N109" i="22"/>
  <c r="M109" i="22"/>
  <c r="V108" i="22"/>
  <c r="U108" i="22"/>
  <c r="T108" i="22"/>
  <c r="S108" i="22"/>
  <c r="R108" i="22"/>
  <c r="Q108" i="22"/>
  <c r="P108" i="22"/>
  <c r="O108" i="22"/>
  <c r="N108" i="22"/>
  <c r="M108" i="22"/>
  <c r="V107" i="22"/>
  <c r="U107" i="22"/>
  <c r="T107" i="22"/>
  <c r="S107" i="22"/>
  <c r="R107" i="22"/>
  <c r="Q107" i="22"/>
  <c r="P107" i="22"/>
  <c r="O107" i="22"/>
  <c r="N107" i="22"/>
  <c r="M107" i="22"/>
  <c r="V106" i="22"/>
  <c r="U106" i="22"/>
  <c r="T106" i="22"/>
  <c r="S106" i="22"/>
  <c r="R106" i="22"/>
  <c r="Q106" i="22"/>
  <c r="P106" i="22"/>
  <c r="O106" i="22"/>
  <c r="N106" i="22"/>
  <c r="M106" i="22"/>
  <c r="V105" i="22"/>
  <c r="U105" i="22"/>
  <c r="T105" i="22"/>
  <c r="S105" i="22"/>
  <c r="R105" i="22"/>
  <c r="Q105" i="22"/>
  <c r="P105" i="22"/>
  <c r="O105" i="22"/>
  <c r="N105" i="22"/>
  <c r="M105" i="22"/>
  <c r="V104" i="22"/>
  <c r="U104" i="22"/>
  <c r="T104" i="22"/>
  <c r="S104" i="22"/>
  <c r="R104" i="22"/>
  <c r="Q104" i="22"/>
  <c r="P104" i="22"/>
  <c r="O104" i="22"/>
  <c r="N104" i="22"/>
  <c r="M104" i="22"/>
  <c r="V103" i="22"/>
  <c r="U103" i="22"/>
  <c r="T103" i="22"/>
  <c r="S103" i="22"/>
  <c r="R103" i="22"/>
  <c r="Q103" i="22"/>
  <c r="P103" i="22"/>
  <c r="O103" i="22"/>
  <c r="N103" i="22"/>
  <c r="M103" i="22"/>
  <c r="V102" i="22"/>
  <c r="U102" i="22"/>
  <c r="T102" i="22"/>
  <c r="S102" i="22"/>
  <c r="R102" i="22"/>
  <c r="Q102" i="22"/>
  <c r="P102" i="22"/>
  <c r="O102" i="22"/>
  <c r="N102" i="22"/>
  <c r="M102" i="22"/>
  <c r="V101" i="22"/>
  <c r="U101" i="22"/>
  <c r="T101" i="22"/>
  <c r="S101" i="22"/>
  <c r="R101" i="22"/>
  <c r="Q101" i="22"/>
  <c r="P101" i="22"/>
  <c r="O101" i="22"/>
  <c r="N101" i="22"/>
  <c r="M101" i="22"/>
  <c r="V100" i="22"/>
  <c r="U100" i="22"/>
  <c r="T100" i="22"/>
  <c r="S100" i="22"/>
  <c r="R100" i="22"/>
  <c r="Q100" i="22"/>
  <c r="P100" i="22"/>
  <c r="O100" i="22"/>
  <c r="N100" i="22"/>
  <c r="M100" i="22"/>
  <c r="V99" i="22"/>
  <c r="U99" i="22"/>
  <c r="T99" i="22"/>
  <c r="S99" i="22"/>
  <c r="R99" i="22"/>
  <c r="Q99" i="22"/>
  <c r="P99" i="22"/>
  <c r="O99" i="22"/>
  <c r="N99" i="22"/>
  <c r="M99" i="22"/>
  <c r="V98" i="22"/>
  <c r="U98" i="22"/>
  <c r="T98" i="22"/>
  <c r="S98" i="22"/>
  <c r="R98" i="22"/>
  <c r="Q98" i="22"/>
  <c r="P98" i="22"/>
  <c r="O98" i="22"/>
  <c r="N98" i="22"/>
  <c r="M98" i="22"/>
  <c r="V97" i="22"/>
  <c r="U97" i="22"/>
  <c r="T97" i="22"/>
  <c r="S97" i="22"/>
  <c r="R97" i="22"/>
  <c r="Q97" i="22"/>
  <c r="P97" i="22"/>
  <c r="O97" i="22"/>
  <c r="N97" i="22"/>
  <c r="M97" i="22"/>
  <c r="V96" i="22"/>
  <c r="U96" i="22"/>
  <c r="T96" i="22"/>
  <c r="S96" i="22"/>
  <c r="R96" i="22"/>
  <c r="Q96" i="22"/>
  <c r="P96" i="22"/>
  <c r="O96" i="22"/>
  <c r="N96" i="22"/>
  <c r="M96" i="22"/>
  <c r="V95" i="22"/>
  <c r="U95" i="22"/>
  <c r="T95" i="22"/>
  <c r="S95" i="22"/>
  <c r="R95" i="22"/>
  <c r="Q95" i="22"/>
  <c r="P95" i="22"/>
  <c r="O95" i="22"/>
  <c r="N95" i="22"/>
  <c r="M95" i="22"/>
  <c r="V94" i="22"/>
  <c r="U94" i="22"/>
  <c r="T94" i="22"/>
  <c r="S94" i="22"/>
  <c r="R94" i="22"/>
  <c r="Q94" i="22"/>
  <c r="P94" i="22"/>
  <c r="O94" i="22"/>
  <c r="N94" i="22"/>
  <c r="M94" i="22"/>
  <c r="V93" i="22"/>
  <c r="U93" i="22"/>
  <c r="T93" i="22"/>
  <c r="S93" i="22"/>
  <c r="R93" i="22"/>
  <c r="Q93" i="22"/>
  <c r="P93" i="22"/>
  <c r="O93" i="22"/>
  <c r="N93" i="22"/>
  <c r="M93" i="22"/>
  <c r="V92" i="22"/>
  <c r="U92" i="22"/>
  <c r="T92" i="22"/>
  <c r="S92" i="22"/>
  <c r="R92" i="22"/>
  <c r="Q92" i="22"/>
  <c r="P92" i="22"/>
  <c r="O92" i="22"/>
  <c r="N92" i="22"/>
  <c r="M92" i="22"/>
  <c r="V91" i="22"/>
  <c r="U91" i="22"/>
  <c r="T91" i="22"/>
  <c r="S91" i="22"/>
  <c r="R91" i="22"/>
  <c r="Q91" i="22"/>
  <c r="P91" i="22"/>
  <c r="O91" i="22"/>
  <c r="N91" i="22"/>
  <c r="M91" i="22"/>
  <c r="V90" i="22"/>
  <c r="U90" i="22"/>
  <c r="T90" i="22"/>
  <c r="S90" i="22"/>
  <c r="R90" i="22"/>
  <c r="Q90" i="22"/>
  <c r="P90" i="22"/>
  <c r="O90" i="22"/>
  <c r="N90" i="22"/>
  <c r="M90" i="22"/>
  <c r="V89" i="22"/>
  <c r="U89" i="22"/>
  <c r="T89" i="22"/>
  <c r="S89" i="22"/>
  <c r="R89" i="22"/>
  <c r="Q89" i="22"/>
  <c r="P89" i="22"/>
  <c r="O89" i="22"/>
  <c r="N89" i="22"/>
  <c r="M89" i="22"/>
  <c r="V88" i="22"/>
  <c r="U88" i="22"/>
  <c r="T88" i="22"/>
  <c r="S88" i="22"/>
  <c r="R88" i="22"/>
  <c r="Q88" i="22"/>
  <c r="P88" i="22"/>
  <c r="O88" i="22"/>
  <c r="N88" i="22"/>
  <c r="M88" i="22"/>
  <c r="V87" i="22"/>
  <c r="U87" i="22"/>
  <c r="T87" i="22"/>
  <c r="S87" i="22"/>
  <c r="R87" i="22"/>
  <c r="Q87" i="22"/>
  <c r="P87" i="22"/>
  <c r="O87" i="22"/>
  <c r="N87" i="22"/>
  <c r="M87" i="22"/>
  <c r="V86" i="22"/>
  <c r="U86" i="22"/>
  <c r="T86" i="22"/>
  <c r="S86" i="22"/>
  <c r="R86" i="22"/>
  <c r="Q86" i="22"/>
  <c r="P86" i="22"/>
  <c r="O86" i="22"/>
  <c r="N86" i="22"/>
  <c r="M86" i="22"/>
  <c r="V85" i="22"/>
  <c r="U85" i="22"/>
  <c r="T85" i="22"/>
  <c r="S85" i="22"/>
  <c r="R85" i="22"/>
  <c r="Q85" i="22"/>
  <c r="P85" i="22"/>
  <c r="O85" i="22"/>
  <c r="N85" i="22"/>
  <c r="M85" i="22"/>
  <c r="V84" i="22"/>
  <c r="U84" i="22"/>
  <c r="T84" i="22"/>
  <c r="S84" i="22"/>
  <c r="R84" i="22"/>
  <c r="Q84" i="22"/>
  <c r="P84" i="22"/>
  <c r="O84" i="22"/>
  <c r="N84" i="22"/>
  <c r="M84" i="22"/>
  <c r="V83" i="22"/>
  <c r="U83" i="22"/>
  <c r="T83" i="22"/>
  <c r="S83" i="22"/>
  <c r="R83" i="22"/>
  <c r="Q83" i="22"/>
  <c r="P83" i="22"/>
  <c r="O83" i="22"/>
  <c r="N83" i="22"/>
  <c r="M83" i="22"/>
  <c r="V82" i="22"/>
  <c r="U82" i="22"/>
  <c r="T82" i="22"/>
  <c r="S82" i="22"/>
  <c r="R82" i="22"/>
  <c r="Q82" i="22"/>
  <c r="P82" i="22"/>
  <c r="O82" i="22"/>
  <c r="N82" i="22"/>
  <c r="M82" i="22"/>
  <c r="V81" i="22"/>
  <c r="U81" i="22"/>
  <c r="T81" i="22"/>
  <c r="S81" i="22"/>
  <c r="R81" i="22"/>
  <c r="Q81" i="22"/>
  <c r="P81" i="22"/>
  <c r="O81" i="22"/>
  <c r="N81" i="22"/>
  <c r="M81" i="22"/>
  <c r="V80" i="22"/>
  <c r="U80" i="22"/>
  <c r="T80" i="22"/>
  <c r="S80" i="22"/>
  <c r="R80" i="22"/>
  <c r="Q80" i="22"/>
  <c r="P80" i="22"/>
  <c r="O80" i="22"/>
  <c r="N80" i="22"/>
  <c r="M80" i="22"/>
  <c r="V79" i="22"/>
  <c r="U79" i="22"/>
  <c r="T79" i="22"/>
  <c r="S79" i="22"/>
  <c r="R79" i="22"/>
  <c r="Q79" i="22"/>
  <c r="P79" i="22"/>
  <c r="O79" i="22"/>
  <c r="N79" i="22"/>
  <c r="M79" i="22"/>
  <c r="V78" i="22"/>
  <c r="U78" i="22"/>
  <c r="T78" i="22"/>
  <c r="S78" i="22"/>
  <c r="R78" i="22"/>
  <c r="Q78" i="22"/>
  <c r="P78" i="22"/>
  <c r="O78" i="22"/>
  <c r="N78" i="22"/>
  <c r="M78" i="22"/>
  <c r="V77" i="22"/>
  <c r="U77" i="22"/>
  <c r="T77" i="22"/>
  <c r="S77" i="22"/>
  <c r="R77" i="22"/>
  <c r="Q77" i="22"/>
  <c r="P77" i="22"/>
  <c r="O77" i="22"/>
  <c r="N77" i="22"/>
  <c r="M77" i="22"/>
  <c r="V76" i="22"/>
  <c r="U76" i="22"/>
  <c r="T76" i="22"/>
  <c r="S76" i="22"/>
  <c r="R76" i="22"/>
  <c r="Q76" i="22"/>
  <c r="P76" i="22"/>
  <c r="O76" i="22"/>
  <c r="N76" i="22"/>
  <c r="M76" i="22"/>
  <c r="V75" i="22"/>
  <c r="U75" i="22"/>
  <c r="T75" i="22"/>
  <c r="S75" i="22"/>
  <c r="R75" i="22"/>
  <c r="Q75" i="22"/>
  <c r="P75" i="22"/>
  <c r="O75" i="22"/>
  <c r="N75" i="22"/>
  <c r="M75" i="22"/>
  <c r="V74" i="22"/>
  <c r="U74" i="22"/>
  <c r="T74" i="22"/>
  <c r="S74" i="22"/>
  <c r="R74" i="22"/>
  <c r="Q74" i="22"/>
  <c r="P74" i="22"/>
  <c r="O74" i="22"/>
  <c r="N74" i="22"/>
  <c r="M74" i="22"/>
  <c r="V73" i="22"/>
  <c r="U73" i="22"/>
  <c r="T73" i="22"/>
  <c r="S73" i="22"/>
  <c r="R73" i="22"/>
  <c r="Q73" i="22"/>
  <c r="P73" i="22"/>
  <c r="O73" i="22"/>
  <c r="N73" i="22"/>
  <c r="M73" i="22"/>
  <c r="V72" i="22"/>
  <c r="U72" i="22"/>
  <c r="T72" i="22"/>
  <c r="S72" i="22"/>
  <c r="R72" i="22"/>
  <c r="Q72" i="22"/>
  <c r="P72" i="22"/>
  <c r="O72" i="22"/>
  <c r="N72" i="22"/>
  <c r="M72" i="22"/>
  <c r="V71" i="22"/>
  <c r="U71" i="22"/>
  <c r="T71" i="22"/>
  <c r="S71" i="22"/>
  <c r="R71" i="22"/>
  <c r="Q71" i="22"/>
  <c r="P71" i="22"/>
  <c r="O71" i="22"/>
  <c r="N71" i="22"/>
  <c r="M71" i="22"/>
  <c r="V70" i="22"/>
  <c r="U70" i="22"/>
  <c r="T70" i="22"/>
  <c r="S70" i="22"/>
  <c r="R70" i="22"/>
  <c r="Q70" i="22"/>
  <c r="P70" i="22"/>
  <c r="O70" i="22"/>
  <c r="N70" i="22"/>
  <c r="M70" i="22"/>
  <c r="V69" i="22"/>
  <c r="U69" i="22"/>
  <c r="T69" i="22"/>
  <c r="S69" i="22"/>
  <c r="R69" i="22"/>
  <c r="Q69" i="22"/>
  <c r="P69" i="22"/>
  <c r="O69" i="22"/>
  <c r="N69" i="22"/>
  <c r="M69" i="22"/>
  <c r="V68" i="22"/>
  <c r="U68" i="22"/>
  <c r="T68" i="22"/>
  <c r="S68" i="22"/>
  <c r="R68" i="22"/>
  <c r="Q68" i="22"/>
  <c r="P68" i="22"/>
  <c r="O68" i="22"/>
  <c r="N68" i="22"/>
  <c r="M68" i="22"/>
  <c r="V67" i="22"/>
  <c r="U67" i="22"/>
  <c r="T67" i="22"/>
  <c r="S67" i="22"/>
  <c r="R67" i="22"/>
  <c r="Q67" i="22"/>
  <c r="P67" i="22"/>
  <c r="O67" i="22"/>
  <c r="N67" i="22"/>
  <c r="M67" i="22"/>
  <c r="V66" i="22"/>
  <c r="U66" i="22"/>
  <c r="T66" i="22"/>
  <c r="S66" i="22"/>
  <c r="R66" i="22"/>
  <c r="Q66" i="22"/>
  <c r="P66" i="22"/>
  <c r="O66" i="22"/>
  <c r="N66" i="22"/>
  <c r="M66" i="22"/>
  <c r="V65" i="22"/>
  <c r="U65" i="22"/>
  <c r="T65" i="22"/>
  <c r="S65" i="22"/>
  <c r="R65" i="22"/>
  <c r="Q65" i="22"/>
  <c r="P65" i="22"/>
  <c r="O65" i="22"/>
  <c r="N65" i="22"/>
  <c r="M65" i="22"/>
  <c r="V64" i="22"/>
  <c r="U64" i="22"/>
  <c r="T64" i="22"/>
  <c r="S64" i="22"/>
  <c r="R64" i="22"/>
  <c r="Q64" i="22"/>
  <c r="P64" i="22"/>
  <c r="O64" i="22"/>
  <c r="N64" i="22"/>
  <c r="M64" i="22"/>
  <c r="V63" i="22"/>
  <c r="U63" i="22"/>
  <c r="T63" i="22"/>
  <c r="S63" i="22"/>
  <c r="R63" i="22"/>
  <c r="Q63" i="22"/>
  <c r="P63" i="22"/>
  <c r="O63" i="22"/>
  <c r="N63" i="22"/>
  <c r="M63" i="22"/>
  <c r="V62" i="22"/>
  <c r="U62" i="22"/>
  <c r="T62" i="22"/>
  <c r="S62" i="22"/>
  <c r="R62" i="22"/>
  <c r="Q62" i="22"/>
  <c r="P62" i="22"/>
  <c r="O62" i="22"/>
  <c r="N62" i="22"/>
  <c r="M62" i="22"/>
  <c r="V61" i="22"/>
  <c r="U61" i="22"/>
  <c r="T61" i="22"/>
  <c r="S61" i="22"/>
  <c r="R61" i="22"/>
  <c r="Q61" i="22"/>
  <c r="P61" i="22"/>
  <c r="O61" i="22"/>
  <c r="N61" i="22"/>
  <c r="M61" i="22"/>
  <c r="V60" i="22"/>
  <c r="U60" i="22"/>
  <c r="T60" i="22"/>
  <c r="S60" i="22"/>
  <c r="R60" i="22"/>
  <c r="Q60" i="22"/>
  <c r="P60" i="22"/>
  <c r="O60" i="22"/>
  <c r="N60" i="22"/>
  <c r="M60" i="22"/>
  <c r="V59" i="22"/>
  <c r="U59" i="22"/>
  <c r="T59" i="22"/>
  <c r="S59" i="22"/>
  <c r="R59" i="22"/>
  <c r="Q59" i="22"/>
  <c r="P59" i="22"/>
  <c r="O59" i="22"/>
  <c r="N59" i="22"/>
  <c r="M59" i="22"/>
  <c r="V58" i="22"/>
  <c r="U58" i="22"/>
  <c r="T58" i="22"/>
  <c r="S58" i="22"/>
  <c r="R58" i="22"/>
  <c r="Q58" i="22"/>
  <c r="P58" i="22"/>
  <c r="O58" i="22"/>
  <c r="N58" i="22"/>
  <c r="M58" i="22"/>
  <c r="V57" i="22"/>
  <c r="U57" i="22"/>
  <c r="T57" i="22"/>
  <c r="S57" i="22"/>
  <c r="R57" i="22"/>
  <c r="Q57" i="22"/>
  <c r="P57" i="22"/>
  <c r="O57" i="22"/>
  <c r="N57" i="22"/>
  <c r="M57" i="22"/>
  <c r="V56" i="22"/>
  <c r="U56" i="22"/>
  <c r="T56" i="22"/>
  <c r="S56" i="22"/>
  <c r="R56" i="22"/>
  <c r="Q56" i="22"/>
  <c r="P56" i="22"/>
  <c r="O56" i="22"/>
  <c r="N56" i="22"/>
  <c r="M56" i="22"/>
  <c r="V55" i="22"/>
  <c r="U55" i="22"/>
  <c r="T55" i="22"/>
  <c r="S55" i="22"/>
  <c r="R55" i="22"/>
  <c r="Q55" i="22"/>
  <c r="P55" i="22"/>
  <c r="O55" i="22"/>
  <c r="N55" i="22"/>
  <c r="M55" i="22"/>
  <c r="V54" i="22"/>
  <c r="U54" i="22"/>
  <c r="T54" i="22"/>
  <c r="S54" i="22"/>
  <c r="R54" i="22"/>
  <c r="Q54" i="22"/>
  <c r="P54" i="22"/>
  <c r="O54" i="22"/>
  <c r="N54" i="22"/>
  <c r="M54" i="22"/>
  <c r="V53" i="22"/>
  <c r="U53" i="22"/>
  <c r="T53" i="22"/>
  <c r="S53" i="22"/>
  <c r="R53" i="22"/>
  <c r="Q53" i="22"/>
  <c r="P53" i="22"/>
  <c r="O53" i="22"/>
  <c r="N53" i="22"/>
  <c r="M53" i="22"/>
  <c r="V52" i="22"/>
  <c r="U52" i="22"/>
  <c r="T52" i="22"/>
  <c r="S52" i="22"/>
  <c r="R52" i="22"/>
  <c r="Q52" i="22"/>
  <c r="P52" i="22"/>
  <c r="O52" i="22"/>
  <c r="N52" i="22"/>
  <c r="M52" i="22"/>
  <c r="V51" i="22"/>
  <c r="U51" i="22"/>
  <c r="T51" i="22"/>
  <c r="S51" i="22"/>
  <c r="R51" i="22"/>
  <c r="Q51" i="22"/>
  <c r="P51" i="22"/>
  <c r="O51" i="22"/>
  <c r="N51" i="22"/>
  <c r="M51" i="22"/>
  <c r="V50" i="22"/>
  <c r="U50" i="22"/>
  <c r="T50" i="22"/>
  <c r="S50" i="22"/>
  <c r="R50" i="22"/>
  <c r="Q50" i="22"/>
  <c r="P50" i="22"/>
  <c r="O50" i="22"/>
  <c r="N50" i="22"/>
  <c r="M50" i="22"/>
  <c r="V49" i="22"/>
  <c r="U49" i="22"/>
  <c r="T49" i="22"/>
  <c r="S49" i="22"/>
  <c r="R49" i="22"/>
  <c r="Q49" i="22"/>
  <c r="P49" i="22"/>
  <c r="O49" i="22"/>
  <c r="N49" i="22"/>
  <c r="M49" i="22"/>
  <c r="V48" i="22"/>
  <c r="U48" i="22"/>
  <c r="T48" i="22"/>
  <c r="S48" i="22"/>
  <c r="R48" i="22"/>
  <c r="Q48" i="22"/>
  <c r="P48" i="22"/>
  <c r="O48" i="22"/>
  <c r="N48" i="22"/>
  <c r="M48" i="22"/>
  <c r="V47" i="22"/>
  <c r="U47" i="22"/>
  <c r="T47" i="22"/>
  <c r="S47" i="22"/>
  <c r="R47" i="22"/>
  <c r="Q47" i="22"/>
  <c r="P47" i="22"/>
  <c r="O47" i="22"/>
  <c r="N47" i="22"/>
  <c r="M47" i="22"/>
  <c r="V46" i="22"/>
  <c r="U46" i="22"/>
  <c r="T46" i="22"/>
  <c r="S46" i="22"/>
  <c r="R46" i="22"/>
  <c r="Q46" i="22"/>
  <c r="P46" i="22"/>
  <c r="O46" i="22"/>
  <c r="N46" i="22"/>
  <c r="M46" i="22"/>
  <c r="V45" i="22"/>
  <c r="U45" i="22"/>
  <c r="T45" i="22"/>
  <c r="S45" i="22"/>
  <c r="R45" i="22"/>
  <c r="Q45" i="22"/>
  <c r="P45" i="22"/>
  <c r="O45" i="22"/>
  <c r="N45" i="22"/>
  <c r="M45" i="22"/>
  <c r="V44" i="22"/>
  <c r="U44" i="22"/>
  <c r="T44" i="22"/>
  <c r="S44" i="22"/>
  <c r="R44" i="22"/>
  <c r="Q44" i="22"/>
  <c r="P44" i="22"/>
  <c r="O44" i="22"/>
  <c r="N44" i="22"/>
  <c r="M44" i="22"/>
  <c r="V43" i="22"/>
  <c r="U43" i="22"/>
  <c r="T43" i="22"/>
  <c r="S43" i="22"/>
  <c r="R43" i="22"/>
  <c r="Q43" i="22"/>
  <c r="P43" i="22"/>
  <c r="O43" i="22"/>
  <c r="N43" i="22"/>
  <c r="M43" i="22"/>
  <c r="V42" i="22"/>
  <c r="U42" i="22"/>
  <c r="T42" i="22"/>
  <c r="S42" i="22"/>
  <c r="R42" i="22"/>
  <c r="Q42" i="22"/>
  <c r="P42" i="22"/>
  <c r="O42" i="22"/>
  <c r="N42" i="22"/>
  <c r="M42" i="22"/>
  <c r="V41" i="22"/>
  <c r="U41" i="22"/>
  <c r="T41" i="22"/>
  <c r="S41" i="22"/>
  <c r="R41" i="22"/>
  <c r="Q41" i="22"/>
  <c r="P41" i="22"/>
  <c r="O41" i="22"/>
  <c r="N41" i="22"/>
  <c r="M41" i="22"/>
  <c r="V40" i="22"/>
  <c r="U40" i="22"/>
  <c r="T40" i="22"/>
  <c r="S40" i="22"/>
  <c r="R40" i="22"/>
  <c r="Q40" i="22"/>
  <c r="P40" i="22"/>
  <c r="O40" i="22"/>
  <c r="N40" i="22"/>
  <c r="M40" i="22"/>
  <c r="V39" i="22"/>
  <c r="U39" i="22"/>
  <c r="T39" i="22"/>
  <c r="S39" i="22"/>
  <c r="R39" i="22"/>
  <c r="Q39" i="22"/>
  <c r="P39" i="22"/>
  <c r="O39" i="22"/>
  <c r="N39" i="22"/>
  <c r="M39" i="22"/>
  <c r="V38" i="22"/>
  <c r="U38" i="22"/>
  <c r="T38" i="22"/>
  <c r="S38" i="22"/>
  <c r="R38" i="22"/>
  <c r="Q38" i="22"/>
  <c r="P38" i="22"/>
  <c r="O38" i="22"/>
  <c r="N38" i="22"/>
  <c r="M38" i="22"/>
  <c r="V37" i="22"/>
  <c r="U37" i="22"/>
  <c r="T37" i="22"/>
  <c r="S37" i="22"/>
  <c r="R37" i="22"/>
  <c r="Q37" i="22"/>
  <c r="P37" i="22"/>
  <c r="O37" i="22"/>
  <c r="N37" i="22"/>
  <c r="M37" i="22"/>
  <c r="V36" i="22"/>
  <c r="U36" i="22"/>
  <c r="T36" i="22"/>
  <c r="S36" i="22"/>
  <c r="R36" i="22"/>
  <c r="Q36" i="22"/>
  <c r="P36" i="22"/>
  <c r="O36" i="22"/>
  <c r="N36" i="22"/>
  <c r="M36" i="22"/>
  <c r="V35" i="22"/>
  <c r="U35" i="22"/>
  <c r="T35" i="22"/>
  <c r="S35" i="22"/>
  <c r="R35" i="22"/>
  <c r="Q35" i="22"/>
  <c r="P35" i="22"/>
  <c r="O35" i="22"/>
  <c r="N35" i="22"/>
  <c r="M35" i="22"/>
  <c r="V34" i="22"/>
  <c r="U34" i="22"/>
  <c r="T34" i="22"/>
  <c r="S34" i="22"/>
  <c r="R34" i="22"/>
  <c r="Q34" i="22"/>
  <c r="P34" i="22"/>
  <c r="O34" i="22"/>
  <c r="N34" i="22"/>
  <c r="M34" i="22"/>
  <c r="V33" i="22"/>
  <c r="U33" i="22"/>
  <c r="T33" i="22"/>
  <c r="S33" i="22"/>
  <c r="R33" i="22"/>
  <c r="Q33" i="22"/>
  <c r="P33" i="22"/>
  <c r="O33" i="22"/>
  <c r="N33" i="22"/>
  <c r="M33" i="22"/>
  <c r="V32" i="22"/>
  <c r="U32" i="22"/>
  <c r="T32" i="22"/>
  <c r="S32" i="22"/>
  <c r="R32" i="22"/>
  <c r="Q32" i="22"/>
  <c r="P32" i="22"/>
  <c r="O32" i="22"/>
  <c r="N32" i="22"/>
  <c r="M32" i="22"/>
  <c r="V31" i="22"/>
  <c r="U31" i="22"/>
  <c r="T31" i="22"/>
  <c r="S31" i="22"/>
  <c r="R31" i="22"/>
  <c r="Q31" i="22"/>
  <c r="P31" i="22"/>
  <c r="O31" i="22"/>
  <c r="N31" i="22"/>
  <c r="M31" i="22"/>
  <c r="V30" i="22"/>
  <c r="U30" i="22"/>
  <c r="T30" i="22"/>
  <c r="S30" i="22"/>
  <c r="R30" i="22"/>
  <c r="Q30" i="22"/>
  <c r="P30" i="22"/>
  <c r="O30" i="22"/>
  <c r="N30" i="22"/>
  <c r="M30" i="22"/>
  <c r="V29" i="22"/>
  <c r="U29" i="22"/>
  <c r="T29" i="22"/>
  <c r="S29" i="22"/>
  <c r="R29" i="22"/>
  <c r="Q29" i="22"/>
  <c r="P29" i="22"/>
  <c r="O29" i="22"/>
  <c r="N29" i="22"/>
  <c r="M29" i="22"/>
  <c r="V28" i="22"/>
  <c r="U28" i="22"/>
  <c r="T28" i="22"/>
  <c r="S28" i="22"/>
  <c r="R28" i="22"/>
  <c r="Q28" i="22"/>
  <c r="P28" i="22"/>
  <c r="O28" i="22"/>
  <c r="N28" i="22"/>
  <c r="M28" i="22"/>
  <c r="V27" i="22"/>
  <c r="U27" i="22"/>
  <c r="T27" i="22"/>
  <c r="S27" i="22"/>
  <c r="R27" i="22"/>
  <c r="Q27" i="22"/>
  <c r="P27" i="22"/>
  <c r="O27" i="22"/>
  <c r="N27" i="22"/>
  <c r="M27" i="22"/>
  <c r="V26" i="22"/>
  <c r="U26" i="22"/>
  <c r="T26" i="22"/>
  <c r="S26" i="22"/>
  <c r="R26" i="22"/>
  <c r="Q26" i="22"/>
  <c r="P26" i="22"/>
  <c r="O26" i="22"/>
  <c r="N26" i="22"/>
  <c r="M26" i="22"/>
  <c r="V25" i="22"/>
  <c r="U25" i="22"/>
  <c r="T25" i="22"/>
  <c r="S25" i="22"/>
  <c r="R25" i="22"/>
  <c r="Q25" i="22"/>
  <c r="P25" i="22"/>
  <c r="O25" i="22"/>
  <c r="N25" i="22"/>
  <c r="M25" i="22"/>
  <c r="V24" i="22"/>
  <c r="U24" i="22"/>
  <c r="T24" i="22"/>
  <c r="S24" i="22"/>
  <c r="R24" i="22"/>
  <c r="Q24" i="22"/>
  <c r="P24" i="22"/>
  <c r="O24" i="22"/>
  <c r="N24" i="22"/>
  <c r="M24" i="22"/>
  <c r="V23" i="22"/>
  <c r="U23" i="22"/>
  <c r="T23" i="22"/>
  <c r="S23" i="22"/>
  <c r="R23" i="22"/>
  <c r="Q23" i="22"/>
  <c r="P23" i="22"/>
  <c r="O23" i="22"/>
  <c r="N23" i="22"/>
  <c r="M23" i="22"/>
  <c r="V22" i="22"/>
  <c r="U22" i="22"/>
  <c r="T22" i="22"/>
  <c r="S22" i="22"/>
  <c r="R22" i="22"/>
  <c r="Q22" i="22"/>
  <c r="P22" i="22"/>
  <c r="O22" i="22"/>
  <c r="N22" i="22"/>
  <c r="M22" i="22"/>
  <c r="V21" i="22"/>
  <c r="U21" i="22"/>
  <c r="T21" i="22"/>
  <c r="S21" i="22"/>
  <c r="R21" i="22"/>
  <c r="Q21" i="22"/>
  <c r="P21" i="22"/>
  <c r="O21" i="22"/>
  <c r="N21" i="22"/>
  <c r="M21" i="22"/>
  <c r="V20" i="22"/>
  <c r="U20" i="22"/>
  <c r="T20" i="22"/>
  <c r="S20" i="22"/>
  <c r="R20" i="22"/>
  <c r="Q20" i="22"/>
  <c r="P20" i="22"/>
  <c r="O20" i="22"/>
  <c r="N20" i="22"/>
  <c r="M20" i="22"/>
  <c r="V19" i="22"/>
  <c r="U19" i="22"/>
  <c r="T19" i="22"/>
  <c r="S19" i="22"/>
  <c r="R19" i="22"/>
  <c r="Q19" i="22"/>
  <c r="P19" i="22"/>
  <c r="O19" i="22"/>
  <c r="N19" i="22"/>
  <c r="M19" i="22"/>
  <c r="V18" i="22"/>
  <c r="U18" i="22"/>
  <c r="T18" i="22"/>
  <c r="S18" i="22"/>
  <c r="R18" i="22"/>
  <c r="Q18" i="22"/>
  <c r="P18" i="22"/>
  <c r="O18" i="22"/>
  <c r="N18" i="22"/>
  <c r="M18" i="22"/>
  <c r="V17" i="22"/>
  <c r="U17" i="22"/>
  <c r="T17" i="22"/>
  <c r="S17" i="22"/>
  <c r="R17" i="22"/>
  <c r="Q17" i="22"/>
  <c r="P17" i="22"/>
  <c r="O17" i="22"/>
  <c r="N17" i="22"/>
  <c r="M17" i="22"/>
  <c r="V16" i="22"/>
  <c r="U16" i="22"/>
  <c r="T16" i="22"/>
  <c r="S16" i="22"/>
  <c r="R16" i="22"/>
  <c r="Q16" i="22"/>
  <c r="P16" i="22"/>
  <c r="O16" i="22"/>
  <c r="N16" i="22"/>
  <c r="M16" i="22"/>
  <c r="V15" i="22"/>
  <c r="U15" i="22"/>
  <c r="T15" i="22"/>
  <c r="S15" i="22"/>
  <c r="R15" i="22"/>
  <c r="Q15" i="22"/>
  <c r="P15" i="22"/>
  <c r="O15" i="22"/>
  <c r="N15" i="22"/>
  <c r="M15" i="22"/>
  <c r="V14" i="22"/>
  <c r="U14" i="22"/>
  <c r="T14" i="22"/>
  <c r="S14" i="22"/>
  <c r="R14" i="22"/>
  <c r="Q14" i="22"/>
  <c r="P14" i="22"/>
  <c r="O14" i="22"/>
  <c r="N14" i="22"/>
  <c r="M14" i="22"/>
  <c r="V12" i="22"/>
  <c r="U12" i="22"/>
  <c r="T12" i="22"/>
  <c r="S12" i="22"/>
  <c r="R12" i="22"/>
  <c r="Q12" i="22"/>
  <c r="P12" i="22"/>
  <c r="O12" i="22"/>
  <c r="N12" i="22"/>
  <c r="M12" i="22"/>
  <c r="V11" i="22"/>
  <c r="U11" i="22"/>
  <c r="T11" i="22"/>
  <c r="S11" i="22"/>
  <c r="R11" i="22"/>
  <c r="Q11" i="22"/>
  <c r="P11" i="22"/>
  <c r="O11" i="22"/>
  <c r="N11" i="22"/>
  <c r="M11" i="22"/>
  <c r="V10" i="22"/>
  <c r="U10" i="22"/>
  <c r="T10" i="22"/>
  <c r="S10" i="22"/>
  <c r="R10" i="22"/>
  <c r="Q10" i="22"/>
  <c r="P10" i="22"/>
  <c r="O10" i="22"/>
  <c r="N10" i="22"/>
  <c r="M10" i="22"/>
  <c r="V9" i="22"/>
  <c r="U9" i="22"/>
  <c r="T9" i="22"/>
  <c r="S9" i="22"/>
  <c r="R9" i="22"/>
  <c r="Q9" i="22"/>
  <c r="P9" i="22"/>
  <c r="O9" i="22"/>
  <c r="N9" i="22"/>
  <c r="M9" i="22"/>
  <c r="V8" i="22"/>
  <c r="U8" i="22"/>
  <c r="T8" i="22"/>
  <c r="S8" i="22"/>
  <c r="R8" i="22"/>
  <c r="Q8" i="22"/>
  <c r="P8" i="22"/>
  <c r="O8" i="22"/>
  <c r="N8" i="22"/>
  <c r="M8" i="22"/>
  <c r="V7" i="22"/>
  <c r="U7" i="22"/>
  <c r="T7" i="22"/>
  <c r="S7" i="22"/>
  <c r="R7" i="22"/>
  <c r="Q7" i="22"/>
  <c r="P7" i="22"/>
  <c r="O7" i="22"/>
  <c r="N7" i="22"/>
  <c r="M7" i="22"/>
  <c r="V6" i="22"/>
  <c r="U6" i="22"/>
  <c r="T6" i="22"/>
  <c r="S6" i="22"/>
  <c r="R6" i="22"/>
  <c r="Q6" i="22"/>
  <c r="P6" i="22"/>
  <c r="O6" i="22"/>
  <c r="N6" i="22"/>
  <c r="M6" i="22"/>
  <c r="V5" i="22"/>
  <c r="U5" i="22"/>
  <c r="T5" i="22"/>
  <c r="S5" i="22"/>
  <c r="R5" i="22"/>
  <c r="Q5" i="22"/>
  <c r="P5" i="22"/>
  <c r="O5" i="22"/>
  <c r="N5" i="22"/>
  <c r="M5" i="22"/>
  <c r="V4" i="22"/>
  <c r="U4" i="22"/>
  <c r="T4" i="22"/>
  <c r="S4" i="22"/>
  <c r="R4" i="22"/>
  <c r="Q4" i="22"/>
  <c r="P4" i="22"/>
  <c r="O4" i="22"/>
  <c r="N4" i="22"/>
  <c r="M4" i="22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71" i="17"/>
  <c r="H72" i="17"/>
  <c r="H73" i="17"/>
  <c r="H74" i="17"/>
  <c r="H75" i="17"/>
  <c r="H76" i="17"/>
  <c r="H77" i="17"/>
  <c r="H78" i="17"/>
  <c r="H79" i="17"/>
  <c r="H80" i="17"/>
  <c r="H81" i="17"/>
  <c r="H82" i="17"/>
  <c r="H83" i="17"/>
  <c r="H84" i="17"/>
  <c r="H85" i="17"/>
  <c r="H86" i="17"/>
  <c r="H87" i="17"/>
  <c r="H88" i="17"/>
  <c r="H89" i="17"/>
  <c r="H90" i="17"/>
  <c r="H91" i="17"/>
  <c r="H92" i="17"/>
  <c r="H93" i="17"/>
  <c r="H94" i="17"/>
  <c r="H95" i="17"/>
  <c r="H96" i="17"/>
  <c r="H97" i="17"/>
  <c r="H98" i="17"/>
  <c r="H99" i="17"/>
  <c r="H100" i="17"/>
  <c r="H101" i="17"/>
  <c r="H102" i="17"/>
  <c r="H103" i="17"/>
  <c r="H104" i="17"/>
  <c r="H105" i="17"/>
  <c r="H106" i="17"/>
  <c r="H107" i="17"/>
  <c r="H108" i="17"/>
  <c r="H109" i="17"/>
  <c r="H110" i="17"/>
  <c r="H111" i="17"/>
  <c r="H112" i="17"/>
  <c r="H113" i="17"/>
  <c r="H114" i="17"/>
  <c r="H115" i="17"/>
  <c r="H116" i="17"/>
  <c r="H117" i="17"/>
  <c r="H118" i="17"/>
  <c r="H119" i="17"/>
  <c r="H120" i="17"/>
  <c r="H121" i="17"/>
  <c r="H122" i="17"/>
  <c r="H123" i="17"/>
  <c r="H124" i="17"/>
  <c r="H125" i="17"/>
  <c r="H126" i="17"/>
  <c r="H127" i="17"/>
  <c r="H128" i="17"/>
  <c r="H129" i="17"/>
  <c r="H130" i="17"/>
  <c r="H131" i="17"/>
  <c r="H132" i="17"/>
  <c r="H133" i="17"/>
  <c r="H134" i="17"/>
  <c r="H135" i="17"/>
  <c r="H136" i="17"/>
  <c r="H137" i="17"/>
  <c r="H138" i="17"/>
  <c r="H139" i="17"/>
  <c r="H140" i="17"/>
  <c r="H141" i="17"/>
  <c r="H142" i="17"/>
  <c r="H143" i="17"/>
  <c r="H144" i="17"/>
  <c r="H145" i="17"/>
  <c r="H146" i="17"/>
  <c r="H147" i="17"/>
  <c r="H148" i="17"/>
  <c r="H149" i="17"/>
  <c r="H150" i="17"/>
  <c r="H151" i="17"/>
  <c r="H152" i="17"/>
  <c r="H153" i="17"/>
  <c r="H154" i="17"/>
  <c r="H155" i="17"/>
  <c r="H156" i="17"/>
  <c r="H157" i="17"/>
  <c r="H158" i="17"/>
  <c r="H159" i="17"/>
  <c r="H160" i="17"/>
  <c r="H161" i="17"/>
  <c r="H162" i="17"/>
  <c r="H163" i="17"/>
  <c r="H164" i="17"/>
  <c r="H165" i="17"/>
  <c r="H166" i="17"/>
  <c r="H167" i="17"/>
  <c r="H168" i="17"/>
  <c r="H169" i="17"/>
  <c r="H170" i="17"/>
  <c r="H171" i="17"/>
  <c r="H172" i="17"/>
  <c r="H173" i="17"/>
  <c r="H174" i="17"/>
  <c r="H175" i="17"/>
  <c r="H176" i="17"/>
  <c r="H177" i="17"/>
  <c r="H178" i="17"/>
  <c r="H179" i="17"/>
  <c r="H180" i="17"/>
  <c r="H181" i="17"/>
  <c r="H182" i="17"/>
  <c r="H183" i="17"/>
  <c r="H184" i="17"/>
  <c r="H185" i="17"/>
  <c r="H186" i="17"/>
  <c r="H187" i="17"/>
  <c r="H188" i="17"/>
  <c r="H189" i="17"/>
  <c r="H190" i="17"/>
  <c r="H191" i="17"/>
  <c r="H192" i="17"/>
  <c r="H193" i="17"/>
  <c r="H194" i="17"/>
  <c r="H195" i="17"/>
  <c r="H196" i="17"/>
  <c r="H197" i="17"/>
  <c r="H198" i="17"/>
  <c r="H199" i="17"/>
  <c r="H200" i="17"/>
  <c r="H201" i="17"/>
  <c r="H202" i="17"/>
  <c r="H203" i="17"/>
  <c r="H204" i="17"/>
  <c r="H205" i="17"/>
  <c r="H206" i="17"/>
  <c r="H207" i="17"/>
  <c r="H208" i="17"/>
  <c r="H209" i="17"/>
  <c r="H3" i="17"/>
  <c r="B88" i="18"/>
  <c r="B87" i="18"/>
  <c r="B83" i="18"/>
  <c r="B80" i="18"/>
  <c r="B77" i="18"/>
  <c r="B74" i="18"/>
  <c r="B69" i="18"/>
  <c r="B68" i="18"/>
  <c r="B66" i="18"/>
  <c r="B63" i="18"/>
  <c r="B54" i="18"/>
  <c r="B46" i="18"/>
  <c r="B39" i="18"/>
  <c r="B35" i="18"/>
  <c r="B28" i="18"/>
  <c r="B24" i="18"/>
  <c r="B23" i="18"/>
  <c r="B22" i="18"/>
  <c r="B19" i="18"/>
  <c r="B16" i="18"/>
  <c r="B14" i="18"/>
  <c r="B13" i="18"/>
  <c r="B8" i="18"/>
  <c r="B6" i="18"/>
  <c r="B4" i="18"/>
  <c r="AA5" i="23" l="1"/>
  <c r="A13" i="22"/>
  <c r="H221" i="22"/>
  <c r="G219" i="22"/>
  <c r="J217" i="22"/>
  <c r="H215" i="22"/>
  <c r="J213" i="22"/>
  <c r="J211" i="22"/>
  <c r="B210" i="22"/>
  <c r="K207" i="22"/>
  <c r="D206" i="22"/>
  <c r="E204" i="22"/>
  <c r="F202" i="22"/>
  <c r="H200" i="22"/>
  <c r="H198" i="22"/>
  <c r="J196" i="22"/>
  <c r="H194" i="22"/>
  <c r="K192" i="22"/>
  <c r="J190" i="22"/>
  <c r="C189" i="22"/>
  <c r="B187" i="22"/>
  <c r="E185" i="22"/>
  <c r="F183" i="22"/>
  <c r="F181" i="22"/>
  <c r="I179" i="22"/>
  <c r="H177" i="22"/>
  <c r="K175" i="22"/>
  <c r="I173" i="22"/>
  <c r="K171" i="22"/>
  <c r="K169" i="22"/>
  <c r="C168" i="22"/>
  <c r="C166" i="22"/>
  <c r="E164" i="22"/>
  <c r="G162" i="22"/>
  <c r="G160" i="22"/>
  <c r="I158" i="22"/>
  <c r="I156" i="22"/>
  <c r="K154" i="22"/>
  <c r="I152" i="22"/>
  <c r="B151" i="22"/>
  <c r="K148" i="22"/>
  <c r="D147" i="22"/>
  <c r="C145" i="22"/>
  <c r="F143" i="22"/>
  <c r="G141" i="22"/>
  <c r="G139" i="22"/>
  <c r="J137" i="22"/>
  <c r="I135" i="22"/>
  <c r="B134" i="22"/>
  <c r="J131" i="22"/>
  <c r="C130" i="22"/>
  <c r="C128" i="22"/>
  <c r="G126" i="22"/>
  <c r="K124" i="22"/>
  <c r="E123" i="22"/>
  <c r="J121" i="22"/>
  <c r="E120" i="22"/>
  <c r="H118" i="22"/>
  <c r="C117" i="22"/>
  <c r="H115" i="22"/>
  <c r="J113" i="22"/>
  <c r="E112" i="22"/>
  <c r="B111" i="22"/>
  <c r="I109" i="22"/>
  <c r="F108" i="22"/>
  <c r="C107" i="22"/>
  <c r="J105" i="22"/>
  <c r="G104" i="22"/>
  <c r="D103" i="22"/>
  <c r="K101" i="22"/>
  <c r="H100" i="22"/>
  <c r="D99" i="22"/>
  <c r="K97" i="22"/>
  <c r="H96" i="22"/>
  <c r="E95" i="22"/>
  <c r="B94" i="22"/>
  <c r="I92" i="22"/>
  <c r="F91" i="22"/>
  <c r="C90" i="22"/>
  <c r="J88" i="22"/>
  <c r="G87" i="22"/>
  <c r="E86" i="22"/>
  <c r="C85" i="22"/>
  <c r="K83" i="22"/>
  <c r="I220" i="22"/>
  <c r="B219" i="22"/>
  <c r="K216" i="22"/>
  <c r="C215" i="22"/>
  <c r="C213" i="22"/>
  <c r="E211" i="22"/>
  <c r="E209" i="22"/>
  <c r="G207" i="22"/>
  <c r="I205" i="22"/>
  <c r="I203" i="22"/>
  <c r="I201" i="22"/>
  <c r="J199" i="22"/>
  <c r="B198" i="22"/>
  <c r="K195" i="22"/>
  <c r="D194" i="22"/>
  <c r="C192" i="22"/>
  <c r="F190" i="22"/>
  <c r="E188" i="22"/>
  <c r="H186" i="22"/>
  <c r="I184" i="22"/>
  <c r="I182" i="22"/>
  <c r="J180" i="22"/>
  <c r="J178" i="22"/>
  <c r="C177" i="22"/>
  <c r="B175" i="22"/>
  <c r="E173" i="22"/>
  <c r="D171" i="22"/>
  <c r="F169" i="22"/>
  <c r="F167" i="22"/>
  <c r="H165" i="22"/>
  <c r="J163" i="22"/>
  <c r="J161" i="22"/>
  <c r="J159" i="22"/>
  <c r="K157" i="22"/>
  <c r="C156" i="22"/>
  <c r="C154" i="22"/>
  <c r="E152" i="22"/>
  <c r="D150" i="22"/>
  <c r="G148" i="22"/>
  <c r="F146" i="22"/>
  <c r="I144" i="22"/>
  <c r="J142" i="22"/>
  <c r="K140" i="22"/>
  <c r="K138" i="22"/>
  <c r="K136" i="22"/>
  <c r="D135" i="22"/>
  <c r="C133" i="22"/>
  <c r="F131" i="22"/>
  <c r="E129" i="22"/>
  <c r="I127" i="22"/>
  <c r="K125" i="22"/>
  <c r="F124" i="22"/>
  <c r="J66" i="22"/>
  <c r="B68" i="22"/>
  <c r="D69" i="22"/>
  <c r="F70" i="22"/>
  <c r="H71" i="22"/>
  <c r="J72" i="22"/>
  <c r="B74" i="22"/>
  <c r="D75" i="22"/>
  <c r="F76" i="22"/>
  <c r="H77" i="22"/>
  <c r="J78" i="22"/>
  <c r="B80" i="22"/>
  <c r="D81" i="22"/>
  <c r="F82" i="22"/>
  <c r="H83" i="22"/>
  <c r="K84" i="22"/>
  <c r="D86" i="22"/>
  <c r="H87" i="22"/>
  <c r="B89" i="22"/>
  <c r="F90" i="22"/>
  <c r="J91" i="22"/>
  <c r="D93" i="22"/>
  <c r="I94" i="22"/>
  <c r="C96" i="22"/>
  <c r="G97" i="22"/>
  <c r="K98" i="22"/>
  <c r="E100" i="22"/>
  <c r="J101" i="22"/>
  <c r="E103" i="22"/>
  <c r="I104" i="22"/>
  <c r="C106" i="22"/>
  <c r="G107" i="22"/>
  <c r="B109" i="22"/>
  <c r="F110" i="22"/>
  <c r="J111" i="22"/>
  <c r="F113" i="22"/>
  <c r="B115" i="22"/>
  <c r="J116" i="22"/>
  <c r="G118" i="22"/>
  <c r="F120" i="22"/>
  <c r="B122" i="22"/>
  <c r="I123" i="22"/>
  <c r="H125" i="22"/>
  <c r="H127" i="22"/>
  <c r="I129" i="22"/>
  <c r="B132" i="22"/>
  <c r="E134" i="22"/>
  <c r="H136" i="22"/>
  <c r="H138" i="22"/>
  <c r="C141" i="22"/>
  <c r="G143" i="22"/>
  <c r="J145" i="22"/>
  <c r="C148" i="22"/>
  <c r="C150" i="22"/>
  <c r="G152" i="22"/>
  <c r="B155" i="22"/>
  <c r="D157" i="22"/>
  <c r="E159" i="22"/>
  <c r="H161" i="22"/>
  <c r="C164" i="22"/>
  <c r="F166" i="22"/>
  <c r="G168" i="22"/>
  <c r="K170" i="22"/>
  <c r="C173" i="22"/>
  <c r="D175" i="22"/>
  <c r="I177" i="22"/>
  <c r="B180" i="22"/>
  <c r="E182" i="22"/>
  <c r="F184" i="22"/>
  <c r="J186" i="22"/>
  <c r="D189" i="22"/>
  <c r="H191" i="22"/>
  <c r="G193" i="22"/>
  <c r="J195" i="22"/>
  <c r="D198" i="22"/>
  <c r="I200" i="22"/>
  <c r="I202" i="22"/>
  <c r="B205" i="22"/>
  <c r="F207" i="22"/>
  <c r="J209" i="22"/>
  <c r="K211" i="22"/>
  <c r="E214" i="22"/>
  <c r="H216" i="22"/>
  <c r="I218" i="22"/>
  <c r="B221" i="22"/>
  <c r="K66" i="22"/>
  <c r="C68" i="22"/>
  <c r="E69" i="22"/>
  <c r="G70" i="22"/>
  <c r="I71" i="22"/>
  <c r="K72" i="22"/>
  <c r="C74" i="22"/>
  <c r="E75" i="22"/>
  <c r="G76" i="22"/>
  <c r="I77" i="22"/>
  <c r="K78" i="22"/>
  <c r="C80" i="22"/>
  <c r="E81" i="22"/>
  <c r="G82" i="22"/>
  <c r="I83" i="22"/>
  <c r="B85" i="22"/>
  <c r="F86" i="22"/>
  <c r="I87" i="22"/>
  <c r="C89" i="22"/>
  <c r="G90" i="22"/>
  <c r="K91" i="22"/>
  <c r="F93" i="22"/>
  <c r="J94" i="22"/>
  <c r="D96" i="22"/>
  <c r="H97" i="22"/>
  <c r="B99" i="22"/>
  <c r="F100" i="22"/>
  <c r="B102" i="22"/>
  <c r="F103" i="22"/>
  <c r="J104" i="22"/>
  <c r="D106" i="22"/>
  <c r="H107" i="22"/>
  <c r="C109" i="22"/>
  <c r="G110" i="22"/>
  <c r="K111" i="22"/>
  <c r="G113" i="22"/>
  <c r="C115" i="22"/>
  <c r="B117" i="22"/>
  <c r="I118" i="22"/>
  <c r="G120" i="22"/>
  <c r="C122" i="22"/>
  <c r="K123" i="22"/>
  <c r="I125" i="22"/>
  <c r="J127" i="22"/>
  <c r="K129" i="22"/>
  <c r="E132" i="22"/>
  <c r="F134" i="22"/>
  <c r="I136" i="22"/>
  <c r="D139" i="22"/>
  <c r="D141" i="22"/>
  <c r="H143" i="22"/>
  <c r="K145" i="22"/>
  <c r="E148" i="22"/>
  <c r="E150" i="22"/>
  <c r="H152" i="22"/>
  <c r="C155" i="22"/>
  <c r="F157" i="22"/>
  <c r="F159" i="22"/>
  <c r="K161" i="22"/>
  <c r="D164" i="22"/>
  <c r="H166" i="22"/>
  <c r="I168" i="22"/>
  <c r="B171" i="22"/>
  <c r="F173" i="22"/>
  <c r="G175" i="22"/>
  <c r="J177" i="22"/>
  <c r="C180" i="22"/>
  <c r="F182" i="22"/>
  <c r="K184" i="22"/>
  <c r="K186" i="22"/>
  <c r="E189" i="22"/>
  <c r="I191" i="22"/>
  <c r="K193" i="22"/>
  <c r="C196" i="22"/>
  <c r="G198" i="22"/>
  <c r="K200" i="22"/>
  <c r="B203" i="22"/>
  <c r="C205" i="22"/>
  <c r="H207" i="22"/>
  <c r="K209" i="22"/>
  <c r="D212" i="22"/>
  <c r="F214" i="22"/>
  <c r="I216" i="22"/>
  <c r="C219" i="22"/>
  <c r="F221" i="22"/>
  <c r="K65" i="22"/>
  <c r="C67" i="22"/>
  <c r="E68" i="22"/>
  <c r="G69" i="22"/>
  <c r="I70" i="22"/>
  <c r="K71" i="22"/>
  <c r="C73" i="22"/>
  <c r="E74" i="22"/>
  <c r="G75" i="22"/>
  <c r="I76" i="22"/>
  <c r="K77" i="22"/>
  <c r="C79" i="22"/>
  <c r="E80" i="22"/>
  <c r="G81" i="22"/>
  <c r="I82" i="22"/>
  <c r="B84" i="22"/>
  <c r="E85" i="22"/>
  <c r="H86" i="22"/>
  <c r="K87" i="22"/>
  <c r="E89" i="22"/>
  <c r="I90" i="22"/>
  <c r="D92" i="22"/>
  <c r="H93" i="22"/>
  <c r="B95" i="22"/>
  <c r="F96" i="22"/>
  <c r="J97" i="22"/>
  <c r="F99" i="22"/>
  <c r="J100" i="22"/>
  <c r="D102" i="22"/>
  <c r="H103" i="22"/>
  <c r="B105" i="22"/>
  <c r="F106" i="22"/>
  <c r="K107" i="22"/>
  <c r="E109" i="22"/>
  <c r="I110" i="22"/>
  <c r="C112" i="22"/>
  <c r="I113" i="22"/>
  <c r="I115" i="22"/>
  <c r="E117" i="22"/>
  <c r="C119" i="22"/>
  <c r="I120" i="22"/>
  <c r="E122" i="22"/>
  <c r="D124" i="22"/>
  <c r="C126" i="22"/>
  <c r="B128" i="22"/>
  <c r="F130" i="22"/>
  <c r="I132" i="22"/>
  <c r="H134" i="22"/>
  <c r="B137" i="22"/>
  <c r="F139" i="22"/>
  <c r="J141" i="22"/>
  <c r="J143" i="22"/>
  <c r="D146" i="22"/>
  <c r="H148" i="22"/>
  <c r="K150" i="22"/>
  <c r="E153" i="22"/>
  <c r="F155" i="22"/>
  <c r="I157" i="22"/>
  <c r="D160" i="22"/>
  <c r="C162" i="22"/>
  <c r="G164" i="22"/>
  <c r="J166" i="22"/>
  <c r="D169" i="22"/>
  <c r="E171" i="22"/>
  <c r="H173" i="22"/>
  <c r="C176" i="22"/>
  <c r="F178" i="22"/>
  <c r="E180" i="22"/>
  <c r="K182" i="22"/>
  <c r="C185" i="22"/>
  <c r="G187" i="22"/>
  <c r="H189" i="22"/>
  <c r="K191" i="22"/>
  <c r="E194" i="22"/>
  <c r="G196" i="22"/>
  <c r="J198" i="22"/>
  <c r="C201" i="22"/>
  <c r="F203" i="22"/>
  <c r="K205" i="22"/>
  <c r="J207" i="22"/>
  <c r="D210" i="22"/>
  <c r="H212" i="22"/>
  <c r="J214" i="22"/>
  <c r="B217" i="22"/>
  <c r="F219" i="22"/>
  <c r="J221" i="22"/>
  <c r="U5" i="23"/>
  <c r="G88" i="22"/>
  <c r="I89" i="22"/>
  <c r="K90" i="22"/>
  <c r="C92" i="22"/>
  <c r="E93" i="22"/>
  <c r="G94" i="22"/>
  <c r="I95" i="22"/>
  <c r="K96" i="22"/>
  <c r="C98" i="22"/>
  <c r="E99" i="22"/>
  <c r="G100" i="22"/>
  <c r="I101" i="22"/>
  <c r="K102" i="22"/>
  <c r="C104" i="22"/>
  <c r="E105" i="22"/>
  <c r="G106" i="22"/>
  <c r="I107" i="22"/>
  <c r="K108" i="22"/>
  <c r="C110" i="22"/>
  <c r="E111" i="22"/>
  <c r="G112" i="22"/>
  <c r="K113" i="22"/>
  <c r="G115" i="22"/>
  <c r="K116" i="22"/>
  <c r="E118" i="22"/>
  <c r="I119" i="22"/>
  <c r="C121" i="22"/>
  <c r="I122" i="22"/>
  <c r="C124" i="22"/>
  <c r="G125" i="22"/>
  <c r="K126" i="22"/>
  <c r="I128" i="22"/>
  <c r="E130" i="22"/>
  <c r="K131" i="22"/>
  <c r="K133" i="22"/>
  <c r="G135" i="22"/>
  <c r="C137" i="22"/>
  <c r="C139" i="22"/>
  <c r="I140" i="22"/>
  <c r="F142" i="22"/>
  <c r="E144" i="22"/>
  <c r="B146" i="22"/>
  <c r="H147" i="22"/>
  <c r="H149" i="22"/>
  <c r="D151" i="22"/>
  <c r="K152" i="22"/>
  <c r="J154" i="22"/>
  <c r="G156" i="22"/>
  <c r="C158" i="22"/>
  <c r="C160" i="22"/>
  <c r="I161" i="22"/>
  <c r="E163" i="22"/>
  <c r="E165" i="22"/>
  <c r="K166" i="22"/>
  <c r="H168" i="22"/>
  <c r="G170" i="22"/>
  <c r="D172" i="22"/>
  <c r="J173" i="22"/>
  <c r="J175" i="22"/>
  <c r="F177" i="22"/>
  <c r="B179" i="22"/>
  <c r="B181" i="22"/>
  <c r="H182" i="22"/>
  <c r="E184" i="22"/>
  <c r="D186" i="22"/>
  <c r="K187" i="22"/>
  <c r="G189" i="22"/>
  <c r="G191" i="22"/>
  <c r="C193" i="22"/>
  <c r="I194" i="22"/>
  <c r="I196" i="22"/>
  <c r="E198" i="22"/>
  <c r="B200" i="22"/>
  <c r="K201" i="22"/>
  <c r="H203" i="22"/>
  <c r="D205" i="22"/>
  <c r="D207" i="22"/>
  <c r="J208" i="22"/>
  <c r="G210" i="22"/>
  <c r="F212" i="22"/>
  <c r="C214" i="22"/>
  <c r="I215" i="22"/>
  <c r="I217" i="22"/>
  <c r="E219" i="22"/>
  <c r="K220" i="22"/>
  <c r="C127" i="22"/>
  <c r="E128" i="22"/>
  <c r="G129" i="22"/>
  <c r="J130" i="22"/>
  <c r="C132" i="22"/>
  <c r="F133" i="22"/>
  <c r="I134" i="22"/>
  <c r="C136" i="22"/>
  <c r="F137" i="22"/>
  <c r="I138" i="22"/>
  <c r="B140" i="22"/>
  <c r="E141" i="22"/>
  <c r="H142" i="22"/>
  <c r="K143" i="22"/>
  <c r="D145" i="22"/>
  <c r="G146" i="22"/>
  <c r="J147" i="22"/>
  <c r="C149" i="22"/>
  <c r="G150" i="22"/>
  <c r="J151" i="22"/>
  <c r="C153" i="22"/>
  <c r="F154" i="22"/>
  <c r="I155" i="22"/>
  <c r="B157" i="22"/>
  <c r="E158" i="22"/>
  <c r="H159" i="22"/>
  <c r="K160" i="22"/>
  <c r="D162" i="22"/>
  <c r="G163" i="22"/>
  <c r="K164" i="22"/>
  <c r="D166" i="22"/>
  <c r="G167" i="22"/>
  <c r="J168" i="22"/>
  <c r="C170" i="22"/>
  <c r="F171" i="22"/>
  <c r="I172" i="22"/>
  <c r="B174" i="22"/>
  <c r="E175" i="22"/>
  <c r="H176" i="22"/>
  <c r="K177" i="22"/>
  <c r="E179" i="22"/>
  <c r="H180" i="22"/>
  <c r="K181" i="22"/>
  <c r="D183" i="22"/>
  <c r="G184" i="22"/>
  <c r="J185" i="22"/>
  <c r="C187" i="22"/>
  <c r="F188" i="22"/>
  <c r="I189" i="22"/>
  <c r="B191" i="22"/>
  <c r="E192" i="22"/>
  <c r="I193" i="22"/>
  <c r="B195" i="22"/>
  <c r="E196" i="22"/>
  <c r="H197" i="22"/>
  <c r="K198" i="22"/>
  <c r="D200" i="22"/>
  <c r="G201" i="22"/>
  <c r="J202" i="22"/>
  <c r="C204" i="22"/>
  <c r="F205" i="22"/>
  <c r="I206" i="22"/>
  <c r="C208" i="22"/>
  <c r="F209" i="22"/>
  <c r="I210" i="22"/>
  <c r="B212" i="22"/>
  <c r="E213" i="22"/>
  <c r="H214" i="22"/>
  <c r="K215" i="22"/>
  <c r="D217" i="22"/>
  <c r="G218" i="22"/>
  <c r="J219" i="22"/>
  <c r="C221" i="22"/>
  <c r="J112" i="22"/>
  <c r="B114" i="22"/>
  <c r="D115" i="22"/>
  <c r="F116" i="22"/>
  <c r="H117" i="22"/>
  <c r="J118" i="22"/>
  <c r="B120" i="22"/>
  <c r="D121" i="22"/>
  <c r="F122" i="22"/>
  <c r="H123" i="22"/>
  <c r="J124" i="22"/>
  <c r="B126" i="22"/>
  <c r="D127" i="22"/>
  <c r="F128" i="22"/>
  <c r="H129" i="22"/>
  <c r="K130" i="22"/>
  <c r="D132" i="22"/>
  <c r="G133" i="22"/>
  <c r="K134" i="22"/>
  <c r="D136" i="22"/>
  <c r="G137" i="22"/>
  <c r="J138" i="22"/>
  <c r="C140" i="22"/>
  <c r="F141" i="22"/>
  <c r="I142" i="22"/>
  <c r="B144" i="22"/>
  <c r="E145" i="22"/>
  <c r="H146" i="22"/>
  <c r="K147" i="22"/>
  <c r="E149" i="22"/>
  <c r="H150" i="22"/>
  <c r="K151" i="22"/>
  <c r="D153" i="22"/>
  <c r="G154" i="22"/>
  <c r="J155" i="22"/>
  <c r="C157" i="22"/>
  <c r="F158" i="22"/>
  <c r="I159" i="22"/>
  <c r="B161" i="22"/>
  <c r="E162" i="22"/>
  <c r="I163" i="22"/>
  <c r="B165" i="22"/>
  <c r="E166" i="22"/>
  <c r="H167" i="22"/>
  <c r="K168" i="22"/>
  <c r="D170" i="22"/>
  <c r="G171" i="22"/>
  <c r="J172" i="22"/>
  <c r="C174" i="22"/>
  <c r="F175" i="22"/>
  <c r="I176" i="22"/>
  <c r="C178" i="22"/>
  <c r="F179" i="22"/>
  <c r="I180" i="22"/>
  <c r="B182" i="22"/>
  <c r="E183" i="22"/>
  <c r="H184" i="22"/>
  <c r="K185" i="22"/>
  <c r="D187" i="22"/>
  <c r="G188" i="22"/>
  <c r="J189" i="22"/>
  <c r="C191" i="22"/>
  <c r="G192" i="22"/>
  <c r="J193" i="22"/>
  <c r="C195" i="22"/>
  <c r="F196" i="22"/>
  <c r="I197" i="22"/>
  <c r="B199" i="22"/>
  <c r="E200" i="22"/>
  <c r="H201" i="22"/>
  <c r="K202" i="22"/>
  <c r="D204" i="22"/>
  <c r="G205" i="22"/>
  <c r="K206" i="22"/>
  <c r="D208" i="22"/>
  <c r="G209" i="22"/>
  <c r="J210" i="22"/>
  <c r="C212" i="22"/>
  <c r="F213" i="22"/>
  <c r="I214" i="22"/>
  <c r="B216" i="22"/>
  <c r="E217" i="22"/>
  <c r="H218" i="22"/>
  <c r="K219" i="22"/>
  <c r="E221" i="22"/>
  <c r="B113" i="22"/>
  <c r="D114" i="22"/>
  <c r="F115" i="22"/>
  <c r="H116" i="22"/>
  <c r="J117" i="22"/>
  <c r="B119" i="22"/>
  <c r="D120" i="22"/>
  <c r="F121" i="22"/>
  <c r="H122" i="22"/>
  <c r="J123" i="22"/>
  <c r="B125" i="22"/>
  <c r="D126" i="22"/>
  <c r="F127" i="22"/>
  <c r="H128" i="22"/>
  <c r="J129" i="22"/>
  <c r="C131" i="22"/>
  <c r="G132" i="22"/>
  <c r="J133" i="22"/>
  <c r="C135" i="22"/>
  <c r="F136" i="22"/>
  <c r="I137" i="22"/>
  <c r="B139" i="22"/>
  <c r="E140" i="22"/>
  <c r="H141" i="22"/>
  <c r="K142" i="22"/>
  <c r="D144" i="22"/>
  <c r="G145" i="22"/>
  <c r="K146" i="22"/>
  <c r="D148" i="22"/>
  <c r="G149" i="22"/>
  <c r="J150" i="22"/>
  <c r="C152" i="22"/>
  <c r="F153" i="22"/>
  <c r="I154" i="22"/>
  <c r="B156" i="22"/>
  <c r="E157" i="22"/>
  <c r="H158" i="22"/>
  <c r="K159" i="22"/>
  <c r="E161" i="22"/>
  <c r="H162" i="22"/>
  <c r="K163" i="22"/>
  <c r="D165" i="22"/>
  <c r="G166" i="22"/>
  <c r="J167" i="22"/>
  <c r="C169" i="22"/>
  <c r="F170" i="22"/>
  <c r="I171" i="22"/>
  <c r="B173" i="22"/>
  <c r="E174" i="22"/>
  <c r="I175" i="22"/>
  <c r="B177" i="22"/>
  <c r="E178" i="22"/>
  <c r="H179" i="22"/>
  <c r="K180" i="22"/>
  <c r="D182" i="22"/>
  <c r="G183" i="22"/>
  <c r="J184" i="22"/>
  <c r="C186" i="22"/>
  <c r="F187" i="22"/>
  <c r="I188" i="22"/>
  <c r="C190" i="22"/>
  <c r="F191" i="22"/>
  <c r="I192" i="22"/>
  <c r="B194" i="22"/>
  <c r="E195" i="22"/>
  <c r="H196" i="22"/>
  <c r="K197" i="22"/>
  <c r="D199" i="22"/>
  <c r="G200" i="22"/>
  <c r="J201" i="22"/>
  <c r="C203" i="22"/>
  <c r="G204" i="22"/>
  <c r="J205" i="22"/>
  <c r="C207" i="22"/>
  <c r="F208" i="22"/>
  <c r="I209" i="22"/>
  <c r="B211" i="22"/>
  <c r="E212" i="22"/>
  <c r="H213" i="22"/>
  <c r="K214" i="22"/>
  <c r="D216" i="22"/>
  <c r="G217" i="22"/>
  <c r="K218" i="22"/>
  <c r="D220" i="22"/>
  <c r="G221" i="22"/>
  <c r="P125" i="23"/>
  <c r="D225" i="22"/>
  <c r="B224" i="22"/>
  <c r="J222" i="22"/>
  <c r="S225" i="22"/>
  <c r="Q224" i="22"/>
  <c r="O223" i="22"/>
  <c r="M222" i="22"/>
  <c r="C225" i="22"/>
  <c r="K223" i="22"/>
  <c r="I222" i="22"/>
  <c r="R225" i="22"/>
  <c r="P224" i="22"/>
  <c r="N223" i="22"/>
  <c r="B225" i="22"/>
  <c r="J223" i="22"/>
  <c r="H222" i="22"/>
  <c r="Q225" i="22"/>
  <c r="O224" i="22"/>
  <c r="M223" i="22"/>
  <c r="K224" i="22"/>
  <c r="I223" i="22"/>
  <c r="G222" i="22"/>
  <c r="P225" i="22"/>
  <c r="N224" i="22"/>
  <c r="V222" i="22"/>
  <c r="J224" i="22"/>
  <c r="H223" i="22"/>
  <c r="F222" i="22"/>
  <c r="O225" i="22"/>
  <c r="M224" i="22"/>
  <c r="U222" i="22"/>
  <c r="B130" i="22"/>
  <c r="D131" i="22"/>
  <c r="F132" i="22"/>
  <c r="H133" i="22"/>
  <c r="J134" i="22"/>
  <c r="B136" i="22"/>
  <c r="D137" i="22"/>
  <c r="F138" i="22"/>
  <c r="H139" i="22"/>
  <c r="J140" i="22"/>
  <c r="B142" i="22"/>
  <c r="D143" i="22"/>
  <c r="F144" i="22"/>
  <c r="H145" i="22"/>
  <c r="J146" i="22"/>
  <c r="B148" i="22"/>
  <c r="D149" i="22"/>
  <c r="F150" i="22"/>
  <c r="H151" i="22"/>
  <c r="J152" i="22"/>
  <c r="B154" i="22"/>
  <c r="D155" i="22"/>
  <c r="F156" i="22"/>
  <c r="H157" i="22"/>
  <c r="J158" i="22"/>
  <c r="B160" i="22"/>
  <c r="D161" i="22"/>
  <c r="F162" i="22"/>
  <c r="H163" i="22"/>
  <c r="J164" i="22"/>
  <c r="B166" i="22"/>
  <c r="D167" i="22"/>
  <c r="F168" i="22"/>
  <c r="H169" i="22"/>
  <c r="J170" i="22"/>
  <c r="B172" i="22"/>
  <c r="D173" i="22"/>
  <c r="F174" i="22"/>
  <c r="H175" i="22"/>
  <c r="J176" i="22"/>
  <c r="B178" i="22"/>
  <c r="D179" i="22"/>
  <c r="F180" i="22"/>
  <c r="H181" i="22"/>
  <c r="J182" i="22"/>
  <c r="B184" i="22"/>
  <c r="D185" i="22"/>
  <c r="F186" i="22"/>
  <c r="H187" i="22"/>
  <c r="J188" i="22"/>
  <c r="B190" i="22"/>
  <c r="D191" i="22"/>
  <c r="F192" i="22"/>
  <c r="H193" i="22"/>
  <c r="J194" i="22"/>
  <c r="B196" i="22"/>
  <c r="D197" i="22"/>
  <c r="F198" i="22"/>
  <c r="H199" i="22"/>
  <c r="J200" i="22"/>
  <c r="B202" i="22"/>
  <c r="D203" i="22"/>
  <c r="F204" i="22"/>
  <c r="H205" i="22"/>
  <c r="J206" i="22"/>
  <c r="B208" i="22"/>
  <c r="D209" i="22"/>
  <c r="F210" i="22"/>
  <c r="H211" i="22"/>
  <c r="J212" i="22"/>
  <c r="B214" i="22"/>
  <c r="D215" i="22"/>
  <c r="F216" i="22"/>
  <c r="H217" i="22"/>
  <c r="J218" i="22"/>
  <c r="B220" i="22"/>
  <c r="D221" i="22"/>
  <c r="K225" i="22"/>
  <c r="I224" i="22"/>
  <c r="G223" i="22"/>
  <c r="E222" i="22"/>
  <c r="N225" i="22"/>
  <c r="V223" i="22"/>
  <c r="T222" i="22"/>
  <c r="J225" i="22"/>
  <c r="H224" i="22"/>
  <c r="F223" i="22"/>
  <c r="D222" i="22"/>
  <c r="M225" i="22"/>
  <c r="U223" i="22"/>
  <c r="S222" i="22"/>
  <c r="I225" i="22"/>
  <c r="G224" i="22"/>
  <c r="E223" i="22"/>
  <c r="C222" i="22"/>
  <c r="V224" i="22"/>
  <c r="T223" i="22"/>
  <c r="R222" i="22"/>
  <c r="H225" i="22"/>
  <c r="F224" i="22"/>
  <c r="D223" i="22"/>
  <c r="B222" i="22"/>
  <c r="U224" i="22"/>
  <c r="S223" i="22"/>
  <c r="Q222" i="22"/>
  <c r="G225" i="22"/>
  <c r="E224" i="22"/>
  <c r="C223" i="22"/>
  <c r="V225" i="22"/>
  <c r="T224" i="22"/>
  <c r="R223" i="22"/>
  <c r="P222" i="22"/>
  <c r="F225" i="22"/>
  <c r="D224" i="22"/>
  <c r="B223" i="22"/>
  <c r="U225" i="22"/>
  <c r="S224" i="22"/>
  <c r="Q223" i="22"/>
  <c r="O222" i="22"/>
  <c r="E225" i="22"/>
  <c r="C224" i="22"/>
  <c r="K222" i="22"/>
  <c r="T225" i="22"/>
  <c r="R224" i="22"/>
  <c r="P223" i="22"/>
  <c r="N222" i="22"/>
  <c r="G13" i="22"/>
  <c r="N13" i="22"/>
  <c r="F13" i="22"/>
  <c r="M13" i="22"/>
  <c r="I13" i="22"/>
  <c r="E13" i="22"/>
  <c r="D13" i="22"/>
  <c r="C13" i="22"/>
  <c r="V13" i="22"/>
  <c r="B13" i="22"/>
  <c r="U13" i="22"/>
  <c r="T13" i="22"/>
  <c r="S13" i="22"/>
  <c r="K13" i="22"/>
  <c r="R13" i="22"/>
  <c r="J13" i="22"/>
  <c r="Q13" i="22"/>
  <c r="P13" i="22"/>
  <c r="H13" i="22"/>
  <c r="O13" i="22"/>
  <c r="P113" i="23"/>
  <c r="P111" i="23"/>
  <c r="P89" i="23"/>
  <c r="P77" i="23"/>
  <c r="P75" i="23"/>
  <c r="P53" i="23"/>
  <c r="P41" i="23"/>
  <c r="P39" i="23"/>
  <c r="P17" i="23"/>
  <c r="P123" i="23"/>
  <c r="P87" i="23"/>
  <c r="P51" i="23"/>
  <c r="P15" i="23"/>
  <c r="P117" i="23"/>
  <c r="P81" i="23"/>
  <c r="P45" i="23"/>
  <c r="P9" i="23"/>
  <c r="P115" i="23"/>
  <c r="P79" i="23"/>
  <c r="P43" i="23"/>
  <c r="P7" i="23"/>
  <c r="P105" i="23"/>
  <c r="P69" i="23"/>
  <c r="P33" i="23"/>
  <c r="P103" i="23"/>
  <c r="P67" i="23"/>
  <c r="P31" i="23"/>
  <c r="P101" i="23"/>
  <c r="P65" i="23"/>
  <c r="P29" i="23"/>
  <c r="AD22" i="23"/>
  <c r="P135" i="23"/>
  <c r="P99" i="23"/>
  <c r="P63" i="23"/>
  <c r="P27" i="23"/>
  <c r="AD16" i="23"/>
  <c r="P129" i="23"/>
  <c r="P93" i="23"/>
  <c r="P57" i="23"/>
  <c r="P21" i="23"/>
  <c r="AD12" i="23"/>
  <c r="P127" i="23"/>
  <c r="P91" i="23"/>
  <c r="P55" i="23"/>
  <c r="P19" i="23"/>
  <c r="AD10" i="23"/>
  <c r="V211" i="23"/>
  <c r="V199" i="23"/>
  <c r="V187" i="23"/>
  <c r="V175" i="23"/>
  <c r="V163" i="23"/>
  <c r="V151" i="23"/>
  <c r="V139" i="23"/>
  <c r="V127" i="23"/>
  <c r="V115" i="23"/>
  <c r="V103" i="23"/>
  <c r="V91" i="23"/>
  <c r="V79" i="23"/>
  <c r="V67" i="23"/>
  <c r="V55" i="23"/>
  <c r="V43" i="23"/>
  <c r="V31" i="23"/>
  <c r="V19" i="23"/>
  <c r="V7" i="23"/>
  <c r="P128" i="23"/>
  <c r="P116" i="23"/>
  <c r="P104" i="23"/>
  <c r="P92" i="23"/>
  <c r="P80" i="23"/>
  <c r="P68" i="23"/>
  <c r="P56" i="23"/>
  <c r="P44" i="23"/>
  <c r="P32" i="23"/>
  <c r="P20" i="23"/>
  <c r="P8" i="23"/>
  <c r="V210" i="23"/>
  <c r="V198" i="23"/>
  <c r="V186" i="23"/>
  <c r="V174" i="23"/>
  <c r="V162" i="23"/>
  <c r="V150" i="23"/>
  <c r="V138" i="23"/>
  <c r="V126" i="23"/>
  <c r="V114" i="23"/>
  <c r="V102" i="23"/>
  <c r="V90" i="23"/>
  <c r="V78" i="23"/>
  <c r="V66" i="23"/>
  <c r="V54" i="23"/>
  <c r="V42" i="23"/>
  <c r="V30" i="23"/>
  <c r="V18" i="23"/>
  <c r="V6" i="23"/>
  <c r="AD15" i="23"/>
  <c r="V209" i="23"/>
  <c r="V197" i="23"/>
  <c r="V185" i="23"/>
  <c r="V173" i="23"/>
  <c r="V161" i="23"/>
  <c r="V149" i="23"/>
  <c r="V137" i="23"/>
  <c r="V125" i="23"/>
  <c r="V113" i="23"/>
  <c r="V101" i="23"/>
  <c r="V89" i="23"/>
  <c r="V77" i="23"/>
  <c r="V65" i="23"/>
  <c r="V53" i="23"/>
  <c r="V41" i="23"/>
  <c r="V29" i="23"/>
  <c r="V17" i="23"/>
  <c r="AD14" i="23"/>
  <c r="P126" i="23"/>
  <c r="P114" i="23"/>
  <c r="P102" i="23"/>
  <c r="P90" i="23"/>
  <c r="P78" i="23"/>
  <c r="P66" i="23"/>
  <c r="P54" i="23"/>
  <c r="P42" i="23"/>
  <c r="P30" i="23"/>
  <c r="P18" i="23"/>
  <c r="P6" i="23"/>
  <c r="V208" i="23"/>
  <c r="V196" i="23"/>
  <c r="V184" i="23"/>
  <c r="V172" i="23"/>
  <c r="V160" i="23"/>
  <c r="V148" i="23"/>
  <c r="V136" i="23"/>
  <c r="V124" i="23"/>
  <c r="V112" i="23"/>
  <c r="V100" i="23"/>
  <c r="V88" i="23"/>
  <c r="V76" i="23"/>
  <c r="V64" i="23"/>
  <c r="V52" i="23"/>
  <c r="V40" i="23"/>
  <c r="V28" i="23"/>
  <c r="V16" i="23"/>
  <c r="AD13" i="23"/>
  <c r="V207" i="23"/>
  <c r="V195" i="23"/>
  <c r="V183" i="23"/>
  <c r="V171" i="23"/>
  <c r="V159" i="23"/>
  <c r="V147" i="23"/>
  <c r="V135" i="23"/>
  <c r="V123" i="23"/>
  <c r="V111" i="23"/>
  <c r="V99" i="23"/>
  <c r="V87" i="23"/>
  <c r="V75" i="23"/>
  <c r="V63" i="23"/>
  <c r="V51" i="23"/>
  <c r="V39" i="23"/>
  <c r="V27" i="23"/>
  <c r="V15" i="23"/>
  <c r="P136" i="23"/>
  <c r="P124" i="23"/>
  <c r="P112" i="23"/>
  <c r="P100" i="23"/>
  <c r="P88" i="23"/>
  <c r="P76" i="23"/>
  <c r="P64" i="23"/>
  <c r="P52" i="23"/>
  <c r="P40" i="23"/>
  <c r="P28" i="23"/>
  <c r="P16" i="23"/>
  <c r="V206" i="23"/>
  <c r="V194" i="23"/>
  <c r="V182" i="23"/>
  <c r="V170" i="23"/>
  <c r="V158" i="23"/>
  <c r="V146" i="23"/>
  <c r="V134" i="23"/>
  <c r="V122" i="23"/>
  <c r="V110" i="23"/>
  <c r="V98" i="23"/>
  <c r="V86" i="23"/>
  <c r="V74" i="23"/>
  <c r="V62" i="23"/>
  <c r="V50" i="23"/>
  <c r="V38" i="23"/>
  <c r="V26" i="23"/>
  <c r="V14" i="23"/>
  <c r="AD23" i="23"/>
  <c r="AD11" i="23"/>
  <c r="V205" i="23"/>
  <c r="V181" i="23"/>
  <c r="V145" i="23"/>
  <c r="V121" i="23"/>
  <c r="V85" i="23"/>
  <c r="V25" i="23"/>
  <c r="P134" i="23"/>
  <c r="P122" i="23"/>
  <c r="P110" i="23"/>
  <c r="P98" i="23"/>
  <c r="P86" i="23"/>
  <c r="P74" i="23"/>
  <c r="P62" i="23"/>
  <c r="P50" i="23"/>
  <c r="P38" i="23"/>
  <c r="P26" i="23"/>
  <c r="P14" i="23"/>
  <c r="V216" i="23"/>
  <c r="V204" i="23"/>
  <c r="V192" i="23"/>
  <c r="V180" i="23"/>
  <c r="V168" i="23"/>
  <c r="V156" i="23"/>
  <c r="V144" i="23"/>
  <c r="V132" i="23"/>
  <c r="V120" i="23"/>
  <c r="V108" i="23"/>
  <c r="V96" i="23"/>
  <c r="V84" i="23"/>
  <c r="V72" i="23"/>
  <c r="V60" i="23"/>
  <c r="V48" i="23"/>
  <c r="V36" i="23"/>
  <c r="V24" i="23"/>
  <c r="V12" i="23"/>
  <c r="AD21" i="23"/>
  <c r="AD9" i="23"/>
  <c r="P133" i="23"/>
  <c r="P121" i="23"/>
  <c r="P109" i="23"/>
  <c r="P97" i="23"/>
  <c r="P85" i="23"/>
  <c r="P73" i="23"/>
  <c r="P61" i="23"/>
  <c r="P49" i="23"/>
  <c r="P37" i="23"/>
  <c r="P25" i="23"/>
  <c r="P13" i="23"/>
  <c r="V215" i="23"/>
  <c r="V203" i="23"/>
  <c r="V191" i="23"/>
  <c r="V179" i="23"/>
  <c r="V167" i="23"/>
  <c r="V155" i="23"/>
  <c r="V143" i="23"/>
  <c r="V131" i="23"/>
  <c r="V119" i="23"/>
  <c r="V107" i="23"/>
  <c r="V95" i="23"/>
  <c r="V83" i="23"/>
  <c r="V71" i="23"/>
  <c r="V59" i="23"/>
  <c r="V47" i="23"/>
  <c r="V35" i="23"/>
  <c r="V23" i="23"/>
  <c r="V11" i="23"/>
  <c r="AD20" i="23"/>
  <c r="AD8" i="23"/>
  <c r="V217" i="23"/>
  <c r="V193" i="23"/>
  <c r="V169" i="23"/>
  <c r="V157" i="23"/>
  <c r="V133" i="23"/>
  <c r="V109" i="23"/>
  <c r="V97" i="23"/>
  <c r="V73" i="23"/>
  <c r="V61" i="23"/>
  <c r="V49" i="23"/>
  <c r="V37" i="23"/>
  <c r="V13" i="23"/>
  <c r="P132" i="23"/>
  <c r="P120" i="23"/>
  <c r="P108" i="23"/>
  <c r="P96" i="23"/>
  <c r="P84" i="23"/>
  <c r="P72" i="23"/>
  <c r="P60" i="23"/>
  <c r="P48" i="23"/>
  <c r="P36" i="23"/>
  <c r="P24" i="23"/>
  <c r="P12" i="23"/>
  <c r="V214" i="23"/>
  <c r="V202" i="23"/>
  <c r="V190" i="23"/>
  <c r="V178" i="23"/>
  <c r="V166" i="23"/>
  <c r="V154" i="23"/>
  <c r="V142" i="23"/>
  <c r="V130" i="23"/>
  <c r="V118" i="23"/>
  <c r="V106" i="23"/>
  <c r="V94" i="23"/>
  <c r="V82" i="23"/>
  <c r="V70" i="23"/>
  <c r="V58" i="23"/>
  <c r="V46" i="23"/>
  <c r="V34" i="23"/>
  <c r="V22" i="23"/>
  <c r="V10" i="23"/>
  <c r="AD19" i="23"/>
  <c r="AD7" i="23"/>
  <c r="P131" i="23"/>
  <c r="P119" i="23"/>
  <c r="P107" i="23"/>
  <c r="P95" i="23"/>
  <c r="P83" i="23"/>
  <c r="P71" i="23"/>
  <c r="P59" i="23"/>
  <c r="P47" i="23"/>
  <c r="P35" i="23"/>
  <c r="P23" i="23"/>
  <c r="P11" i="23"/>
  <c r="V213" i="23"/>
  <c r="V201" i="23"/>
  <c r="V189" i="23"/>
  <c r="V177" i="23"/>
  <c r="V165" i="23"/>
  <c r="V153" i="23"/>
  <c r="V141" i="23"/>
  <c r="V129" i="23"/>
  <c r="V117" i="23"/>
  <c r="V105" i="23"/>
  <c r="V93" i="23"/>
  <c r="V81" i="23"/>
  <c r="V69" i="23"/>
  <c r="V57" i="23"/>
  <c r="V45" i="23"/>
  <c r="V33" i="23"/>
  <c r="V21" i="23"/>
  <c r="V9" i="23"/>
  <c r="AD18" i="23"/>
  <c r="AD6" i="23"/>
  <c r="P130" i="23"/>
  <c r="P118" i="23"/>
  <c r="P106" i="23"/>
  <c r="P94" i="23"/>
  <c r="P82" i="23"/>
  <c r="P70" i="23"/>
  <c r="P58" i="23"/>
  <c r="P46" i="23"/>
  <c r="P34" i="23"/>
  <c r="P22" i="23"/>
  <c r="P10" i="23"/>
  <c r="V212" i="23"/>
  <c r="V200" i="23"/>
  <c r="V188" i="23"/>
  <c r="V176" i="23"/>
  <c r="V164" i="23"/>
  <c r="V152" i="23"/>
  <c r="V140" i="23"/>
  <c r="V128" i="23"/>
  <c r="V116" i="23"/>
  <c r="V104" i="23"/>
  <c r="V92" i="23"/>
  <c r="V80" i="23"/>
  <c r="V68" i="23"/>
  <c r="V56" i="23"/>
  <c r="V44" i="23"/>
  <c r="V32" i="23"/>
  <c r="V20" i="23"/>
  <c r="V8" i="23"/>
  <c r="AD17" i="23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2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G4" i="14"/>
  <c r="G3" i="14"/>
  <c r="G2" i="14"/>
  <c r="A2" i="13" a="1"/>
  <c r="A2" i="13" s="1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3" i="12"/>
  <c r="X9" i="11"/>
  <c r="X8" i="11"/>
  <c r="O83" i="7"/>
  <c r="Q83" i="7" s="1"/>
  <c r="O90" i="7"/>
  <c r="Q90" i="7" s="1"/>
  <c r="O99" i="7"/>
  <c r="Q99" i="7" s="1"/>
  <c r="O108" i="7"/>
  <c r="Q108" i="7" s="1"/>
  <c r="O126" i="7"/>
  <c r="Q126" i="7" s="1"/>
  <c r="O130" i="7"/>
  <c r="Q130" i="7" s="1"/>
  <c r="O153" i="7"/>
  <c r="Q153" i="7" s="1"/>
  <c r="O164" i="7"/>
  <c r="Q164" i="7" s="1"/>
  <c r="O173" i="7"/>
  <c r="Q173" i="7" s="1"/>
  <c r="O205" i="7"/>
  <c r="Q205" i="7" s="1"/>
  <c r="O214" i="7"/>
  <c r="Q214" i="7" s="1"/>
  <c r="L11" i="7" a="1"/>
  <c r="L11" i="7" s="1"/>
  <c r="F42" i="11"/>
  <c r="F41" i="11"/>
  <c r="F25" i="11"/>
  <c r="F24" i="11"/>
  <c r="N4" i="11"/>
  <c r="N5" i="11"/>
  <c r="N6" i="11"/>
  <c r="N7" i="11"/>
  <c r="N8" i="11"/>
  <c r="N9" i="11"/>
  <c r="N10" i="11"/>
  <c r="N11" i="11"/>
  <c r="N12" i="11"/>
  <c r="N14" i="11"/>
  <c r="N15" i="11"/>
  <c r="N16" i="11"/>
  <c r="N17" i="11"/>
  <c r="N18" i="11"/>
  <c r="N19" i="11"/>
  <c r="N3" i="11"/>
  <c r="J19" i="11"/>
  <c r="J18" i="11"/>
  <c r="J17" i="11"/>
  <c r="J16" i="11"/>
  <c r="J15" i="11"/>
  <c r="J14" i="11"/>
  <c r="J12" i="11"/>
  <c r="J4" i="11"/>
  <c r="J5" i="11"/>
  <c r="J6" i="11"/>
  <c r="J7" i="11"/>
  <c r="J8" i="11"/>
  <c r="J9" i="11"/>
  <c r="J10" i="11"/>
  <c r="J11" i="11"/>
  <c r="J3" i="11"/>
  <c r="I14" i="11"/>
  <c r="I19" i="11"/>
  <c r="I18" i="11"/>
  <c r="I17" i="11"/>
  <c r="I16" i="11"/>
  <c r="I15" i="11"/>
  <c r="I12" i="11"/>
  <c r="I4" i="11"/>
  <c r="I5" i="11"/>
  <c r="I6" i="11"/>
  <c r="I7" i="11"/>
  <c r="I8" i="11"/>
  <c r="I9" i="11"/>
  <c r="I10" i="11"/>
  <c r="I11" i="11"/>
  <c r="I3" i="11"/>
  <c r="D18" i="11"/>
  <c r="F4" i="11"/>
  <c r="Y83" i="7"/>
  <c r="AD130" i="7"/>
  <c r="S173" i="7"/>
  <c r="R90" i="7"/>
  <c r="D10" i="11"/>
  <c r="U214" i="7"/>
  <c r="T126" i="7"/>
  <c r="R130" i="7"/>
  <c r="Y90" i="7"/>
  <c r="AC214" i="7"/>
  <c r="F17" i="11"/>
  <c r="Y108" i="7"/>
  <c r="AE99" i="7"/>
  <c r="W99" i="7"/>
  <c r="D12" i="11"/>
  <c r="AF164" i="7"/>
  <c r="R99" i="7"/>
  <c r="T130" i="7"/>
  <c r="AB99" i="7"/>
  <c r="Y173" i="7"/>
  <c r="Z126" i="7"/>
  <c r="Z205" i="7"/>
  <c r="AG99" i="7"/>
  <c r="T90" i="7"/>
  <c r="V83" i="7"/>
  <c r="X130" i="7"/>
  <c r="D9" i="11"/>
  <c r="AF108" i="7"/>
  <c r="F7" i="11"/>
  <c r="AG153" i="7"/>
  <c r="AH153" i="7"/>
  <c r="R83" i="7"/>
  <c r="D3" i="11"/>
  <c r="U205" i="7"/>
  <c r="AD214" i="7"/>
  <c r="D4" i="11"/>
  <c r="AC164" i="7"/>
  <c r="AE173" i="7"/>
  <c r="D7" i="11"/>
  <c r="AA90" i="7"/>
  <c r="AG205" i="7"/>
  <c r="AH90" i="7"/>
  <c r="AF83" i="7"/>
  <c r="AB153" i="7"/>
  <c r="AF126" i="7"/>
  <c r="AB90" i="7"/>
  <c r="Z173" i="7"/>
  <c r="AB164" i="7"/>
  <c r="S205" i="7"/>
  <c r="AD99" i="7"/>
  <c r="AB108" i="7"/>
  <c r="D13" i="11"/>
  <c r="AF173" i="7"/>
  <c r="AC205" i="7"/>
  <c r="AH108" i="7"/>
  <c r="V214" i="7"/>
  <c r="F3" i="11"/>
  <c r="AB214" i="7"/>
  <c r="V90" i="7"/>
  <c r="S126" i="7"/>
  <c r="W90" i="7"/>
  <c r="AA153" i="7"/>
  <c r="D8" i="11"/>
  <c r="X99" i="7"/>
  <c r="AC99" i="7"/>
  <c r="AE126" i="7"/>
  <c r="V126" i="7"/>
  <c r="F9" i="11"/>
  <c r="D16" i="11"/>
  <c r="AG126" i="7"/>
  <c r="S83" i="7"/>
  <c r="T99" i="7"/>
  <c r="F10" i="11"/>
  <c r="AD108" i="7"/>
  <c r="F18" i="11"/>
  <c r="Y126" i="7"/>
  <c r="AH214" i="7"/>
  <c r="S130" i="7"/>
  <c r="Z90" i="7"/>
  <c r="D6" i="11"/>
  <c r="R205" i="7"/>
  <c r="F12" i="11"/>
  <c r="AH126" i="7"/>
  <c r="AE164" i="7"/>
  <c r="Z108" i="7"/>
  <c r="S99" i="7"/>
  <c r="AD173" i="7"/>
  <c r="X164" i="7"/>
  <c r="W205" i="7"/>
  <c r="F8" i="11"/>
  <c r="Y214" i="7"/>
  <c r="AB130" i="7"/>
  <c r="V108" i="7"/>
  <c r="R108" i="7"/>
  <c r="Z83" i="7"/>
  <c r="T153" i="7"/>
  <c r="AC83" i="7"/>
  <c r="AG214" i="7"/>
  <c r="D15" i="11"/>
  <c r="T205" i="7"/>
  <c r="D11" i="11"/>
  <c r="AA130" i="7"/>
  <c r="AE205" i="7"/>
  <c r="W173" i="7"/>
  <c r="AG90" i="7"/>
  <c r="S108" i="7"/>
  <c r="AA126" i="7"/>
  <c r="X83" i="7"/>
  <c r="AG108" i="7"/>
  <c r="D14" i="11"/>
  <c r="F13" i="11"/>
  <c r="Y164" i="7"/>
  <c r="AD83" i="7"/>
  <c r="Z214" i="7"/>
  <c r="U164" i="7"/>
  <c r="R214" i="7"/>
  <c r="AE83" i="7"/>
  <c r="F15" i="11"/>
  <c r="U173" i="7"/>
  <c r="U108" i="7"/>
  <c r="F14" i="11"/>
  <c r="AC108" i="7"/>
  <c r="W164" i="7"/>
  <c r="F16" i="11"/>
  <c r="AA173" i="7"/>
  <c r="T83" i="7"/>
  <c r="V205" i="7"/>
  <c r="D17" i="11"/>
  <c r="V99" i="7"/>
  <c r="AE130" i="7"/>
  <c r="AB173" i="7"/>
  <c r="AB205" i="7"/>
  <c r="F6" i="11"/>
  <c r="AE153" i="7"/>
  <c r="U90" i="7"/>
  <c r="U153" i="7"/>
  <c r="W214" i="7"/>
  <c r="U130" i="7"/>
  <c r="X153" i="7"/>
  <c r="W130" i="7"/>
  <c r="Y205" i="7"/>
  <c r="AF130" i="7"/>
  <c r="AH205" i="7"/>
  <c r="AH99" i="7"/>
  <c r="AC153" i="7"/>
  <c r="X173" i="7"/>
  <c r="AC173" i="7"/>
  <c r="U83" i="7"/>
  <c r="AF205" i="7"/>
  <c r="AA164" i="7"/>
  <c r="AH164" i="7"/>
  <c r="R173" i="7"/>
  <c r="AD164" i="7"/>
  <c r="AD126" i="7"/>
  <c r="AF90" i="7"/>
  <c r="AC126" i="7"/>
  <c r="T108" i="7"/>
  <c r="Z99" i="7"/>
  <c r="X108" i="7"/>
  <c r="Y130" i="7"/>
  <c r="AE108" i="7"/>
  <c r="AA108" i="7"/>
  <c r="X214" i="7"/>
  <c r="T173" i="7"/>
  <c r="AD205" i="7"/>
  <c r="AA83" i="7"/>
  <c r="AB83" i="7"/>
  <c r="U126" i="7"/>
  <c r="Z130" i="7"/>
  <c r="AG83" i="7"/>
  <c r="V153" i="7"/>
  <c r="AE90" i="7"/>
  <c r="S153" i="7"/>
  <c r="R153" i="7"/>
  <c r="W153" i="7"/>
  <c r="AA205" i="7"/>
  <c r="F5" i="11"/>
  <c r="AG164" i="7"/>
  <c r="D19" i="11"/>
  <c r="D5" i="11"/>
  <c r="W83" i="7"/>
  <c r="W108" i="7"/>
  <c r="W126" i="7"/>
  <c r="AA214" i="7"/>
  <c r="Z164" i="7"/>
  <c r="AC130" i="7"/>
  <c r="F19" i="11"/>
  <c r="AF153" i="7"/>
  <c r="X205" i="7"/>
  <c r="AH83" i="7"/>
  <c r="R164" i="7"/>
  <c r="AD90" i="7"/>
  <c r="Y99" i="7"/>
  <c r="AB126" i="7"/>
  <c r="Z153" i="7"/>
  <c r="AC90" i="7"/>
  <c r="AH130" i="7"/>
  <c r="AF214" i="7"/>
  <c r="AG173" i="7"/>
  <c r="V130" i="7"/>
  <c r="V173" i="7"/>
  <c r="AA99" i="7"/>
  <c r="AE214" i="7"/>
  <c r="X126" i="7"/>
  <c r="S214" i="7"/>
  <c r="AG130" i="7"/>
  <c r="AF99" i="7"/>
  <c r="AD153" i="7"/>
  <c r="T164" i="7"/>
  <c r="S164" i="7"/>
  <c r="S90" i="7"/>
  <c r="T214" i="7"/>
  <c r="V164" i="7"/>
  <c r="U99" i="7"/>
  <c r="Y153" i="7"/>
  <c r="X90" i="7"/>
  <c r="R126" i="7"/>
  <c r="F11" i="11"/>
  <c r="AH173" i="7"/>
  <c r="V5" i="23" l="1"/>
  <c r="AB12" i="22"/>
  <c r="AB9" i="22"/>
  <c r="AB5" i="22"/>
  <c r="AB4" i="22"/>
  <c r="AB20" i="22" a="1"/>
  <c r="AB20" i="22" s="1"/>
  <c r="AB10" i="22"/>
  <c r="AB18" i="22" a="1"/>
  <c r="AB18" i="22" s="1"/>
  <c r="AB7" i="22"/>
  <c r="AB19" i="22" a="1"/>
  <c r="AB19" i="22" s="1"/>
  <c r="AB27" i="22" a="1"/>
  <c r="AB27" i="22" s="1"/>
  <c r="AB13" i="22"/>
  <c r="AB26" i="22" a="1"/>
  <c r="AB26" i="22" s="1"/>
  <c r="AB14" i="22"/>
  <c r="AB11" i="22"/>
  <c r="AB8" i="22"/>
  <c r="AB25" i="22" a="1"/>
  <c r="AB25" i="22" s="1"/>
  <c r="AB6" i="22"/>
  <c r="AB24" i="22" a="1"/>
  <c r="AB24" i="22" s="1"/>
  <c r="AB23" i="22" a="1"/>
  <c r="AB23" i="22" s="1"/>
  <c r="AB22" i="22" a="1"/>
  <c r="AB22" i="22" s="1"/>
  <c r="AB21" i="22" a="1"/>
  <c r="AB21" i="22" s="1"/>
  <c r="AG5" i="23"/>
  <c r="AG6" i="23"/>
  <c r="S6" i="23"/>
  <c r="S5" i="23"/>
  <c r="AK205" i="7"/>
  <c r="AK173" i="7"/>
  <c r="AK214" i="7"/>
  <c r="AK153" i="7"/>
  <c r="AK126" i="7"/>
  <c r="AK130" i="7"/>
  <c r="AK83" i="7"/>
  <c r="AK90" i="7"/>
  <c r="AK164" i="7"/>
  <c r="AK99" i="7"/>
  <c r="AK108" i="7"/>
  <c r="AI214" i="7"/>
  <c r="AI205" i="7"/>
  <c r="AI173" i="7"/>
  <c r="AI126" i="7"/>
  <c r="AI153" i="7"/>
  <c r="AI83" i="7"/>
  <c r="AI90" i="7"/>
  <c r="AI164" i="7"/>
  <c r="AI99" i="7"/>
  <c r="AI130" i="7"/>
  <c r="AI108" i="7"/>
  <c r="I20" i="11"/>
  <c r="P108" i="7"/>
  <c r="AO108" i="7" s="1"/>
  <c r="P153" i="7"/>
  <c r="O42" i="12" s="1"/>
  <c r="P42" i="12" s="1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B147" i="8" a="1"/>
  <c r="B147" i="8" s="1"/>
  <c r="B146" i="8" a="1"/>
  <c r="B146" i="8" s="1"/>
  <c r="B145" i="8" a="1"/>
  <c r="B145" i="8" s="1"/>
  <c r="B144" i="8" a="1"/>
  <c r="B144" i="8" s="1"/>
  <c r="B143" i="8" a="1"/>
  <c r="B143" i="8" s="1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43" i="8"/>
  <c r="I102" i="8"/>
  <c r="I103" i="8"/>
  <c r="I104" i="8"/>
  <c r="I105" i="8"/>
  <c r="I101" i="8"/>
  <c r="H89" i="8"/>
  <c r="H86" i="8"/>
  <c r="H87" i="8"/>
  <c r="H88" i="8"/>
  <c r="H85" i="8"/>
  <c r="H84" i="8"/>
  <c r="H81" i="8"/>
  <c r="H82" i="8"/>
  <c r="H79" i="8"/>
  <c r="H80" i="8"/>
  <c r="H77" i="8"/>
  <c r="H78" i="8"/>
  <c r="H75" i="8"/>
  <c r="H76" i="8"/>
  <c r="H74" i="8"/>
  <c r="H73" i="8"/>
  <c r="I74" i="8"/>
  <c r="I75" i="8"/>
  <c r="I76" i="8"/>
  <c r="I77" i="8"/>
  <c r="I78" i="8"/>
  <c r="I79" i="8"/>
  <c r="I80" i="8"/>
  <c r="I81" i="8"/>
  <c r="I82" i="8"/>
  <c r="I84" i="8"/>
  <c r="I85" i="8"/>
  <c r="I86" i="8"/>
  <c r="I87" i="8"/>
  <c r="I88" i="8"/>
  <c r="I89" i="8"/>
  <c r="I73" i="8"/>
  <c r="E87" i="8"/>
  <c r="E89" i="8"/>
  <c r="C81" i="8"/>
  <c r="C82" i="8"/>
  <c r="C85" i="8"/>
  <c r="E79" i="8"/>
  <c r="E77" i="8"/>
  <c r="C75" i="8"/>
  <c r="E81" i="8"/>
  <c r="C77" i="8"/>
  <c r="C80" i="8"/>
  <c r="E76" i="8"/>
  <c r="E83" i="8"/>
  <c r="C87" i="8"/>
  <c r="E78" i="8"/>
  <c r="C73" i="8"/>
  <c r="C84" i="8"/>
  <c r="C74" i="8"/>
  <c r="E80" i="8"/>
  <c r="C88" i="8"/>
  <c r="E84" i="8"/>
  <c r="E74" i="8"/>
  <c r="E75" i="8"/>
  <c r="E73" i="8"/>
  <c r="E86" i="8"/>
  <c r="C76" i="8"/>
  <c r="C83" i="8"/>
  <c r="C78" i="8"/>
  <c r="C79" i="8"/>
  <c r="C86" i="8"/>
  <c r="E82" i="8"/>
  <c r="E88" i="8"/>
  <c r="E85" i="8"/>
  <c r="C89" i="8"/>
  <c r="AC20" i="22" l="1"/>
  <c r="AC26" i="22"/>
  <c r="AC23" i="22"/>
  <c r="AC25" i="22"/>
  <c r="AC22" i="22"/>
  <c r="AC24" i="22"/>
  <c r="AC21" i="22"/>
  <c r="AC18" i="22"/>
  <c r="AB28" i="22"/>
  <c r="AC19" i="22"/>
  <c r="AC27" i="22"/>
  <c r="H90" i="8"/>
  <c r="P130" i="7"/>
  <c r="AZ130" i="7" s="1"/>
  <c r="P126" i="7"/>
  <c r="AL126" i="7" s="1"/>
  <c r="P214" i="7"/>
  <c r="AY214" i="7" s="1"/>
  <c r="P99" i="7"/>
  <c r="AM99" i="7" s="1"/>
  <c r="P205" i="7"/>
  <c r="AR205" i="7" s="1"/>
  <c r="P90" i="7"/>
  <c r="AY90" i="7" s="1"/>
  <c r="P173" i="7"/>
  <c r="AN173" i="7" s="1"/>
  <c r="P83" i="7"/>
  <c r="AV83" i="7" s="1"/>
  <c r="P164" i="7"/>
  <c r="AP164" i="7" s="1"/>
  <c r="N235" i="7"/>
  <c r="C98" i="8"/>
  <c r="C97" i="8"/>
  <c r="C96" i="8"/>
  <c r="C95" i="8"/>
  <c r="C94" i="8"/>
  <c r="AM130" i="7"/>
  <c r="AT130" i="7"/>
  <c r="AP130" i="7"/>
  <c r="AQ130" i="7"/>
  <c r="AS214" i="7"/>
  <c r="AR214" i="7"/>
  <c r="AV214" i="7"/>
  <c r="AV126" i="7"/>
  <c r="AN126" i="7"/>
  <c r="AX126" i="7"/>
  <c r="AR126" i="7"/>
  <c r="AP126" i="7"/>
  <c r="AO126" i="7"/>
  <c r="BA126" i="7"/>
  <c r="AU126" i="7"/>
  <c r="AM126" i="7"/>
  <c r="AZ83" i="7"/>
  <c r="AP153" i="7"/>
  <c r="AS153" i="7"/>
  <c r="AW153" i="7"/>
  <c r="AX153" i="7"/>
  <c r="BA153" i="7"/>
  <c r="AO153" i="7"/>
  <c r="AY153" i="7"/>
  <c r="AM153" i="7"/>
  <c r="AQ153" i="7"/>
  <c r="AZ153" i="7"/>
  <c r="AR153" i="7"/>
  <c r="AV153" i="7"/>
  <c r="AN153" i="7"/>
  <c r="AT153" i="7"/>
  <c r="AU153" i="7"/>
  <c r="AL153" i="7"/>
  <c r="AY108" i="7"/>
  <c r="AQ108" i="7"/>
  <c r="AV108" i="7"/>
  <c r="AU108" i="7"/>
  <c r="AR108" i="7"/>
  <c r="AN108" i="7"/>
  <c r="AX108" i="7"/>
  <c r="AP108" i="7"/>
  <c r="BA108" i="7"/>
  <c r="AZ108" i="7"/>
  <c r="AT108" i="7"/>
  <c r="AS108" i="7"/>
  <c r="AM108" i="7"/>
  <c r="AW108" i="7"/>
  <c r="AL108" i="7"/>
  <c r="E3" i="2"/>
  <c r="E4" i="2"/>
  <c r="E5" i="2"/>
  <c r="E6" i="2"/>
  <c r="E7" i="2"/>
  <c r="E8" i="2"/>
  <c r="E9" i="2"/>
  <c r="E10" i="2"/>
  <c r="E11" i="2"/>
  <c r="E12" i="2"/>
  <c r="E13" i="2"/>
  <c r="E14" i="2"/>
  <c r="E15" i="2"/>
  <c r="E2" i="2"/>
  <c r="D39" i="10"/>
  <c r="D31" i="10"/>
  <c r="D23" i="10"/>
  <c r="D15" i="10"/>
  <c r="D7" i="10"/>
  <c r="AL4" i="1" a="1"/>
  <c r="AL4" i="1" s="1"/>
  <c r="AM4" i="1" a="1"/>
  <c r="AM4" i="1" s="1"/>
  <c r="AN4" i="1" a="1"/>
  <c r="AN4" i="1" s="1"/>
  <c r="AO4" i="1" a="1"/>
  <c r="AO4" i="1" s="1"/>
  <c r="AP4" i="1" a="1"/>
  <c r="AP4" i="1" s="1"/>
  <c r="AQ4" i="1" a="1"/>
  <c r="AQ4" i="1" s="1"/>
  <c r="AR4" i="1" a="1"/>
  <c r="AR4" i="1" s="1"/>
  <c r="AS4" i="1" a="1"/>
  <c r="AS4" i="1" s="1"/>
  <c r="AT4" i="1" a="1"/>
  <c r="AT4" i="1" s="1"/>
  <c r="AU4" i="1" a="1"/>
  <c r="AU4" i="1" s="1"/>
  <c r="AV4" i="1" a="1"/>
  <c r="AV4" i="1" s="1"/>
  <c r="AW4" i="1" a="1"/>
  <c r="AW4" i="1" s="1"/>
  <c r="AX4" i="1" a="1"/>
  <c r="AX4" i="1" s="1"/>
  <c r="AY4" i="1" a="1"/>
  <c r="AY4" i="1" s="1"/>
  <c r="AZ4" i="1" a="1"/>
  <c r="AZ4" i="1" s="1"/>
  <c r="BA4" i="1" a="1"/>
  <c r="BA4" i="1" s="1"/>
  <c r="BB4" i="1" a="1"/>
  <c r="BB4" i="1" s="1"/>
  <c r="AL5" i="1" a="1"/>
  <c r="AL5" i="1" s="1"/>
  <c r="AM5" i="1" a="1"/>
  <c r="AM5" i="1" s="1"/>
  <c r="AN5" i="1" a="1"/>
  <c r="AN5" i="1" s="1"/>
  <c r="AO5" i="1" a="1"/>
  <c r="AO5" i="1" s="1"/>
  <c r="AP5" i="1" a="1"/>
  <c r="AP5" i="1" s="1"/>
  <c r="AQ5" i="1" a="1"/>
  <c r="AQ5" i="1" s="1"/>
  <c r="AR5" i="1" a="1"/>
  <c r="AR5" i="1" s="1"/>
  <c r="AS5" i="1" a="1"/>
  <c r="AS5" i="1" s="1"/>
  <c r="AT5" i="1" a="1"/>
  <c r="AT5" i="1" s="1"/>
  <c r="AU5" i="1" a="1"/>
  <c r="AU5" i="1" s="1"/>
  <c r="AV5" i="1" a="1"/>
  <c r="AV5" i="1" s="1"/>
  <c r="AW5" i="1" a="1"/>
  <c r="AW5" i="1" s="1"/>
  <c r="AX5" i="1" a="1"/>
  <c r="AX5" i="1" s="1"/>
  <c r="AY5" i="1" a="1"/>
  <c r="AY5" i="1" s="1"/>
  <c r="AZ5" i="1" a="1"/>
  <c r="AZ5" i="1" s="1"/>
  <c r="BA5" i="1" a="1"/>
  <c r="BA5" i="1" s="1"/>
  <c r="BB5" i="1" a="1"/>
  <c r="BB5" i="1" s="1"/>
  <c r="AL6" i="1" a="1"/>
  <c r="AL6" i="1" s="1"/>
  <c r="AM6" i="1" a="1"/>
  <c r="AM6" i="1" s="1"/>
  <c r="AN6" i="1" a="1"/>
  <c r="AN6" i="1" s="1"/>
  <c r="AO6" i="1" a="1"/>
  <c r="AO6" i="1" s="1"/>
  <c r="AP6" i="1" a="1"/>
  <c r="AP6" i="1" s="1"/>
  <c r="AQ6" i="1" a="1"/>
  <c r="AQ6" i="1" s="1"/>
  <c r="AR6" i="1" a="1"/>
  <c r="AR6" i="1" s="1"/>
  <c r="AS6" i="1" a="1"/>
  <c r="AS6" i="1" s="1"/>
  <c r="AT6" i="1" a="1"/>
  <c r="AT6" i="1" s="1"/>
  <c r="AU6" i="1" a="1"/>
  <c r="AU6" i="1" s="1"/>
  <c r="AV6" i="1" a="1"/>
  <c r="AV6" i="1" s="1"/>
  <c r="AW6" i="1" a="1"/>
  <c r="AW6" i="1" s="1"/>
  <c r="AX6" i="1" a="1"/>
  <c r="AX6" i="1" s="1"/>
  <c r="AY6" i="1" a="1"/>
  <c r="AY6" i="1" s="1"/>
  <c r="AZ6" i="1" a="1"/>
  <c r="AZ6" i="1" s="1"/>
  <c r="BA6" i="1" a="1"/>
  <c r="BA6" i="1" s="1"/>
  <c r="BB6" i="1" a="1"/>
  <c r="BB6" i="1" s="1"/>
  <c r="AL7" i="1" a="1"/>
  <c r="AL7" i="1" s="1"/>
  <c r="AM7" i="1" a="1"/>
  <c r="AM7" i="1" s="1"/>
  <c r="AN7" i="1" a="1"/>
  <c r="AN7" i="1" s="1"/>
  <c r="AO7" i="1" a="1"/>
  <c r="AO7" i="1" s="1"/>
  <c r="AP7" i="1" a="1"/>
  <c r="AP7" i="1" s="1"/>
  <c r="AQ7" i="1" a="1"/>
  <c r="AQ7" i="1" s="1"/>
  <c r="AR7" i="1" a="1"/>
  <c r="AR7" i="1" s="1"/>
  <c r="AS7" i="1" a="1"/>
  <c r="AS7" i="1" s="1"/>
  <c r="AT7" i="1" a="1"/>
  <c r="AT7" i="1" s="1"/>
  <c r="AU7" i="1" a="1"/>
  <c r="AU7" i="1" s="1"/>
  <c r="AV7" i="1" a="1"/>
  <c r="AV7" i="1" s="1"/>
  <c r="AW7" i="1" a="1"/>
  <c r="AW7" i="1" s="1"/>
  <c r="AX7" i="1" a="1"/>
  <c r="AX7" i="1" s="1"/>
  <c r="AY7" i="1" a="1"/>
  <c r="AY7" i="1" s="1"/>
  <c r="AZ7" i="1" a="1"/>
  <c r="AZ7" i="1" s="1"/>
  <c r="BA7" i="1" a="1"/>
  <c r="BA7" i="1" s="1"/>
  <c r="BB7" i="1" a="1"/>
  <c r="BB7" i="1" s="1"/>
  <c r="AL8" i="1" a="1"/>
  <c r="AL8" i="1" s="1"/>
  <c r="AM8" i="1" a="1"/>
  <c r="AM8" i="1" s="1"/>
  <c r="AN8" i="1" a="1"/>
  <c r="AN8" i="1" s="1"/>
  <c r="AO8" i="1" a="1"/>
  <c r="AO8" i="1" s="1"/>
  <c r="AP8" i="1" a="1"/>
  <c r="AP8" i="1" s="1"/>
  <c r="AQ8" i="1" a="1"/>
  <c r="AQ8" i="1" s="1"/>
  <c r="AR8" i="1" a="1"/>
  <c r="AR8" i="1" s="1"/>
  <c r="AS8" i="1" a="1"/>
  <c r="AS8" i="1" s="1"/>
  <c r="AT8" i="1" a="1"/>
  <c r="AT8" i="1" s="1"/>
  <c r="AU8" i="1" a="1"/>
  <c r="AU8" i="1" s="1"/>
  <c r="AV8" i="1" a="1"/>
  <c r="AV8" i="1" s="1"/>
  <c r="AW8" i="1" a="1"/>
  <c r="AW8" i="1" s="1"/>
  <c r="AX8" i="1" a="1"/>
  <c r="AX8" i="1" s="1"/>
  <c r="AY8" i="1" a="1"/>
  <c r="AY8" i="1" s="1"/>
  <c r="AZ8" i="1" a="1"/>
  <c r="AZ8" i="1" s="1"/>
  <c r="BA8" i="1" a="1"/>
  <c r="BA8" i="1" s="1"/>
  <c r="BB8" i="1" a="1"/>
  <c r="BB8" i="1" s="1"/>
  <c r="AL9" i="1" a="1"/>
  <c r="AL9" i="1" s="1"/>
  <c r="AM9" i="1" a="1"/>
  <c r="AM9" i="1" s="1"/>
  <c r="AN9" i="1" a="1"/>
  <c r="AN9" i="1" s="1"/>
  <c r="AO9" i="1" a="1"/>
  <c r="AO9" i="1" s="1"/>
  <c r="AP9" i="1" a="1"/>
  <c r="AP9" i="1" s="1"/>
  <c r="AQ9" i="1" a="1"/>
  <c r="AQ9" i="1" s="1"/>
  <c r="AR9" i="1" a="1"/>
  <c r="AR9" i="1" s="1"/>
  <c r="AS9" i="1" a="1"/>
  <c r="AS9" i="1" s="1"/>
  <c r="AT9" i="1" a="1"/>
  <c r="AT9" i="1" s="1"/>
  <c r="AU9" i="1" a="1"/>
  <c r="AU9" i="1" s="1"/>
  <c r="AV9" i="1" a="1"/>
  <c r="AV9" i="1" s="1"/>
  <c r="AW9" i="1" a="1"/>
  <c r="AW9" i="1" s="1"/>
  <c r="AX9" i="1" a="1"/>
  <c r="AX9" i="1" s="1"/>
  <c r="AY9" i="1" a="1"/>
  <c r="AY9" i="1" s="1"/>
  <c r="AZ9" i="1" a="1"/>
  <c r="AZ9" i="1" s="1"/>
  <c r="BA9" i="1" a="1"/>
  <c r="BA9" i="1" s="1"/>
  <c r="BB9" i="1" a="1"/>
  <c r="BB9" i="1" s="1"/>
  <c r="AL10" i="1" a="1"/>
  <c r="AL10" i="1" s="1"/>
  <c r="AM10" i="1" a="1"/>
  <c r="AM10" i="1" s="1"/>
  <c r="AN10" i="1" a="1"/>
  <c r="AN10" i="1" s="1"/>
  <c r="AO10" i="1" a="1"/>
  <c r="AO10" i="1" s="1"/>
  <c r="AP10" i="1" a="1"/>
  <c r="AP10" i="1" s="1"/>
  <c r="AQ10" i="1" a="1"/>
  <c r="AQ10" i="1" s="1"/>
  <c r="AR10" i="1" a="1"/>
  <c r="AR10" i="1" s="1"/>
  <c r="AS10" i="1" a="1"/>
  <c r="AS10" i="1" s="1"/>
  <c r="AT10" i="1" a="1"/>
  <c r="AT10" i="1" s="1"/>
  <c r="AU10" i="1" a="1"/>
  <c r="AU10" i="1" s="1"/>
  <c r="AV10" i="1" a="1"/>
  <c r="AV10" i="1" s="1"/>
  <c r="AW10" i="1" a="1"/>
  <c r="AW10" i="1" s="1"/>
  <c r="AX10" i="1" a="1"/>
  <c r="AX10" i="1" s="1"/>
  <c r="AY10" i="1" a="1"/>
  <c r="AY10" i="1" s="1"/>
  <c r="AZ10" i="1" a="1"/>
  <c r="AZ10" i="1" s="1"/>
  <c r="BA10" i="1" a="1"/>
  <c r="BA10" i="1" s="1"/>
  <c r="BB10" i="1" a="1"/>
  <c r="BB10" i="1" s="1"/>
  <c r="AL11" i="1" a="1"/>
  <c r="AL11" i="1" s="1"/>
  <c r="AM11" i="1" a="1"/>
  <c r="AM11" i="1" s="1"/>
  <c r="AN11" i="1" a="1"/>
  <c r="AN11" i="1" s="1"/>
  <c r="AO11" i="1" a="1"/>
  <c r="AO11" i="1" s="1"/>
  <c r="AP11" i="1" a="1"/>
  <c r="AP11" i="1" s="1"/>
  <c r="AQ11" i="1" a="1"/>
  <c r="AQ11" i="1" s="1"/>
  <c r="AR11" i="1" a="1"/>
  <c r="AR11" i="1" s="1"/>
  <c r="AS11" i="1" a="1"/>
  <c r="AS11" i="1" s="1"/>
  <c r="AT11" i="1" a="1"/>
  <c r="AT11" i="1" s="1"/>
  <c r="AU11" i="1" a="1"/>
  <c r="AU11" i="1" s="1"/>
  <c r="AV11" i="1" a="1"/>
  <c r="AV11" i="1" s="1"/>
  <c r="AW11" i="1" a="1"/>
  <c r="AW11" i="1" s="1"/>
  <c r="AX11" i="1" a="1"/>
  <c r="AX11" i="1" s="1"/>
  <c r="AY11" i="1" a="1"/>
  <c r="AY11" i="1" s="1"/>
  <c r="AZ11" i="1" a="1"/>
  <c r="AZ11" i="1" s="1"/>
  <c r="BA11" i="1" a="1"/>
  <c r="BA11" i="1" s="1"/>
  <c r="BB11" i="1" a="1"/>
  <c r="BB11" i="1" s="1"/>
  <c r="AL12" i="1" a="1"/>
  <c r="AL12" i="1" s="1"/>
  <c r="AM12" i="1" a="1"/>
  <c r="AM12" i="1" s="1"/>
  <c r="AN12" i="1" a="1"/>
  <c r="AN12" i="1" s="1"/>
  <c r="AO12" i="1" a="1"/>
  <c r="AO12" i="1" s="1"/>
  <c r="AP12" i="1" a="1"/>
  <c r="AP12" i="1" s="1"/>
  <c r="AQ12" i="1" a="1"/>
  <c r="AQ12" i="1" s="1"/>
  <c r="AR12" i="1" a="1"/>
  <c r="AR12" i="1" s="1"/>
  <c r="AS12" i="1" a="1"/>
  <c r="AS12" i="1" s="1"/>
  <c r="AT12" i="1" a="1"/>
  <c r="AT12" i="1" s="1"/>
  <c r="AU12" i="1" a="1"/>
  <c r="AU12" i="1" s="1"/>
  <c r="AV12" i="1" a="1"/>
  <c r="AV12" i="1" s="1"/>
  <c r="AW12" i="1" a="1"/>
  <c r="AW12" i="1" s="1"/>
  <c r="AX12" i="1" a="1"/>
  <c r="AX12" i="1" s="1"/>
  <c r="AY12" i="1" a="1"/>
  <c r="AY12" i="1" s="1"/>
  <c r="AZ12" i="1" a="1"/>
  <c r="AZ12" i="1" s="1"/>
  <c r="BA12" i="1" a="1"/>
  <c r="BA12" i="1" s="1"/>
  <c r="BB12" i="1" a="1"/>
  <c r="BB12" i="1" s="1"/>
  <c r="AL13" i="1" a="1"/>
  <c r="AL13" i="1" s="1"/>
  <c r="AM13" i="1" a="1"/>
  <c r="AM13" i="1" s="1"/>
  <c r="AN13" i="1" a="1"/>
  <c r="AN13" i="1" s="1"/>
  <c r="AO13" i="1" a="1"/>
  <c r="AO13" i="1" s="1"/>
  <c r="AP13" i="1" a="1"/>
  <c r="AP13" i="1" s="1"/>
  <c r="AQ13" i="1" a="1"/>
  <c r="AQ13" i="1" s="1"/>
  <c r="AR13" i="1" a="1"/>
  <c r="AR13" i="1" s="1"/>
  <c r="AS13" i="1" a="1"/>
  <c r="AS13" i="1" s="1"/>
  <c r="AT13" i="1" a="1"/>
  <c r="AT13" i="1" s="1"/>
  <c r="AU13" i="1" a="1"/>
  <c r="AU13" i="1" s="1"/>
  <c r="AV13" i="1" a="1"/>
  <c r="AV13" i="1" s="1"/>
  <c r="AW13" i="1" a="1"/>
  <c r="AW13" i="1" s="1"/>
  <c r="AX13" i="1" a="1"/>
  <c r="AX13" i="1" s="1"/>
  <c r="AY13" i="1" a="1"/>
  <c r="AY13" i="1" s="1"/>
  <c r="AZ13" i="1" a="1"/>
  <c r="AZ13" i="1" s="1"/>
  <c r="BA13" i="1" a="1"/>
  <c r="BA13" i="1" s="1"/>
  <c r="BB13" i="1" a="1"/>
  <c r="BB13" i="1" s="1"/>
  <c r="AL14" i="1" a="1"/>
  <c r="AL14" i="1" s="1"/>
  <c r="AM14" i="1" a="1"/>
  <c r="AM14" i="1" s="1"/>
  <c r="AN14" i="1" a="1"/>
  <c r="AN14" i="1" s="1"/>
  <c r="AO14" i="1" a="1"/>
  <c r="AO14" i="1" s="1"/>
  <c r="AP14" i="1" a="1"/>
  <c r="AP14" i="1" s="1"/>
  <c r="AQ14" i="1" a="1"/>
  <c r="AQ14" i="1" s="1"/>
  <c r="AR14" i="1" a="1"/>
  <c r="AR14" i="1" s="1"/>
  <c r="AS14" i="1" a="1"/>
  <c r="AS14" i="1" s="1"/>
  <c r="AT14" i="1" a="1"/>
  <c r="AT14" i="1" s="1"/>
  <c r="AU14" i="1" a="1"/>
  <c r="AU14" i="1" s="1"/>
  <c r="AV14" i="1" a="1"/>
  <c r="AV14" i="1" s="1"/>
  <c r="AW14" i="1" a="1"/>
  <c r="AW14" i="1" s="1"/>
  <c r="AX14" i="1" a="1"/>
  <c r="AX14" i="1" s="1"/>
  <c r="AY14" i="1" a="1"/>
  <c r="AY14" i="1" s="1"/>
  <c r="AZ14" i="1" a="1"/>
  <c r="AZ14" i="1" s="1"/>
  <c r="BA14" i="1" a="1"/>
  <c r="BA14" i="1" s="1"/>
  <c r="BB14" i="1" a="1"/>
  <c r="BB14" i="1" s="1"/>
  <c r="AL15" i="1" a="1"/>
  <c r="AL15" i="1" s="1"/>
  <c r="AM15" i="1" a="1"/>
  <c r="AM15" i="1" s="1"/>
  <c r="AN15" i="1" a="1"/>
  <c r="AN15" i="1" s="1"/>
  <c r="AO15" i="1" a="1"/>
  <c r="AO15" i="1" s="1"/>
  <c r="AP15" i="1" a="1"/>
  <c r="AP15" i="1" s="1"/>
  <c r="AQ15" i="1" a="1"/>
  <c r="AQ15" i="1" s="1"/>
  <c r="AR15" i="1" a="1"/>
  <c r="AR15" i="1" s="1"/>
  <c r="AS15" i="1" a="1"/>
  <c r="AS15" i="1" s="1"/>
  <c r="AT15" i="1" a="1"/>
  <c r="AT15" i="1" s="1"/>
  <c r="AU15" i="1" a="1"/>
  <c r="AU15" i="1" s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AL16" i="1" a="1"/>
  <c r="AL16" i="1" s="1"/>
  <c r="AM16" i="1" a="1"/>
  <c r="AM16" i="1" s="1"/>
  <c r="AN16" i="1" a="1"/>
  <c r="AN16" i="1" s="1"/>
  <c r="AO16" i="1" a="1"/>
  <c r="AO16" i="1" s="1"/>
  <c r="AP16" i="1" a="1"/>
  <c r="AP16" i="1" s="1"/>
  <c r="AQ16" i="1" a="1"/>
  <c r="AQ16" i="1" s="1"/>
  <c r="AR16" i="1" a="1"/>
  <c r="AR16" i="1" s="1"/>
  <c r="AS16" i="1" a="1"/>
  <c r="AS16" i="1" s="1"/>
  <c r="AT16" i="1" a="1"/>
  <c r="AT16" i="1" s="1"/>
  <c r="AU16" i="1" a="1"/>
  <c r="AU16" i="1" s="1"/>
  <c r="AV16" i="1" a="1"/>
  <c r="AV16" i="1" s="1"/>
  <c r="AW16" i="1" a="1"/>
  <c r="AW16" i="1" s="1"/>
  <c r="AX16" i="1" a="1"/>
  <c r="AX16" i="1" s="1"/>
  <c r="AY16" i="1" a="1"/>
  <c r="AY16" i="1" s="1"/>
  <c r="AZ16" i="1" a="1"/>
  <c r="AZ16" i="1" s="1"/>
  <c r="BA16" i="1" a="1"/>
  <c r="BA16" i="1" s="1"/>
  <c r="BB16" i="1" a="1"/>
  <c r="BB16" i="1" s="1"/>
  <c r="AL17" i="1" a="1"/>
  <c r="AL17" i="1" s="1"/>
  <c r="AM17" i="1" a="1"/>
  <c r="AM17" i="1" s="1"/>
  <c r="AN17" i="1" a="1"/>
  <c r="AN17" i="1" s="1"/>
  <c r="AO17" i="1" a="1"/>
  <c r="AO17" i="1" s="1"/>
  <c r="AP17" i="1" a="1"/>
  <c r="AP17" i="1" s="1"/>
  <c r="AQ17" i="1" a="1"/>
  <c r="AQ17" i="1" s="1"/>
  <c r="AR17" i="1" a="1"/>
  <c r="AR17" i="1" s="1"/>
  <c r="AS17" i="1" a="1"/>
  <c r="AS17" i="1" s="1"/>
  <c r="AT17" i="1" a="1"/>
  <c r="AT17" i="1" s="1"/>
  <c r="AU17" i="1" a="1"/>
  <c r="AU17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AL18" i="1" a="1"/>
  <c r="AL18" i="1" s="1"/>
  <c r="AM18" i="1" a="1"/>
  <c r="AM18" i="1" s="1"/>
  <c r="AN18" i="1" a="1"/>
  <c r="AN18" i="1" s="1"/>
  <c r="AO18" i="1" a="1"/>
  <c r="AO18" i="1" s="1"/>
  <c r="AP18" i="1" a="1"/>
  <c r="AP18" i="1" s="1"/>
  <c r="AQ18" i="1" a="1"/>
  <c r="AQ18" i="1" s="1"/>
  <c r="AR18" i="1" a="1"/>
  <c r="AR18" i="1" s="1"/>
  <c r="AS18" i="1" a="1"/>
  <c r="AS18" i="1" s="1"/>
  <c r="AT18" i="1" a="1"/>
  <c r="AT18" i="1" s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BB18" i="1" a="1"/>
  <c r="BB18" i="1" s="1"/>
  <c r="AL19" i="1" a="1"/>
  <c r="AL19" i="1" s="1"/>
  <c r="AM19" i="1" a="1"/>
  <c r="AM19" i="1" s="1"/>
  <c r="AN19" i="1" a="1"/>
  <c r="AN19" i="1" s="1"/>
  <c r="AO19" i="1" a="1"/>
  <c r="AO19" i="1" s="1"/>
  <c r="AP19" i="1" a="1"/>
  <c r="AP19" i="1" s="1"/>
  <c r="AQ19" i="1" a="1"/>
  <c r="AQ19" i="1" s="1"/>
  <c r="AR19" i="1" a="1"/>
  <c r="AR19" i="1" s="1"/>
  <c r="AS19" i="1" a="1"/>
  <c r="AS19" i="1" s="1"/>
  <c r="AT19" i="1" a="1"/>
  <c r="AT19" i="1" s="1"/>
  <c r="AU19" i="1" a="1"/>
  <c r="AU19" i="1" s="1"/>
  <c r="AV19" i="1" a="1"/>
  <c r="AV19" i="1" s="1"/>
  <c r="AW19" i="1" a="1"/>
  <c r="AW19" i="1" s="1"/>
  <c r="AX19" i="1" a="1"/>
  <c r="AX19" i="1" s="1"/>
  <c r="AY19" i="1" a="1"/>
  <c r="AY19" i="1" s="1"/>
  <c r="AZ19" i="1" a="1"/>
  <c r="AZ19" i="1" s="1"/>
  <c r="BA19" i="1" a="1"/>
  <c r="BA19" i="1" s="1"/>
  <c r="BB19" i="1" a="1"/>
  <c r="BB19" i="1" s="1"/>
  <c r="AL20" i="1" a="1"/>
  <c r="AL20" i="1" s="1"/>
  <c r="AM20" i="1" a="1"/>
  <c r="AM20" i="1" s="1"/>
  <c r="AN20" i="1" a="1"/>
  <c r="AN20" i="1" s="1"/>
  <c r="AO20" i="1" a="1"/>
  <c r="AO20" i="1" s="1"/>
  <c r="AP20" i="1" a="1"/>
  <c r="AP20" i="1" s="1"/>
  <c r="AQ20" i="1" a="1"/>
  <c r="AQ20" i="1" s="1"/>
  <c r="AR20" i="1" a="1"/>
  <c r="AR20" i="1" s="1"/>
  <c r="AS20" i="1" a="1"/>
  <c r="AS20" i="1" s="1"/>
  <c r="AT20" i="1" a="1"/>
  <c r="AT20" i="1" s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AL21" i="1" a="1"/>
  <c r="AL21" i="1" s="1"/>
  <c r="AM21" i="1" a="1"/>
  <c r="AM21" i="1" s="1"/>
  <c r="AN21" i="1" a="1"/>
  <c r="AN21" i="1" s="1"/>
  <c r="AO21" i="1" a="1"/>
  <c r="AO21" i="1" s="1"/>
  <c r="AP21" i="1" a="1"/>
  <c r="AP21" i="1" s="1"/>
  <c r="AQ21" i="1" a="1"/>
  <c r="AQ21" i="1" s="1"/>
  <c r="AR21" i="1" a="1"/>
  <c r="AR21" i="1" s="1"/>
  <c r="AS21" i="1" a="1"/>
  <c r="AS21" i="1" s="1"/>
  <c r="AT21" i="1" a="1"/>
  <c r="AT21" i="1" s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A21" i="1" a="1"/>
  <c r="BA21" i="1" s="1"/>
  <c r="BB21" i="1" a="1"/>
  <c r="BB21" i="1" s="1"/>
  <c r="AL22" i="1" a="1"/>
  <c r="AL22" i="1" s="1"/>
  <c r="AM22" i="1" a="1"/>
  <c r="AM22" i="1" s="1"/>
  <c r="AN22" i="1" a="1"/>
  <c r="AN22" i="1" s="1"/>
  <c r="AO22" i="1" a="1"/>
  <c r="AO22" i="1" s="1"/>
  <c r="AP22" i="1" a="1"/>
  <c r="AP22" i="1" s="1"/>
  <c r="AQ22" i="1" a="1"/>
  <c r="AQ22" i="1" s="1"/>
  <c r="AR22" i="1" a="1"/>
  <c r="AR22" i="1" s="1"/>
  <c r="AS22" i="1" a="1"/>
  <c r="AS22" i="1" s="1"/>
  <c r="AT22" i="1" a="1"/>
  <c r="AT22" i="1" s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B22" i="1" a="1"/>
  <c r="BB22" i="1" s="1"/>
  <c r="AL23" i="1" a="1"/>
  <c r="AL23" i="1" s="1"/>
  <c r="AM23" i="1" a="1"/>
  <c r="AM23" i="1" s="1"/>
  <c r="AN23" i="1" a="1"/>
  <c r="AN23" i="1" s="1"/>
  <c r="AO23" i="1" a="1"/>
  <c r="AO23" i="1" s="1"/>
  <c r="AP23" i="1" a="1"/>
  <c r="AP23" i="1" s="1"/>
  <c r="AQ23" i="1" a="1"/>
  <c r="AQ23" i="1" s="1"/>
  <c r="AR23" i="1" a="1"/>
  <c r="AR23" i="1" s="1"/>
  <c r="AS23" i="1" a="1"/>
  <c r="AS23" i="1" s="1"/>
  <c r="AT23" i="1" a="1"/>
  <c r="AT23" i="1" s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AL24" i="1" a="1"/>
  <c r="AL24" i="1" s="1"/>
  <c r="AM24" i="1" a="1"/>
  <c r="AM24" i="1" s="1"/>
  <c r="AN24" i="1" a="1"/>
  <c r="AN24" i="1" s="1"/>
  <c r="AO24" i="1" a="1"/>
  <c r="AO24" i="1" s="1"/>
  <c r="AP24" i="1" a="1"/>
  <c r="AP24" i="1" s="1"/>
  <c r="AQ24" i="1" a="1"/>
  <c r="AQ24" i="1" s="1"/>
  <c r="AR24" i="1" a="1"/>
  <c r="AR24" i="1" s="1"/>
  <c r="AS24" i="1" a="1"/>
  <c r="AS24" i="1" s="1"/>
  <c r="AT24" i="1" a="1"/>
  <c r="AT24" i="1" s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AL25" i="1" a="1"/>
  <c r="AL25" i="1" s="1"/>
  <c r="AM25" i="1" a="1"/>
  <c r="AM25" i="1" s="1"/>
  <c r="AN25" i="1" a="1"/>
  <c r="AN25" i="1" s="1"/>
  <c r="AO25" i="1" a="1"/>
  <c r="AO25" i="1" s="1"/>
  <c r="AP25" i="1" a="1"/>
  <c r="AP25" i="1" s="1"/>
  <c r="AQ25" i="1" a="1"/>
  <c r="AQ25" i="1" s="1"/>
  <c r="AR25" i="1" a="1"/>
  <c r="AR25" i="1" s="1"/>
  <c r="AS25" i="1" a="1"/>
  <c r="AS25" i="1" s="1"/>
  <c r="AT25" i="1" a="1"/>
  <c r="AT25" i="1" s="1"/>
  <c r="AU25" i="1" a="1"/>
  <c r="AU25" i="1" s="1"/>
  <c r="AV25" i="1" a="1"/>
  <c r="AV25" i="1" s="1"/>
  <c r="AW25" i="1" a="1"/>
  <c r="AW25" i="1" s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L26" i="1" a="1"/>
  <c r="AL26" i="1" s="1"/>
  <c r="AM26" i="1" a="1"/>
  <c r="AM26" i="1" s="1"/>
  <c r="AN26" i="1" a="1"/>
  <c r="AN26" i="1" s="1"/>
  <c r="AO26" i="1" a="1"/>
  <c r="AO26" i="1" s="1"/>
  <c r="AP26" i="1" a="1"/>
  <c r="AP26" i="1" s="1"/>
  <c r="AQ26" i="1" a="1"/>
  <c r="AQ26" i="1" s="1"/>
  <c r="AR26" i="1" a="1"/>
  <c r="AR26" i="1" s="1"/>
  <c r="AS26" i="1" a="1"/>
  <c r="AS26" i="1" s="1"/>
  <c r="AT26" i="1" a="1"/>
  <c r="AT26" i="1" s="1"/>
  <c r="AU26" i="1" a="1"/>
  <c r="AU26" i="1" s="1"/>
  <c r="AV26" i="1" a="1"/>
  <c r="AV26" i="1" s="1"/>
  <c r="AW26" i="1" a="1"/>
  <c r="AW26" i="1" s="1"/>
  <c r="AX26" i="1" a="1"/>
  <c r="AX26" i="1" s="1"/>
  <c r="AY26" i="1" a="1"/>
  <c r="AY26" i="1" s="1"/>
  <c r="AZ26" i="1" a="1"/>
  <c r="AZ26" i="1" s="1"/>
  <c r="BA26" i="1" a="1"/>
  <c r="BA26" i="1" s="1"/>
  <c r="BB26" i="1" a="1"/>
  <c r="BB26" i="1" s="1"/>
  <c r="AL27" i="1" a="1"/>
  <c r="AL27" i="1" s="1"/>
  <c r="AM27" i="1" a="1"/>
  <c r="AM27" i="1" s="1"/>
  <c r="AN27" i="1" a="1"/>
  <c r="AN27" i="1" s="1"/>
  <c r="AO27" i="1" a="1"/>
  <c r="AO27" i="1" s="1"/>
  <c r="AP27" i="1" a="1"/>
  <c r="AP27" i="1" s="1"/>
  <c r="AQ27" i="1" a="1"/>
  <c r="AQ27" i="1" s="1"/>
  <c r="AR27" i="1" a="1"/>
  <c r="AR27" i="1" s="1"/>
  <c r="AS27" i="1" a="1"/>
  <c r="AS27" i="1" s="1"/>
  <c r="AT27" i="1" a="1"/>
  <c r="AT27" i="1" s="1"/>
  <c r="AU27" i="1" a="1"/>
  <c r="AU27" i="1" s="1"/>
  <c r="AV27" i="1" a="1"/>
  <c r="AV27" i="1" s="1"/>
  <c r="AW27" i="1" a="1"/>
  <c r="AW27" i="1" s="1"/>
  <c r="AX27" i="1" a="1"/>
  <c r="AX27" i="1" s="1"/>
  <c r="AY27" i="1" a="1"/>
  <c r="AY27" i="1" s="1"/>
  <c r="AZ27" i="1" a="1"/>
  <c r="AZ27" i="1" s="1"/>
  <c r="BA27" i="1" a="1"/>
  <c r="BA27" i="1" s="1"/>
  <c r="BB27" i="1" a="1"/>
  <c r="BB27" i="1" s="1"/>
  <c r="AL28" i="1" a="1"/>
  <c r="AL28" i="1" s="1"/>
  <c r="AM28" i="1" a="1"/>
  <c r="AM28" i="1" s="1"/>
  <c r="AN28" i="1" a="1"/>
  <c r="AN28" i="1" s="1"/>
  <c r="AO28" i="1" a="1"/>
  <c r="AO28" i="1" s="1"/>
  <c r="AP28" i="1" a="1"/>
  <c r="AP28" i="1" s="1"/>
  <c r="AQ28" i="1" a="1"/>
  <c r="AQ28" i="1" s="1"/>
  <c r="AR28" i="1" a="1"/>
  <c r="AR28" i="1" s="1"/>
  <c r="AS28" i="1" a="1"/>
  <c r="AS28" i="1" s="1"/>
  <c r="AT28" i="1" a="1"/>
  <c r="AT28" i="1" s="1"/>
  <c r="AU28" i="1" a="1"/>
  <c r="AU28" i="1" s="1"/>
  <c r="AV28" i="1" a="1"/>
  <c r="AV28" i="1" s="1"/>
  <c r="AW28" i="1" a="1"/>
  <c r="AW28" i="1" s="1"/>
  <c r="AX28" i="1" a="1"/>
  <c r="AX28" i="1" s="1"/>
  <c r="AY28" i="1" a="1"/>
  <c r="AY28" i="1" s="1"/>
  <c r="AZ28" i="1" a="1"/>
  <c r="AZ28" i="1" s="1"/>
  <c r="BA28" i="1" a="1"/>
  <c r="BA28" i="1" s="1"/>
  <c r="BB28" i="1" a="1"/>
  <c r="BB28" i="1" s="1"/>
  <c r="AL29" i="1" a="1"/>
  <c r="AL29" i="1" s="1"/>
  <c r="AM29" i="1" a="1"/>
  <c r="AM29" i="1" s="1"/>
  <c r="AN29" i="1" a="1"/>
  <c r="AN29" i="1" s="1"/>
  <c r="AO29" i="1" a="1"/>
  <c r="AO29" i="1" s="1"/>
  <c r="AP29" i="1" a="1"/>
  <c r="AP29" i="1" s="1"/>
  <c r="AQ29" i="1" a="1"/>
  <c r="AQ29" i="1" s="1"/>
  <c r="AR29" i="1" a="1"/>
  <c r="AR29" i="1" s="1"/>
  <c r="AS29" i="1" a="1"/>
  <c r="AS29" i="1" s="1"/>
  <c r="AT29" i="1" a="1"/>
  <c r="AT29" i="1" s="1"/>
  <c r="AU29" i="1" a="1"/>
  <c r="AU29" i="1" s="1"/>
  <c r="AV29" i="1" a="1"/>
  <c r="AV29" i="1" s="1"/>
  <c r="AW29" i="1" a="1"/>
  <c r="AW29" i="1" s="1"/>
  <c r="AX29" i="1" a="1"/>
  <c r="AX29" i="1" s="1"/>
  <c r="AY29" i="1" a="1"/>
  <c r="AY29" i="1" s="1"/>
  <c r="AZ29" i="1" a="1"/>
  <c r="AZ29" i="1" s="1"/>
  <c r="BA29" i="1" a="1"/>
  <c r="BA29" i="1" s="1"/>
  <c r="BB29" i="1" a="1"/>
  <c r="BB29" i="1" s="1"/>
  <c r="AL30" i="1" a="1"/>
  <c r="AL30" i="1" s="1"/>
  <c r="AM30" i="1" a="1"/>
  <c r="AM30" i="1" s="1"/>
  <c r="AN30" i="1" a="1"/>
  <c r="AN30" i="1" s="1"/>
  <c r="AO30" i="1" a="1"/>
  <c r="AO30" i="1" s="1"/>
  <c r="AP30" i="1" a="1"/>
  <c r="AP30" i="1" s="1"/>
  <c r="AQ30" i="1" a="1"/>
  <c r="AQ30" i="1" s="1"/>
  <c r="AR30" i="1" a="1"/>
  <c r="AR30" i="1" s="1"/>
  <c r="AS30" i="1" a="1"/>
  <c r="AS30" i="1" s="1"/>
  <c r="AT30" i="1" a="1"/>
  <c r="AT30" i="1" s="1"/>
  <c r="AU30" i="1" a="1"/>
  <c r="AU30" i="1" s="1"/>
  <c r="AV30" i="1" a="1"/>
  <c r="AV30" i="1" s="1"/>
  <c r="AW30" i="1" a="1"/>
  <c r="AW30" i="1" s="1"/>
  <c r="AX30" i="1" a="1"/>
  <c r="AX30" i="1" s="1"/>
  <c r="AY30" i="1" a="1"/>
  <c r="AY30" i="1" s="1"/>
  <c r="AZ30" i="1" a="1"/>
  <c r="AZ30" i="1" s="1"/>
  <c r="BA30" i="1" a="1"/>
  <c r="BA30" i="1" s="1"/>
  <c r="BB30" i="1" a="1"/>
  <c r="BB30" i="1" s="1"/>
  <c r="AL31" i="1" a="1"/>
  <c r="AL31" i="1" s="1"/>
  <c r="AM31" i="1" a="1"/>
  <c r="AM31" i="1" s="1"/>
  <c r="AN31" i="1" a="1"/>
  <c r="AN31" i="1" s="1"/>
  <c r="AO31" i="1" a="1"/>
  <c r="AO31" i="1" s="1"/>
  <c r="AP31" i="1" a="1"/>
  <c r="AP31" i="1" s="1"/>
  <c r="AQ31" i="1" a="1"/>
  <c r="AQ31" i="1" s="1"/>
  <c r="AR31" i="1" a="1"/>
  <c r="AR31" i="1" s="1"/>
  <c r="AS31" i="1" a="1"/>
  <c r="AS31" i="1" s="1"/>
  <c r="AT31" i="1" a="1"/>
  <c r="AT31" i="1" s="1"/>
  <c r="AU31" i="1" a="1"/>
  <c r="AU31" i="1" s="1"/>
  <c r="AV31" i="1" a="1"/>
  <c r="AV31" i="1" s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AL32" i="1" a="1"/>
  <c r="AL32" i="1" s="1"/>
  <c r="AM32" i="1" a="1"/>
  <c r="AM32" i="1" s="1"/>
  <c r="AN32" i="1" a="1"/>
  <c r="AN32" i="1" s="1"/>
  <c r="AO32" i="1" a="1"/>
  <c r="AO32" i="1" s="1"/>
  <c r="AP32" i="1" a="1"/>
  <c r="AP32" i="1" s="1"/>
  <c r="AQ32" i="1" a="1"/>
  <c r="AQ32" i="1" s="1"/>
  <c r="AR32" i="1" a="1"/>
  <c r="AR32" i="1" s="1"/>
  <c r="AS32" i="1" a="1"/>
  <c r="AS32" i="1" s="1"/>
  <c r="AT32" i="1" a="1"/>
  <c r="AT32" i="1" s="1"/>
  <c r="AU32" i="1" a="1"/>
  <c r="AU32" i="1" s="1"/>
  <c r="AV32" i="1" a="1"/>
  <c r="AV32" i="1" s="1"/>
  <c r="AW32" i="1" a="1"/>
  <c r="AW32" i="1" s="1"/>
  <c r="AX32" i="1" a="1"/>
  <c r="AX32" i="1" s="1"/>
  <c r="AY32" i="1" a="1"/>
  <c r="AY32" i="1" s="1"/>
  <c r="AZ32" i="1" a="1"/>
  <c r="AZ32" i="1" s="1"/>
  <c r="BA32" i="1" a="1"/>
  <c r="BA32" i="1" s="1"/>
  <c r="BB32" i="1" a="1"/>
  <c r="BB32" i="1" s="1"/>
  <c r="AL33" i="1" a="1"/>
  <c r="AL33" i="1" s="1"/>
  <c r="AM33" i="1" a="1"/>
  <c r="AM33" i="1" s="1"/>
  <c r="AN33" i="1" a="1"/>
  <c r="AN33" i="1" s="1"/>
  <c r="AO33" i="1" a="1"/>
  <c r="AO33" i="1" s="1"/>
  <c r="AP33" i="1" a="1"/>
  <c r="AP33" i="1" s="1"/>
  <c r="AQ33" i="1" a="1"/>
  <c r="AQ33" i="1" s="1"/>
  <c r="AR33" i="1" a="1"/>
  <c r="AR33" i="1" s="1"/>
  <c r="AS33" i="1" a="1"/>
  <c r="AS33" i="1" s="1"/>
  <c r="AT33" i="1" a="1"/>
  <c r="AT33" i="1" s="1"/>
  <c r="AU33" i="1" a="1"/>
  <c r="AU33" i="1" s="1"/>
  <c r="AV33" i="1" a="1"/>
  <c r="AV33" i="1" s="1"/>
  <c r="AW33" i="1" a="1"/>
  <c r="AW33" i="1" s="1"/>
  <c r="AX33" i="1" a="1"/>
  <c r="AX33" i="1" s="1"/>
  <c r="AY33" i="1" a="1"/>
  <c r="AY33" i="1" s="1"/>
  <c r="AZ33" i="1" a="1"/>
  <c r="AZ33" i="1" s="1"/>
  <c r="BA33" i="1" a="1"/>
  <c r="BA33" i="1" s="1"/>
  <c r="BB33" i="1" a="1"/>
  <c r="BB33" i="1" s="1"/>
  <c r="AL34" i="1" a="1"/>
  <c r="AL34" i="1" s="1"/>
  <c r="AM34" i="1" a="1"/>
  <c r="AM34" i="1" s="1"/>
  <c r="AN34" i="1" a="1"/>
  <c r="AN34" i="1" s="1"/>
  <c r="AO34" i="1" a="1"/>
  <c r="AO34" i="1" s="1"/>
  <c r="AP34" i="1" a="1"/>
  <c r="AP34" i="1" s="1"/>
  <c r="AQ34" i="1" a="1"/>
  <c r="AQ34" i="1" s="1"/>
  <c r="AR34" i="1" a="1"/>
  <c r="AR34" i="1" s="1"/>
  <c r="AS34" i="1" a="1"/>
  <c r="AS34" i="1" s="1"/>
  <c r="AT34" i="1" a="1"/>
  <c r="AT34" i="1" s="1"/>
  <c r="AU34" i="1" a="1"/>
  <c r="AU34" i="1" s="1"/>
  <c r="AV34" i="1" a="1"/>
  <c r="AV34" i="1" s="1"/>
  <c r="AW34" i="1" a="1"/>
  <c r="AW34" i="1" s="1"/>
  <c r="AX34" i="1" a="1"/>
  <c r="AX34" i="1" s="1"/>
  <c r="AY34" i="1" a="1"/>
  <c r="AY34" i="1" s="1"/>
  <c r="AZ34" i="1" a="1"/>
  <c r="AZ34" i="1" s="1"/>
  <c r="BA34" i="1" a="1"/>
  <c r="BA34" i="1" s="1"/>
  <c r="BB34" i="1" a="1"/>
  <c r="BB34" i="1" s="1"/>
  <c r="AL35" i="1" a="1"/>
  <c r="AL35" i="1" s="1"/>
  <c r="AM35" i="1" a="1"/>
  <c r="AM35" i="1" s="1"/>
  <c r="AN35" i="1" a="1"/>
  <c r="AN35" i="1" s="1"/>
  <c r="AO35" i="1" a="1"/>
  <c r="AO35" i="1" s="1"/>
  <c r="AP35" i="1" a="1"/>
  <c r="AP35" i="1" s="1"/>
  <c r="AQ35" i="1" a="1"/>
  <c r="AQ35" i="1" s="1"/>
  <c r="AR35" i="1" a="1"/>
  <c r="AR35" i="1" s="1"/>
  <c r="AS35" i="1" a="1"/>
  <c r="AS35" i="1" s="1"/>
  <c r="AT35" i="1" a="1"/>
  <c r="AT35" i="1" s="1"/>
  <c r="AU35" i="1" a="1"/>
  <c r="AU35" i="1" s="1"/>
  <c r="AV35" i="1" a="1"/>
  <c r="AV35" i="1" s="1"/>
  <c r="AW35" i="1" a="1"/>
  <c r="AW35" i="1" s="1"/>
  <c r="AX35" i="1" a="1"/>
  <c r="AX35" i="1" s="1"/>
  <c r="AY35" i="1" a="1"/>
  <c r="AY35" i="1" s="1"/>
  <c r="AZ35" i="1" a="1"/>
  <c r="AZ35" i="1" s="1"/>
  <c r="BA35" i="1" a="1"/>
  <c r="BA35" i="1" s="1"/>
  <c r="BB35" i="1" a="1"/>
  <c r="BB35" i="1" s="1"/>
  <c r="AL36" i="1" a="1"/>
  <c r="AL36" i="1" s="1"/>
  <c r="AM36" i="1" a="1"/>
  <c r="AM36" i="1" s="1"/>
  <c r="AN36" i="1" a="1"/>
  <c r="AN36" i="1" s="1"/>
  <c r="AO36" i="1" a="1"/>
  <c r="AO36" i="1" s="1"/>
  <c r="AP36" i="1" a="1"/>
  <c r="AP36" i="1" s="1"/>
  <c r="AQ36" i="1" a="1"/>
  <c r="AQ36" i="1" s="1"/>
  <c r="AR36" i="1" a="1"/>
  <c r="AR36" i="1" s="1"/>
  <c r="AS36" i="1" a="1"/>
  <c r="AS36" i="1" s="1"/>
  <c r="AT36" i="1" a="1"/>
  <c r="AT36" i="1" s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AL37" i="1" a="1"/>
  <c r="AL37" i="1" s="1"/>
  <c r="AM37" i="1" a="1"/>
  <c r="AM37" i="1" s="1"/>
  <c r="AN37" i="1" a="1"/>
  <c r="AN37" i="1" s="1"/>
  <c r="AO37" i="1" a="1"/>
  <c r="AO37" i="1" s="1"/>
  <c r="AP37" i="1" a="1"/>
  <c r="AP37" i="1" s="1"/>
  <c r="AQ37" i="1" a="1"/>
  <c r="AQ37" i="1" s="1"/>
  <c r="AR37" i="1" a="1"/>
  <c r="AR37" i="1" s="1"/>
  <c r="AS37" i="1" a="1"/>
  <c r="AS37" i="1" s="1"/>
  <c r="AT37" i="1" a="1"/>
  <c r="AT37" i="1" s="1"/>
  <c r="AU37" i="1" a="1"/>
  <c r="AU37" i="1" s="1"/>
  <c r="AV37" i="1" a="1"/>
  <c r="AV37" i="1" s="1"/>
  <c r="AW37" i="1" a="1"/>
  <c r="AW37" i="1" s="1"/>
  <c r="AX37" i="1" a="1"/>
  <c r="AX37" i="1" s="1"/>
  <c r="AY37" i="1" a="1"/>
  <c r="AY37" i="1" s="1"/>
  <c r="AZ37" i="1" a="1"/>
  <c r="AZ37" i="1" s="1"/>
  <c r="BA37" i="1" a="1"/>
  <c r="BA37" i="1" s="1"/>
  <c r="BB37" i="1" a="1"/>
  <c r="BB37" i="1" s="1"/>
  <c r="AL38" i="1" a="1"/>
  <c r="AL38" i="1" s="1"/>
  <c r="AM38" i="1" a="1"/>
  <c r="AM38" i="1" s="1"/>
  <c r="AN38" i="1" a="1"/>
  <c r="AN38" i="1" s="1"/>
  <c r="AO38" i="1" a="1"/>
  <c r="AO38" i="1" s="1"/>
  <c r="AP38" i="1" a="1"/>
  <c r="AP38" i="1" s="1"/>
  <c r="AQ38" i="1" a="1"/>
  <c r="AQ38" i="1" s="1"/>
  <c r="AR38" i="1" a="1"/>
  <c r="AR38" i="1" s="1"/>
  <c r="AS38" i="1" a="1"/>
  <c r="AS38" i="1" s="1"/>
  <c r="AT38" i="1" a="1"/>
  <c r="AT38" i="1" s="1"/>
  <c r="AU38" i="1" a="1"/>
  <c r="AU38" i="1" s="1"/>
  <c r="AV38" i="1" a="1"/>
  <c r="AV38" i="1" s="1"/>
  <c r="AW38" i="1" a="1"/>
  <c r="AW38" i="1" s="1"/>
  <c r="AX38" i="1" a="1"/>
  <c r="AX38" i="1" s="1"/>
  <c r="AY38" i="1" a="1"/>
  <c r="AY38" i="1" s="1"/>
  <c r="AZ38" i="1" a="1"/>
  <c r="AZ38" i="1" s="1"/>
  <c r="BA38" i="1" a="1"/>
  <c r="BA38" i="1" s="1"/>
  <c r="BB38" i="1" a="1"/>
  <c r="BB38" i="1" s="1"/>
  <c r="AL39" i="1" a="1"/>
  <c r="AL39" i="1" s="1"/>
  <c r="AM39" i="1" a="1"/>
  <c r="AM39" i="1" s="1"/>
  <c r="AN39" i="1" a="1"/>
  <c r="AN39" i="1" s="1"/>
  <c r="AO39" i="1" a="1"/>
  <c r="AO39" i="1" s="1"/>
  <c r="AP39" i="1" a="1"/>
  <c r="AP39" i="1" s="1"/>
  <c r="AQ39" i="1" a="1"/>
  <c r="AQ39" i="1" s="1"/>
  <c r="AR39" i="1" a="1"/>
  <c r="AR39" i="1" s="1"/>
  <c r="AS39" i="1" a="1"/>
  <c r="AS39" i="1" s="1"/>
  <c r="AT39" i="1" a="1"/>
  <c r="AT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BB39" i="1" a="1"/>
  <c r="BB39" i="1" s="1"/>
  <c r="AL40" i="1" a="1"/>
  <c r="AL40" i="1" s="1"/>
  <c r="AM40" i="1" a="1"/>
  <c r="AM40" i="1" s="1"/>
  <c r="AN40" i="1" a="1"/>
  <c r="AN40" i="1" s="1"/>
  <c r="AO40" i="1" a="1"/>
  <c r="AO40" i="1" s="1"/>
  <c r="AP40" i="1" a="1"/>
  <c r="AP40" i="1" s="1"/>
  <c r="AQ40" i="1" a="1"/>
  <c r="AQ40" i="1" s="1"/>
  <c r="AR40" i="1" a="1"/>
  <c r="AR40" i="1" s="1"/>
  <c r="AS40" i="1" a="1"/>
  <c r="AS40" i="1" s="1"/>
  <c r="AT40" i="1" a="1"/>
  <c r="AT40" i="1" s="1"/>
  <c r="AU40" i="1" a="1"/>
  <c r="AU40" i="1" s="1"/>
  <c r="AV40" i="1" a="1"/>
  <c r="AV40" i="1" s="1"/>
  <c r="AW40" i="1" a="1"/>
  <c r="AW40" i="1" s="1"/>
  <c r="AX40" i="1" a="1"/>
  <c r="AX40" i="1" s="1"/>
  <c r="AY40" i="1" a="1"/>
  <c r="AY40" i="1" s="1"/>
  <c r="AZ40" i="1" a="1"/>
  <c r="AZ40" i="1" s="1"/>
  <c r="BA40" i="1" a="1"/>
  <c r="BA40" i="1" s="1"/>
  <c r="BB40" i="1" a="1"/>
  <c r="BB40" i="1" s="1"/>
  <c r="AL41" i="1" a="1"/>
  <c r="AL41" i="1" s="1"/>
  <c r="AM41" i="1" a="1"/>
  <c r="AM41" i="1" s="1"/>
  <c r="AN41" i="1" a="1"/>
  <c r="AN41" i="1" s="1"/>
  <c r="AO41" i="1" a="1"/>
  <c r="AO41" i="1" s="1"/>
  <c r="AP41" i="1" a="1"/>
  <c r="AP41" i="1" s="1"/>
  <c r="AQ41" i="1" a="1"/>
  <c r="AQ41" i="1" s="1"/>
  <c r="AR41" i="1" a="1"/>
  <c r="AR41" i="1" s="1"/>
  <c r="AS41" i="1" a="1"/>
  <c r="AS41" i="1" s="1"/>
  <c r="AT41" i="1" a="1"/>
  <c r="AT41" i="1" s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BA41" i="1" a="1"/>
  <c r="BA41" i="1" s="1"/>
  <c r="BB41" i="1" a="1"/>
  <c r="BB41" i="1" s="1"/>
  <c r="AL42" i="1" a="1"/>
  <c r="AL42" i="1" s="1"/>
  <c r="AM42" i="1" a="1"/>
  <c r="AM42" i="1" s="1"/>
  <c r="AN42" i="1" a="1"/>
  <c r="AN42" i="1" s="1"/>
  <c r="AO42" i="1" a="1"/>
  <c r="AO42" i="1" s="1"/>
  <c r="AP42" i="1" a="1"/>
  <c r="AP42" i="1" s="1"/>
  <c r="AQ42" i="1" a="1"/>
  <c r="AQ42" i="1" s="1"/>
  <c r="AR42" i="1" a="1"/>
  <c r="AR42" i="1" s="1"/>
  <c r="AS42" i="1" a="1"/>
  <c r="AS42" i="1" s="1"/>
  <c r="AT42" i="1" a="1"/>
  <c r="AT42" i="1" s="1"/>
  <c r="AU42" i="1" a="1"/>
  <c r="AU42" i="1" s="1"/>
  <c r="AV42" i="1" a="1"/>
  <c r="AV42" i="1" s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AL43" i="1" a="1"/>
  <c r="AL43" i="1" s="1"/>
  <c r="AM43" i="1" a="1"/>
  <c r="AM43" i="1" s="1"/>
  <c r="AN43" i="1" a="1"/>
  <c r="AN43" i="1" s="1"/>
  <c r="AO43" i="1" a="1"/>
  <c r="AO43" i="1" s="1"/>
  <c r="AP43" i="1" a="1"/>
  <c r="AP43" i="1" s="1"/>
  <c r="AQ43" i="1" a="1"/>
  <c r="AQ43" i="1" s="1"/>
  <c r="AR43" i="1" a="1"/>
  <c r="AR43" i="1" s="1"/>
  <c r="AS43" i="1" a="1"/>
  <c r="AS43" i="1" s="1"/>
  <c r="AT43" i="1" a="1"/>
  <c r="AT43" i="1" s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AZ43" i="1" a="1"/>
  <c r="AZ43" i="1" s="1"/>
  <c r="BA43" i="1" a="1"/>
  <c r="BA43" i="1" s="1"/>
  <c r="BB43" i="1" a="1"/>
  <c r="BB43" i="1" s="1"/>
  <c r="AL44" i="1" a="1"/>
  <c r="AL44" i="1" s="1"/>
  <c r="AM44" i="1" a="1"/>
  <c r="AM44" i="1" s="1"/>
  <c r="AN44" i="1" a="1"/>
  <c r="AN44" i="1" s="1"/>
  <c r="AO44" i="1" a="1"/>
  <c r="AO44" i="1" s="1"/>
  <c r="AP44" i="1" a="1"/>
  <c r="AP44" i="1" s="1"/>
  <c r="AQ44" i="1" a="1"/>
  <c r="AQ44" i="1" s="1"/>
  <c r="AR44" i="1" a="1"/>
  <c r="AR44" i="1" s="1"/>
  <c r="AS44" i="1" a="1"/>
  <c r="AS44" i="1" s="1"/>
  <c r="AT44" i="1" a="1"/>
  <c r="AT44" i="1" s="1"/>
  <c r="AU44" i="1" a="1"/>
  <c r="AU44" i="1" s="1"/>
  <c r="AV44" i="1" a="1"/>
  <c r="AV44" i="1" s="1"/>
  <c r="AW44" i="1" a="1"/>
  <c r="AW44" i="1" s="1"/>
  <c r="AX44" i="1" a="1"/>
  <c r="AX44" i="1" s="1"/>
  <c r="AY44" i="1" a="1"/>
  <c r="AY44" i="1" s="1"/>
  <c r="AZ44" i="1" a="1"/>
  <c r="AZ44" i="1" s="1"/>
  <c r="BA44" i="1" a="1"/>
  <c r="BA44" i="1" s="1"/>
  <c r="BB44" i="1" a="1"/>
  <c r="BB44" i="1" s="1"/>
  <c r="AL45" i="1" a="1"/>
  <c r="AL45" i="1" s="1"/>
  <c r="AM45" i="1" a="1"/>
  <c r="AM45" i="1" s="1"/>
  <c r="AN45" i="1" a="1"/>
  <c r="AN45" i="1" s="1"/>
  <c r="AO45" i="1" a="1"/>
  <c r="AO45" i="1" s="1"/>
  <c r="AP45" i="1" a="1"/>
  <c r="AP45" i="1" s="1"/>
  <c r="AQ45" i="1" a="1"/>
  <c r="AQ45" i="1" s="1"/>
  <c r="AR45" i="1" a="1"/>
  <c r="AR45" i="1" s="1"/>
  <c r="AS45" i="1" a="1"/>
  <c r="AS45" i="1" s="1"/>
  <c r="AT45" i="1" a="1"/>
  <c r="AT45" i="1" s="1"/>
  <c r="AU45" i="1" a="1"/>
  <c r="AU45" i="1" s="1"/>
  <c r="AV45" i="1" a="1"/>
  <c r="AV45" i="1" s="1"/>
  <c r="AW45" i="1" a="1"/>
  <c r="AW45" i="1" s="1"/>
  <c r="AX45" i="1" a="1"/>
  <c r="AX45" i="1" s="1"/>
  <c r="AY45" i="1" a="1"/>
  <c r="AY45" i="1" s="1"/>
  <c r="AZ45" i="1" a="1"/>
  <c r="AZ45" i="1" s="1"/>
  <c r="BA45" i="1" a="1"/>
  <c r="BA45" i="1" s="1"/>
  <c r="BB45" i="1" a="1"/>
  <c r="BB45" i="1" s="1"/>
  <c r="AL46" i="1" a="1"/>
  <c r="AL46" i="1" s="1"/>
  <c r="AM46" i="1" a="1"/>
  <c r="AM46" i="1" s="1"/>
  <c r="AN46" i="1" a="1"/>
  <c r="AN46" i="1" s="1"/>
  <c r="AO46" i="1" a="1"/>
  <c r="AO46" i="1" s="1"/>
  <c r="AP46" i="1" a="1"/>
  <c r="AP46" i="1" s="1"/>
  <c r="AQ46" i="1" a="1"/>
  <c r="AQ46" i="1" s="1"/>
  <c r="AR46" i="1" a="1"/>
  <c r="AR46" i="1" s="1"/>
  <c r="AS46" i="1" a="1"/>
  <c r="AS46" i="1" s="1"/>
  <c r="AT46" i="1" a="1"/>
  <c r="AT46" i="1" s="1"/>
  <c r="AU46" i="1" a="1"/>
  <c r="AU46" i="1" s="1"/>
  <c r="AV46" i="1" a="1"/>
  <c r="AV46" i="1" s="1"/>
  <c r="AW46" i="1" a="1"/>
  <c r="AW46" i="1" s="1"/>
  <c r="AX46" i="1" a="1"/>
  <c r="AX46" i="1" s="1"/>
  <c r="AY46" i="1" a="1"/>
  <c r="AY46" i="1" s="1"/>
  <c r="AZ46" i="1" a="1"/>
  <c r="AZ46" i="1" s="1"/>
  <c r="BA46" i="1" a="1"/>
  <c r="BA46" i="1" s="1"/>
  <c r="BB46" i="1" a="1"/>
  <c r="BB46" i="1" s="1"/>
  <c r="AL47" i="1" a="1"/>
  <c r="AL47" i="1" s="1"/>
  <c r="AM47" i="1" a="1"/>
  <c r="AM47" i="1" s="1"/>
  <c r="AN47" i="1" a="1"/>
  <c r="AN47" i="1" s="1"/>
  <c r="AO47" i="1" a="1"/>
  <c r="AO47" i="1" s="1"/>
  <c r="AP47" i="1" a="1"/>
  <c r="AP47" i="1" s="1"/>
  <c r="AQ47" i="1" a="1"/>
  <c r="AQ47" i="1" s="1"/>
  <c r="AR47" i="1" a="1"/>
  <c r="AR47" i="1" s="1"/>
  <c r="AS47" i="1" a="1"/>
  <c r="AS47" i="1" s="1"/>
  <c r="AT47" i="1" a="1"/>
  <c r="AT47" i="1" s="1"/>
  <c r="AU47" i="1" a="1"/>
  <c r="AU47" i="1" s="1"/>
  <c r="AV47" i="1" a="1"/>
  <c r="AV47" i="1" s="1"/>
  <c r="AW47" i="1" a="1"/>
  <c r="AW47" i="1" s="1"/>
  <c r="AX47" i="1" a="1"/>
  <c r="AX47" i="1" s="1"/>
  <c r="AY47" i="1" a="1"/>
  <c r="AY47" i="1" s="1"/>
  <c r="AZ47" i="1" a="1"/>
  <c r="AZ47" i="1" s="1"/>
  <c r="BA47" i="1" a="1"/>
  <c r="BA47" i="1" s="1"/>
  <c r="BB47" i="1" a="1"/>
  <c r="BB47" i="1" s="1"/>
  <c r="AL48" i="1" a="1"/>
  <c r="AL48" i="1" s="1"/>
  <c r="AM48" i="1" a="1"/>
  <c r="AM48" i="1" s="1"/>
  <c r="AN48" i="1" a="1"/>
  <c r="AN48" i="1" s="1"/>
  <c r="AO48" i="1" a="1"/>
  <c r="AO48" i="1" s="1"/>
  <c r="AP48" i="1" a="1"/>
  <c r="AP48" i="1" s="1"/>
  <c r="AQ48" i="1" a="1"/>
  <c r="AQ48" i="1" s="1"/>
  <c r="AR48" i="1" a="1"/>
  <c r="AR48" i="1" s="1"/>
  <c r="AS48" i="1" a="1"/>
  <c r="AS48" i="1" s="1"/>
  <c r="AT48" i="1" a="1"/>
  <c r="AT48" i="1" s="1"/>
  <c r="AU48" i="1" a="1"/>
  <c r="AU48" i="1" s="1"/>
  <c r="AV48" i="1" a="1"/>
  <c r="AV48" i="1" s="1"/>
  <c r="AW48" i="1" a="1"/>
  <c r="AW48" i="1" s="1"/>
  <c r="AX48" i="1" a="1"/>
  <c r="AX48" i="1" s="1"/>
  <c r="AY48" i="1" a="1"/>
  <c r="AY48" i="1" s="1"/>
  <c r="AZ48" i="1" a="1"/>
  <c r="AZ48" i="1" s="1"/>
  <c r="BA48" i="1" a="1"/>
  <c r="BA48" i="1" s="1"/>
  <c r="BB48" i="1" a="1"/>
  <c r="BB48" i="1" s="1"/>
  <c r="AL49" i="1" a="1"/>
  <c r="AL49" i="1" s="1"/>
  <c r="AM49" i="1" a="1"/>
  <c r="AM49" i="1" s="1"/>
  <c r="AN49" i="1" a="1"/>
  <c r="AN49" i="1" s="1"/>
  <c r="AO49" i="1" a="1"/>
  <c r="AO49" i="1" s="1"/>
  <c r="AP49" i="1" a="1"/>
  <c r="AP49" i="1" s="1"/>
  <c r="AQ49" i="1" a="1"/>
  <c r="AQ49" i="1" s="1"/>
  <c r="AR49" i="1" a="1"/>
  <c r="AR49" i="1" s="1"/>
  <c r="AS49" i="1" a="1"/>
  <c r="AS49" i="1" s="1"/>
  <c r="AT49" i="1" a="1"/>
  <c r="AT49" i="1" s="1"/>
  <c r="AU49" i="1" a="1"/>
  <c r="AU49" i="1" s="1"/>
  <c r="AV49" i="1" a="1"/>
  <c r="AV49" i="1" s="1"/>
  <c r="AW49" i="1" a="1"/>
  <c r="AW49" i="1" s="1"/>
  <c r="AX49" i="1" a="1"/>
  <c r="AX49" i="1" s="1"/>
  <c r="AY49" i="1" a="1"/>
  <c r="AY49" i="1" s="1"/>
  <c r="AZ49" i="1" a="1"/>
  <c r="AZ49" i="1" s="1"/>
  <c r="BA49" i="1" a="1"/>
  <c r="BA49" i="1" s="1"/>
  <c r="BB49" i="1" a="1"/>
  <c r="BB49" i="1" s="1"/>
  <c r="AL50" i="1" a="1"/>
  <c r="AL50" i="1" s="1"/>
  <c r="AM50" i="1" a="1"/>
  <c r="AM50" i="1" s="1"/>
  <c r="AN50" i="1" a="1"/>
  <c r="AN50" i="1" s="1"/>
  <c r="AO50" i="1" a="1"/>
  <c r="AO50" i="1" s="1"/>
  <c r="AP50" i="1" a="1"/>
  <c r="AP50" i="1" s="1"/>
  <c r="AQ50" i="1" a="1"/>
  <c r="AQ50" i="1" s="1"/>
  <c r="AR50" i="1" a="1"/>
  <c r="AR50" i="1" s="1"/>
  <c r="AS50" i="1" a="1"/>
  <c r="AS50" i="1" s="1"/>
  <c r="AT50" i="1" a="1"/>
  <c r="AT50" i="1" s="1"/>
  <c r="AU50" i="1" a="1"/>
  <c r="AU50" i="1" s="1"/>
  <c r="AV50" i="1" a="1"/>
  <c r="AV50" i="1" s="1"/>
  <c r="AW50" i="1" a="1"/>
  <c r="AW50" i="1" s="1"/>
  <c r="AX50" i="1" a="1"/>
  <c r="AX50" i="1" s="1"/>
  <c r="AY50" i="1" a="1"/>
  <c r="AY50" i="1" s="1"/>
  <c r="AZ50" i="1" a="1"/>
  <c r="AZ50" i="1" s="1"/>
  <c r="BA50" i="1" a="1"/>
  <c r="BA50" i="1" s="1"/>
  <c r="BB50" i="1" a="1"/>
  <c r="BB50" i="1" s="1"/>
  <c r="AL51" i="1" a="1"/>
  <c r="AL51" i="1" s="1"/>
  <c r="AM51" i="1" a="1"/>
  <c r="AM51" i="1" s="1"/>
  <c r="AN51" i="1" a="1"/>
  <c r="AN51" i="1" s="1"/>
  <c r="AO51" i="1" a="1"/>
  <c r="AO51" i="1" s="1"/>
  <c r="AP51" i="1" a="1"/>
  <c r="AP51" i="1" s="1"/>
  <c r="AQ51" i="1" a="1"/>
  <c r="AQ51" i="1" s="1"/>
  <c r="AR51" i="1" a="1"/>
  <c r="AR51" i="1" s="1"/>
  <c r="AS51" i="1" a="1"/>
  <c r="AS51" i="1" s="1"/>
  <c r="AT51" i="1" a="1"/>
  <c r="AT51" i="1" s="1"/>
  <c r="AU51" i="1" a="1"/>
  <c r="AU51" i="1" s="1"/>
  <c r="AV51" i="1" a="1"/>
  <c r="AV51" i="1" s="1"/>
  <c r="AW51" i="1" a="1"/>
  <c r="AW51" i="1" s="1"/>
  <c r="AX51" i="1" a="1"/>
  <c r="AX51" i="1" s="1"/>
  <c r="AY51" i="1" a="1"/>
  <c r="AY51" i="1" s="1"/>
  <c r="AZ51" i="1" a="1"/>
  <c r="AZ51" i="1" s="1"/>
  <c r="BA51" i="1" a="1"/>
  <c r="BA51" i="1" s="1"/>
  <c r="BB51" i="1" a="1"/>
  <c r="BB51" i="1" s="1"/>
  <c r="AL52" i="1" a="1"/>
  <c r="AL52" i="1" s="1"/>
  <c r="AM52" i="1" a="1"/>
  <c r="AM52" i="1" s="1"/>
  <c r="AN52" i="1" a="1"/>
  <c r="AN52" i="1" s="1"/>
  <c r="AO52" i="1" a="1"/>
  <c r="AO52" i="1" s="1"/>
  <c r="AP52" i="1" a="1"/>
  <c r="AP52" i="1" s="1"/>
  <c r="AQ52" i="1" a="1"/>
  <c r="AQ52" i="1" s="1"/>
  <c r="AR52" i="1" a="1"/>
  <c r="AR52" i="1" s="1"/>
  <c r="AS52" i="1" a="1"/>
  <c r="AS52" i="1" s="1"/>
  <c r="AT52" i="1" a="1"/>
  <c r="AT52" i="1" s="1"/>
  <c r="AU52" i="1" a="1"/>
  <c r="AU52" i="1" s="1"/>
  <c r="AV52" i="1" a="1"/>
  <c r="AV52" i="1" s="1"/>
  <c r="AW52" i="1" a="1"/>
  <c r="AW52" i="1" s="1"/>
  <c r="AX52" i="1" a="1"/>
  <c r="AX52" i="1" s="1"/>
  <c r="AY52" i="1" a="1"/>
  <c r="AY52" i="1" s="1"/>
  <c r="AZ52" i="1" a="1"/>
  <c r="AZ52" i="1" s="1"/>
  <c r="BA52" i="1" a="1"/>
  <c r="BA52" i="1" s="1"/>
  <c r="BB52" i="1" a="1"/>
  <c r="BB52" i="1" s="1"/>
  <c r="AL53" i="1" a="1"/>
  <c r="AL53" i="1" s="1"/>
  <c r="AM53" i="1" a="1"/>
  <c r="AM53" i="1" s="1"/>
  <c r="AN53" i="1" a="1"/>
  <c r="AN53" i="1" s="1"/>
  <c r="AO53" i="1" a="1"/>
  <c r="AO53" i="1" s="1"/>
  <c r="AP53" i="1" a="1"/>
  <c r="AP53" i="1" s="1"/>
  <c r="AQ53" i="1" a="1"/>
  <c r="AQ53" i="1" s="1"/>
  <c r="AR53" i="1" a="1"/>
  <c r="AR53" i="1" s="1"/>
  <c r="AS53" i="1" a="1"/>
  <c r="AS53" i="1" s="1"/>
  <c r="AT53" i="1" a="1"/>
  <c r="AT53" i="1" s="1"/>
  <c r="AU53" i="1" a="1"/>
  <c r="AU53" i="1" s="1"/>
  <c r="AV53" i="1" a="1"/>
  <c r="AV53" i="1" s="1"/>
  <c r="AW53" i="1" a="1"/>
  <c r="AW53" i="1" s="1"/>
  <c r="AX53" i="1" a="1"/>
  <c r="AX53" i="1" s="1"/>
  <c r="AY53" i="1" a="1"/>
  <c r="AY53" i="1" s="1"/>
  <c r="AZ53" i="1" a="1"/>
  <c r="AZ53" i="1" s="1"/>
  <c r="BA53" i="1" a="1"/>
  <c r="BA53" i="1" s="1"/>
  <c r="BB53" i="1" a="1"/>
  <c r="BB53" i="1" s="1"/>
  <c r="AL54" i="1" a="1"/>
  <c r="AL54" i="1" s="1"/>
  <c r="AM54" i="1" a="1"/>
  <c r="AM54" i="1" s="1"/>
  <c r="AN54" i="1" a="1"/>
  <c r="AN54" i="1" s="1"/>
  <c r="AO54" i="1" a="1"/>
  <c r="AO54" i="1" s="1"/>
  <c r="AP54" i="1" a="1"/>
  <c r="AP54" i="1" s="1"/>
  <c r="AQ54" i="1" a="1"/>
  <c r="AQ54" i="1" s="1"/>
  <c r="AR54" i="1" a="1"/>
  <c r="AR54" i="1" s="1"/>
  <c r="AS54" i="1" a="1"/>
  <c r="AS54" i="1" s="1"/>
  <c r="AT54" i="1" a="1"/>
  <c r="AT54" i="1" s="1"/>
  <c r="AU54" i="1" a="1"/>
  <c r="AU54" i="1" s="1"/>
  <c r="AV54" i="1" a="1"/>
  <c r="AV54" i="1" s="1"/>
  <c r="AW54" i="1" a="1"/>
  <c r="AW54" i="1" s="1"/>
  <c r="AX54" i="1" a="1"/>
  <c r="AX54" i="1" s="1"/>
  <c r="AY54" i="1" a="1"/>
  <c r="AY54" i="1" s="1"/>
  <c r="AZ54" i="1" a="1"/>
  <c r="AZ54" i="1" s="1"/>
  <c r="BA54" i="1" a="1"/>
  <c r="BA54" i="1" s="1"/>
  <c r="BB54" i="1" a="1"/>
  <c r="BB54" i="1" s="1"/>
  <c r="AL55" i="1" a="1"/>
  <c r="AL55" i="1" s="1"/>
  <c r="AM55" i="1" a="1"/>
  <c r="AM55" i="1" s="1"/>
  <c r="AN55" i="1" a="1"/>
  <c r="AN55" i="1" s="1"/>
  <c r="AO55" i="1" a="1"/>
  <c r="AO55" i="1" s="1"/>
  <c r="AP55" i="1" a="1"/>
  <c r="AP55" i="1" s="1"/>
  <c r="AQ55" i="1" a="1"/>
  <c r="AQ55" i="1" s="1"/>
  <c r="AR55" i="1" a="1"/>
  <c r="AR55" i="1" s="1"/>
  <c r="AS55" i="1" a="1"/>
  <c r="AS55" i="1" s="1"/>
  <c r="AT55" i="1" a="1"/>
  <c r="AT55" i="1" s="1"/>
  <c r="AU55" i="1" a="1"/>
  <c r="AU55" i="1" s="1"/>
  <c r="AV55" i="1" a="1"/>
  <c r="AV55" i="1" s="1"/>
  <c r="AW55" i="1" a="1"/>
  <c r="AW55" i="1" s="1"/>
  <c r="AX55" i="1" a="1"/>
  <c r="AX55" i="1" s="1"/>
  <c r="AY55" i="1" a="1"/>
  <c r="AY55" i="1" s="1"/>
  <c r="AZ55" i="1" a="1"/>
  <c r="AZ55" i="1" s="1"/>
  <c r="BA55" i="1" a="1"/>
  <c r="BA55" i="1" s="1"/>
  <c r="BB55" i="1" a="1"/>
  <c r="BB55" i="1" s="1"/>
  <c r="AL56" i="1" a="1"/>
  <c r="AL56" i="1" s="1"/>
  <c r="AM56" i="1" a="1"/>
  <c r="AM56" i="1" s="1"/>
  <c r="AN56" i="1" a="1"/>
  <c r="AN56" i="1" s="1"/>
  <c r="AO56" i="1" a="1"/>
  <c r="AO56" i="1" s="1"/>
  <c r="AP56" i="1" a="1"/>
  <c r="AP56" i="1" s="1"/>
  <c r="AQ56" i="1" a="1"/>
  <c r="AQ56" i="1" s="1"/>
  <c r="AR56" i="1" a="1"/>
  <c r="AR56" i="1" s="1"/>
  <c r="AS56" i="1" a="1"/>
  <c r="AS56" i="1" s="1"/>
  <c r="AT56" i="1" a="1"/>
  <c r="AT56" i="1" s="1"/>
  <c r="AU56" i="1" a="1"/>
  <c r="AU56" i="1" s="1"/>
  <c r="AV56" i="1" a="1"/>
  <c r="AV56" i="1" s="1"/>
  <c r="AW56" i="1" a="1"/>
  <c r="AW56" i="1" s="1"/>
  <c r="AX56" i="1" a="1"/>
  <c r="AX56" i="1" s="1"/>
  <c r="AY56" i="1" a="1"/>
  <c r="AY56" i="1" s="1"/>
  <c r="AZ56" i="1" a="1"/>
  <c r="AZ56" i="1" s="1"/>
  <c r="BA56" i="1" a="1"/>
  <c r="BA56" i="1" s="1"/>
  <c r="BB56" i="1" a="1"/>
  <c r="BB56" i="1" s="1"/>
  <c r="AL57" i="1" a="1"/>
  <c r="AL57" i="1" s="1"/>
  <c r="AM57" i="1" a="1"/>
  <c r="AM57" i="1" s="1"/>
  <c r="AN57" i="1" a="1"/>
  <c r="AN57" i="1" s="1"/>
  <c r="AO57" i="1" a="1"/>
  <c r="AO57" i="1" s="1"/>
  <c r="AP57" i="1" a="1"/>
  <c r="AP57" i="1" s="1"/>
  <c r="AQ57" i="1" a="1"/>
  <c r="AQ57" i="1" s="1"/>
  <c r="AR57" i="1" a="1"/>
  <c r="AR57" i="1" s="1"/>
  <c r="AS57" i="1" a="1"/>
  <c r="AS57" i="1" s="1"/>
  <c r="AT57" i="1" a="1"/>
  <c r="AT57" i="1" s="1"/>
  <c r="AU57" i="1" a="1"/>
  <c r="AU57" i="1" s="1"/>
  <c r="AV57" i="1" a="1"/>
  <c r="AV57" i="1" s="1"/>
  <c r="AW57" i="1" a="1"/>
  <c r="AW57" i="1" s="1"/>
  <c r="AX57" i="1" a="1"/>
  <c r="AX57" i="1" s="1"/>
  <c r="AY57" i="1" a="1"/>
  <c r="AY57" i="1" s="1"/>
  <c r="AZ57" i="1" a="1"/>
  <c r="AZ57" i="1" s="1"/>
  <c r="BA57" i="1" a="1"/>
  <c r="BA57" i="1" s="1"/>
  <c r="BB57" i="1" a="1"/>
  <c r="BB57" i="1" s="1"/>
  <c r="AL58" i="1" a="1"/>
  <c r="AL58" i="1" s="1"/>
  <c r="AM58" i="1" a="1"/>
  <c r="AM58" i="1" s="1"/>
  <c r="AN58" i="1" a="1"/>
  <c r="AN58" i="1" s="1"/>
  <c r="AO58" i="1" a="1"/>
  <c r="AO58" i="1" s="1"/>
  <c r="AP58" i="1" a="1"/>
  <c r="AP58" i="1" s="1"/>
  <c r="AQ58" i="1" a="1"/>
  <c r="AQ58" i="1" s="1"/>
  <c r="AR58" i="1" a="1"/>
  <c r="AR58" i="1" s="1"/>
  <c r="AS58" i="1" a="1"/>
  <c r="AS58" i="1" s="1"/>
  <c r="AT58" i="1" a="1"/>
  <c r="AT58" i="1" s="1"/>
  <c r="AU58" i="1" a="1"/>
  <c r="AU58" i="1" s="1"/>
  <c r="AV58" i="1" a="1"/>
  <c r="AV58" i="1" s="1"/>
  <c r="AW58" i="1" a="1"/>
  <c r="AW58" i="1" s="1"/>
  <c r="AX58" i="1" a="1"/>
  <c r="AX58" i="1" s="1"/>
  <c r="AY58" i="1" a="1"/>
  <c r="AY58" i="1" s="1"/>
  <c r="AZ58" i="1" a="1"/>
  <c r="AZ58" i="1" s="1"/>
  <c r="BA58" i="1" a="1"/>
  <c r="BA58" i="1" s="1"/>
  <c r="BB58" i="1" a="1"/>
  <c r="BB58" i="1" s="1"/>
  <c r="AL59" i="1" a="1"/>
  <c r="AL59" i="1" s="1"/>
  <c r="AM59" i="1" a="1"/>
  <c r="AM59" i="1" s="1"/>
  <c r="AN59" i="1" a="1"/>
  <c r="AN59" i="1" s="1"/>
  <c r="AO59" i="1" a="1"/>
  <c r="AO59" i="1" s="1"/>
  <c r="AP59" i="1" a="1"/>
  <c r="AP59" i="1" s="1"/>
  <c r="AQ59" i="1" a="1"/>
  <c r="AQ59" i="1" s="1"/>
  <c r="AR59" i="1" a="1"/>
  <c r="AR59" i="1" s="1"/>
  <c r="AS59" i="1" a="1"/>
  <c r="AS59" i="1" s="1"/>
  <c r="AT59" i="1" a="1"/>
  <c r="AT59" i="1" s="1"/>
  <c r="AU59" i="1" a="1"/>
  <c r="AU59" i="1" s="1"/>
  <c r="AV59" i="1" a="1"/>
  <c r="AV59" i="1" s="1"/>
  <c r="AW59" i="1" a="1"/>
  <c r="AW59" i="1" s="1"/>
  <c r="AX59" i="1" a="1"/>
  <c r="AX59" i="1" s="1"/>
  <c r="AY59" i="1" a="1"/>
  <c r="AY59" i="1" s="1"/>
  <c r="AZ59" i="1" a="1"/>
  <c r="AZ59" i="1" s="1"/>
  <c r="BA59" i="1" a="1"/>
  <c r="BA59" i="1" s="1"/>
  <c r="BB59" i="1" a="1"/>
  <c r="BB59" i="1" s="1"/>
  <c r="AL60" i="1" a="1"/>
  <c r="AL60" i="1" s="1"/>
  <c r="AM60" i="1" a="1"/>
  <c r="AM60" i="1" s="1"/>
  <c r="AN60" i="1" a="1"/>
  <c r="AN60" i="1" s="1"/>
  <c r="AO60" i="1" a="1"/>
  <c r="AO60" i="1" s="1"/>
  <c r="AP60" i="1" a="1"/>
  <c r="AP60" i="1" s="1"/>
  <c r="AQ60" i="1" a="1"/>
  <c r="AQ60" i="1" s="1"/>
  <c r="AR60" i="1" a="1"/>
  <c r="AR60" i="1" s="1"/>
  <c r="AS60" i="1" a="1"/>
  <c r="AS60" i="1" s="1"/>
  <c r="AT60" i="1" a="1"/>
  <c r="AT60" i="1" s="1"/>
  <c r="AU60" i="1" a="1"/>
  <c r="AU60" i="1" s="1"/>
  <c r="AV60" i="1" a="1"/>
  <c r="AV60" i="1" s="1"/>
  <c r="AW60" i="1" a="1"/>
  <c r="AW60" i="1" s="1"/>
  <c r="AX60" i="1" a="1"/>
  <c r="AX60" i="1" s="1"/>
  <c r="AY60" i="1" a="1"/>
  <c r="AY60" i="1" s="1"/>
  <c r="AZ60" i="1" a="1"/>
  <c r="AZ60" i="1" s="1"/>
  <c r="BA60" i="1" a="1"/>
  <c r="BA60" i="1" s="1"/>
  <c r="BB60" i="1" a="1"/>
  <c r="BB60" i="1" s="1"/>
  <c r="AL61" i="1" a="1"/>
  <c r="AL61" i="1" s="1"/>
  <c r="AM61" i="1" a="1"/>
  <c r="AM61" i="1" s="1"/>
  <c r="AN61" i="1" a="1"/>
  <c r="AN61" i="1" s="1"/>
  <c r="AO61" i="1" a="1"/>
  <c r="AO61" i="1" s="1"/>
  <c r="AP61" i="1" a="1"/>
  <c r="AP61" i="1" s="1"/>
  <c r="AQ61" i="1" a="1"/>
  <c r="AQ61" i="1" s="1"/>
  <c r="AR61" i="1" a="1"/>
  <c r="AR61" i="1" s="1"/>
  <c r="AS61" i="1" a="1"/>
  <c r="AS61" i="1" s="1"/>
  <c r="AT61" i="1" a="1"/>
  <c r="AT61" i="1" s="1"/>
  <c r="AU61" i="1" a="1"/>
  <c r="AU61" i="1" s="1"/>
  <c r="AV61" i="1" a="1"/>
  <c r="AV61" i="1" s="1"/>
  <c r="AW61" i="1" a="1"/>
  <c r="AW61" i="1" s="1"/>
  <c r="AX61" i="1" a="1"/>
  <c r="AX61" i="1" s="1"/>
  <c r="AY61" i="1" a="1"/>
  <c r="AY61" i="1" s="1"/>
  <c r="AZ61" i="1" a="1"/>
  <c r="AZ61" i="1" s="1"/>
  <c r="BA61" i="1" a="1"/>
  <c r="BA61" i="1" s="1"/>
  <c r="BB61" i="1" a="1"/>
  <c r="BB61" i="1" s="1"/>
  <c r="AL62" i="1" a="1"/>
  <c r="AL62" i="1" s="1"/>
  <c r="AM62" i="1" a="1"/>
  <c r="AM62" i="1" s="1"/>
  <c r="AN62" i="1" a="1"/>
  <c r="AN62" i="1" s="1"/>
  <c r="AO62" i="1" a="1"/>
  <c r="AO62" i="1" s="1"/>
  <c r="AP62" i="1" a="1"/>
  <c r="AP62" i="1" s="1"/>
  <c r="AQ62" i="1" a="1"/>
  <c r="AQ62" i="1" s="1"/>
  <c r="AR62" i="1" a="1"/>
  <c r="AR62" i="1" s="1"/>
  <c r="AS62" i="1" a="1"/>
  <c r="AS62" i="1" s="1"/>
  <c r="AT62" i="1" a="1"/>
  <c r="AT62" i="1" s="1"/>
  <c r="AU62" i="1" a="1"/>
  <c r="AU62" i="1" s="1"/>
  <c r="AV62" i="1" a="1"/>
  <c r="AV62" i="1" s="1"/>
  <c r="AW62" i="1" a="1"/>
  <c r="AW62" i="1" s="1"/>
  <c r="AX62" i="1" a="1"/>
  <c r="AX62" i="1" s="1"/>
  <c r="AY62" i="1" a="1"/>
  <c r="AY62" i="1" s="1"/>
  <c r="AZ62" i="1" a="1"/>
  <c r="AZ62" i="1" s="1"/>
  <c r="BA62" i="1" a="1"/>
  <c r="BA62" i="1" s="1"/>
  <c r="BB62" i="1" a="1"/>
  <c r="BB62" i="1" s="1"/>
  <c r="AL63" i="1" a="1"/>
  <c r="AL63" i="1" s="1"/>
  <c r="AM63" i="1" a="1"/>
  <c r="AM63" i="1" s="1"/>
  <c r="AN63" i="1" a="1"/>
  <c r="AN63" i="1" s="1"/>
  <c r="AO63" i="1" a="1"/>
  <c r="AO63" i="1" s="1"/>
  <c r="AP63" i="1" a="1"/>
  <c r="AP63" i="1" s="1"/>
  <c r="AQ63" i="1" a="1"/>
  <c r="AQ63" i="1" s="1"/>
  <c r="AR63" i="1" a="1"/>
  <c r="AR63" i="1" s="1"/>
  <c r="AS63" i="1" a="1"/>
  <c r="AS63" i="1" s="1"/>
  <c r="AT63" i="1" a="1"/>
  <c r="AT63" i="1" s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A63" i="1" a="1"/>
  <c r="BA63" i="1" s="1"/>
  <c r="BB63" i="1" a="1"/>
  <c r="BB63" i="1" s="1"/>
  <c r="AL64" i="1" a="1"/>
  <c r="AL64" i="1" s="1"/>
  <c r="AM64" i="1" a="1"/>
  <c r="AM64" i="1" s="1"/>
  <c r="AN64" i="1" a="1"/>
  <c r="AN64" i="1" s="1"/>
  <c r="AO64" i="1" a="1"/>
  <c r="AO64" i="1" s="1"/>
  <c r="AP64" i="1" a="1"/>
  <c r="AP64" i="1" s="1"/>
  <c r="AQ64" i="1" a="1"/>
  <c r="AQ64" i="1" s="1"/>
  <c r="AR64" i="1" a="1"/>
  <c r="AR64" i="1" s="1"/>
  <c r="AS64" i="1" a="1"/>
  <c r="AS64" i="1" s="1"/>
  <c r="AT64" i="1" a="1"/>
  <c r="AT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AZ64" i="1" a="1"/>
  <c r="AZ64" i="1" s="1"/>
  <c r="BA64" i="1" a="1"/>
  <c r="BA64" i="1" s="1"/>
  <c r="BB64" i="1" a="1"/>
  <c r="BB64" i="1" s="1"/>
  <c r="AL65" i="1" a="1"/>
  <c r="AL65" i="1" s="1"/>
  <c r="AM65" i="1" a="1"/>
  <c r="AM65" i="1" s="1"/>
  <c r="AN65" i="1" a="1"/>
  <c r="AN65" i="1" s="1"/>
  <c r="AO65" i="1" a="1"/>
  <c r="AO65" i="1" s="1"/>
  <c r="AP65" i="1" a="1"/>
  <c r="AP65" i="1" s="1"/>
  <c r="AQ65" i="1" a="1"/>
  <c r="AQ65" i="1" s="1"/>
  <c r="AR65" i="1" a="1"/>
  <c r="AR65" i="1" s="1"/>
  <c r="AS65" i="1" a="1"/>
  <c r="AS65" i="1" s="1"/>
  <c r="AT65" i="1" a="1"/>
  <c r="AT65" i="1" s="1"/>
  <c r="AU65" i="1" a="1"/>
  <c r="AU65" i="1" s="1"/>
  <c r="AV65" i="1" a="1"/>
  <c r="AV65" i="1" s="1"/>
  <c r="AW65" i="1" a="1"/>
  <c r="AW65" i="1" s="1"/>
  <c r="AX65" i="1" a="1"/>
  <c r="AX65" i="1" s="1"/>
  <c r="AY65" i="1" a="1"/>
  <c r="AY65" i="1" s="1"/>
  <c r="AZ65" i="1" a="1"/>
  <c r="AZ65" i="1" s="1"/>
  <c r="BA65" i="1" a="1"/>
  <c r="BA65" i="1" s="1"/>
  <c r="BB65" i="1" a="1"/>
  <c r="BB65" i="1" s="1"/>
  <c r="AL66" i="1" a="1"/>
  <c r="AL66" i="1" s="1"/>
  <c r="AM66" i="1" a="1"/>
  <c r="AM66" i="1" s="1"/>
  <c r="AN66" i="1" a="1"/>
  <c r="AN66" i="1" s="1"/>
  <c r="AO66" i="1" a="1"/>
  <c r="AO66" i="1" s="1"/>
  <c r="AP66" i="1" a="1"/>
  <c r="AP66" i="1" s="1"/>
  <c r="AQ66" i="1" a="1"/>
  <c r="AQ66" i="1" s="1"/>
  <c r="AR66" i="1" a="1"/>
  <c r="AR66" i="1" s="1"/>
  <c r="AS66" i="1" a="1"/>
  <c r="AS66" i="1" s="1"/>
  <c r="AT66" i="1" a="1"/>
  <c r="AT66" i="1" s="1"/>
  <c r="AU66" i="1" a="1"/>
  <c r="AU66" i="1" s="1"/>
  <c r="AV66" i="1" a="1"/>
  <c r="AV66" i="1" s="1"/>
  <c r="AW66" i="1" a="1"/>
  <c r="AW66" i="1" s="1"/>
  <c r="AX66" i="1" a="1"/>
  <c r="AX66" i="1" s="1"/>
  <c r="AY66" i="1" a="1"/>
  <c r="AY66" i="1" s="1"/>
  <c r="AZ66" i="1" a="1"/>
  <c r="AZ66" i="1" s="1"/>
  <c r="BA66" i="1" a="1"/>
  <c r="BA66" i="1" s="1"/>
  <c r="BB66" i="1" a="1"/>
  <c r="BB66" i="1" s="1"/>
  <c r="AL67" i="1" a="1"/>
  <c r="AL67" i="1" s="1"/>
  <c r="AM67" i="1" a="1"/>
  <c r="AM67" i="1" s="1"/>
  <c r="AN67" i="1" a="1"/>
  <c r="AN67" i="1" s="1"/>
  <c r="AO67" i="1" a="1"/>
  <c r="AO67" i="1" s="1"/>
  <c r="AP67" i="1" a="1"/>
  <c r="AP67" i="1" s="1"/>
  <c r="AQ67" i="1" a="1"/>
  <c r="AQ67" i="1" s="1"/>
  <c r="AR67" i="1" a="1"/>
  <c r="AR67" i="1" s="1"/>
  <c r="AS67" i="1" a="1"/>
  <c r="AS67" i="1" s="1"/>
  <c r="AT67" i="1" a="1"/>
  <c r="AT67" i="1" s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Z67" i="1" a="1"/>
  <c r="AZ67" i="1" s="1"/>
  <c r="BA67" i="1" a="1"/>
  <c r="BA67" i="1" s="1"/>
  <c r="BB67" i="1" a="1"/>
  <c r="BB67" i="1" s="1"/>
  <c r="AL68" i="1" a="1"/>
  <c r="AL68" i="1" s="1"/>
  <c r="AM68" i="1" a="1"/>
  <c r="AM68" i="1" s="1"/>
  <c r="AN68" i="1" a="1"/>
  <c r="AN68" i="1" s="1"/>
  <c r="AO68" i="1" a="1"/>
  <c r="AO68" i="1" s="1"/>
  <c r="AP68" i="1" a="1"/>
  <c r="AP68" i="1" s="1"/>
  <c r="AQ68" i="1" a="1"/>
  <c r="AQ68" i="1" s="1"/>
  <c r="AR68" i="1" a="1"/>
  <c r="AR68" i="1" s="1"/>
  <c r="AS68" i="1" a="1"/>
  <c r="AS68" i="1" s="1"/>
  <c r="AT68" i="1" a="1"/>
  <c r="AT68" i="1" s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AL69" i="1" a="1"/>
  <c r="AL69" i="1" s="1"/>
  <c r="AM69" i="1" a="1"/>
  <c r="AM69" i="1" s="1"/>
  <c r="AN69" i="1" a="1"/>
  <c r="AN69" i="1" s="1"/>
  <c r="AO69" i="1" a="1"/>
  <c r="AO69" i="1" s="1"/>
  <c r="AP69" i="1" a="1"/>
  <c r="AP69" i="1" s="1"/>
  <c r="AQ69" i="1" a="1"/>
  <c r="AQ69" i="1" s="1"/>
  <c r="AR69" i="1" a="1"/>
  <c r="AR69" i="1" s="1"/>
  <c r="AS69" i="1" a="1"/>
  <c r="AS69" i="1" s="1"/>
  <c r="AT69" i="1" a="1"/>
  <c r="AT69" i="1" s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Z69" i="1" a="1"/>
  <c r="AZ69" i="1" s="1"/>
  <c r="BA69" i="1" a="1"/>
  <c r="BA69" i="1" s="1"/>
  <c r="BB69" i="1" a="1"/>
  <c r="BB69" i="1" s="1"/>
  <c r="AL70" i="1" a="1"/>
  <c r="AL70" i="1" s="1"/>
  <c r="AM70" i="1" a="1"/>
  <c r="AM70" i="1" s="1"/>
  <c r="AN70" i="1" a="1"/>
  <c r="AN70" i="1" s="1"/>
  <c r="AO70" i="1" a="1"/>
  <c r="AO70" i="1" s="1"/>
  <c r="AP70" i="1" a="1"/>
  <c r="AP70" i="1" s="1"/>
  <c r="AQ70" i="1" a="1"/>
  <c r="AQ70" i="1" s="1"/>
  <c r="AR70" i="1" a="1"/>
  <c r="AR70" i="1" s="1"/>
  <c r="AS70" i="1" a="1"/>
  <c r="AS70" i="1" s="1"/>
  <c r="AT70" i="1" a="1"/>
  <c r="AT70" i="1" s="1"/>
  <c r="AU70" i="1" a="1"/>
  <c r="AU70" i="1" s="1"/>
  <c r="AV70" i="1" a="1"/>
  <c r="AV70" i="1" s="1"/>
  <c r="AW70" i="1" a="1"/>
  <c r="AW70" i="1" s="1"/>
  <c r="AX70" i="1" a="1"/>
  <c r="AX70" i="1" s="1"/>
  <c r="AY70" i="1" a="1"/>
  <c r="AY70" i="1" s="1"/>
  <c r="AZ70" i="1" a="1"/>
  <c r="AZ70" i="1" s="1"/>
  <c r="BA70" i="1" a="1"/>
  <c r="BA70" i="1" s="1"/>
  <c r="BB70" i="1" a="1"/>
  <c r="BB70" i="1" s="1"/>
  <c r="AL71" i="1" a="1"/>
  <c r="AL71" i="1" s="1"/>
  <c r="AM71" i="1" a="1"/>
  <c r="AM71" i="1" s="1"/>
  <c r="AN71" i="1" a="1"/>
  <c r="AN71" i="1" s="1"/>
  <c r="AO71" i="1" a="1"/>
  <c r="AO71" i="1" s="1"/>
  <c r="AP71" i="1" a="1"/>
  <c r="AP71" i="1" s="1"/>
  <c r="AQ71" i="1" a="1"/>
  <c r="AQ71" i="1" s="1"/>
  <c r="AR71" i="1" a="1"/>
  <c r="AR71" i="1" s="1"/>
  <c r="AS71" i="1" a="1"/>
  <c r="AS71" i="1" s="1"/>
  <c r="AT71" i="1" a="1"/>
  <c r="AT71" i="1" s="1"/>
  <c r="AU71" i="1" a="1"/>
  <c r="AU71" i="1" s="1"/>
  <c r="AV71" i="1" a="1"/>
  <c r="AV71" i="1" s="1"/>
  <c r="AW71" i="1" a="1"/>
  <c r="AW71" i="1" s="1"/>
  <c r="AX71" i="1" a="1"/>
  <c r="AX71" i="1" s="1"/>
  <c r="AY71" i="1" a="1"/>
  <c r="AY71" i="1" s="1"/>
  <c r="AZ71" i="1" a="1"/>
  <c r="AZ71" i="1" s="1"/>
  <c r="BA71" i="1" a="1"/>
  <c r="BA71" i="1" s="1"/>
  <c r="BB71" i="1" a="1"/>
  <c r="BB71" i="1" s="1"/>
  <c r="AL72" i="1" a="1"/>
  <c r="AL72" i="1" s="1"/>
  <c r="AM72" i="1" a="1"/>
  <c r="AM72" i="1" s="1"/>
  <c r="AN72" i="1" a="1"/>
  <c r="AN72" i="1" s="1"/>
  <c r="AO72" i="1" a="1"/>
  <c r="AO72" i="1" s="1"/>
  <c r="AP72" i="1" a="1"/>
  <c r="AP72" i="1" s="1"/>
  <c r="AQ72" i="1" a="1"/>
  <c r="AQ72" i="1" s="1"/>
  <c r="AR72" i="1" a="1"/>
  <c r="AR72" i="1" s="1"/>
  <c r="AS72" i="1" a="1"/>
  <c r="AS72" i="1" s="1"/>
  <c r="AT72" i="1" a="1"/>
  <c r="AT72" i="1" s="1"/>
  <c r="AU72" i="1" a="1"/>
  <c r="AU72" i="1" s="1"/>
  <c r="AV72" i="1" a="1"/>
  <c r="AV72" i="1" s="1"/>
  <c r="AW72" i="1" a="1"/>
  <c r="AW72" i="1" s="1"/>
  <c r="AX72" i="1" a="1"/>
  <c r="AX72" i="1" s="1"/>
  <c r="AY72" i="1" a="1"/>
  <c r="AY72" i="1" s="1"/>
  <c r="AZ72" i="1" a="1"/>
  <c r="AZ72" i="1" s="1"/>
  <c r="BA72" i="1" a="1"/>
  <c r="BA72" i="1" s="1"/>
  <c r="BB72" i="1" a="1"/>
  <c r="BB72" i="1" s="1"/>
  <c r="AL73" i="1" a="1"/>
  <c r="AL73" i="1" s="1"/>
  <c r="AM73" i="1" a="1"/>
  <c r="AM73" i="1" s="1"/>
  <c r="AN73" i="1" a="1"/>
  <c r="AN73" i="1" s="1"/>
  <c r="AO73" i="1" a="1"/>
  <c r="AO73" i="1" s="1"/>
  <c r="AP73" i="1" a="1"/>
  <c r="AP73" i="1" s="1"/>
  <c r="AQ73" i="1" a="1"/>
  <c r="AQ73" i="1" s="1"/>
  <c r="AR73" i="1" a="1"/>
  <c r="AR73" i="1" s="1"/>
  <c r="AS73" i="1" a="1"/>
  <c r="AS73" i="1" s="1"/>
  <c r="AT73" i="1" a="1"/>
  <c r="AT73" i="1" s="1"/>
  <c r="AU73" i="1" a="1"/>
  <c r="AU73" i="1" s="1"/>
  <c r="AV73" i="1" a="1"/>
  <c r="AV73" i="1" s="1"/>
  <c r="AW73" i="1" a="1"/>
  <c r="AW73" i="1" s="1"/>
  <c r="AX73" i="1" a="1"/>
  <c r="AX73" i="1" s="1"/>
  <c r="AY73" i="1" a="1"/>
  <c r="AY73" i="1" s="1"/>
  <c r="AZ73" i="1" a="1"/>
  <c r="AZ73" i="1" s="1"/>
  <c r="BA73" i="1" a="1"/>
  <c r="BA73" i="1" s="1"/>
  <c r="BB73" i="1" a="1"/>
  <c r="BB73" i="1" s="1"/>
  <c r="AL74" i="1" a="1"/>
  <c r="AL74" i="1" s="1"/>
  <c r="AM74" i="1" a="1"/>
  <c r="AM74" i="1" s="1"/>
  <c r="AN74" i="1" a="1"/>
  <c r="AN74" i="1" s="1"/>
  <c r="AO74" i="1" a="1"/>
  <c r="AO74" i="1" s="1"/>
  <c r="AP74" i="1" a="1"/>
  <c r="AP74" i="1" s="1"/>
  <c r="AQ74" i="1" a="1"/>
  <c r="AQ74" i="1" s="1"/>
  <c r="AR74" i="1" a="1"/>
  <c r="AR74" i="1" s="1"/>
  <c r="AS74" i="1" a="1"/>
  <c r="AS74" i="1" s="1"/>
  <c r="AT74" i="1" a="1"/>
  <c r="AT74" i="1" s="1"/>
  <c r="AU74" i="1" a="1"/>
  <c r="AU74" i="1" s="1"/>
  <c r="AV74" i="1" a="1"/>
  <c r="AV74" i="1" s="1"/>
  <c r="AW74" i="1" a="1"/>
  <c r="AW74" i="1" s="1"/>
  <c r="AX74" i="1" a="1"/>
  <c r="AX74" i="1" s="1"/>
  <c r="AY74" i="1" a="1"/>
  <c r="AY74" i="1" s="1"/>
  <c r="AZ74" i="1" a="1"/>
  <c r="AZ74" i="1" s="1"/>
  <c r="BA74" i="1" a="1"/>
  <c r="BA74" i="1" s="1"/>
  <c r="BB74" i="1" a="1"/>
  <c r="BB74" i="1" s="1"/>
  <c r="AL76" i="1" a="1"/>
  <c r="AL76" i="1" s="1"/>
  <c r="AM76" i="1" a="1"/>
  <c r="AM76" i="1" s="1"/>
  <c r="AN76" i="1" a="1"/>
  <c r="AN76" i="1" s="1"/>
  <c r="AO76" i="1" a="1"/>
  <c r="AO76" i="1" s="1"/>
  <c r="AP76" i="1" a="1"/>
  <c r="AP76" i="1" s="1"/>
  <c r="AQ76" i="1" a="1"/>
  <c r="AQ76" i="1" s="1"/>
  <c r="AR76" i="1" a="1"/>
  <c r="AR76" i="1" s="1"/>
  <c r="AS76" i="1" a="1"/>
  <c r="AS76" i="1" s="1"/>
  <c r="AT76" i="1" a="1"/>
  <c r="AT76" i="1" s="1"/>
  <c r="AU76" i="1" a="1"/>
  <c r="AU76" i="1" s="1"/>
  <c r="AV76" i="1" a="1"/>
  <c r="AV76" i="1" s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AL77" i="1" a="1"/>
  <c r="AL77" i="1" s="1"/>
  <c r="AM77" i="1" a="1"/>
  <c r="AM77" i="1" s="1"/>
  <c r="AN77" i="1" a="1"/>
  <c r="AN77" i="1" s="1"/>
  <c r="AO77" i="1" a="1"/>
  <c r="AO77" i="1" s="1"/>
  <c r="AP77" i="1" a="1"/>
  <c r="AP77" i="1" s="1"/>
  <c r="AQ77" i="1" a="1"/>
  <c r="AQ77" i="1" s="1"/>
  <c r="AR77" i="1" a="1"/>
  <c r="AR77" i="1" s="1"/>
  <c r="AS77" i="1" a="1"/>
  <c r="AS77" i="1" s="1"/>
  <c r="AT77" i="1" a="1"/>
  <c r="AT77" i="1" s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AL78" i="1" a="1"/>
  <c r="AL78" i="1" s="1"/>
  <c r="AM78" i="1" a="1"/>
  <c r="AM78" i="1" s="1"/>
  <c r="AN78" i="1" a="1"/>
  <c r="AN78" i="1" s="1"/>
  <c r="AO78" i="1" a="1"/>
  <c r="AO78" i="1" s="1"/>
  <c r="AP78" i="1" a="1"/>
  <c r="AP78" i="1" s="1"/>
  <c r="AQ78" i="1" a="1"/>
  <c r="AQ78" i="1" s="1"/>
  <c r="AR78" i="1" a="1"/>
  <c r="AR78" i="1" s="1"/>
  <c r="AS78" i="1" a="1"/>
  <c r="AS78" i="1" s="1"/>
  <c r="AT78" i="1" a="1"/>
  <c r="AT78" i="1" s="1"/>
  <c r="AU78" i="1" a="1"/>
  <c r="AU78" i="1" s="1"/>
  <c r="AV78" i="1" a="1"/>
  <c r="AV78" i="1" s="1"/>
  <c r="AW78" i="1" a="1"/>
  <c r="AW78" i="1" s="1"/>
  <c r="AX78" i="1" a="1"/>
  <c r="AX78" i="1" s="1"/>
  <c r="AY78" i="1" a="1"/>
  <c r="AY78" i="1" s="1"/>
  <c r="AZ78" i="1" a="1"/>
  <c r="AZ78" i="1" s="1"/>
  <c r="BA78" i="1" a="1"/>
  <c r="BA78" i="1" s="1"/>
  <c r="BB78" i="1" a="1"/>
  <c r="BB78" i="1" s="1"/>
  <c r="AL79" i="1" a="1"/>
  <c r="AL79" i="1" s="1"/>
  <c r="AM79" i="1" a="1"/>
  <c r="AM79" i="1" s="1"/>
  <c r="AN79" i="1" a="1"/>
  <c r="AN79" i="1" s="1"/>
  <c r="AO79" i="1" a="1"/>
  <c r="AO79" i="1" s="1"/>
  <c r="AP79" i="1" a="1"/>
  <c r="AP79" i="1" s="1"/>
  <c r="AQ79" i="1" a="1"/>
  <c r="AQ79" i="1" s="1"/>
  <c r="AR79" i="1" a="1"/>
  <c r="AR79" i="1" s="1"/>
  <c r="AS79" i="1" a="1"/>
  <c r="AS79" i="1" s="1"/>
  <c r="AT79" i="1" a="1"/>
  <c r="AT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BB79" i="1" a="1"/>
  <c r="BB79" i="1" s="1"/>
  <c r="AL80" i="1" a="1"/>
  <c r="AL80" i="1" s="1"/>
  <c r="AM80" i="1" a="1"/>
  <c r="AM80" i="1" s="1"/>
  <c r="AN80" i="1" a="1"/>
  <c r="AN80" i="1" s="1"/>
  <c r="AO80" i="1" a="1"/>
  <c r="AO80" i="1" s="1"/>
  <c r="AP80" i="1" a="1"/>
  <c r="AP80" i="1" s="1"/>
  <c r="AQ80" i="1" a="1"/>
  <c r="AQ80" i="1" s="1"/>
  <c r="AR80" i="1" a="1"/>
  <c r="AR80" i="1" s="1"/>
  <c r="AS80" i="1" a="1"/>
  <c r="AS80" i="1" s="1"/>
  <c r="AT80" i="1" a="1"/>
  <c r="AT80" i="1" s="1"/>
  <c r="AU80" i="1" a="1"/>
  <c r="AU80" i="1" s="1"/>
  <c r="AV80" i="1" a="1"/>
  <c r="AV80" i="1" s="1"/>
  <c r="AW80" i="1" a="1"/>
  <c r="AW80" i="1" s="1"/>
  <c r="AX80" i="1" a="1"/>
  <c r="AX80" i="1" s="1"/>
  <c r="AY80" i="1" a="1"/>
  <c r="AY80" i="1" s="1"/>
  <c r="AZ80" i="1" a="1"/>
  <c r="AZ80" i="1" s="1"/>
  <c r="BA80" i="1" a="1"/>
  <c r="BA80" i="1" s="1"/>
  <c r="BB80" i="1" a="1"/>
  <c r="BB80" i="1" s="1"/>
  <c r="AL84" i="1" a="1"/>
  <c r="AL84" i="1" s="1"/>
  <c r="AM84" i="1" a="1"/>
  <c r="AM84" i="1" s="1"/>
  <c r="AN84" i="1" a="1"/>
  <c r="AN84" i="1" s="1"/>
  <c r="AO84" i="1" a="1"/>
  <c r="AO84" i="1" s="1"/>
  <c r="AP84" i="1" a="1"/>
  <c r="AP84" i="1" s="1"/>
  <c r="AQ84" i="1" a="1"/>
  <c r="AQ84" i="1" s="1"/>
  <c r="AR84" i="1" a="1"/>
  <c r="AR84" i="1" s="1"/>
  <c r="AS84" i="1" a="1"/>
  <c r="AS84" i="1" s="1"/>
  <c r="AT84" i="1" a="1"/>
  <c r="AT84" i="1" s="1"/>
  <c r="AU84" i="1" a="1"/>
  <c r="AU84" i="1" s="1"/>
  <c r="AV84" i="1" a="1"/>
  <c r="AV84" i="1" s="1"/>
  <c r="AW84" i="1" a="1"/>
  <c r="AW84" i="1" s="1"/>
  <c r="AX84" i="1" a="1"/>
  <c r="AX84" i="1" s="1"/>
  <c r="AY84" i="1" a="1"/>
  <c r="AY84" i="1" s="1"/>
  <c r="AZ84" i="1" a="1"/>
  <c r="AZ84" i="1" s="1"/>
  <c r="BA84" i="1" a="1"/>
  <c r="BA84" i="1" s="1"/>
  <c r="BB84" i="1" a="1"/>
  <c r="BB84" i="1" s="1"/>
  <c r="AL85" i="1" a="1"/>
  <c r="AL85" i="1" s="1"/>
  <c r="AM85" i="1" a="1"/>
  <c r="AM85" i="1" s="1"/>
  <c r="AN85" i="1" a="1"/>
  <c r="AN85" i="1" s="1"/>
  <c r="AO85" i="1" a="1"/>
  <c r="AO85" i="1" s="1"/>
  <c r="AP85" i="1" a="1"/>
  <c r="AP85" i="1" s="1"/>
  <c r="AQ85" i="1" a="1"/>
  <c r="AQ85" i="1" s="1"/>
  <c r="AR85" i="1" a="1"/>
  <c r="AR85" i="1" s="1"/>
  <c r="AS85" i="1" a="1"/>
  <c r="AS85" i="1" s="1"/>
  <c r="AT85" i="1" a="1"/>
  <c r="AT85" i="1" s="1"/>
  <c r="AU85" i="1" a="1"/>
  <c r="AU85" i="1" s="1"/>
  <c r="AV85" i="1" a="1"/>
  <c r="AV85" i="1" s="1"/>
  <c r="AW85" i="1" a="1"/>
  <c r="AW85" i="1" s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AL87" i="1" a="1"/>
  <c r="AL87" i="1" s="1"/>
  <c r="AM87" i="1" a="1"/>
  <c r="AM87" i="1" s="1"/>
  <c r="AN87" i="1" a="1"/>
  <c r="AN87" i="1" s="1"/>
  <c r="AO87" i="1" a="1"/>
  <c r="AO87" i="1" s="1"/>
  <c r="AP87" i="1" a="1"/>
  <c r="AP87" i="1" s="1"/>
  <c r="AQ87" i="1" a="1"/>
  <c r="AQ87" i="1" s="1"/>
  <c r="AR87" i="1" a="1"/>
  <c r="AR87" i="1" s="1"/>
  <c r="AS87" i="1" a="1"/>
  <c r="AS87" i="1" s="1"/>
  <c r="AT87" i="1" a="1"/>
  <c r="AT87" i="1" s="1"/>
  <c r="AU87" i="1" a="1"/>
  <c r="AU87" i="1" s="1"/>
  <c r="AV87" i="1" a="1"/>
  <c r="AV87" i="1" s="1"/>
  <c r="AW87" i="1" a="1"/>
  <c r="AW87" i="1" s="1"/>
  <c r="AX87" i="1" a="1"/>
  <c r="AX87" i="1" s="1"/>
  <c r="AY87" i="1" a="1"/>
  <c r="AY87" i="1" s="1"/>
  <c r="AZ87" i="1" a="1"/>
  <c r="AZ87" i="1" s="1"/>
  <c r="BA87" i="1" a="1"/>
  <c r="BA87" i="1" s="1"/>
  <c r="BB87" i="1" a="1"/>
  <c r="BB87" i="1" s="1"/>
  <c r="AL88" i="1" a="1"/>
  <c r="AL88" i="1" s="1"/>
  <c r="AM88" i="1" a="1"/>
  <c r="AM88" i="1" s="1"/>
  <c r="AN88" i="1" a="1"/>
  <c r="AN88" i="1" s="1"/>
  <c r="AO88" i="1" a="1"/>
  <c r="AO88" i="1" s="1"/>
  <c r="AP88" i="1" a="1"/>
  <c r="AP88" i="1" s="1"/>
  <c r="AQ88" i="1" a="1"/>
  <c r="AQ88" i="1" s="1"/>
  <c r="AR88" i="1" a="1"/>
  <c r="AR88" i="1" s="1"/>
  <c r="AS88" i="1" a="1"/>
  <c r="AS88" i="1" s="1"/>
  <c r="AT88" i="1" a="1"/>
  <c r="AT88" i="1" s="1"/>
  <c r="AU88" i="1" a="1"/>
  <c r="AU88" i="1" s="1"/>
  <c r="AV88" i="1" a="1"/>
  <c r="AV88" i="1" s="1"/>
  <c r="AW88" i="1" a="1"/>
  <c r="AW88" i="1" s="1"/>
  <c r="AX88" i="1" a="1"/>
  <c r="AX88" i="1" s="1"/>
  <c r="AY88" i="1" a="1"/>
  <c r="AY88" i="1" s="1"/>
  <c r="AZ88" i="1" a="1"/>
  <c r="AZ88" i="1" s="1"/>
  <c r="BA88" i="1" a="1"/>
  <c r="BA88" i="1" s="1"/>
  <c r="BB88" i="1" a="1"/>
  <c r="BB88" i="1" s="1"/>
  <c r="AL89" i="1" a="1"/>
  <c r="AL89" i="1" s="1"/>
  <c r="AM89" i="1" a="1"/>
  <c r="AM89" i="1" s="1"/>
  <c r="AN89" i="1" a="1"/>
  <c r="AN89" i="1" s="1"/>
  <c r="AO89" i="1" a="1"/>
  <c r="AO89" i="1" s="1"/>
  <c r="AP89" i="1" a="1"/>
  <c r="AP89" i="1" s="1"/>
  <c r="AQ89" i="1" a="1"/>
  <c r="AQ89" i="1" s="1"/>
  <c r="AR89" i="1" a="1"/>
  <c r="AR89" i="1" s="1"/>
  <c r="AS89" i="1" a="1"/>
  <c r="AS89" i="1" s="1"/>
  <c r="AT89" i="1" a="1"/>
  <c r="AT89" i="1" s="1"/>
  <c r="AU89" i="1" a="1"/>
  <c r="AU89" i="1" s="1"/>
  <c r="AV89" i="1" a="1"/>
  <c r="AV89" i="1" s="1"/>
  <c r="AW89" i="1" a="1"/>
  <c r="AW89" i="1" s="1"/>
  <c r="AX89" i="1" a="1"/>
  <c r="AX89" i="1" s="1"/>
  <c r="AY89" i="1" a="1"/>
  <c r="AY89" i="1" s="1"/>
  <c r="AZ89" i="1" a="1"/>
  <c r="AZ89" i="1" s="1"/>
  <c r="BA89" i="1" a="1"/>
  <c r="BA89" i="1" s="1"/>
  <c r="BB89" i="1" a="1"/>
  <c r="BB89" i="1" s="1"/>
  <c r="AL90" i="1" a="1"/>
  <c r="AL90" i="1" s="1"/>
  <c r="AM90" i="1" a="1"/>
  <c r="AM90" i="1" s="1"/>
  <c r="AN90" i="1" a="1"/>
  <c r="AN90" i="1" s="1"/>
  <c r="AO90" i="1" a="1"/>
  <c r="AO90" i="1" s="1"/>
  <c r="AP90" i="1" a="1"/>
  <c r="AP90" i="1" s="1"/>
  <c r="AQ90" i="1" a="1"/>
  <c r="AQ90" i="1" s="1"/>
  <c r="AR90" i="1" a="1"/>
  <c r="AR90" i="1" s="1"/>
  <c r="AS90" i="1" a="1"/>
  <c r="AS90" i="1" s="1"/>
  <c r="AT90" i="1" a="1"/>
  <c r="AT90" i="1" s="1"/>
  <c r="AU90" i="1" a="1"/>
  <c r="AU90" i="1" s="1"/>
  <c r="AV90" i="1" a="1"/>
  <c r="AV90" i="1" s="1"/>
  <c r="AW90" i="1" a="1"/>
  <c r="AW90" i="1" s="1"/>
  <c r="AX90" i="1" a="1"/>
  <c r="AX90" i="1" s="1"/>
  <c r="AY90" i="1" a="1"/>
  <c r="AY90" i="1" s="1"/>
  <c r="AZ90" i="1" a="1"/>
  <c r="AZ90" i="1" s="1"/>
  <c r="BA90" i="1" a="1"/>
  <c r="BA90" i="1" s="1"/>
  <c r="BB90" i="1" a="1"/>
  <c r="BB90" i="1" s="1"/>
  <c r="AL91" i="1" a="1"/>
  <c r="AL91" i="1" s="1"/>
  <c r="AM91" i="1" a="1"/>
  <c r="AM91" i="1" s="1"/>
  <c r="AN91" i="1" a="1"/>
  <c r="AN91" i="1" s="1"/>
  <c r="AO91" i="1" a="1"/>
  <c r="AO91" i="1" s="1"/>
  <c r="AP91" i="1" a="1"/>
  <c r="AP91" i="1" s="1"/>
  <c r="AQ91" i="1" a="1"/>
  <c r="AQ91" i="1" s="1"/>
  <c r="AR91" i="1" a="1"/>
  <c r="AR91" i="1" s="1"/>
  <c r="AS91" i="1" a="1"/>
  <c r="AS91" i="1" s="1"/>
  <c r="AT91" i="1" a="1"/>
  <c r="AT91" i="1" s="1"/>
  <c r="AU91" i="1" a="1"/>
  <c r="AU91" i="1" s="1"/>
  <c r="AV91" i="1" a="1"/>
  <c r="AV91" i="1" s="1"/>
  <c r="AW91" i="1" a="1"/>
  <c r="AW91" i="1" s="1"/>
  <c r="AX91" i="1" a="1"/>
  <c r="AX91" i="1" s="1"/>
  <c r="AY91" i="1" a="1"/>
  <c r="AY91" i="1" s="1"/>
  <c r="AZ91" i="1" a="1"/>
  <c r="AZ91" i="1" s="1"/>
  <c r="BA91" i="1" a="1"/>
  <c r="BA91" i="1" s="1"/>
  <c r="BB91" i="1" a="1"/>
  <c r="BB91" i="1" s="1"/>
  <c r="AL92" i="1" a="1"/>
  <c r="AL92" i="1" s="1"/>
  <c r="AM92" i="1" a="1"/>
  <c r="AM92" i="1" s="1"/>
  <c r="AN92" i="1" a="1"/>
  <c r="AN92" i="1" s="1"/>
  <c r="AO92" i="1" a="1"/>
  <c r="AO92" i="1" s="1"/>
  <c r="AP92" i="1" a="1"/>
  <c r="AP92" i="1" s="1"/>
  <c r="AQ92" i="1" a="1"/>
  <c r="AQ92" i="1" s="1"/>
  <c r="AR92" i="1" a="1"/>
  <c r="AR92" i="1" s="1"/>
  <c r="AS92" i="1" a="1"/>
  <c r="AS92" i="1" s="1"/>
  <c r="AT92" i="1" a="1"/>
  <c r="AT92" i="1" s="1"/>
  <c r="AU92" i="1" a="1"/>
  <c r="AU92" i="1" s="1"/>
  <c r="AV92" i="1" a="1"/>
  <c r="AV92" i="1" s="1"/>
  <c r="AW92" i="1" a="1"/>
  <c r="AW92" i="1" s="1"/>
  <c r="AX92" i="1" a="1"/>
  <c r="AX92" i="1" s="1"/>
  <c r="AY92" i="1" a="1"/>
  <c r="AY92" i="1" s="1"/>
  <c r="AZ92" i="1" a="1"/>
  <c r="AZ92" i="1" s="1"/>
  <c r="BA92" i="1" a="1"/>
  <c r="BA92" i="1" s="1"/>
  <c r="BB92" i="1" a="1"/>
  <c r="BB92" i="1" s="1"/>
  <c r="AL93" i="1" a="1"/>
  <c r="AL93" i="1" s="1"/>
  <c r="AM93" i="1" a="1"/>
  <c r="AM93" i="1" s="1"/>
  <c r="AN93" i="1" a="1"/>
  <c r="AN93" i="1" s="1"/>
  <c r="AO93" i="1" a="1"/>
  <c r="AO93" i="1" s="1"/>
  <c r="AP93" i="1" a="1"/>
  <c r="AP93" i="1" s="1"/>
  <c r="AQ93" i="1" a="1"/>
  <c r="AQ93" i="1" s="1"/>
  <c r="AR93" i="1" a="1"/>
  <c r="AR93" i="1" s="1"/>
  <c r="AS93" i="1" a="1"/>
  <c r="AS93" i="1" s="1"/>
  <c r="AT93" i="1" a="1"/>
  <c r="AT93" i="1" s="1"/>
  <c r="AU93" i="1" a="1"/>
  <c r="AU93" i="1" s="1"/>
  <c r="AV93" i="1" a="1"/>
  <c r="AV93" i="1" s="1"/>
  <c r="AW93" i="1" a="1"/>
  <c r="AW93" i="1" s="1"/>
  <c r="AX93" i="1" a="1"/>
  <c r="AX93" i="1" s="1"/>
  <c r="AY93" i="1" a="1"/>
  <c r="AY93" i="1" s="1"/>
  <c r="AZ93" i="1" a="1"/>
  <c r="AZ93" i="1" s="1"/>
  <c r="BA93" i="1" a="1"/>
  <c r="BA93" i="1" s="1"/>
  <c r="BB93" i="1" a="1"/>
  <c r="BB93" i="1" s="1"/>
  <c r="AL94" i="1" a="1"/>
  <c r="AL94" i="1" s="1"/>
  <c r="AM94" i="1" a="1"/>
  <c r="AM94" i="1" s="1"/>
  <c r="AN94" i="1" a="1"/>
  <c r="AN94" i="1" s="1"/>
  <c r="AO94" i="1" a="1"/>
  <c r="AO94" i="1" s="1"/>
  <c r="AP94" i="1" a="1"/>
  <c r="AP94" i="1" s="1"/>
  <c r="AQ94" i="1" a="1"/>
  <c r="AQ94" i="1" s="1"/>
  <c r="AR94" i="1" a="1"/>
  <c r="AR94" i="1" s="1"/>
  <c r="AS94" i="1" a="1"/>
  <c r="AS94" i="1" s="1"/>
  <c r="AT94" i="1" a="1"/>
  <c r="AT94" i="1" s="1"/>
  <c r="AU94" i="1" a="1"/>
  <c r="AU94" i="1" s="1"/>
  <c r="AV94" i="1" a="1"/>
  <c r="AV94" i="1" s="1"/>
  <c r="AW94" i="1" a="1"/>
  <c r="AW94" i="1" s="1"/>
  <c r="AX94" i="1" a="1"/>
  <c r="AX94" i="1" s="1"/>
  <c r="AY94" i="1" a="1"/>
  <c r="AY94" i="1" s="1"/>
  <c r="AZ94" i="1" a="1"/>
  <c r="AZ94" i="1" s="1"/>
  <c r="BA94" i="1" a="1"/>
  <c r="BA94" i="1" s="1"/>
  <c r="BB94" i="1" a="1"/>
  <c r="BB94" i="1" s="1"/>
  <c r="AL95" i="1" a="1"/>
  <c r="AL95" i="1" s="1"/>
  <c r="AM95" i="1" a="1"/>
  <c r="AM95" i="1" s="1"/>
  <c r="AN95" i="1" a="1"/>
  <c r="AN95" i="1" s="1"/>
  <c r="AO95" i="1" a="1"/>
  <c r="AO95" i="1" s="1"/>
  <c r="AP95" i="1" a="1"/>
  <c r="AP95" i="1" s="1"/>
  <c r="AQ95" i="1" a="1"/>
  <c r="AQ95" i="1" s="1"/>
  <c r="AR95" i="1" a="1"/>
  <c r="AR95" i="1" s="1"/>
  <c r="AS95" i="1" a="1"/>
  <c r="AS95" i="1" s="1"/>
  <c r="AT95" i="1" a="1"/>
  <c r="AT95" i="1" s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BB95" i="1" a="1"/>
  <c r="BB95" i="1" s="1"/>
  <c r="AL97" i="1" a="1"/>
  <c r="AL97" i="1" s="1"/>
  <c r="AM97" i="1" a="1"/>
  <c r="AM97" i="1" s="1"/>
  <c r="AN97" i="1" a="1"/>
  <c r="AN97" i="1" s="1"/>
  <c r="AO97" i="1" a="1"/>
  <c r="AO97" i="1" s="1"/>
  <c r="AP97" i="1" a="1"/>
  <c r="AP97" i="1" s="1"/>
  <c r="AQ97" i="1" a="1"/>
  <c r="AQ97" i="1" s="1"/>
  <c r="AR97" i="1" a="1"/>
  <c r="AR97" i="1" s="1"/>
  <c r="AS97" i="1" a="1"/>
  <c r="AS97" i="1" s="1"/>
  <c r="AT97" i="1" a="1"/>
  <c r="AT97" i="1" s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AL98" i="1" a="1"/>
  <c r="AL98" i="1" s="1"/>
  <c r="AM98" i="1" a="1"/>
  <c r="AM98" i="1" s="1"/>
  <c r="AN98" i="1" a="1"/>
  <c r="AN98" i="1" s="1"/>
  <c r="AO98" i="1" a="1"/>
  <c r="AO98" i="1" s="1"/>
  <c r="AP98" i="1" a="1"/>
  <c r="AP98" i="1" s="1"/>
  <c r="AQ98" i="1" a="1"/>
  <c r="AQ98" i="1" s="1"/>
  <c r="AR98" i="1" a="1"/>
  <c r="AR98" i="1" s="1"/>
  <c r="AS98" i="1" a="1"/>
  <c r="AS98" i="1" s="1"/>
  <c r="AT98" i="1" a="1"/>
  <c r="AT98" i="1" s="1"/>
  <c r="AU98" i="1" a="1"/>
  <c r="AU98" i="1" s="1"/>
  <c r="AV98" i="1" a="1"/>
  <c r="AV98" i="1" s="1"/>
  <c r="AW98" i="1" a="1"/>
  <c r="AW98" i="1" s="1"/>
  <c r="AX98" i="1" a="1"/>
  <c r="AX98" i="1" s="1"/>
  <c r="AY98" i="1" a="1"/>
  <c r="AY98" i="1" s="1"/>
  <c r="AZ98" i="1" a="1"/>
  <c r="AZ98" i="1" s="1"/>
  <c r="BA98" i="1" a="1"/>
  <c r="BA98" i="1" s="1"/>
  <c r="BB98" i="1" a="1"/>
  <c r="BB98" i="1" s="1"/>
  <c r="AL99" i="1" a="1"/>
  <c r="AL99" i="1" s="1"/>
  <c r="AM99" i="1" a="1"/>
  <c r="AM99" i="1" s="1"/>
  <c r="AN99" i="1" a="1"/>
  <c r="AN99" i="1" s="1"/>
  <c r="AO99" i="1" a="1"/>
  <c r="AO99" i="1" s="1"/>
  <c r="AP99" i="1" a="1"/>
  <c r="AP99" i="1" s="1"/>
  <c r="AQ99" i="1" a="1"/>
  <c r="AQ99" i="1" s="1"/>
  <c r="AR99" i="1" a="1"/>
  <c r="AR99" i="1" s="1"/>
  <c r="AS99" i="1" a="1"/>
  <c r="AS99" i="1" s="1"/>
  <c r="AT99" i="1" a="1"/>
  <c r="AT99" i="1" s="1"/>
  <c r="AU99" i="1" a="1"/>
  <c r="AU99" i="1" s="1"/>
  <c r="AV99" i="1" a="1"/>
  <c r="AV99" i="1" s="1"/>
  <c r="AW99" i="1" a="1"/>
  <c r="AW99" i="1" s="1"/>
  <c r="AX99" i="1" a="1"/>
  <c r="AX99" i="1" s="1"/>
  <c r="AY99" i="1" a="1"/>
  <c r="AY99" i="1" s="1"/>
  <c r="AZ99" i="1" a="1"/>
  <c r="AZ99" i="1" s="1"/>
  <c r="BA99" i="1" a="1"/>
  <c r="BA99" i="1" s="1"/>
  <c r="BB99" i="1" a="1"/>
  <c r="BB99" i="1" s="1"/>
  <c r="AL100" i="1" a="1"/>
  <c r="AL100" i="1" s="1"/>
  <c r="AM100" i="1" a="1"/>
  <c r="AM100" i="1" s="1"/>
  <c r="AN100" i="1" a="1"/>
  <c r="AN100" i="1" s="1"/>
  <c r="AO100" i="1" a="1"/>
  <c r="AO100" i="1" s="1"/>
  <c r="AP100" i="1" a="1"/>
  <c r="AP100" i="1" s="1"/>
  <c r="AQ100" i="1" a="1"/>
  <c r="AQ100" i="1" s="1"/>
  <c r="AR100" i="1" a="1"/>
  <c r="AR100" i="1" s="1"/>
  <c r="AS100" i="1" a="1"/>
  <c r="AS100" i="1" s="1"/>
  <c r="AT100" i="1" a="1"/>
  <c r="AT100" i="1" s="1"/>
  <c r="AU100" i="1" a="1"/>
  <c r="AU100" i="1" s="1"/>
  <c r="AV100" i="1" a="1"/>
  <c r="AV100" i="1" s="1"/>
  <c r="AW100" i="1" a="1"/>
  <c r="AW100" i="1" s="1"/>
  <c r="AX100" i="1" a="1"/>
  <c r="AX100" i="1" s="1"/>
  <c r="AY100" i="1" a="1"/>
  <c r="AY100" i="1" s="1"/>
  <c r="AZ100" i="1" a="1"/>
  <c r="AZ100" i="1" s="1"/>
  <c r="BA100" i="1" a="1"/>
  <c r="BA100" i="1" s="1"/>
  <c r="BB100" i="1" a="1"/>
  <c r="BB100" i="1" s="1"/>
  <c r="AL101" i="1" a="1"/>
  <c r="AL101" i="1" s="1"/>
  <c r="AM101" i="1" a="1"/>
  <c r="AM101" i="1" s="1"/>
  <c r="AN101" i="1" a="1"/>
  <c r="AN101" i="1" s="1"/>
  <c r="AO101" i="1" a="1"/>
  <c r="AO101" i="1" s="1"/>
  <c r="AP101" i="1" a="1"/>
  <c r="AP101" i="1" s="1"/>
  <c r="AQ101" i="1" a="1"/>
  <c r="AQ101" i="1" s="1"/>
  <c r="AR101" i="1" a="1"/>
  <c r="AR101" i="1" s="1"/>
  <c r="AS101" i="1" a="1"/>
  <c r="AS101" i="1" s="1"/>
  <c r="AT101" i="1" a="1"/>
  <c r="AT101" i="1" s="1"/>
  <c r="AU101" i="1" a="1"/>
  <c r="AU101" i="1" s="1"/>
  <c r="AV101" i="1" a="1"/>
  <c r="AV101" i="1" s="1"/>
  <c r="AW101" i="1" a="1"/>
  <c r="AW101" i="1" s="1"/>
  <c r="AX101" i="1" a="1"/>
  <c r="AX101" i="1" s="1"/>
  <c r="AY101" i="1" a="1"/>
  <c r="AY101" i="1" s="1"/>
  <c r="AZ101" i="1" a="1"/>
  <c r="AZ101" i="1" s="1"/>
  <c r="BA101" i="1" a="1"/>
  <c r="BA101" i="1" s="1"/>
  <c r="BB101" i="1" a="1"/>
  <c r="BB101" i="1" s="1"/>
  <c r="AL102" i="1" a="1"/>
  <c r="AL102" i="1" s="1"/>
  <c r="AM102" i="1" a="1"/>
  <c r="AM102" i="1" s="1"/>
  <c r="AN102" i="1" a="1"/>
  <c r="AN102" i="1" s="1"/>
  <c r="AO102" i="1" a="1"/>
  <c r="AO102" i="1" s="1"/>
  <c r="AP102" i="1" a="1"/>
  <c r="AP102" i="1" s="1"/>
  <c r="AQ102" i="1" a="1"/>
  <c r="AQ102" i="1" s="1"/>
  <c r="AR102" i="1" a="1"/>
  <c r="AR102" i="1" s="1"/>
  <c r="AS102" i="1" a="1"/>
  <c r="AS102" i="1" s="1"/>
  <c r="AT102" i="1" a="1"/>
  <c r="AT102" i="1" s="1"/>
  <c r="AU102" i="1" a="1"/>
  <c r="AU102" i="1" s="1"/>
  <c r="AV102" i="1" a="1"/>
  <c r="AV102" i="1" s="1"/>
  <c r="AW102" i="1" a="1"/>
  <c r="AW102" i="1" s="1"/>
  <c r="AX102" i="1" a="1"/>
  <c r="AX102" i="1" s="1"/>
  <c r="AY102" i="1" a="1"/>
  <c r="AY102" i="1" s="1"/>
  <c r="AZ102" i="1" a="1"/>
  <c r="AZ102" i="1" s="1"/>
  <c r="BA102" i="1" a="1"/>
  <c r="BA102" i="1" s="1"/>
  <c r="BB102" i="1" a="1"/>
  <c r="BB102" i="1" s="1"/>
  <c r="AL103" i="1" a="1"/>
  <c r="AL103" i="1" s="1"/>
  <c r="AM103" i="1" a="1"/>
  <c r="AM103" i="1" s="1"/>
  <c r="AN103" i="1" a="1"/>
  <c r="AN103" i="1" s="1"/>
  <c r="AO103" i="1" a="1"/>
  <c r="AO103" i="1" s="1"/>
  <c r="AP103" i="1" a="1"/>
  <c r="AP103" i="1" s="1"/>
  <c r="AQ103" i="1" a="1"/>
  <c r="AQ103" i="1" s="1"/>
  <c r="AR103" i="1" a="1"/>
  <c r="AR103" i="1" s="1"/>
  <c r="AS103" i="1" a="1"/>
  <c r="AS103" i="1" s="1"/>
  <c r="AT103" i="1" a="1"/>
  <c r="AT103" i="1" s="1"/>
  <c r="AU103" i="1" a="1"/>
  <c r="AU103" i="1" s="1"/>
  <c r="AV103" i="1" a="1"/>
  <c r="AV103" i="1" s="1"/>
  <c r="AW103" i="1" a="1"/>
  <c r="AW103" i="1" s="1"/>
  <c r="AX103" i="1" a="1"/>
  <c r="AX103" i="1" s="1"/>
  <c r="AY103" i="1" a="1"/>
  <c r="AY103" i="1" s="1"/>
  <c r="AZ103" i="1" a="1"/>
  <c r="AZ103" i="1" s="1"/>
  <c r="BA103" i="1" a="1"/>
  <c r="BA103" i="1" s="1"/>
  <c r="BB103" i="1" a="1"/>
  <c r="BB103" i="1" s="1"/>
  <c r="AL105" i="1" a="1"/>
  <c r="AL105" i="1" s="1"/>
  <c r="AM105" i="1" a="1"/>
  <c r="AM105" i="1" s="1"/>
  <c r="AN105" i="1" a="1"/>
  <c r="AN105" i="1" s="1"/>
  <c r="AO105" i="1" a="1"/>
  <c r="AO105" i="1" s="1"/>
  <c r="AP105" i="1" a="1"/>
  <c r="AP105" i="1" s="1"/>
  <c r="AQ105" i="1" a="1"/>
  <c r="AQ105" i="1" s="1"/>
  <c r="AR105" i="1" a="1"/>
  <c r="AR105" i="1" s="1"/>
  <c r="AS105" i="1" a="1"/>
  <c r="AS105" i="1" s="1"/>
  <c r="AT105" i="1" a="1"/>
  <c r="AT105" i="1" s="1"/>
  <c r="AU105" i="1" a="1"/>
  <c r="AU105" i="1" s="1"/>
  <c r="AV105" i="1" a="1"/>
  <c r="AV105" i="1" s="1"/>
  <c r="AW105" i="1" a="1"/>
  <c r="AW105" i="1" s="1"/>
  <c r="AX105" i="1" a="1"/>
  <c r="AX105" i="1" s="1"/>
  <c r="AY105" i="1" a="1"/>
  <c r="AY105" i="1" s="1"/>
  <c r="AZ105" i="1" a="1"/>
  <c r="AZ105" i="1" s="1"/>
  <c r="BA105" i="1" a="1"/>
  <c r="BA105" i="1" s="1"/>
  <c r="BB105" i="1" a="1"/>
  <c r="BB105" i="1" s="1"/>
  <c r="AL106" i="1" a="1"/>
  <c r="AL106" i="1" s="1"/>
  <c r="AM106" i="1" a="1"/>
  <c r="AM106" i="1" s="1"/>
  <c r="AN106" i="1" a="1"/>
  <c r="AN106" i="1" s="1"/>
  <c r="AO106" i="1" a="1"/>
  <c r="AO106" i="1" s="1"/>
  <c r="AP106" i="1" a="1"/>
  <c r="AP106" i="1" s="1"/>
  <c r="AQ106" i="1" a="1"/>
  <c r="AQ106" i="1" s="1"/>
  <c r="AR106" i="1" a="1"/>
  <c r="AR106" i="1" s="1"/>
  <c r="AS106" i="1" a="1"/>
  <c r="AS106" i="1" s="1"/>
  <c r="AT106" i="1" a="1"/>
  <c r="AT106" i="1" s="1"/>
  <c r="AU106" i="1" a="1"/>
  <c r="AU106" i="1" s="1"/>
  <c r="AV106" i="1" a="1"/>
  <c r="AV106" i="1" s="1"/>
  <c r="AW106" i="1" a="1"/>
  <c r="AW106" i="1" s="1"/>
  <c r="AX106" i="1" a="1"/>
  <c r="AX106" i="1" s="1"/>
  <c r="AY106" i="1" a="1"/>
  <c r="AY106" i="1" s="1"/>
  <c r="AZ106" i="1" a="1"/>
  <c r="AZ106" i="1" s="1"/>
  <c r="BA106" i="1" a="1"/>
  <c r="BA106" i="1" s="1"/>
  <c r="BB106" i="1" a="1"/>
  <c r="BB106" i="1" s="1"/>
  <c r="AL107" i="1" a="1"/>
  <c r="AL107" i="1" s="1"/>
  <c r="AM107" i="1" a="1"/>
  <c r="AM107" i="1" s="1"/>
  <c r="AN107" i="1" a="1"/>
  <c r="AN107" i="1" s="1"/>
  <c r="AO107" i="1" a="1"/>
  <c r="AO107" i="1" s="1"/>
  <c r="AP107" i="1" a="1"/>
  <c r="AP107" i="1" s="1"/>
  <c r="AQ107" i="1" a="1"/>
  <c r="AQ107" i="1" s="1"/>
  <c r="AR107" i="1" a="1"/>
  <c r="AR107" i="1" s="1"/>
  <c r="AS107" i="1" a="1"/>
  <c r="AS107" i="1" s="1"/>
  <c r="AT107" i="1" a="1"/>
  <c r="AT107" i="1" s="1"/>
  <c r="AU107" i="1" a="1"/>
  <c r="AU107" i="1" s="1"/>
  <c r="AV107" i="1" a="1"/>
  <c r="AV107" i="1" s="1"/>
  <c r="AW107" i="1" a="1"/>
  <c r="AW107" i="1" s="1"/>
  <c r="AX107" i="1" a="1"/>
  <c r="AX107" i="1" s="1"/>
  <c r="AY107" i="1" a="1"/>
  <c r="AY107" i="1" s="1"/>
  <c r="AZ107" i="1" a="1"/>
  <c r="AZ107" i="1" s="1"/>
  <c r="BA107" i="1" a="1"/>
  <c r="BA107" i="1" s="1"/>
  <c r="BB107" i="1" a="1"/>
  <c r="BB107" i="1" s="1"/>
  <c r="AL372" i="1" a="1"/>
  <c r="AL372" i="1" s="1"/>
  <c r="AM372" i="1" a="1"/>
  <c r="AM372" i="1" s="1"/>
  <c r="AN372" i="1" a="1"/>
  <c r="AN372" i="1" s="1"/>
  <c r="AO372" i="1" a="1"/>
  <c r="AO372" i="1" s="1"/>
  <c r="AP372" i="1" a="1"/>
  <c r="AP372" i="1" s="1"/>
  <c r="AQ372" i="1" a="1"/>
  <c r="AQ372" i="1" s="1"/>
  <c r="AR372" i="1" a="1"/>
  <c r="AR372" i="1" s="1"/>
  <c r="AS372" i="1" a="1"/>
  <c r="AS372" i="1" s="1"/>
  <c r="AT372" i="1" a="1"/>
  <c r="AT372" i="1" s="1"/>
  <c r="AU372" i="1" a="1"/>
  <c r="AU372" i="1" s="1"/>
  <c r="AV372" i="1" a="1"/>
  <c r="AV372" i="1" s="1"/>
  <c r="AW372" i="1" a="1"/>
  <c r="AW372" i="1" s="1"/>
  <c r="AX372" i="1" a="1"/>
  <c r="AX372" i="1" s="1"/>
  <c r="AY372" i="1" a="1"/>
  <c r="AY372" i="1" s="1"/>
  <c r="AZ372" i="1" a="1"/>
  <c r="AZ372" i="1" s="1"/>
  <c r="BA372" i="1" a="1"/>
  <c r="BA372" i="1" s="1"/>
  <c r="BB372" i="1" a="1"/>
  <c r="BB372" i="1" s="1"/>
  <c r="AL108" i="1" a="1"/>
  <c r="AL108" i="1" s="1"/>
  <c r="AM108" i="1" a="1"/>
  <c r="AM108" i="1" s="1"/>
  <c r="AN108" i="1" a="1"/>
  <c r="AN108" i="1" s="1"/>
  <c r="AO108" i="1" a="1"/>
  <c r="AO108" i="1" s="1"/>
  <c r="AP108" i="1" a="1"/>
  <c r="AP108" i="1" s="1"/>
  <c r="AQ108" i="1" a="1"/>
  <c r="AQ108" i="1" s="1"/>
  <c r="AR108" i="1" a="1"/>
  <c r="AR108" i="1" s="1"/>
  <c r="AS108" i="1" a="1"/>
  <c r="AS108" i="1" s="1"/>
  <c r="AT108" i="1" a="1"/>
  <c r="AT108" i="1" s="1"/>
  <c r="AU108" i="1" a="1"/>
  <c r="AU108" i="1" s="1"/>
  <c r="AV108" i="1" a="1"/>
  <c r="AV108" i="1" s="1"/>
  <c r="AW108" i="1" a="1"/>
  <c r="AW108" i="1" s="1"/>
  <c r="AX108" i="1" a="1"/>
  <c r="AX108" i="1" s="1"/>
  <c r="AY108" i="1" a="1"/>
  <c r="AY108" i="1" s="1"/>
  <c r="AZ108" i="1" a="1"/>
  <c r="AZ108" i="1" s="1"/>
  <c r="BA108" i="1" a="1"/>
  <c r="BA108" i="1" s="1"/>
  <c r="BB108" i="1" a="1"/>
  <c r="BB108" i="1" s="1"/>
  <c r="AL109" i="1" a="1"/>
  <c r="AL109" i="1" s="1"/>
  <c r="AM109" i="1" a="1"/>
  <c r="AM109" i="1" s="1"/>
  <c r="AN109" i="1" a="1"/>
  <c r="AN109" i="1" s="1"/>
  <c r="AO109" i="1" a="1"/>
  <c r="AO109" i="1" s="1"/>
  <c r="AP109" i="1" a="1"/>
  <c r="AP109" i="1" s="1"/>
  <c r="AQ109" i="1" a="1"/>
  <c r="AQ109" i="1" s="1"/>
  <c r="AR109" i="1" a="1"/>
  <c r="AR109" i="1" s="1"/>
  <c r="AS109" i="1" a="1"/>
  <c r="AS109" i="1" s="1"/>
  <c r="AT109" i="1" a="1"/>
  <c r="AT109" i="1" s="1"/>
  <c r="AU109" i="1" a="1"/>
  <c r="AU109" i="1" s="1"/>
  <c r="AV109" i="1" a="1"/>
  <c r="AV109" i="1" s="1"/>
  <c r="AW109" i="1" a="1"/>
  <c r="AW109" i="1" s="1"/>
  <c r="AX109" i="1" a="1"/>
  <c r="AX109" i="1" s="1"/>
  <c r="AY109" i="1" a="1"/>
  <c r="AY109" i="1" s="1"/>
  <c r="AZ109" i="1" a="1"/>
  <c r="AZ109" i="1" s="1"/>
  <c r="BA109" i="1" a="1"/>
  <c r="BA109" i="1" s="1"/>
  <c r="BB109" i="1" a="1"/>
  <c r="BB109" i="1" s="1"/>
  <c r="AL110" i="1" a="1"/>
  <c r="AL110" i="1" s="1"/>
  <c r="AM110" i="1" a="1"/>
  <c r="AM110" i="1" s="1"/>
  <c r="AN110" i="1" a="1"/>
  <c r="AN110" i="1" s="1"/>
  <c r="AO110" i="1" a="1"/>
  <c r="AO110" i="1" s="1"/>
  <c r="AP110" i="1" a="1"/>
  <c r="AP110" i="1" s="1"/>
  <c r="AQ110" i="1" a="1"/>
  <c r="AQ110" i="1" s="1"/>
  <c r="AR110" i="1" a="1"/>
  <c r="AR110" i="1" s="1"/>
  <c r="AS110" i="1" a="1"/>
  <c r="AS110" i="1" s="1"/>
  <c r="AT110" i="1" a="1"/>
  <c r="AT110" i="1" s="1"/>
  <c r="AU110" i="1" a="1"/>
  <c r="AU110" i="1" s="1"/>
  <c r="AV110" i="1" a="1"/>
  <c r="AV110" i="1" s="1"/>
  <c r="AW110" i="1" a="1"/>
  <c r="AW110" i="1" s="1"/>
  <c r="AX110" i="1" a="1"/>
  <c r="AX110" i="1" s="1"/>
  <c r="AY110" i="1" a="1"/>
  <c r="AY110" i="1" s="1"/>
  <c r="AZ110" i="1" a="1"/>
  <c r="AZ110" i="1" s="1"/>
  <c r="BA110" i="1" a="1"/>
  <c r="BA110" i="1" s="1"/>
  <c r="BB110" i="1" a="1"/>
  <c r="BB110" i="1" s="1"/>
  <c r="AL111" i="1" a="1"/>
  <c r="AL111" i="1" s="1"/>
  <c r="AM111" i="1" a="1"/>
  <c r="AM111" i="1" s="1"/>
  <c r="AN111" i="1" a="1"/>
  <c r="AN111" i="1" s="1"/>
  <c r="AO111" i="1" a="1"/>
  <c r="AO111" i="1" s="1"/>
  <c r="AP111" i="1" a="1"/>
  <c r="AP111" i="1" s="1"/>
  <c r="AQ111" i="1" a="1"/>
  <c r="AQ111" i="1" s="1"/>
  <c r="AR111" i="1" a="1"/>
  <c r="AR111" i="1" s="1"/>
  <c r="AS111" i="1" a="1"/>
  <c r="AS111" i="1" s="1"/>
  <c r="AT111" i="1" a="1"/>
  <c r="AT111" i="1" s="1"/>
  <c r="AU111" i="1" a="1"/>
  <c r="AU111" i="1" s="1"/>
  <c r="AV111" i="1" a="1"/>
  <c r="AV111" i="1" s="1"/>
  <c r="AW111" i="1" a="1"/>
  <c r="AW111" i="1" s="1"/>
  <c r="AX111" i="1" a="1"/>
  <c r="AX111" i="1" s="1"/>
  <c r="AY111" i="1" a="1"/>
  <c r="AY111" i="1" s="1"/>
  <c r="AZ111" i="1" a="1"/>
  <c r="AZ111" i="1" s="1"/>
  <c r="BA111" i="1" a="1"/>
  <c r="BA111" i="1" s="1"/>
  <c r="BB111" i="1" a="1"/>
  <c r="BB111" i="1" s="1"/>
  <c r="AL112" i="1" a="1"/>
  <c r="AL112" i="1" s="1"/>
  <c r="AM112" i="1" a="1"/>
  <c r="AM112" i="1" s="1"/>
  <c r="AN112" i="1" a="1"/>
  <c r="AN112" i="1" s="1"/>
  <c r="AO112" i="1" a="1"/>
  <c r="AO112" i="1" s="1"/>
  <c r="AP112" i="1" a="1"/>
  <c r="AP112" i="1" s="1"/>
  <c r="AQ112" i="1" a="1"/>
  <c r="AQ112" i="1" s="1"/>
  <c r="AR112" i="1" a="1"/>
  <c r="AR112" i="1" s="1"/>
  <c r="AS112" i="1" a="1"/>
  <c r="AS112" i="1" s="1"/>
  <c r="AT112" i="1" a="1"/>
  <c r="AT112" i="1" s="1"/>
  <c r="AU112" i="1" a="1"/>
  <c r="AU112" i="1" s="1"/>
  <c r="AV112" i="1" a="1"/>
  <c r="AV112" i="1" s="1"/>
  <c r="AW112" i="1" a="1"/>
  <c r="AW112" i="1" s="1"/>
  <c r="AX112" i="1" a="1"/>
  <c r="AX112" i="1" s="1"/>
  <c r="AY112" i="1" a="1"/>
  <c r="AY112" i="1" s="1"/>
  <c r="AZ112" i="1" a="1"/>
  <c r="AZ112" i="1" s="1"/>
  <c r="BA112" i="1" a="1"/>
  <c r="BA112" i="1" s="1"/>
  <c r="BB112" i="1" a="1"/>
  <c r="BB112" i="1" s="1"/>
  <c r="AL113" i="1" a="1"/>
  <c r="AL113" i="1" s="1"/>
  <c r="AM113" i="1" a="1"/>
  <c r="AM113" i="1" s="1"/>
  <c r="AN113" i="1" a="1"/>
  <c r="AN113" i="1" s="1"/>
  <c r="AO113" i="1" a="1"/>
  <c r="AO113" i="1" s="1"/>
  <c r="AP113" i="1" a="1"/>
  <c r="AP113" i="1" s="1"/>
  <c r="AQ113" i="1" a="1"/>
  <c r="AQ113" i="1" s="1"/>
  <c r="AR113" i="1" a="1"/>
  <c r="AR113" i="1" s="1"/>
  <c r="AS113" i="1" a="1"/>
  <c r="AS113" i="1" s="1"/>
  <c r="AT113" i="1" a="1"/>
  <c r="AT113" i="1" s="1"/>
  <c r="AU113" i="1" a="1"/>
  <c r="AU113" i="1" s="1"/>
  <c r="AV113" i="1" a="1"/>
  <c r="AV113" i="1" s="1"/>
  <c r="AW113" i="1" a="1"/>
  <c r="AW113" i="1" s="1"/>
  <c r="AX113" i="1" a="1"/>
  <c r="AX113" i="1" s="1"/>
  <c r="AY113" i="1" a="1"/>
  <c r="AY113" i="1" s="1"/>
  <c r="AZ113" i="1" a="1"/>
  <c r="AZ113" i="1" s="1"/>
  <c r="BA113" i="1" a="1"/>
  <c r="BA113" i="1" s="1"/>
  <c r="BB113" i="1" a="1"/>
  <c r="BB113" i="1" s="1"/>
  <c r="AL81" i="1" a="1"/>
  <c r="AL81" i="1" s="1"/>
  <c r="AM81" i="1" a="1"/>
  <c r="AM81" i="1" s="1"/>
  <c r="AN81" i="1" a="1"/>
  <c r="AN81" i="1" s="1"/>
  <c r="AO81" i="1" a="1"/>
  <c r="AO81" i="1" s="1"/>
  <c r="AP81" i="1" a="1"/>
  <c r="AP81" i="1" s="1"/>
  <c r="AQ81" i="1" a="1"/>
  <c r="AQ81" i="1" s="1"/>
  <c r="AR81" i="1" a="1"/>
  <c r="AR81" i="1" s="1"/>
  <c r="AS81" i="1" a="1"/>
  <c r="AS81" i="1" s="1"/>
  <c r="AT81" i="1" a="1"/>
  <c r="AT81" i="1" s="1"/>
  <c r="AU81" i="1" a="1"/>
  <c r="AU81" i="1" s="1"/>
  <c r="AV81" i="1" a="1"/>
  <c r="AV81" i="1" s="1"/>
  <c r="AW81" i="1" a="1"/>
  <c r="AW81" i="1" s="1"/>
  <c r="AX81" i="1" a="1"/>
  <c r="AX81" i="1" s="1"/>
  <c r="AY81" i="1" a="1"/>
  <c r="AY81" i="1" s="1"/>
  <c r="AZ81" i="1" a="1"/>
  <c r="AZ81" i="1" s="1"/>
  <c r="BA81" i="1" a="1"/>
  <c r="BA81" i="1" s="1"/>
  <c r="BB81" i="1" a="1"/>
  <c r="BB81" i="1" s="1"/>
  <c r="AL83" i="1" a="1"/>
  <c r="AL83" i="1" s="1"/>
  <c r="AM83" i="1" a="1"/>
  <c r="AM83" i="1" s="1"/>
  <c r="AN83" i="1" a="1"/>
  <c r="AN83" i="1" s="1"/>
  <c r="AO83" i="1" a="1"/>
  <c r="AO83" i="1" s="1"/>
  <c r="AP83" i="1" a="1"/>
  <c r="AP83" i="1" s="1"/>
  <c r="AQ83" i="1" a="1"/>
  <c r="AQ83" i="1" s="1"/>
  <c r="AR83" i="1" a="1"/>
  <c r="AR83" i="1" s="1"/>
  <c r="AS83" i="1" a="1"/>
  <c r="AS83" i="1" s="1"/>
  <c r="AT83" i="1" a="1"/>
  <c r="AT83" i="1" s="1"/>
  <c r="AU83" i="1" a="1"/>
  <c r="AU83" i="1" s="1"/>
  <c r="AV83" i="1" a="1"/>
  <c r="AV83" i="1" s="1"/>
  <c r="AW83" i="1" a="1"/>
  <c r="AW83" i="1" s="1"/>
  <c r="AX83" i="1" a="1"/>
  <c r="AX83" i="1" s="1"/>
  <c r="AY83" i="1" a="1"/>
  <c r="AY83" i="1" s="1"/>
  <c r="AZ83" i="1" a="1"/>
  <c r="AZ83" i="1" s="1"/>
  <c r="BA83" i="1" a="1"/>
  <c r="BA83" i="1" s="1"/>
  <c r="BB83" i="1" a="1"/>
  <c r="BB83" i="1" s="1"/>
  <c r="AL86" i="1" a="1"/>
  <c r="AL86" i="1" s="1"/>
  <c r="AM86" i="1" a="1"/>
  <c r="AM86" i="1" s="1"/>
  <c r="AN86" i="1" a="1"/>
  <c r="AN86" i="1" s="1"/>
  <c r="AO86" i="1" a="1"/>
  <c r="AO86" i="1" s="1"/>
  <c r="AP86" i="1" a="1"/>
  <c r="AP86" i="1" s="1"/>
  <c r="AQ86" i="1" a="1"/>
  <c r="AQ86" i="1" s="1"/>
  <c r="AR86" i="1" a="1"/>
  <c r="AR86" i="1" s="1"/>
  <c r="AS86" i="1" a="1"/>
  <c r="AS86" i="1" s="1"/>
  <c r="AT86" i="1" a="1"/>
  <c r="AT86" i="1" s="1"/>
  <c r="AU86" i="1" a="1"/>
  <c r="AU86" i="1" s="1"/>
  <c r="AV86" i="1" a="1"/>
  <c r="AV86" i="1" s="1"/>
  <c r="AW86" i="1" a="1"/>
  <c r="AW86" i="1" s="1"/>
  <c r="AX86" i="1" a="1"/>
  <c r="AX86" i="1" s="1"/>
  <c r="AY86" i="1" a="1"/>
  <c r="AY86" i="1" s="1"/>
  <c r="AZ86" i="1" a="1"/>
  <c r="AZ86" i="1" s="1"/>
  <c r="BA86" i="1" a="1"/>
  <c r="BA86" i="1" s="1"/>
  <c r="BB86" i="1" a="1"/>
  <c r="BB86" i="1" s="1"/>
  <c r="AL96" i="1" a="1"/>
  <c r="AL96" i="1" s="1"/>
  <c r="AM96" i="1" a="1"/>
  <c r="AM96" i="1" s="1"/>
  <c r="AN96" i="1" a="1"/>
  <c r="AN96" i="1" s="1"/>
  <c r="AO96" i="1" a="1"/>
  <c r="AO96" i="1" s="1"/>
  <c r="AP96" i="1" a="1"/>
  <c r="AP96" i="1" s="1"/>
  <c r="AQ96" i="1" a="1"/>
  <c r="AQ96" i="1" s="1"/>
  <c r="AR96" i="1" a="1"/>
  <c r="AR96" i="1" s="1"/>
  <c r="AS96" i="1" a="1"/>
  <c r="AS96" i="1" s="1"/>
  <c r="AT96" i="1" a="1"/>
  <c r="AT96" i="1" s="1"/>
  <c r="AU96" i="1" a="1"/>
  <c r="AU96" i="1" s="1"/>
  <c r="AV96" i="1" a="1"/>
  <c r="AV96" i="1" s="1"/>
  <c r="AW96" i="1" a="1"/>
  <c r="AW96" i="1" s="1"/>
  <c r="AX96" i="1" a="1"/>
  <c r="AX96" i="1" s="1"/>
  <c r="AY96" i="1" a="1"/>
  <c r="AY96" i="1" s="1"/>
  <c r="AZ96" i="1" a="1"/>
  <c r="AZ96" i="1" s="1"/>
  <c r="BA96" i="1" a="1"/>
  <c r="BA96" i="1" s="1"/>
  <c r="BB96" i="1" a="1"/>
  <c r="BB96" i="1" s="1"/>
  <c r="AL104" i="1" a="1"/>
  <c r="AL104" i="1" s="1"/>
  <c r="AM104" i="1" a="1"/>
  <c r="AM104" i="1" s="1"/>
  <c r="AN104" i="1" a="1"/>
  <c r="AN104" i="1" s="1"/>
  <c r="AO104" i="1" a="1"/>
  <c r="AO104" i="1" s="1"/>
  <c r="AP104" i="1" a="1"/>
  <c r="AP104" i="1" s="1"/>
  <c r="AQ104" i="1" a="1"/>
  <c r="AQ104" i="1" s="1"/>
  <c r="AR104" i="1" a="1"/>
  <c r="AR104" i="1" s="1"/>
  <c r="AS104" i="1" a="1"/>
  <c r="AS104" i="1" s="1"/>
  <c r="AT104" i="1" a="1"/>
  <c r="AT104" i="1" s="1"/>
  <c r="AU104" i="1" a="1"/>
  <c r="AU104" i="1" s="1"/>
  <c r="AV104" i="1" a="1"/>
  <c r="AV104" i="1" s="1"/>
  <c r="AW104" i="1" a="1"/>
  <c r="AW104" i="1" s="1"/>
  <c r="AX104" i="1" a="1"/>
  <c r="AX104" i="1" s="1"/>
  <c r="AY104" i="1" a="1"/>
  <c r="AY104" i="1" s="1"/>
  <c r="AZ104" i="1" a="1"/>
  <c r="AZ104" i="1" s="1"/>
  <c r="BA104" i="1" a="1"/>
  <c r="BA104" i="1" s="1"/>
  <c r="BB104" i="1" a="1"/>
  <c r="BB104" i="1" s="1"/>
  <c r="AL114" i="1" a="1"/>
  <c r="AL114" i="1" s="1"/>
  <c r="AM114" i="1" a="1"/>
  <c r="AM114" i="1" s="1"/>
  <c r="AN114" i="1" a="1"/>
  <c r="AN114" i="1" s="1"/>
  <c r="AO114" i="1" a="1"/>
  <c r="AO114" i="1" s="1"/>
  <c r="AP114" i="1" a="1"/>
  <c r="AP114" i="1" s="1"/>
  <c r="AQ114" i="1" a="1"/>
  <c r="AQ114" i="1" s="1"/>
  <c r="AR114" i="1" a="1"/>
  <c r="AR114" i="1" s="1"/>
  <c r="AS114" i="1" a="1"/>
  <c r="AS114" i="1" s="1"/>
  <c r="AT114" i="1" a="1"/>
  <c r="AT114" i="1" s="1"/>
  <c r="AU114" i="1" a="1"/>
  <c r="AU114" i="1" s="1"/>
  <c r="AV114" i="1" a="1"/>
  <c r="AV114" i="1" s="1"/>
  <c r="AW114" i="1" a="1"/>
  <c r="AW114" i="1" s="1"/>
  <c r="AX114" i="1" a="1"/>
  <c r="AX114" i="1" s="1"/>
  <c r="AY114" i="1" a="1"/>
  <c r="AY114" i="1" s="1"/>
  <c r="AZ114" i="1" a="1"/>
  <c r="AZ114" i="1" s="1"/>
  <c r="BA114" i="1" a="1"/>
  <c r="BA114" i="1" s="1"/>
  <c r="BB114" i="1" a="1"/>
  <c r="BB114" i="1" s="1"/>
  <c r="AL75" i="1" a="1"/>
  <c r="AL75" i="1" s="1"/>
  <c r="AM75" i="1" a="1"/>
  <c r="AM75" i="1" s="1"/>
  <c r="AN75" i="1" a="1"/>
  <c r="AN75" i="1" s="1"/>
  <c r="AO75" i="1" a="1"/>
  <c r="AO75" i="1" s="1"/>
  <c r="AP75" i="1" a="1"/>
  <c r="AP75" i="1" s="1"/>
  <c r="AQ75" i="1" a="1"/>
  <c r="AQ75" i="1" s="1"/>
  <c r="AR75" i="1" a="1"/>
  <c r="AR75" i="1" s="1"/>
  <c r="AS75" i="1" a="1"/>
  <c r="AS75" i="1" s="1"/>
  <c r="AT75" i="1" a="1"/>
  <c r="AT75" i="1" s="1"/>
  <c r="AU75" i="1" a="1"/>
  <c r="AU75" i="1" s="1"/>
  <c r="AV75" i="1" a="1"/>
  <c r="AV75" i="1" s="1"/>
  <c r="AW75" i="1" a="1"/>
  <c r="AW75" i="1" s="1"/>
  <c r="AX75" i="1" a="1"/>
  <c r="AX75" i="1" s="1"/>
  <c r="AY75" i="1" a="1"/>
  <c r="AY75" i="1" s="1"/>
  <c r="AZ75" i="1" a="1"/>
  <c r="AZ75" i="1" s="1"/>
  <c r="BA75" i="1" a="1"/>
  <c r="BA75" i="1" s="1"/>
  <c r="BB75" i="1" a="1"/>
  <c r="BB75" i="1" s="1"/>
  <c r="AL115" i="1" a="1"/>
  <c r="AL115" i="1" s="1"/>
  <c r="AM115" i="1" a="1"/>
  <c r="AM115" i="1" s="1"/>
  <c r="AN115" i="1" a="1"/>
  <c r="AN115" i="1" s="1"/>
  <c r="AO115" i="1" a="1"/>
  <c r="AO115" i="1" s="1"/>
  <c r="AP115" i="1" a="1"/>
  <c r="AP115" i="1" s="1"/>
  <c r="AQ115" i="1" a="1"/>
  <c r="AQ115" i="1" s="1"/>
  <c r="AR115" i="1" a="1"/>
  <c r="AR115" i="1" s="1"/>
  <c r="AS115" i="1" a="1"/>
  <c r="AS115" i="1" s="1"/>
  <c r="AT115" i="1" a="1"/>
  <c r="AT115" i="1" s="1"/>
  <c r="AU115" i="1" a="1"/>
  <c r="AU115" i="1" s="1"/>
  <c r="AV115" i="1" a="1"/>
  <c r="AV115" i="1" s="1"/>
  <c r="AW115" i="1" a="1"/>
  <c r="AW115" i="1" s="1"/>
  <c r="AX115" i="1" a="1"/>
  <c r="AX115" i="1" s="1"/>
  <c r="AY115" i="1" a="1"/>
  <c r="AY115" i="1" s="1"/>
  <c r="AZ115" i="1" a="1"/>
  <c r="AZ115" i="1" s="1"/>
  <c r="BA115" i="1" a="1"/>
  <c r="BA115" i="1" s="1"/>
  <c r="BB115" i="1" a="1"/>
  <c r="BB115" i="1" s="1"/>
  <c r="AL116" i="1" a="1"/>
  <c r="AL116" i="1" s="1"/>
  <c r="AM116" i="1" a="1"/>
  <c r="AM116" i="1" s="1"/>
  <c r="AN116" i="1" a="1"/>
  <c r="AN116" i="1" s="1"/>
  <c r="AO116" i="1" a="1"/>
  <c r="AO116" i="1" s="1"/>
  <c r="AP116" i="1" a="1"/>
  <c r="AP116" i="1" s="1"/>
  <c r="AQ116" i="1" a="1"/>
  <c r="AQ116" i="1" s="1"/>
  <c r="AR116" i="1" a="1"/>
  <c r="AR116" i="1" s="1"/>
  <c r="AS116" i="1" a="1"/>
  <c r="AS116" i="1" s="1"/>
  <c r="AT116" i="1" a="1"/>
  <c r="AT116" i="1" s="1"/>
  <c r="AU116" i="1" a="1"/>
  <c r="AU116" i="1" s="1"/>
  <c r="AV116" i="1" a="1"/>
  <c r="AV116" i="1" s="1"/>
  <c r="AW116" i="1" a="1"/>
  <c r="AW116" i="1" s="1"/>
  <c r="AX116" i="1" a="1"/>
  <c r="AX116" i="1" s="1"/>
  <c r="AY116" i="1" a="1"/>
  <c r="AY116" i="1" s="1"/>
  <c r="AZ116" i="1" a="1"/>
  <c r="AZ116" i="1" s="1"/>
  <c r="BA116" i="1" a="1"/>
  <c r="BA116" i="1" s="1"/>
  <c r="BB116" i="1" a="1"/>
  <c r="BB116" i="1" s="1"/>
  <c r="AL117" i="1" a="1"/>
  <c r="AL117" i="1" s="1"/>
  <c r="AM117" i="1" a="1"/>
  <c r="AM117" i="1" s="1"/>
  <c r="AN117" i="1" a="1"/>
  <c r="AN117" i="1" s="1"/>
  <c r="AO117" i="1" a="1"/>
  <c r="AO117" i="1" s="1"/>
  <c r="AP117" i="1" a="1"/>
  <c r="AP117" i="1" s="1"/>
  <c r="AQ117" i="1" a="1"/>
  <c r="AQ117" i="1" s="1"/>
  <c r="AR117" i="1" a="1"/>
  <c r="AR117" i="1" s="1"/>
  <c r="AS117" i="1" a="1"/>
  <c r="AS117" i="1" s="1"/>
  <c r="AT117" i="1" a="1"/>
  <c r="AT117" i="1" s="1"/>
  <c r="AU117" i="1" a="1"/>
  <c r="AU117" i="1" s="1"/>
  <c r="AV117" i="1" a="1"/>
  <c r="AV117" i="1" s="1"/>
  <c r="AW117" i="1" a="1"/>
  <c r="AW117" i="1" s="1"/>
  <c r="AX117" i="1" a="1"/>
  <c r="AX117" i="1" s="1"/>
  <c r="AY117" i="1" a="1"/>
  <c r="AY117" i="1" s="1"/>
  <c r="AZ117" i="1" a="1"/>
  <c r="AZ117" i="1" s="1"/>
  <c r="BA117" i="1" a="1"/>
  <c r="BA117" i="1" s="1"/>
  <c r="BB117" i="1" a="1"/>
  <c r="BB117" i="1" s="1"/>
  <c r="AL118" i="1" a="1"/>
  <c r="AL118" i="1" s="1"/>
  <c r="AM118" i="1" a="1"/>
  <c r="AM118" i="1" s="1"/>
  <c r="AN118" i="1" a="1"/>
  <c r="AN118" i="1" s="1"/>
  <c r="AO118" i="1" a="1"/>
  <c r="AO118" i="1" s="1"/>
  <c r="AP118" i="1" a="1"/>
  <c r="AP118" i="1" s="1"/>
  <c r="AQ118" i="1" a="1"/>
  <c r="AQ118" i="1" s="1"/>
  <c r="AR118" i="1" a="1"/>
  <c r="AR118" i="1" s="1"/>
  <c r="AS118" i="1" a="1"/>
  <c r="AS118" i="1" s="1"/>
  <c r="AT118" i="1" a="1"/>
  <c r="AT118" i="1" s="1"/>
  <c r="AU118" i="1" a="1"/>
  <c r="AU118" i="1" s="1"/>
  <c r="AV118" i="1" a="1"/>
  <c r="AV118" i="1" s="1"/>
  <c r="AW118" i="1" a="1"/>
  <c r="AW118" i="1" s="1"/>
  <c r="AX118" i="1" a="1"/>
  <c r="AX118" i="1" s="1"/>
  <c r="AY118" i="1" a="1"/>
  <c r="AY118" i="1" s="1"/>
  <c r="AZ118" i="1" a="1"/>
  <c r="AZ118" i="1" s="1"/>
  <c r="BA118" i="1" a="1"/>
  <c r="BA118" i="1" s="1"/>
  <c r="BB118" i="1" a="1"/>
  <c r="BB118" i="1" s="1"/>
  <c r="AL122" i="1" a="1"/>
  <c r="AL122" i="1" s="1"/>
  <c r="AM122" i="1" a="1"/>
  <c r="AM122" i="1" s="1"/>
  <c r="AN122" i="1" a="1"/>
  <c r="AN122" i="1" s="1"/>
  <c r="AO122" i="1" a="1"/>
  <c r="AO122" i="1" s="1"/>
  <c r="AP122" i="1" a="1"/>
  <c r="AP122" i="1" s="1"/>
  <c r="AQ122" i="1" a="1"/>
  <c r="AQ122" i="1" s="1"/>
  <c r="AR122" i="1" a="1"/>
  <c r="AR122" i="1" s="1"/>
  <c r="AS122" i="1" a="1"/>
  <c r="AS122" i="1" s="1"/>
  <c r="AT122" i="1" a="1"/>
  <c r="AT122" i="1" s="1"/>
  <c r="AU122" i="1" a="1"/>
  <c r="AU122" i="1" s="1"/>
  <c r="AV122" i="1" a="1"/>
  <c r="AV122" i="1" s="1"/>
  <c r="AW122" i="1" a="1"/>
  <c r="AW122" i="1" s="1"/>
  <c r="AX122" i="1" a="1"/>
  <c r="AX122" i="1" s="1"/>
  <c r="AY122" i="1" a="1"/>
  <c r="AY122" i="1" s="1"/>
  <c r="AZ122" i="1" a="1"/>
  <c r="AZ122" i="1" s="1"/>
  <c r="BA122" i="1" a="1"/>
  <c r="BA122" i="1" s="1"/>
  <c r="BB122" i="1" a="1"/>
  <c r="BB122" i="1" s="1"/>
  <c r="AL123" i="1" a="1"/>
  <c r="AL123" i="1" s="1"/>
  <c r="AM123" i="1" a="1"/>
  <c r="AM123" i="1" s="1"/>
  <c r="AN123" i="1" a="1"/>
  <c r="AN123" i="1" s="1"/>
  <c r="AO123" i="1" a="1"/>
  <c r="AO123" i="1" s="1"/>
  <c r="AP123" i="1" a="1"/>
  <c r="AP123" i="1" s="1"/>
  <c r="AQ123" i="1" a="1"/>
  <c r="AQ123" i="1" s="1"/>
  <c r="AR123" i="1" a="1"/>
  <c r="AR123" i="1" s="1"/>
  <c r="AS123" i="1" a="1"/>
  <c r="AS123" i="1" s="1"/>
  <c r="AT123" i="1" a="1"/>
  <c r="AT123" i="1" s="1"/>
  <c r="AU123" i="1" a="1"/>
  <c r="AU123" i="1" s="1"/>
  <c r="AV123" i="1" a="1"/>
  <c r="AV123" i="1" s="1"/>
  <c r="AW123" i="1" a="1"/>
  <c r="AW123" i="1" s="1"/>
  <c r="AX123" i="1" a="1"/>
  <c r="AX123" i="1" s="1"/>
  <c r="AY123" i="1" a="1"/>
  <c r="AY123" i="1" s="1"/>
  <c r="AZ123" i="1" a="1"/>
  <c r="AZ123" i="1" s="1"/>
  <c r="BA123" i="1" a="1"/>
  <c r="BA123" i="1" s="1"/>
  <c r="BB123" i="1" a="1"/>
  <c r="BB123" i="1" s="1"/>
  <c r="AL124" i="1" a="1"/>
  <c r="AL124" i="1" s="1"/>
  <c r="AM124" i="1" a="1"/>
  <c r="AM124" i="1" s="1"/>
  <c r="AN124" i="1" a="1"/>
  <c r="AN124" i="1" s="1"/>
  <c r="AO124" i="1" a="1"/>
  <c r="AO124" i="1" s="1"/>
  <c r="AP124" i="1" a="1"/>
  <c r="AP124" i="1" s="1"/>
  <c r="AQ124" i="1" a="1"/>
  <c r="AQ124" i="1" s="1"/>
  <c r="AR124" i="1" a="1"/>
  <c r="AR124" i="1" s="1"/>
  <c r="AS124" i="1" a="1"/>
  <c r="AS124" i="1" s="1"/>
  <c r="AT124" i="1" a="1"/>
  <c r="AT124" i="1" s="1"/>
  <c r="AU124" i="1" a="1"/>
  <c r="AU124" i="1" s="1"/>
  <c r="AV124" i="1" a="1"/>
  <c r="AV124" i="1" s="1"/>
  <c r="AW124" i="1" a="1"/>
  <c r="AW124" i="1" s="1"/>
  <c r="AX124" i="1" a="1"/>
  <c r="AX124" i="1" s="1"/>
  <c r="AY124" i="1" a="1"/>
  <c r="AY124" i="1" s="1"/>
  <c r="AZ124" i="1" a="1"/>
  <c r="AZ124" i="1" s="1"/>
  <c r="BA124" i="1" a="1"/>
  <c r="BA124" i="1" s="1"/>
  <c r="BB124" i="1" a="1"/>
  <c r="BB124" i="1" s="1"/>
  <c r="AL125" i="1" a="1"/>
  <c r="AL125" i="1" s="1"/>
  <c r="AM125" i="1" a="1"/>
  <c r="AM125" i="1" s="1"/>
  <c r="AN125" i="1" a="1"/>
  <c r="AN125" i="1" s="1"/>
  <c r="AO125" i="1" a="1"/>
  <c r="AO125" i="1" s="1"/>
  <c r="AP125" i="1" a="1"/>
  <c r="AP125" i="1" s="1"/>
  <c r="AQ125" i="1" a="1"/>
  <c r="AQ125" i="1" s="1"/>
  <c r="AR125" i="1" a="1"/>
  <c r="AR125" i="1" s="1"/>
  <c r="AS125" i="1" a="1"/>
  <c r="AS125" i="1" s="1"/>
  <c r="AT125" i="1" a="1"/>
  <c r="AT125" i="1" s="1"/>
  <c r="AU125" i="1" a="1"/>
  <c r="AU125" i="1" s="1"/>
  <c r="AV125" i="1" a="1"/>
  <c r="AV125" i="1" s="1"/>
  <c r="AW125" i="1" a="1"/>
  <c r="AW125" i="1" s="1"/>
  <c r="AX125" i="1" a="1"/>
  <c r="AX125" i="1" s="1"/>
  <c r="AY125" i="1" a="1"/>
  <c r="AY125" i="1" s="1"/>
  <c r="AZ125" i="1" a="1"/>
  <c r="AZ125" i="1" s="1"/>
  <c r="BA125" i="1" a="1"/>
  <c r="BA125" i="1" s="1"/>
  <c r="BB125" i="1" a="1"/>
  <c r="BB125" i="1" s="1"/>
  <c r="AL126" i="1" a="1"/>
  <c r="AL126" i="1" s="1"/>
  <c r="AM126" i="1" a="1"/>
  <c r="AM126" i="1" s="1"/>
  <c r="AN126" i="1" a="1"/>
  <c r="AN126" i="1" s="1"/>
  <c r="AO126" i="1" a="1"/>
  <c r="AO126" i="1" s="1"/>
  <c r="AP126" i="1" a="1"/>
  <c r="AP126" i="1" s="1"/>
  <c r="AQ126" i="1" a="1"/>
  <c r="AQ126" i="1" s="1"/>
  <c r="AR126" i="1" a="1"/>
  <c r="AR126" i="1" s="1"/>
  <c r="AS126" i="1" a="1"/>
  <c r="AS126" i="1" s="1"/>
  <c r="AT126" i="1" a="1"/>
  <c r="AT126" i="1" s="1"/>
  <c r="AU126" i="1" a="1"/>
  <c r="AU126" i="1" s="1"/>
  <c r="AV126" i="1" a="1"/>
  <c r="AV126" i="1" s="1"/>
  <c r="AW126" i="1" a="1"/>
  <c r="AW126" i="1" s="1"/>
  <c r="AX126" i="1" a="1"/>
  <c r="AX126" i="1" s="1"/>
  <c r="AY126" i="1" a="1"/>
  <c r="AY126" i="1" s="1"/>
  <c r="AZ126" i="1" a="1"/>
  <c r="AZ126" i="1" s="1"/>
  <c r="BA126" i="1" a="1"/>
  <c r="BA126" i="1" s="1"/>
  <c r="BB126" i="1" a="1"/>
  <c r="BB126" i="1" s="1"/>
  <c r="AL127" i="1" a="1"/>
  <c r="AL127" i="1" s="1"/>
  <c r="AM127" i="1" a="1"/>
  <c r="AM127" i="1" s="1"/>
  <c r="AN127" i="1" a="1"/>
  <c r="AN127" i="1" s="1"/>
  <c r="AO127" i="1" a="1"/>
  <c r="AO127" i="1" s="1"/>
  <c r="AP127" i="1" a="1"/>
  <c r="AP127" i="1" s="1"/>
  <c r="AQ127" i="1" a="1"/>
  <c r="AQ127" i="1" s="1"/>
  <c r="AR127" i="1" a="1"/>
  <c r="AR127" i="1" s="1"/>
  <c r="AS127" i="1" a="1"/>
  <c r="AS127" i="1" s="1"/>
  <c r="AT127" i="1" a="1"/>
  <c r="AT127" i="1" s="1"/>
  <c r="AU127" i="1" a="1"/>
  <c r="AU127" i="1" s="1"/>
  <c r="AV127" i="1" a="1"/>
  <c r="AV127" i="1" s="1"/>
  <c r="AW127" i="1" a="1"/>
  <c r="AW127" i="1" s="1"/>
  <c r="AX127" i="1" a="1"/>
  <c r="AX127" i="1" s="1"/>
  <c r="AY127" i="1" a="1"/>
  <c r="AY127" i="1" s="1"/>
  <c r="AZ127" i="1" a="1"/>
  <c r="AZ127" i="1" s="1"/>
  <c r="BA127" i="1" a="1"/>
  <c r="BA127" i="1" s="1"/>
  <c r="BB127" i="1" a="1"/>
  <c r="BB127" i="1" s="1"/>
  <c r="AL128" i="1" a="1"/>
  <c r="AL128" i="1" s="1"/>
  <c r="AM128" i="1" a="1"/>
  <c r="AM128" i="1" s="1"/>
  <c r="AN128" i="1" a="1"/>
  <c r="AN128" i="1" s="1"/>
  <c r="AO128" i="1" a="1"/>
  <c r="AO128" i="1" s="1"/>
  <c r="AP128" i="1" a="1"/>
  <c r="AP128" i="1" s="1"/>
  <c r="AQ128" i="1" a="1"/>
  <c r="AQ128" i="1" s="1"/>
  <c r="AR128" i="1" a="1"/>
  <c r="AR128" i="1" s="1"/>
  <c r="AS128" i="1" a="1"/>
  <c r="AS128" i="1" s="1"/>
  <c r="AT128" i="1" a="1"/>
  <c r="AT128" i="1" s="1"/>
  <c r="AU128" i="1" a="1"/>
  <c r="AU128" i="1" s="1"/>
  <c r="AV128" i="1" a="1"/>
  <c r="AV128" i="1" s="1"/>
  <c r="AW128" i="1" a="1"/>
  <c r="AW128" i="1" s="1"/>
  <c r="AX128" i="1" a="1"/>
  <c r="AX128" i="1" s="1"/>
  <c r="AY128" i="1" a="1"/>
  <c r="AY128" i="1" s="1"/>
  <c r="AZ128" i="1" a="1"/>
  <c r="AZ128" i="1" s="1"/>
  <c r="BA128" i="1" a="1"/>
  <c r="BA128" i="1" s="1"/>
  <c r="BB128" i="1" a="1"/>
  <c r="BB128" i="1" s="1"/>
  <c r="AL129" i="1" a="1"/>
  <c r="AL129" i="1" s="1"/>
  <c r="AM129" i="1" a="1"/>
  <c r="AM129" i="1" s="1"/>
  <c r="AN129" i="1" a="1"/>
  <c r="AN129" i="1" s="1"/>
  <c r="AO129" i="1" a="1"/>
  <c r="AO129" i="1" s="1"/>
  <c r="AP129" i="1" a="1"/>
  <c r="AP129" i="1" s="1"/>
  <c r="AQ129" i="1" a="1"/>
  <c r="AQ129" i="1" s="1"/>
  <c r="AR129" i="1" a="1"/>
  <c r="AR129" i="1" s="1"/>
  <c r="AS129" i="1" a="1"/>
  <c r="AS129" i="1" s="1"/>
  <c r="AT129" i="1" a="1"/>
  <c r="AT129" i="1" s="1"/>
  <c r="AU129" i="1" a="1"/>
  <c r="AU129" i="1" s="1"/>
  <c r="AV129" i="1" a="1"/>
  <c r="AV129" i="1" s="1"/>
  <c r="AW129" i="1" a="1"/>
  <c r="AW129" i="1" s="1"/>
  <c r="AX129" i="1" a="1"/>
  <c r="AX129" i="1" s="1"/>
  <c r="AY129" i="1" a="1"/>
  <c r="AY129" i="1" s="1"/>
  <c r="AZ129" i="1" a="1"/>
  <c r="AZ129" i="1" s="1"/>
  <c r="BA129" i="1" a="1"/>
  <c r="BA129" i="1" s="1"/>
  <c r="BB129" i="1" a="1"/>
  <c r="BB129" i="1" s="1"/>
  <c r="AL131" i="1" a="1"/>
  <c r="AL131" i="1" s="1"/>
  <c r="AM131" i="1" a="1"/>
  <c r="AM131" i="1" s="1"/>
  <c r="AN131" i="1" a="1"/>
  <c r="AN131" i="1" s="1"/>
  <c r="AO131" i="1" a="1"/>
  <c r="AO131" i="1" s="1"/>
  <c r="AP131" i="1" a="1"/>
  <c r="AP131" i="1" s="1"/>
  <c r="AQ131" i="1" a="1"/>
  <c r="AQ131" i="1" s="1"/>
  <c r="AR131" i="1" a="1"/>
  <c r="AR131" i="1" s="1"/>
  <c r="AS131" i="1" a="1"/>
  <c r="AS131" i="1" s="1"/>
  <c r="AT131" i="1" a="1"/>
  <c r="AT131" i="1" s="1"/>
  <c r="AU131" i="1" a="1"/>
  <c r="AU131" i="1" s="1"/>
  <c r="AV131" i="1" a="1"/>
  <c r="AV131" i="1" s="1"/>
  <c r="AW131" i="1" a="1"/>
  <c r="AW131" i="1" s="1"/>
  <c r="AX131" i="1" a="1"/>
  <c r="AX131" i="1" s="1"/>
  <c r="AY131" i="1" a="1"/>
  <c r="AY131" i="1" s="1"/>
  <c r="AZ131" i="1" a="1"/>
  <c r="AZ131" i="1" s="1"/>
  <c r="BA131" i="1" a="1"/>
  <c r="BA131" i="1" s="1"/>
  <c r="BB131" i="1" a="1"/>
  <c r="BB131" i="1" s="1"/>
  <c r="AL133" i="1" a="1"/>
  <c r="AL133" i="1" s="1"/>
  <c r="AM133" i="1" a="1"/>
  <c r="AM133" i="1" s="1"/>
  <c r="AN133" i="1" a="1"/>
  <c r="AN133" i="1" s="1"/>
  <c r="AO133" i="1" a="1"/>
  <c r="AO133" i="1" s="1"/>
  <c r="AP133" i="1" a="1"/>
  <c r="AP133" i="1" s="1"/>
  <c r="AQ133" i="1" a="1"/>
  <c r="AQ133" i="1" s="1"/>
  <c r="AR133" i="1" a="1"/>
  <c r="AR133" i="1" s="1"/>
  <c r="AS133" i="1" a="1"/>
  <c r="AS133" i="1" s="1"/>
  <c r="AT133" i="1" a="1"/>
  <c r="AT133" i="1" s="1"/>
  <c r="AU133" i="1" a="1"/>
  <c r="AU133" i="1" s="1"/>
  <c r="AV133" i="1" a="1"/>
  <c r="AV133" i="1" s="1"/>
  <c r="AW133" i="1" a="1"/>
  <c r="AW133" i="1" s="1"/>
  <c r="AX133" i="1" a="1"/>
  <c r="AX133" i="1" s="1"/>
  <c r="AY133" i="1" a="1"/>
  <c r="AY133" i="1" s="1"/>
  <c r="AZ133" i="1" a="1"/>
  <c r="AZ133" i="1" s="1"/>
  <c r="BA133" i="1" a="1"/>
  <c r="BA133" i="1" s="1"/>
  <c r="BB133" i="1" a="1"/>
  <c r="BB133" i="1" s="1"/>
  <c r="AL134" i="1" a="1"/>
  <c r="AL134" i="1" s="1"/>
  <c r="AM134" i="1" a="1"/>
  <c r="AM134" i="1" s="1"/>
  <c r="AN134" i="1" a="1"/>
  <c r="AN134" i="1" s="1"/>
  <c r="AO134" i="1" a="1"/>
  <c r="AO134" i="1" s="1"/>
  <c r="AP134" i="1" a="1"/>
  <c r="AP134" i="1" s="1"/>
  <c r="AQ134" i="1" a="1"/>
  <c r="AQ134" i="1" s="1"/>
  <c r="AR134" i="1" a="1"/>
  <c r="AR134" i="1" s="1"/>
  <c r="AS134" i="1" a="1"/>
  <c r="AS134" i="1" s="1"/>
  <c r="AT134" i="1" a="1"/>
  <c r="AT134" i="1" s="1"/>
  <c r="AU134" i="1" a="1"/>
  <c r="AU134" i="1" s="1"/>
  <c r="AV134" i="1" a="1"/>
  <c r="AV134" i="1" s="1"/>
  <c r="AW134" i="1" a="1"/>
  <c r="AW134" i="1" s="1"/>
  <c r="AX134" i="1" a="1"/>
  <c r="AX134" i="1" s="1"/>
  <c r="AY134" i="1" a="1"/>
  <c r="AY134" i="1" s="1"/>
  <c r="AZ134" i="1" a="1"/>
  <c r="AZ134" i="1" s="1"/>
  <c r="BA134" i="1" a="1"/>
  <c r="BA134" i="1" s="1"/>
  <c r="BB134" i="1" a="1"/>
  <c r="BB134" i="1" s="1"/>
  <c r="AL135" i="1" a="1"/>
  <c r="AL135" i="1" s="1"/>
  <c r="AM135" i="1" a="1"/>
  <c r="AM135" i="1" s="1"/>
  <c r="AN135" i="1" a="1"/>
  <c r="AN135" i="1" s="1"/>
  <c r="AO135" i="1" a="1"/>
  <c r="AO135" i="1" s="1"/>
  <c r="AP135" i="1" a="1"/>
  <c r="AP135" i="1" s="1"/>
  <c r="AQ135" i="1" a="1"/>
  <c r="AQ135" i="1" s="1"/>
  <c r="AR135" i="1" a="1"/>
  <c r="AR135" i="1" s="1"/>
  <c r="AS135" i="1" a="1"/>
  <c r="AS135" i="1" s="1"/>
  <c r="AT135" i="1" a="1"/>
  <c r="AT135" i="1" s="1"/>
  <c r="AU135" i="1" a="1"/>
  <c r="AU135" i="1" s="1"/>
  <c r="AV135" i="1" a="1"/>
  <c r="AV135" i="1" s="1"/>
  <c r="AW135" i="1" a="1"/>
  <c r="AW135" i="1" s="1"/>
  <c r="AX135" i="1" a="1"/>
  <c r="AX135" i="1" s="1"/>
  <c r="AY135" i="1" a="1"/>
  <c r="AY135" i="1" s="1"/>
  <c r="AZ135" i="1" a="1"/>
  <c r="AZ135" i="1" s="1"/>
  <c r="BA135" i="1" a="1"/>
  <c r="BA135" i="1" s="1"/>
  <c r="BB135" i="1" a="1"/>
  <c r="BB135" i="1" s="1"/>
  <c r="AL137" i="1" a="1"/>
  <c r="AL137" i="1" s="1"/>
  <c r="AM137" i="1" a="1"/>
  <c r="AM137" i="1" s="1"/>
  <c r="AN137" i="1" a="1"/>
  <c r="AN137" i="1" s="1"/>
  <c r="AO137" i="1" a="1"/>
  <c r="AO137" i="1" s="1"/>
  <c r="AP137" i="1" a="1"/>
  <c r="AP137" i="1" s="1"/>
  <c r="AQ137" i="1" a="1"/>
  <c r="AQ137" i="1" s="1"/>
  <c r="AR137" i="1" a="1"/>
  <c r="AR137" i="1" s="1"/>
  <c r="AS137" i="1" a="1"/>
  <c r="AS137" i="1" s="1"/>
  <c r="AT137" i="1" a="1"/>
  <c r="AT137" i="1" s="1"/>
  <c r="AU137" i="1" a="1"/>
  <c r="AU137" i="1" s="1"/>
  <c r="AV137" i="1" a="1"/>
  <c r="AV137" i="1" s="1"/>
  <c r="AW137" i="1" a="1"/>
  <c r="AW137" i="1" s="1"/>
  <c r="AX137" i="1" a="1"/>
  <c r="AX137" i="1" s="1"/>
  <c r="AY137" i="1" a="1"/>
  <c r="AY137" i="1" s="1"/>
  <c r="AZ137" i="1" a="1"/>
  <c r="AZ137" i="1" s="1"/>
  <c r="BA137" i="1" a="1"/>
  <c r="BA137" i="1" s="1"/>
  <c r="BB137" i="1" a="1"/>
  <c r="BB137" i="1" s="1"/>
  <c r="AL138" i="1" a="1"/>
  <c r="AL138" i="1" s="1"/>
  <c r="AM138" i="1" a="1"/>
  <c r="AM138" i="1" s="1"/>
  <c r="AN138" i="1" a="1"/>
  <c r="AN138" i="1" s="1"/>
  <c r="AO138" i="1" a="1"/>
  <c r="AO138" i="1" s="1"/>
  <c r="AP138" i="1" a="1"/>
  <c r="AP138" i="1" s="1"/>
  <c r="AQ138" i="1" a="1"/>
  <c r="AQ138" i="1" s="1"/>
  <c r="AR138" i="1" a="1"/>
  <c r="AR138" i="1" s="1"/>
  <c r="AS138" i="1" a="1"/>
  <c r="AS138" i="1" s="1"/>
  <c r="AT138" i="1" a="1"/>
  <c r="AT138" i="1" s="1"/>
  <c r="AU138" i="1" a="1"/>
  <c r="AU138" i="1" s="1"/>
  <c r="AV138" i="1" a="1"/>
  <c r="AV138" i="1" s="1"/>
  <c r="AW138" i="1" a="1"/>
  <c r="AW138" i="1" s="1"/>
  <c r="AX138" i="1" a="1"/>
  <c r="AX138" i="1" s="1"/>
  <c r="AY138" i="1" a="1"/>
  <c r="AY138" i="1" s="1"/>
  <c r="AZ138" i="1" a="1"/>
  <c r="AZ138" i="1" s="1"/>
  <c r="BA138" i="1" a="1"/>
  <c r="BA138" i="1" s="1"/>
  <c r="BB138" i="1" a="1"/>
  <c r="BB138" i="1" s="1"/>
  <c r="AL140" i="1" a="1"/>
  <c r="AL140" i="1" s="1"/>
  <c r="AM140" i="1" a="1"/>
  <c r="AM140" i="1" s="1"/>
  <c r="AN140" i="1" a="1"/>
  <c r="AN140" i="1" s="1"/>
  <c r="AO140" i="1" a="1"/>
  <c r="AO140" i="1" s="1"/>
  <c r="AP140" i="1" a="1"/>
  <c r="AP140" i="1" s="1"/>
  <c r="AQ140" i="1" a="1"/>
  <c r="AQ140" i="1" s="1"/>
  <c r="AR140" i="1" a="1"/>
  <c r="AR140" i="1" s="1"/>
  <c r="AS140" i="1" a="1"/>
  <c r="AS140" i="1" s="1"/>
  <c r="AT140" i="1" a="1"/>
  <c r="AT140" i="1" s="1"/>
  <c r="AU140" i="1" a="1"/>
  <c r="AU140" i="1" s="1"/>
  <c r="AV140" i="1" a="1"/>
  <c r="AV140" i="1" s="1"/>
  <c r="AW140" i="1" a="1"/>
  <c r="AW140" i="1" s="1"/>
  <c r="AX140" i="1" a="1"/>
  <c r="AX140" i="1" s="1"/>
  <c r="AY140" i="1" a="1"/>
  <c r="AY140" i="1" s="1"/>
  <c r="AZ140" i="1" a="1"/>
  <c r="AZ140" i="1" s="1"/>
  <c r="BA140" i="1" a="1"/>
  <c r="BA140" i="1" s="1"/>
  <c r="BB140" i="1" a="1"/>
  <c r="BB140" i="1" s="1"/>
  <c r="AL141" i="1" a="1"/>
  <c r="AL141" i="1" s="1"/>
  <c r="AM141" i="1" a="1"/>
  <c r="AM141" i="1" s="1"/>
  <c r="AN141" i="1" a="1"/>
  <c r="AN141" i="1" s="1"/>
  <c r="AO141" i="1" a="1"/>
  <c r="AO141" i="1" s="1"/>
  <c r="AP141" i="1" a="1"/>
  <c r="AP141" i="1" s="1"/>
  <c r="AQ141" i="1" a="1"/>
  <c r="AQ141" i="1" s="1"/>
  <c r="AR141" i="1" a="1"/>
  <c r="AR141" i="1" s="1"/>
  <c r="AS141" i="1" a="1"/>
  <c r="AS141" i="1" s="1"/>
  <c r="AT141" i="1" a="1"/>
  <c r="AT141" i="1" s="1"/>
  <c r="AU141" i="1" a="1"/>
  <c r="AU141" i="1" s="1"/>
  <c r="AV141" i="1" a="1"/>
  <c r="AV141" i="1" s="1"/>
  <c r="AW141" i="1" a="1"/>
  <c r="AW141" i="1" s="1"/>
  <c r="AX141" i="1" a="1"/>
  <c r="AX141" i="1" s="1"/>
  <c r="AY141" i="1" a="1"/>
  <c r="AY141" i="1" s="1"/>
  <c r="AZ141" i="1" a="1"/>
  <c r="AZ141" i="1" s="1"/>
  <c r="BA141" i="1" a="1"/>
  <c r="BA141" i="1" s="1"/>
  <c r="BB141" i="1" a="1"/>
  <c r="BB141" i="1" s="1"/>
  <c r="AL142" i="1" a="1"/>
  <c r="AL142" i="1" s="1"/>
  <c r="AM142" i="1" a="1"/>
  <c r="AM142" i="1" s="1"/>
  <c r="AN142" i="1" a="1"/>
  <c r="AN142" i="1" s="1"/>
  <c r="AO142" i="1" a="1"/>
  <c r="AO142" i="1" s="1"/>
  <c r="AP142" i="1" a="1"/>
  <c r="AP142" i="1" s="1"/>
  <c r="AQ142" i="1" a="1"/>
  <c r="AQ142" i="1" s="1"/>
  <c r="AR142" i="1" a="1"/>
  <c r="AR142" i="1" s="1"/>
  <c r="AS142" i="1" a="1"/>
  <c r="AS142" i="1" s="1"/>
  <c r="AT142" i="1" a="1"/>
  <c r="AT142" i="1" s="1"/>
  <c r="AU142" i="1" a="1"/>
  <c r="AU142" i="1" s="1"/>
  <c r="AV142" i="1" a="1"/>
  <c r="AV142" i="1" s="1"/>
  <c r="AW142" i="1" a="1"/>
  <c r="AW142" i="1" s="1"/>
  <c r="AX142" i="1" a="1"/>
  <c r="AX142" i="1" s="1"/>
  <c r="AY142" i="1" a="1"/>
  <c r="AY142" i="1" s="1"/>
  <c r="AZ142" i="1" a="1"/>
  <c r="AZ142" i="1" s="1"/>
  <c r="BA142" i="1" a="1"/>
  <c r="BA142" i="1" s="1"/>
  <c r="BB142" i="1" a="1"/>
  <c r="BB142" i="1" s="1"/>
  <c r="AL143" i="1" a="1"/>
  <c r="AL143" i="1" s="1"/>
  <c r="AM143" i="1" a="1"/>
  <c r="AM143" i="1" s="1"/>
  <c r="AN143" i="1" a="1"/>
  <c r="AN143" i="1" s="1"/>
  <c r="AO143" i="1" a="1"/>
  <c r="AO143" i="1" s="1"/>
  <c r="AP143" i="1" a="1"/>
  <c r="AP143" i="1" s="1"/>
  <c r="AQ143" i="1" a="1"/>
  <c r="AQ143" i="1" s="1"/>
  <c r="AR143" i="1" a="1"/>
  <c r="AR143" i="1" s="1"/>
  <c r="AS143" i="1" a="1"/>
  <c r="AS143" i="1" s="1"/>
  <c r="AT143" i="1" a="1"/>
  <c r="AT143" i="1" s="1"/>
  <c r="AU143" i="1" a="1"/>
  <c r="AU143" i="1" s="1"/>
  <c r="AV143" i="1" a="1"/>
  <c r="AV143" i="1" s="1"/>
  <c r="AW143" i="1" a="1"/>
  <c r="AW143" i="1" s="1"/>
  <c r="AX143" i="1" a="1"/>
  <c r="AX143" i="1" s="1"/>
  <c r="AY143" i="1" a="1"/>
  <c r="AY143" i="1" s="1"/>
  <c r="AZ143" i="1" a="1"/>
  <c r="AZ143" i="1" s="1"/>
  <c r="BA143" i="1" a="1"/>
  <c r="BA143" i="1" s="1"/>
  <c r="BB143" i="1" a="1"/>
  <c r="BB143" i="1" s="1"/>
  <c r="AL144" i="1" a="1"/>
  <c r="AL144" i="1" s="1"/>
  <c r="AM144" i="1" a="1"/>
  <c r="AM144" i="1" s="1"/>
  <c r="AN144" i="1" a="1"/>
  <c r="AN144" i="1" s="1"/>
  <c r="AO144" i="1" a="1"/>
  <c r="AO144" i="1" s="1"/>
  <c r="AP144" i="1" a="1"/>
  <c r="AP144" i="1" s="1"/>
  <c r="AQ144" i="1" a="1"/>
  <c r="AQ144" i="1" s="1"/>
  <c r="AR144" i="1" a="1"/>
  <c r="AR144" i="1" s="1"/>
  <c r="AS144" i="1" a="1"/>
  <c r="AS144" i="1" s="1"/>
  <c r="AT144" i="1" a="1"/>
  <c r="AT144" i="1" s="1"/>
  <c r="AU144" i="1" a="1"/>
  <c r="AU144" i="1" s="1"/>
  <c r="AV144" i="1" a="1"/>
  <c r="AV144" i="1" s="1"/>
  <c r="AW144" i="1" a="1"/>
  <c r="AW144" i="1" s="1"/>
  <c r="AX144" i="1" a="1"/>
  <c r="AX144" i="1" s="1"/>
  <c r="AY144" i="1" a="1"/>
  <c r="AY144" i="1" s="1"/>
  <c r="AZ144" i="1" a="1"/>
  <c r="AZ144" i="1" s="1"/>
  <c r="BA144" i="1" a="1"/>
  <c r="BA144" i="1" s="1"/>
  <c r="BB144" i="1" a="1"/>
  <c r="BB144" i="1" s="1"/>
  <c r="AL145" i="1" a="1"/>
  <c r="AL145" i="1" s="1"/>
  <c r="AM145" i="1" a="1"/>
  <c r="AM145" i="1" s="1"/>
  <c r="AN145" i="1" a="1"/>
  <c r="AN145" i="1" s="1"/>
  <c r="AO145" i="1" a="1"/>
  <c r="AO145" i="1" s="1"/>
  <c r="AP145" i="1" a="1"/>
  <c r="AP145" i="1" s="1"/>
  <c r="AQ145" i="1" a="1"/>
  <c r="AQ145" i="1" s="1"/>
  <c r="AR145" i="1" a="1"/>
  <c r="AR145" i="1" s="1"/>
  <c r="AS145" i="1" a="1"/>
  <c r="AS145" i="1" s="1"/>
  <c r="AT145" i="1" a="1"/>
  <c r="AT145" i="1" s="1"/>
  <c r="AU145" i="1" a="1"/>
  <c r="AU145" i="1" s="1"/>
  <c r="AV145" i="1" a="1"/>
  <c r="AV145" i="1" s="1"/>
  <c r="AW145" i="1" a="1"/>
  <c r="AW145" i="1" s="1"/>
  <c r="AX145" i="1" a="1"/>
  <c r="AX145" i="1" s="1"/>
  <c r="AY145" i="1" a="1"/>
  <c r="AY145" i="1" s="1"/>
  <c r="AZ145" i="1" a="1"/>
  <c r="AZ145" i="1" s="1"/>
  <c r="BA145" i="1" a="1"/>
  <c r="BA145" i="1" s="1"/>
  <c r="BB145" i="1" a="1"/>
  <c r="BB145" i="1" s="1"/>
  <c r="AL146" i="1" a="1"/>
  <c r="AL146" i="1" s="1"/>
  <c r="AM146" i="1" a="1"/>
  <c r="AM146" i="1" s="1"/>
  <c r="AN146" i="1" a="1"/>
  <c r="AN146" i="1" s="1"/>
  <c r="AO146" i="1" a="1"/>
  <c r="AO146" i="1" s="1"/>
  <c r="AP146" i="1" a="1"/>
  <c r="AP146" i="1" s="1"/>
  <c r="AQ146" i="1" a="1"/>
  <c r="AQ146" i="1" s="1"/>
  <c r="AR146" i="1" a="1"/>
  <c r="AR146" i="1" s="1"/>
  <c r="AS146" i="1" a="1"/>
  <c r="AS146" i="1" s="1"/>
  <c r="AT146" i="1" a="1"/>
  <c r="AT146" i="1" s="1"/>
  <c r="AU146" i="1" a="1"/>
  <c r="AU146" i="1" s="1"/>
  <c r="AV146" i="1" a="1"/>
  <c r="AV146" i="1" s="1"/>
  <c r="AW146" i="1" a="1"/>
  <c r="AW146" i="1" s="1"/>
  <c r="AX146" i="1" a="1"/>
  <c r="AX146" i="1" s="1"/>
  <c r="AY146" i="1" a="1"/>
  <c r="AY146" i="1" s="1"/>
  <c r="AZ146" i="1" a="1"/>
  <c r="AZ146" i="1" s="1"/>
  <c r="BA146" i="1" a="1"/>
  <c r="BA146" i="1" s="1"/>
  <c r="BB146" i="1" a="1"/>
  <c r="BB146" i="1" s="1"/>
  <c r="AL149" i="1" a="1"/>
  <c r="AL149" i="1" s="1"/>
  <c r="AM149" i="1" a="1"/>
  <c r="AM149" i="1" s="1"/>
  <c r="AN149" i="1" a="1"/>
  <c r="AN149" i="1" s="1"/>
  <c r="AO149" i="1" a="1"/>
  <c r="AO149" i="1" s="1"/>
  <c r="AP149" i="1" a="1"/>
  <c r="AP149" i="1" s="1"/>
  <c r="AQ149" i="1" a="1"/>
  <c r="AQ149" i="1" s="1"/>
  <c r="AR149" i="1" a="1"/>
  <c r="AR149" i="1" s="1"/>
  <c r="AS149" i="1" a="1"/>
  <c r="AS149" i="1" s="1"/>
  <c r="AT149" i="1" a="1"/>
  <c r="AT149" i="1" s="1"/>
  <c r="AU149" i="1" a="1"/>
  <c r="AU149" i="1" s="1"/>
  <c r="AV149" i="1" a="1"/>
  <c r="AV149" i="1" s="1"/>
  <c r="AW149" i="1" a="1"/>
  <c r="AW149" i="1" s="1"/>
  <c r="AX149" i="1" a="1"/>
  <c r="AX149" i="1" s="1"/>
  <c r="AY149" i="1" a="1"/>
  <c r="AY149" i="1" s="1"/>
  <c r="AZ149" i="1" a="1"/>
  <c r="AZ149" i="1" s="1"/>
  <c r="BA149" i="1" a="1"/>
  <c r="BA149" i="1" s="1"/>
  <c r="BB149" i="1" a="1"/>
  <c r="BB149" i="1" s="1"/>
  <c r="AL150" i="1" a="1"/>
  <c r="AL150" i="1" s="1"/>
  <c r="AM150" i="1" a="1"/>
  <c r="AM150" i="1" s="1"/>
  <c r="AN150" i="1" a="1"/>
  <c r="AN150" i="1" s="1"/>
  <c r="AO150" i="1" a="1"/>
  <c r="AO150" i="1" s="1"/>
  <c r="AP150" i="1" a="1"/>
  <c r="AP150" i="1" s="1"/>
  <c r="AQ150" i="1" a="1"/>
  <c r="AQ150" i="1" s="1"/>
  <c r="AR150" i="1" a="1"/>
  <c r="AR150" i="1" s="1"/>
  <c r="AS150" i="1" a="1"/>
  <c r="AS150" i="1" s="1"/>
  <c r="AT150" i="1" a="1"/>
  <c r="AT150" i="1" s="1"/>
  <c r="AU150" i="1" a="1"/>
  <c r="AU150" i="1" s="1"/>
  <c r="AV150" i="1" a="1"/>
  <c r="AV150" i="1" s="1"/>
  <c r="AW150" i="1" a="1"/>
  <c r="AW150" i="1" s="1"/>
  <c r="AX150" i="1" a="1"/>
  <c r="AX150" i="1" s="1"/>
  <c r="AY150" i="1" a="1"/>
  <c r="AY150" i="1" s="1"/>
  <c r="AZ150" i="1" a="1"/>
  <c r="AZ150" i="1" s="1"/>
  <c r="BA150" i="1" a="1"/>
  <c r="BA150" i="1" s="1"/>
  <c r="BB150" i="1" a="1"/>
  <c r="BB150" i="1" s="1"/>
  <c r="AL151" i="1" a="1"/>
  <c r="AL151" i="1" s="1"/>
  <c r="AM151" i="1" a="1"/>
  <c r="AM151" i="1" s="1"/>
  <c r="AN151" i="1" a="1"/>
  <c r="AN151" i="1" s="1"/>
  <c r="AO151" i="1" a="1"/>
  <c r="AO151" i="1" s="1"/>
  <c r="AP151" i="1" a="1"/>
  <c r="AP151" i="1" s="1"/>
  <c r="AQ151" i="1" a="1"/>
  <c r="AQ151" i="1" s="1"/>
  <c r="AR151" i="1" a="1"/>
  <c r="AR151" i="1" s="1"/>
  <c r="AS151" i="1" a="1"/>
  <c r="AS151" i="1" s="1"/>
  <c r="AT151" i="1" a="1"/>
  <c r="AT151" i="1" s="1"/>
  <c r="AU151" i="1" a="1"/>
  <c r="AU151" i="1" s="1"/>
  <c r="AV151" i="1" a="1"/>
  <c r="AV151" i="1" s="1"/>
  <c r="AW151" i="1" a="1"/>
  <c r="AW151" i="1" s="1"/>
  <c r="AX151" i="1" a="1"/>
  <c r="AX151" i="1" s="1"/>
  <c r="AY151" i="1" a="1"/>
  <c r="AY151" i="1" s="1"/>
  <c r="AZ151" i="1" a="1"/>
  <c r="AZ151" i="1" s="1"/>
  <c r="BA151" i="1" a="1"/>
  <c r="BA151" i="1" s="1"/>
  <c r="BB151" i="1" a="1"/>
  <c r="BB151" i="1" s="1"/>
  <c r="AL82" i="1" a="1"/>
  <c r="AL82" i="1" s="1"/>
  <c r="AM82" i="1" a="1"/>
  <c r="AM82" i="1" s="1"/>
  <c r="AN82" i="1" a="1"/>
  <c r="AN82" i="1" s="1"/>
  <c r="AO82" i="1" a="1"/>
  <c r="AO82" i="1" s="1"/>
  <c r="AP82" i="1" a="1"/>
  <c r="AP82" i="1" s="1"/>
  <c r="AQ82" i="1" a="1"/>
  <c r="AQ82" i="1" s="1"/>
  <c r="AR82" i="1" a="1"/>
  <c r="AR82" i="1" s="1"/>
  <c r="AS82" i="1" a="1"/>
  <c r="AS82" i="1" s="1"/>
  <c r="AT82" i="1" a="1"/>
  <c r="AT82" i="1" s="1"/>
  <c r="AU82" i="1" a="1"/>
  <c r="AU82" i="1" s="1"/>
  <c r="AV82" i="1" a="1"/>
  <c r="AV82" i="1" s="1"/>
  <c r="AW82" i="1" a="1"/>
  <c r="AW82" i="1" s="1"/>
  <c r="AX82" i="1" a="1"/>
  <c r="AX82" i="1" s="1"/>
  <c r="AY82" i="1" a="1"/>
  <c r="AY82" i="1" s="1"/>
  <c r="AZ82" i="1" a="1"/>
  <c r="AZ82" i="1" s="1"/>
  <c r="BA82" i="1" a="1"/>
  <c r="BA82" i="1" s="1"/>
  <c r="BB82" i="1" a="1"/>
  <c r="BB82" i="1" s="1"/>
  <c r="AL152" i="1" a="1"/>
  <c r="AL152" i="1" s="1"/>
  <c r="AM152" i="1" a="1"/>
  <c r="AM152" i="1" s="1"/>
  <c r="AN152" i="1" a="1"/>
  <c r="AN152" i="1" s="1"/>
  <c r="AO152" i="1" a="1"/>
  <c r="AO152" i="1" s="1"/>
  <c r="AP152" i="1" a="1"/>
  <c r="AP152" i="1" s="1"/>
  <c r="AQ152" i="1" a="1"/>
  <c r="AQ152" i="1" s="1"/>
  <c r="AR152" i="1" a="1"/>
  <c r="AR152" i="1" s="1"/>
  <c r="AS152" i="1" a="1"/>
  <c r="AS152" i="1" s="1"/>
  <c r="AT152" i="1" a="1"/>
  <c r="AT152" i="1" s="1"/>
  <c r="AU152" i="1" a="1"/>
  <c r="AU152" i="1" s="1"/>
  <c r="AV152" i="1" a="1"/>
  <c r="AV152" i="1" s="1"/>
  <c r="AW152" i="1" a="1"/>
  <c r="AW152" i="1" s="1"/>
  <c r="AX152" i="1" a="1"/>
  <c r="AX152" i="1" s="1"/>
  <c r="AY152" i="1" a="1"/>
  <c r="AY152" i="1" s="1"/>
  <c r="AZ152" i="1" a="1"/>
  <c r="AZ152" i="1" s="1"/>
  <c r="BA152" i="1" a="1"/>
  <c r="BA152" i="1" s="1"/>
  <c r="BB152" i="1" a="1"/>
  <c r="BB152" i="1" s="1"/>
  <c r="AL153" i="1" a="1"/>
  <c r="AL153" i="1" s="1"/>
  <c r="AM153" i="1" a="1"/>
  <c r="AM153" i="1" s="1"/>
  <c r="AN153" i="1" a="1"/>
  <c r="AN153" i="1" s="1"/>
  <c r="AO153" i="1" a="1"/>
  <c r="AO153" i="1" s="1"/>
  <c r="AP153" i="1" a="1"/>
  <c r="AP153" i="1" s="1"/>
  <c r="AQ153" i="1" a="1"/>
  <c r="AQ153" i="1" s="1"/>
  <c r="AR153" i="1" a="1"/>
  <c r="AR153" i="1" s="1"/>
  <c r="AS153" i="1" a="1"/>
  <c r="AS153" i="1" s="1"/>
  <c r="AT153" i="1" a="1"/>
  <c r="AT153" i="1" s="1"/>
  <c r="AU153" i="1" a="1"/>
  <c r="AU153" i="1" s="1"/>
  <c r="AV153" i="1" a="1"/>
  <c r="AV153" i="1" s="1"/>
  <c r="AW153" i="1" a="1"/>
  <c r="AW153" i="1" s="1"/>
  <c r="AX153" i="1" a="1"/>
  <c r="AX153" i="1" s="1"/>
  <c r="AY153" i="1" a="1"/>
  <c r="AY153" i="1" s="1"/>
  <c r="AZ153" i="1" a="1"/>
  <c r="AZ153" i="1" s="1"/>
  <c r="BA153" i="1" a="1"/>
  <c r="BA153" i="1" s="1"/>
  <c r="BB153" i="1" a="1"/>
  <c r="BB153" i="1" s="1"/>
  <c r="AL154" i="1" a="1"/>
  <c r="AL154" i="1" s="1"/>
  <c r="AM154" i="1" a="1"/>
  <c r="AM154" i="1" s="1"/>
  <c r="AN154" i="1" a="1"/>
  <c r="AN154" i="1" s="1"/>
  <c r="AO154" i="1" a="1"/>
  <c r="AO154" i="1" s="1"/>
  <c r="AP154" i="1" a="1"/>
  <c r="AP154" i="1" s="1"/>
  <c r="AQ154" i="1" a="1"/>
  <c r="AQ154" i="1" s="1"/>
  <c r="AR154" i="1" a="1"/>
  <c r="AR154" i="1" s="1"/>
  <c r="AS154" i="1" a="1"/>
  <c r="AS154" i="1" s="1"/>
  <c r="AT154" i="1" a="1"/>
  <c r="AT154" i="1" s="1"/>
  <c r="AU154" i="1" a="1"/>
  <c r="AU154" i="1" s="1"/>
  <c r="AV154" i="1" a="1"/>
  <c r="AV154" i="1" s="1"/>
  <c r="AW154" i="1" a="1"/>
  <c r="AW154" i="1" s="1"/>
  <c r="AX154" i="1" a="1"/>
  <c r="AX154" i="1" s="1"/>
  <c r="AY154" i="1" a="1"/>
  <c r="AY154" i="1" s="1"/>
  <c r="AZ154" i="1" a="1"/>
  <c r="AZ154" i="1" s="1"/>
  <c r="BA154" i="1" a="1"/>
  <c r="BA154" i="1" s="1"/>
  <c r="BB154" i="1" a="1"/>
  <c r="BB154" i="1" s="1"/>
  <c r="AL155" i="1" a="1"/>
  <c r="AL155" i="1" s="1"/>
  <c r="AM155" i="1" a="1"/>
  <c r="AM155" i="1" s="1"/>
  <c r="AN155" i="1" a="1"/>
  <c r="AN155" i="1" s="1"/>
  <c r="AO155" i="1" a="1"/>
  <c r="AO155" i="1" s="1"/>
  <c r="AP155" i="1" a="1"/>
  <c r="AP155" i="1" s="1"/>
  <c r="AQ155" i="1" a="1"/>
  <c r="AQ155" i="1" s="1"/>
  <c r="AR155" i="1" a="1"/>
  <c r="AR155" i="1" s="1"/>
  <c r="AS155" i="1" a="1"/>
  <c r="AS155" i="1" s="1"/>
  <c r="AT155" i="1" a="1"/>
  <c r="AT155" i="1" s="1"/>
  <c r="AU155" i="1" a="1"/>
  <c r="AU155" i="1" s="1"/>
  <c r="AV155" i="1" a="1"/>
  <c r="AV155" i="1" s="1"/>
  <c r="AW155" i="1" a="1"/>
  <c r="AW155" i="1" s="1"/>
  <c r="AX155" i="1" a="1"/>
  <c r="AX155" i="1" s="1"/>
  <c r="AY155" i="1" a="1"/>
  <c r="AY155" i="1" s="1"/>
  <c r="AZ155" i="1" a="1"/>
  <c r="AZ155" i="1" s="1"/>
  <c r="BA155" i="1" a="1"/>
  <c r="BA155" i="1" s="1"/>
  <c r="BB155" i="1" a="1"/>
  <c r="BB155" i="1" s="1"/>
  <c r="AL156" i="1" a="1"/>
  <c r="AL156" i="1" s="1"/>
  <c r="AM156" i="1" a="1"/>
  <c r="AM156" i="1" s="1"/>
  <c r="AN156" i="1" a="1"/>
  <c r="AN156" i="1" s="1"/>
  <c r="AO156" i="1" a="1"/>
  <c r="AO156" i="1" s="1"/>
  <c r="AP156" i="1" a="1"/>
  <c r="AP156" i="1" s="1"/>
  <c r="AQ156" i="1" a="1"/>
  <c r="AQ156" i="1" s="1"/>
  <c r="AR156" i="1" a="1"/>
  <c r="AR156" i="1" s="1"/>
  <c r="AS156" i="1" a="1"/>
  <c r="AS156" i="1" s="1"/>
  <c r="AT156" i="1" a="1"/>
  <c r="AT156" i="1" s="1"/>
  <c r="AU156" i="1" a="1"/>
  <c r="AU156" i="1" s="1"/>
  <c r="AV156" i="1" a="1"/>
  <c r="AV156" i="1" s="1"/>
  <c r="AW156" i="1" a="1"/>
  <c r="AW156" i="1" s="1"/>
  <c r="AX156" i="1" a="1"/>
  <c r="AX156" i="1" s="1"/>
  <c r="AY156" i="1" a="1"/>
  <c r="AY156" i="1" s="1"/>
  <c r="AZ156" i="1" a="1"/>
  <c r="AZ156" i="1" s="1"/>
  <c r="BA156" i="1" a="1"/>
  <c r="BA156" i="1" s="1"/>
  <c r="BB156" i="1" a="1"/>
  <c r="BB156" i="1" s="1"/>
  <c r="AL157" i="1" a="1"/>
  <c r="AL157" i="1" s="1"/>
  <c r="AM157" i="1" a="1"/>
  <c r="AM157" i="1" s="1"/>
  <c r="AN157" i="1" a="1"/>
  <c r="AN157" i="1" s="1"/>
  <c r="AO157" i="1" a="1"/>
  <c r="AO157" i="1" s="1"/>
  <c r="AP157" i="1" a="1"/>
  <c r="AP157" i="1" s="1"/>
  <c r="AQ157" i="1" a="1"/>
  <c r="AQ157" i="1" s="1"/>
  <c r="AR157" i="1" a="1"/>
  <c r="AR157" i="1" s="1"/>
  <c r="AS157" i="1" a="1"/>
  <c r="AS157" i="1" s="1"/>
  <c r="AT157" i="1" a="1"/>
  <c r="AT157" i="1" s="1"/>
  <c r="AU157" i="1" a="1"/>
  <c r="AU157" i="1" s="1"/>
  <c r="AV157" i="1" a="1"/>
  <c r="AV157" i="1" s="1"/>
  <c r="AW157" i="1" a="1"/>
  <c r="AW157" i="1" s="1"/>
  <c r="AX157" i="1" a="1"/>
  <c r="AX157" i="1" s="1"/>
  <c r="AY157" i="1" a="1"/>
  <c r="AY157" i="1" s="1"/>
  <c r="AZ157" i="1" a="1"/>
  <c r="AZ157" i="1" s="1"/>
  <c r="BA157" i="1" a="1"/>
  <c r="BA157" i="1" s="1"/>
  <c r="BB157" i="1" a="1"/>
  <c r="BB157" i="1" s="1"/>
  <c r="AL158" i="1" a="1"/>
  <c r="AL158" i="1" s="1"/>
  <c r="AM158" i="1" a="1"/>
  <c r="AM158" i="1" s="1"/>
  <c r="AN158" i="1" a="1"/>
  <c r="AN158" i="1" s="1"/>
  <c r="AO158" i="1" a="1"/>
  <c r="AO158" i="1" s="1"/>
  <c r="AP158" i="1" a="1"/>
  <c r="AP158" i="1" s="1"/>
  <c r="AQ158" i="1" a="1"/>
  <c r="AQ158" i="1" s="1"/>
  <c r="AR158" i="1" a="1"/>
  <c r="AR158" i="1" s="1"/>
  <c r="AS158" i="1" a="1"/>
  <c r="AS158" i="1" s="1"/>
  <c r="AT158" i="1" a="1"/>
  <c r="AT158" i="1" s="1"/>
  <c r="AU158" i="1" a="1"/>
  <c r="AU158" i="1" s="1"/>
  <c r="AV158" i="1" a="1"/>
  <c r="AV158" i="1" s="1"/>
  <c r="AW158" i="1" a="1"/>
  <c r="AW158" i="1" s="1"/>
  <c r="AX158" i="1" a="1"/>
  <c r="AX158" i="1" s="1"/>
  <c r="AY158" i="1" a="1"/>
  <c r="AY158" i="1" s="1"/>
  <c r="AZ158" i="1" a="1"/>
  <c r="AZ158" i="1" s="1"/>
  <c r="BA158" i="1" a="1"/>
  <c r="BA158" i="1" s="1"/>
  <c r="BB158" i="1" a="1"/>
  <c r="BB158" i="1" s="1"/>
  <c r="AL159" i="1" a="1"/>
  <c r="AL159" i="1" s="1"/>
  <c r="AM159" i="1" a="1"/>
  <c r="AM159" i="1" s="1"/>
  <c r="AN159" i="1" a="1"/>
  <c r="AN159" i="1" s="1"/>
  <c r="AO159" i="1" a="1"/>
  <c r="AO159" i="1" s="1"/>
  <c r="AP159" i="1" a="1"/>
  <c r="AP159" i="1" s="1"/>
  <c r="AQ159" i="1" a="1"/>
  <c r="AQ159" i="1" s="1"/>
  <c r="AR159" i="1" a="1"/>
  <c r="AR159" i="1" s="1"/>
  <c r="AS159" i="1" a="1"/>
  <c r="AS159" i="1" s="1"/>
  <c r="AT159" i="1" a="1"/>
  <c r="AT159" i="1" s="1"/>
  <c r="AU159" i="1" a="1"/>
  <c r="AU159" i="1" s="1"/>
  <c r="AV159" i="1" a="1"/>
  <c r="AV159" i="1" s="1"/>
  <c r="AW159" i="1" a="1"/>
  <c r="AW159" i="1" s="1"/>
  <c r="AX159" i="1" a="1"/>
  <c r="AX159" i="1" s="1"/>
  <c r="AY159" i="1" a="1"/>
  <c r="AY159" i="1" s="1"/>
  <c r="AZ159" i="1" a="1"/>
  <c r="AZ159" i="1" s="1"/>
  <c r="BA159" i="1" a="1"/>
  <c r="BA159" i="1" s="1"/>
  <c r="BB159" i="1" a="1"/>
  <c r="BB159" i="1" s="1"/>
  <c r="AL162" i="1" a="1"/>
  <c r="AL162" i="1" s="1"/>
  <c r="AM162" i="1" a="1"/>
  <c r="AM162" i="1" s="1"/>
  <c r="AN162" i="1" a="1"/>
  <c r="AN162" i="1" s="1"/>
  <c r="AO162" i="1" a="1"/>
  <c r="AO162" i="1" s="1"/>
  <c r="AP162" i="1" a="1"/>
  <c r="AP162" i="1" s="1"/>
  <c r="AQ162" i="1" a="1"/>
  <c r="AQ162" i="1" s="1"/>
  <c r="AR162" i="1" a="1"/>
  <c r="AR162" i="1" s="1"/>
  <c r="AS162" i="1" a="1"/>
  <c r="AS162" i="1" s="1"/>
  <c r="AT162" i="1" a="1"/>
  <c r="AT162" i="1" s="1"/>
  <c r="AU162" i="1" a="1"/>
  <c r="AU162" i="1" s="1"/>
  <c r="AV162" i="1" a="1"/>
  <c r="AV162" i="1" s="1"/>
  <c r="AW162" i="1" a="1"/>
  <c r="AW162" i="1" s="1"/>
  <c r="AX162" i="1" a="1"/>
  <c r="AX162" i="1" s="1"/>
  <c r="AY162" i="1" a="1"/>
  <c r="AY162" i="1" s="1"/>
  <c r="AZ162" i="1" a="1"/>
  <c r="AZ162" i="1" s="1"/>
  <c r="BA162" i="1" a="1"/>
  <c r="BA162" i="1" s="1"/>
  <c r="BB162" i="1" a="1"/>
  <c r="BB162" i="1" s="1"/>
  <c r="AL164" i="1" a="1"/>
  <c r="AL164" i="1" s="1"/>
  <c r="AM164" i="1" a="1"/>
  <c r="AM164" i="1" s="1"/>
  <c r="AN164" i="1" a="1"/>
  <c r="AN164" i="1" s="1"/>
  <c r="AO164" i="1" a="1"/>
  <c r="AO164" i="1" s="1"/>
  <c r="AP164" i="1" a="1"/>
  <c r="AP164" i="1" s="1"/>
  <c r="AQ164" i="1" a="1"/>
  <c r="AQ164" i="1" s="1"/>
  <c r="AR164" i="1" a="1"/>
  <c r="AR164" i="1" s="1"/>
  <c r="AS164" i="1" a="1"/>
  <c r="AS164" i="1" s="1"/>
  <c r="AT164" i="1" a="1"/>
  <c r="AT164" i="1" s="1"/>
  <c r="AU164" i="1" a="1"/>
  <c r="AU164" i="1" s="1"/>
  <c r="AV164" i="1" a="1"/>
  <c r="AV164" i="1" s="1"/>
  <c r="AW164" i="1" a="1"/>
  <c r="AW164" i="1" s="1"/>
  <c r="AX164" i="1" a="1"/>
  <c r="AX164" i="1" s="1"/>
  <c r="AY164" i="1" a="1"/>
  <c r="AY164" i="1" s="1"/>
  <c r="AZ164" i="1" a="1"/>
  <c r="AZ164" i="1" s="1"/>
  <c r="BA164" i="1" a="1"/>
  <c r="BA164" i="1" s="1"/>
  <c r="BB164" i="1" a="1"/>
  <c r="BB164" i="1" s="1"/>
  <c r="AL165" i="1" a="1"/>
  <c r="AL165" i="1" s="1"/>
  <c r="AM165" i="1" a="1"/>
  <c r="AM165" i="1" s="1"/>
  <c r="AN165" i="1" a="1"/>
  <c r="AN165" i="1" s="1"/>
  <c r="AO165" i="1" a="1"/>
  <c r="AO165" i="1" s="1"/>
  <c r="AP165" i="1" a="1"/>
  <c r="AP165" i="1" s="1"/>
  <c r="AQ165" i="1" a="1"/>
  <c r="AQ165" i="1" s="1"/>
  <c r="AR165" i="1" a="1"/>
  <c r="AR165" i="1" s="1"/>
  <c r="AS165" i="1" a="1"/>
  <c r="AS165" i="1" s="1"/>
  <c r="AT165" i="1" a="1"/>
  <c r="AT165" i="1" s="1"/>
  <c r="AU165" i="1" a="1"/>
  <c r="AU165" i="1" s="1"/>
  <c r="AV165" i="1" a="1"/>
  <c r="AV165" i="1" s="1"/>
  <c r="AW165" i="1" a="1"/>
  <c r="AW165" i="1" s="1"/>
  <c r="AX165" i="1" a="1"/>
  <c r="AX165" i="1" s="1"/>
  <c r="AY165" i="1" a="1"/>
  <c r="AY165" i="1" s="1"/>
  <c r="AZ165" i="1" a="1"/>
  <c r="AZ165" i="1" s="1"/>
  <c r="BA165" i="1" a="1"/>
  <c r="BA165" i="1" s="1"/>
  <c r="BB165" i="1" a="1"/>
  <c r="BB165" i="1" s="1"/>
  <c r="AL166" i="1" a="1"/>
  <c r="AL166" i="1" s="1"/>
  <c r="AM166" i="1" a="1"/>
  <c r="AM166" i="1" s="1"/>
  <c r="AN166" i="1" a="1"/>
  <c r="AN166" i="1" s="1"/>
  <c r="AO166" i="1" a="1"/>
  <c r="AO166" i="1" s="1"/>
  <c r="AP166" i="1" a="1"/>
  <c r="AP166" i="1" s="1"/>
  <c r="AQ166" i="1" a="1"/>
  <c r="AQ166" i="1" s="1"/>
  <c r="AR166" i="1" a="1"/>
  <c r="AR166" i="1" s="1"/>
  <c r="AS166" i="1" a="1"/>
  <c r="AS166" i="1" s="1"/>
  <c r="AT166" i="1" a="1"/>
  <c r="AT166" i="1" s="1"/>
  <c r="AU166" i="1" a="1"/>
  <c r="AU166" i="1" s="1"/>
  <c r="AV166" i="1" a="1"/>
  <c r="AV166" i="1" s="1"/>
  <c r="AW166" i="1" a="1"/>
  <c r="AW166" i="1" s="1"/>
  <c r="AX166" i="1" a="1"/>
  <c r="AX166" i="1" s="1"/>
  <c r="AY166" i="1" a="1"/>
  <c r="AY166" i="1" s="1"/>
  <c r="AZ166" i="1" a="1"/>
  <c r="AZ166" i="1" s="1"/>
  <c r="BA166" i="1" a="1"/>
  <c r="BA166" i="1" s="1"/>
  <c r="BB166" i="1" a="1"/>
  <c r="BB166" i="1" s="1"/>
  <c r="AL169" i="1" a="1"/>
  <c r="AL169" i="1" s="1"/>
  <c r="AM169" i="1" a="1"/>
  <c r="AM169" i="1" s="1"/>
  <c r="AN169" i="1" a="1"/>
  <c r="AN169" i="1" s="1"/>
  <c r="AO169" i="1" a="1"/>
  <c r="AO169" i="1" s="1"/>
  <c r="AP169" i="1" a="1"/>
  <c r="AP169" i="1" s="1"/>
  <c r="AQ169" i="1" a="1"/>
  <c r="AQ169" i="1" s="1"/>
  <c r="AR169" i="1" a="1"/>
  <c r="AR169" i="1" s="1"/>
  <c r="AS169" i="1" a="1"/>
  <c r="AS169" i="1" s="1"/>
  <c r="AT169" i="1" a="1"/>
  <c r="AT169" i="1" s="1"/>
  <c r="AU169" i="1" a="1"/>
  <c r="AU169" i="1" s="1"/>
  <c r="AV169" i="1" a="1"/>
  <c r="AV169" i="1" s="1"/>
  <c r="AW169" i="1" a="1"/>
  <c r="AW169" i="1" s="1"/>
  <c r="AX169" i="1" a="1"/>
  <c r="AX169" i="1" s="1"/>
  <c r="AY169" i="1" a="1"/>
  <c r="AY169" i="1" s="1"/>
  <c r="AZ169" i="1" a="1"/>
  <c r="AZ169" i="1" s="1"/>
  <c r="BA169" i="1" a="1"/>
  <c r="BA169" i="1" s="1"/>
  <c r="BB169" i="1" a="1"/>
  <c r="BB169" i="1" s="1"/>
  <c r="AL170" i="1" a="1"/>
  <c r="AL170" i="1" s="1"/>
  <c r="AM170" i="1" a="1"/>
  <c r="AM170" i="1" s="1"/>
  <c r="AN170" i="1" a="1"/>
  <c r="AN170" i="1" s="1"/>
  <c r="AO170" i="1" a="1"/>
  <c r="AO170" i="1" s="1"/>
  <c r="AP170" i="1" a="1"/>
  <c r="AP170" i="1" s="1"/>
  <c r="AQ170" i="1" a="1"/>
  <c r="AQ170" i="1" s="1"/>
  <c r="AR170" i="1" a="1"/>
  <c r="AR170" i="1" s="1"/>
  <c r="AS170" i="1" a="1"/>
  <c r="AS170" i="1" s="1"/>
  <c r="AT170" i="1" a="1"/>
  <c r="AT170" i="1" s="1"/>
  <c r="AU170" i="1" a="1"/>
  <c r="AU170" i="1" s="1"/>
  <c r="AV170" i="1" a="1"/>
  <c r="AV170" i="1" s="1"/>
  <c r="AW170" i="1" a="1"/>
  <c r="AW170" i="1" s="1"/>
  <c r="AX170" i="1" a="1"/>
  <c r="AX170" i="1" s="1"/>
  <c r="AY170" i="1" a="1"/>
  <c r="AY170" i="1" s="1"/>
  <c r="AZ170" i="1" a="1"/>
  <c r="AZ170" i="1" s="1"/>
  <c r="BA170" i="1" a="1"/>
  <c r="BA170" i="1" s="1"/>
  <c r="BB170" i="1" a="1"/>
  <c r="BB170" i="1" s="1"/>
  <c r="AL171" i="1" a="1"/>
  <c r="AL171" i="1" s="1"/>
  <c r="AM171" i="1" a="1"/>
  <c r="AM171" i="1" s="1"/>
  <c r="AN171" i="1" a="1"/>
  <c r="AN171" i="1" s="1"/>
  <c r="AO171" i="1" a="1"/>
  <c r="AO171" i="1" s="1"/>
  <c r="AP171" i="1" a="1"/>
  <c r="AP171" i="1" s="1"/>
  <c r="AQ171" i="1" a="1"/>
  <c r="AQ171" i="1" s="1"/>
  <c r="AR171" i="1" a="1"/>
  <c r="AR171" i="1" s="1"/>
  <c r="AS171" i="1" a="1"/>
  <c r="AS171" i="1" s="1"/>
  <c r="AT171" i="1" a="1"/>
  <c r="AT171" i="1" s="1"/>
  <c r="AU171" i="1" a="1"/>
  <c r="AU171" i="1" s="1"/>
  <c r="AV171" i="1" a="1"/>
  <c r="AV171" i="1" s="1"/>
  <c r="AW171" i="1" a="1"/>
  <c r="AW171" i="1" s="1"/>
  <c r="AX171" i="1" a="1"/>
  <c r="AX171" i="1" s="1"/>
  <c r="AY171" i="1" a="1"/>
  <c r="AY171" i="1" s="1"/>
  <c r="AZ171" i="1" a="1"/>
  <c r="AZ171" i="1" s="1"/>
  <c r="BA171" i="1" a="1"/>
  <c r="BA171" i="1" s="1"/>
  <c r="BB171" i="1" a="1"/>
  <c r="BB171" i="1" s="1"/>
  <c r="AL172" i="1" a="1"/>
  <c r="AL172" i="1" s="1"/>
  <c r="AM172" i="1" a="1"/>
  <c r="AM172" i="1" s="1"/>
  <c r="AN172" i="1" a="1"/>
  <c r="AN172" i="1" s="1"/>
  <c r="AO172" i="1" a="1"/>
  <c r="AO172" i="1" s="1"/>
  <c r="AP172" i="1" a="1"/>
  <c r="AP172" i="1" s="1"/>
  <c r="AQ172" i="1" a="1"/>
  <c r="AQ172" i="1" s="1"/>
  <c r="AR172" i="1" a="1"/>
  <c r="AR172" i="1" s="1"/>
  <c r="AS172" i="1" a="1"/>
  <c r="AS172" i="1" s="1"/>
  <c r="AT172" i="1" a="1"/>
  <c r="AT172" i="1" s="1"/>
  <c r="AU172" i="1" a="1"/>
  <c r="AU172" i="1" s="1"/>
  <c r="AV172" i="1" a="1"/>
  <c r="AV172" i="1" s="1"/>
  <c r="AW172" i="1" a="1"/>
  <c r="AW172" i="1" s="1"/>
  <c r="AX172" i="1" a="1"/>
  <c r="AX172" i="1" s="1"/>
  <c r="AY172" i="1" a="1"/>
  <c r="AY172" i="1" s="1"/>
  <c r="AZ172" i="1" a="1"/>
  <c r="AZ172" i="1" s="1"/>
  <c r="BA172" i="1" a="1"/>
  <c r="BA172" i="1" s="1"/>
  <c r="BB172" i="1" a="1"/>
  <c r="BB172" i="1" s="1"/>
  <c r="AL174" i="1" a="1"/>
  <c r="AL174" i="1" s="1"/>
  <c r="AM174" i="1" a="1"/>
  <c r="AM174" i="1" s="1"/>
  <c r="AN174" i="1" a="1"/>
  <c r="AN174" i="1" s="1"/>
  <c r="AO174" i="1" a="1"/>
  <c r="AO174" i="1" s="1"/>
  <c r="AP174" i="1" a="1"/>
  <c r="AP174" i="1" s="1"/>
  <c r="AQ174" i="1" a="1"/>
  <c r="AQ174" i="1" s="1"/>
  <c r="AR174" i="1" a="1"/>
  <c r="AR174" i="1" s="1"/>
  <c r="AS174" i="1" a="1"/>
  <c r="AS174" i="1" s="1"/>
  <c r="AT174" i="1" a="1"/>
  <c r="AT174" i="1" s="1"/>
  <c r="AU174" i="1" a="1"/>
  <c r="AU174" i="1" s="1"/>
  <c r="AV174" i="1" a="1"/>
  <c r="AV174" i="1" s="1"/>
  <c r="AW174" i="1" a="1"/>
  <c r="AW174" i="1" s="1"/>
  <c r="AX174" i="1" a="1"/>
  <c r="AX174" i="1" s="1"/>
  <c r="AY174" i="1" a="1"/>
  <c r="AY174" i="1" s="1"/>
  <c r="AZ174" i="1" a="1"/>
  <c r="AZ174" i="1" s="1"/>
  <c r="BA174" i="1" a="1"/>
  <c r="BA174" i="1" s="1"/>
  <c r="BB174" i="1" a="1"/>
  <c r="BB174" i="1" s="1"/>
  <c r="AL175" i="1" a="1"/>
  <c r="AL175" i="1" s="1"/>
  <c r="AM175" i="1" a="1"/>
  <c r="AM175" i="1" s="1"/>
  <c r="AN175" i="1" a="1"/>
  <c r="AN175" i="1" s="1"/>
  <c r="AO175" i="1" a="1"/>
  <c r="AO175" i="1" s="1"/>
  <c r="AP175" i="1" a="1"/>
  <c r="AP175" i="1" s="1"/>
  <c r="AQ175" i="1" a="1"/>
  <c r="AQ175" i="1" s="1"/>
  <c r="AR175" i="1" a="1"/>
  <c r="AR175" i="1" s="1"/>
  <c r="AS175" i="1" a="1"/>
  <c r="AS175" i="1" s="1"/>
  <c r="AT175" i="1" a="1"/>
  <c r="AT175" i="1" s="1"/>
  <c r="AU175" i="1" a="1"/>
  <c r="AU175" i="1" s="1"/>
  <c r="AV175" i="1" a="1"/>
  <c r="AV175" i="1" s="1"/>
  <c r="AW175" i="1" a="1"/>
  <c r="AW175" i="1" s="1"/>
  <c r="AX175" i="1" a="1"/>
  <c r="AX175" i="1" s="1"/>
  <c r="AY175" i="1" a="1"/>
  <c r="AY175" i="1" s="1"/>
  <c r="AZ175" i="1" a="1"/>
  <c r="AZ175" i="1" s="1"/>
  <c r="BA175" i="1" a="1"/>
  <c r="BA175" i="1" s="1"/>
  <c r="BB175" i="1" a="1"/>
  <c r="BB175" i="1" s="1"/>
  <c r="AL178" i="1" a="1"/>
  <c r="AL178" i="1" s="1"/>
  <c r="AM178" i="1" a="1"/>
  <c r="AM178" i="1" s="1"/>
  <c r="AN178" i="1" a="1"/>
  <c r="AN178" i="1" s="1"/>
  <c r="AO178" i="1" a="1"/>
  <c r="AO178" i="1" s="1"/>
  <c r="AP178" i="1" a="1"/>
  <c r="AP178" i="1" s="1"/>
  <c r="AQ178" i="1" a="1"/>
  <c r="AQ178" i="1" s="1"/>
  <c r="AR178" i="1" a="1"/>
  <c r="AR178" i="1" s="1"/>
  <c r="AS178" i="1" a="1"/>
  <c r="AS178" i="1" s="1"/>
  <c r="AT178" i="1" a="1"/>
  <c r="AT178" i="1" s="1"/>
  <c r="AU178" i="1" a="1"/>
  <c r="AU178" i="1" s="1"/>
  <c r="AV178" i="1" a="1"/>
  <c r="AV178" i="1" s="1"/>
  <c r="AW178" i="1" a="1"/>
  <c r="AW178" i="1" s="1"/>
  <c r="AX178" i="1" a="1"/>
  <c r="AX178" i="1" s="1"/>
  <c r="AY178" i="1" a="1"/>
  <c r="AY178" i="1" s="1"/>
  <c r="AZ178" i="1" a="1"/>
  <c r="AZ178" i="1" s="1"/>
  <c r="BA178" i="1" a="1"/>
  <c r="BA178" i="1" s="1"/>
  <c r="BB178" i="1" a="1"/>
  <c r="BB178" i="1" s="1"/>
  <c r="AL179" i="1" a="1"/>
  <c r="AL179" i="1" s="1"/>
  <c r="AM179" i="1" a="1"/>
  <c r="AM179" i="1" s="1"/>
  <c r="AN179" i="1" a="1"/>
  <c r="AN179" i="1" s="1"/>
  <c r="AO179" i="1" a="1"/>
  <c r="AO179" i="1" s="1"/>
  <c r="AP179" i="1" a="1"/>
  <c r="AP179" i="1" s="1"/>
  <c r="AQ179" i="1" a="1"/>
  <c r="AQ179" i="1" s="1"/>
  <c r="AR179" i="1" a="1"/>
  <c r="AR179" i="1" s="1"/>
  <c r="AS179" i="1" a="1"/>
  <c r="AS179" i="1" s="1"/>
  <c r="AT179" i="1" a="1"/>
  <c r="AT179" i="1" s="1"/>
  <c r="AU179" i="1" a="1"/>
  <c r="AU179" i="1" s="1"/>
  <c r="AV179" i="1" a="1"/>
  <c r="AV179" i="1" s="1"/>
  <c r="AW179" i="1" a="1"/>
  <c r="AW179" i="1" s="1"/>
  <c r="AX179" i="1" a="1"/>
  <c r="AX179" i="1" s="1"/>
  <c r="AY179" i="1" a="1"/>
  <c r="AY179" i="1" s="1"/>
  <c r="AZ179" i="1" a="1"/>
  <c r="AZ179" i="1" s="1"/>
  <c r="BA179" i="1" a="1"/>
  <c r="BA179" i="1" s="1"/>
  <c r="BB179" i="1" a="1"/>
  <c r="BB179" i="1" s="1"/>
  <c r="AL182" i="1" a="1"/>
  <c r="AL182" i="1" s="1"/>
  <c r="AM182" i="1" a="1"/>
  <c r="AM182" i="1" s="1"/>
  <c r="AN182" i="1" a="1"/>
  <c r="AN182" i="1" s="1"/>
  <c r="AO182" i="1" a="1"/>
  <c r="AO182" i="1" s="1"/>
  <c r="AP182" i="1" a="1"/>
  <c r="AP182" i="1" s="1"/>
  <c r="AQ182" i="1" a="1"/>
  <c r="AQ182" i="1" s="1"/>
  <c r="AR182" i="1" a="1"/>
  <c r="AR182" i="1" s="1"/>
  <c r="AS182" i="1" a="1"/>
  <c r="AS182" i="1" s="1"/>
  <c r="AT182" i="1" a="1"/>
  <c r="AT182" i="1" s="1"/>
  <c r="AU182" i="1" a="1"/>
  <c r="AU182" i="1" s="1"/>
  <c r="AV182" i="1" a="1"/>
  <c r="AV182" i="1" s="1"/>
  <c r="AW182" i="1" a="1"/>
  <c r="AW182" i="1" s="1"/>
  <c r="AX182" i="1" a="1"/>
  <c r="AX182" i="1" s="1"/>
  <c r="AY182" i="1" a="1"/>
  <c r="AY182" i="1" s="1"/>
  <c r="AZ182" i="1" a="1"/>
  <c r="AZ182" i="1" s="1"/>
  <c r="BA182" i="1" a="1"/>
  <c r="BA182" i="1" s="1"/>
  <c r="BB182" i="1" a="1"/>
  <c r="BB182" i="1" s="1"/>
  <c r="AL183" i="1" a="1"/>
  <c r="AL183" i="1" s="1"/>
  <c r="AM183" i="1" a="1"/>
  <c r="AM183" i="1" s="1"/>
  <c r="AN183" i="1" a="1"/>
  <c r="AN183" i="1" s="1"/>
  <c r="AO183" i="1" a="1"/>
  <c r="AO183" i="1" s="1"/>
  <c r="AP183" i="1" a="1"/>
  <c r="AP183" i="1" s="1"/>
  <c r="AQ183" i="1" a="1"/>
  <c r="AQ183" i="1" s="1"/>
  <c r="AR183" i="1" a="1"/>
  <c r="AR183" i="1" s="1"/>
  <c r="AS183" i="1" a="1"/>
  <c r="AS183" i="1" s="1"/>
  <c r="AT183" i="1" a="1"/>
  <c r="AT183" i="1" s="1"/>
  <c r="AU183" i="1" a="1"/>
  <c r="AU183" i="1" s="1"/>
  <c r="AV183" i="1" a="1"/>
  <c r="AV183" i="1" s="1"/>
  <c r="AW183" i="1" a="1"/>
  <c r="AW183" i="1" s="1"/>
  <c r="AX183" i="1" a="1"/>
  <c r="AX183" i="1" s="1"/>
  <c r="AY183" i="1" a="1"/>
  <c r="AY183" i="1" s="1"/>
  <c r="AZ183" i="1" a="1"/>
  <c r="AZ183" i="1" s="1"/>
  <c r="BA183" i="1" a="1"/>
  <c r="BA183" i="1" s="1"/>
  <c r="BB183" i="1" a="1"/>
  <c r="BB183" i="1" s="1"/>
  <c r="AL184" i="1" a="1"/>
  <c r="AL184" i="1" s="1"/>
  <c r="AM184" i="1" a="1"/>
  <c r="AM184" i="1" s="1"/>
  <c r="AN184" i="1" a="1"/>
  <c r="AN184" i="1" s="1"/>
  <c r="AO184" i="1" a="1"/>
  <c r="AO184" i="1" s="1"/>
  <c r="AP184" i="1" a="1"/>
  <c r="AP184" i="1" s="1"/>
  <c r="AQ184" i="1" a="1"/>
  <c r="AQ184" i="1" s="1"/>
  <c r="AR184" i="1" a="1"/>
  <c r="AR184" i="1" s="1"/>
  <c r="AS184" i="1" a="1"/>
  <c r="AS184" i="1" s="1"/>
  <c r="AT184" i="1" a="1"/>
  <c r="AT184" i="1" s="1"/>
  <c r="AU184" i="1" a="1"/>
  <c r="AU184" i="1" s="1"/>
  <c r="AV184" i="1" a="1"/>
  <c r="AV184" i="1" s="1"/>
  <c r="AW184" i="1" a="1"/>
  <c r="AW184" i="1" s="1"/>
  <c r="AX184" i="1" a="1"/>
  <c r="AX184" i="1" s="1"/>
  <c r="AY184" i="1" a="1"/>
  <c r="AY184" i="1" s="1"/>
  <c r="AZ184" i="1" a="1"/>
  <c r="AZ184" i="1" s="1"/>
  <c r="BA184" i="1" a="1"/>
  <c r="BA184" i="1" s="1"/>
  <c r="BB184" i="1" a="1"/>
  <c r="BB184" i="1" s="1"/>
  <c r="AL185" i="1" a="1"/>
  <c r="AL185" i="1" s="1"/>
  <c r="AM185" i="1" a="1"/>
  <c r="AM185" i="1" s="1"/>
  <c r="AN185" i="1" a="1"/>
  <c r="AN185" i="1" s="1"/>
  <c r="AO185" i="1" a="1"/>
  <c r="AO185" i="1" s="1"/>
  <c r="AP185" i="1" a="1"/>
  <c r="AP185" i="1" s="1"/>
  <c r="AQ185" i="1" a="1"/>
  <c r="AQ185" i="1" s="1"/>
  <c r="AR185" i="1" a="1"/>
  <c r="AR185" i="1" s="1"/>
  <c r="AS185" i="1" a="1"/>
  <c r="AS185" i="1" s="1"/>
  <c r="AT185" i="1" a="1"/>
  <c r="AT185" i="1" s="1"/>
  <c r="AU185" i="1" a="1"/>
  <c r="AU185" i="1" s="1"/>
  <c r="AV185" i="1" a="1"/>
  <c r="AV185" i="1" s="1"/>
  <c r="AW185" i="1" a="1"/>
  <c r="AW185" i="1" s="1"/>
  <c r="AX185" i="1" a="1"/>
  <c r="AX185" i="1" s="1"/>
  <c r="AY185" i="1" a="1"/>
  <c r="AY185" i="1" s="1"/>
  <c r="AZ185" i="1" a="1"/>
  <c r="AZ185" i="1" s="1"/>
  <c r="BA185" i="1" a="1"/>
  <c r="BA185" i="1" s="1"/>
  <c r="BB185" i="1" a="1"/>
  <c r="BB185" i="1" s="1"/>
  <c r="AL186" i="1" a="1"/>
  <c r="AL186" i="1" s="1"/>
  <c r="AM186" i="1" a="1"/>
  <c r="AM186" i="1" s="1"/>
  <c r="AN186" i="1" a="1"/>
  <c r="AN186" i="1" s="1"/>
  <c r="AO186" i="1" a="1"/>
  <c r="AO186" i="1" s="1"/>
  <c r="AP186" i="1" a="1"/>
  <c r="AP186" i="1" s="1"/>
  <c r="AQ186" i="1" a="1"/>
  <c r="AQ186" i="1" s="1"/>
  <c r="AR186" i="1" a="1"/>
  <c r="AR186" i="1" s="1"/>
  <c r="AS186" i="1" a="1"/>
  <c r="AS186" i="1" s="1"/>
  <c r="AT186" i="1" a="1"/>
  <c r="AT186" i="1" s="1"/>
  <c r="AU186" i="1" a="1"/>
  <c r="AU186" i="1" s="1"/>
  <c r="AV186" i="1" a="1"/>
  <c r="AV186" i="1" s="1"/>
  <c r="AW186" i="1" a="1"/>
  <c r="AW186" i="1" s="1"/>
  <c r="AX186" i="1" a="1"/>
  <c r="AX186" i="1" s="1"/>
  <c r="AY186" i="1" a="1"/>
  <c r="AY186" i="1" s="1"/>
  <c r="AZ186" i="1" a="1"/>
  <c r="AZ186" i="1" s="1"/>
  <c r="BA186" i="1" a="1"/>
  <c r="BA186" i="1" s="1"/>
  <c r="BB186" i="1" a="1"/>
  <c r="BB186" i="1" s="1"/>
  <c r="AL187" i="1" a="1"/>
  <c r="AL187" i="1" s="1"/>
  <c r="AM187" i="1" a="1"/>
  <c r="AM187" i="1" s="1"/>
  <c r="AN187" i="1" a="1"/>
  <c r="AN187" i="1" s="1"/>
  <c r="AO187" i="1" a="1"/>
  <c r="AO187" i="1" s="1"/>
  <c r="AP187" i="1" a="1"/>
  <c r="AP187" i="1" s="1"/>
  <c r="AQ187" i="1" a="1"/>
  <c r="AQ187" i="1" s="1"/>
  <c r="AR187" i="1" a="1"/>
  <c r="AR187" i="1" s="1"/>
  <c r="AS187" i="1" a="1"/>
  <c r="AS187" i="1" s="1"/>
  <c r="AT187" i="1" a="1"/>
  <c r="AT187" i="1" s="1"/>
  <c r="AU187" i="1" a="1"/>
  <c r="AU187" i="1" s="1"/>
  <c r="AV187" i="1" a="1"/>
  <c r="AV187" i="1" s="1"/>
  <c r="AW187" i="1" a="1"/>
  <c r="AW187" i="1" s="1"/>
  <c r="AX187" i="1" a="1"/>
  <c r="AX187" i="1" s="1"/>
  <c r="AY187" i="1" a="1"/>
  <c r="AY187" i="1" s="1"/>
  <c r="AZ187" i="1" a="1"/>
  <c r="AZ187" i="1" s="1"/>
  <c r="BA187" i="1" a="1"/>
  <c r="BA187" i="1" s="1"/>
  <c r="BB187" i="1" a="1"/>
  <c r="BB187" i="1" s="1"/>
  <c r="AL189" i="1" a="1"/>
  <c r="AL189" i="1" s="1"/>
  <c r="AM189" i="1" a="1"/>
  <c r="AM189" i="1" s="1"/>
  <c r="AN189" i="1" a="1"/>
  <c r="AN189" i="1" s="1"/>
  <c r="AO189" i="1" a="1"/>
  <c r="AO189" i="1" s="1"/>
  <c r="AP189" i="1" a="1"/>
  <c r="AP189" i="1" s="1"/>
  <c r="AQ189" i="1" a="1"/>
  <c r="AQ189" i="1" s="1"/>
  <c r="AR189" i="1" a="1"/>
  <c r="AR189" i="1" s="1"/>
  <c r="AS189" i="1" a="1"/>
  <c r="AS189" i="1" s="1"/>
  <c r="AT189" i="1" a="1"/>
  <c r="AT189" i="1" s="1"/>
  <c r="AU189" i="1" a="1"/>
  <c r="AU189" i="1" s="1"/>
  <c r="AV189" i="1" a="1"/>
  <c r="AV189" i="1" s="1"/>
  <c r="AW189" i="1" a="1"/>
  <c r="AW189" i="1" s="1"/>
  <c r="AX189" i="1" a="1"/>
  <c r="AX189" i="1" s="1"/>
  <c r="AY189" i="1" a="1"/>
  <c r="AY189" i="1" s="1"/>
  <c r="AZ189" i="1" a="1"/>
  <c r="AZ189" i="1" s="1"/>
  <c r="BA189" i="1" a="1"/>
  <c r="BA189" i="1" s="1"/>
  <c r="BB189" i="1" a="1"/>
  <c r="BB189" i="1" s="1"/>
  <c r="AL190" i="1" a="1"/>
  <c r="AL190" i="1" s="1"/>
  <c r="AM190" i="1" a="1"/>
  <c r="AM190" i="1" s="1"/>
  <c r="AN190" i="1" a="1"/>
  <c r="AN190" i="1" s="1"/>
  <c r="AO190" i="1" a="1"/>
  <c r="AO190" i="1" s="1"/>
  <c r="AP190" i="1" a="1"/>
  <c r="AP190" i="1" s="1"/>
  <c r="AQ190" i="1" a="1"/>
  <c r="AQ190" i="1" s="1"/>
  <c r="AR190" i="1" a="1"/>
  <c r="AR190" i="1" s="1"/>
  <c r="AS190" i="1" a="1"/>
  <c r="AS190" i="1" s="1"/>
  <c r="AT190" i="1" a="1"/>
  <c r="AT190" i="1" s="1"/>
  <c r="AU190" i="1" a="1"/>
  <c r="AU190" i="1" s="1"/>
  <c r="AV190" i="1" a="1"/>
  <c r="AV190" i="1" s="1"/>
  <c r="AW190" i="1" a="1"/>
  <c r="AW190" i="1" s="1"/>
  <c r="AX190" i="1" a="1"/>
  <c r="AX190" i="1" s="1"/>
  <c r="AY190" i="1" a="1"/>
  <c r="AY190" i="1" s="1"/>
  <c r="AZ190" i="1" a="1"/>
  <c r="AZ190" i="1" s="1"/>
  <c r="BA190" i="1" a="1"/>
  <c r="BA190" i="1" s="1"/>
  <c r="BB190" i="1" a="1"/>
  <c r="BB190" i="1" s="1"/>
  <c r="AL192" i="1" a="1"/>
  <c r="AL192" i="1" s="1"/>
  <c r="AM192" i="1" a="1"/>
  <c r="AM192" i="1" s="1"/>
  <c r="AN192" i="1" a="1"/>
  <c r="AN192" i="1" s="1"/>
  <c r="AO192" i="1" a="1"/>
  <c r="AO192" i="1" s="1"/>
  <c r="AP192" i="1" a="1"/>
  <c r="AP192" i="1" s="1"/>
  <c r="AQ192" i="1" a="1"/>
  <c r="AQ192" i="1" s="1"/>
  <c r="AR192" i="1" a="1"/>
  <c r="AR192" i="1" s="1"/>
  <c r="AS192" i="1" a="1"/>
  <c r="AS192" i="1" s="1"/>
  <c r="AT192" i="1" a="1"/>
  <c r="AT192" i="1" s="1"/>
  <c r="AU192" i="1" a="1"/>
  <c r="AU192" i="1" s="1"/>
  <c r="AV192" i="1" a="1"/>
  <c r="AV192" i="1" s="1"/>
  <c r="AW192" i="1" a="1"/>
  <c r="AW192" i="1" s="1"/>
  <c r="AX192" i="1" a="1"/>
  <c r="AX192" i="1" s="1"/>
  <c r="AY192" i="1" a="1"/>
  <c r="AY192" i="1" s="1"/>
  <c r="AZ192" i="1" a="1"/>
  <c r="AZ192" i="1" s="1"/>
  <c r="BA192" i="1" a="1"/>
  <c r="BA192" i="1" s="1"/>
  <c r="BB192" i="1" a="1"/>
  <c r="BB192" i="1" s="1"/>
  <c r="AL193" i="1" a="1"/>
  <c r="AL193" i="1" s="1"/>
  <c r="AM193" i="1" a="1"/>
  <c r="AM193" i="1" s="1"/>
  <c r="AN193" i="1" a="1"/>
  <c r="AN193" i="1" s="1"/>
  <c r="AO193" i="1" a="1"/>
  <c r="AO193" i="1" s="1"/>
  <c r="AP193" i="1" a="1"/>
  <c r="AP193" i="1" s="1"/>
  <c r="AQ193" i="1" a="1"/>
  <c r="AQ193" i="1" s="1"/>
  <c r="AR193" i="1" a="1"/>
  <c r="AR193" i="1" s="1"/>
  <c r="AS193" i="1" a="1"/>
  <c r="AS193" i="1" s="1"/>
  <c r="AT193" i="1" a="1"/>
  <c r="AT193" i="1" s="1"/>
  <c r="AU193" i="1" a="1"/>
  <c r="AU193" i="1" s="1"/>
  <c r="AV193" i="1" a="1"/>
  <c r="AV193" i="1" s="1"/>
  <c r="AW193" i="1" a="1"/>
  <c r="AW193" i="1" s="1"/>
  <c r="AX193" i="1" a="1"/>
  <c r="AX193" i="1" s="1"/>
  <c r="AY193" i="1" a="1"/>
  <c r="AY193" i="1" s="1"/>
  <c r="AZ193" i="1" a="1"/>
  <c r="AZ193" i="1" s="1"/>
  <c r="BA193" i="1" a="1"/>
  <c r="BA193" i="1" s="1"/>
  <c r="BB193" i="1" a="1"/>
  <c r="BB193" i="1" s="1"/>
  <c r="AL194" i="1" a="1"/>
  <c r="AL194" i="1" s="1"/>
  <c r="AM194" i="1" a="1"/>
  <c r="AM194" i="1" s="1"/>
  <c r="AN194" i="1" a="1"/>
  <c r="AN194" i="1" s="1"/>
  <c r="AO194" i="1" a="1"/>
  <c r="AO194" i="1" s="1"/>
  <c r="AP194" i="1" a="1"/>
  <c r="AP194" i="1" s="1"/>
  <c r="AQ194" i="1" a="1"/>
  <c r="AQ194" i="1" s="1"/>
  <c r="AR194" i="1" a="1"/>
  <c r="AR194" i="1" s="1"/>
  <c r="AS194" i="1" a="1"/>
  <c r="AS194" i="1" s="1"/>
  <c r="AT194" i="1" a="1"/>
  <c r="AT194" i="1" s="1"/>
  <c r="AU194" i="1" a="1"/>
  <c r="AU194" i="1" s="1"/>
  <c r="AV194" i="1" a="1"/>
  <c r="AV194" i="1" s="1"/>
  <c r="AW194" i="1" a="1"/>
  <c r="AW194" i="1" s="1"/>
  <c r="AX194" i="1" a="1"/>
  <c r="AX194" i="1" s="1"/>
  <c r="AY194" i="1" a="1"/>
  <c r="AY194" i="1" s="1"/>
  <c r="AZ194" i="1" a="1"/>
  <c r="AZ194" i="1" s="1"/>
  <c r="BA194" i="1" a="1"/>
  <c r="BA194" i="1" s="1"/>
  <c r="BB194" i="1" a="1"/>
  <c r="BB194" i="1" s="1"/>
  <c r="AL197" i="1" a="1"/>
  <c r="AL197" i="1" s="1"/>
  <c r="AM197" i="1" a="1"/>
  <c r="AM197" i="1" s="1"/>
  <c r="AN197" i="1" a="1"/>
  <c r="AN197" i="1" s="1"/>
  <c r="AO197" i="1" a="1"/>
  <c r="AO197" i="1" s="1"/>
  <c r="AP197" i="1" a="1"/>
  <c r="AP197" i="1" s="1"/>
  <c r="AQ197" i="1" a="1"/>
  <c r="AQ197" i="1" s="1"/>
  <c r="AR197" i="1" a="1"/>
  <c r="AR197" i="1" s="1"/>
  <c r="AS197" i="1" a="1"/>
  <c r="AS197" i="1" s="1"/>
  <c r="AT197" i="1" a="1"/>
  <c r="AT197" i="1" s="1"/>
  <c r="AU197" i="1" a="1"/>
  <c r="AU197" i="1" s="1"/>
  <c r="AV197" i="1" a="1"/>
  <c r="AV197" i="1" s="1"/>
  <c r="AW197" i="1" a="1"/>
  <c r="AW197" i="1" s="1"/>
  <c r="AX197" i="1" a="1"/>
  <c r="AX197" i="1" s="1"/>
  <c r="AY197" i="1" a="1"/>
  <c r="AY197" i="1" s="1"/>
  <c r="AZ197" i="1" a="1"/>
  <c r="AZ197" i="1" s="1"/>
  <c r="BA197" i="1" a="1"/>
  <c r="BA197" i="1" s="1"/>
  <c r="BB197" i="1" a="1"/>
  <c r="BB197" i="1" s="1"/>
  <c r="AL198" i="1" a="1"/>
  <c r="AL198" i="1" s="1"/>
  <c r="AM198" i="1" a="1"/>
  <c r="AM198" i="1" s="1"/>
  <c r="AN198" i="1" a="1"/>
  <c r="AN198" i="1" s="1"/>
  <c r="AO198" i="1" a="1"/>
  <c r="AO198" i="1" s="1"/>
  <c r="AP198" i="1" a="1"/>
  <c r="AP198" i="1" s="1"/>
  <c r="AQ198" i="1" a="1"/>
  <c r="AQ198" i="1" s="1"/>
  <c r="AR198" i="1" a="1"/>
  <c r="AR198" i="1" s="1"/>
  <c r="AS198" i="1" a="1"/>
  <c r="AS198" i="1" s="1"/>
  <c r="AT198" i="1" a="1"/>
  <c r="AT198" i="1" s="1"/>
  <c r="AU198" i="1" a="1"/>
  <c r="AU198" i="1" s="1"/>
  <c r="AV198" i="1" a="1"/>
  <c r="AV198" i="1" s="1"/>
  <c r="AW198" i="1" a="1"/>
  <c r="AW198" i="1" s="1"/>
  <c r="AX198" i="1" a="1"/>
  <c r="AX198" i="1" s="1"/>
  <c r="AY198" i="1" a="1"/>
  <c r="AY198" i="1" s="1"/>
  <c r="AZ198" i="1" a="1"/>
  <c r="AZ198" i="1" s="1"/>
  <c r="BA198" i="1" a="1"/>
  <c r="BA198" i="1" s="1"/>
  <c r="BB198" i="1" a="1"/>
  <c r="BB198" i="1" s="1"/>
  <c r="AL199" i="1" a="1"/>
  <c r="AL199" i="1" s="1"/>
  <c r="AM199" i="1" a="1"/>
  <c r="AM199" i="1" s="1"/>
  <c r="AN199" i="1" a="1"/>
  <c r="AN199" i="1" s="1"/>
  <c r="AO199" i="1" a="1"/>
  <c r="AO199" i="1" s="1"/>
  <c r="AP199" i="1" a="1"/>
  <c r="AP199" i="1" s="1"/>
  <c r="AQ199" i="1" a="1"/>
  <c r="AQ199" i="1" s="1"/>
  <c r="AR199" i="1" a="1"/>
  <c r="AR199" i="1" s="1"/>
  <c r="AS199" i="1" a="1"/>
  <c r="AS199" i="1" s="1"/>
  <c r="AT199" i="1" a="1"/>
  <c r="AT199" i="1" s="1"/>
  <c r="AU199" i="1" a="1"/>
  <c r="AU199" i="1" s="1"/>
  <c r="AV199" i="1" a="1"/>
  <c r="AV199" i="1" s="1"/>
  <c r="AW199" i="1" a="1"/>
  <c r="AW199" i="1" s="1"/>
  <c r="AX199" i="1" a="1"/>
  <c r="AX199" i="1" s="1"/>
  <c r="AY199" i="1" a="1"/>
  <c r="AY199" i="1" s="1"/>
  <c r="AZ199" i="1" a="1"/>
  <c r="AZ199" i="1" s="1"/>
  <c r="BA199" i="1" a="1"/>
  <c r="BA199" i="1" s="1"/>
  <c r="BB199" i="1" a="1"/>
  <c r="BB199" i="1" s="1"/>
  <c r="AL200" i="1" a="1"/>
  <c r="AL200" i="1" s="1"/>
  <c r="AM200" i="1" a="1"/>
  <c r="AM200" i="1" s="1"/>
  <c r="AN200" i="1" a="1"/>
  <c r="AN200" i="1" s="1"/>
  <c r="AO200" i="1" a="1"/>
  <c r="AO200" i="1" s="1"/>
  <c r="AP200" i="1" a="1"/>
  <c r="AP200" i="1" s="1"/>
  <c r="AQ200" i="1" a="1"/>
  <c r="AQ200" i="1" s="1"/>
  <c r="AR200" i="1" a="1"/>
  <c r="AR200" i="1" s="1"/>
  <c r="AS200" i="1" a="1"/>
  <c r="AS200" i="1" s="1"/>
  <c r="AT200" i="1" a="1"/>
  <c r="AT200" i="1" s="1"/>
  <c r="AU200" i="1" a="1"/>
  <c r="AU200" i="1" s="1"/>
  <c r="AV200" i="1" a="1"/>
  <c r="AV200" i="1" s="1"/>
  <c r="AW200" i="1" a="1"/>
  <c r="AW200" i="1" s="1"/>
  <c r="AX200" i="1" a="1"/>
  <c r="AX200" i="1" s="1"/>
  <c r="AY200" i="1" a="1"/>
  <c r="AY200" i="1" s="1"/>
  <c r="AZ200" i="1" a="1"/>
  <c r="AZ200" i="1" s="1"/>
  <c r="BA200" i="1" a="1"/>
  <c r="BA200" i="1" s="1"/>
  <c r="BB200" i="1" a="1"/>
  <c r="BB200" i="1" s="1"/>
  <c r="AL201" i="1" a="1"/>
  <c r="AL201" i="1" s="1"/>
  <c r="AM201" i="1" a="1"/>
  <c r="AM201" i="1" s="1"/>
  <c r="AN201" i="1" a="1"/>
  <c r="AN201" i="1" s="1"/>
  <c r="AO201" i="1" a="1"/>
  <c r="AO201" i="1" s="1"/>
  <c r="AP201" i="1" a="1"/>
  <c r="AP201" i="1" s="1"/>
  <c r="AQ201" i="1" a="1"/>
  <c r="AQ201" i="1" s="1"/>
  <c r="AR201" i="1" a="1"/>
  <c r="AR201" i="1" s="1"/>
  <c r="AS201" i="1" a="1"/>
  <c r="AS201" i="1" s="1"/>
  <c r="AT201" i="1" a="1"/>
  <c r="AT201" i="1" s="1"/>
  <c r="AU201" i="1" a="1"/>
  <c r="AU201" i="1" s="1"/>
  <c r="AV201" i="1" a="1"/>
  <c r="AV201" i="1" s="1"/>
  <c r="AW201" i="1" a="1"/>
  <c r="AW201" i="1" s="1"/>
  <c r="AX201" i="1" a="1"/>
  <c r="AX201" i="1" s="1"/>
  <c r="AY201" i="1" a="1"/>
  <c r="AY201" i="1" s="1"/>
  <c r="AZ201" i="1" a="1"/>
  <c r="AZ201" i="1" s="1"/>
  <c r="BA201" i="1" a="1"/>
  <c r="BA201" i="1" s="1"/>
  <c r="BB201" i="1" a="1"/>
  <c r="BB201" i="1" s="1"/>
  <c r="AL202" i="1" a="1"/>
  <c r="AL202" i="1" s="1"/>
  <c r="AM202" i="1" a="1"/>
  <c r="AM202" i="1" s="1"/>
  <c r="AN202" i="1" a="1"/>
  <c r="AN202" i="1" s="1"/>
  <c r="AO202" i="1" a="1"/>
  <c r="AO202" i="1" s="1"/>
  <c r="AP202" i="1" a="1"/>
  <c r="AP202" i="1" s="1"/>
  <c r="AQ202" i="1" a="1"/>
  <c r="AQ202" i="1" s="1"/>
  <c r="AR202" i="1" a="1"/>
  <c r="AR202" i="1" s="1"/>
  <c r="AS202" i="1" a="1"/>
  <c r="AS202" i="1" s="1"/>
  <c r="AT202" i="1" a="1"/>
  <c r="AT202" i="1" s="1"/>
  <c r="AU202" i="1" a="1"/>
  <c r="AU202" i="1" s="1"/>
  <c r="AV202" i="1" a="1"/>
  <c r="AV202" i="1" s="1"/>
  <c r="AW202" i="1" a="1"/>
  <c r="AW202" i="1" s="1"/>
  <c r="AX202" i="1" a="1"/>
  <c r="AX202" i="1" s="1"/>
  <c r="AY202" i="1" a="1"/>
  <c r="AY202" i="1" s="1"/>
  <c r="AZ202" i="1" a="1"/>
  <c r="AZ202" i="1" s="1"/>
  <c r="BA202" i="1" a="1"/>
  <c r="BA202" i="1" s="1"/>
  <c r="BB202" i="1" a="1"/>
  <c r="BB202" i="1" s="1"/>
  <c r="AL203" i="1" a="1"/>
  <c r="AL203" i="1" s="1"/>
  <c r="AM203" i="1" a="1"/>
  <c r="AM203" i="1" s="1"/>
  <c r="AN203" i="1" a="1"/>
  <c r="AN203" i="1" s="1"/>
  <c r="AO203" i="1" a="1"/>
  <c r="AO203" i="1" s="1"/>
  <c r="AP203" i="1" a="1"/>
  <c r="AP203" i="1" s="1"/>
  <c r="AQ203" i="1" a="1"/>
  <c r="AQ203" i="1" s="1"/>
  <c r="AR203" i="1" a="1"/>
  <c r="AR203" i="1" s="1"/>
  <c r="AS203" i="1" a="1"/>
  <c r="AS203" i="1" s="1"/>
  <c r="AT203" i="1" a="1"/>
  <c r="AT203" i="1" s="1"/>
  <c r="AU203" i="1" a="1"/>
  <c r="AU203" i="1" s="1"/>
  <c r="AV203" i="1" a="1"/>
  <c r="AV203" i="1" s="1"/>
  <c r="AW203" i="1" a="1"/>
  <c r="AW203" i="1" s="1"/>
  <c r="AX203" i="1" a="1"/>
  <c r="AX203" i="1" s="1"/>
  <c r="AY203" i="1" a="1"/>
  <c r="AY203" i="1" s="1"/>
  <c r="AZ203" i="1" a="1"/>
  <c r="AZ203" i="1" s="1"/>
  <c r="BA203" i="1" a="1"/>
  <c r="BA203" i="1" s="1"/>
  <c r="BB203" i="1" a="1"/>
  <c r="BB203" i="1" s="1"/>
  <c r="AL204" i="1" a="1"/>
  <c r="AL204" i="1" s="1"/>
  <c r="AM204" i="1" a="1"/>
  <c r="AM204" i="1" s="1"/>
  <c r="AN204" i="1" a="1"/>
  <c r="AN204" i="1" s="1"/>
  <c r="AO204" i="1" a="1"/>
  <c r="AO204" i="1" s="1"/>
  <c r="AP204" i="1" a="1"/>
  <c r="AP204" i="1" s="1"/>
  <c r="AQ204" i="1" a="1"/>
  <c r="AQ204" i="1" s="1"/>
  <c r="AR204" i="1" a="1"/>
  <c r="AR204" i="1" s="1"/>
  <c r="AS204" i="1" a="1"/>
  <c r="AS204" i="1" s="1"/>
  <c r="AT204" i="1" a="1"/>
  <c r="AT204" i="1" s="1"/>
  <c r="AU204" i="1" a="1"/>
  <c r="AU204" i="1" s="1"/>
  <c r="AV204" i="1" a="1"/>
  <c r="AV204" i="1" s="1"/>
  <c r="AW204" i="1" a="1"/>
  <c r="AW204" i="1" s="1"/>
  <c r="AX204" i="1" a="1"/>
  <c r="AX204" i="1" s="1"/>
  <c r="AY204" i="1" a="1"/>
  <c r="AY204" i="1" s="1"/>
  <c r="AZ204" i="1" a="1"/>
  <c r="AZ204" i="1" s="1"/>
  <c r="BA204" i="1" a="1"/>
  <c r="BA204" i="1" s="1"/>
  <c r="BB204" i="1" a="1"/>
  <c r="BB204" i="1" s="1"/>
  <c r="AL205" i="1" a="1"/>
  <c r="AL205" i="1" s="1"/>
  <c r="AM205" i="1" a="1"/>
  <c r="AM205" i="1" s="1"/>
  <c r="AN205" i="1" a="1"/>
  <c r="AN205" i="1" s="1"/>
  <c r="AO205" i="1" a="1"/>
  <c r="AO205" i="1" s="1"/>
  <c r="AP205" i="1" a="1"/>
  <c r="AP205" i="1" s="1"/>
  <c r="AQ205" i="1" a="1"/>
  <c r="AQ205" i="1" s="1"/>
  <c r="AR205" i="1" a="1"/>
  <c r="AR205" i="1" s="1"/>
  <c r="AS205" i="1" a="1"/>
  <c r="AS205" i="1" s="1"/>
  <c r="AT205" i="1" a="1"/>
  <c r="AT205" i="1" s="1"/>
  <c r="AU205" i="1" a="1"/>
  <c r="AU205" i="1" s="1"/>
  <c r="AV205" i="1" a="1"/>
  <c r="AV205" i="1" s="1"/>
  <c r="AW205" i="1" a="1"/>
  <c r="AW205" i="1" s="1"/>
  <c r="AX205" i="1" a="1"/>
  <c r="AX205" i="1" s="1"/>
  <c r="AY205" i="1" a="1"/>
  <c r="AY205" i="1" s="1"/>
  <c r="AZ205" i="1" a="1"/>
  <c r="AZ205" i="1" s="1"/>
  <c r="BA205" i="1" a="1"/>
  <c r="BA205" i="1" s="1"/>
  <c r="BB205" i="1" a="1"/>
  <c r="BB205" i="1" s="1"/>
  <c r="AL206" i="1" a="1"/>
  <c r="AL206" i="1" s="1"/>
  <c r="AM206" i="1" a="1"/>
  <c r="AM206" i="1" s="1"/>
  <c r="AN206" i="1" a="1"/>
  <c r="AN206" i="1" s="1"/>
  <c r="AO206" i="1" a="1"/>
  <c r="AO206" i="1" s="1"/>
  <c r="AP206" i="1" a="1"/>
  <c r="AP206" i="1" s="1"/>
  <c r="AQ206" i="1" a="1"/>
  <c r="AQ206" i="1" s="1"/>
  <c r="AR206" i="1" a="1"/>
  <c r="AR206" i="1" s="1"/>
  <c r="AS206" i="1" a="1"/>
  <c r="AS206" i="1" s="1"/>
  <c r="AT206" i="1" a="1"/>
  <c r="AT206" i="1" s="1"/>
  <c r="AU206" i="1" a="1"/>
  <c r="AU206" i="1" s="1"/>
  <c r="AV206" i="1" a="1"/>
  <c r="AV206" i="1" s="1"/>
  <c r="AW206" i="1" a="1"/>
  <c r="AW206" i="1" s="1"/>
  <c r="AX206" i="1" a="1"/>
  <c r="AX206" i="1" s="1"/>
  <c r="AY206" i="1" a="1"/>
  <c r="AY206" i="1" s="1"/>
  <c r="AZ206" i="1" a="1"/>
  <c r="AZ206" i="1" s="1"/>
  <c r="BA206" i="1" a="1"/>
  <c r="BA206" i="1" s="1"/>
  <c r="BB206" i="1" a="1"/>
  <c r="BB206" i="1" s="1"/>
  <c r="AL207" i="1" a="1"/>
  <c r="AL207" i="1" s="1"/>
  <c r="AM207" i="1" a="1"/>
  <c r="AM207" i="1" s="1"/>
  <c r="AN207" i="1" a="1"/>
  <c r="AN207" i="1" s="1"/>
  <c r="AO207" i="1" a="1"/>
  <c r="AO207" i="1" s="1"/>
  <c r="AP207" i="1" a="1"/>
  <c r="AP207" i="1" s="1"/>
  <c r="AQ207" i="1" a="1"/>
  <c r="AQ207" i="1" s="1"/>
  <c r="AR207" i="1" a="1"/>
  <c r="AR207" i="1" s="1"/>
  <c r="AS207" i="1" a="1"/>
  <c r="AS207" i="1" s="1"/>
  <c r="AT207" i="1" a="1"/>
  <c r="AT207" i="1" s="1"/>
  <c r="AU207" i="1" a="1"/>
  <c r="AU207" i="1" s="1"/>
  <c r="AV207" i="1" a="1"/>
  <c r="AV207" i="1" s="1"/>
  <c r="AW207" i="1" a="1"/>
  <c r="AW207" i="1" s="1"/>
  <c r="AX207" i="1" a="1"/>
  <c r="AX207" i="1" s="1"/>
  <c r="AY207" i="1" a="1"/>
  <c r="AY207" i="1" s="1"/>
  <c r="AZ207" i="1" a="1"/>
  <c r="AZ207" i="1" s="1"/>
  <c r="BA207" i="1" a="1"/>
  <c r="BA207" i="1" s="1"/>
  <c r="BB207" i="1" a="1"/>
  <c r="BB207" i="1" s="1"/>
  <c r="AL208" i="1" a="1"/>
  <c r="AL208" i="1" s="1"/>
  <c r="AM208" i="1" a="1"/>
  <c r="AM208" i="1" s="1"/>
  <c r="AN208" i="1" a="1"/>
  <c r="AN208" i="1" s="1"/>
  <c r="AO208" i="1" a="1"/>
  <c r="AO208" i="1" s="1"/>
  <c r="AP208" i="1" a="1"/>
  <c r="AP208" i="1" s="1"/>
  <c r="AQ208" i="1" a="1"/>
  <c r="AQ208" i="1" s="1"/>
  <c r="AR208" i="1" a="1"/>
  <c r="AR208" i="1" s="1"/>
  <c r="AS208" i="1" a="1"/>
  <c r="AS208" i="1" s="1"/>
  <c r="AT208" i="1" a="1"/>
  <c r="AT208" i="1" s="1"/>
  <c r="AU208" i="1" a="1"/>
  <c r="AU208" i="1" s="1"/>
  <c r="AV208" i="1" a="1"/>
  <c r="AV208" i="1" s="1"/>
  <c r="AW208" i="1" a="1"/>
  <c r="AW208" i="1" s="1"/>
  <c r="AX208" i="1" a="1"/>
  <c r="AX208" i="1" s="1"/>
  <c r="AY208" i="1" a="1"/>
  <c r="AY208" i="1" s="1"/>
  <c r="AZ208" i="1" a="1"/>
  <c r="AZ208" i="1" s="1"/>
  <c r="BA208" i="1" a="1"/>
  <c r="BA208" i="1" s="1"/>
  <c r="BB208" i="1" a="1"/>
  <c r="BB208" i="1" s="1"/>
  <c r="AL210" i="1" a="1"/>
  <c r="AL210" i="1" s="1"/>
  <c r="AM210" i="1" a="1"/>
  <c r="AM210" i="1" s="1"/>
  <c r="AN210" i="1" a="1"/>
  <c r="AN210" i="1" s="1"/>
  <c r="AO210" i="1" a="1"/>
  <c r="AO210" i="1" s="1"/>
  <c r="AP210" i="1" a="1"/>
  <c r="AP210" i="1" s="1"/>
  <c r="AQ210" i="1" a="1"/>
  <c r="AQ210" i="1" s="1"/>
  <c r="AR210" i="1" a="1"/>
  <c r="AR210" i="1" s="1"/>
  <c r="AS210" i="1" a="1"/>
  <c r="AS210" i="1" s="1"/>
  <c r="AT210" i="1" a="1"/>
  <c r="AT210" i="1" s="1"/>
  <c r="AU210" i="1" a="1"/>
  <c r="AU210" i="1" s="1"/>
  <c r="AV210" i="1" a="1"/>
  <c r="AV210" i="1" s="1"/>
  <c r="AW210" i="1" a="1"/>
  <c r="AW210" i="1" s="1"/>
  <c r="AX210" i="1" a="1"/>
  <c r="AX210" i="1" s="1"/>
  <c r="AY210" i="1" a="1"/>
  <c r="AY210" i="1" s="1"/>
  <c r="AZ210" i="1" a="1"/>
  <c r="AZ210" i="1" s="1"/>
  <c r="BA210" i="1" a="1"/>
  <c r="BA210" i="1" s="1"/>
  <c r="BB210" i="1" a="1"/>
  <c r="BB210" i="1" s="1"/>
  <c r="AL211" i="1" a="1"/>
  <c r="AL211" i="1" s="1"/>
  <c r="AM211" i="1" a="1"/>
  <c r="AM211" i="1" s="1"/>
  <c r="AN211" i="1" a="1"/>
  <c r="AN211" i="1" s="1"/>
  <c r="AO211" i="1" a="1"/>
  <c r="AO211" i="1" s="1"/>
  <c r="AP211" i="1" a="1"/>
  <c r="AP211" i="1" s="1"/>
  <c r="AQ211" i="1" a="1"/>
  <c r="AQ211" i="1" s="1"/>
  <c r="AR211" i="1" a="1"/>
  <c r="AR211" i="1" s="1"/>
  <c r="AS211" i="1" a="1"/>
  <c r="AS211" i="1" s="1"/>
  <c r="AT211" i="1" a="1"/>
  <c r="AT211" i="1" s="1"/>
  <c r="AU211" i="1" a="1"/>
  <c r="AU211" i="1" s="1"/>
  <c r="AV211" i="1" a="1"/>
  <c r="AV211" i="1" s="1"/>
  <c r="AW211" i="1" a="1"/>
  <c r="AW211" i="1" s="1"/>
  <c r="AX211" i="1" a="1"/>
  <c r="AX211" i="1" s="1"/>
  <c r="AY211" i="1" a="1"/>
  <c r="AY211" i="1" s="1"/>
  <c r="AZ211" i="1" a="1"/>
  <c r="AZ211" i="1" s="1"/>
  <c r="BA211" i="1" a="1"/>
  <c r="BA211" i="1" s="1"/>
  <c r="BB211" i="1" a="1"/>
  <c r="BB211" i="1" s="1"/>
  <c r="AL212" i="1" a="1"/>
  <c r="AL212" i="1" s="1"/>
  <c r="AM212" i="1" a="1"/>
  <c r="AM212" i="1" s="1"/>
  <c r="AN212" i="1" a="1"/>
  <c r="AN212" i="1" s="1"/>
  <c r="AO212" i="1" a="1"/>
  <c r="AO212" i="1" s="1"/>
  <c r="AP212" i="1" a="1"/>
  <c r="AP212" i="1" s="1"/>
  <c r="AQ212" i="1" a="1"/>
  <c r="AQ212" i="1" s="1"/>
  <c r="AR212" i="1" a="1"/>
  <c r="AR212" i="1" s="1"/>
  <c r="AS212" i="1" a="1"/>
  <c r="AS212" i="1" s="1"/>
  <c r="AT212" i="1" a="1"/>
  <c r="AT212" i="1" s="1"/>
  <c r="AU212" i="1" a="1"/>
  <c r="AU212" i="1" s="1"/>
  <c r="AV212" i="1" a="1"/>
  <c r="AV212" i="1" s="1"/>
  <c r="AW212" i="1" a="1"/>
  <c r="AW212" i="1" s="1"/>
  <c r="AX212" i="1" a="1"/>
  <c r="AX212" i="1" s="1"/>
  <c r="AY212" i="1" a="1"/>
  <c r="AY212" i="1" s="1"/>
  <c r="AZ212" i="1" a="1"/>
  <c r="AZ212" i="1" s="1"/>
  <c r="BA212" i="1" a="1"/>
  <c r="BA212" i="1" s="1"/>
  <c r="BB212" i="1" a="1"/>
  <c r="BB212" i="1" s="1"/>
  <c r="AL213" i="1" a="1"/>
  <c r="AL213" i="1" s="1"/>
  <c r="AM213" i="1" a="1"/>
  <c r="AM213" i="1" s="1"/>
  <c r="AN213" i="1" a="1"/>
  <c r="AN213" i="1" s="1"/>
  <c r="AO213" i="1" a="1"/>
  <c r="AO213" i="1" s="1"/>
  <c r="AP213" i="1" a="1"/>
  <c r="AP213" i="1" s="1"/>
  <c r="AQ213" i="1" a="1"/>
  <c r="AQ213" i="1" s="1"/>
  <c r="AR213" i="1" a="1"/>
  <c r="AR213" i="1" s="1"/>
  <c r="AS213" i="1" a="1"/>
  <c r="AS213" i="1" s="1"/>
  <c r="AT213" i="1" a="1"/>
  <c r="AT213" i="1" s="1"/>
  <c r="AU213" i="1" a="1"/>
  <c r="AU213" i="1" s="1"/>
  <c r="AV213" i="1" a="1"/>
  <c r="AV213" i="1" s="1"/>
  <c r="AW213" i="1" a="1"/>
  <c r="AW213" i="1" s="1"/>
  <c r="AX213" i="1" a="1"/>
  <c r="AX213" i="1" s="1"/>
  <c r="AY213" i="1" a="1"/>
  <c r="AY213" i="1" s="1"/>
  <c r="AZ213" i="1" a="1"/>
  <c r="AZ213" i="1" s="1"/>
  <c r="BA213" i="1" a="1"/>
  <c r="BA213" i="1" s="1"/>
  <c r="BB213" i="1" a="1"/>
  <c r="BB213" i="1" s="1"/>
  <c r="AL216" i="1" a="1"/>
  <c r="AL216" i="1" s="1"/>
  <c r="AM216" i="1" a="1"/>
  <c r="AM216" i="1" s="1"/>
  <c r="AN216" i="1" a="1"/>
  <c r="AN216" i="1" s="1"/>
  <c r="AO216" i="1" a="1"/>
  <c r="AO216" i="1" s="1"/>
  <c r="AP216" i="1" a="1"/>
  <c r="AP216" i="1" s="1"/>
  <c r="AQ216" i="1" a="1"/>
  <c r="AQ216" i="1" s="1"/>
  <c r="AR216" i="1" a="1"/>
  <c r="AR216" i="1" s="1"/>
  <c r="AS216" i="1" a="1"/>
  <c r="AS216" i="1" s="1"/>
  <c r="AT216" i="1" a="1"/>
  <c r="AT216" i="1" s="1"/>
  <c r="AU216" i="1" a="1"/>
  <c r="AU216" i="1" s="1"/>
  <c r="AV216" i="1" a="1"/>
  <c r="AV216" i="1" s="1"/>
  <c r="AW216" i="1" a="1"/>
  <c r="AW216" i="1" s="1"/>
  <c r="AX216" i="1" a="1"/>
  <c r="AX216" i="1" s="1"/>
  <c r="AY216" i="1" a="1"/>
  <c r="AY216" i="1" s="1"/>
  <c r="AZ216" i="1" a="1"/>
  <c r="AZ216" i="1" s="1"/>
  <c r="BA216" i="1" a="1"/>
  <c r="BA216" i="1" s="1"/>
  <c r="BB216" i="1" a="1"/>
  <c r="BB216" i="1" s="1"/>
  <c r="AL217" i="1" a="1"/>
  <c r="AL217" i="1" s="1"/>
  <c r="AM217" i="1" a="1"/>
  <c r="AM217" i="1" s="1"/>
  <c r="AN217" i="1" a="1"/>
  <c r="AN217" i="1" s="1"/>
  <c r="AO217" i="1" a="1"/>
  <c r="AO217" i="1" s="1"/>
  <c r="AP217" i="1" a="1"/>
  <c r="AP217" i="1" s="1"/>
  <c r="AQ217" i="1" a="1"/>
  <c r="AQ217" i="1" s="1"/>
  <c r="AR217" i="1" a="1"/>
  <c r="AR217" i="1" s="1"/>
  <c r="AS217" i="1" a="1"/>
  <c r="AS217" i="1" s="1"/>
  <c r="AT217" i="1" a="1"/>
  <c r="AT217" i="1" s="1"/>
  <c r="AU217" i="1" a="1"/>
  <c r="AU217" i="1" s="1"/>
  <c r="AV217" i="1" a="1"/>
  <c r="AV217" i="1" s="1"/>
  <c r="AW217" i="1" a="1"/>
  <c r="AW217" i="1" s="1"/>
  <c r="AX217" i="1" a="1"/>
  <c r="AX217" i="1" s="1"/>
  <c r="AY217" i="1" a="1"/>
  <c r="AY217" i="1" s="1"/>
  <c r="AZ217" i="1" a="1"/>
  <c r="AZ217" i="1" s="1"/>
  <c r="BA217" i="1" a="1"/>
  <c r="BA217" i="1" s="1"/>
  <c r="BB217" i="1" a="1"/>
  <c r="BB217" i="1" s="1"/>
  <c r="AL221" i="1" a="1"/>
  <c r="AL221" i="1" s="1"/>
  <c r="AM221" i="1" a="1"/>
  <c r="AM221" i="1" s="1"/>
  <c r="AN221" i="1" a="1"/>
  <c r="AN221" i="1" s="1"/>
  <c r="AO221" i="1" a="1"/>
  <c r="AO221" i="1" s="1"/>
  <c r="AP221" i="1" a="1"/>
  <c r="AP221" i="1" s="1"/>
  <c r="AQ221" i="1" a="1"/>
  <c r="AQ221" i="1" s="1"/>
  <c r="AR221" i="1" a="1"/>
  <c r="AR221" i="1" s="1"/>
  <c r="AS221" i="1" a="1"/>
  <c r="AS221" i="1" s="1"/>
  <c r="AT221" i="1" a="1"/>
  <c r="AT221" i="1" s="1"/>
  <c r="AU221" i="1" a="1"/>
  <c r="AU221" i="1" s="1"/>
  <c r="AV221" i="1" a="1"/>
  <c r="AV221" i="1" s="1"/>
  <c r="AW221" i="1" a="1"/>
  <c r="AW221" i="1" s="1"/>
  <c r="AX221" i="1" a="1"/>
  <c r="AX221" i="1" s="1"/>
  <c r="AY221" i="1" a="1"/>
  <c r="AY221" i="1" s="1"/>
  <c r="AZ221" i="1" a="1"/>
  <c r="AZ221" i="1" s="1"/>
  <c r="BA221" i="1" a="1"/>
  <c r="BA221" i="1" s="1"/>
  <c r="BB221" i="1" a="1"/>
  <c r="BB221" i="1" s="1"/>
  <c r="AL223" i="1" a="1"/>
  <c r="AL223" i="1" s="1"/>
  <c r="AM223" i="1" a="1"/>
  <c r="AM223" i="1" s="1"/>
  <c r="AN223" i="1" a="1"/>
  <c r="AN223" i="1" s="1"/>
  <c r="AO223" i="1" a="1"/>
  <c r="AO223" i="1" s="1"/>
  <c r="AP223" i="1" a="1"/>
  <c r="AP223" i="1" s="1"/>
  <c r="AQ223" i="1" a="1"/>
  <c r="AQ223" i="1" s="1"/>
  <c r="AR223" i="1" a="1"/>
  <c r="AR223" i="1" s="1"/>
  <c r="AS223" i="1" a="1"/>
  <c r="AS223" i="1" s="1"/>
  <c r="AT223" i="1" a="1"/>
  <c r="AT223" i="1" s="1"/>
  <c r="AU223" i="1" a="1"/>
  <c r="AU223" i="1" s="1"/>
  <c r="AV223" i="1" a="1"/>
  <c r="AV223" i="1" s="1"/>
  <c r="AW223" i="1" a="1"/>
  <c r="AW223" i="1" s="1"/>
  <c r="AX223" i="1" a="1"/>
  <c r="AX223" i="1" s="1"/>
  <c r="AY223" i="1" a="1"/>
  <c r="AY223" i="1" s="1"/>
  <c r="AZ223" i="1" a="1"/>
  <c r="AZ223" i="1" s="1"/>
  <c r="BA223" i="1" a="1"/>
  <c r="BA223" i="1" s="1"/>
  <c r="BB223" i="1" a="1"/>
  <c r="BB223" i="1" s="1"/>
  <c r="AL224" i="1" a="1"/>
  <c r="AL224" i="1" s="1"/>
  <c r="AM224" i="1" a="1"/>
  <c r="AM224" i="1" s="1"/>
  <c r="AN224" i="1" a="1"/>
  <c r="AN224" i="1" s="1"/>
  <c r="AO224" i="1" a="1"/>
  <c r="AO224" i="1" s="1"/>
  <c r="AP224" i="1" a="1"/>
  <c r="AP224" i="1" s="1"/>
  <c r="AQ224" i="1" a="1"/>
  <c r="AQ224" i="1" s="1"/>
  <c r="AR224" i="1" a="1"/>
  <c r="AR224" i="1" s="1"/>
  <c r="AS224" i="1" a="1"/>
  <c r="AS224" i="1" s="1"/>
  <c r="AT224" i="1" a="1"/>
  <c r="AT224" i="1" s="1"/>
  <c r="AU224" i="1" a="1"/>
  <c r="AU224" i="1" s="1"/>
  <c r="AV224" i="1" a="1"/>
  <c r="AV224" i="1" s="1"/>
  <c r="AW224" i="1" a="1"/>
  <c r="AW224" i="1" s="1"/>
  <c r="AX224" i="1" a="1"/>
  <c r="AX224" i="1" s="1"/>
  <c r="AY224" i="1" a="1"/>
  <c r="AY224" i="1" s="1"/>
  <c r="AZ224" i="1" a="1"/>
  <c r="AZ224" i="1" s="1"/>
  <c r="BA224" i="1" a="1"/>
  <c r="BA224" i="1" s="1"/>
  <c r="BB224" i="1" a="1"/>
  <c r="BB224" i="1" s="1"/>
  <c r="AL225" i="1" a="1"/>
  <c r="AL225" i="1" s="1"/>
  <c r="AM225" i="1" a="1"/>
  <c r="AM225" i="1" s="1"/>
  <c r="AN225" i="1" a="1"/>
  <c r="AN225" i="1" s="1"/>
  <c r="AO225" i="1" a="1"/>
  <c r="AO225" i="1" s="1"/>
  <c r="AP225" i="1" a="1"/>
  <c r="AP225" i="1" s="1"/>
  <c r="AQ225" i="1" a="1"/>
  <c r="AQ225" i="1" s="1"/>
  <c r="AR225" i="1" a="1"/>
  <c r="AR225" i="1" s="1"/>
  <c r="AS225" i="1" a="1"/>
  <c r="AS225" i="1" s="1"/>
  <c r="AT225" i="1" a="1"/>
  <c r="AT225" i="1" s="1"/>
  <c r="AU225" i="1" a="1"/>
  <c r="AU225" i="1" s="1"/>
  <c r="AV225" i="1" a="1"/>
  <c r="AV225" i="1" s="1"/>
  <c r="AW225" i="1" a="1"/>
  <c r="AW225" i="1" s="1"/>
  <c r="AX225" i="1" a="1"/>
  <c r="AX225" i="1" s="1"/>
  <c r="AY225" i="1" a="1"/>
  <c r="AY225" i="1" s="1"/>
  <c r="AZ225" i="1" a="1"/>
  <c r="AZ225" i="1" s="1"/>
  <c r="BA225" i="1" a="1"/>
  <c r="BA225" i="1" s="1"/>
  <c r="BB225" i="1" a="1"/>
  <c r="BB225" i="1" s="1"/>
  <c r="AL226" i="1" a="1"/>
  <c r="AL226" i="1" s="1"/>
  <c r="AM226" i="1" a="1"/>
  <c r="AM226" i="1" s="1"/>
  <c r="AN226" i="1" a="1"/>
  <c r="AN226" i="1" s="1"/>
  <c r="AO226" i="1" a="1"/>
  <c r="AO226" i="1" s="1"/>
  <c r="AP226" i="1" a="1"/>
  <c r="AP226" i="1" s="1"/>
  <c r="AQ226" i="1" a="1"/>
  <c r="AQ226" i="1" s="1"/>
  <c r="AR226" i="1" a="1"/>
  <c r="AR226" i="1" s="1"/>
  <c r="AS226" i="1" a="1"/>
  <c r="AS226" i="1" s="1"/>
  <c r="AT226" i="1" a="1"/>
  <c r="AT226" i="1" s="1"/>
  <c r="AU226" i="1" a="1"/>
  <c r="AU226" i="1" s="1"/>
  <c r="AV226" i="1" a="1"/>
  <c r="AV226" i="1" s="1"/>
  <c r="AW226" i="1" a="1"/>
  <c r="AW226" i="1" s="1"/>
  <c r="AX226" i="1" a="1"/>
  <c r="AX226" i="1" s="1"/>
  <c r="AY226" i="1" a="1"/>
  <c r="AY226" i="1" s="1"/>
  <c r="AZ226" i="1" a="1"/>
  <c r="AZ226" i="1" s="1"/>
  <c r="BA226" i="1" a="1"/>
  <c r="BA226" i="1" s="1"/>
  <c r="BB226" i="1" a="1"/>
  <c r="BB226" i="1" s="1"/>
  <c r="AL227" i="1" a="1"/>
  <c r="AL227" i="1" s="1"/>
  <c r="AM227" i="1" a="1"/>
  <c r="AM227" i="1" s="1"/>
  <c r="AN227" i="1" a="1"/>
  <c r="AN227" i="1" s="1"/>
  <c r="AO227" i="1" a="1"/>
  <c r="AO227" i="1" s="1"/>
  <c r="AP227" i="1" a="1"/>
  <c r="AP227" i="1" s="1"/>
  <c r="AQ227" i="1" a="1"/>
  <c r="AQ227" i="1" s="1"/>
  <c r="AR227" i="1" a="1"/>
  <c r="AR227" i="1" s="1"/>
  <c r="AS227" i="1" a="1"/>
  <c r="AS227" i="1" s="1"/>
  <c r="AT227" i="1" a="1"/>
  <c r="AT227" i="1" s="1"/>
  <c r="AU227" i="1" a="1"/>
  <c r="AU227" i="1" s="1"/>
  <c r="AV227" i="1" a="1"/>
  <c r="AV227" i="1" s="1"/>
  <c r="AW227" i="1" a="1"/>
  <c r="AW227" i="1" s="1"/>
  <c r="AX227" i="1" a="1"/>
  <c r="AX227" i="1" s="1"/>
  <c r="AY227" i="1" a="1"/>
  <c r="AY227" i="1" s="1"/>
  <c r="AZ227" i="1" a="1"/>
  <c r="AZ227" i="1" s="1"/>
  <c r="BA227" i="1" a="1"/>
  <c r="BA227" i="1" s="1"/>
  <c r="BB227" i="1" a="1"/>
  <c r="BB227" i="1" s="1"/>
  <c r="AL228" i="1" a="1"/>
  <c r="AL228" i="1" s="1"/>
  <c r="AM228" i="1" a="1"/>
  <c r="AM228" i="1" s="1"/>
  <c r="AN228" i="1" a="1"/>
  <c r="AN228" i="1" s="1"/>
  <c r="AO228" i="1" a="1"/>
  <c r="AO228" i="1" s="1"/>
  <c r="AP228" i="1" a="1"/>
  <c r="AP228" i="1" s="1"/>
  <c r="AQ228" i="1" a="1"/>
  <c r="AQ228" i="1" s="1"/>
  <c r="AR228" i="1" a="1"/>
  <c r="AR228" i="1" s="1"/>
  <c r="AS228" i="1" a="1"/>
  <c r="AS228" i="1" s="1"/>
  <c r="AT228" i="1" a="1"/>
  <c r="AT228" i="1" s="1"/>
  <c r="AU228" i="1" a="1"/>
  <c r="AU228" i="1" s="1"/>
  <c r="AV228" i="1" a="1"/>
  <c r="AV228" i="1" s="1"/>
  <c r="AW228" i="1" a="1"/>
  <c r="AW228" i="1" s="1"/>
  <c r="AX228" i="1" a="1"/>
  <c r="AX228" i="1" s="1"/>
  <c r="AY228" i="1" a="1"/>
  <c r="AY228" i="1" s="1"/>
  <c r="AZ228" i="1" a="1"/>
  <c r="AZ228" i="1" s="1"/>
  <c r="BA228" i="1" a="1"/>
  <c r="BA228" i="1" s="1"/>
  <c r="BB228" i="1" a="1"/>
  <c r="BB228" i="1" s="1"/>
  <c r="AL229" i="1" a="1"/>
  <c r="AL229" i="1" s="1"/>
  <c r="AM229" i="1" a="1"/>
  <c r="AM229" i="1" s="1"/>
  <c r="AN229" i="1" a="1"/>
  <c r="AN229" i="1" s="1"/>
  <c r="AO229" i="1" a="1"/>
  <c r="AO229" i="1" s="1"/>
  <c r="AP229" i="1" a="1"/>
  <c r="AP229" i="1" s="1"/>
  <c r="AQ229" i="1" a="1"/>
  <c r="AQ229" i="1" s="1"/>
  <c r="AR229" i="1" a="1"/>
  <c r="AR229" i="1" s="1"/>
  <c r="AS229" i="1" a="1"/>
  <c r="AS229" i="1" s="1"/>
  <c r="AT229" i="1" a="1"/>
  <c r="AT229" i="1" s="1"/>
  <c r="AU229" i="1" a="1"/>
  <c r="AU229" i="1" s="1"/>
  <c r="AV229" i="1" a="1"/>
  <c r="AV229" i="1" s="1"/>
  <c r="AW229" i="1" a="1"/>
  <c r="AW229" i="1" s="1"/>
  <c r="AX229" i="1" a="1"/>
  <c r="AX229" i="1" s="1"/>
  <c r="AY229" i="1" a="1"/>
  <c r="AY229" i="1" s="1"/>
  <c r="AZ229" i="1" a="1"/>
  <c r="AZ229" i="1" s="1"/>
  <c r="BA229" i="1" a="1"/>
  <c r="BA229" i="1" s="1"/>
  <c r="BB229" i="1" a="1"/>
  <c r="BB229" i="1" s="1"/>
  <c r="AL230" i="1" a="1"/>
  <c r="AL230" i="1" s="1"/>
  <c r="AM230" i="1" a="1"/>
  <c r="AM230" i="1" s="1"/>
  <c r="AN230" i="1" a="1"/>
  <c r="AN230" i="1" s="1"/>
  <c r="AO230" i="1" a="1"/>
  <c r="AO230" i="1" s="1"/>
  <c r="AP230" i="1" a="1"/>
  <c r="AP230" i="1" s="1"/>
  <c r="AQ230" i="1" a="1"/>
  <c r="AQ230" i="1" s="1"/>
  <c r="AR230" i="1" a="1"/>
  <c r="AR230" i="1" s="1"/>
  <c r="AS230" i="1" a="1"/>
  <c r="AS230" i="1" s="1"/>
  <c r="AT230" i="1" a="1"/>
  <c r="AT230" i="1" s="1"/>
  <c r="AU230" i="1" a="1"/>
  <c r="AU230" i="1" s="1"/>
  <c r="AV230" i="1" a="1"/>
  <c r="AV230" i="1" s="1"/>
  <c r="AW230" i="1" a="1"/>
  <c r="AW230" i="1" s="1"/>
  <c r="AX230" i="1" a="1"/>
  <c r="AX230" i="1" s="1"/>
  <c r="AY230" i="1" a="1"/>
  <c r="AY230" i="1" s="1"/>
  <c r="AZ230" i="1" a="1"/>
  <c r="AZ230" i="1" s="1"/>
  <c r="BA230" i="1" a="1"/>
  <c r="BA230" i="1" s="1"/>
  <c r="BB230" i="1" a="1"/>
  <c r="BB230" i="1" s="1"/>
  <c r="AL231" i="1" a="1"/>
  <c r="AL231" i="1" s="1"/>
  <c r="AM231" i="1" a="1"/>
  <c r="AM231" i="1" s="1"/>
  <c r="AN231" i="1" a="1"/>
  <c r="AN231" i="1" s="1"/>
  <c r="AO231" i="1" a="1"/>
  <c r="AO231" i="1" s="1"/>
  <c r="AP231" i="1" a="1"/>
  <c r="AP231" i="1" s="1"/>
  <c r="AQ231" i="1" a="1"/>
  <c r="AQ231" i="1" s="1"/>
  <c r="AR231" i="1" a="1"/>
  <c r="AR231" i="1" s="1"/>
  <c r="AS231" i="1" a="1"/>
  <c r="AS231" i="1" s="1"/>
  <c r="AT231" i="1" a="1"/>
  <c r="AT231" i="1" s="1"/>
  <c r="AU231" i="1" a="1"/>
  <c r="AU231" i="1" s="1"/>
  <c r="AV231" i="1" a="1"/>
  <c r="AV231" i="1" s="1"/>
  <c r="AW231" i="1" a="1"/>
  <c r="AW231" i="1" s="1"/>
  <c r="AX231" i="1" a="1"/>
  <c r="AX231" i="1" s="1"/>
  <c r="AY231" i="1" a="1"/>
  <c r="AY231" i="1" s="1"/>
  <c r="AZ231" i="1" a="1"/>
  <c r="AZ231" i="1" s="1"/>
  <c r="BA231" i="1" a="1"/>
  <c r="BA231" i="1" s="1"/>
  <c r="BB231" i="1" a="1"/>
  <c r="BB231" i="1" s="1"/>
  <c r="AL232" i="1" a="1"/>
  <c r="AL232" i="1" s="1"/>
  <c r="AM232" i="1" a="1"/>
  <c r="AM232" i="1" s="1"/>
  <c r="AN232" i="1" a="1"/>
  <c r="AN232" i="1" s="1"/>
  <c r="AO232" i="1" a="1"/>
  <c r="AO232" i="1" s="1"/>
  <c r="AP232" i="1" a="1"/>
  <c r="AP232" i="1" s="1"/>
  <c r="AQ232" i="1" a="1"/>
  <c r="AQ232" i="1" s="1"/>
  <c r="AR232" i="1" a="1"/>
  <c r="AR232" i="1" s="1"/>
  <c r="AS232" i="1" a="1"/>
  <c r="AS232" i="1" s="1"/>
  <c r="AT232" i="1" a="1"/>
  <c r="AT232" i="1" s="1"/>
  <c r="AU232" i="1" a="1"/>
  <c r="AU232" i="1" s="1"/>
  <c r="AV232" i="1" a="1"/>
  <c r="AV232" i="1" s="1"/>
  <c r="AW232" i="1" a="1"/>
  <c r="AW232" i="1" s="1"/>
  <c r="AX232" i="1" a="1"/>
  <c r="AX232" i="1" s="1"/>
  <c r="AY232" i="1" a="1"/>
  <c r="AY232" i="1" s="1"/>
  <c r="AZ232" i="1" a="1"/>
  <c r="AZ232" i="1" s="1"/>
  <c r="BA232" i="1" a="1"/>
  <c r="BA232" i="1" s="1"/>
  <c r="BB232" i="1" a="1"/>
  <c r="BB232" i="1" s="1"/>
  <c r="AL234" i="1" a="1"/>
  <c r="AL234" i="1" s="1"/>
  <c r="AM234" i="1" a="1"/>
  <c r="AM234" i="1" s="1"/>
  <c r="AN234" i="1" a="1"/>
  <c r="AN234" i="1" s="1"/>
  <c r="AO234" i="1" a="1"/>
  <c r="AO234" i="1" s="1"/>
  <c r="AP234" i="1" a="1"/>
  <c r="AP234" i="1" s="1"/>
  <c r="AQ234" i="1" a="1"/>
  <c r="AQ234" i="1" s="1"/>
  <c r="AR234" i="1" a="1"/>
  <c r="AR234" i="1" s="1"/>
  <c r="AS234" i="1" a="1"/>
  <c r="AS234" i="1" s="1"/>
  <c r="AT234" i="1" a="1"/>
  <c r="AT234" i="1" s="1"/>
  <c r="AU234" i="1" a="1"/>
  <c r="AU234" i="1" s="1"/>
  <c r="AV234" i="1" a="1"/>
  <c r="AV234" i="1" s="1"/>
  <c r="AW234" i="1" a="1"/>
  <c r="AW234" i="1" s="1"/>
  <c r="AX234" i="1" a="1"/>
  <c r="AX234" i="1" s="1"/>
  <c r="AY234" i="1" a="1"/>
  <c r="AY234" i="1" s="1"/>
  <c r="AZ234" i="1" a="1"/>
  <c r="AZ234" i="1" s="1"/>
  <c r="BA234" i="1" a="1"/>
  <c r="BA234" i="1" s="1"/>
  <c r="BB234" i="1" a="1"/>
  <c r="BB234" i="1" s="1"/>
  <c r="AL235" i="1" a="1"/>
  <c r="AL235" i="1" s="1"/>
  <c r="AM235" i="1" a="1"/>
  <c r="AM235" i="1" s="1"/>
  <c r="AN235" i="1" a="1"/>
  <c r="AN235" i="1" s="1"/>
  <c r="AO235" i="1" a="1"/>
  <c r="AO235" i="1" s="1"/>
  <c r="AP235" i="1" a="1"/>
  <c r="AP235" i="1" s="1"/>
  <c r="AQ235" i="1" a="1"/>
  <c r="AQ235" i="1" s="1"/>
  <c r="AR235" i="1" a="1"/>
  <c r="AR235" i="1" s="1"/>
  <c r="AS235" i="1" a="1"/>
  <c r="AS235" i="1" s="1"/>
  <c r="AT235" i="1" a="1"/>
  <c r="AT235" i="1" s="1"/>
  <c r="AU235" i="1" a="1"/>
  <c r="AU235" i="1" s="1"/>
  <c r="AV235" i="1" a="1"/>
  <c r="AV235" i="1" s="1"/>
  <c r="AW235" i="1" a="1"/>
  <c r="AW235" i="1" s="1"/>
  <c r="AX235" i="1" a="1"/>
  <c r="AX235" i="1" s="1"/>
  <c r="AY235" i="1" a="1"/>
  <c r="AY235" i="1" s="1"/>
  <c r="AZ235" i="1" a="1"/>
  <c r="AZ235" i="1" s="1"/>
  <c r="BA235" i="1" a="1"/>
  <c r="BA235" i="1" s="1"/>
  <c r="BB235" i="1" a="1"/>
  <c r="BB235" i="1" s="1"/>
  <c r="AL236" i="1" a="1"/>
  <c r="AL236" i="1" s="1"/>
  <c r="AM236" i="1" a="1"/>
  <c r="AM236" i="1" s="1"/>
  <c r="AN236" i="1" a="1"/>
  <c r="AN236" i="1" s="1"/>
  <c r="AO236" i="1" a="1"/>
  <c r="AO236" i="1" s="1"/>
  <c r="AP236" i="1" a="1"/>
  <c r="AP236" i="1" s="1"/>
  <c r="AQ236" i="1" a="1"/>
  <c r="AQ236" i="1" s="1"/>
  <c r="AR236" i="1" a="1"/>
  <c r="AR236" i="1" s="1"/>
  <c r="AS236" i="1" a="1"/>
  <c r="AS236" i="1" s="1"/>
  <c r="AT236" i="1" a="1"/>
  <c r="AT236" i="1" s="1"/>
  <c r="AU236" i="1" a="1"/>
  <c r="AU236" i="1" s="1"/>
  <c r="AV236" i="1" a="1"/>
  <c r="AV236" i="1" s="1"/>
  <c r="AW236" i="1" a="1"/>
  <c r="AW236" i="1" s="1"/>
  <c r="AX236" i="1" a="1"/>
  <c r="AX236" i="1" s="1"/>
  <c r="AY236" i="1" a="1"/>
  <c r="AY236" i="1" s="1"/>
  <c r="AZ236" i="1" a="1"/>
  <c r="AZ236" i="1" s="1"/>
  <c r="BA236" i="1" a="1"/>
  <c r="BA236" i="1" s="1"/>
  <c r="BB236" i="1" a="1"/>
  <c r="BB236" i="1" s="1"/>
  <c r="AL237" i="1" a="1"/>
  <c r="AL237" i="1" s="1"/>
  <c r="AM237" i="1" a="1"/>
  <c r="AM237" i="1" s="1"/>
  <c r="AN237" i="1" a="1"/>
  <c r="AN237" i="1" s="1"/>
  <c r="AO237" i="1" a="1"/>
  <c r="AO237" i="1" s="1"/>
  <c r="AP237" i="1" a="1"/>
  <c r="AP237" i="1" s="1"/>
  <c r="AQ237" i="1" a="1"/>
  <c r="AQ237" i="1" s="1"/>
  <c r="AR237" i="1" a="1"/>
  <c r="AR237" i="1" s="1"/>
  <c r="AS237" i="1" a="1"/>
  <c r="AS237" i="1" s="1"/>
  <c r="AT237" i="1" a="1"/>
  <c r="AT237" i="1" s="1"/>
  <c r="AU237" i="1" a="1"/>
  <c r="AU237" i="1" s="1"/>
  <c r="AV237" i="1" a="1"/>
  <c r="AV237" i="1" s="1"/>
  <c r="AW237" i="1" a="1"/>
  <c r="AW237" i="1" s="1"/>
  <c r="AX237" i="1" a="1"/>
  <c r="AX237" i="1" s="1"/>
  <c r="AY237" i="1" a="1"/>
  <c r="AY237" i="1" s="1"/>
  <c r="AZ237" i="1" a="1"/>
  <c r="AZ237" i="1" s="1"/>
  <c r="BA237" i="1" a="1"/>
  <c r="BA237" i="1" s="1"/>
  <c r="BB237" i="1" a="1"/>
  <c r="BB237" i="1" s="1"/>
  <c r="AL238" i="1" a="1"/>
  <c r="AL238" i="1" s="1"/>
  <c r="AM238" i="1" a="1"/>
  <c r="AM238" i="1" s="1"/>
  <c r="AN238" i="1" a="1"/>
  <c r="AN238" i="1" s="1"/>
  <c r="AO238" i="1" a="1"/>
  <c r="AO238" i="1" s="1"/>
  <c r="AP238" i="1" a="1"/>
  <c r="AP238" i="1" s="1"/>
  <c r="AQ238" i="1" a="1"/>
  <c r="AQ238" i="1" s="1"/>
  <c r="AR238" i="1" a="1"/>
  <c r="AR238" i="1" s="1"/>
  <c r="AS238" i="1" a="1"/>
  <c r="AS238" i="1" s="1"/>
  <c r="AT238" i="1" a="1"/>
  <c r="AT238" i="1" s="1"/>
  <c r="AU238" i="1" a="1"/>
  <c r="AU238" i="1" s="1"/>
  <c r="AV238" i="1" a="1"/>
  <c r="AV238" i="1" s="1"/>
  <c r="AW238" i="1" a="1"/>
  <c r="AW238" i="1" s="1"/>
  <c r="AX238" i="1" a="1"/>
  <c r="AX238" i="1" s="1"/>
  <c r="AY238" i="1" a="1"/>
  <c r="AY238" i="1" s="1"/>
  <c r="AZ238" i="1" a="1"/>
  <c r="AZ238" i="1" s="1"/>
  <c r="BA238" i="1" a="1"/>
  <c r="BA238" i="1" s="1"/>
  <c r="BB238" i="1" a="1"/>
  <c r="BB238" i="1" s="1"/>
  <c r="AL239" i="1" a="1"/>
  <c r="AL239" i="1" s="1"/>
  <c r="AM239" i="1" a="1"/>
  <c r="AM239" i="1" s="1"/>
  <c r="AN239" i="1" a="1"/>
  <c r="AN239" i="1" s="1"/>
  <c r="AO239" i="1" a="1"/>
  <c r="AO239" i="1" s="1"/>
  <c r="AP239" i="1" a="1"/>
  <c r="AP239" i="1" s="1"/>
  <c r="AQ239" i="1" a="1"/>
  <c r="AQ239" i="1" s="1"/>
  <c r="AR239" i="1" a="1"/>
  <c r="AR239" i="1" s="1"/>
  <c r="AS239" i="1" a="1"/>
  <c r="AS239" i="1" s="1"/>
  <c r="AT239" i="1" a="1"/>
  <c r="AT239" i="1" s="1"/>
  <c r="AU239" i="1" a="1"/>
  <c r="AU239" i="1" s="1"/>
  <c r="AV239" i="1" a="1"/>
  <c r="AV239" i="1" s="1"/>
  <c r="AW239" i="1" a="1"/>
  <c r="AW239" i="1" s="1"/>
  <c r="AX239" i="1" a="1"/>
  <c r="AX239" i="1" s="1"/>
  <c r="AY239" i="1" a="1"/>
  <c r="AY239" i="1" s="1"/>
  <c r="AZ239" i="1" a="1"/>
  <c r="AZ239" i="1" s="1"/>
  <c r="BA239" i="1" a="1"/>
  <c r="BA239" i="1" s="1"/>
  <c r="BB239" i="1" a="1"/>
  <c r="BB239" i="1" s="1"/>
  <c r="AL240" i="1" a="1"/>
  <c r="AL240" i="1" s="1"/>
  <c r="AM240" i="1" a="1"/>
  <c r="AM240" i="1" s="1"/>
  <c r="AN240" i="1" a="1"/>
  <c r="AN240" i="1" s="1"/>
  <c r="AO240" i="1" a="1"/>
  <c r="AO240" i="1" s="1"/>
  <c r="AP240" i="1" a="1"/>
  <c r="AP240" i="1" s="1"/>
  <c r="AQ240" i="1" a="1"/>
  <c r="AQ240" i="1" s="1"/>
  <c r="AR240" i="1" a="1"/>
  <c r="AR240" i="1" s="1"/>
  <c r="AS240" i="1" a="1"/>
  <c r="AS240" i="1" s="1"/>
  <c r="AT240" i="1" a="1"/>
  <c r="AT240" i="1" s="1"/>
  <c r="AU240" i="1" a="1"/>
  <c r="AU240" i="1" s="1"/>
  <c r="AV240" i="1" a="1"/>
  <c r="AV240" i="1" s="1"/>
  <c r="AW240" i="1" a="1"/>
  <c r="AW240" i="1" s="1"/>
  <c r="AX240" i="1" a="1"/>
  <c r="AX240" i="1" s="1"/>
  <c r="AY240" i="1" a="1"/>
  <c r="AY240" i="1" s="1"/>
  <c r="AZ240" i="1" a="1"/>
  <c r="AZ240" i="1" s="1"/>
  <c r="BA240" i="1" a="1"/>
  <c r="BA240" i="1" s="1"/>
  <c r="BB240" i="1" a="1"/>
  <c r="BB240" i="1" s="1"/>
  <c r="AL241" i="1" a="1"/>
  <c r="AL241" i="1" s="1"/>
  <c r="AM241" i="1" a="1"/>
  <c r="AM241" i="1" s="1"/>
  <c r="AN241" i="1" a="1"/>
  <c r="AN241" i="1" s="1"/>
  <c r="AO241" i="1" a="1"/>
  <c r="AO241" i="1" s="1"/>
  <c r="AP241" i="1" a="1"/>
  <c r="AP241" i="1" s="1"/>
  <c r="AQ241" i="1" a="1"/>
  <c r="AQ241" i="1" s="1"/>
  <c r="AR241" i="1" a="1"/>
  <c r="AR241" i="1" s="1"/>
  <c r="AS241" i="1" a="1"/>
  <c r="AS241" i="1" s="1"/>
  <c r="AT241" i="1" a="1"/>
  <c r="AT241" i="1" s="1"/>
  <c r="AU241" i="1" a="1"/>
  <c r="AU241" i="1" s="1"/>
  <c r="AV241" i="1" a="1"/>
  <c r="AV241" i="1" s="1"/>
  <c r="AW241" i="1" a="1"/>
  <c r="AW241" i="1" s="1"/>
  <c r="AX241" i="1" a="1"/>
  <c r="AX241" i="1" s="1"/>
  <c r="AY241" i="1" a="1"/>
  <c r="AY241" i="1" s="1"/>
  <c r="AZ241" i="1" a="1"/>
  <c r="AZ241" i="1" s="1"/>
  <c r="BA241" i="1" a="1"/>
  <c r="BA241" i="1" s="1"/>
  <c r="BB241" i="1" a="1"/>
  <c r="BB241" i="1" s="1"/>
  <c r="AL242" i="1" a="1"/>
  <c r="AL242" i="1" s="1"/>
  <c r="AM242" i="1" a="1"/>
  <c r="AM242" i="1" s="1"/>
  <c r="AN242" i="1" a="1"/>
  <c r="AN242" i="1" s="1"/>
  <c r="AO242" i="1" a="1"/>
  <c r="AO242" i="1" s="1"/>
  <c r="AP242" i="1" a="1"/>
  <c r="AP242" i="1" s="1"/>
  <c r="AQ242" i="1" a="1"/>
  <c r="AQ242" i="1" s="1"/>
  <c r="AR242" i="1" a="1"/>
  <c r="AR242" i="1" s="1"/>
  <c r="AS242" i="1" a="1"/>
  <c r="AS242" i="1" s="1"/>
  <c r="AT242" i="1" a="1"/>
  <c r="AT242" i="1" s="1"/>
  <c r="AU242" i="1" a="1"/>
  <c r="AU242" i="1" s="1"/>
  <c r="AV242" i="1" a="1"/>
  <c r="AV242" i="1" s="1"/>
  <c r="AW242" i="1" a="1"/>
  <c r="AW242" i="1" s="1"/>
  <c r="AX242" i="1" a="1"/>
  <c r="AX242" i="1" s="1"/>
  <c r="AY242" i="1" a="1"/>
  <c r="AY242" i="1" s="1"/>
  <c r="AZ242" i="1" a="1"/>
  <c r="AZ242" i="1" s="1"/>
  <c r="BA242" i="1" a="1"/>
  <c r="BA242" i="1" s="1"/>
  <c r="BB242" i="1" a="1"/>
  <c r="BB242" i="1" s="1"/>
  <c r="AL243" i="1" a="1"/>
  <c r="AL243" i="1" s="1"/>
  <c r="AM243" i="1" a="1"/>
  <c r="AM243" i="1" s="1"/>
  <c r="AN243" i="1" a="1"/>
  <c r="AN243" i="1" s="1"/>
  <c r="AO243" i="1" a="1"/>
  <c r="AO243" i="1" s="1"/>
  <c r="AP243" i="1" a="1"/>
  <c r="AP243" i="1" s="1"/>
  <c r="AQ243" i="1" a="1"/>
  <c r="AQ243" i="1" s="1"/>
  <c r="AR243" i="1" a="1"/>
  <c r="AR243" i="1" s="1"/>
  <c r="AS243" i="1" a="1"/>
  <c r="AS243" i="1" s="1"/>
  <c r="AT243" i="1" a="1"/>
  <c r="AT243" i="1" s="1"/>
  <c r="AU243" i="1" a="1"/>
  <c r="AU243" i="1" s="1"/>
  <c r="AV243" i="1" a="1"/>
  <c r="AV243" i="1" s="1"/>
  <c r="AW243" i="1" a="1"/>
  <c r="AW243" i="1" s="1"/>
  <c r="AX243" i="1" a="1"/>
  <c r="AX243" i="1" s="1"/>
  <c r="AY243" i="1" a="1"/>
  <c r="AY243" i="1" s="1"/>
  <c r="AZ243" i="1" a="1"/>
  <c r="AZ243" i="1" s="1"/>
  <c r="BA243" i="1" a="1"/>
  <c r="BA243" i="1" s="1"/>
  <c r="BB243" i="1" a="1"/>
  <c r="BB243" i="1" s="1"/>
  <c r="AL244" i="1" a="1"/>
  <c r="AL244" i="1" s="1"/>
  <c r="AM244" i="1" a="1"/>
  <c r="AM244" i="1" s="1"/>
  <c r="AN244" i="1" a="1"/>
  <c r="AN244" i="1" s="1"/>
  <c r="AO244" i="1" a="1"/>
  <c r="AO244" i="1" s="1"/>
  <c r="AP244" i="1" a="1"/>
  <c r="AP244" i="1" s="1"/>
  <c r="AQ244" i="1" a="1"/>
  <c r="AQ244" i="1" s="1"/>
  <c r="AR244" i="1" a="1"/>
  <c r="AR244" i="1" s="1"/>
  <c r="AS244" i="1" a="1"/>
  <c r="AS244" i="1" s="1"/>
  <c r="AT244" i="1" a="1"/>
  <c r="AT244" i="1" s="1"/>
  <c r="AU244" i="1" a="1"/>
  <c r="AU244" i="1" s="1"/>
  <c r="AV244" i="1" a="1"/>
  <c r="AV244" i="1" s="1"/>
  <c r="AW244" i="1" a="1"/>
  <c r="AW244" i="1" s="1"/>
  <c r="AX244" i="1" a="1"/>
  <c r="AX244" i="1" s="1"/>
  <c r="AY244" i="1" a="1"/>
  <c r="AY244" i="1" s="1"/>
  <c r="AZ244" i="1" a="1"/>
  <c r="AZ244" i="1" s="1"/>
  <c r="BA244" i="1" a="1"/>
  <c r="BA244" i="1" s="1"/>
  <c r="BB244" i="1" a="1"/>
  <c r="BB244" i="1" s="1"/>
  <c r="AL215" i="1" a="1"/>
  <c r="AL215" i="1" s="1"/>
  <c r="AM215" i="1" a="1"/>
  <c r="AM215" i="1" s="1"/>
  <c r="AN215" i="1" a="1"/>
  <c r="AN215" i="1" s="1"/>
  <c r="AO215" i="1" a="1"/>
  <c r="AO215" i="1" s="1"/>
  <c r="AP215" i="1" a="1"/>
  <c r="AP215" i="1" s="1"/>
  <c r="AQ215" i="1" a="1"/>
  <c r="AQ215" i="1" s="1"/>
  <c r="AR215" i="1" a="1"/>
  <c r="AR215" i="1" s="1"/>
  <c r="AS215" i="1" a="1"/>
  <c r="AS215" i="1" s="1"/>
  <c r="AT215" i="1" a="1"/>
  <c r="AT215" i="1" s="1"/>
  <c r="AU215" i="1" a="1"/>
  <c r="AU215" i="1" s="1"/>
  <c r="AV215" i="1" a="1"/>
  <c r="AV215" i="1" s="1"/>
  <c r="AW215" i="1" a="1"/>
  <c r="AW215" i="1" s="1"/>
  <c r="AX215" i="1" a="1"/>
  <c r="AX215" i="1" s="1"/>
  <c r="AY215" i="1" a="1"/>
  <c r="AY215" i="1" s="1"/>
  <c r="AZ215" i="1" a="1"/>
  <c r="AZ215" i="1" s="1"/>
  <c r="BA215" i="1" a="1"/>
  <c r="BA215" i="1" s="1"/>
  <c r="BB215" i="1" a="1"/>
  <c r="BB215" i="1" s="1"/>
  <c r="AL120" i="1" a="1"/>
  <c r="AL120" i="1" s="1"/>
  <c r="AM120" i="1" a="1"/>
  <c r="AM120" i="1" s="1"/>
  <c r="AN120" i="1" a="1"/>
  <c r="AN120" i="1" s="1"/>
  <c r="AO120" i="1" a="1"/>
  <c r="AO120" i="1" s="1"/>
  <c r="AP120" i="1" a="1"/>
  <c r="AP120" i="1" s="1"/>
  <c r="AQ120" i="1" a="1"/>
  <c r="AQ120" i="1" s="1"/>
  <c r="AR120" i="1" a="1"/>
  <c r="AR120" i="1" s="1"/>
  <c r="AS120" i="1" a="1"/>
  <c r="AS120" i="1" s="1"/>
  <c r="AT120" i="1" a="1"/>
  <c r="AT120" i="1" s="1"/>
  <c r="AU120" i="1" a="1"/>
  <c r="AU120" i="1" s="1"/>
  <c r="AV120" i="1" a="1"/>
  <c r="AV120" i="1" s="1"/>
  <c r="AW120" i="1" a="1"/>
  <c r="AW120" i="1" s="1"/>
  <c r="AX120" i="1" a="1"/>
  <c r="AX120" i="1" s="1"/>
  <c r="AY120" i="1" a="1"/>
  <c r="AY120" i="1" s="1"/>
  <c r="AZ120" i="1" a="1"/>
  <c r="AZ120" i="1" s="1"/>
  <c r="BA120" i="1" a="1"/>
  <c r="BA120" i="1" s="1"/>
  <c r="BB120" i="1" a="1"/>
  <c r="BB120" i="1" s="1"/>
  <c r="AL130" i="1" a="1"/>
  <c r="AL130" i="1" s="1"/>
  <c r="AM130" i="1" a="1"/>
  <c r="AM130" i="1" s="1"/>
  <c r="AN130" i="1" a="1"/>
  <c r="AN130" i="1" s="1"/>
  <c r="AO130" i="1" a="1"/>
  <c r="AO130" i="1" s="1"/>
  <c r="AP130" i="1" a="1"/>
  <c r="AP130" i="1" s="1"/>
  <c r="AQ130" i="1" a="1"/>
  <c r="AQ130" i="1" s="1"/>
  <c r="AR130" i="1" a="1"/>
  <c r="AR130" i="1" s="1"/>
  <c r="AS130" i="1" a="1"/>
  <c r="AS130" i="1" s="1"/>
  <c r="AT130" i="1" a="1"/>
  <c r="AT130" i="1" s="1"/>
  <c r="AU130" i="1" a="1"/>
  <c r="AU130" i="1" s="1"/>
  <c r="AV130" i="1" a="1"/>
  <c r="AV130" i="1" s="1"/>
  <c r="AW130" i="1" a="1"/>
  <c r="AW130" i="1" s="1"/>
  <c r="AX130" i="1" a="1"/>
  <c r="AX130" i="1" s="1"/>
  <c r="AY130" i="1" a="1"/>
  <c r="AY130" i="1" s="1"/>
  <c r="AZ130" i="1" a="1"/>
  <c r="AZ130" i="1" s="1"/>
  <c r="BA130" i="1" a="1"/>
  <c r="BA130" i="1" s="1"/>
  <c r="BB130" i="1" a="1"/>
  <c r="BB130" i="1" s="1"/>
  <c r="AL139" i="1" a="1"/>
  <c r="AL139" i="1" s="1"/>
  <c r="AM139" i="1" a="1"/>
  <c r="AM139" i="1" s="1"/>
  <c r="AN139" i="1" a="1"/>
  <c r="AN139" i="1" s="1"/>
  <c r="AO139" i="1" a="1"/>
  <c r="AO139" i="1" s="1"/>
  <c r="AP139" i="1" a="1"/>
  <c r="AP139" i="1" s="1"/>
  <c r="AQ139" i="1" a="1"/>
  <c r="AQ139" i="1" s="1"/>
  <c r="AR139" i="1" a="1"/>
  <c r="AR139" i="1" s="1"/>
  <c r="AS139" i="1" a="1"/>
  <c r="AS139" i="1" s="1"/>
  <c r="AT139" i="1" a="1"/>
  <c r="AT139" i="1" s="1"/>
  <c r="AU139" i="1" a="1"/>
  <c r="AU139" i="1" s="1"/>
  <c r="AV139" i="1" a="1"/>
  <c r="AV139" i="1" s="1"/>
  <c r="AW139" i="1" a="1"/>
  <c r="AW139" i="1" s="1"/>
  <c r="AX139" i="1" a="1"/>
  <c r="AX139" i="1" s="1"/>
  <c r="AY139" i="1" a="1"/>
  <c r="AY139" i="1" s="1"/>
  <c r="AZ139" i="1" a="1"/>
  <c r="AZ139" i="1" s="1"/>
  <c r="BA139" i="1" a="1"/>
  <c r="BA139" i="1" s="1"/>
  <c r="BB139" i="1" a="1"/>
  <c r="BB139" i="1" s="1"/>
  <c r="AL160" i="1" a="1"/>
  <c r="AL160" i="1" s="1"/>
  <c r="AM160" i="1" a="1"/>
  <c r="AM160" i="1" s="1"/>
  <c r="AN160" i="1" a="1"/>
  <c r="AN160" i="1" s="1"/>
  <c r="AO160" i="1" a="1"/>
  <c r="AO160" i="1" s="1"/>
  <c r="AP160" i="1" a="1"/>
  <c r="AP160" i="1" s="1"/>
  <c r="AQ160" i="1" a="1"/>
  <c r="AQ160" i="1" s="1"/>
  <c r="AR160" i="1" a="1"/>
  <c r="AR160" i="1" s="1"/>
  <c r="AS160" i="1" a="1"/>
  <c r="AS160" i="1" s="1"/>
  <c r="AT160" i="1" a="1"/>
  <c r="AT160" i="1" s="1"/>
  <c r="AU160" i="1" a="1"/>
  <c r="AU160" i="1" s="1"/>
  <c r="AV160" i="1" a="1"/>
  <c r="AV160" i="1" s="1"/>
  <c r="AW160" i="1" a="1"/>
  <c r="AW160" i="1" s="1"/>
  <c r="AX160" i="1" a="1"/>
  <c r="AX160" i="1" s="1"/>
  <c r="AY160" i="1" a="1"/>
  <c r="AY160" i="1" s="1"/>
  <c r="AZ160" i="1" a="1"/>
  <c r="AZ160" i="1" s="1"/>
  <c r="BA160" i="1" a="1"/>
  <c r="BA160" i="1" s="1"/>
  <c r="BB160" i="1" a="1"/>
  <c r="BB160" i="1" s="1"/>
  <c r="AL167" i="1" a="1"/>
  <c r="AL167" i="1" s="1"/>
  <c r="AM167" i="1" a="1"/>
  <c r="AM167" i="1" s="1"/>
  <c r="AN167" i="1" a="1"/>
  <c r="AN167" i="1" s="1"/>
  <c r="AO167" i="1" a="1"/>
  <c r="AO167" i="1" s="1"/>
  <c r="AP167" i="1" a="1"/>
  <c r="AP167" i="1" s="1"/>
  <c r="AQ167" i="1" a="1"/>
  <c r="AQ167" i="1" s="1"/>
  <c r="AR167" i="1" a="1"/>
  <c r="AR167" i="1" s="1"/>
  <c r="AS167" i="1" a="1"/>
  <c r="AS167" i="1" s="1"/>
  <c r="AT167" i="1" a="1"/>
  <c r="AT167" i="1" s="1"/>
  <c r="AU167" i="1" a="1"/>
  <c r="AU167" i="1" s="1"/>
  <c r="AV167" i="1" a="1"/>
  <c r="AV167" i="1" s="1"/>
  <c r="AW167" i="1" a="1"/>
  <c r="AW167" i="1" s="1"/>
  <c r="AX167" i="1" a="1"/>
  <c r="AX167" i="1" s="1"/>
  <c r="AY167" i="1" a="1"/>
  <c r="AY167" i="1" s="1"/>
  <c r="AZ167" i="1" a="1"/>
  <c r="AZ167" i="1" s="1"/>
  <c r="BA167" i="1" a="1"/>
  <c r="BA167" i="1" s="1"/>
  <c r="BB167" i="1" a="1"/>
  <c r="BB167" i="1" s="1"/>
  <c r="AL173" i="1" a="1"/>
  <c r="AL173" i="1" s="1"/>
  <c r="AM173" i="1" a="1"/>
  <c r="AM173" i="1" s="1"/>
  <c r="AN173" i="1" a="1"/>
  <c r="AN173" i="1" s="1"/>
  <c r="AO173" i="1" a="1"/>
  <c r="AO173" i="1" s="1"/>
  <c r="AP173" i="1" a="1"/>
  <c r="AP173" i="1" s="1"/>
  <c r="AQ173" i="1" a="1"/>
  <c r="AQ173" i="1" s="1"/>
  <c r="AR173" i="1" a="1"/>
  <c r="AR173" i="1" s="1"/>
  <c r="AS173" i="1" a="1"/>
  <c r="AS173" i="1" s="1"/>
  <c r="AT173" i="1" a="1"/>
  <c r="AT173" i="1" s="1"/>
  <c r="AU173" i="1" a="1"/>
  <c r="AU173" i="1" s="1"/>
  <c r="AV173" i="1" a="1"/>
  <c r="AV173" i="1" s="1"/>
  <c r="AW173" i="1" a="1"/>
  <c r="AW173" i="1" s="1"/>
  <c r="AX173" i="1" a="1"/>
  <c r="AX173" i="1" s="1"/>
  <c r="AY173" i="1" a="1"/>
  <c r="AY173" i="1" s="1"/>
  <c r="AZ173" i="1" a="1"/>
  <c r="AZ173" i="1" s="1"/>
  <c r="BA173" i="1" a="1"/>
  <c r="BA173" i="1" s="1"/>
  <c r="BB173" i="1" a="1"/>
  <c r="BB173" i="1" s="1"/>
  <c r="AL180" i="1" a="1"/>
  <c r="AL180" i="1" s="1"/>
  <c r="AM180" i="1" a="1"/>
  <c r="AM180" i="1" s="1"/>
  <c r="AN180" i="1" a="1"/>
  <c r="AN180" i="1" s="1"/>
  <c r="AO180" i="1" a="1"/>
  <c r="AO180" i="1" s="1"/>
  <c r="AP180" i="1" a="1"/>
  <c r="AP180" i="1" s="1"/>
  <c r="AQ180" i="1" a="1"/>
  <c r="AQ180" i="1" s="1"/>
  <c r="AR180" i="1" a="1"/>
  <c r="AR180" i="1" s="1"/>
  <c r="AS180" i="1" a="1"/>
  <c r="AS180" i="1" s="1"/>
  <c r="AT180" i="1" a="1"/>
  <c r="AT180" i="1" s="1"/>
  <c r="AU180" i="1" a="1"/>
  <c r="AU180" i="1" s="1"/>
  <c r="AV180" i="1" a="1"/>
  <c r="AV180" i="1" s="1"/>
  <c r="AW180" i="1" a="1"/>
  <c r="AW180" i="1" s="1"/>
  <c r="AX180" i="1" a="1"/>
  <c r="AX180" i="1" s="1"/>
  <c r="AY180" i="1" a="1"/>
  <c r="AY180" i="1" s="1"/>
  <c r="AZ180" i="1" a="1"/>
  <c r="AZ180" i="1" s="1"/>
  <c r="BA180" i="1" a="1"/>
  <c r="BA180" i="1" s="1"/>
  <c r="BB180" i="1" a="1"/>
  <c r="BB180" i="1" s="1"/>
  <c r="AL195" i="1" a="1"/>
  <c r="AL195" i="1" s="1"/>
  <c r="AM195" i="1" a="1"/>
  <c r="AM195" i="1" s="1"/>
  <c r="AN195" i="1" a="1"/>
  <c r="AN195" i="1" s="1"/>
  <c r="AO195" i="1" a="1"/>
  <c r="AO195" i="1" s="1"/>
  <c r="AP195" i="1" a="1"/>
  <c r="AP195" i="1" s="1"/>
  <c r="AQ195" i="1" a="1"/>
  <c r="AQ195" i="1" s="1"/>
  <c r="AR195" i="1" a="1"/>
  <c r="AR195" i="1" s="1"/>
  <c r="AS195" i="1" a="1"/>
  <c r="AS195" i="1" s="1"/>
  <c r="AT195" i="1" a="1"/>
  <c r="AT195" i="1" s="1"/>
  <c r="AU195" i="1" a="1"/>
  <c r="AU195" i="1" s="1"/>
  <c r="AV195" i="1" a="1"/>
  <c r="AV195" i="1" s="1"/>
  <c r="AW195" i="1" a="1"/>
  <c r="AW195" i="1" s="1"/>
  <c r="AX195" i="1" a="1"/>
  <c r="AX195" i="1" s="1"/>
  <c r="AY195" i="1" a="1"/>
  <c r="AY195" i="1" s="1"/>
  <c r="AZ195" i="1" a="1"/>
  <c r="AZ195" i="1" s="1"/>
  <c r="BA195" i="1" a="1"/>
  <c r="BA195" i="1" s="1"/>
  <c r="BB195" i="1" a="1"/>
  <c r="BB195" i="1" s="1"/>
  <c r="AL196" i="1" a="1"/>
  <c r="AL196" i="1" s="1"/>
  <c r="AM196" i="1" a="1"/>
  <c r="AM196" i="1" s="1"/>
  <c r="AN196" i="1" a="1"/>
  <c r="AN196" i="1" s="1"/>
  <c r="AO196" i="1" a="1"/>
  <c r="AO196" i="1" s="1"/>
  <c r="AP196" i="1" a="1"/>
  <c r="AP196" i="1" s="1"/>
  <c r="AQ196" i="1" a="1"/>
  <c r="AQ196" i="1" s="1"/>
  <c r="AR196" i="1" a="1"/>
  <c r="AR196" i="1" s="1"/>
  <c r="AS196" i="1" a="1"/>
  <c r="AS196" i="1" s="1"/>
  <c r="AT196" i="1" a="1"/>
  <c r="AT196" i="1" s="1"/>
  <c r="AU196" i="1" a="1"/>
  <c r="AU196" i="1" s="1"/>
  <c r="AV196" i="1" a="1"/>
  <c r="AV196" i="1" s="1"/>
  <c r="AW196" i="1" a="1"/>
  <c r="AW196" i="1" s="1"/>
  <c r="AX196" i="1" a="1"/>
  <c r="AX196" i="1" s="1"/>
  <c r="AY196" i="1" a="1"/>
  <c r="AY196" i="1" s="1"/>
  <c r="AZ196" i="1" a="1"/>
  <c r="AZ196" i="1" s="1"/>
  <c r="BA196" i="1" a="1"/>
  <c r="BA196" i="1" s="1"/>
  <c r="BB196" i="1" a="1"/>
  <c r="BB196" i="1" s="1"/>
  <c r="AL245" i="1" a="1"/>
  <c r="AL245" i="1" s="1"/>
  <c r="AM245" i="1" a="1"/>
  <c r="AM245" i="1" s="1"/>
  <c r="AN245" i="1" a="1"/>
  <c r="AN245" i="1" s="1"/>
  <c r="AO245" i="1" a="1"/>
  <c r="AO245" i="1" s="1"/>
  <c r="AP245" i="1" a="1"/>
  <c r="AP245" i="1" s="1"/>
  <c r="AQ245" i="1" a="1"/>
  <c r="AQ245" i="1" s="1"/>
  <c r="AR245" i="1" a="1"/>
  <c r="AR245" i="1" s="1"/>
  <c r="AS245" i="1" a="1"/>
  <c r="AS245" i="1" s="1"/>
  <c r="AT245" i="1" a="1"/>
  <c r="AT245" i="1" s="1"/>
  <c r="AU245" i="1" a="1"/>
  <c r="AU245" i="1" s="1"/>
  <c r="AV245" i="1" a="1"/>
  <c r="AV245" i="1" s="1"/>
  <c r="AW245" i="1" a="1"/>
  <c r="AW245" i="1" s="1"/>
  <c r="AX245" i="1" a="1"/>
  <c r="AX245" i="1" s="1"/>
  <c r="AY245" i="1" a="1"/>
  <c r="AY245" i="1" s="1"/>
  <c r="AZ245" i="1" a="1"/>
  <c r="AZ245" i="1" s="1"/>
  <c r="BA245" i="1" a="1"/>
  <c r="BA245" i="1" s="1"/>
  <c r="BB245" i="1" a="1"/>
  <c r="BB245" i="1" s="1"/>
  <c r="AL248" i="1" a="1"/>
  <c r="AL248" i="1" s="1"/>
  <c r="AM248" i="1" a="1"/>
  <c r="AM248" i="1" s="1"/>
  <c r="AN248" i="1" a="1"/>
  <c r="AN248" i="1" s="1"/>
  <c r="AO248" i="1" a="1"/>
  <c r="AO248" i="1" s="1"/>
  <c r="AP248" i="1" a="1"/>
  <c r="AP248" i="1" s="1"/>
  <c r="AQ248" i="1" a="1"/>
  <c r="AQ248" i="1" s="1"/>
  <c r="AR248" i="1" a="1"/>
  <c r="AR248" i="1" s="1"/>
  <c r="AS248" i="1" a="1"/>
  <c r="AS248" i="1" s="1"/>
  <c r="AT248" i="1" a="1"/>
  <c r="AT248" i="1" s="1"/>
  <c r="AU248" i="1" a="1"/>
  <c r="AU248" i="1" s="1"/>
  <c r="AV248" i="1" a="1"/>
  <c r="AV248" i="1" s="1"/>
  <c r="AW248" i="1" a="1"/>
  <c r="AW248" i="1" s="1"/>
  <c r="AX248" i="1" a="1"/>
  <c r="AX248" i="1" s="1"/>
  <c r="AY248" i="1" a="1"/>
  <c r="AY248" i="1" s="1"/>
  <c r="AZ248" i="1" a="1"/>
  <c r="AZ248" i="1" s="1"/>
  <c r="BA248" i="1" a="1"/>
  <c r="BA248" i="1" s="1"/>
  <c r="BB248" i="1" a="1"/>
  <c r="BB248" i="1" s="1"/>
  <c r="AL249" i="1" a="1"/>
  <c r="AL249" i="1" s="1"/>
  <c r="AM249" i="1" a="1"/>
  <c r="AM249" i="1" s="1"/>
  <c r="AN249" i="1" a="1"/>
  <c r="AN249" i="1" s="1"/>
  <c r="AO249" i="1" a="1"/>
  <c r="AO249" i="1" s="1"/>
  <c r="AP249" i="1" a="1"/>
  <c r="AP249" i="1" s="1"/>
  <c r="AQ249" i="1" a="1"/>
  <c r="AQ249" i="1" s="1"/>
  <c r="AR249" i="1" a="1"/>
  <c r="AR249" i="1" s="1"/>
  <c r="AS249" i="1" a="1"/>
  <c r="AS249" i="1" s="1"/>
  <c r="AT249" i="1" a="1"/>
  <c r="AT249" i="1" s="1"/>
  <c r="AU249" i="1" a="1"/>
  <c r="AU249" i="1" s="1"/>
  <c r="AV249" i="1" a="1"/>
  <c r="AV249" i="1" s="1"/>
  <c r="AW249" i="1" a="1"/>
  <c r="AW249" i="1" s="1"/>
  <c r="AX249" i="1" a="1"/>
  <c r="AX249" i="1" s="1"/>
  <c r="AY249" i="1" a="1"/>
  <c r="AY249" i="1" s="1"/>
  <c r="AZ249" i="1" a="1"/>
  <c r="AZ249" i="1" s="1"/>
  <c r="BA249" i="1" a="1"/>
  <c r="BA249" i="1" s="1"/>
  <c r="BB249" i="1" a="1"/>
  <c r="BB249" i="1" s="1"/>
  <c r="AL250" i="1" a="1"/>
  <c r="AL250" i="1" s="1"/>
  <c r="AM250" i="1" a="1"/>
  <c r="AM250" i="1" s="1"/>
  <c r="AN250" i="1" a="1"/>
  <c r="AN250" i="1" s="1"/>
  <c r="AO250" i="1" a="1"/>
  <c r="AO250" i="1" s="1"/>
  <c r="AP250" i="1" a="1"/>
  <c r="AP250" i="1" s="1"/>
  <c r="AQ250" i="1" a="1"/>
  <c r="AQ250" i="1" s="1"/>
  <c r="AR250" i="1" a="1"/>
  <c r="AR250" i="1" s="1"/>
  <c r="AS250" i="1" a="1"/>
  <c r="AS250" i="1" s="1"/>
  <c r="AT250" i="1" a="1"/>
  <c r="AT250" i="1" s="1"/>
  <c r="AU250" i="1" a="1"/>
  <c r="AU250" i="1" s="1"/>
  <c r="AV250" i="1" a="1"/>
  <c r="AV250" i="1" s="1"/>
  <c r="AW250" i="1" a="1"/>
  <c r="AW250" i="1" s="1"/>
  <c r="AX250" i="1" a="1"/>
  <c r="AX250" i="1" s="1"/>
  <c r="AY250" i="1" a="1"/>
  <c r="AY250" i="1" s="1"/>
  <c r="AZ250" i="1" a="1"/>
  <c r="AZ250" i="1" s="1"/>
  <c r="BA250" i="1" a="1"/>
  <c r="BA250" i="1" s="1"/>
  <c r="BB250" i="1" a="1"/>
  <c r="BB250" i="1" s="1"/>
  <c r="AL119" i="1" a="1"/>
  <c r="AL119" i="1" s="1"/>
  <c r="AM119" i="1" a="1"/>
  <c r="AM119" i="1" s="1"/>
  <c r="AN119" i="1" a="1"/>
  <c r="AN119" i="1" s="1"/>
  <c r="AO119" i="1" a="1"/>
  <c r="AO119" i="1" s="1"/>
  <c r="AP119" i="1" a="1"/>
  <c r="AP119" i="1" s="1"/>
  <c r="AQ119" i="1" a="1"/>
  <c r="AQ119" i="1" s="1"/>
  <c r="AR119" i="1" a="1"/>
  <c r="AR119" i="1" s="1"/>
  <c r="AS119" i="1" a="1"/>
  <c r="AS119" i="1" s="1"/>
  <c r="AT119" i="1" a="1"/>
  <c r="AT119" i="1" s="1"/>
  <c r="AU119" i="1" a="1"/>
  <c r="AU119" i="1" s="1"/>
  <c r="AV119" i="1" a="1"/>
  <c r="AV119" i="1" s="1"/>
  <c r="AW119" i="1" a="1"/>
  <c r="AW119" i="1" s="1"/>
  <c r="AX119" i="1" a="1"/>
  <c r="AX119" i="1" s="1"/>
  <c r="AY119" i="1" a="1"/>
  <c r="AY119" i="1" s="1"/>
  <c r="AZ119" i="1" a="1"/>
  <c r="AZ119" i="1" s="1"/>
  <c r="BA119" i="1" a="1"/>
  <c r="BA119" i="1" s="1"/>
  <c r="BB119" i="1" a="1"/>
  <c r="BB119" i="1" s="1"/>
  <c r="AL251" i="1" a="1"/>
  <c r="AL251" i="1" s="1"/>
  <c r="AM251" i="1" a="1"/>
  <c r="AM251" i="1" s="1"/>
  <c r="AN251" i="1" a="1"/>
  <c r="AN251" i="1" s="1"/>
  <c r="AO251" i="1" a="1"/>
  <c r="AO251" i="1" s="1"/>
  <c r="AP251" i="1" a="1"/>
  <c r="AP251" i="1" s="1"/>
  <c r="AQ251" i="1" a="1"/>
  <c r="AQ251" i="1" s="1"/>
  <c r="AR251" i="1" a="1"/>
  <c r="AR251" i="1" s="1"/>
  <c r="AS251" i="1" a="1"/>
  <c r="AS251" i="1" s="1"/>
  <c r="AT251" i="1" a="1"/>
  <c r="AT251" i="1" s="1"/>
  <c r="AU251" i="1" a="1"/>
  <c r="AU251" i="1" s="1"/>
  <c r="AV251" i="1" a="1"/>
  <c r="AV251" i="1" s="1"/>
  <c r="AW251" i="1" a="1"/>
  <c r="AW251" i="1" s="1"/>
  <c r="AX251" i="1" a="1"/>
  <c r="AX251" i="1" s="1"/>
  <c r="AY251" i="1" a="1"/>
  <c r="AY251" i="1" s="1"/>
  <c r="AZ251" i="1" a="1"/>
  <c r="AZ251" i="1" s="1"/>
  <c r="BA251" i="1" a="1"/>
  <c r="BA251" i="1" s="1"/>
  <c r="BB251" i="1" a="1"/>
  <c r="BB251" i="1" s="1"/>
  <c r="AL121" i="1" a="1"/>
  <c r="AL121" i="1" s="1"/>
  <c r="AM121" i="1" a="1"/>
  <c r="AM121" i="1" s="1"/>
  <c r="AN121" i="1" a="1"/>
  <c r="AN121" i="1" s="1"/>
  <c r="AO121" i="1" a="1"/>
  <c r="AO121" i="1" s="1"/>
  <c r="AP121" i="1" a="1"/>
  <c r="AP121" i="1" s="1"/>
  <c r="AQ121" i="1" a="1"/>
  <c r="AQ121" i="1" s="1"/>
  <c r="AR121" i="1" a="1"/>
  <c r="AR121" i="1" s="1"/>
  <c r="AS121" i="1" a="1"/>
  <c r="AS121" i="1" s="1"/>
  <c r="AT121" i="1" a="1"/>
  <c r="AT121" i="1" s="1"/>
  <c r="AU121" i="1" a="1"/>
  <c r="AU121" i="1" s="1"/>
  <c r="AV121" i="1" a="1"/>
  <c r="AV121" i="1" s="1"/>
  <c r="AW121" i="1" a="1"/>
  <c r="AW121" i="1" s="1"/>
  <c r="AX121" i="1" a="1"/>
  <c r="AX121" i="1" s="1"/>
  <c r="AY121" i="1" a="1"/>
  <c r="AY121" i="1" s="1"/>
  <c r="AZ121" i="1" a="1"/>
  <c r="AZ121" i="1" s="1"/>
  <c r="BA121" i="1" a="1"/>
  <c r="BA121" i="1" s="1"/>
  <c r="BB121" i="1" a="1"/>
  <c r="BB121" i="1" s="1"/>
  <c r="AL254" i="1" a="1"/>
  <c r="AL254" i="1" s="1"/>
  <c r="AM254" i="1" a="1"/>
  <c r="AM254" i="1" s="1"/>
  <c r="AN254" i="1" a="1"/>
  <c r="AN254" i="1" s="1"/>
  <c r="AO254" i="1" a="1"/>
  <c r="AO254" i="1" s="1"/>
  <c r="AP254" i="1" a="1"/>
  <c r="AP254" i="1" s="1"/>
  <c r="AQ254" i="1" a="1"/>
  <c r="AQ254" i="1" s="1"/>
  <c r="AR254" i="1" a="1"/>
  <c r="AR254" i="1" s="1"/>
  <c r="AS254" i="1" a="1"/>
  <c r="AS254" i="1" s="1"/>
  <c r="AT254" i="1" a="1"/>
  <c r="AT254" i="1" s="1"/>
  <c r="AU254" i="1" a="1"/>
  <c r="AU254" i="1" s="1"/>
  <c r="AV254" i="1" a="1"/>
  <c r="AV254" i="1" s="1"/>
  <c r="AW254" i="1" a="1"/>
  <c r="AW254" i="1" s="1"/>
  <c r="AX254" i="1" a="1"/>
  <c r="AX254" i="1" s="1"/>
  <c r="AY254" i="1" a="1"/>
  <c r="AY254" i="1" s="1"/>
  <c r="AZ254" i="1" a="1"/>
  <c r="AZ254" i="1" s="1"/>
  <c r="BA254" i="1" a="1"/>
  <c r="BA254" i="1" s="1"/>
  <c r="BB254" i="1" a="1"/>
  <c r="BB254" i="1" s="1"/>
  <c r="AL255" i="1" a="1"/>
  <c r="AL255" i="1" s="1"/>
  <c r="AM255" i="1" a="1"/>
  <c r="AM255" i="1" s="1"/>
  <c r="AN255" i="1" a="1"/>
  <c r="AN255" i="1" s="1"/>
  <c r="AO255" i="1" a="1"/>
  <c r="AO255" i="1" s="1"/>
  <c r="AP255" i="1" a="1"/>
  <c r="AP255" i="1" s="1"/>
  <c r="AQ255" i="1" a="1"/>
  <c r="AQ255" i="1" s="1"/>
  <c r="AR255" i="1" a="1"/>
  <c r="AR255" i="1" s="1"/>
  <c r="AS255" i="1" a="1"/>
  <c r="AS255" i="1" s="1"/>
  <c r="AT255" i="1" a="1"/>
  <c r="AT255" i="1" s="1"/>
  <c r="AU255" i="1" a="1"/>
  <c r="AU255" i="1" s="1"/>
  <c r="AV255" i="1" a="1"/>
  <c r="AV255" i="1" s="1"/>
  <c r="AW255" i="1" a="1"/>
  <c r="AW255" i="1" s="1"/>
  <c r="AX255" i="1" a="1"/>
  <c r="AX255" i="1" s="1"/>
  <c r="AY255" i="1" a="1"/>
  <c r="AY255" i="1" s="1"/>
  <c r="AZ255" i="1" a="1"/>
  <c r="AZ255" i="1" s="1"/>
  <c r="BA255" i="1" a="1"/>
  <c r="BA255" i="1" s="1"/>
  <c r="BB255" i="1" a="1"/>
  <c r="BB255" i="1" s="1"/>
  <c r="AL256" i="1" a="1"/>
  <c r="AL256" i="1" s="1"/>
  <c r="AM256" i="1" a="1"/>
  <c r="AM256" i="1" s="1"/>
  <c r="AN256" i="1" a="1"/>
  <c r="AN256" i="1" s="1"/>
  <c r="AO256" i="1" a="1"/>
  <c r="AO256" i="1" s="1"/>
  <c r="AP256" i="1" a="1"/>
  <c r="AP256" i="1" s="1"/>
  <c r="AQ256" i="1" a="1"/>
  <c r="AQ256" i="1" s="1"/>
  <c r="AR256" i="1" a="1"/>
  <c r="AR256" i="1" s="1"/>
  <c r="AS256" i="1" a="1"/>
  <c r="AS256" i="1" s="1"/>
  <c r="AT256" i="1" a="1"/>
  <c r="AT256" i="1" s="1"/>
  <c r="AU256" i="1" a="1"/>
  <c r="AU256" i="1" s="1"/>
  <c r="AV256" i="1" a="1"/>
  <c r="AV256" i="1" s="1"/>
  <c r="AW256" i="1" a="1"/>
  <c r="AW256" i="1" s="1"/>
  <c r="AX256" i="1" a="1"/>
  <c r="AX256" i="1" s="1"/>
  <c r="AY256" i="1" a="1"/>
  <c r="AY256" i="1" s="1"/>
  <c r="AZ256" i="1" a="1"/>
  <c r="AZ256" i="1" s="1"/>
  <c r="BA256" i="1" a="1"/>
  <c r="BA256" i="1" s="1"/>
  <c r="BB256" i="1" a="1"/>
  <c r="BB256" i="1" s="1"/>
  <c r="AL257" i="1" a="1"/>
  <c r="AL257" i="1" s="1"/>
  <c r="AM257" i="1" a="1"/>
  <c r="AM257" i="1" s="1"/>
  <c r="AN257" i="1" a="1"/>
  <c r="AN257" i="1" s="1"/>
  <c r="AO257" i="1" a="1"/>
  <c r="AO257" i="1" s="1"/>
  <c r="AP257" i="1" a="1"/>
  <c r="AP257" i="1" s="1"/>
  <c r="AQ257" i="1" a="1"/>
  <c r="AQ257" i="1" s="1"/>
  <c r="AR257" i="1" a="1"/>
  <c r="AR257" i="1" s="1"/>
  <c r="AS257" i="1" a="1"/>
  <c r="AS257" i="1" s="1"/>
  <c r="AT257" i="1" a="1"/>
  <c r="AT257" i="1" s="1"/>
  <c r="AU257" i="1" a="1"/>
  <c r="AU257" i="1" s="1"/>
  <c r="AV257" i="1" a="1"/>
  <c r="AV257" i="1" s="1"/>
  <c r="AW257" i="1" a="1"/>
  <c r="AW257" i="1" s="1"/>
  <c r="AX257" i="1" a="1"/>
  <c r="AX257" i="1" s="1"/>
  <c r="AY257" i="1" a="1"/>
  <c r="AY257" i="1" s="1"/>
  <c r="AZ257" i="1" a="1"/>
  <c r="AZ257" i="1" s="1"/>
  <c r="BA257" i="1" a="1"/>
  <c r="BA257" i="1" s="1"/>
  <c r="BB257" i="1" a="1"/>
  <c r="BB257" i="1" s="1"/>
  <c r="AL258" i="1" a="1"/>
  <c r="AL258" i="1" s="1"/>
  <c r="AM258" i="1" a="1"/>
  <c r="AM258" i="1" s="1"/>
  <c r="AN258" i="1" a="1"/>
  <c r="AN258" i="1" s="1"/>
  <c r="AO258" i="1" a="1"/>
  <c r="AO258" i="1" s="1"/>
  <c r="AP258" i="1" a="1"/>
  <c r="AP258" i="1" s="1"/>
  <c r="AQ258" i="1" a="1"/>
  <c r="AQ258" i="1" s="1"/>
  <c r="AR258" i="1" a="1"/>
  <c r="AR258" i="1" s="1"/>
  <c r="AS258" i="1" a="1"/>
  <c r="AS258" i="1" s="1"/>
  <c r="AT258" i="1" a="1"/>
  <c r="AT258" i="1" s="1"/>
  <c r="AU258" i="1" a="1"/>
  <c r="AU258" i="1" s="1"/>
  <c r="AV258" i="1" a="1"/>
  <c r="AV258" i="1" s="1"/>
  <c r="AW258" i="1" a="1"/>
  <c r="AW258" i="1" s="1"/>
  <c r="AX258" i="1" a="1"/>
  <c r="AX258" i="1" s="1"/>
  <c r="AY258" i="1" a="1"/>
  <c r="AY258" i="1" s="1"/>
  <c r="AZ258" i="1" a="1"/>
  <c r="AZ258" i="1" s="1"/>
  <c r="BA258" i="1" a="1"/>
  <c r="BA258" i="1" s="1"/>
  <c r="BB258" i="1" a="1"/>
  <c r="BB258" i="1" s="1"/>
  <c r="AL132" i="1" a="1"/>
  <c r="AL132" i="1" s="1"/>
  <c r="AM132" i="1" a="1"/>
  <c r="AM132" i="1" s="1"/>
  <c r="AN132" i="1" a="1"/>
  <c r="AN132" i="1" s="1"/>
  <c r="AO132" i="1" a="1"/>
  <c r="AO132" i="1" s="1"/>
  <c r="AP132" i="1" a="1"/>
  <c r="AP132" i="1" s="1"/>
  <c r="AQ132" i="1" a="1"/>
  <c r="AQ132" i="1" s="1"/>
  <c r="AR132" i="1" a="1"/>
  <c r="AR132" i="1" s="1"/>
  <c r="AS132" i="1" a="1"/>
  <c r="AS132" i="1" s="1"/>
  <c r="AT132" i="1" a="1"/>
  <c r="AT132" i="1" s="1"/>
  <c r="AU132" i="1" a="1"/>
  <c r="AU132" i="1" s="1"/>
  <c r="AV132" i="1" a="1"/>
  <c r="AV132" i="1" s="1"/>
  <c r="AW132" i="1" a="1"/>
  <c r="AW132" i="1" s="1"/>
  <c r="AX132" i="1" a="1"/>
  <c r="AX132" i="1" s="1"/>
  <c r="AY132" i="1" a="1"/>
  <c r="AY132" i="1" s="1"/>
  <c r="AZ132" i="1" a="1"/>
  <c r="AZ132" i="1" s="1"/>
  <c r="BA132" i="1" a="1"/>
  <c r="BA132" i="1" s="1"/>
  <c r="BB132" i="1" a="1"/>
  <c r="BB132" i="1" s="1"/>
  <c r="AL259" i="1" a="1"/>
  <c r="AL259" i="1" s="1"/>
  <c r="AM259" i="1" a="1"/>
  <c r="AM259" i="1" s="1"/>
  <c r="AN259" i="1" a="1"/>
  <c r="AN259" i="1" s="1"/>
  <c r="AO259" i="1" a="1"/>
  <c r="AO259" i="1" s="1"/>
  <c r="AP259" i="1" a="1"/>
  <c r="AP259" i="1" s="1"/>
  <c r="AQ259" i="1" a="1"/>
  <c r="AQ259" i="1" s="1"/>
  <c r="AR259" i="1" a="1"/>
  <c r="AR259" i="1" s="1"/>
  <c r="AS259" i="1" a="1"/>
  <c r="AS259" i="1" s="1"/>
  <c r="AT259" i="1" a="1"/>
  <c r="AT259" i="1" s="1"/>
  <c r="AU259" i="1" a="1"/>
  <c r="AU259" i="1" s="1"/>
  <c r="AV259" i="1" a="1"/>
  <c r="AV259" i="1" s="1"/>
  <c r="AW259" i="1" a="1"/>
  <c r="AW259" i="1" s="1"/>
  <c r="AX259" i="1" a="1"/>
  <c r="AX259" i="1" s="1"/>
  <c r="AY259" i="1" a="1"/>
  <c r="AY259" i="1" s="1"/>
  <c r="AZ259" i="1" a="1"/>
  <c r="AZ259" i="1" s="1"/>
  <c r="BA259" i="1" a="1"/>
  <c r="BA259" i="1" s="1"/>
  <c r="BB259" i="1" a="1"/>
  <c r="BB259" i="1" s="1"/>
  <c r="AL136" i="1" a="1"/>
  <c r="AL136" i="1" s="1"/>
  <c r="AM136" i="1" a="1"/>
  <c r="AM136" i="1" s="1"/>
  <c r="AN136" i="1" a="1"/>
  <c r="AN136" i="1" s="1"/>
  <c r="AO136" i="1" a="1"/>
  <c r="AO136" i="1" s="1"/>
  <c r="AP136" i="1" a="1"/>
  <c r="AP136" i="1" s="1"/>
  <c r="AQ136" i="1" a="1"/>
  <c r="AQ136" i="1" s="1"/>
  <c r="AR136" i="1" a="1"/>
  <c r="AR136" i="1" s="1"/>
  <c r="AS136" i="1" a="1"/>
  <c r="AS136" i="1" s="1"/>
  <c r="AT136" i="1" a="1"/>
  <c r="AT136" i="1" s="1"/>
  <c r="AU136" i="1" a="1"/>
  <c r="AU136" i="1" s="1"/>
  <c r="AV136" i="1" a="1"/>
  <c r="AV136" i="1" s="1"/>
  <c r="AW136" i="1" a="1"/>
  <c r="AW136" i="1" s="1"/>
  <c r="AX136" i="1" a="1"/>
  <c r="AX136" i="1" s="1"/>
  <c r="AY136" i="1" a="1"/>
  <c r="AY136" i="1" s="1"/>
  <c r="AZ136" i="1" a="1"/>
  <c r="AZ136" i="1" s="1"/>
  <c r="BA136" i="1" a="1"/>
  <c r="BA136" i="1" s="1"/>
  <c r="BB136" i="1" a="1"/>
  <c r="BB136" i="1" s="1"/>
  <c r="AL261" i="1" a="1"/>
  <c r="AL261" i="1" s="1"/>
  <c r="AM261" i="1" a="1"/>
  <c r="AM261" i="1" s="1"/>
  <c r="AN261" i="1" a="1"/>
  <c r="AN261" i="1" s="1"/>
  <c r="AO261" i="1" a="1"/>
  <c r="AO261" i="1" s="1"/>
  <c r="AP261" i="1" a="1"/>
  <c r="AP261" i="1" s="1"/>
  <c r="AQ261" i="1" a="1"/>
  <c r="AQ261" i="1" s="1"/>
  <c r="AR261" i="1" a="1"/>
  <c r="AR261" i="1" s="1"/>
  <c r="AS261" i="1" a="1"/>
  <c r="AS261" i="1" s="1"/>
  <c r="AT261" i="1" a="1"/>
  <c r="AT261" i="1" s="1"/>
  <c r="AU261" i="1" a="1"/>
  <c r="AU261" i="1" s="1"/>
  <c r="AV261" i="1" a="1"/>
  <c r="AV261" i="1" s="1"/>
  <c r="AW261" i="1" a="1"/>
  <c r="AW261" i="1" s="1"/>
  <c r="AX261" i="1" a="1"/>
  <c r="AX261" i="1" s="1"/>
  <c r="AY261" i="1" a="1"/>
  <c r="AY261" i="1" s="1"/>
  <c r="AZ261" i="1" a="1"/>
  <c r="AZ261" i="1" s="1"/>
  <c r="BA261" i="1" a="1"/>
  <c r="BA261" i="1" s="1"/>
  <c r="BB261" i="1" a="1"/>
  <c r="BB261" i="1" s="1"/>
  <c r="AL263" i="1" a="1"/>
  <c r="AL263" i="1" s="1"/>
  <c r="AM263" i="1" a="1"/>
  <c r="AM263" i="1" s="1"/>
  <c r="AN263" i="1" a="1"/>
  <c r="AN263" i="1" s="1"/>
  <c r="AO263" i="1" a="1"/>
  <c r="AO263" i="1" s="1"/>
  <c r="AP263" i="1" a="1"/>
  <c r="AP263" i="1" s="1"/>
  <c r="AQ263" i="1" a="1"/>
  <c r="AQ263" i="1" s="1"/>
  <c r="AR263" i="1" a="1"/>
  <c r="AR263" i="1" s="1"/>
  <c r="AS263" i="1" a="1"/>
  <c r="AS263" i="1" s="1"/>
  <c r="AT263" i="1" a="1"/>
  <c r="AT263" i="1" s="1"/>
  <c r="AU263" i="1" a="1"/>
  <c r="AU263" i="1" s="1"/>
  <c r="AV263" i="1" a="1"/>
  <c r="AV263" i="1" s="1"/>
  <c r="AW263" i="1" a="1"/>
  <c r="AW263" i="1" s="1"/>
  <c r="AX263" i="1" a="1"/>
  <c r="AX263" i="1" s="1"/>
  <c r="AY263" i="1" a="1"/>
  <c r="AY263" i="1" s="1"/>
  <c r="AZ263" i="1" a="1"/>
  <c r="AZ263" i="1" s="1"/>
  <c r="BA263" i="1" a="1"/>
  <c r="BA263" i="1" s="1"/>
  <c r="BB263" i="1" a="1"/>
  <c r="BB263" i="1" s="1"/>
  <c r="AL266" i="1" a="1"/>
  <c r="AL266" i="1" s="1"/>
  <c r="AM266" i="1" a="1"/>
  <c r="AM266" i="1" s="1"/>
  <c r="AN266" i="1" a="1"/>
  <c r="AN266" i="1" s="1"/>
  <c r="AO266" i="1" a="1"/>
  <c r="AO266" i="1" s="1"/>
  <c r="AP266" i="1" a="1"/>
  <c r="AP266" i="1" s="1"/>
  <c r="AQ266" i="1" a="1"/>
  <c r="AQ266" i="1" s="1"/>
  <c r="AR266" i="1" a="1"/>
  <c r="AR266" i="1" s="1"/>
  <c r="AS266" i="1" a="1"/>
  <c r="AS266" i="1" s="1"/>
  <c r="AT266" i="1" a="1"/>
  <c r="AT266" i="1" s="1"/>
  <c r="AU266" i="1" a="1"/>
  <c r="AU266" i="1" s="1"/>
  <c r="AV266" i="1" a="1"/>
  <c r="AV266" i="1" s="1"/>
  <c r="AW266" i="1" a="1"/>
  <c r="AW266" i="1" s="1"/>
  <c r="AX266" i="1" a="1"/>
  <c r="AX266" i="1" s="1"/>
  <c r="AY266" i="1" a="1"/>
  <c r="AY266" i="1" s="1"/>
  <c r="AZ266" i="1" a="1"/>
  <c r="AZ266" i="1" s="1"/>
  <c r="BA266" i="1" a="1"/>
  <c r="BA266" i="1" s="1"/>
  <c r="BB266" i="1" a="1"/>
  <c r="BB266" i="1" s="1"/>
  <c r="AL267" i="1" a="1"/>
  <c r="AL267" i="1" s="1"/>
  <c r="AM267" i="1" a="1"/>
  <c r="AM267" i="1" s="1"/>
  <c r="AN267" i="1" a="1"/>
  <c r="AN267" i="1" s="1"/>
  <c r="AO267" i="1" a="1"/>
  <c r="AO267" i="1" s="1"/>
  <c r="AP267" i="1" a="1"/>
  <c r="AP267" i="1" s="1"/>
  <c r="AQ267" i="1" a="1"/>
  <c r="AQ267" i="1" s="1"/>
  <c r="AR267" i="1" a="1"/>
  <c r="AR267" i="1" s="1"/>
  <c r="AS267" i="1" a="1"/>
  <c r="AS267" i="1" s="1"/>
  <c r="AT267" i="1" a="1"/>
  <c r="AT267" i="1" s="1"/>
  <c r="AU267" i="1" a="1"/>
  <c r="AU267" i="1" s="1"/>
  <c r="AV267" i="1" a="1"/>
  <c r="AV267" i="1" s="1"/>
  <c r="AW267" i="1" a="1"/>
  <c r="AW267" i="1" s="1"/>
  <c r="AX267" i="1" a="1"/>
  <c r="AX267" i="1" s="1"/>
  <c r="AY267" i="1" a="1"/>
  <c r="AY267" i="1" s="1"/>
  <c r="AZ267" i="1" a="1"/>
  <c r="AZ267" i="1" s="1"/>
  <c r="BA267" i="1" a="1"/>
  <c r="BA267" i="1" s="1"/>
  <c r="BB267" i="1" a="1"/>
  <c r="BB267" i="1" s="1"/>
  <c r="AL147" i="1" a="1"/>
  <c r="AL147" i="1" s="1"/>
  <c r="AM147" i="1" a="1"/>
  <c r="AM147" i="1" s="1"/>
  <c r="AN147" i="1" a="1"/>
  <c r="AN147" i="1" s="1"/>
  <c r="AO147" i="1" a="1"/>
  <c r="AO147" i="1" s="1"/>
  <c r="AP147" i="1" a="1"/>
  <c r="AP147" i="1" s="1"/>
  <c r="AQ147" i="1" a="1"/>
  <c r="AQ147" i="1" s="1"/>
  <c r="AR147" i="1" a="1"/>
  <c r="AR147" i="1" s="1"/>
  <c r="AS147" i="1" a="1"/>
  <c r="AS147" i="1" s="1"/>
  <c r="AT147" i="1" a="1"/>
  <c r="AT147" i="1" s="1"/>
  <c r="AU147" i="1" a="1"/>
  <c r="AU147" i="1" s="1"/>
  <c r="AV147" i="1" a="1"/>
  <c r="AV147" i="1" s="1"/>
  <c r="AW147" i="1" a="1"/>
  <c r="AW147" i="1" s="1"/>
  <c r="AX147" i="1" a="1"/>
  <c r="AX147" i="1" s="1"/>
  <c r="AY147" i="1" a="1"/>
  <c r="AY147" i="1" s="1"/>
  <c r="AZ147" i="1" a="1"/>
  <c r="AZ147" i="1" s="1"/>
  <c r="BA147" i="1" a="1"/>
  <c r="BA147" i="1" s="1"/>
  <c r="BB147" i="1" a="1"/>
  <c r="BB147" i="1" s="1"/>
  <c r="AL268" i="1" a="1"/>
  <c r="AL268" i="1" s="1"/>
  <c r="AM268" i="1" a="1"/>
  <c r="AM268" i="1" s="1"/>
  <c r="AN268" i="1" a="1"/>
  <c r="AN268" i="1" s="1"/>
  <c r="AO268" i="1" a="1"/>
  <c r="AO268" i="1" s="1"/>
  <c r="AP268" i="1" a="1"/>
  <c r="AP268" i="1" s="1"/>
  <c r="AQ268" i="1" a="1"/>
  <c r="AQ268" i="1" s="1"/>
  <c r="AR268" i="1" a="1"/>
  <c r="AR268" i="1" s="1"/>
  <c r="AS268" i="1" a="1"/>
  <c r="AS268" i="1" s="1"/>
  <c r="AT268" i="1" a="1"/>
  <c r="AT268" i="1" s="1"/>
  <c r="AU268" i="1" a="1"/>
  <c r="AU268" i="1" s="1"/>
  <c r="AV268" i="1" a="1"/>
  <c r="AV268" i="1" s="1"/>
  <c r="AW268" i="1" a="1"/>
  <c r="AW268" i="1" s="1"/>
  <c r="AX268" i="1" a="1"/>
  <c r="AX268" i="1" s="1"/>
  <c r="AY268" i="1" a="1"/>
  <c r="AY268" i="1" s="1"/>
  <c r="AZ268" i="1" a="1"/>
  <c r="AZ268" i="1" s="1"/>
  <c r="BA268" i="1" a="1"/>
  <c r="BA268" i="1" s="1"/>
  <c r="BB268" i="1" a="1"/>
  <c r="BB268" i="1" s="1"/>
  <c r="AL148" i="1" a="1"/>
  <c r="AL148" i="1" s="1"/>
  <c r="AM148" i="1" a="1"/>
  <c r="AM148" i="1" s="1"/>
  <c r="AN148" i="1" a="1"/>
  <c r="AN148" i="1" s="1"/>
  <c r="AO148" i="1" a="1"/>
  <c r="AO148" i="1" s="1"/>
  <c r="AP148" i="1" a="1"/>
  <c r="AP148" i="1" s="1"/>
  <c r="AQ148" i="1" a="1"/>
  <c r="AQ148" i="1" s="1"/>
  <c r="AR148" i="1" a="1"/>
  <c r="AR148" i="1" s="1"/>
  <c r="AS148" i="1" a="1"/>
  <c r="AS148" i="1" s="1"/>
  <c r="AT148" i="1" a="1"/>
  <c r="AT148" i="1" s="1"/>
  <c r="AU148" i="1" a="1"/>
  <c r="AU148" i="1" s="1"/>
  <c r="AV148" i="1" a="1"/>
  <c r="AV148" i="1" s="1"/>
  <c r="AW148" i="1" a="1"/>
  <c r="AW148" i="1" s="1"/>
  <c r="AX148" i="1" a="1"/>
  <c r="AX148" i="1" s="1"/>
  <c r="AY148" i="1" a="1"/>
  <c r="AY148" i="1" s="1"/>
  <c r="AZ148" i="1" a="1"/>
  <c r="AZ148" i="1" s="1"/>
  <c r="BA148" i="1" a="1"/>
  <c r="BA148" i="1" s="1"/>
  <c r="BB148" i="1" a="1"/>
  <c r="BB148" i="1" s="1"/>
  <c r="AL269" i="1" a="1"/>
  <c r="AL269" i="1" s="1"/>
  <c r="AM269" i="1" a="1"/>
  <c r="AM269" i="1" s="1"/>
  <c r="AN269" i="1" a="1"/>
  <c r="AN269" i="1" s="1"/>
  <c r="AO269" i="1" a="1"/>
  <c r="AO269" i="1" s="1"/>
  <c r="AP269" i="1" a="1"/>
  <c r="AP269" i="1" s="1"/>
  <c r="AQ269" i="1" a="1"/>
  <c r="AQ269" i="1" s="1"/>
  <c r="AR269" i="1" a="1"/>
  <c r="AR269" i="1" s="1"/>
  <c r="AS269" i="1" a="1"/>
  <c r="AS269" i="1" s="1"/>
  <c r="AT269" i="1" a="1"/>
  <c r="AT269" i="1" s="1"/>
  <c r="AU269" i="1" a="1"/>
  <c r="AU269" i="1" s="1"/>
  <c r="AV269" i="1" a="1"/>
  <c r="AV269" i="1" s="1"/>
  <c r="AW269" i="1" a="1"/>
  <c r="AW269" i="1" s="1"/>
  <c r="AX269" i="1" a="1"/>
  <c r="AX269" i="1" s="1"/>
  <c r="AY269" i="1" a="1"/>
  <c r="AY269" i="1" s="1"/>
  <c r="AZ269" i="1" a="1"/>
  <c r="AZ269" i="1" s="1"/>
  <c r="BA269" i="1" a="1"/>
  <c r="BA269" i="1" s="1"/>
  <c r="BB269" i="1" a="1"/>
  <c r="BB269" i="1" s="1"/>
  <c r="AL270" i="1" a="1"/>
  <c r="AL270" i="1" s="1"/>
  <c r="AM270" i="1" a="1"/>
  <c r="AM270" i="1" s="1"/>
  <c r="AN270" i="1" a="1"/>
  <c r="AN270" i="1" s="1"/>
  <c r="AO270" i="1" a="1"/>
  <c r="AO270" i="1" s="1"/>
  <c r="AP270" i="1" a="1"/>
  <c r="AP270" i="1" s="1"/>
  <c r="AQ270" i="1" a="1"/>
  <c r="AQ270" i="1" s="1"/>
  <c r="AR270" i="1" a="1"/>
  <c r="AR270" i="1" s="1"/>
  <c r="AS270" i="1" a="1"/>
  <c r="AS270" i="1" s="1"/>
  <c r="AT270" i="1" a="1"/>
  <c r="AT270" i="1" s="1"/>
  <c r="AU270" i="1" a="1"/>
  <c r="AU270" i="1" s="1"/>
  <c r="AV270" i="1" a="1"/>
  <c r="AV270" i="1" s="1"/>
  <c r="AW270" i="1" a="1"/>
  <c r="AW270" i="1" s="1"/>
  <c r="AX270" i="1" a="1"/>
  <c r="AX270" i="1" s="1"/>
  <c r="AY270" i="1" a="1"/>
  <c r="AY270" i="1" s="1"/>
  <c r="AZ270" i="1" a="1"/>
  <c r="AZ270" i="1" s="1"/>
  <c r="BA270" i="1" a="1"/>
  <c r="BA270" i="1" s="1"/>
  <c r="BB270" i="1" a="1"/>
  <c r="BB270" i="1" s="1"/>
  <c r="AL272" i="1" a="1"/>
  <c r="AL272" i="1" s="1"/>
  <c r="AM272" i="1" a="1"/>
  <c r="AM272" i="1" s="1"/>
  <c r="AN272" i="1" a="1"/>
  <c r="AN272" i="1" s="1"/>
  <c r="AO272" i="1" a="1"/>
  <c r="AO272" i="1" s="1"/>
  <c r="AP272" i="1" a="1"/>
  <c r="AP272" i="1" s="1"/>
  <c r="AQ272" i="1" a="1"/>
  <c r="AQ272" i="1" s="1"/>
  <c r="AR272" i="1" a="1"/>
  <c r="AR272" i="1" s="1"/>
  <c r="AS272" i="1" a="1"/>
  <c r="AS272" i="1" s="1"/>
  <c r="AT272" i="1" a="1"/>
  <c r="AT272" i="1" s="1"/>
  <c r="AU272" i="1" a="1"/>
  <c r="AU272" i="1" s="1"/>
  <c r="AV272" i="1" a="1"/>
  <c r="AV272" i="1" s="1"/>
  <c r="AW272" i="1" a="1"/>
  <c r="AW272" i="1" s="1"/>
  <c r="AX272" i="1" a="1"/>
  <c r="AX272" i="1" s="1"/>
  <c r="AY272" i="1" a="1"/>
  <c r="AY272" i="1" s="1"/>
  <c r="AZ272" i="1" a="1"/>
  <c r="AZ272" i="1" s="1"/>
  <c r="BA272" i="1" a="1"/>
  <c r="BA272" i="1" s="1"/>
  <c r="BB272" i="1" a="1"/>
  <c r="BB272" i="1" s="1"/>
  <c r="AL273" i="1" a="1"/>
  <c r="AL273" i="1" s="1"/>
  <c r="AM273" i="1" a="1"/>
  <c r="AM273" i="1" s="1"/>
  <c r="AN273" i="1" a="1"/>
  <c r="AN273" i="1" s="1"/>
  <c r="AO273" i="1" a="1"/>
  <c r="AO273" i="1" s="1"/>
  <c r="AP273" i="1" a="1"/>
  <c r="AP273" i="1" s="1"/>
  <c r="AQ273" i="1" a="1"/>
  <c r="AQ273" i="1" s="1"/>
  <c r="AR273" i="1" a="1"/>
  <c r="AR273" i="1" s="1"/>
  <c r="AS273" i="1" a="1"/>
  <c r="AS273" i="1" s="1"/>
  <c r="AT273" i="1" a="1"/>
  <c r="AT273" i="1" s="1"/>
  <c r="AU273" i="1" a="1"/>
  <c r="AU273" i="1" s="1"/>
  <c r="AV273" i="1" a="1"/>
  <c r="AV273" i="1" s="1"/>
  <c r="AW273" i="1" a="1"/>
  <c r="AW273" i="1" s="1"/>
  <c r="AX273" i="1" a="1"/>
  <c r="AX273" i="1" s="1"/>
  <c r="AY273" i="1" a="1"/>
  <c r="AY273" i="1" s="1"/>
  <c r="AZ273" i="1" a="1"/>
  <c r="AZ273" i="1" s="1"/>
  <c r="BA273" i="1" a="1"/>
  <c r="BA273" i="1" s="1"/>
  <c r="BB273" i="1" a="1"/>
  <c r="BB273" i="1" s="1"/>
  <c r="AL274" i="1" a="1"/>
  <c r="AL274" i="1" s="1"/>
  <c r="AM274" i="1" a="1"/>
  <c r="AM274" i="1" s="1"/>
  <c r="AN274" i="1" a="1"/>
  <c r="AN274" i="1" s="1"/>
  <c r="AO274" i="1" a="1"/>
  <c r="AO274" i="1" s="1"/>
  <c r="AP274" i="1" a="1"/>
  <c r="AP274" i="1" s="1"/>
  <c r="AQ274" i="1" a="1"/>
  <c r="AQ274" i="1" s="1"/>
  <c r="AR274" i="1" a="1"/>
  <c r="AR274" i="1" s="1"/>
  <c r="AS274" i="1" a="1"/>
  <c r="AS274" i="1" s="1"/>
  <c r="AT274" i="1" a="1"/>
  <c r="AT274" i="1" s="1"/>
  <c r="AU274" i="1" a="1"/>
  <c r="AU274" i="1" s="1"/>
  <c r="AV274" i="1" a="1"/>
  <c r="AV274" i="1" s="1"/>
  <c r="AW274" i="1" a="1"/>
  <c r="AW274" i="1" s="1"/>
  <c r="AX274" i="1" a="1"/>
  <c r="AX274" i="1" s="1"/>
  <c r="AY274" i="1" a="1"/>
  <c r="AY274" i="1" s="1"/>
  <c r="AZ274" i="1" a="1"/>
  <c r="AZ274" i="1" s="1"/>
  <c r="BA274" i="1" a="1"/>
  <c r="BA274" i="1" s="1"/>
  <c r="BB274" i="1" a="1"/>
  <c r="BB274" i="1" s="1"/>
  <c r="AL275" i="1" a="1"/>
  <c r="AL275" i="1" s="1"/>
  <c r="AM275" i="1" a="1"/>
  <c r="AM275" i="1" s="1"/>
  <c r="AN275" i="1" a="1"/>
  <c r="AN275" i="1" s="1"/>
  <c r="AO275" i="1" a="1"/>
  <c r="AO275" i="1" s="1"/>
  <c r="AP275" i="1" a="1"/>
  <c r="AP275" i="1" s="1"/>
  <c r="AQ275" i="1" a="1"/>
  <c r="AQ275" i="1" s="1"/>
  <c r="AR275" i="1" a="1"/>
  <c r="AR275" i="1" s="1"/>
  <c r="AS275" i="1" a="1"/>
  <c r="AS275" i="1" s="1"/>
  <c r="AT275" i="1" a="1"/>
  <c r="AT275" i="1" s="1"/>
  <c r="AU275" i="1" a="1"/>
  <c r="AU275" i="1" s="1"/>
  <c r="AV275" i="1" a="1"/>
  <c r="AV275" i="1" s="1"/>
  <c r="AW275" i="1" a="1"/>
  <c r="AW275" i="1" s="1"/>
  <c r="AX275" i="1" a="1"/>
  <c r="AX275" i="1" s="1"/>
  <c r="AY275" i="1" a="1"/>
  <c r="AY275" i="1" s="1"/>
  <c r="AZ275" i="1" a="1"/>
  <c r="AZ275" i="1" s="1"/>
  <c r="BA275" i="1" a="1"/>
  <c r="BA275" i="1" s="1"/>
  <c r="BB275" i="1" a="1"/>
  <c r="BB275" i="1" s="1"/>
  <c r="AL278" i="1" a="1"/>
  <c r="AL278" i="1" s="1"/>
  <c r="AM278" i="1" a="1"/>
  <c r="AM278" i="1" s="1"/>
  <c r="AN278" i="1" a="1"/>
  <c r="AN278" i="1" s="1"/>
  <c r="AO278" i="1" a="1"/>
  <c r="AO278" i="1" s="1"/>
  <c r="AP278" i="1" a="1"/>
  <c r="AP278" i="1" s="1"/>
  <c r="AQ278" i="1" a="1"/>
  <c r="AQ278" i="1" s="1"/>
  <c r="AR278" i="1" a="1"/>
  <c r="AR278" i="1" s="1"/>
  <c r="AS278" i="1" a="1"/>
  <c r="AS278" i="1" s="1"/>
  <c r="AT278" i="1" a="1"/>
  <c r="AT278" i="1" s="1"/>
  <c r="AU278" i="1" a="1"/>
  <c r="AU278" i="1" s="1"/>
  <c r="AV278" i="1" a="1"/>
  <c r="AV278" i="1" s="1"/>
  <c r="AW278" i="1" a="1"/>
  <c r="AW278" i="1" s="1"/>
  <c r="AX278" i="1" a="1"/>
  <c r="AX278" i="1" s="1"/>
  <c r="AY278" i="1" a="1"/>
  <c r="AY278" i="1" s="1"/>
  <c r="AZ278" i="1" a="1"/>
  <c r="AZ278" i="1" s="1"/>
  <c r="BA278" i="1" a="1"/>
  <c r="BA278" i="1" s="1"/>
  <c r="BB278" i="1" a="1"/>
  <c r="BB278" i="1" s="1"/>
  <c r="AL279" i="1" a="1"/>
  <c r="AL279" i="1" s="1"/>
  <c r="AM279" i="1" a="1"/>
  <c r="AM279" i="1" s="1"/>
  <c r="AN279" i="1" a="1"/>
  <c r="AN279" i="1" s="1"/>
  <c r="AO279" i="1" a="1"/>
  <c r="AO279" i="1" s="1"/>
  <c r="AP279" i="1" a="1"/>
  <c r="AP279" i="1" s="1"/>
  <c r="AQ279" i="1" a="1"/>
  <c r="AQ279" i="1" s="1"/>
  <c r="AR279" i="1" a="1"/>
  <c r="AR279" i="1" s="1"/>
  <c r="AS279" i="1" a="1"/>
  <c r="AS279" i="1" s="1"/>
  <c r="AT279" i="1" a="1"/>
  <c r="AT279" i="1" s="1"/>
  <c r="AU279" i="1" a="1"/>
  <c r="AU279" i="1" s="1"/>
  <c r="AV279" i="1" a="1"/>
  <c r="AV279" i="1" s="1"/>
  <c r="AW279" i="1" a="1"/>
  <c r="AW279" i="1" s="1"/>
  <c r="AX279" i="1" a="1"/>
  <c r="AX279" i="1" s="1"/>
  <c r="AY279" i="1" a="1"/>
  <c r="AY279" i="1" s="1"/>
  <c r="AZ279" i="1" a="1"/>
  <c r="AZ279" i="1" s="1"/>
  <c r="BA279" i="1" a="1"/>
  <c r="BA279" i="1" s="1"/>
  <c r="BB279" i="1" a="1"/>
  <c r="BB279" i="1" s="1"/>
  <c r="AL280" i="1" a="1"/>
  <c r="AL280" i="1" s="1"/>
  <c r="AM280" i="1" a="1"/>
  <c r="AM280" i="1" s="1"/>
  <c r="AN280" i="1" a="1"/>
  <c r="AN280" i="1" s="1"/>
  <c r="AO280" i="1" a="1"/>
  <c r="AO280" i="1" s="1"/>
  <c r="AP280" i="1" a="1"/>
  <c r="AP280" i="1" s="1"/>
  <c r="AQ280" i="1" a="1"/>
  <c r="AQ280" i="1" s="1"/>
  <c r="AR280" i="1" a="1"/>
  <c r="AR280" i="1" s="1"/>
  <c r="AS280" i="1" a="1"/>
  <c r="AS280" i="1" s="1"/>
  <c r="AT280" i="1" a="1"/>
  <c r="AT280" i="1" s="1"/>
  <c r="AU280" i="1" a="1"/>
  <c r="AU280" i="1" s="1"/>
  <c r="AV280" i="1" a="1"/>
  <c r="AV280" i="1" s="1"/>
  <c r="AW280" i="1" a="1"/>
  <c r="AW280" i="1" s="1"/>
  <c r="AX280" i="1" a="1"/>
  <c r="AX280" i="1" s="1"/>
  <c r="AY280" i="1" a="1"/>
  <c r="AY280" i="1" s="1"/>
  <c r="AZ280" i="1" a="1"/>
  <c r="AZ280" i="1" s="1"/>
  <c r="BA280" i="1" a="1"/>
  <c r="BA280" i="1" s="1"/>
  <c r="BB280" i="1" a="1"/>
  <c r="BB280" i="1" s="1"/>
  <c r="AL282" i="1" a="1"/>
  <c r="AL282" i="1" s="1"/>
  <c r="AM282" i="1" a="1"/>
  <c r="AM282" i="1" s="1"/>
  <c r="AN282" i="1" a="1"/>
  <c r="AN282" i="1" s="1"/>
  <c r="AO282" i="1" a="1"/>
  <c r="AO282" i="1" s="1"/>
  <c r="AP282" i="1" a="1"/>
  <c r="AP282" i="1" s="1"/>
  <c r="AQ282" i="1" a="1"/>
  <c r="AQ282" i="1" s="1"/>
  <c r="AR282" i="1" a="1"/>
  <c r="AR282" i="1" s="1"/>
  <c r="AS282" i="1" a="1"/>
  <c r="AS282" i="1" s="1"/>
  <c r="AT282" i="1" a="1"/>
  <c r="AT282" i="1" s="1"/>
  <c r="AU282" i="1" a="1"/>
  <c r="AU282" i="1" s="1"/>
  <c r="AV282" i="1" a="1"/>
  <c r="AV282" i="1" s="1"/>
  <c r="AW282" i="1" a="1"/>
  <c r="AW282" i="1" s="1"/>
  <c r="AX282" i="1" a="1"/>
  <c r="AX282" i="1" s="1"/>
  <c r="AY282" i="1" a="1"/>
  <c r="AY282" i="1" s="1"/>
  <c r="AZ282" i="1" a="1"/>
  <c r="AZ282" i="1" s="1"/>
  <c r="BA282" i="1" a="1"/>
  <c r="BA282" i="1" s="1"/>
  <c r="BB282" i="1" a="1"/>
  <c r="BB282" i="1" s="1"/>
  <c r="AL283" i="1" a="1"/>
  <c r="AL283" i="1" s="1"/>
  <c r="AM283" i="1" a="1"/>
  <c r="AM283" i="1" s="1"/>
  <c r="AN283" i="1" a="1"/>
  <c r="AN283" i="1" s="1"/>
  <c r="AO283" i="1" a="1"/>
  <c r="AO283" i="1" s="1"/>
  <c r="AP283" i="1" a="1"/>
  <c r="AP283" i="1" s="1"/>
  <c r="AQ283" i="1" a="1"/>
  <c r="AQ283" i="1" s="1"/>
  <c r="AR283" i="1" a="1"/>
  <c r="AR283" i="1" s="1"/>
  <c r="AS283" i="1" a="1"/>
  <c r="AS283" i="1" s="1"/>
  <c r="AT283" i="1" a="1"/>
  <c r="AT283" i="1" s="1"/>
  <c r="AU283" i="1" a="1"/>
  <c r="AU283" i="1" s="1"/>
  <c r="AV283" i="1" a="1"/>
  <c r="AV283" i="1" s="1"/>
  <c r="AW283" i="1" a="1"/>
  <c r="AW283" i="1" s="1"/>
  <c r="AX283" i="1" a="1"/>
  <c r="AX283" i="1" s="1"/>
  <c r="AY283" i="1" a="1"/>
  <c r="AY283" i="1" s="1"/>
  <c r="AZ283" i="1" a="1"/>
  <c r="AZ283" i="1" s="1"/>
  <c r="BA283" i="1" a="1"/>
  <c r="BA283" i="1" s="1"/>
  <c r="BB283" i="1" a="1"/>
  <c r="BB283" i="1" s="1"/>
  <c r="AL285" i="1" a="1"/>
  <c r="AL285" i="1" s="1"/>
  <c r="AM285" i="1" a="1"/>
  <c r="AM285" i="1" s="1"/>
  <c r="AN285" i="1" a="1"/>
  <c r="AN285" i="1" s="1"/>
  <c r="AO285" i="1" a="1"/>
  <c r="AO285" i="1" s="1"/>
  <c r="AP285" i="1" a="1"/>
  <c r="AP285" i="1" s="1"/>
  <c r="AQ285" i="1" a="1"/>
  <c r="AQ285" i="1" s="1"/>
  <c r="AR285" i="1" a="1"/>
  <c r="AR285" i="1" s="1"/>
  <c r="AS285" i="1" a="1"/>
  <c r="AS285" i="1" s="1"/>
  <c r="AT285" i="1" a="1"/>
  <c r="AT285" i="1" s="1"/>
  <c r="AU285" i="1" a="1"/>
  <c r="AU285" i="1" s="1"/>
  <c r="AV285" i="1" a="1"/>
  <c r="AV285" i="1" s="1"/>
  <c r="AW285" i="1" a="1"/>
  <c r="AW285" i="1" s="1"/>
  <c r="AX285" i="1" a="1"/>
  <c r="AX285" i="1" s="1"/>
  <c r="AY285" i="1" a="1"/>
  <c r="AY285" i="1" s="1"/>
  <c r="AZ285" i="1" a="1"/>
  <c r="AZ285" i="1" s="1"/>
  <c r="BA285" i="1" a="1"/>
  <c r="BA285" i="1" s="1"/>
  <c r="BB285" i="1" a="1"/>
  <c r="BB285" i="1" s="1"/>
  <c r="AL161" i="1" a="1"/>
  <c r="AL161" i="1" s="1"/>
  <c r="AM161" i="1" a="1"/>
  <c r="AM161" i="1" s="1"/>
  <c r="AN161" i="1" a="1"/>
  <c r="AN161" i="1" s="1"/>
  <c r="AO161" i="1" a="1"/>
  <c r="AO161" i="1" s="1"/>
  <c r="AP161" i="1" a="1"/>
  <c r="AP161" i="1" s="1"/>
  <c r="AQ161" i="1" a="1"/>
  <c r="AQ161" i="1" s="1"/>
  <c r="AR161" i="1" a="1"/>
  <c r="AR161" i="1" s="1"/>
  <c r="AS161" i="1" a="1"/>
  <c r="AS161" i="1" s="1"/>
  <c r="AT161" i="1" a="1"/>
  <c r="AT161" i="1" s="1"/>
  <c r="AU161" i="1" a="1"/>
  <c r="AU161" i="1" s="1"/>
  <c r="AV161" i="1" a="1"/>
  <c r="AV161" i="1" s="1"/>
  <c r="AW161" i="1" a="1"/>
  <c r="AW161" i="1" s="1"/>
  <c r="AX161" i="1" a="1"/>
  <c r="AX161" i="1" s="1"/>
  <c r="AY161" i="1" a="1"/>
  <c r="AY161" i="1" s="1"/>
  <c r="AZ161" i="1" a="1"/>
  <c r="AZ161" i="1" s="1"/>
  <c r="BA161" i="1" a="1"/>
  <c r="BA161" i="1" s="1"/>
  <c r="BB161" i="1" a="1"/>
  <c r="BB161" i="1" s="1"/>
  <c r="AL286" i="1" a="1"/>
  <c r="AL286" i="1" s="1"/>
  <c r="AM286" i="1" a="1"/>
  <c r="AM286" i="1" s="1"/>
  <c r="AN286" i="1" a="1"/>
  <c r="AN286" i="1" s="1"/>
  <c r="AO286" i="1" a="1"/>
  <c r="AO286" i="1" s="1"/>
  <c r="AP286" i="1" a="1"/>
  <c r="AP286" i="1" s="1"/>
  <c r="AQ286" i="1" a="1"/>
  <c r="AQ286" i="1" s="1"/>
  <c r="AR286" i="1" a="1"/>
  <c r="AR286" i="1" s="1"/>
  <c r="AS286" i="1" a="1"/>
  <c r="AS286" i="1" s="1"/>
  <c r="AT286" i="1" a="1"/>
  <c r="AT286" i="1" s="1"/>
  <c r="AU286" i="1" a="1"/>
  <c r="AU286" i="1" s="1"/>
  <c r="AV286" i="1" a="1"/>
  <c r="AV286" i="1" s="1"/>
  <c r="AW286" i="1" a="1"/>
  <c r="AW286" i="1" s="1"/>
  <c r="AX286" i="1" a="1"/>
  <c r="AX286" i="1" s="1"/>
  <c r="AY286" i="1" a="1"/>
  <c r="AY286" i="1" s="1"/>
  <c r="AZ286" i="1" a="1"/>
  <c r="AZ286" i="1" s="1"/>
  <c r="BA286" i="1" a="1"/>
  <c r="BA286" i="1" s="1"/>
  <c r="BB286" i="1" a="1"/>
  <c r="BB286" i="1" s="1"/>
  <c r="AL287" i="1" a="1"/>
  <c r="AL287" i="1" s="1"/>
  <c r="AM287" i="1" a="1"/>
  <c r="AM287" i="1" s="1"/>
  <c r="AN287" i="1" a="1"/>
  <c r="AN287" i="1" s="1"/>
  <c r="AO287" i="1" a="1"/>
  <c r="AO287" i="1" s="1"/>
  <c r="AP287" i="1" a="1"/>
  <c r="AP287" i="1" s="1"/>
  <c r="AQ287" i="1" a="1"/>
  <c r="AQ287" i="1" s="1"/>
  <c r="AR287" i="1" a="1"/>
  <c r="AR287" i="1" s="1"/>
  <c r="AS287" i="1" a="1"/>
  <c r="AS287" i="1" s="1"/>
  <c r="AT287" i="1" a="1"/>
  <c r="AT287" i="1" s="1"/>
  <c r="AU287" i="1" a="1"/>
  <c r="AU287" i="1" s="1"/>
  <c r="AV287" i="1" a="1"/>
  <c r="AV287" i="1" s="1"/>
  <c r="AW287" i="1" a="1"/>
  <c r="AW287" i="1" s="1"/>
  <c r="AX287" i="1" a="1"/>
  <c r="AX287" i="1" s="1"/>
  <c r="AY287" i="1" a="1"/>
  <c r="AY287" i="1" s="1"/>
  <c r="AZ287" i="1" a="1"/>
  <c r="AZ287" i="1" s="1"/>
  <c r="BA287" i="1" a="1"/>
  <c r="BA287" i="1" s="1"/>
  <c r="BB287" i="1" a="1"/>
  <c r="BB287" i="1" s="1"/>
  <c r="AL288" i="1" a="1"/>
  <c r="AL288" i="1" s="1"/>
  <c r="AM288" i="1" a="1"/>
  <c r="AM288" i="1" s="1"/>
  <c r="AN288" i="1" a="1"/>
  <c r="AN288" i="1" s="1"/>
  <c r="AO288" i="1" a="1"/>
  <c r="AO288" i="1" s="1"/>
  <c r="AP288" i="1" a="1"/>
  <c r="AP288" i="1" s="1"/>
  <c r="AQ288" i="1" a="1"/>
  <c r="AQ288" i="1" s="1"/>
  <c r="AR288" i="1" a="1"/>
  <c r="AR288" i="1" s="1"/>
  <c r="AS288" i="1" a="1"/>
  <c r="AS288" i="1" s="1"/>
  <c r="AT288" i="1" a="1"/>
  <c r="AT288" i="1" s="1"/>
  <c r="AU288" i="1" a="1"/>
  <c r="AU288" i="1" s="1"/>
  <c r="AV288" i="1" a="1"/>
  <c r="AV288" i="1" s="1"/>
  <c r="AW288" i="1" a="1"/>
  <c r="AW288" i="1" s="1"/>
  <c r="AX288" i="1" a="1"/>
  <c r="AX288" i="1" s="1"/>
  <c r="AY288" i="1" a="1"/>
  <c r="AY288" i="1" s="1"/>
  <c r="AZ288" i="1" a="1"/>
  <c r="AZ288" i="1" s="1"/>
  <c r="BA288" i="1" a="1"/>
  <c r="BA288" i="1" s="1"/>
  <c r="BB288" i="1" a="1"/>
  <c r="BB288" i="1" s="1"/>
  <c r="AL289" i="1" a="1"/>
  <c r="AL289" i="1" s="1"/>
  <c r="AM289" i="1" a="1"/>
  <c r="AM289" i="1" s="1"/>
  <c r="AN289" i="1" a="1"/>
  <c r="AN289" i="1" s="1"/>
  <c r="AO289" i="1" a="1"/>
  <c r="AO289" i="1" s="1"/>
  <c r="AP289" i="1" a="1"/>
  <c r="AP289" i="1" s="1"/>
  <c r="AQ289" i="1" a="1"/>
  <c r="AQ289" i="1" s="1"/>
  <c r="AR289" i="1" a="1"/>
  <c r="AR289" i="1" s="1"/>
  <c r="AS289" i="1" a="1"/>
  <c r="AS289" i="1" s="1"/>
  <c r="AT289" i="1" a="1"/>
  <c r="AT289" i="1" s="1"/>
  <c r="AU289" i="1" a="1"/>
  <c r="AU289" i="1" s="1"/>
  <c r="AV289" i="1" a="1"/>
  <c r="AV289" i="1" s="1"/>
  <c r="AW289" i="1" a="1"/>
  <c r="AW289" i="1" s="1"/>
  <c r="AX289" i="1" a="1"/>
  <c r="AX289" i="1" s="1"/>
  <c r="AY289" i="1" a="1"/>
  <c r="AY289" i="1" s="1"/>
  <c r="AZ289" i="1" a="1"/>
  <c r="AZ289" i="1" s="1"/>
  <c r="BA289" i="1" a="1"/>
  <c r="BA289" i="1" s="1"/>
  <c r="BB289" i="1" a="1"/>
  <c r="BB289" i="1" s="1"/>
  <c r="AL291" i="1" a="1"/>
  <c r="AL291" i="1" s="1"/>
  <c r="AM291" i="1" a="1"/>
  <c r="AM291" i="1" s="1"/>
  <c r="AN291" i="1" a="1"/>
  <c r="AN291" i="1" s="1"/>
  <c r="AO291" i="1" a="1"/>
  <c r="AO291" i="1" s="1"/>
  <c r="AP291" i="1" a="1"/>
  <c r="AP291" i="1" s="1"/>
  <c r="AQ291" i="1" a="1"/>
  <c r="AQ291" i="1" s="1"/>
  <c r="AR291" i="1" a="1"/>
  <c r="AR291" i="1" s="1"/>
  <c r="AS291" i="1" a="1"/>
  <c r="AS291" i="1" s="1"/>
  <c r="AT291" i="1" a="1"/>
  <c r="AT291" i="1" s="1"/>
  <c r="AU291" i="1" a="1"/>
  <c r="AU291" i="1" s="1"/>
  <c r="AV291" i="1" a="1"/>
  <c r="AV291" i="1" s="1"/>
  <c r="AW291" i="1" a="1"/>
  <c r="AW291" i="1" s="1"/>
  <c r="AX291" i="1" a="1"/>
  <c r="AX291" i="1" s="1"/>
  <c r="AY291" i="1" a="1"/>
  <c r="AY291" i="1" s="1"/>
  <c r="AZ291" i="1" a="1"/>
  <c r="AZ291" i="1" s="1"/>
  <c r="BA291" i="1" a="1"/>
  <c r="BA291" i="1" s="1"/>
  <c r="BB291" i="1" a="1"/>
  <c r="BB291" i="1" s="1"/>
  <c r="AL168" i="1" a="1"/>
  <c r="AL168" i="1" s="1"/>
  <c r="AM168" i="1" a="1"/>
  <c r="AM168" i="1" s="1"/>
  <c r="AN168" i="1" a="1"/>
  <c r="AN168" i="1" s="1"/>
  <c r="AO168" i="1" a="1"/>
  <c r="AO168" i="1" s="1"/>
  <c r="AP168" i="1" a="1"/>
  <c r="AP168" i="1" s="1"/>
  <c r="AQ168" i="1" a="1"/>
  <c r="AQ168" i="1" s="1"/>
  <c r="AR168" i="1" a="1"/>
  <c r="AR168" i="1" s="1"/>
  <c r="AS168" i="1" a="1"/>
  <c r="AS168" i="1" s="1"/>
  <c r="AT168" i="1" a="1"/>
  <c r="AT168" i="1" s="1"/>
  <c r="AU168" i="1" a="1"/>
  <c r="AU168" i="1" s="1"/>
  <c r="AV168" i="1" a="1"/>
  <c r="AV168" i="1" s="1"/>
  <c r="AW168" i="1" a="1"/>
  <c r="AW168" i="1" s="1"/>
  <c r="AX168" i="1" a="1"/>
  <c r="AX168" i="1" s="1"/>
  <c r="AY168" i="1" a="1"/>
  <c r="AY168" i="1" s="1"/>
  <c r="AZ168" i="1" a="1"/>
  <c r="AZ168" i="1" s="1"/>
  <c r="BA168" i="1" a="1"/>
  <c r="BA168" i="1" s="1"/>
  <c r="BB168" i="1" a="1"/>
  <c r="BB168" i="1" s="1"/>
  <c r="AL293" i="1" a="1"/>
  <c r="AL293" i="1" s="1"/>
  <c r="AM293" i="1" a="1"/>
  <c r="AM293" i="1" s="1"/>
  <c r="AN293" i="1" a="1"/>
  <c r="AN293" i="1" s="1"/>
  <c r="AO293" i="1" a="1"/>
  <c r="AO293" i="1" s="1"/>
  <c r="AP293" i="1" a="1"/>
  <c r="AP293" i="1" s="1"/>
  <c r="AQ293" i="1" a="1"/>
  <c r="AQ293" i="1" s="1"/>
  <c r="AR293" i="1" a="1"/>
  <c r="AR293" i="1" s="1"/>
  <c r="AS293" i="1" a="1"/>
  <c r="AS293" i="1" s="1"/>
  <c r="AT293" i="1" a="1"/>
  <c r="AT293" i="1" s="1"/>
  <c r="AU293" i="1" a="1"/>
  <c r="AU293" i="1" s="1"/>
  <c r="AV293" i="1" a="1"/>
  <c r="AV293" i="1" s="1"/>
  <c r="AW293" i="1" a="1"/>
  <c r="AW293" i="1" s="1"/>
  <c r="AX293" i="1" a="1"/>
  <c r="AX293" i="1" s="1"/>
  <c r="AY293" i="1" a="1"/>
  <c r="AY293" i="1" s="1"/>
  <c r="AZ293" i="1" a="1"/>
  <c r="AZ293" i="1" s="1"/>
  <c r="BA293" i="1" a="1"/>
  <c r="BA293" i="1" s="1"/>
  <c r="BB293" i="1" a="1"/>
  <c r="BB293" i="1" s="1"/>
  <c r="AL294" i="1" a="1"/>
  <c r="AL294" i="1" s="1"/>
  <c r="AM294" i="1" a="1"/>
  <c r="AM294" i="1" s="1"/>
  <c r="AN294" i="1" a="1"/>
  <c r="AN294" i="1" s="1"/>
  <c r="AO294" i="1" a="1"/>
  <c r="AO294" i="1" s="1"/>
  <c r="AP294" i="1" a="1"/>
  <c r="AP294" i="1" s="1"/>
  <c r="AQ294" i="1" a="1"/>
  <c r="AQ294" i="1" s="1"/>
  <c r="AR294" i="1" a="1"/>
  <c r="AR294" i="1" s="1"/>
  <c r="AS294" i="1" a="1"/>
  <c r="AS294" i="1" s="1"/>
  <c r="AT294" i="1" a="1"/>
  <c r="AT294" i="1" s="1"/>
  <c r="AU294" i="1" a="1"/>
  <c r="AU294" i="1" s="1"/>
  <c r="AV294" i="1" a="1"/>
  <c r="AV294" i="1" s="1"/>
  <c r="AW294" i="1" a="1"/>
  <c r="AW294" i="1" s="1"/>
  <c r="AX294" i="1" a="1"/>
  <c r="AX294" i="1" s="1"/>
  <c r="AY294" i="1" a="1"/>
  <c r="AY294" i="1" s="1"/>
  <c r="AZ294" i="1" a="1"/>
  <c r="AZ294" i="1" s="1"/>
  <c r="BA294" i="1" a="1"/>
  <c r="BA294" i="1" s="1"/>
  <c r="BB294" i="1" a="1"/>
  <c r="BB294" i="1" s="1"/>
  <c r="AL295" i="1" a="1"/>
  <c r="AL295" i="1" s="1"/>
  <c r="AM295" i="1" a="1"/>
  <c r="AM295" i="1" s="1"/>
  <c r="AN295" i="1" a="1"/>
  <c r="AN295" i="1" s="1"/>
  <c r="AO295" i="1" a="1"/>
  <c r="AO295" i="1" s="1"/>
  <c r="AP295" i="1" a="1"/>
  <c r="AP295" i="1" s="1"/>
  <c r="AQ295" i="1" a="1"/>
  <c r="AQ295" i="1" s="1"/>
  <c r="AR295" i="1" a="1"/>
  <c r="AR295" i="1" s="1"/>
  <c r="AS295" i="1" a="1"/>
  <c r="AS295" i="1" s="1"/>
  <c r="AT295" i="1" a="1"/>
  <c r="AT295" i="1" s="1"/>
  <c r="AU295" i="1" a="1"/>
  <c r="AU295" i="1" s="1"/>
  <c r="AV295" i="1" a="1"/>
  <c r="AV295" i="1" s="1"/>
  <c r="AW295" i="1" a="1"/>
  <c r="AW295" i="1" s="1"/>
  <c r="AX295" i="1" a="1"/>
  <c r="AX295" i="1" s="1"/>
  <c r="AY295" i="1" a="1"/>
  <c r="AY295" i="1" s="1"/>
  <c r="AZ295" i="1" a="1"/>
  <c r="AZ295" i="1" s="1"/>
  <c r="BA295" i="1" a="1"/>
  <c r="BA295" i="1" s="1"/>
  <c r="BB295" i="1" a="1"/>
  <c r="BB295" i="1" s="1"/>
  <c r="AL297" i="1" a="1"/>
  <c r="AL297" i="1" s="1"/>
  <c r="AM297" i="1" a="1"/>
  <c r="AM297" i="1" s="1"/>
  <c r="AN297" i="1" a="1"/>
  <c r="AN297" i="1" s="1"/>
  <c r="AO297" i="1" a="1"/>
  <c r="AO297" i="1" s="1"/>
  <c r="AP297" i="1" a="1"/>
  <c r="AP297" i="1" s="1"/>
  <c r="AQ297" i="1" a="1"/>
  <c r="AQ297" i="1" s="1"/>
  <c r="AR297" i="1" a="1"/>
  <c r="AR297" i="1" s="1"/>
  <c r="AS297" i="1" a="1"/>
  <c r="AS297" i="1" s="1"/>
  <c r="AT297" i="1" a="1"/>
  <c r="AT297" i="1" s="1"/>
  <c r="AU297" i="1" a="1"/>
  <c r="AU297" i="1" s="1"/>
  <c r="AV297" i="1" a="1"/>
  <c r="AV297" i="1" s="1"/>
  <c r="AW297" i="1" a="1"/>
  <c r="AW297" i="1" s="1"/>
  <c r="AX297" i="1" a="1"/>
  <c r="AX297" i="1" s="1"/>
  <c r="AY297" i="1" a="1"/>
  <c r="AY297" i="1" s="1"/>
  <c r="AZ297" i="1" a="1"/>
  <c r="AZ297" i="1" s="1"/>
  <c r="BA297" i="1" a="1"/>
  <c r="BA297" i="1" s="1"/>
  <c r="BB297" i="1" a="1"/>
  <c r="BB297" i="1" s="1"/>
  <c r="AL300" i="1" a="1"/>
  <c r="AL300" i="1" s="1"/>
  <c r="AM300" i="1" a="1"/>
  <c r="AM300" i="1" s="1"/>
  <c r="AN300" i="1" a="1"/>
  <c r="AN300" i="1" s="1"/>
  <c r="AO300" i="1" a="1"/>
  <c r="AO300" i="1" s="1"/>
  <c r="AP300" i="1" a="1"/>
  <c r="AP300" i="1" s="1"/>
  <c r="AQ300" i="1" a="1"/>
  <c r="AQ300" i="1" s="1"/>
  <c r="AR300" i="1" a="1"/>
  <c r="AR300" i="1" s="1"/>
  <c r="AS300" i="1" a="1"/>
  <c r="AS300" i="1" s="1"/>
  <c r="AT300" i="1" a="1"/>
  <c r="AT300" i="1" s="1"/>
  <c r="AU300" i="1" a="1"/>
  <c r="AU300" i="1" s="1"/>
  <c r="AV300" i="1" a="1"/>
  <c r="AV300" i="1" s="1"/>
  <c r="AW300" i="1" a="1"/>
  <c r="AW300" i="1" s="1"/>
  <c r="AX300" i="1" a="1"/>
  <c r="AX300" i="1" s="1"/>
  <c r="AY300" i="1" a="1"/>
  <c r="AY300" i="1" s="1"/>
  <c r="AZ300" i="1" a="1"/>
  <c r="AZ300" i="1" s="1"/>
  <c r="BA300" i="1" a="1"/>
  <c r="BA300" i="1" s="1"/>
  <c r="BB300" i="1" a="1"/>
  <c r="BB300" i="1" s="1"/>
  <c r="AL302" i="1" a="1"/>
  <c r="AL302" i="1" s="1"/>
  <c r="AM302" i="1" a="1"/>
  <c r="AM302" i="1" s="1"/>
  <c r="AN302" i="1" a="1"/>
  <c r="AN302" i="1" s="1"/>
  <c r="AO302" i="1" a="1"/>
  <c r="AO302" i="1" s="1"/>
  <c r="AP302" i="1" a="1"/>
  <c r="AP302" i="1" s="1"/>
  <c r="AQ302" i="1" a="1"/>
  <c r="AQ302" i="1" s="1"/>
  <c r="AR302" i="1" a="1"/>
  <c r="AR302" i="1" s="1"/>
  <c r="AS302" i="1" a="1"/>
  <c r="AS302" i="1" s="1"/>
  <c r="AT302" i="1" a="1"/>
  <c r="AT302" i="1" s="1"/>
  <c r="AU302" i="1" a="1"/>
  <c r="AU302" i="1" s="1"/>
  <c r="AV302" i="1" a="1"/>
  <c r="AV302" i="1" s="1"/>
  <c r="AW302" i="1" a="1"/>
  <c r="AW302" i="1" s="1"/>
  <c r="AX302" i="1" a="1"/>
  <c r="AX302" i="1" s="1"/>
  <c r="AY302" i="1" a="1"/>
  <c r="AY302" i="1" s="1"/>
  <c r="AZ302" i="1" a="1"/>
  <c r="AZ302" i="1" s="1"/>
  <c r="BA302" i="1" a="1"/>
  <c r="BA302" i="1" s="1"/>
  <c r="BB302" i="1" a="1"/>
  <c r="BB302" i="1" s="1"/>
  <c r="AL304" i="1" a="1"/>
  <c r="AL304" i="1" s="1"/>
  <c r="AM304" i="1" a="1"/>
  <c r="AM304" i="1" s="1"/>
  <c r="AN304" i="1" a="1"/>
  <c r="AN304" i="1" s="1"/>
  <c r="AO304" i="1" a="1"/>
  <c r="AO304" i="1" s="1"/>
  <c r="AP304" i="1" a="1"/>
  <c r="AP304" i="1" s="1"/>
  <c r="AQ304" i="1" a="1"/>
  <c r="AQ304" i="1" s="1"/>
  <c r="AR304" i="1" a="1"/>
  <c r="AR304" i="1" s="1"/>
  <c r="AS304" i="1" a="1"/>
  <c r="AS304" i="1" s="1"/>
  <c r="AT304" i="1" a="1"/>
  <c r="AT304" i="1" s="1"/>
  <c r="AU304" i="1" a="1"/>
  <c r="AU304" i="1" s="1"/>
  <c r="AV304" i="1" a="1"/>
  <c r="AV304" i="1" s="1"/>
  <c r="AW304" i="1" a="1"/>
  <c r="AW304" i="1" s="1"/>
  <c r="AX304" i="1" a="1"/>
  <c r="AX304" i="1" s="1"/>
  <c r="AY304" i="1" a="1"/>
  <c r="AY304" i="1" s="1"/>
  <c r="AZ304" i="1" a="1"/>
  <c r="AZ304" i="1" s="1"/>
  <c r="BA304" i="1" a="1"/>
  <c r="BA304" i="1" s="1"/>
  <c r="BB304" i="1" a="1"/>
  <c r="BB304" i="1" s="1"/>
  <c r="AL306" i="1" a="1"/>
  <c r="AL306" i="1" s="1"/>
  <c r="AM306" i="1" a="1"/>
  <c r="AM306" i="1" s="1"/>
  <c r="AN306" i="1" a="1"/>
  <c r="AN306" i="1" s="1"/>
  <c r="AO306" i="1" a="1"/>
  <c r="AO306" i="1" s="1"/>
  <c r="AP306" i="1" a="1"/>
  <c r="AP306" i="1" s="1"/>
  <c r="AQ306" i="1" a="1"/>
  <c r="AQ306" i="1" s="1"/>
  <c r="AR306" i="1" a="1"/>
  <c r="AR306" i="1" s="1"/>
  <c r="AS306" i="1" a="1"/>
  <c r="AS306" i="1" s="1"/>
  <c r="AT306" i="1" a="1"/>
  <c r="AT306" i="1" s="1"/>
  <c r="AU306" i="1" a="1"/>
  <c r="AU306" i="1" s="1"/>
  <c r="AV306" i="1" a="1"/>
  <c r="AV306" i="1" s="1"/>
  <c r="AW306" i="1" a="1"/>
  <c r="AW306" i="1" s="1"/>
  <c r="AX306" i="1" a="1"/>
  <c r="AX306" i="1" s="1"/>
  <c r="AY306" i="1" a="1"/>
  <c r="AY306" i="1" s="1"/>
  <c r="AZ306" i="1" a="1"/>
  <c r="AZ306" i="1" s="1"/>
  <c r="BA306" i="1" a="1"/>
  <c r="BA306" i="1" s="1"/>
  <c r="BB306" i="1" a="1"/>
  <c r="BB306" i="1" s="1"/>
  <c r="AL181" i="1" a="1"/>
  <c r="AL181" i="1" s="1"/>
  <c r="AM181" i="1" a="1"/>
  <c r="AM181" i="1" s="1"/>
  <c r="AN181" i="1" a="1"/>
  <c r="AN181" i="1" s="1"/>
  <c r="AO181" i="1" a="1"/>
  <c r="AO181" i="1" s="1"/>
  <c r="AP181" i="1" a="1"/>
  <c r="AP181" i="1" s="1"/>
  <c r="AQ181" i="1" a="1"/>
  <c r="AQ181" i="1" s="1"/>
  <c r="AR181" i="1" a="1"/>
  <c r="AR181" i="1" s="1"/>
  <c r="AS181" i="1" a="1"/>
  <c r="AS181" i="1" s="1"/>
  <c r="AT181" i="1" a="1"/>
  <c r="AT181" i="1" s="1"/>
  <c r="AU181" i="1" a="1"/>
  <c r="AU181" i="1" s="1"/>
  <c r="AV181" i="1" a="1"/>
  <c r="AV181" i="1" s="1"/>
  <c r="AW181" i="1" a="1"/>
  <c r="AW181" i="1" s="1"/>
  <c r="AX181" i="1" a="1"/>
  <c r="AX181" i="1" s="1"/>
  <c r="AY181" i="1" a="1"/>
  <c r="AY181" i="1" s="1"/>
  <c r="AZ181" i="1" a="1"/>
  <c r="AZ181" i="1" s="1"/>
  <c r="BA181" i="1" a="1"/>
  <c r="BA181" i="1" s="1"/>
  <c r="BB181" i="1" a="1"/>
  <c r="BB181" i="1" s="1"/>
  <c r="AL309" i="1" a="1"/>
  <c r="AL309" i="1" s="1"/>
  <c r="AM309" i="1" a="1"/>
  <c r="AM309" i="1" s="1"/>
  <c r="AN309" i="1" a="1"/>
  <c r="AN309" i="1" s="1"/>
  <c r="AO309" i="1" a="1"/>
  <c r="AO309" i="1" s="1"/>
  <c r="AP309" i="1" a="1"/>
  <c r="AP309" i="1" s="1"/>
  <c r="AQ309" i="1" a="1"/>
  <c r="AQ309" i="1" s="1"/>
  <c r="AR309" i="1" a="1"/>
  <c r="AR309" i="1" s="1"/>
  <c r="AS309" i="1" a="1"/>
  <c r="AS309" i="1" s="1"/>
  <c r="AT309" i="1" a="1"/>
  <c r="AT309" i="1" s="1"/>
  <c r="AU309" i="1" a="1"/>
  <c r="AU309" i="1" s="1"/>
  <c r="AV309" i="1" a="1"/>
  <c r="AV309" i="1" s="1"/>
  <c r="AW309" i="1" a="1"/>
  <c r="AW309" i="1" s="1"/>
  <c r="AX309" i="1" a="1"/>
  <c r="AX309" i="1" s="1"/>
  <c r="AY309" i="1" a="1"/>
  <c r="AY309" i="1" s="1"/>
  <c r="AZ309" i="1" a="1"/>
  <c r="AZ309" i="1" s="1"/>
  <c r="BA309" i="1" a="1"/>
  <c r="BA309" i="1" s="1"/>
  <c r="BB309" i="1" a="1"/>
  <c r="BB309" i="1" s="1"/>
  <c r="AL310" i="1" a="1"/>
  <c r="AL310" i="1" s="1"/>
  <c r="AM310" i="1" a="1"/>
  <c r="AM310" i="1" s="1"/>
  <c r="AN310" i="1" a="1"/>
  <c r="AN310" i="1" s="1"/>
  <c r="AO310" i="1" a="1"/>
  <c r="AO310" i="1" s="1"/>
  <c r="AP310" i="1" a="1"/>
  <c r="AP310" i="1" s="1"/>
  <c r="AQ310" i="1" a="1"/>
  <c r="AQ310" i="1" s="1"/>
  <c r="AR310" i="1" a="1"/>
  <c r="AR310" i="1" s="1"/>
  <c r="AS310" i="1" a="1"/>
  <c r="AS310" i="1" s="1"/>
  <c r="AT310" i="1" a="1"/>
  <c r="AT310" i="1" s="1"/>
  <c r="AU310" i="1" a="1"/>
  <c r="AU310" i="1" s="1"/>
  <c r="AV310" i="1" a="1"/>
  <c r="AV310" i="1" s="1"/>
  <c r="AW310" i="1" a="1"/>
  <c r="AW310" i="1" s="1"/>
  <c r="AX310" i="1" a="1"/>
  <c r="AX310" i="1" s="1"/>
  <c r="AY310" i="1" a="1"/>
  <c r="AY310" i="1" s="1"/>
  <c r="AZ310" i="1" a="1"/>
  <c r="AZ310" i="1" s="1"/>
  <c r="BA310" i="1" a="1"/>
  <c r="BA310" i="1" s="1"/>
  <c r="BB310" i="1" a="1"/>
  <c r="BB310" i="1" s="1"/>
  <c r="AL315" i="1" a="1"/>
  <c r="AL315" i="1" s="1"/>
  <c r="AM315" i="1" a="1"/>
  <c r="AM315" i="1" s="1"/>
  <c r="AN315" i="1" a="1"/>
  <c r="AN315" i="1" s="1"/>
  <c r="AO315" i="1" a="1"/>
  <c r="AO315" i="1" s="1"/>
  <c r="AP315" i="1" a="1"/>
  <c r="AP315" i="1" s="1"/>
  <c r="AQ315" i="1" a="1"/>
  <c r="AQ315" i="1" s="1"/>
  <c r="AR315" i="1" a="1"/>
  <c r="AR315" i="1" s="1"/>
  <c r="AS315" i="1" a="1"/>
  <c r="AS315" i="1" s="1"/>
  <c r="AT315" i="1" a="1"/>
  <c r="AT315" i="1" s="1"/>
  <c r="AU315" i="1" a="1"/>
  <c r="AU315" i="1" s="1"/>
  <c r="AV315" i="1" a="1"/>
  <c r="AV315" i="1" s="1"/>
  <c r="AW315" i="1" a="1"/>
  <c r="AW315" i="1" s="1"/>
  <c r="AX315" i="1" a="1"/>
  <c r="AX315" i="1" s="1"/>
  <c r="AY315" i="1" a="1"/>
  <c r="AY315" i="1" s="1"/>
  <c r="AZ315" i="1" a="1"/>
  <c r="AZ315" i="1" s="1"/>
  <c r="BA315" i="1" a="1"/>
  <c r="BA315" i="1" s="1"/>
  <c r="BB315" i="1" a="1"/>
  <c r="BB315" i="1" s="1"/>
  <c r="AL317" i="1" a="1"/>
  <c r="AL317" i="1" s="1"/>
  <c r="AM317" i="1" a="1"/>
  <c r="AM317" i="1" s="1"/>
  <c r="AN317" i="1" a="1"/>
  <c r="AN317" i="1" s="1"/>
  <c r="AO317" i="1" a="1"/>
  <c r="AO317" i="1" s="1"/>
  <c r="AP317" i="1" a="1"/>
  <c r="AP317" i="1" s="1"/>
  <c r="AQ317" i="1" a="1"/>
  <c r="AQ317" i="1" s="1"/>
  <c r="AR317" i="1" a="1"/>
  <c r="AR317" i="1" s="1"/>
  <c r="AS317" i="1" a="1"/>
  <c r="AS317" i="1" s="1"/>
  <c r="AT317" i="1" a="1"/>
  <c r="AT317" i="1" s="1"/>
  <c r="AU317" i="1" a="1"/>
  <c r="AU317" i="1" s="1"/>
  <c r="AV317" i="1" a="1"/>
  <c r="AV317" i="1" s="1"/>
  <c r="AW317" i="1" a="1"/>
  <c r="AW317" i="1" s="1"/>
  <c r="AX317" i="1" a="1"/>
  <c r="AX317" i="1" s="1"/>
  <c r="AY317" i="1" a="1"/>
  <c r="AY317" i="1" s="1"/>
  <c r="AZ317" i="1" a="1"/>
  <c r="AZ317" i="1" s="1"/>
  <c r="BA317" i="1" a="1"/>
  <c r="BA317" i="1" s="1"/>
  <c r="BB317" i="1" a="1"/>
  <c r="BB317" i="1" s="1"/>
  <c r="AL319" i="1" a="1"/>
  <c r="AL319" i="1" s="1"/>
  <c r="AM319" i="1" a="1"/>
  <c r="AM319" i="1" s="1"/>
  <c r="AN319" i="1" a="1"/>
  <c r="AN319" i="1" s="1"/>
  <c r="AO319" i="1" a="1"/>
  <c r="AO319" i="1" s="1"/>
  <c r="AP319" i="1" a="1"/>
  <c r="AP319" i="1" s="1"/>
  <c r="AQ319" i="1" a="1"/>
  <c r="AQ319" i="1" s="1"/>
  <c r="AR319" i="1" a="1"/>
  <c r="AR319" i="1" s="1"/>
  <c r="AS319" i="1" a="1"/>
  <c r="AS319" i="1" s="1"/>
  <c r="AT319" i="1" a="1"/>
  <c r="AT319" i="1" s="1"/>
  <c r="AU319" i="1" a="1"/>
  <c r="AU319" i="1" s="1"/>
  <c r="AV319" i="1" a="1"/>
  <c r="AV319" i="1" s="1"/>
  <c r="AW319" i="1" a="1"/>
  <c r="AW319" i="1" s="1"/>
  <c r="AX319" i="1" a="1"/>
  <c r="AX319" i="1" s="1"/>
  <c r="AY319" i="1" a="1"/>
  <c r="AY319" i="1" s="1"/>
  <c r="AZ319" i="1" a="1"/>
  <c r="AZ319" i="1" s="1"/>
  <c r="BA319" i="1" a="1"/>
  <c r="BA319" i="1" s="1"/>
  <c r="BB319" i="1" a="1"/>
  <c r="BB319" i="1" s="1"/>
  <c r="AL188" i="1" a="1"/>
  <c r="AL188" i="1" s="1"/>
  <c r="AM188" i="1" a="1"/>
  <c r="AM188" i="1" s="1"/>
  <c r="AN188" i="1" a="1"/>
  <c r="AN188" i="1" s="1"/>
  <c r="AO188" i="1" a="1"/>
  <c r="AO188" i="1" s="1"/>
  <c r="AP188" i="1" a="1"/>
  <c r="AP188" i="1" s="1"/>
  <c r="AQ188" i="1" a="1"/>
  <c r="AQ188" i="1" s="1"/>
  <c r="AR188" i="1" a="1"/>
  <c r="AR188" i="1" s="1"/>
  <c r="AS188" i="1" a="1"/>
  <c r="AS188" i="1" s="1"/>
  <c r="AT188" i="1" a="1"/>
  <c r="AT188" i="1" s="1"/>
  <c r="AU188" i="1" a="1"/>
  <c r="AU188" i="1" s="1"/>
  <c r="AV188" i="1" a="1"/>
  <c r="AV188" i="1" s="1"/>
  <c r="AW188" i="1" a="1"/>
  <c r="AW188" i="1" s="1"/>
  <c r="AX188" i="1" a="1"/>
  <c r="AX188" i="1" s="1"/>
  <c r="AY188" i="1" a="1"/>
  <c r="AY188" i="1" s="1"/>
  <c r="AZ188" i="1" a="1"/>
  <c r="AZ188" i="1" s="1"/>
  <c r="BA188" i="1" a="1"/>
  <c r="BA188" i="1" s="1"/>
  <c r="BB188" i="1" a="1"/>
  <c r="BB188" i="1" s="1"/>
  <c r="AL320" i="1" a="1"/>
  <c r="AL320" i="1" s="1"/>
  <c r="AM320" i="1" a="1"/>
  <c r="AM320" i="1" s="1"/>
  <c r="AN320" i="1" a="1"/>
  <c r="AN320" i="1" s="1"/>
  <c r="AO320" i="1" a="1"/>
  <c r="AO320" i="1" s="1"/>
  <c r="AP320" i="1" a="1"/>
  <c r="AP320" i="1" s="1"/>
  <c r="AQ320" i="1" a="1"/>
  <c r="AQ320" i="1" s="1"/>
  <c r="AR320" i="1" a="1"/>
  <c r="AR320" i="1" s="1"/>
  <c r="AS320" i="1" a="1"/>
  <c r="AS320" i="1" s="1"/>
  <c r="AT320" i="1" a="1"/>
  <c r="AT320" i="1" s="1"/>
  <c r="AU320" i="1" a="1"/>
  <c r="AU320" i="1" s="1"/>
  <c r="AV320" i="1" a="1"/>
  <c r="AV320" i="1" s="1"/>
  <c r="AW320" i="1" a="1"/>
  <c r="AW320" i="1" s="1"/>
  <c r="AX320" i="1" a="1"/>
  <c r="AX320" i="1" s="1"/>
  <c r="AY320" i="1" a="1"/>
  <c r="AY320" i="1" s="1"/>
  <c r="AZ320" i="1" a="1"/>
  <c r="AZ320" i="1" s="1"/>
  <c r="BA320" i="1" a="1"/>
  <c r="BA320" i="1" s="1"/>
  <c r="BB320" i="1" a="1"/>
  <c r="BB320" i="1" s="1"/>
  <c r="AL321" i="1" a="1"/>
  <c r="AL321" i="1" s="1"/>
  <c r="AM321" i="1" a="1"/>
  <c r="AM321" i="1" s="1"/>
  <c r="AN321" i="1" a="1"/>
  <c r="AN321" i="1" s="1"/>
  <c r="AO321" i="1" a="1"/>
  <c r="AO321" i="1" s="1"/>
  <c r="AP321" i="1" a="1"/>
  <c r="AP321" i="1" s="1"/>
  <c r="AQ321" i="1" a="1"/>
  <c r="AQ321" i="1" s="1"/>
  <c r="AR321" i="1" a="1"/>
  <c r="AR321" i="1" s="1"/>
  <c r="AS321" i="1" a="1"/>
  <c r="AS321" i="1" s="1"/>
  <c r="AT321" i="1" a="1"/>
  <c r="AT321" i="1" s="1"/>
  <c r="AU321" i="1" a="1"/>
  <c r="AU321" i="1" s="1"/>
  <c r="AV321" i="1" a="1"/>
  <c r="AV321" i="1" s="1"/>
  <c r="AW321" i="1" a="1"/>
  <c r="AW321" i="1" s="1"/>
  <c r="AX321" i="1" a="1"/>
  <c r="AX321" i="1" s="1"/>
  <c r="AY321" i="1" a="1"/>
  <c r="AY321" i="1" s="1"/>
  <c r="AZ321" i="1" a="1"/>
  <c r="AZ321" i="1" s="1"/>
  <c r="BA321" i="1" a="1"/>
  <c r="BA321" i="1" s="1"/>
  <c r="BB321" i="1" a="1"/>
  <c r="BB321" i="1" s="1"/>
  <c r="AL322" i="1" a="1"/>
  <c r="AL322" i="1" s="1"/>
  <c r="AM322" i="1" a="1"/>
  <c r="AM322" i="1" s="1"/>
  <c r="AN322" i="1" a="1"/>
  <c r="AN322" i="1" s="1"/>
  <c r="AO322" i="1" a="1"/>
  <c r="AO322" i="1" s="1"/>
  <c r="AP322" i="1" a="1"/>
  <c r="AP322" i="1" s="1"/>
  <c r="AQ322" i="1" a="1"/>
  <c r="AQ322" i="1" s="1"/>
  <c r="AR322" i="1" a="1"/>
  <c r="AR322" i="1" s="1"/>
  <c r="AS322" i="1" a="1"/>
  <c r="AS322" i="1" s="1"/>
  <c r="AT322" i="1" a="1"/>
  <c r="AT322" i="1" s="1"/>
  <c r="AU322" i="1" a="1"/>
  <c r="AU322" i="1" s="1"/>
  <c r="AV322" i="1" a="1"/>
  <c r="AV322" i="1" s="1"/>
  <c r="AW322" i="1" a="1"/>
  <c r="AW322" i="1" s="1"/>
  <c r="AX322" i="1" a="1"/>
  <c r="AX322" i="1" s="1"/>
  <c r="AY322" i="1" a="1"/>
  <c r="AY322" i="1" s="1"/>
  <c r="AZ322" i="1" a="1"/>
  <c r="AZ322" i="1" s="1"/>
  <c r="BA322" i="1" a="1"/>
  <c r="BA322" i="1" s="1"/>
  <c r="BB322" i="1" a="1"/>
  <c r="BB322" i="1" s="1"/>
  <c r="AL323" i="1" a="1"/>
  <c r="AL323" i="1" s="1"/>
  <c r="AM323" i="1" a="1"/>
  <c r="AM323" i="1" s="1"/>
  <c r="AN323" i="1" a="1"/>
  <c r="AN323" i="1" s="1"/>
  <c r="AO323" i="1" a="1"/>
  <c r="AO323" i="1" s="1"/>
  <c r="AP323" i="1" a="1"/>
  <c r="AP323" i="1" s="1"/>
  <c r="AQ323" i="1" a="1"/>
  <c r="AQ323" i="1" s="1"/>
  <c r="AR323" i="1" a="1"/>
  <c r="AR323" i="1" s="1"/>
  <c r="AS323" i="1" a="1"/>
  <c r="AS323" i="1" s="1"/>
  <c r="AT323" i="1" a="1"/>
  <c r="AT323" i="1" s="1"/>
  <c r="AU323" i="1" a="1"/>
  <c r="AU323" i="1" s="1"/>
  <c r="AV323" i="1" a="1"/>
  <c r="AV323" i="1" s="1"/>
  <c r="AW323" i="1" a="1"/>
  <c r="AW323" i="1" s="1"/>
  <c r="AX323" i="1" a="1"/>
  <c r="AX323" i="1" s="1"/>
  <c r="AY323" i="1" a="1"/>
  <c r="AY323" i="1" s="1"/>
  <c r="AZ323" i="1" a="1"/>
  <c r="AZ323" i="1" s="1"/>
  <c r="BA323" i="1" a="1"/>
  <c r="BA323" i="1" s="1"/>
  <c r="BB323" i="1" a="1"/>
  <c r="BB323" i="1" s="1"/>
  <c r="AL191" i="1" a="1"/>
  <c r="AL191" i="1" s="1"/>
  <c r="AM191" i="1" a="1"/>
  <c r="AM191" i="1" s="1"/>
  <c r="AN191" i="1" a="1"/>
  <c r="AN191" i="1" s="1"/>
  <c r="AO191" i="1" a="1"/>
  <c r="AO191" i="1" s="1"/>
  <c r="AP191" i="1" a="1"/>
  <c r="AP191" i="1" s="1"/>
  <c r="AQ191" i="1" a="1"/>
  <c r="AQ191" i="1" s="1"/>
  <c r="AR191" i="1" a="1"/>
  <c r="AR191" i="1" s="1"/>
  <c r="AS191" i="1" a="1"/>
  <c r="AS191" i="1" s="1"/>
  <c r="AT191" i="1" a="1"/>
  <c r="AT191" i="1" s="1"/>
  <c r="AU191" i="1" a="1"/>
  <c r="AU191" i="1" s="1"/>
  <c r="AV191" i="1" a="1"/>
  <c r="AV191" i="1" s="1"/>
  <c r="AW191" i="1" a="1"/>
  <c r="AW191" i="1" s="1"/>
  <c r="AX191" i="1" a="1"/>
  <c r="AX191" i="1" s="1"/>
  <c r="AY191" i="1" a="1"/>
  <c r="AY191" i="1" s="1"/>
  <c r="AZ191" i="1" a="1"/>
  <c r="AZ191" i="1" s="1"/>
  <c r="BA191" i="1" a="1"/>
  <c r="BA191" i="1" s="1"/>
  <c r="BB191" i="1" a="1"/>
  <c r="BB191" i="1" s="1"/>
  <c r="AL324" i="1" a="1"/>
  <c r="AL324" i="1" s="1"/>
  <c r="AM324" i="1" a="1"/>
  <c r="AM324" i="1" s="1"/>
  <c r="AN324" i="1" a="1"/>
  <c r="AN324" i="1" s="1"/>
  <c r="AO324" i="1" a="1"/>
  <c r="AO324" i="1" s="1"/>
  <c r="AP324" i="1" a="1"/>
  <c r="AP324" i="1" s="1"/>
  <c r="AQ324" i="1" a="1"/>
  <c r="AQ324" i="1" s="1"/>
  <c r="AR324" i="1" a="1"/>
  <c r="AR324" i="1" s="1"/>
  <c r="AS324" i="1" a="1"/>
  <c r="AS324" i="1" s="1"/>
  <c r="AT324" i="1" a="1"/>
  <c r="AT324" i="1" s="1"/>
  <c r="AU324" i="1" a="1"/>
  <c r="AU324" i="1" s="1"/>
  <c r="AV324" i="1" a="1"/>
  <c r="AV324" i="1" s="1"/>
  <c r="AW324" i="1" a="1"/>
  <c r="AW324" i="1" s="1"/>
  <c r="AX324" i="1" a="1"/>
  <c r="AX324" i="1" s="1"/>
  <c r="AY324" i="1" a="1"/>
  <c r="AY324" i="1" s="1"/>
  <c r="AZ324" i="1" a="1"/>
  <c r="AZ324" i="1" s="1"/>
  <c r="BA324" i="1" a="1"/>
  <c r="BA324" i="1" s="1"/>
  <c r="BB324" i="1" a="1"/>
  <c r="BB324" i="1" s="1"/>
  <c r="AL328" i="1" a="1"/>
  <c r="AL328" i="1" s="1"/>
  <c r="AM328" i="1" a="1"/>
  <c r="AM328" i="1" s="1"/>
  <c r="AN328" i="1" a="1"/>
  <c r="AN328" i="1" s="1"/>
  <c r="AO328" i="1" a="1"/>
  <c r="AO328" i="1" s="1"/>
  <c r="AP328" i="1" a="1"/>
  <c r="AP328" i="1" s="1"/>
  <c r="AQ328" i="1" a="1"/>
  <c r="AQ328" i="1" s="1"/>
  <c r="AR328" i="1" a="1"/>
  <c r="AR328" i="1" s="1"/>
  <c r="AS328" i="1" a="1"/>
  <c r="AS328" i="1" s="1"/>
  <c r="AT328" i="1" a="1"/>
  <c r="AT328" i="1" s="1"/>
  <c r="AU328" i="1" a="1"/>
  <c r="AU328" i="1" s="1"/>
  <c r="AV328" i="1" a="1"/>
  <c r="AV328" i="1" s="1"/>
  <c r="AW328" i="1" a="1"/>
  <c r="AW328" i="1" s="1"/>
  <c r="AX328" i="1" a="1"/>
  <c r="AX328" i="1" s="1"/>
  <c r="AY328" i="1" a="1"/>
  <c r="AY328" i="1" s="1"/>
  <c r="AZ328" i="1" a="1"/>
  <c r="AZ328" i="1" s="1"/>
  <c r="BA328" i="1" a="1"/>
  <c r="BA328" i="1" s="1"/>
  <c r="BB328" i="1" a="1"/>
  <c r="BB328" i="1" s="1"/>
  <c r="AL329" i="1" a="1"/>
  <c r="AL329" i="1" s="1"/>
  <c r="AM329" i="1" a="1"/>
  <c r="AM329" i="1" s="1"/>
  <c r="AN329" i="1" a="1"/>
  <c r="AN329" i="1" s="1"/>
  <c r="AO329" i="1" a="1"/>
  <c r="AO329" i="1" s="1"/>
  <c r="AP329" i="1" a="1"/>
  <c r="AP329" i="1" s="1"/>
  <c r="AQ329" i="1" a="1"/>
  <c r="AQ329" i="1" s="1"/>
  <c r="AR329" i="1" a="1"/>
  <c r="AR329" i="1" s="1"/>
  <c r="AS329" i="1" a="1"/>
  <c r="AS329" i="1" s="1"/>
  <c r="AT329" i="1" a="1"/>
  <c r="AT329" i="1" s="1"/>
  <c r="AU329" i="1" a="1"/>
  <c r="AU329" i="1" s="1"/>
  <c r="AV329" i="1" a="1"/>
  <c r="AV329" i="1" s="1"/>
  <c r="AW329" i="1" a="1"/>
  <c r="AW329" i="1" s="1"/>
  <c r="AX329" i="1" a="1"/>
  <c r="AX329" i="1" s="1"/>
  <c r="AY329" i="1" a="1"/>
  <c r="AY329" i="1" s="1"/>
  <c r="AZ329" i="1" a="1"/>
  <c r="AZ329" i="1" s="1"/>
  <c r="BA329" i="1" a="1"/>
  <c r="BA329" i="1" s="1"/>
  <c r="BB329" i="1" a="1"/>
  <c r="BB329" i="1" s="1"/>
  <c r="AL330" i="1" a="1"/>
  <c r="AL330" i="1" s="1"/>
  <c r="AM330" i="1" a="1"/>
  <c r="AM330" i="1" s="1"/>
  <c r="AN330" i="1" a="1"/>
  <c r="AN330" i="1" s="1"/>
  <c r="AO330" i="1" a="1"/>
  <c r="AO330" i="1" s="1"/>
  <c r="AP330" i="1" a="1"/>
  <c r="AP330" i="1" s="1"/>
  <c r="AQ330" i="1" a="1"/>
  <c r="AQ330" i="1" s="1"/>
  <c r="AR330" i="1" a="1"/>
  <c r="AR330" i="1" s="1"/>
  <c r="AS330" i="1" a="1"/>
  <c r="AS330" i="1" s="1"/>
  <c r="AT330" i="1" a="1"/>
  <c r="AT330" i="1" s="1"/>
  <c r="AU330" i="1" a="1"/>
  <c r="AU330" i="1" s="1"/>
  <c r="AV330" i="1" a="1"/>
  <c r="AV330" i="1" s="1"/>
  <c r="AW330" i="1" a="1"/>
  <c r="AW330" i="1" s="1"/>
  <c r="AX330" i="1" a="1"/>
  <c r="AX330" i="1" s="1"/>
  <c r="AY330" i="1" a="1"/>
  <c r="AY330" i="1" s="1"/>
  <c r="AZ330" i="1" a="1"/>
  <c r="AZ330" i="1" s="1"/>
  <c r="BA330" i="1" a="1"/>
  <c r="BA330" i="1" s="1"/>
  <c r="BB330" i="1" a="1"/>
  <c r="BB330" i="1" s="1"/>
  <c r="AL332" i="1" a="1"/>
  <c r="AL332" i="1" s="1"/>
  <c r="AM332" i="1" a="1"/>
  <c r="AM332" i="1" s="1"/>
  <c r="AN332" i="1" a="1"/>
  <c r="AN332" i="1" s="1"/>
  <c r="AO332" i="1" a="1"/>
  <c r="AO332" i="1" s="1"/>
  <c r="AP332" i="1" a="1"/>
  <c r="AP332" i="1" s="1"/>
  <c r="AQ332" i="1" a="1"/>
  <c r="AQ332" i="1" s="1"/>
  <c r="AR332" i="1" a="1"/>
  <c r="AR332" i="1" s="1"/>
  <c r="AS332" i="1" a="1"/>
  <c r="AS332" i="1" s="1"/>
  <c r="AT332" i="1" a="1"/>
  <c r="AT332" i="1" s="1"/>
  <c r="AU332" i="1" a="1"/>
  <c r="AU332" i="1" s="1"/>
  <c r="AV332" i="1" a="1"/>
  <c r="AV332" i="1" s="1"/>
  <c r="AW332" i="1" a="1"/>
  <c r="AW332" i="1" s="1"/>
  <c r="AX332" i="1" a="1"/>
  <c r="AX332" i="1" s="1"/>
  <c r="AY332" i="1" a="1"/>
  <c r="AY332" i="1" s="1"/>
  <c r="AZ332" i="1" a="1"/>
  <c r="AZ332" i="1" s="1"/>
  <c r="BA332" i="1" a="1"/>
  <c r="BA332" i="1" s="1"/>
  <c r="BB332" i="1" a="1"/>
  <c r="BB332" i="1" s="1"/>
  <c r="AL333" i="1" a="1"/>
  <c r="AL333" i="1" s="1"/>
  <c r="AM333" i="1" a="1"/>
  <c r="AM333" i="1" s="1"/>
  <c r="AN333" i="1" a="1"/>
  <c r="AN333" i="1" s="1"/>
  <c r="AO333" i="1" a="1"/>
  <c r="AO333" i="1" s="1"/>
  <c r="AP333" i="1" a="1"/>
  <c r="AP333" i="1" s="1"/>
  <c r="AQ333" i="1" a="1"/>
  <c r="AQ333" i="1" s="1"/>
  <c r="AR333" i="1" a="1"/>
  <c r="AR333" i="1" s="1"/>
  <c r="AS333" i="1" a="1"/>
  <c r="AS333" i="1" s="1"/>
  <c r="AT333" i="1" a="1"/>
  <c r="AT333" i="1" s="1"/>
  <c r="AU333" i="1" a="1"/>
  <c r="AU333" i="1" s="1"/>
  <c r="AV333" i="1" a="1"/>
  <c r="AV333" i="1" s="1"/>
  <c r="AW333" i="1" a="1"/>
  <c r="AW333" i="1" s="1"/>
  <c r="AX333" i="1" a="1"/>
  <c r="AX333" i="1" s="1"/>
  <c r="AY333" i="1" a="1"/>
  <c r="AY333" i="1" s="1"/>
  <c r="AZ333" i="1" a="1"/>
  <c r="AZ333" i="1" s="1"/>
  <c r="BA333" i="1" a="1"/>
  <c r="BA333" i="1" s="1"/>
  <c r="BB333" i="1" a="1"/>
  <c r="BB333" i="1" s="1"/>
  <c r="AL334" i="1" a="1"/>
  <c r="AL334" i="1" s="1"/>
  <c r="AM334" i="1" a="1"/>
  <c r="AM334" i="1" s="1"/>
  <c r="AN334" i="1" a="1"/>
  <c r="AN334" i="1" s="1"/>
  <c r="AO334" i="1" a="1"/>
  <c r="AO334" i="1" s="1"/>
  <c r="AP334" i="1" a="1"/>
  <c r="AP334" i="1" s="1"/>
  <c r="AQ334" i="1" a="1"/>
  <c r="AQ334" i="1" s="1"/>
  <c r="AR334" i="1" a="1"/>
  <c r="AR334" i="1" s="1"/>
  <c r="AS334" i="1" a="1"/>
  <c r="AS334" i="1" s="1"/>
  <c r="AT334" i="1" a="1"/>
  <c r="AT334" i="1" s="1"/>
  <c r="AU334" i="1" a="1"/>
  <c r="AU334" i="1" s="1"/>
  <c r="AV334" i="1" a="1"/>
  <c r="AV334" i="1" s="1"/>
  <c r="AW334" i="1" a="1"/>
  <c r="AW334" i="1" s="1"/>
  <c r="AX334" i="1" a="1"/>
  <c r="AX334" i="1" s="1"/>
  <c r="AY334" i="1" a="1"/>
  <c r="AY334" i="1" s="1"/>
  <c r="AZ334" i="1" a="1"/>
  <c r="AZ334" i="1" s="1"/>
  <c r="BA334" i="1" a="1"/>
  <c r="BA334" i="1" s="1"/>
  <c r="BB334" i="1" a="1"/>
  <c r="BB334" i="1" s="1"/>
  <c r="AL335" i="1" a="1"/>
  <c r="AL335" i="1" s="1"/>
  <c r="AM335" i="1" a="1"/>
  <c r="AM335" i="1" s="1"/>
  <c r="AN335" i="1" a="1"/>
  <c r="AN335" i="1" s="1"/>
  <c r="AO335" i="1" a="1"/>
  <c r="AO335" i="1" s="1"/>
  <c r="AP335" i="1" a="1"/>
  <c r="AP335" i="1" s="1"/>
  <c r="AQ335" i="1" a="1"/>
  <c r="AQ335" i="1" s="1"/>
  <c r="AR335" i="1" a="1"/>
  <c r="AR335" i="1" s="1"/>
  <c r="AS335" i="1" a="1"/>
  <c r="AS335" i="1" s="1"/>
  <c r="AT335" i="1" a="1"/>
  <c r="AT335" i="1" s="1"/>
  <c r="AU335" i="1" a="1"/>
  <c r="AU335" i="1" s="1"/>
  <c r="AV335" i="1" a="1"/>
  <c r="AV335" i="1" s="1"/>
  <c r="AW335" i="1" a="1"/>
  <c r="AW335" i="1" s="1"/>
  <c r="AX335" i="1" a="1"/>
  <c r="AX335" i="1" s="1"/>
  <c r="AY335" i="1" a="1"/>
  <c r="AY335" i="1" s="1"/>
  <c r="AZ335" i="1" a="1"/>
  <c r="AZ335" i="1" s="1"/>
  <c r="BA335" i="1" a="1"/>
  <c r="BA335" i="1" s="1"/>
  <c r="BB335" i="1" a="1"/>
  <c r="BB335" i="1" s="1"/>
  <c r="AL336" i="1" a="1"/>
  <c r="AL336" i="1" s="1"/>
  <c r="AM336" i="1" a="1"/>
  <c r="AM336" i="1" s="1"/>
  <c r="AN336" i="1" a="1"/>
  <c r="AN336" i="1" s="1"/>
  <c r="AO336" i="1" a="1"/>
  <c r="AO336" i="1" s="1"/>
  <c r="AP336" i="1" a="1"/>
  <c r="AP336" i="1" s="1"/>
  <c r="AQ336" i="1" a="1"/>
  <c r="AQ336" i="1" s="1"/>
  <c r="AR336" i="1" a="1"/>
  <c r="AR336" i="1" s="1"/>
  <c r="AS336" i="1" a="1"/>
  <c r="AS336" i="1" s="1"/>
  <c r="AT336" i="1" a="1"/>
  <c r="AT336" i="1" s="1"/>
  <c r="AU336" i="1" a="1"/>
  <c r="AU336" i="1" s="1"/>
  <c r="AV336" i="1" a="1"/>
  <c r="AV336" i="1" s="1"/>
  <c r="AW336" i="1" a="1"/>
  <c r="AW336" i="1" s="1"/>
  <c r="AX336" i="1" a="1"/>
  <c r="AX336" i="1" s="1"/>
  <c r="AY336" i="1" a="1"/>
  <c r="AY336" i="1" s="1"/>
  <c r="AZ336" i="1" a="1"/>
  <c r="AZ336" i="1" s="1"/>
  <c r="BA336" i="1" a="1"/>
  <c r="BA336" i="1" s="1"/>
  <c r="BB336" i="1" a="1"/>
  <c r="BB336" i="1" s="1"/>
  <c r="AL337" i="1" a="1"/>
  <c r="AL337" i="1" s="1"/>
  <c r="AM337" i="1" a="1"/>
  <c r="AM337" i="1" s="1"/>
  <c r="AN337" i="1" a="1"/>
  <c r="AN337" i="1" s="1"/>
  <c r="AO337" i="1" a="1"/>
  <c r="AO337" i="1" s="1"/>
  <c r="AP337" i="1" a="1"/>
  <c r="AP337" i="1" s="1"/>
  <c r="AQ337" i="1" a="1"/>
  <c r="AQ337" i="1" s="1"/>
  <c r="AR337" i="1" a="1"/>
  <c r="AR337" i="1" s="1"/>
  <c r="AS337" i="1" a="1"/>
  <c r="AS337" i="1" s="1"/>
  <c r="AT337" i="1" a="1"/>
  <c r="AT337" i="1" s="1"/>
  <c r="AU337" i="1" a="1"/>
  <c r="AU337" i="1" s="1"/>
  <c r="AV337" i="1" a="1"/>
  <c r="AV337" i="1" s="1"/>
  <c r="AW337" i="1" a="1"/>
  <c r="AW337" i="1" s="1"/>
  <c r="AX337" i="1" a="1"/>
  <c r="AX337" i="1" s="1"/>
  <c r="AY337" i="1" a="1"/>
  <c r="AY337" i="1" s="1"/>
  <c r="AZ337" i="1" a="1"/>
  <c r="AZ337" i="1" s="1"/>
  <c r="BA337" i="1" a="1"/>
  <c r="BA337" i="1" s="1"/>
  <c r="BB337" i="1" a="1"/>
  <c r="BB337" i="1" s="1"/>
  <c r="AL339" i="1" a="1"/>
  <c r="AL339" i="1" s="1"/>
  <c r="AM339" i="1" a="1"/>
  <c r="AM339" i="1" s="1"/>
  <c r="AN339" i="1" a="1"/>
  <c r="AN339" i="1" s="1"/>
  <c r="AO339" i="1" a="1"/>
  <c r="AO339" i="1" s="1"/>
  <c r="AP339" i="1" a="1"/>
  <c r="AP339" i="1" s="1"/>
  <c r="AQ339" i="1" a="1"/>
  <c r="AQ339" i="1" s="1"/>
  <c r="AR339" i="1" a="1"/>
  <c r="AR339" i="1" s="1"/>
  <c r="AS339" i="1" a="1"/>
  <c r="AS339" i="1" s="1"/>
  <c r="AT339" i="1" a="1"/>
  <c r="AT339" i="1" s="1"/>
  <c r="AU339" i="1" a="1"/>
  <c r="AU339" i="1" s="1"/>
  <c r="AV339" i="1" a="1"/>
  <c r="AV339" i="1" s="1"/>
  <c r="AW339" i="1" a="1"/>
  <c r="AW339" i="1" s="1"/>
  <c r="AX339" i="1" a="1"/>
  <c r="AX339" i="1" s="1"/>
  <c r="AY339" i="1" a="1"/>
  <c r="AY339" i="1" s="1"/>
  <c r="AZ339" i="1" a="1"/>
  <c r="AZ339" i="1" s="1"/>
  <c r="BA339" i="1" a="1"/>
  <c r="BA339" i="1" s="1"/>
  <c r="BB339" i="1" a="1"/>
  <c r="BB339" i="1" s="1"/>
  <c r="AL340" i="1" a="1"/>
  <c r="AL340" i="1" s="1"/>
  <c r="AM340" i="1" a="1"/>
  <c r="AM340" i="1" s="1"/>
  <c r="AN340" i="1" a="1"/>
  <c r="AN340" i="1" s="1"/>
  <c r="AO340" i="1" a="1"/>
  <c r="AO340" i="1" s="1"/>
  <c r="AP340" i="1" a="1"/>
  <c r="AP340" i="1" s="1"/>
  <c r="AQ340" i="1" a="1"/>
  <c r="AQ340" i="1" s="1"/>
  <c r="AR340" i="1" a="1"/>
  <c r="AR340" i="1" s="1"/>
  <c r="AS340" i="1" a="1"/>
  <c r="AS340" i="1" s="1"/>
  <c r="AT340" i="1" a="1"/>
  <c r="AT340" i="1" s="1"/>
  <c r="AU340" i="1" a="1"/>
  <c r="AU340" i="1" s="1"/>
  <c r="AV340" i="1" a="1"/>
  <c r="AV340" i="1" s="1"/>
  <c r="AW340" i="1" a="1"/>
  <c r="AW340" i="1" s="1"/>
  <c r="AX340" i="1" a="1"/>
  <c r="AX340" i="1" s="1"/>
  <c r="AY340" i="1" a="1"/>
  <c r="AY340" i="1" s="1"/>
  <c r="AZ340" i="1" a="1"/>
  <c r="AZ340" i="1" s="1"/>
  <c r="BA340" i="1" a="1"/>
  <c r="BA340" i="1" s="1"/>
  <c r="BB340" i="1" a="1"/>
  <c r="BB340" i="1" s="1"/>
  <c r="AL341" i="1" a="1"/>
  <c r="AL341" i="1" s="1"/>
  <c r="AM341" i="1" a="1"/>
  <c r="AM341" i="1" s="1"/>
  <c r="AN341" i="1" a="1"/>
  <c r="AN341" i="1" s="1"/>
  <c r="AO341" i="1" a="1"/>
  <c r="AO341" i="1" s="1"/>
  <c r="AP341" i="1" a="1"/>
  <c r="AP341" i="1" s="1"/>
  <c r="AQ341" i="1" a="1"/>
  <c r="AQ341" i="1" s="1"/>
  <c r="AR341" i="1" a="1"/>
  <c r="AR341" i="1" s="1"/>
  <c r="AS341" i="1" a="1"/>
  <c r="AS341" i="1" s="1"/>
  <c r="AT341" i="1" a="1"/>
  <c r="AT341" i="1" s="1"/>
  <c r="AU341" i="1" a="1"/>
  <c r="AU341" i="1" s="1"/>
  <c r="AV341" i="1" a="1"/>
  <c r="AV341" i="1" s="1"/>
  <c r="AW341" i="1" a="1"/>
  <c r="AW341" i="1" s="1"/>
  <c r="AX341" i="1" a="1"/>
  <c r="AX341" i="1" s="1"/>
  <c r="AY341" i="1" a="1"/>
  <c r="AY341" i="1" s="1"/>
  <c r="AZ341" i="1" a="1"/>
  <c r="AZ341" i="1" s="1"/>
  <c r="BA341" i="1" a="1"/>
  <c r="BA341" i="1" s="1"/>
  <c r="BB341" i="1" a="1"/>
  <c r="BB341" i="1" s="1"/>
  <c r="AL344" i="1" a="1"/>
  <c r="AL344" i="1" s="1"/>
  <c r="AM344" i="1" a="1"/>
  <c r="AM344" i="1" s="1"/>
  <c r="AN344" i="1" a="1"/>
  <c r="AN344" i="1" s="1"/>
  <c r="AO344" i="1" a="1"/>
  <c r="AO344" i="1" s="1"/>
  <c r="AP344" i="1" a="1"/>
  <c r="AP344" i="1" s="1"/>
  <c r="AQ344" i="1" a="1"/>
  <c r="AQ344" i="1" s="1"/>
  <c r="AR344" i="1" a="1"/>
  <c r="AR344" i="1" s="1"/>
  <c r="AS344" i="1" a="1"/>
  <c r="AS344" i="1" s="1"/>
  <c r="AT344" i="1" a="1"/>
  <c r="AT344" i="1" s="1"/>
  <c r="AU344" i="1" a="1"/>
  <c r="AU344" i="1" s="1"/>
  <c r="AV344" i="1" a="1"/>
  <c r="AV344" i="1" s="1"/>
  <c r="AW344" i="1" a="1"/>
  <c r="AW344" i="1" s="1"/>
  <c r="AX344" i="1" a="1"/>
  <c r="AX344" i="1" s="1"/>
  <c r="AY344" i="1" a="1"/>
  <c r="AY344" i="1" s="1"/>
  <c r="AZ344" i="1" a="1"/>
  <c r="AZ344" i="1" s="1"/>
  <c r="BA344" i="1" a="1"/>
  <c r="BA344" i="1" s="1"/>
  <c r="BB344" i="1" a="1"/>
  <c r="BB344" i="1" s="1"/>
  <c r="AL345" i="1" a="1"/>
  <c r="AL345" i="1" s="1"/>
  <c r="AM345" i="1" a="1"/>
  <c r="AM345" i="1" s="1"/>
  <c r="AN345" i="1" a="1"/>
  <c r="AN345" i="1" s="1"/>
  <c r="AO345" i="1" a="1"/>
  <c r="AO345" i="1" s="1"/>
  <c r="AP345" i="1" a="1"/>
  <c r="AP345" i="1" s="1"/>
  <c r="AQ345" i="1" a="1"/>
  <c r="AQ345" i="1" s="1"/>
  <c r="AR345" i="1" a="1"/>
  <c r="AR345" i="1" s="1"/>
  <c r="AS345" i="1" a="1"/>
  <c r="AS345" i="1" s="1"/>
  <c r="AT345" i="1" a="1"/>
  <c r="AT345" i="1" s="1"/>
  <c r="AU345" i="1" a="1"/>
  <c r="AU345" i="1" s="1"/>
  <c r="AV345" i="1" a="1"/>
  <c r="AV345" i="1" s="1"/>
  <c r="AW345" i="1" a="1"/>
  <c r="AW345" i="1" s="1"/>
  <c r="AX345" i="1" a="1"/>
  <c r="AX345" i="1" s="1"/>
  <c r="AY345" i="1" a="1"/>
  <c r="AY345" i="1" s="1"/>
  <c r="AZ345" i="1" a="1"/>
  <c r="AZ345" i="1" s="1"/>
  <c r="BA345" i="1" a="1"/>
  <c r="BA345" i="1" s="1"/>
  <c r="BB345" i="1" a="1"/>
  <c r="BB345" i="1" s="1"/>
  <c r="AL346" i="1" a="1"/>
  <c r="AL346" i="1" s="1"/>
  <c r="AM346" i="1" a="1"/>
  <c r="AM346" i="1" s="1"/>
  <c r="AN346" i="1" a="1"/>
  <c r="AN346" i="1" s="1"/>
  <c r="AO346" i="1" a="1"/>
  <c r="AO346" i="1" s="1"/>
  <c r="AP346" i="1" a="1"/>
  <c r="AP346" i="1" s="1"/>
  <c r="AQ346" i="1" a="1"/>
  <c r="AQ346" i="1" s="1"/>
  <c r="AR346" i="1" a="1"/>
  <c r="AR346" i="1" s="1"/>
  <c r="AS346" i="1" a="1"/>
  <c r="AS346" i="1" s="1"/>
  <c r="AT346" i="1" a="1"/>
  <c r="AT346" i="1" s="1"/>
  <c r="AU346" i="1" a="1"/>
  <c r="AU346" i="1" s="1"/>
  <c r="AV346" i="1" a="1"/>
  <c r="AV346" i="1" s="1"/>
  <c r="AW346" i="1" a="1"/>
  <c r="AW346" i="1" s="1"/>
  <c r="AX346" i="1" a="1"/>
  <c r="AX346" i="1" s="1"/>
  <c r="AY346" i="1" a="1"/>
  <c r="AY346" i="1" s="1"/>
  <c r="AZ346" i="1" a="1"/>
  <c r="AZ346" i="1" s="1"/>
  <c r="BA346" i="1" a="1"/>
  <c r="BA346" i="1" s="1"/>
  <c r="BB346" i="1" a="1"/>
  <c r="BB346" i="1" s="1"/>
  <c r="AL347" i="1" a="1"/>
  <c r="AL347" i="1" s="1"/>
  <c r="AM347" i="1" a="1"/>
  <c r="AM347" i="1" s="1"/>
  <c r="AN347" i="1" a="1"/>
  <c r="AN347" i="1" s="1"/>
  <c r="AO347" i="1" a="1"/>
  <c r="AO347" i="1" s="1"/>
  <c r="AP347" i="1" a="1"/>
  <c r="AP347" i="1" s="1"/>
  <c r="AQ347" i="1" a="1"/>
  <c r="AQ347" i="1" s="1"/>
  <c r="AR347" i="1" a="1"/>
  <c r="AR347" i="1" s="1"/>
  <c r="AS347" i="1" a="1"/>
  <c r="AS347" i="1" s="1"/>
  <c r="AT347" i="1" a="1"/>
  <c r="AT347" i="1" s="1"/>
  <c r="AU347" i="1" a="1"/>
  <c r="AU347" i="1" s="1"/>
  <c r="AV347" i="1" a="1"/>
  <c r="AV347" i="1" s="1"/>
  <c r="AW347" i="1" a="1"/>
  <c r="AW347" i="1" s="1"/>
  <c r="AX347" i="1" a="1"/>
  <c r="AX347" i="1" s="1"/>
  <c r="AY347" i="1" a="1"/>
  <c r="AY347" i="1" s="1"/>
  <c r="AZ347" i="1" a="1"/>
  <c r="AZ347" i="1" s="1"/>
  <c r="BA347" i="1" a="1"/>
  <c r="BA347" i="1" s="1"/>
  <c r="BB347" i="1" a="1"/>
  <c r="BB347" i="1" s="1"/>
  <c r="AL348" i="1" a="1"/>
  <c r="AL348" i="1" s="1"/>
  <c r="AM348" i="1" a="1"/>
  <c r="AM348" i="1" s="1"/>
  <c r="AN348" i="1" a="1"/>
  <c r="AN348" i="1" s="1"/>
  <c r="AO348" i="1" a="1"/>
  <c r="AO348" i="1" s="1"/>
  <c r="AP348" i="1" a="1"/>
  <c r="AP348" i="1" s="1"/>
  <c r="AQ348" i="1" a="1"/>
  <c r="AQ348" i="1" s="1"/>
  <c r="AR348" i="1" a="1"/>
  <c r="AR348" i="1" s="1"/>
  <c r="AS348" i="1" a="1"/>
  <c r="AS348" i="1" s="1"/>
  <c r="AT348" i="1" a="1"/>
  <c r="AT348" i="1" s="1"/>
  <c r="AU348" i="1" a="1"/>
  <c r="AU348" i="1" s="1"/>
  <c r="AV348" i="1" a="1"/>
  <c r="AV348" i="1" s="1"/>
  <c r="AW348" i="1" a="1"/>
  <c r="AW348" i="1" s="1"/>
  <c r="AX348" i="1" a="1"/>
  <c r="AX348" i="1" s="1"/>
  <c r="AY348" i="1" a="1"/>
  <c r="AY348" i="1" s="1"/>
  <c r="AZ348" i="1" a="1"/>
  <c r="AZ348" i="1" s="1"/>
  <c r="BA348" i="1" a="1"/>
  <c r="BA348" i="1" s="1"/>
  <c r="BB348" i="1" a="1"/>
  <c r="BB348" i="1" s="1"/>
  <c r="AL350" i="1" a="1"/>
  <c r="AL350" i="1" s="1"/>
  <c r="AM350" i="1" a="1"/>
  <c r="AM350" i="1" s="1"/>
  <c r="AN350" i="1" a="1"/>
  <c r="AN350" i="1" s="1"/>
  <c r="AO350" i="1" a="1"/>
  <c r="AO350" i="1" s="1"/>
  <c r="AP350" i="1" a="1"/>
  <c r="AP350" i="1" s="1"/>
  <c r="AQ350" i="1" a="1"/>
  <c r="AQ350" i="1" s="1"/>
  <c r="AR350" i="1" a="1"/>
  <c r="AR350" i="1" s="1"/>
  <c r="AS350" i="1" a="1"/>
  <c r="AS350" i="1" s="1"/>
  <c r="AT350" i="1" a="1"/>
  <c r="AT350" i="1" s="1"/>
  <c r="AU350" i="1" a="1"/>
  <c r="AU350" i="1" s="1"/>
  <c r="AV350" i="1" a="1"/>
  <c r="AV350" i="1" s="1"/>
  <c r="AW350" i="1" a="1"/>
  <c r="AW350" i="1" s="1"/>
  <c r="AX350" i="1" a="1"/>
  <c r="AX350" i="1" s="1"/>
  <c r="AY350" i="1" a="1"/>
  <c r="AY350" i="1" s="1"/>
  <c r="AZ350" i="1" a="1"/>
  <c r="AZ350" i="1" s="1"/>
  <c r="BA350" i="1" a="1"/>
  <c r="BA350" i="1" s="1"/>
  <c r="BB350" i="1" a="1"/>
  <c r="BB350" i="1" s="1"/>
  <c r="AL351" i="1" a="1"/>
  <c r="AL351" i="1" s="1"/>
  <c r="AM351" i="1" a="1"/>
  <c r="AM351" i="1" s="1"/>
  <c r="AN351" i="1" a="1"/>
  <c r="AN351" i="1" s="1"/>
  <c r="AO351" i="1" a="1"/>
  <c r="AO351" i="1" s="1"/>
  <c r="AP351" i="1" a="1"/>
  <c r="AP351" i="1" s="1"/>
  <c r="AQ351" i="1" a="1"/>
  <c r="AQ351" i="1" s="1"/>
  <c r="AR351" i="1" a="1"/>
  <c r="AR351" i="1" s="1"/>
  <c r="AS351" i="1" a="1"/>
  <c r="AS351" i="1" s="1"/>
  <c r="AT351" i="1" a="1"/>
  <c r="AT351" i="1" s="1"/>
  <c r="AU351" i="1" a="1"/>
  <c r="AU351" i="1" s="1"/>
  <c r="AV351" i="1" a="1"/>
  <c r="AV351" i="1" s="1"/>
  <c r="AW351" i="1" a="1"/>
  <c r="AW351" i="1" s="1"/>
  <c r="AX351" i="1" a="1"/>
  <c r="AX351" i="1" s="1"/>
  <c r="AY351" i="1" a="1"/>
  <c r="AY351" i="1" s="1"/>
  <c r="AZ351" i="1" a="1"/>
  <c r="AZ351" i="1" s="1"/>
  <c r="BA351" i="1" a="1"/>
  <c r="BA351" i="1" s="1"/>
  <c r="BB351" i="1" a="1"/>
  <c r="BB351" i="1" s="1"/>
  <c r="AL352" i="1" a="1"/>
  <c r="AL352" i="1" s="1"/>
  <c r="AM352" i="1" a="1"/>
  <c r="AM352" i="1" s="1"/>
  <c r="AN352" i="1" a="1"/>
  <c r="AN352" i="1" s="1"/>
  <c r="AO352" i="1" a="1"/>
  <c r="AO352" i="1" s="1"/>
  <c r="AP352" i="1" a="1"/>
  <c r="AP352" i="1" s="1"/>
  <c r="AQ352" i="1" a="1"/>
  <c r="AQ352" i="1" s="1"/>
  <c r="AR352" i="1" a="1"/>
  <c r="AR352" i="1" s="1"/>
  <c r="AS352" i="1" a="1"/>
  <c r="AS352" i="1" s="1"/>
  <c r="AT352" i="1" a="1"/>
  <c r="AT352" i="1" s="1"/>
  <c r="AU352" i="1" a="1"/>
  <c r="AU352" i="1" s="1"/>
  <c r="AV352" i="1" a="1"/>
  <c r="AV352" i="1" s="1"/>
  <c r="AW352" i="1" a="1"/>
  <c r="AW352" i="1" s="1"/>
  <c r="AX352" i="1" a="1"/>
  <c r="AX352" i="1" s="1"/>
  <c r="AY352" i="1" a="1"/>
  <c r="AY352" i="1" s="1"/>
  <c r="AZ352" i="1" a="1"/>
  <c r="AZ352" i="1" s="1"/>
  <c r="BA352" i="1" a="1"/>
  <c r="BA352" i="1" s="1"/>
  <c r="BB352" i="1" a="1"/>
  <c r="BB352" i="1" s="1"/>
  <c r="AL354" i="1" a="1"/>
  <c r="AL354" i="1" s="1"/>
  <c r="AM354" i="1" a="1"/>
  <c r="AM354" i="1" s="1"/>
  <c r="AN354" i="1" a="1"/>
  <c r="AN354" i="1" s="1"/>
  <c r="AO354" i="1" a="1"/>
  <c r="AO354" i="1" s="1"/>
  <c r="AP354" i="1" a="1"/>
  <c r="AP354" i="1" s="1"/>
  <c r="AQ354" i="1" a="1"/>
  <c r="AQ354" i="1" s="1"/>
  <c r="AR354" i="1" a="1"/>
  <c r="AR354" i="1" s="1"/>
  <c r="AS354" i="1" a="1"/>
  <c r="AS354" i="1" s="1"/>
  <c r="AT354" i="1" a="1"/>
  <c r="AT354" i="1" s="1"/>
  <c r="AU354" i="1" a="1"/>
  <c r="AU354" i="1" s="1"/>
  <c r="AV354" i="1" a="1"/>
  <c r="AV354" i="1" s="1"/>
  <c r="AW354" i="1" a="1"/>
  <c r="AW354" i="1" s="1"/>
  <c r="AX354" i="1" a="1"/>
  <c r="AX354" i="1" s="1"/>
  <c r="AY354" i="1" a="1"/>
  <c r="AY354" i="1" s="1"/>
  <c r="AZ354" i="1" a="1"/>
  <c r="AZ354" i="1" s="1"/>
  <c r="BA354" i="1" a="1"/>
  <c r="BA354" i="1" s="1"/>
  <c r="BB354" i="1" a="1"/>
  <c r="BB354" i="1" s="1"/>
  <c r="AL355" i="1" a="1"/>
  <c r="AL355" i="1" s="1"/>
  <c r="AM355" i="1" a="1"/>
  <c r="AM355" i="1" s="1"/>
  <c r="AN355" i="1" a="1"/>
  <c r="AN355" i="1" s="1"/>
  <c r="AO355" i="1" a="1"/>
  <c r="AO355" i="1" s="1"/>
  <c r="AP355" i="1" a="1"/>
  <c r="AP355" i="1" s="1"/>
  <c r="AQ355" i="1" a="1"/>
  <c r="AQ355" i="1" s="1"/>
  <c r="AR355" i="1" a="1"/>
  <c r="AR355" i="1" s="1"/>
  <c r="AS355" i="1" a="1"/>
  <c r="AS355" i="1" s="1"/>
  <c r="AT355" i="1" a="1"/>
  <c r="AT355" i="1" s="1"/>
  <c r="AU355" i="1" a="1"/>
  <c r="AU355" i="1" s="1"/>
  <c r="AV355" i="1" a="1"/>
  <c r="AV355" i="1" s="1"/>
  <c r="AW355" i="1" a="1"/>
  <c r="AW355" i="1" s="1"/>
  <c r="AX355" i="1" a="1"/>
  <c r="AX355" i="1" s="1"/>
  <c r="AY355" i="1" a="1"/>
  <c r="AY355" i="1" s="1"/>
  <c r="AZ355" i="1" a="1"/>
  <c r="AZ355" i="1" s="1"/>
  <c r="BA355" i="1" a="1"/>
  <c r="BA355" i="1" s="1"/>
  <c r="BB355" i="1" a="1"/>
  <c r="BB355" i="1" s="1"/>
  <c r="AL356" i="1" a="1"/>
  <c r="AL356" i="1" s="1"/>
  <c r="AM356" i="1" a="1"/>
  <c r="AM356" i="1" s="1"/>
  <c r="AN356" i="1" a="1"/>
  <c r="AN356" i="1" s="1"/>
  <c r="AO356" i="1" a="1"/>
  <c r="AO356" i="1" s="1"/>
  <c r="AP356" i="1" a="1"/>
  <c r="AP356" i="1" s="1"/>
  <c r="AQ356" i="1" a="1"/>
  <c r="AQ356" i="1" s="1"/>
  <c r="AR356" i="1" a="1"/>
  <c r="AR356" i="1" s="1"/>
  <c r="AS356" i="1" a="1"/>
  <c r="AS356" i="1" s="1"/>
  <c r="AT356" i="1" a="1"/>
  <c r="AT356" i="1" s="1"/>
  <c r="AU356" i="1" a="1"/>
  <c r="AU356" i="1" s="1"/>
  <c r="AV356" i="1" a="1"/>
  <c r="AV356" i="1" s="1"/>
  <c r="AW356" i="1" a="1"/>
  <c r="AW356" i="1" s="1"/>
  <c r="AX356" i="1" a="1"/>
  <c r="AX356" i="1" s="1"/>
  <c r="AY356" i="1" a="1"/>
  <c r="AY356" i="1" s="1"/>
  <c r="AZ356" i="1" a="1"/>
  <c r="AZ356" i="1" s="1"/>
  <c r="BA356" i="1" a="1"/>
  <c r="BA356" i="1" s="1"/>
  <c r="BB356" i="1" a="1"/>
  <c r="BB356" i="1" s="1"/>
  <c r="AL357" i="1" a="1"/>
  <c r="AL357" i="1" s="1"/>
  <c r="AM357" i="1" a="1"/>
  <c r="AM357" i="1" s="1"/>
  <c r="AN357" i="1" a="1"/>
  <c r="AN357" i="1" s="1"/>
  <c r="AO357" i="1" a="1"/>
  <c r="AO357" i="1" s="1"/>
  <c r="AP357" i="1" a="1"/>
  <c r="AP357" i="1" s="1"/>
  <c r="AQ357" i="1" a="1"/>
  <c r="AQ357" i="1" s="1"/>
  <c r="AR357" i="1" a="1"/>
  <c r="AR357" i="1" s="1"/>
  <c r="AS357" i="1" a="1"/>
  <c r="AS357" i="1" s="1"/>
  <c r="AT357" i="1" a="1"/>
  <c r="AT357" i="1" s="1"/>
  <c r="AU357" i="1" a="1"/>
  <c r="AU357" i="1" s="1"/>
  <c r="AV357" i="1" a="1"/>
  <c r="AV357" i="1" s="1"/>
  <c r="AW357" i="1" a="1"/>
  <c r="AW357" i="1" s="1"/>
  <c r="AX357" i="1" a="1"/>
  <c r="AX357" i="1" s="1"/>
  <c r="AY357" i="1" a="1"/>
  <c r="AY357" i="1" s="1"/>
  <c r="AZ357" i="1" a="1"/>
  <c r="AZ357" i="1" s="1"/>
  <c r="BA357" i="1" a="1"/>
  <c r="BA357" i="1" s="1"/>
  <c r="BB357" i="1" a="1"/>
  <c r="BB357" i="1" s="1"/>
  <c r="AL358" i="1" a="1"/>
  <c r="AL358" i="1" s="1"/>
  <c r="AM358" i="1" a="1"/>
  <c r="AM358" i="1" s="1"/>
  <c r="AN358" i="1" a="1"/>
  <c r="AN358" i="1" s="1"/>
  <c r="AO358" i="1" a="1"/>
  <c r="AO358" i="1" s="1"/>
  <c r="AP358" i="1" a="1"/>
  <c r="AP358" i="1" s="1"/>
  <c r="AQ358" i="1" a="1"/>
  <c r="AQ358" i="1" s="1"/>
  <c r="AR358" i="1" a="1"/>
  <c r="AR358" i="1" s="1"/>
  <c r="AS358" i="1" a="1"/>
  <c r="AS358" i="1" s="1"/>
  <c r="AT358" i="1" a="1"/>
  <c r="AT358" i="1" s="1"/>
  <c r="AU358" i="1" a="1"/>
  <c r="AU358" i="1" s="1"/>
  <c r="AV358" i="1" a="1"/>
  <c r="AV358" i="1" s="1"/>
  <c r="AW358" i="1" a="1"/>
  <c r="AW358" i="1" s="1"/>
  <c r="AX358" i="1" a="1"/>
  <c r="AX358" i="1" s="1"/>
  <c r="AY358" i="1" a="1"/>
  <c r="AY358" i="1" s="1"/>
  <c r="AZ358" i="1" a="1"/>
  <c r="AZ358" i="1" s="1"/>
  <c r="BA358" i="1" a="1"/>
  <c r="BA358" i="1" s="1"/>
  <c r="BB358" i="1" a="1"/>
  <c r="BB358" i="1" s="1"/>
  <c r="AL359" i="1" a="1"/>
  <c r="AL359" i="1" s="1"/>
  <c r="AM359" i="1" a="1"/>
  <c r="AM359" i="1" s="1"/>
  <c r="AN359" i="1" a="1"/>
  <c r="AN359" i="1" s="1"/>
  <c r="AO359" i="1" a="1"/>
  <c r="AO359" i="1" s="1"/>
  <c r="AP359" i="1" a="1"/>
  <c r="AP359" i="1" s="1"/>
  <c r="AQ359" i="1" a="1"/>
  <c r="AQ359" i="1" s="1"/>
  <c r="AR359" i="1" a="1"/>
  <c r="AR359" i="1" s="1"/>
  <c r="AS359" i="1" a="1"/>
  <c r="AS359" i="1" s="1"/>
  <c r="AT359" i="1" a="1"/>
  <c r="AT359" i="1" s="1"/>
  <c r="AU359" i="1" a="1"/>
  <c r="AU359" i="1" s="1"/>
  <c r="AV359" i="1" a="1"/>
  <c r="AV359" i="1" s="1"/>
  <c r="AW359" i="1" a="1"/>
  <c r="AW359" i="1" s="1"/>
  <c r="AX359" i="1" a="1"/>
  <c r="AX359" i="1" s="1"/>
  <c r="AY359" i="1" a="1"/>
  <c r="AY359" i="1" s="1"/>
  <c r="AZ359" i="1" a="1"/>
  <c r="AZ359" i="1" s="1"/>
  <c r="BA359" i="1" a="1"/>
  <c r="BA359" i="1" s="1"/>
  <c r="BB359" i="1" a="1"/>
  <c r="BB359" i="1" s="1"/>
  <c r="AL360" i="1" a="1"/>
  <c r="AL360" i="1" s="1"/>
  <c r="AM360" i="1" a="1"/>
  <c r="AM360" i="1" s="1"/>
  <c r="AN360" i="1" a="1"/>
  <c r="AN360" i="1" s="1"/>
  <c r="AO360" i="1" a="1"/>
  <c r="AO360" i="1" s="1"/>
  <c r="AP360" i="1" a="1"/>
  <c r="AP360" i="1" s="1"/>
  <c r="AQ360" i="1" a="1"/>
  <c r="AQ360" i="1" s="1"/>
  <c r="AR360" i="1" a="1"/>
  <c r="AR360" i="1" s="1"/>
  <c r="AS360" i="1" a="1"/>
  <c r="AS360" i="1" s="1"/>
  <c r="AT360" i="1" a="1"/>
  <c r="AT360" i="1" s="1"/>
  <c r="AU360" i="1" a="1"/>
  <c r="AU360" i="1" s="1"/>
  <c r="AV360" i="1" a="1"/>
  <c r="AV360" i="1" s="1"/>
  <c r="AW360" i="1" a="1"/>
  <c r="AW360" i="1" s="1"/>
  <c r="AX360" i="1" a="1"/>
  <c r="AX360" i="1" s="1"/>
  <c r="AY360" i="1" a="1"/>
  <c r="AY360" i="1" s="1"/>
  <c r="AZ360" i="1" a="1"/>
  <c r="AZ360" i="1" s="1"/>
  <c r="BA360" i="1" a="1"/>
  <c r="BA360" i="1" s="1"/>
  <c r="BB360" i="1" a="1"/>
  <c r="BB360" i="1" s="1"/>
  <c r="AL361" i="1" a="1"/>
  <c r="AL361" i="1" s="1"/>
  <c r="AM361" i="1" a="1"/>
  <c r="AM361" i="1" s="1"/>
  <c r="AN361" i="1" a="1"/>
  <c r="AN361" i="1" s="1"/>
  <c r="AO361" i="1" a="1"/>
  <c r="AO361" i="1" s="1"/>
  <c r="AP361" i="1" a="1"/>
  <c r="AP361" i="1" s="1"/>
  <c r="AQ361" i="1" a="1"/>
  <c r="AQ361" i="1" s="1"/>
  <c r="AR361" i="1" a="1"/>
  <c r="AR361" i="1" s="1"/>
  <c r="AS361" i="1" a="1"/>
  <c r="AS361" i="1" s="1"/>
  <c r="AT361" i="1" a="1"/>
  <c r="AT361" i="1" s="1"/>
  <c r="AU361" i="1" a="1"/>
  <c r="AU361" i="1" s="1"/>
  <c r="AV361" i="1" a="1"/>
  <c r="AV361" i="1" s="1"/>
  <c r="AW361" i="1" a="1"/>
  <c r="AW361" i="1" s="1"/>
  <c r="AX361" i="1" a="1"/>
  <c r="AX361" i="1" s="1"/>
  <c r="AY361" i="1" a="1"/>
  <c r="AY361" i="1" s="1"/>
  <c r="AZ361" i="1" a="1"/>
  <c r="AZ361" i="1" s="1"/>
  <c r="BA361" i="1" a="1"/>
  <c r="BA361" i="1" s="1"/>
  <c r="BB361" i="1" a="1"/>
  <c r="BB361" i="1" s="1"/>
  <c r="AL362" i="1" a="1"/>
  <c r="AL362" i="1" s="1"/>
  <c r="AM362" i="1" a="1"/>
  <c r="AM362" i="1" s="1"/>
  <c r="AN362" i="1" a="1"/>
  <c r="AN362" i="1" s="1"/>
  <c r="AO362" i="1" a="1"/>
  <c r="AO362" i="1" s="1"/>
  <c r="AP362" i="1" a="1"/>
  <c r="AP362" i="1" s="1"/>
  <c r="AQ362" i="1" a="1"/>
  <c r="AQ362" i="1" s="1"/>
  <c r="AR362" i="1" a="1"/>
  <c r="AR362" i="1" s="1"/>
  <c r="AS362" i="1" a="1"/>
  <c r="AS362" i="1" s="1"/>
  <c r="AT362" i="1" a="1"/>
  <c r="AT362" i="1" s="1"/>
  <c r="AU362" i="1" a="1"/>
  <c r="AU362" i="1" s="1"/>
  <c r="AV362" i="1" a="1"/>
  <c r="AV362" i="1" s="1"/>
  <c r="AW362" i="1" a="1"/>
  <c r="AW362" i="1" s="1"/>
  <c r="AX362" i="1" a="1"/>
  <c r="AX362" i="1" s="1"/>
  <c r="AY362" i="1" a="1"/>
  <c r="AY362" i="1" s="1"/>
  <c r="AZ362" i="1" a="1"/>
  <c r="AZ362" i="1" s="1"/>
  <c r="BA362" i="1" a="1"/>
  <c r="BA362" i="1" s="1"/>
  <c r="BB362" i="1" a="1"/>
  <c r="BB362" i="1" s="1"/>
  <c r="AL363" i="1" a="1"/>
  <c r="AL363" i="1" s="1"/>
  <c r="AM363" i="1" a="1"/>
  <c r="AM363" i="1" s="1"/>
  <c r="AN363" i="1" a="1"/>
  <c r="AN363" i="1" s="1"/>
  <c r="AO363" i="1" a="1"/>
  <c r="AO363" i="1" s="1"/>
  <c r="AP363" i="1" a="1"/>
  <c r="AP363" i="1" s="1"/>
  <c r="AQ363" i="1" a="1"/>
  <c r="AQ363" i="1" s="1"/>
  <c r="AR363" i="1" a="1"/>
  <c r="AR363" i="1" s="1"/>
  <c r="AS363" i="1" a="1"/>
  <c r="AS363" i="1" s="1"/>
  <c r="AT363" i="1" a="1"/>
  <c r="AT363" i="1" s="1"/>
  <c r="AU363" i="1" a="1"/>
  <c r="AU363" i="1" s="1"/>
  <c r="AV363" i="1" a="1"/>
  <c r="AV363" i="1" s="1"/>
  <c r="AW363" i="1" a="1"/>
  <c r="AW363" i="1" s="1"/>
  <c r="AX363" i="1" a="1"/>
  <c r="AX363" i="1" s="1"/>
  <c r="AY363" i="1" a="1"/>
  <c r="AY363" i="1" s="1"/>
  <c r="AZ363" i="1" a="1"/>
  <c r="AZ363" i="1" s="1"/>
  <c r="BA363" i="1" a="1"/>
  <c r="BA363" i="1" s="1"/>
  <c r="BB363" i="1" a="1"/>
  <c r="BB363" i="1" s="1"/>
  <c r="AL364" i="1" a="1"/>
  <c r="AL364" i="1" s="1"/>
  <c r="AM364" i="1" a="1"/>
  <c r="AM364" i="1" s="1"/>
  <c r="AN364" i="1" a="1"/>
  <c r="AN364" i="1" s="1"/>
  <c r="AO364" i="1" a="1"/>
  <c r="AO364" i="1" s="1"/>
  <c r="AP364" i="1" a="1"/>
  <c r="AP364" i="1" s="1"/>
  <c r="AQ364" i="1" a="1"/>
  <c r="AQ364" i="1" s="1"/>
  <c r="AR364" i="1" a="1"/>
  <c r="AR364" i="1" s="1"/>
  <c r="AS364" i="1" a="1"/>
  <c r="AS364" i="1" s="1"/>
  <c r="AT364" i="1" a="1"/>
  <c r="AT364" i="1" s="1"/>
  <c r="AU364" i="1" a="1"/>
  <c r="AU364" i="1" s="1"/>
  <c r="AV364" i="1" a="1"/>
  <c r="AV364" i="1" s="1"/>
  <c r="AW364" i="1" a="1"/>
  <c r="AW364" i="1" s="1"/>
  <c r="AX364" i="1" a="1"/>
  <c r="AX364" i="1" s="1"/>
  <c r="AY364" i="1" a="1"/>
  <c r="AY364" i="1" s="1"/>
  <c r="AZ364" i="1" a="1"/>
  <c r="AZ364" i="1" s="1"/>
  <c r="BA364" i="1" a="1"/>
  <c r="BA364" i="1" s="1"/>
  <c r="BB364" i="1" a="1"/>
  <c r="BB364" i="1" s="1"/>
  <c r="AL365" i="1" a="1"/>
  <c r="AL365" i="1" s="1"/>
  <c r="AM365" i="1" a="1"/>
  <c r="AM365" i="1" s="1"/>
  <c r="AN365" i="1" a="1"/>
  <c r="AN365" i="1" s="1"/>
  <c r="AO365" i="1" a="1"/>
  <c r="AO365" i="1" s="1"/>
  <c r="AP365" i="1" a="1"/>
  <c r="AP365" i="1" s="1"/>
  <c r="AQ365" i="1" a="1"/>
  <c r="AQ365" i="1" s="1"/>
  <c r="AR365" i="1" a="1"/>
  <c r="AR365" i="1" s="1"/>
  <c r="AS365" i="1" a="1"/>
  <c r="AS365" i="1" s="1"/>
  <c r="AT365" i="1" a="1"/>
  <c r="AT365" i="1" s="1"/>
  <c r="AU365" i="1" a="1"/>
  <c r="AU365" i="1" s="1"/>
  <c r="AV365" i="1" a="1"/>
  <c r="AV365" i="1" s="1"/>
  <c r="AW365" i="1" a="1"/>
  <c r="AW365" i="1" s="1"/>
  <c r="AX365" i="1" a="1"/>
  <c r="AX365" i="1" s="1"/>
  <c r="AY365" i="1" a="1"/>
  <c r="AY365" i="1" s="1"/>
  <c r="AZ365" i="1" a="1"/>
  <c r="AZ365" i="1" s="1"/>
  <c r="BA365" i="1" a="1"/>
  <c r="BA365" i="1" s="1"/>
  <c r="BB365" i="1" a="1"/>
  <c r="BB365" i="1" s="1"/>
  <c r="AL366" i="1" a="1"/>
  <c r="AL366" i="1" s="1"/>
  <c r="AM366" i="1" a="1"/>
  <c r="AM366" i="1" s="1"/>
  <c r="AN366" i="1" a="1"/>
  <c r="AN366" i="1" s="1"/>
  <c r="AO366" i="1" a="1"/>
  <c r="AO366" i="1" s="1"/>
  <c r="AP366" i="1" a="1"/>
  <c r="AP366" i="1" s="1"/>
  <c r="AQ366" i="1" a="1"/>
  <c r="AQ366" i="1" s="1"/>
  <c r="AR366" i="1" a="1"/>
  <c r="AR366" i="1" s="1"/>
  <c r="AS366" i="1" a="1"/>
  <c r="AS366" i="1" s="1"/>
  <c r="AT366" i="1" a="1"/>
  <c r="AT366" i="1" s="1"/>
  <c r="AU366" i="1" a="1"/>
  <c r="AU366" i="1" s="1"/>
  <c r="AV366" i="1" a="1"/>
  <c r="AV366" i="1" s="1"/>
  <c r="AW366" i="1" a="1"/>
  <c r="AW366" i="1" s="1"/>
  <c r="AX366" i="1" a="1"/>
  <c r="AX366" i="1" s="1"/>
  <c r="AY366" i="1" a="1"/>
  <c r="AY366" i="1" s="1"/>
  <c r="AZ366" i="1" a="1"/>
  <c r="AZ366" i="1" s="1"/>
  <c r="BA366" i="1" a="1"/>
  <c r="BA366" i="1" s="1"/>
  <c r="BB366" i="1" a="1"/>
  <c r="BB366" i="1" s="1"/>
  <c r="AL209" i="1" a="1"/>
  <c r="AL209" i="1" s="1"/>
  <c r="AM209" i="1" a="1"/>
  <c r="AM209" i="1" s="1"/>
  <c r="AN209" i="1" a="1"/>
  <c r="AN209" i="1" s="1"/>
  <c r="AO209" i="1" a="1"/>
  <c r="AO209" i="1" s="1"/>
  <c r="AP209" i="1" a="1"/>
  <c r="AP209" i="1" s="1"/>
  <c r="AQ209" i="1" a="1"/>
  <c r="AQ209" i="1" s="1"/>
  <c r="AR209" i="1" a="1"/>
  <c r="AR209" i="1" s="1"/>
  <c r="AS209" i="1" a="1"/>
  <c r="AS209" i="1" s="1"/>
  <c r="AT209" i="1" a="1"/>
  <c r="AT209" i="1" s="1"/>
  <c r="AU209" i="1" a="1"/>
  <c r="AU209" i="1" s="1"/>
  <c r="AV209" i="1" a="1"/>
  <c r="AV209" i="1" s="1"/>
  <c r="AW209" i="1" a="1"/>
  <c r="AW209" i="1" s="1"/>
  <c r="AX209" i="1" a="1"/>
  <c r="AX209" i="1" s="1"/>
  <c r="AY209" i="1" a="1"/>
  <c r="AY209" i="1" s="1"/>
  <c r="AZ209" i="1" a="1"/>
  <c r="AZ209" i="1" s="1"/>
  <c r="BA209" i="1" a="1"/>
  <c r="BA209" i="1" s="1"/>
  <c r="BB209" i="1" a="1"/>
  <c r="BB209" i="1" s="1"/>
  <c r="AL368" i="1" a="1"/>
  <c r="AL368" i="1" s="1"/>
  <c r="AM368" i="1" a="1"/>
  <c r="AM368" i="1" s="1"/>
  <c r="AN368" i="1" a="1"/>
  <c r="AN368" i="1" s="1"/>
  <c r="AO368" i="1" a="1"/>
  <c r="AO368" i="1" s="1"/>
  <c r="AP368" i="1" a="1"/>
  <c r="AP368" i="1" s="1"/>
  <c r="AQ368" i="1" a="1"/>
  <c r="AQ368" i="1" s="1"/>
  <c r="AR368" i="1" a="1"/>
  <c r="AR368" i="1" s="1"/>
  <c r="AS368" i="1" a="1"/>
  <c r="AS368" i="1" s="1"/>
  <c r="AT368" i="1" a="1"/>
  <c r="AT368" i="1" s="1"/>
  <c r="AU368" i="1" a="1"/>
  <c r="AU368" i="1" s="1"/>
  <c r="AV368" i="1" a="1"/>
  <c r="AV368" i="1" s="1"/>
  <c r="AW368" i="1" a="1"/>
  <c r="AW368" i="1" s="1"/>
  <c r="AX368" i="1" a="1"/>
  <c r="AX368" i="1" s="1"/>
  <c r="AY368" i="1" a="1"/>
  <c r="AY368" i="1" s="1"/>
  <c r="AZ368" i="1" a="1"/>
  <c r="AZ368" i="1" s="1"/>
  <c r="BA368" i="1" a="1"/>
  <c r="BA368" i="1" s="1"/>
  <c r="BB368" i="1" a="1"/>
  <c r="BB368" i="1" s="1"/>
  <c r="AL369" i="1" a="1"/>
  <c r="AL369" i="1" s="1"/>
  <c r="AM369" i="1" a="1"/>
  <c r="AM369" i="1" s="1"/>
  <c r="AN369" i="1" a="1"/>
  <c r="AN369" i="1" s="1"/>
  <c r="AO369" i="1" a="1"/>
  <c r="AO369" i="1" s="1"/>
  <c r="AP369" i="1" a="1"/>
  <c r="AP369" i="1" s="1"/>
  <c r="AQ369" i="1" a="1"/>
  <c r="AQ369" i="1" s="1"/>
  <c r="AR369" i="1" a="1"/>
  <c r="AR369" i="1" s="1"/>
  <c r="AS369" i="1" a="1"/>
  <c r="AS369" i="1" s="1"/>
  <c r="AT369" i="1" a="1"/>
  <c r="AT369" i="1" s="1"/>
  <c r="AU369" i="1" a="1"/>
  <c r="AU369" i="1" s="1"/>
  <c r="AV369" i="1" a="1"/>
  <c r="AV369" i="1" s="1"/>
  <c r="AW369" i="1" a="1"/>
  <c r="AW369" i="1" s="1"/>
  <c r="AX369" i="1" a="1"/>
  <c r="AX369" i="1" s="1"/>
  <c r="AY369" i="1" a="1"/>
  <c r="AY369" i="1" s="1"/>
  <c r="AZ369" i="1" a="1"/>
  <c r="AZ369" i="1" s="1"/>
  <c r="BA369" i="1" a="1"/>
  <c r="BA369" i="1" s="1"/>
  <c r="BB369" i="1" a="1"/>
  <c r="BB369" i="1" s="1"/>
  <c r="AL371" i="1" a="1"/>
  <c r="AL371" i="1" s="1"/>
  <c r="AM371" i="1" a="1"/>
  <c r="AM371" i="1" s="1"/>
  <c r="AN371" i="1" a="1"/>
  <c r="AN371" i="1" s="1"/>
  <c r="AO371" i="1" a="1"/>
  <c r="AO371" i="1" s="1"/>
  <c r="AP371" i="1" a="1"/>
  <c r="AP371" i="1" s="1"/>
  <c r="AQ371" i="1" a="1"/>
  <c r="AQ371" i="1" s="1"/>
  <c r="AR371" i="1" a="1"/>
  <c r="AR371" i="1" s="1"/>
  <c r="AS371" i="1" a="1"/>
  <c r="AS371" i="1" s="1"/>
  <c r="AT371" i="1" a="1"/>
  <c r="AT371" i="1" s="1"/>
  <c r="AU371" i="1" a="1"/>
  <c r="AU371" i="1" s="1"/>
  <c r="AV371" i="1" a="1"/>
  <c r="AV371" i="1" s="1"/>
  <c r="AW371" i="1" a="1"/>
  <c r="AW371" i="1" s="1"/>
  <c r="AX371" i="1" a="1"/>
  <c r="AX371" i="1" s="1"/>
  <c r="AY371" i="1" a="1"/>
  <c r="AY371" i="1" s="1"/>
  <c r="AZ371" i="1" a="1"/>
  <c r="AZ371" i="1" s="1"/>
  <c r="BA371" i="1" a="1"/>
  <c r="BA371" i="1" s="1"/>
  <c r="BB371" i="1" a="1"/>
  <c r="BB371" i="1" s="1"/>
  <c r="AL214" i="1" a="1"/>
  <c r="AL214" i="1" s="1"/>
  <c r="AM214" i="1" a="1"/>
  <c r="AM214" i="1" s="1"/>
  <c r="AN214" i="1" a="1"/>
  <c r="AN214" i="1" s="1"/>
  <c r="AO214" i="1" a="1"/>
  <c r="AO214" i="1" s="1"/>
  <c r="AP214" i="1" a="1"/>
  <c r="AP214" i="1" s="1"/>
  <c r="AQ214" i="1" a="1"/>
  <c r="AQ214" i="1" s="1"/>
  <c r="AR214" i="1" a="1"/>
  <c r="AR214" i="1" s="1"/>
  <c r="AS214" i="1" a="1"/>
  <c r="AS214" i="1" s="1"/>
  <c r="AT214" i="1" a="1"/>
  <c r="AT214" i="1" s="1"/>
  <c r="AU214" i="1" a="1"/>
  <c r="AU214" i="1" s="1"/>
  <c r="AV214" i="1" a="1"/>
  <c r="AV214" i="1" s="1"/>
  <c r="AW214" i="1" a="1"/>
  <c r="AW214" i="1" s="1"/>
  <c r="AX214" i="1" a="1"/>
  <c r="AX214" i="1" s="1"/>
  <c r="AY214" i="1" a="1"/>
  <c r="AY214" i="1" s="1"/>
  <c r="AZ214" i="1" a="1"/>
  <c r="AZ214" i="1" s="1"/>
  <c r="BA214" i="1" a="1"/>
  <c r="BA214" i="1" s="1"/>
  <c r="BB214" i="1" a="1"/>
  <c r="BB214" i="1" s="1"/>
  <c r="AL373" i="1" a="1"/>
  <c r="AL373" i="1" s="1"/>
  <c r="AM373" i="1" a="1"/>
  <c r="AM373" i="1" s="1"/>
  <c r="AN373" i="1" a="1"/>
  <c r="AN373" i="1" s="1"/>
  <c r="AO373" i="1" a="1"/>
  <c r="AO373" i="1" s="1"/>
  <c r="AP373" i="1" a="1"/>
  <c r="AP373" i="1" s="1"/>
  <c r="AQ373" i="1" a="1"/>
  <c r="AQ373" i="1" s="1"/>
  <c r="AR373" i="1" a="1"/>
  <c r="AR373" i="1" s="1"/>
  <c r="AS373" i="1" a="1"/>
  <c r="AS373" i="1" s="1"/>
  <c r="AT373" i="1" a="1"/>
  <c r="AT373" i="1" s="1"/>
  <c r="AU373" i="1" a="1"/>
  <c r="AU373" i="1" s="1"/>
  <c r="AV373" i="1" a="1"/>
  <c r="AV373" i="1" s="1"/>
  <c r="AW373" i="1" a="1"/>
  <c r="AW373" i="1" s="1"/>
  <c r="AX373" i="1" a="1"/>
  <c r="AX373" i="1" s="1"/>
  <c r="AY373" i="1" a="1"/>
  <c r="AY373" i="1" s="1"/>
  <c r="AZ373" i="1" a="1"/>
  <c r="AZ373" i="1" s="1"/>
  <c r="BA373" i="1" a="1"/>
  <c r="BA373" i="1" s="1"/>
  <c r="BB373" i="1" a="1"/>
  <c r="BB373" i="1" s="1"/>
  <c r="AL375" i="1" a="1"/>
  <c r="AL375" i="1" s="1"/>
  <c r="AM375" i="1" a="1"/>
  <c r="AM375" i="1" s="1"/>
  <c r="AN375" i="1" a="1"/>
  <c r="AN375" i="1" s="1"/>
  <c r="AO375" i="1" a="1"/>
  <c r="AO375" i="1" s="1"/>
  <c r="AP375" i="1" a="1"/>
  <c r="AP375" i="1" s="1"/>
  <c r="AQ375" i="1" a="1"/>
  <c r="AQ375" i="1" s="1"/>
  <c r="AR375" i="1" a="1"/>
  <c r="AR375" i="1" s="1"/>
  <c r="AS375" i="1" a="1"/>
  <c r="AS375" i="1" s="1"/>
  <c r="AT375" i="1" a="1"/>
  <c r="AT375" i="1" s="1"/>
  <c r="AU375" i="1" a="1"/>
  <c r="AU375" i="1" s="1"/>
  <c r="AV375" i="1" a="1"/>
  <c r="AV375" i="1" s="1"/>
  <c r="AW375" i="1" a="1"/>
  <c r="AW375" i="1" s="1"/>
  <c r="AX375" i="1" a="1"/>
  <c r="AX375" i="1" s="1"/>
  <c r="AY375" i="1" a="1"/>
  <c r="AY375" i="1" s="1"/>
  <c r="AZ375" i="1" a="1"/>
  <c r="AZ375" i="1" s="1"/>
  <c r="BA375" i="1" a="1"/>
  <c r="BA375" i="1" s="1"/>
  <c r="BB375" i="1" a="1"/>
  <c r="BB375" i="1" s="1"/>
  <c r="AL376" i="1" a="1"/>
  <c r="AL376" i="1" s="1"/>
  <c r="AM376" i="1" a="1"/>
  <c r="AM376" i="1" s="1"/>
  <c r="AN376" i="1" a="1"/>
  <c r="AN376" i="1" s="1"/>
  <c r="AO376" i="1" a="1"/>
  <c r="AO376" i="1" s="1"/>
  <c r="AP376" i="1" a="1"/>
  <c r="AP376" i="1" s="1"/>
  <c r="AQ376" i="1" a="1"/>
  <c r="AQ376" i="1" s="1"/>
  <c r="AR376" i="1" a="1"/>
  <c r="AR376" i="1" s="1"/>
  <c r="AS376" i="1" a="1"/>
  <c r="AS376" i="1" s="1"/>
  <c r="AT376" i="1" a="1"/>
  <c r="AT376" i="1" s="1"/>
  <c r="AU376" i="1" a="1"/>
  <c r="AU376" i="1" s="1"/>
  <c r="AV376" i="1" a="1"/>
  <c r="AV376" i="1" s="1"/>
  <c r="AW376" i="1" a="1"/>
  <c r="AW376" i="1" s="1"/>
  <c r="AX376" i="1" a="1"/>
  <c r="AX376" i="1" s="1"/>
  <c r="AY376" i="1" a="1"/>
  <c r="AY376" i="1" s="1"/>
  <c r="AZ376" i="1" a="1"/>
  <c r="AZ376" i="1" s="1"/>
  <c r="BA376" i="1" a="1"/>
  <c r="BA376" i="1" s="1"/>
  <c r="BB376" i="1" a="1"/>
  <c r="BB376" i="1" s="1"/>
  <c r="AL218" i="1" a="1"/>
  <c r="AL218" i="1" s="1"/>
  <c r="AM218" i="1" a="1"/>
  <c r="AM218" i="1" s="1"/>
  <c r="AN218" i="1" a="1"/>
  <c r="AN218" i="1" s="1"/>
  <c r="AO218" i="1" a="1"/>
  <c r="AO218" i="1" s="1"/>
  <c r="AP218" i="1" a="1"/>
  <c r="AP218" i="1" s="1"/>
  <c r="AQ218" i="1" a="1"/>
  <c r="AQ218" i="1" s="1"/>
  <c r="AR218" i="1" a="1"/>
  <c r="AR218" i="1" s="1"/>
  <c r="AS218" i="1" a="1"/>
  <c r="AS218" i="1" s="1"/>
  <c r="AT218" i="1" a="1"/>
  <c r="AT218" i="1" s="1"/>
  <c r="AU218" i="1" a="1"/>
  <c r="AU218" i="1" s="1"/>
  <c r="AV218" i="1" a="1"/>
  <c r="AV218" i="1" s="1"/>
  <c r="AW218" i="1" a="1"/>
  <c r="AW218" i="1" s="1"/>
  <c r="AX218" i="1" a="1"/>
  <c r="AX218" i="1" s="1"/>
  <c r="AY218" i="1" a="1"/>
  <c r="AY218" i="1" s="1"/>
  <c r="AZ218" i="1" a="1"/>
  <c r="AZ218" i="1" s="1"/>
  <c r="BA218" i="1" a="1"/>
  <c r="BA218" i="1" s="1"/>
  <c r="BB218" i="1" a="1"/>
  <c r="BB218" i="1" s="1"/>
  <c r="AL219" i="1" a="1"/>
  <c r="AL219" i="1" s="1"/>
  <c r="AM219" i="1" a="1"/>
  <c r="AM219" i="1" s="1"/>
  <c r="AN219" i="1" a="1"/>
  <c r="AN219" i="1" s="1"/>
  <c r="AO219" i="1" a="1"/>
  <c r="AO219" i="1" s="1"/>
  <c r="AP219" i="1" a="1"/>
  <c r="AP219" i="1" s="1"/>
  <c r="AQ219" i="1" a="1"/>
  <c r="AQ219" i="1" s="1"/>
  <c r="AR219" i="1" a="1"/>
  <c r="AR219" i="1" s="1"/>
  <c r="AS219" i="1" a="1"/>
  <c r="AS219" i="1" s="1"/>
  <c r="AT219" i="1" a="1"/>
  <c r="AT219" i="1" s="1"/>
  <c r="AU219" i="1" a="1"/>
  <c r="AU219" i="1" s="1"/>
  <c r="AV219" i="1" a="1"/>
  <c r="AV219" i="1" s="1"/>
  <c r="AW219" i="1" a="1"/>
  <c r="AW219" i="1" s="1"/>
  <c r="AX219" i="1" a="1"/>
  <c r="AX219" i="1" s="1"/>
  <c r="AY219" i="1" a="1"/>
  <c r="AY219" i="1" s="1"/>
  <c r="AZ219" i="1" a="1"/>
  <c r="AZ219" i="1" s="1"/>
  <c r="BA219" i="1" a="1"/>
  <c r="BA219" i="1" s="1"/>
  <c r="BB219" i="1" a="1"/>
  <c r="BB219" i="1" s="1"/>
  <c r="AL220" i="1" a="1"/>
  <c r="AL220" i="1" s="1"/>
  <c r="AM220" i="1" a="1"/>
  <c r="AM220" i="1" s="1"/>
  <c r="AN220" i="1" a="1"/>
  <c r="AN220" i="1" s="1"/>
  <c r="AO220" i="1" a="1"/>
  <c r="AO220" i="1" s="1"/>
  <c r="AP220" i="1" a="1"/>
  <c r="AP220" i="1" s="1"/>
  <c r="AQ220" i="1" a="1"/>
  <c r="AQ220" i="1" s="1"/>
  <c r="AR220" i="1" a="1"/>
  <c r="AR220" i="1" s="1"/>
  <c r="AS220" i="1" a="1"/>
  <c r="AS220" i="1" s="1"/>
  <c r="AT220" i="1" a="1"/>
  <c r="AT220" i="1" s="1"/>
  <c r="AU220" i="1" a="1"/>
  <c r="AU220" i="1" s="1"/>
  <c r="AV220" i="1" a="1"/>
  <c r="AV220" i="1" s="1"/>
  <c r="AW220" i="1" a="1"/>
  <c r="AW220" i="1" s="1"/>
  <c r="AX220" i="1" a="1"/>
  <c r="AX220" i="1" s="1"/>
  <c r="AY220" i="1" a="1"/>
  <c r="AY220" i="1" s="1"/>
  <c r="AZ220" i="1" a="1"/>
  <c r="AZ220" i="1" s="1"/>
  <c r="BA220" i="1" a="1"/>
  <c r="BA220" i="1" s="1"/>
  <c r="BB220" i="1" a="1"/>
  <c r="BB220" i="1" s="1"/>
  <c r="AL222" i="1" a="1"/>
  <c r="AL222" i="1" s="1"/>
  <c r="AM222" i="1" a="1"/>
  <c r="AM222" i="1" s="1"/>
  <c r="AN222" i="1" a="1"/>
  <c r="AN222" i="1" s="1"/>
  <c r="AO222" i="1" a="1"/>
  <c r="AO222" i="1" s="1"/>
  <c r="AP222" i="1" a="1"/>
  <c r="AP222" i="1" s="1"/>
  <c r="AQ222" i="1" a="1"/>
  <c r="AQ222" i="1" s="1"/>
  <c r="AR222" i="1" a="1"/>
  <c r="AR222" i="1" s="1"/>
  <c r="AS222" i="1" a="1"/>
  <c r="AS222" i="1" s="1"/>
  <c r="AT222" i="1" a="1"/>
  <c r="AT222" i="1" s="1"/>
  <c r="AU222" i="1" a="1"/>
  <c r="AU222" i="1" s="1"/>
  <c r="AV222" i="1" a="1"/>
  <c r="AV222" i="1" s="1"/>
  <c r="AW222" i="1" a="1"/>
  <c r="AW222" i="1" s="1"/>
  <c r="AX222" i="1" a="1"/>
  <c r="AX222" i="1" s="1"/>
  <c r="AY222" i="1" a="1"/>
  <c r="AY222" i="1" s="1"/>
  <c r="AZ222" i="1" a="1"/>
  <c r="AZ222" i="1" s="1"/>
  <c r="BA222" i="1" a="1"/>
  <c r="BA222" i="1" s="1"/>
  <c r="BB222" i="1" a="1"/>
  <c r="BB222" i="1" s="1"/>
  <c r="AL377" i="1" a="1"/>
  <c r="AL377" i="1" s="1"/>
  <c r="AM377" i="1" a="1"/>
  <c r="AM377" i="1" s="1"/>
  <c r="AN377" i="1" a="1"/>
  <c r="AN377" i="1" s="1"/>
  <c r="AO377" i="1" a="1"/>
  <c r="AO377" i="1" s="1"/>
  <c r="AP377" i="1" a="1"/>
  <c r="AP377" i="1" s="1"/>
  <c r="AQ377" i="1" a="1"/>
  <c r="AQ377" i="1" s="1"/>
  <c r="AR377" i="1" a="1"/>
  <c r="AR377" i="1" s="1"/>
  <c r="AS377" i="1" a="1"/>
  <c r="AS377" i="1" s="1"/>
  <c r="AT377" i="1" a="1"/>
  <c r="AT377" i="1" s="1"/>
  <c r="AU377" i="1" a="1"/>
  <c r="AU377" i="1" s="1"/>
  <c r="AV377" i="1" a="1"/>
  <c r="AV377" i="1" s="1"/>
  <c r="AW377" i="1" a="1"/>
  <c r="AW377" i="1" s="1"/>
  <c r="AX377" i="1" a="1"/>
  <c r="AX377" i="1" s="1"/>
  <c r="AY377" i="1" a="1"/>
  <c r="AY377" i="1" s="1"/>
  <c r="AZ377" i="1" a="1"/>
  <c r="AZ377" i="1" s="1"/>
  <c r="BA377" i="1" a="1"/>
  <c r="BA377" i="1" s="1"/>
  <c r="BB377" i="1" a="1"/>
  <c r="BB377" i="1" s="1"/>
  <c r="AL378" i="1" a="1"/>
  <c r="AL378" i="1" s="1"/>
  <c r="AM378" i="1" a="1"/>
  <c r="AM378" i="1" s="1"/>
  <c r="AN378" i="1" a="1"/>
  <c r="AN378" i="1" s="1"/>
  <c r="AO378" i="1" a="1"/>
  <c r="AO378" i="1" s="1"/>
  <c r="AP378" i="1" a="1"/>
  <c r="AP378" i="1" s="1"/>
  <c r="AQ378" i="1" a="1"/>
  <c r="AQ378" i="1" s="1"/>
  <c r="AR378" i="1" a="1"/>
  <c r="AR378" i="1" s="1"/>
  <c r="AS378" i="1" a="1"/>
  <c r="AS378" i="1" s="1"/>
  <c r="AT378" i="1" a="1"/>
  <c r="AT378" i="1" s="1"/>
  <c r="AU378" i="1" a="1"/>
  <c r="AU378" i="1" s="1"/>
  <c r="AV378" i="1" a="1"/>
  <c r="AV378" i="1" s="1"/>
  <c r="AW378" i="1" a="1"/>
  <c r="AW378" i="1" s="1"/>
  <c r="AX378" i="1" a="1"/>
  <c r="AX378" i="1" s="1"/>
  <c r="AY378" i="1" a="1"/>
  <c r="AY378" i="1" s="1"/>
  <c r="AZ378" i="1" a="1"/>
  <c r="AZ378" i="1" s="1"/>
  <c r="BA378" i="1" a="1"/>
  <c r="BA378" i="1" s="1"/>
  <c r="BB378" i="1" a="1"/>
  <c r="BB378" i="1" s="1"/>
  <c r="AL379" i="1" a="1"/>
  <c r="AL379" i="1" s="1"/>
  <c r="AM379" i="1" a="1"/>
  <c r="AM379" i="1" s="1"/>
  <c r="AN379" i="1" a="1"/>
  <c r="AN379" i="1" s="1"/>
  <c r="AO379" i="1" a="1"/>
  <c r="AO379" i="1" s="1"/>
  <c r="AP379" i="1" a="1"/>
  <c r="AP379" i="1" s="1"/>
  <c r="AQ379" i="1" a="1"/>
  <c r="AQ379" i="1" s="1"/>
  <c r="AR379" i="1" a="1"/>
  <c r="AR379" i="1" s="1"/>
  <c r="AS379" i="1" a="1"/>
  <c r="AS379" i="1" s="1"/>
  <c r="AT379" i="1" a="1"/>
  <c r="AT379" i="1" s="1"/>
  <c r="AU379" i="1" a="1"/>
  <c r="AU379" i="1" s="1"/>
  <c r="AV379" i="1" a="1"/>
  <c r="AV379" i="1" s="1"/>
  <c r="AW379" i="1" a="1"/>
  <c r="AW379" i="1" s="1"/>
  <c r="AX379" i="1" a="1"/>
  <c r="AX379" i="1" s="1"/>
  <c r="AY379" i="1" a="1"/>
  <c r="AY379" i="1" s="1"/>
  <c r="AZ379" i="1" a="1"/>
  <c r="AZ379" i="1" s="1"/>
  <c r="BA379" i="1" a="1"/>
  <c r="BA379" i="1" s="1"/>
  <c r="BB379" i="1" a="1"/>
  <c r="BB379" i="1" s="1"/>
  <c r="AL380" i="1" a="1"/>
  <c r="AL380" i="1" s="1"/>
  <c r="AM380" i="1" a="1"/>
  <c r="AM380" i="1" s="1"/>
  <c r="AN380" i="1" a="1"/>
  <c r="AN380" i="1" s="1"/>
  <c r="AO380" i="1" a="1"/>
  <c r="AO380" i="1" s="1"/>
  <c r="AP380" i="1" a="1"/>
  <c r="AP380" i="1" s="1"/>
  <c r="AQ380" i="1" a="1"/>
  <c r="AQ380" i="1" s="1"/>
  <c r="AR380" i="1" a="1"/>
  <c r="AR380" i="1" s="1"/>
  <c r="AS380" i="1" a="1"/>
  <c r="AS380" i="1" s="1"/>
  <c r="AT380" i="1" a="1"/>
  <c r="AT380" i="1" s="1"/>
  <c r="AU380" i="1" a="1"/>
  <c r="AU380" i="1" s="1"/>
  <c r="AV380" i="1" a="1"/>
  <c r="AV380" i="1" s="1"/>
  <c r="AW380" i="1" a="1"/>
  <c r="AW380" i="1" s="1"/>
  <c r="AX380" i="1" a="1"/>
  <c r="AX380" i="1" s="1"/>
  <c r="AY380" i="1" a="1"/>
  <c r="AY380" i="1" s="1"/>
  <c r="AZ380" i="1" a="1"/>
  <c r="AZ380" i="1" s="1"/>
  <c r="BA380" i="1" a="1"/>
  <c r="BA380" i="1" s="1"/>
  <c r="BB380" i="1" a="1"/>
  <c r="BB380" i="1" s="1"/>
  <c r="AL381" i="1" a="1"/>
  <c r="AL381" i="1" s="1"/>
  <c r="AM381" i="1" a="1"/>
  <c r="AM381" i="1" s="1"/>
  <c r="AN381" i="1" a="1"/>
  <c r="AN381" i="1" s="1"/>
  <c r="AO381" i="1" a="1"/>
  <c r="AO381" i="1" s="1"/>
  <c r="AP381" i="1" a="1"/>
  <c r="AP381" i="1" s="1"/>
  <c r="AQ381" i="1" a="1"/>
  <c r="AQ381" i="1" s="1"/>
  <c r="AR381" i="1" a="1"/>
  <c r="AR381" i="1" s="1"/>
  <c r="AS381" i="1" a="1"/>
  <c r="AS381" i="1" s="1"/>
  <c r="AT381" i="1" a="1"/>
  <c r="AT381" i="1" s="1"/>
  <c r="AU381" i="1" a="1"/>
  <c r="AU381" i="1" s="1"/>
  <c r="AV381" i="1" a="1"/>
  <c r="AV381" i="1" s="1"/>
  <c r="AW381" i="1" a="1"/>
  <c r="AW381" i="1" s="1"/>
  <c r="AX381" i="1" a="1"/>
  <c r="AX381" i="1" s="1"/>
  <c r="AY381" i="1" a="1"/>
  <c r="AY381" i="1" s="1"/>
  <c r="AZ381" i="1" a="1"/>
  <c r="AZ381" i="1" s="1"/>
  <c r="BA381" i="1" a="1"/>
  <c r="BA381" i="1" s="1"/>
  <c r="BB381" i="1" a="1"/>
  <c r="BB381" i="1" s="1"/>
  <c r="AL382" i="1" a="1"/>
  <c r="AL382" i="1" s="1"/>
  <c r="AM382" i="1" a="1"/>
  <c r="AM382" i="1" s="1"/>
  <c r="AN382" i="1" a="1"/>
  <c r="AN382" i="1" s="1"/>
  <c r="AO382" i="1" a="1"/>
  <c r="AO382" i="1" s="1"/>
  <c r="AP382" i="1" a="1"/>
  <c r="AP382" i="1" s="1"/>
  <c r="AQ382" i="1" a="1"/>
  <c r="AQ382" i="1" s="1"/>
  <c r="AR382" i="1" a="1"/>
  <c r="AR382" i="1" s="1"/>
  <c r="AS382" i="1" a="1"/>
  <c r="AS382" i="1" s="1"/>
  <c r="AT382" i="1" a="1"/>
  <c r="AT382" i="1" s="1"/>
  <c r="AU382" i="1" a="1"/>
  <c r="AU382" i="1" s="1"/>
  <c r="AV382" i="1" a="1"/>
  <c r="AV382" i="1" s="1"/>
  <c r="AW382" i="1" a="1"/>
  <c r="AW382" i="1" s="1"/>
  <c r="AX382" i="1" a="1"/>
  <c r="AX382" i="1" s="1"/>
  <c r="AY382" i="1" a="1"/>
  <c r="AY382" i="1" s="1"/>
  <c r="AZ382" i="1" a="1"/>
  <c r="AZ382" i="1" s="1"/>
  <c r="BA382" i="1" a="1"/>
  <c r="BA382" i="1" s="1"/>
  <c r="BB382" i="1" a="1"/>
  <c r="BB382" i="1" s="1"/>
  <c r="AL383" i="1" a="1"/>
  <c r="AL383" i="1" s="1"/>
  <c r="AM383" i="1" a="1"/>
  <c r="AM383" i="1" s="1"/>
  <c r="AN383" i="1" a="1"/>
  <c r="AN383" i="1" s="1"/>
  <c r="AO383" i="1" a="1"/>
  <c r="AO383" i="1" s="1"/>
  <c r="AP383" i="1" a="1"/>
  <c r="AP383" i="1" s="1"/>
  <c r="AQ383" i="1" a="1"/>
  <c r="AQ383" i="1" s="1"/>
  <c r="AR383" i="1" a="1"/>
  <c r="AR383" i="1" s="1"/>
  <c r="AS383" i="1" a="1"/>
  <c r="AS383" i="1" s="1"/>
  <c r="AT383" i="1" a="1"/>
  <c r="AT383" i="1" s="1"/>
  <c r="AU383" i="1" a="1"/>
  <c r="AU383" i="1" s="1"/>
  <c r="AV383" i="1" a="1"/>
  <c r="AV383" i="1" s="1"/>
  <c r="AW383" i="1" a="1"/>
  <c r="AW383" i="1" s="1"/>
  <c r="AX383" i="1" a="1"/>
  <c r="AX383" i="1" s="1"/>
  <c r="AY383" i="1" a="1"/>
  <c r="AY383" i="1" s="1"/>
  <c r="AZ383" i="1" a="1"/>
  <c r="AZ383" i="1" s="1"/>
  <c r="BA383" i="1" a="1"/>
  <c r="BA383" i="1" s="1"/>
  <c r="BB383" i="1" a="1"/>
  <c r="BB383" i="1" s="1"/>
  <c r="AL384" i="1" a="1"/>
  <c r="AL384" i="1" s="1"/>
  <c r="AM384" i="1" a="1"/>
  <c r="AM384" i="1" s="1"/>
  <c r="AN384" i="1" a="1"/>
  <c r="AN384" i="1" s="1"/>
  <c r="AO384" i="1" a="1"/>
  <c r="AO384" i="1" s="1"/>
  <c r="AP384" i="1" a="1"/>
  <c r="AP384" i="1" s="1"/>
  <c r="AQ384" i="1" a="1"/>
  <c r="AQ384" i="1" s="1"/>
  <c r="AR384" i="1" a="1"/>
  <c r="AR384" i="1" s="1"/>
  <c r="AS384" i="1" a="1"/>
  <c r="AS384" i="1" s="1"/>
  <c r="AT384" i="1" a="1"/>
  <c r="AT384" i="1" s="1"/>
  <c r="AU384" i="1" a="1"/>
  <c r="AU384" i="1" s="1"/>
  <c r="AV384" i="1" a="1"/>
  <c r="AV384" i="1" s="1"/>
  <c r="AW384" i="1" a="1"/>
  <c r="AW384" i="1" s="1"/>
  <c r="AX384" i="1" a="1"/>
  <c r="AX384" i="1" s="1"/>
  <c r="AY384" i="1" a="1"/>
  <c r="AY384" i="1" s="1"/>
  <c r="AZ384" i="1" a="1"/>
  <c r="AZ384" i="1" s="1"/>
  <c r="BA384" i="1" a="1"/>
  <c r="BA384" i="1" s="1"/>
  <c r="BB384" i="1" a="1"/>
  <c r="BB384" i="1" s="1"/>
  <c r="AL385" i="1" a="1"/>
  <c r="AL385" i="1" s="1"/>
  <c r="AM385" i="1" a="1"/>
  <c r="AM385" i="1" s="1"/>
  <c r="AN385" i="1" a="1"/>
  <c r="AN385" i="1" s="1"/>
  <c r="AO385" i="1" a="1"/>
  <c r="AO385" i="1" s="1"/>
  <c r="AP385" i="1" a="1"/>
  <c r="AP385" i="1" s="1"/>
  <c r="AQ385" i="1" a="1"/>
  <c r="AQ385" i="1" s="1"/>
  <c r="AR385" i="1" a="1"/>
  <c r="AR385" i="1" s="1"/>
  <c r="AS385" i="1" a="1"/>
  <c r="AS385" i="1" s="1"/>
  <c r="AT385" i="1" a="1"/>
  <c r="AT385" i="1" s="1"/>
  <c r="AU385" i="1" a="1"/>
  <c r="AU385" i="1" s="1"/>
  <c r="AV385" i="1" a="1"/>
  <c r="AV385" i="1" s="1"/>
  <c r="AW385" i="1" a="1"/>
  <c r="AW385" i="1" s="1"/>
  <c r="AX385" i="1" a="1"/>
  <c r="AX385" i="1" s="1"/>
  <c r="AY385" i="1" a="1"/>
  <c r="AY385" i="1" s="1"/>
  <c r="AZ385" i="1" a="1"/>
  <c r="AZ385" i="1" s="1"/>
  <c r="BA385" i="1" a="1"/>
  <c r="BA385" i="1" s="1"/>
  <c r="BB385" i="1" a="1"/>
  <c r="BB385" i="1" s="1"/>
  <c r="AL386" i="1" a="1"/>
  <c r="AL386" i="1" s="1"/>
  <c r="AM386" i="1" a="1"/>
  <c r="AM386" i="1" s="1"/>
  <c r="AN386" i="1" a="1"/>
  <c r="AN386" i="1" s="1"/>
  <c r="AO386" i="1" a="1"/>
  <c r="AO386" i="1" s="1"/>
  <c r="AP386" i="1" a="1"/>
  <c r="AP386" i="1" s="1"/>
  <c r="AQ386" i="1" a="1"/>
  <c r="AQ386" i="1" s="1"/>
  <c r="AR386" i="1" a="1"/>
  <c r="AR386" i="1" s="1"/>
  <c r="AS386" i="1" a="1"/>
  <c r="AS386" i="1" s="1"/>
  <c r="AT386" i="1" a="1"/>
  <c r="AT386" i="1" s="1"/>
  <c r="AU386" i="1" a="1"/>
  <c r="AU386" i="1" s="1"/>
  <c r="AV386" i="1" a="1"/>
  <c r="AV386" i="1" s="1"/>
  <c r="AW386" i="1" a="1"/>
  <c r="AW386" i="1" s="1"/>
  <c r="AX386" i="1" a="1"/>
  <c r="AX386" i="1" s="1"/>
  <c r="AY386" i="1" a="1"/>
  <c r="AY386" i="1" s="1"/>
  <c r="AZ386" i="1" a="1"/>
  <c r="AZ386" i="1" s="1"/>
  <c r="BA386" i="1" a="1"/>
  <c r="BA386" i="1" s="1"/>
  <c r="BB386" i="1" a="1"/>
  <c r="BB386" i="1" s="1"/>
  <c r="AL387" i="1" a="1"/>
  <c r="AL387" i="1" s="1"/>
  <c r="AM387" i="1" a="1"/>
  <c r="AM387" i="1" s="1"/>
  <c r="AN387" i="1" a="1"/>
  <c r="AN387" i="1" s="1"/>
  <c r="AO387" i="1" a="1"/>
  <c r="AO387" i="1" s="1"/>
  <c r="AP387" i="1" a="1"/>
  <c r="AP387" i="1" s="1"/>
  <c r="AQ387" i="1" a="1"/>
  <c r="AQ387" i="1" s="1"/>
  <c r="AR387" i="1" a="1"/>
  <c r="AR387" i="1" s="1"/>
  <c r="AS387" i="1" a="1"/>
  <c r="AS387" i="1" s="1"/>
  <c r="AT387" i="1" a="1"/>
  <c r="AT387" i="1" s="1"/>
  <c r="AU387" i="1" a="1"/>
  <c r="AU387" i="1" s="1"/>
  <c r="AV387" i="1" a="1"/>
  <c r="AV387" i="1" s="1"/>
  <c r="AW387" i="1" a="1"/>
  <c r="AW387" i="1" s="1"/>
  <c r="AX387" i="1" a="1"/>
  <c r="AX387" i="1" s="1"/>
  <c r="AY387" i="1" a="1"/>
  <c r="AY387" i="1" s="1"/>
  <c r="AZ387" i="1" a="1"/>
  <c r="AZ387" i="1" s="1"/>
  <c r="BA387" i="1" a="1"/>
  <c r="BA387" i="1" s="1"/>
  <c r="BB387" i="1" a="1"/>
  <c r="BB387" i="1" s="1"/>
  <c r="AL233" i="1" a="1"/>
  <c r="AL233" i="1" s="1"/>
  <c r="AM233" i="1" a="1"/>
  <c r="AM233" i="1" s="1"/>
  <c r="AN233" i="1" a="1"/>
  <c r="AN233" i="1" s="1"/>
  <c r="AO233" i="1" a="1"/>
  <c r="AO233" i="1" s="1"/>
  <c r="AP233" i="1" a="1"/>
  <c r="AP233" i="1" s="1"/>
  <c r="AQ233" i="1" a="1"/>
  <c r="AQ233" i="1" s="1"/>
  <c r="AR233" i="1" a="1"/>
  <c r="AR233" i="1" s="1"/>
  <c r="AS233" i="1" a="1"/>
  <c r="AS233" i="1" s="1"/>
  <c r="AT233" i="1" a="1"/>
  <c r="AT233" i="1" s="1"/>
  <c r="AU233" i="1" a="1"/>
  <c r="AU233" i="1" s="1"/>
  <c r="AV233" i="1" a="1"/>
  <c r="AV233" i="1" s="1"/>
  <c r="AW233" i="1" a="1"/>
  <c r="AW233" i="1" s="1"/>
  <c r="AX233" i="1" a="1"/>
  <c r="AX233" i="1" s="1"/>
  <c r="AY233" i="1" a="1"/>
  <c r="AY233" i="1" s="1"/>
  <c r="AZ233" i="1" a="1"/>
  <c r="AZ233" i="1" s="1"/>
  <c r="BA233" i="1" a="1"/>
  <c r="BA233" i="1" s="1"/>
  <c r="BB233" i="1" a="1"/>
  <c r="BB233" i="1" s="1"/>
  <c r="AL388" i="1" a="1"/>
  <c r="AL388" i="1" s="1"/>
  <c r="AM388" i="1" a="1"/>
  <c r="AM388" i="1" s="1"/>
  <c r="AN388" i="1" a="1"/>
  <c r="AN388" i="1" s="1"/>
  <c r="AO388" i="1" a="1"/>
  <c r="AO388" i="1" s="1"/>
  <c r="AP388" i="1" a="1"/>
  <c r="AP388" i="1" s="1"/>
  <c r="AQ388" i="1" a="1"/>
  <c r="AQ388" i="1" s="1"/>
  <c r="AR388" i="1" a="1"/>
  <c r="AR388" i="1" s="1"/>
  <c r="AS388" i="1" a="1"/>
  <c r="AS388" i="1" s="1"/>
  <c r="AT388" i="1" a="1"/>
  <c r="AT388" i="1" s="1"/>
  <c r="AU388" i="1" a="1"/>
  <c r="AU388" i="1" s="1"/>
  <c r="AV388" i="1" a="1"/>
  <c r="AV388" i="1" s="1"/>
  <c r="AW388" i="1" a="1"/>
  <c r="AW388" i="1" s="1"/>
  <c r="AX388" i="1" a="1"/>
  <c r="AX388" i="1" s="1"/>
  <c r="AY388" i="1" a="1"/>
  <c r="AY388" i="1" s="1"/>
  <c r="AZ388" i="1" a="1"/>
  <c r="AZ388" i="1" s="1"/>
  <c r="BA388" i="1" a="1"/>
  <c r="BA388" i="1" s="1"/>
  <c r="BB388" i="1" a="1"/>
  <c r="BB388" i="1" s="1"/>
  <c r="AL389" i="1" a="1"/>
  <c r="AL389" i="1" s="1"/>
  <c r="AM389" i="1" a="1"/>
  <c r="AM389" i="1" s="1"/>
  <c r="AN389" i="1" a="1"/>
  <c r="AN389" i="1" s="1"/>
  <c r="AO389" i="1" a="1"/>
  <c r="AO389" i="1" s="1"/>
  <c r="AP389" i="1" a="1"/>
  <c r="AP389" i="1" s="1"/>
  <c r="AQ389" i="1" a="1"/>
  <c r="AQ389" i="1" s="1"/>
  <c r="AR389" i="1" a="1"/>
  <c r="AR389" i="1" s="1"/>
  <c r="AS389" i="1" a="1"/>
  <c r="AS389" i="1" s="1"/>
  <c r="AT389" i="1" a="1"/>
  <c r="AT389" i="1" s="1"/>
  <c r="AU389" i="1" a="1"/>
  <c r="AU389" i="1" s="1"/>
  <c r="AV389" i="1" a="1"/>
  <c r="AV389" i="1" s="1"/>
  <c r="AW389" i="1" a="1"/>
  <c r="AW389" i="1" s="1"/>
  <c r="AX389" i="1" a="1"/>
  <c r="AX389" i="1" s="1"/>
  <c r="AY389" i="1" a="1"/>
  <c r="AY389" i="1" s="1"/>
  <c r="AZ389" i="1" a="1"/>
  <c r="AZ389" i="1" s="1"/>
  <c r="BA389" i="1" a="1"/>
  <c r="BA389" i="1" s="1"/>
  <c r="BB389" i="1" a="1"/>
  <c r="BB389" i="1" s="1"/>
  <c r="AL390" i="1" a="1"/>
  <c r="AL390" i="1" s="1"/>
  <c r="AM390" i="1" a="1"/>
  <c r="AM390" i="1" s="1"/>
  <c r="AN390" i="1" a="1"/>
  <c r="AN390" i="1" s="1"/>
  <c r="AO390" i="1" a="1"/>
  <c r="AO390" i="1" s="1"/>
  <c r="AP390" i="1" a="1"/>
  <c r="AP390" i="1" s="1"/>
  <c r="AQ390" i="1" a="1"/>
  <c r="AQ390" i="1" s="1"/>
  <c r="AR390" i="1" a="1"/>
  <c r="AR390" i="1" s="1"/>
  <c r="AS390" i="1" a="1"/>
  <c r="AS390" i="1" s="1"/>
  <c r="AT390" i="1" a="1"/>
  <c r="AT390" i="1" s="1"/>
  <c r="AU390" i="1" a="1"/>
  <c r="AU390" i="1" s="1"/>
  <c r="AV390" i="1" a="1"/>
  <c r="AV390" i="1" s="1"/>
  <c r="AW390" i="1" a="1"/>
  <c r="AW390" i="1" s="1"/>
  <c r="AX390" i="1" a="1"/>
  <c r="AX390" i="1" s="1"/>
  <c r="AY390" i="1" a="1"/>
  <c r="AY390" i="1" s="1"/>
  <c r="AZ390" i="1" a="1"/>
  <c r="AZ390" i="1" s="1"/>
  <c r="BA390" i="1" a="1"/>
  <c r="BA390" i="1" s="1"/>
  <c r="BB390" i="1" a="1"/>
  <c r="BB390" i="1" s="1"/>
  <c r="AL391" i="1" a="1"/>
  <c r="AL391" i="1" s="1"/>
  <c r="AM391" i="1" a="1"/>
  <c r="AM391" i="1" s="1"/>
  <c r="AN391" i="1" a="1"/>
  <c r="AN391" i="1" s="1"/>
  <c r="AO391" i="1" a="1"/>
  <c r="AO391" i="1" s="1"/>
  <c r="AP391" i="1" a="1"/>
  <c r="AP391" i="1" s="1"/>
  <c r="AQ391" i="1" a="1"/>
  <c r="AQ391" i="1" s="1"/>
  <c r="AR391" i="1" a="1"/>
  <c r="AR391" i="1" s="1"/>
  <c r="AS391" i="1" a="1"/>
  <c r="AS391" i="1" s="1"/>
  <c r="AT391" i="1" a="1"/>
  <c r="AT391" i="1" s="1"/>
  <c r="AU391" i="1" a="1"/>
  <c r="AU391" i="1" s="1"/>
  <c r="AV391" i="1" a="1"/>
  <c r="AV391" i="1" s="1"/>
  <c r="AW391" i="1" a="1"/>
  <c r="AW391" i="1" s="1"/>
  <c r="AX391" i="1" a="1"/>
  <c r="AX391" i="1" s="1"/>
  <c r="AY391" i="1" a="1"/>
  <c r="AY391" i="1" s="1"/>
  <c r="AZ391" i="1" a="1"/>
  <c r="AZ391" i="1" s="1"/>
  <c r="BA391" i="1" a="1"/>
  <c r="BA391" i="1" s="1"/>
  <c r="BB391" i="1" a="1"/>
  <c r="BB391" i="1" s="1"/>
  <c r="AL392" i="1" a="1"/>
  <c r="AL392" i="1" s="1"/>
  <c r="AM392" i="1" a="1"/>
  <c r="AM392" i="1" s="1"/>
  <c r="AN392" i="1" a="1"/>
  <c r="AN392" i="1" s="1"/>
  <c r="AO392" i="1" a="1"/>
  <c r="AO392" i="1" s="1"/>
  <c r="AP392" i="1" a="1"/>
  <c r="AP392" i="1" s="1"/>
  <c r="AQ392" i="1" a="1"/>
  <c r="AQ392" i="1" s="1"/>
  <c r="AR392" i="1" a="1"/>
  <c r="AR392" i="1" s="1"/>
  <c r="AS392" i="1" a="1"/>
  <c r="AS392" i="1" s="1"/>
  <c r="AT392" i="1" a="1"/>
  <c r="AT392" i="1" s="1"/>
  <c r="AU392" i="1" a="1"/>
  <c r="AU392" i="1" s="1"/>
  <c r="AV392" i="1" a="1"/>
  <c r="AV392" i="1" s="1"/>
  <c r="AW392" i="1" a="1"/>
  <c r="AW392" i="1" s="1"/>
  <c r="AX392" i="1" a="1"/>
  <c r="AX392" i="1" s="1"/>
  <c r="AY392" i="1" a="1"/>
  <c r="AY392" i="1" s="1"/>
  <c r="AZ392" i="1" a="1"/>
  <c r="AZ392" i="1" s="1"/>
  <c r="BA392" i="1" a="1"/>
  <c r="BA392" i="1" s="1"/>
  <c r="BB392" i="1" a="1"/>
  <c r="BB392" i="1" s="1"/>
  <c r="AL393" i="1" a="1"/>
  <c r="AL393" i="1" s="1"/>
  <c r="AM393" i="1" a="1"/>
  <c r="AM393" i="1" s="1"/>
  <c r="AN393" i="1" a="1"/>
  <c r="AN393" i="1" s="1"/>
  <c r="AO393" i="1" a="1"/>
  <c r="AO393" i="1" s="1"/>
  <c r="AP393" i="1" a="1"/>
  <c r="AP393" i="1" s="1"/>
  <c r="AQ393" i="1" a="1"/>
  <c r="AQ393" i="1" s="1"/>
  <c r="AR393" i="1" a="1"/>
  <c r="AR393" i="1" s="1"/>
  <c r="AS393" i="1" a="1"/>
  <c r="AS393" i="1" s="1"/>
  <c r="AT393" i="1" a="1"/>
  <c r="AT393" i="1" s="1"/>
  <c r="AU393" i="1" a="1"/>
  <c r="AU393" i="1" s="1"/>
  <c r="AV393" i="1" a="1"/>
  <c r="AV393" i="1" s="1"/>
  <c r="AW393" i="1" a="1"/>
  <c r="AW393" i="1" s="1"/>
  <c r="AX393" i="1" a="1"/>
  <c r="AX393" i="1" s="1"/>
  <c r="AY393" i="1" a="1"/>
  <c r="AY393" i="1" s="1"/>
  <c r="AZ393" i="1" a="1"/>
  <c r="AZ393" i="1" s="1"/>
  <c r="BA393" i="1" a="1"/>
  <c r="BA393" i="1" s="1"/>
  <c r="BB393" i="1" a="1"/>
  <c r="BB393" i="1" s="1"/>
  <c r="AL276" i="1" a="1"/>
  <c r="AL276" i="1" s="1"/>
  <c r="AM276" i="1" a="1"/>
  <c r="AM276" i="1" s="1"/>
  <c r="AN276" i="1" a="1"/>
  <c r="AN276" i="1" s="1"/>
  <c r="AO276" i="1" a="1"/>
  <c r="AO276" i="1" s="1"/>
  <c r="AP276" i="1" a="1"/>
  <c r="AP276" i="1" s="1"/>
  <c r="AQ276" i="1" a="1"/>
  <c r="AQ276" i="1" s="1"/>
  <c r="AR276" i="1" a="1"/>
  <c r="AR276" i="1" s="1"/>
  <c r="AS276" i="1" a="1"/>
  <c r="AS276" i="1" s="1"/>
  <c r="AT276" i="1" a="1"/>
  <c r="AT276" i="1" s="1"/>
  <c r="AU276" i="1" a="1"/>
  <c r="AU276" i="1" s="1"/>
  <c r="AV276" i="1" a="1"/>
  <c r="AV276" i="1" s="1"/>
  <c r="AW276" i="1" a="1"/>
  <c r="AW276" i="1" s="1"/>
  <c r="AX276" i="1" a="1"/>
  <c r="AX276" i="1" s="1"/>
  <c r="AY276" i="1" a="1"/>
  <c r="AY276" i="1" s="1"/>
  <c r="AZ276" i="1" a="1"/>
  <c r="AZ276" i="1" s="1"/>
  <c r="BA276" i="1" a="1"/>
  <c r="BA276" i="1" s="1"/>
  <c r="BB276" i="1" a="1"/>
  <c r="BB276" i="1" s="1"/>
  <c r="AL277" i="1" a="1"/>
  <c r="AL277" i="1" s="1"/>
  <c r="AM277" i="1" a="1"/>
  <c r="AM277" i="1" s="1"/>
  <c r="AN277" i="1" a="1"/>
  <c r="AN277" i="1" s="1"/>
  <c r="AO277" i="1" a="1"/>
  <c r="AO277" i="1" s="1"/>
  <c r="AP277" i="1" a="1"/>
  <c r="AP277" i="1" s="1"/>
  <c r="AQ277" i="1" a="1"/>
  <c r="AQ277" i="1" s="1"/>
  <c r="AR277" i="1" a="1"/>
  <c r="AR277" i="1" s="1"/>
  <c r="AS277" i="1" a="1"/>
  <c r="AS277" i="1" s="1"/>
  <c r="AT277" i="1" a="1"/>
  <c r="AT277" i="1" s="1"/>
  <c r="AU277" i="1" a="1"/>
  <c r="AU277" i="1" s="1"/>
  <c r="AV277" i="1" a="1"/>
  <c r="AV277" i="1" s="1"/>
  <c r="AW277" i="1" a="1"/>
  <c r="AW277" i="1" s="1"/>
  <c r="AX277" i="1" a="1"/>
  <c r="AX277" i="1" s="1"/>
  <c r="AY277" i="1" a="1"/>
  <c r="AY277" i="1" s="1"/>
  <c r="AZ277" i="1" a="1"/>
  <c r="AZ277" i="1" s="1"/>
  <c r="BA277" i="1" a="1"/>
  <c r="BA277" i="1" s="1"/>
  <c r="BB277" i="1" a="1"/>
  <c r="BB277" i="1" s="1"/>
  <c r="AL290" i="1" a="1"/>
  <c r="AL290" i="1" s="1"/>
  <c r="AM290" i="1" a="1"/>
  <c r="AM290" i="1" s="1"/>
  <c r="AN290" i="1" a="1"/>
  <c r="AN290" i="1" s="1"/>
  <c r="AO290" i="1" a="1"/>
  <c r="AO290" i="1" s="1"/>
  <c r="AP290" i="1" a="1"/>
  <c r="AP290" i="1" s="1"/>
  <c r="AQ290" i="1" a="1"/>
  <c r="AQ290" i="1" s="1"/>
  <c r="AR290" i="1" a="1"/>
  <c r="AR290" i="1" s="1"/>
  <c r="AS290" i="1" a="1"/>
  <c r="AS290" i="1" s="1"/>
  <c r="AT290" i="1" a="1"/>
  <c r="AT290" i="1" s="1"/>
  <c r="AU290" i="1" a="1"/>
  <c r="AU290" i="1" s="1"/>
  <c r="AV290" i="1" a="1"/>
  <c r="AV290" i="1" s="1"/>
  <c r="AW290" i="1" a="1"/>
  <c r="AW290" i="1" s="1"/>
  <c r="AX290" i="1" a="1"/>
  <c r="AX290" i="1" s="1"/>
  <c r="AY290" i="1" a="1"/>
  <c r="AY290" i="1" s="1"/>
  <c r="AZ290" i="1" a="1"/>
  <c r="AZ290" i="1" s="1"/>
  <c r="BA290" i="1" a="1"/>
  <c r="BA290" i="1" s="1"/>
  <c r="BB290" i="1" a="1"/>
  <c r="BB290" i="1" s="1"/>
  <c r="AL296" i="1" a="1"/>
  <c r="AL296" i="1" s="1"/>
  <c r="AM296" i="1" a="1"/>
  <c r="AM296" i="1" s="1"/>
  <c r="AN296" i="1" a="1"/>
  <c r="AN296" i="1" s="1"/>
  <c r="AO296" i="1" a="1"/>
  <c r="AO296" i="1" s="1"/>
  <c r="AP296" i="1" a="1"/>
  <c r="AP296" i="1" s="1"/>
  <c r="AQ296" i="1" a="1"/>
  <c r="AQ296" i="1" s="1"/>
  <c r="AR296" i="1" a="1"/>
  <c r="AR296" i="1" s="1"/>
  <c r="AS296" i="1" a="1"/>
  <c r="AS296" i="1" s="1"/>
  <c r="AT296" i="1" a="1"/>
  <c r="AT296" i="1" s="1"/>
  <c r="AU296" i="1" a="1"/>
  <c r="AU296" i="1" s="1"/>
  <c r="AV296" i="1" a="1"/>
  <c r="AV296" i="1" s="1"/>
  <c r="AW296" i="1" a="1"/>
  <c r="AW296" i="1" s="1"/>
  <c r="AX296" i="1" a="1"/>
  <c r="AX296" i="1" s="1"/>
  <c r="AY296" i="1" a="1"/>
  <c r="AY296" i="1" s="1"/>
  <c r="AZ296" i="1" a="1"/>
  <c r="AZ296" i="1" s="1"/>
  <c r="BA296" i="1" a="1"/>
  <c r="BA296" i="1" s="1"/>
  <c r="BB296" i="1" a="1"/>
  <c r="BB296" i="1" s="1"/>
  <c r="AL303" i="1" a="1"/>
  <c r="AL303" i="1" s="1"/>
  <c r="AM303" i="1" a="1"/>
  <c r="AM303" i="1" s="1"/>
  <c r="AN303" i="1" a="1"/>
  <c r="AN303" i="1" s="1"/>
  <c r="AO303" i="1" a="1"/>
  <c r="AO303" i="1" s="1"/>
  <c r="AP303" i="1" a="1"/>
  <c r="AP303" i="1" s="1"/>
  <c r="AQ303" i="1" a="1"/>
  <c r="AQ303" i="1" s="1"/>
  <c r="AR303" i="1" a="1"/>
  <c r="AR303" i="1" s="1"/>
  <c r="AS303" i="1" a="1"/>
  <c r="AS303" i="1" s="1"/>
  <c r="AT303" i="1" a="1"/>
  <c r="AT303" i="1" s="1"/>
  <c r="AU303" i="1" a="1"/>
  <c r="AU303" i="1" s="1"/>
  <c r="AV303" i="1" a="1"/>
  <c r="AV303" i="1" s="1"/>
  <c r="AW303" i="1" a="1"/>
  <c r="AW303" i="1" s="1"/>
  <c r="AX303" i="1" a="1"/>
  <c r="AX303" i="1" s="1"/>
  <c r="AY303" i="1" a="1"/>
  <c r="AY303" i="1" s="1"/>
  <c r="AZ303" i="1" a="1"/>
  <c r="AZ303" i="1" s="1"/>
  <c r="BA303" i="1" a="1"/>
  <c r="BA303" i="1" s="1"/>
  <c r="BB303" i="1" a="1"/>
  <c r="BB303" i="1" s="1"/>
  <c r="AL305" i="1" a="1"/>
  <c r="AL305" i="1" s="1"/>
  <c r="AM305" i="1" a="1"/>
  <c r="AM305" i="1" s="1"/>
  <c r="AN305" i="1" a="1"/>
  <c r="AN305" i="1" s="1"/>
  <c r="AO305" i="1" a="1"/>
  <c r="AO305" i="1" s="1"/>
  <c r="AP305" i="1" a="1"/>
  <c r="AP305" i="1" s="1"/>
  <c r="AQ305" i="1" a="1"/>
  <c r="AQ305" i="1" s="1"/>
  <c r="AR305" i="1" a="1"/>
  <c r="AR305" i="1" s="1"/>
  <c r="AS305" i="1" a="1"/>
  <c r="AS305" i="1" s="1"/>
  <c r="AT305" i="1" a="1"/>
  <c r="AT305" i="1" s="1"/>
  <c r="AU305" i="1" a="1"/>
  <c r="AU305" i="1" s="1"/>
  <c r="AV305" i="1" a="1"/>
  <c r="AV305" i="1" s="1"/>
  <c r="AW305" i="1" a="1"/>
  <c r="AW305" i="1" s="1"/>
  <c r="AX305" i="1" a="1"/>
  <c r="AX305" i="1" s="1"/>
  <c r="AY305" i="1" a="1"/>
  <c r="AY305" i="1" s="1"/>
  <c r="AZ305" i="1" a="1"/>
  <c r="AZ305" i="1" s="1"/>
  <c r="BA305" i="1" a="1"/>
  <c r="BA305" i="1" s="1"/>
  <c r="BB305" i="1" a="1"/>
  <c r="BB305" i="1" s="1"/>
  <c r="AL177" i="1" a="1"/>
  <c r="AL177" i="1" s="1"/>
  <c r="AM177" i="1" a="1"/>
  <c r="AM177" i="1" s="1"/>
  <c r="AN177" i="1" a="1"/>
  <c r="AN177" i="1" s="1"/>
  <c r="AO177" i="1" a="1"/>
  <c r="AO177" i="1" s="1"/>
  <c r="AP177" i="1" a="1"/>
  <c r="AP177" i="1" s="1"/>
  <c r="AQ177" i="1" a="1"/>
  <c r="AQ177" i="1" s="1"/>
  <c r="AR177" i="1" a="1"/>
  <c r="AR177" i="1" s="1"/>
  <c r="AS177" i="1" a="1"/>
  <c r="AS177" i="1" s="1"/>
  <c r="AT177" i="1" a="1"/>
  <c r="AT177" i="1" s="1"/>
  <c r="AU177" i="1" a="1"/>
  <c r="AU177" i="1" s="1"/>
  <c r="AV177" i="1" a="1"/>
  <c r="AV177" i="1" s="1"/>
  <c r="AW177" i="1" a="1"/>
  <c r="AW177" i="1" s="1"/>
  <c r="AX177" i="1" a="1"/>
  <c r="AX177" i="1" s="1"/>
  <c r="AY177" i="1" a="1"/>
  <c r="AY177" i="1" s="1"/>
  <c r="AZ177" i="1" a="1"/>
  <c r="AZ177" i="1" s="1"/>
  <c r="BA177" i="1" a="1"/>
  <c r="BA177" i="1" s="1"/>
  <c r="BB177" i="1" a="1"/>
  <c r="BB177" i="1" s="1"/>
  <c r="AL318" i="1" a="1"/>
  <c r="AL318" i="1" s="1"/>
  <c r="AM318" i="1" a="1"/>
  <c r="AM318" i="1" s="1"/>
  <c r="AN318" i="1" a="1"/>
  <c r="AN318" i="1" s="1"/>
  <c r="AO318" i="1" a="1"/>
  <c r="AO318" i="1" s="1"/>
  <c r="AP318" i="1" a="1"/>
  <c r="AP318" i="1" s="1"/>
  <c r="AQ318" i="1" a="1"/>
  <c r="AQ318" i="1" s="1"/>
  <c r="AR318" i="1" a="1"/>
  <c r="AR318" i="1" s="1"/>
  <c r="AS318" i="1" a="1"/>
  <c r="AS318" i="1" s="1"/>
  <c r="AT318" i="1" a="1"/>
  <c r="AT318" i="1" s="1"/>
  <c r="AU318" i="1" a="1"/>
  <c r="AU318" i="1" s="1"/>
  <c r="AV318" i="1" a="1"/>
  <c r="AV318" i="1" s="1"/>
  <c r="AW318" i="1" a="1"/>
  <c r="AW318" i="1" s="1"/>
  <c r="AX318" i="1" a="1"/>
  <c r="AX318" i="1" s="1"/>
  <c r="AY318" i="1" a="1"/>
  <c r="AY318" i="1" s="1"/>
  <c r="AZ318" i="1" a="1"/>
  <c r="AZ318" i="1" s="1"/>
  <c r="BA318" i="1" a="1"/>
  <c r="BA318" i="1" s="1"/>
  <c r="BB318" i="1" a="1"/>
  <c r="BB318" i="1" s="1"/>
  <c r="AL331" i="1" a="1"/>
  <c r="AL331" i="1" s="1"/>
  <c r="AM331" i="1" a="1"/>
  <c r="AM331" i="1" s="1"/>
  <c r="AN331" i="1" a="1"/>
  <c r="AN331" i="1" s="1"/>
  <c r="AO331" i="1" a="1"/>
  <c r="AO331" i="1" s="1"/>
  <c r="AP331" i="1" a="1"/>
  <c r="AP331" i="1" s="1"/>
  <c r="AQ331" i="1" a="1"/>
  <c r="AQ331" i="1" s="1"/>
  <c r="AR331" i="1" a="1"/>
  <c r="AR331" i="1" s="1"/>
  <c r="AS331" i="1" a="1"/>
  <c r="AS331" i="1" s="1"/>
  <c r="AT331" i="1" a="1"/>
  <c r="AT331" i="1" s="1"/>
  <c r="AU331" i="1" a="1"/>
  <c r="AU331" i="1" s="1"/>
  <c r="AV331" i="1" a="1"/>
  <c r="AV331" i="1" s="1"/>
  <c r="AW331" i="1" a="1"/>
  <c r="AW331" i="1" s="1"/>
  <c r="AX331" i="1" a="1"/>
  <c r="AX331" i="1" s="1"/>
  <c r="AY331" i="1" a="1"/>
  <c r="AY331" i="1" s="1"/>
  <c r="AZ331" i="1" a="1"/>
  <c r="AZ331" i="1" s="1"/>
  <c r="BA331" i="1" a="1"/>
  <c r="BA331" i="1" s="1"/>
  <c r="BB331" i="1" a="1"/>
  <c r="BB331" i="1" s="1"/>
  <c r="AL374" i="1" a="1"/>
  <c r="AL374" i="1" s="1"/>
  <c r="AM374" i="1" a="1"/>
  <c r="AM374" i="1" s="1"/>
  <c r="AN374" i="1" a="1"/>
  <c r="AN374" i="1" s="1"/>
  <c r="AO374" i="1" a="1"/>
  <c r="AO374" i="1" s="1"/>
  <c r="AP374" i="1" a="1"/>
  <c r="AP374" i="1" s="1"/>
  <c r="AQ374" i="1" a="1"/>
  <c r="AQ374" i="1" s="1"/>
  <c r="AR374" i="1" a="1"/>
  <c r="AR374" i="1" s="1"/>
  <c r="AS374" i="1" a="1"/>
  <c r="AS374" i="1" s="1"/>
  <c r="AT374" i="1" a="1"/>
  <c r="AT374" i="1" s="1"/>
  <c r="AU374" i="1" a="1"/>
  <c r="AU374" i="1" s="1"/>
  <c r="AV374" i="1" a="1"/>
  <c r="AV374" i="1" s="1"/>
  <c r="AW374" i="1" a="1"/>
  <c r="AW374" i="1" s="1"/>
  <c r="AX374" i="1" a="1"/>
  <c r="AX374" i="1" s="1"/>
  <c r="AY374" i="1" a="1"/>
  <c r="AY374" i="1" s="1"/>
  <c r="AZ374" i="1" a="1"/>
  <c r="AZ374" i="1" s="1"/>
  <c r="BA374" i="1" a="1"/>
  <c r="BA374" i="1" s="1"/>
  <c r="BB374" i="1" a="1"/>
  <c r="BB374" i="1" s="1"/>
  <c r="AL246" i="1" a="1"/>
  <c r="AL246" i="1" s="1"/>
  <c r="AM246" i="1" a="1"/>
  <c r="AM246" i="1" s="1"/>
  <c r="AN246" i="1" a="1"/>
  <c r="AN246" i="1" s="1"/>
  <c r="AO246" i="1" a="1"/>
  <c r="AO246" i="1" s="1"/>
  <c r="AP246" i="1" a="1"/>
  <c r="AP246" i="1" s="1"/>
  <c r="AQ246" i="1" a="1"/>
  <c r="AQ246" i="1" s="1"/>
  <c r="AR246" i="1" a="1"/>
  <c r="AR246" i="1" s="1"/>
  <c r="AS246" i="1" a="1"/>
  <c r="AS246" i="1" s="1"/>
  <c r="AT246" i="1" a="1"/>
  <c r="AT246" i="1" s="1"/>
  <c r="AU246" i="1" a="1"/>
  <c r="AU246" i="1" s="1"/>
  <c r="AV246" i="1" a="1"/>
  <c r="AV246" i="1" s="1"/>
  <c r="AW246" i="1" a="1"/>
  <c r="AW246" i="1" s="1"/>
  <c r="AX246" i="1" a="1"/>
  <c r="AX246" i="1" s="1"/>
  <c r="AY246" i="1" a="1"/>
  <c r="AY246" i="1" s="1"/>
  <c r="AZ246" i="1" a="1"/>
  <c r="AZ246" i="1" s="1"/>
  <c r="BA246" i="1" a="1"/>
  <c r="BA246" i="1" s="1"/>
  <c r="BB246" i="1" a="1"/>
  <c r="BB246" i="1" s="1"/>
  <c r="AL247" i="1" a="1"/>
  <c r="AL247" i="1" s="1"/>
  <c r="AM247" i="1" a="1"/>
  <c r="AM247" i="1" s="1"/>
  <c r="AN247" i="1" a="1"/>
  <c r="AN247" i="1" s="1"/>
  <c r="AO247" i="1" a="1"/>
  <c r="AO247" i="1" s="1"/>
  <c r="AP247" i="1" a="1"/>
  <c r="AP247" i="1" s="1"/>
  <c r="AQ247" i="1" a="1"/>
  <c r="AQ247" i="1" s="1"/>
  <c r="AR247" i="1" a="1"/>
  <c r="AR247" i="1" s="1"/>
  <c r="AS247" i="1" a="1"/>
  <c r="AS247" i="1" s="1"/>
  <c r="AT247" i="1" a="1"/>
  <c r="AT247" i="1" s="1"/>
  <c r="AU247" i="1" a="1"/>
  <c r="AU247" i="1" s="1"/>
  <c r="AV247" i="1" a="1"/>
  <c r="AV247" i="1" s="1"/>
  <c r="AW247" i="1" a="1"/>
  <c r="AW247" i="1" s="1"/>
  <c r="AX247" i="1" a="1"/>
  <c r="AX247" i="1" s="1"/>
  <c r="AY247" i="1" a="1"/>
  <c r="AY247" i="1" s="1"/>
  <c r="AZ247" i="1" a="1"/>
  <c r="AZ247" i="1" s="1"/>
  <c r="BA247" i="1" a="1"/>
  <c r="BA247" i="1" s="1"/>
  <c r="BB247" i="1" a="1"/>
  <c r="BB247" i="1" s="1"/>
  <c r="AL252" i="1" a="1"/>
  <c r="AL252" i="1" s="1"/>
  <c r="AM252" i="1" a="1"/>
  <c r="AM252" i="1" s="1"/>
  <c r="AN252" i="1" a="1"/>
  <c r="AN252" i="1" s="1"/>
  <c r="AO252" i="1" a="1"/>
  <c r="AO252" i="1" s="1"/>
  <c r="AP252" i="1" a="1"/>
  <c r="AP252" i="1" s="1"/>
  <c r="AQ252" i="1" a="1"/>
  <c r="AQ252" i="1" s="1"/>
  <c r="AR252" i="1" a="1"/>
  <c r="AR252" i="1" s="1"/>
  <c r="AS252" i="1" a="1"/>
  <c r="AS252" i="1" s="1"/>
  <c r="AT252" i="1" a="1"/>
  <c r="AT252" i="1" s="1"/>
  <c r="AU252" i="1" a="1"/>
  <c r="AU252" i="1" s="1"/>
  <c r="AV252" i="1" a="1"/>
  <c r="AV252" i="1" s="1"/>
  <c r="AW252" i="1" a="1"/>
  <c r="AW252" i="1" s="1"/>
  <c r="AX252" i="1" a="1"/>
  <c r="AX252" i="1" s="1"/>
  <c r="AY252" i="1" a="1"/>
  <c r="AY252" i="1" s="1"/>
  <c r="AZ252" i="1" a="1"/>
  <c r="AZ252" i="1" s="1"/>
  <c r="BA252" i="1" a="1"/>
  <c r="BA252" i="1" s="1"/>
  <c r="BB252" i="1" a="1"/>
  <c r="BB252" i="1" s="1"/>
  <c r="AL271" i="1" a="1"/>
  <c r="AL271" i="1" s="1"/>
  <c r="AM271" i="1" a="1"/>
  <c r="AM271" i="1" s="1"/>
  <c r="AN271" i="1" a="1"/>
  <c r="AN271" i="1" s="1"/>
  <c r="AO271" i="1" a="1"/>
  <c r="AO271" i="1" s="1"/>
  <c r="AP271" i="1" a="1"/>
  <c r="AP271" i="1" s="1"/>
  <c r="AQ271" i="1" a="1"/>
  <c r="AQ271" i="1" s="1"/>
  <c r="AR271" i="1" a="1"/>
  <c r="AR271" i="1" s="1"/>
  <c r="AS271" i="1" a="1"/>
  <c r="AS271" i="1" s="1"/>
  <c r="AT271" i="1" a="1"/>
  <c r="AT271" i="1" s="1"/>
  <c r="AU271" i="1" a="1"/>
  <c r="AU271" i="1" s="1"/>
  <c r="AV271" i="1" a="1"/>
  <c r="AV271" i="1" s="1"/>
  <c r="AW271" i="1" a="1"/>
  <c r="AW271" i="1" s="1"/>
  <c r="AX271" i="1" a="1"/>
  <c r="AX271" i="1" s="1"/>
  <c r="AY271" i="1" a="1"/>
  <c r="AY271" i="1" s="1"/>
  <c r="AZ271" i="1" a="1"/>
  <c r="AZ271" i="1" s="1"/>
  <c r="BA271" i="1" a="1"/>
  <c r="BA271" i="1" s="1"/>
  <c r="BB271" i="1" a="1"/>
  <c r="BB271" i="1" s="1"/>
  <c r="AL281" i="1" a="1"/>
  <c r="AL281" i="1" s="1"/>
  <c r="AM281" i="1" a="1"/>
  <c r="AM281" i="1" s="1"/>
  <c r="AN281" i="1" a="1"/>
  <c r="AN281" i="1" s="1"/>
  <c r="AO281" i="1" a="1"/>
  <c r="AO281" i="1" s="1"/>
  <c r="AP281" i="1" a="1"/>
  <c r="AP281" i="1" s="1"/>
  <c r="AQ281" i="1" a="1"/>
  <c r="AQ281" i="1" s="1"/>
  <c r="AR281" i="1" a="1"/>
  <c r="AR281" i="1" s="1"/>
  <c r="AS281" i="1" a="1"/>
  <c r="AS281" i="1" s="1"/>
  <c r="AT281" i="1" a="1"/>
  <c r="AT281" i="1" s="1"/>
  <c r="AU281" i="1" a="1"/>
  <c r="AU281" i="1" s="1"/>
  <c r="AV281" i="1" a="1"/>
  <c r="AV281" i="1" s="1"/>
  <c r="AW281" i="1" a="1"/>
  <c r="AW281" i="1" s="1"/>
  <c r="AX281" i="1" a="1"/>
  <c r="AX281" i="1" s="1"/>
  <c r="AY281" i="1" a="1"/>
  <c r="AY281" i="1" s="1"/>
  <c r="AZ281" i="1" a="1"/>
  <c r="AZ281" i="1" s="1"/>
  <c r="BA281" i="1" a="1"/>
  <c r="BA281" i="1" s="1"/>
  <c r="BB281" i="1" a="1"/>
  <c r="BB281" i="1" s="1"/>
  <c r="AL284" i="1" a="1"/>
  <c r="AL284" i="1" s="1"/>
  <c r="AM284" i="1" a="1"/>
  <c r="AM284" i="1" s="1"/>
  <c r="AN284" i="1" a="1"/>
  <c r="AN284" i="1" s="1"/>
  <c r="AO284" i="1" a="1"/>
  <c r="AO284" i="1" s="1"/>
  <c r="AP284" i="1" a="1"/>
  <c r="AP284" i="1" s="1"/>
  <c r="AQ284" i="1" a="1"/>
  <c r="AQ284" i="1" s="1"/>
  <c r="AR284" i="1" a="1"/>
  <c r="AR284" i="1" s="1"/>
  <c r="AS284" i="1" a="1"/>
  <c r="AS284" i="1" s="1"/>
  <c r="AT284" i="1" a="1"/>
  <c r="AT284" i="1" s="1"/>
  <c r="AU284" i="1" a="1"/>
  <c r="AU284" i="1" s="1"/>
  <c r="AV284" i="1" a="1"/>
  <c r="AV284" i="1" s="1"/>
  <c r="AW284" i="1" a="1"/>
  <c r="AW284" i="1" s="1"/>
  <c r="AX284" i="1" a="1"/>
  <c r="AX284" i="1" s="1"/>
  <c r="AY284" i="1" a="1"/>
  <c r="AY284" i="1" s="1"/>
  <c r="AZ284" i="1" a="1"/>
  <c r="AZ284" i="1" s="1"/>
  <c r="BA284" i="1" a="1"/>
  <c r="BA284" i="1" s="1"/>
  <c r="BB284" i="1" a="1"/>
  <c r="BB284" i="1" s="1"/>
  <c r="AL311" i="1" a="1"/>
  <c r="AL311" i="1" s="1"/>
  <c r="AM311" i="1" a="1"/>
  <c r="AM311" i="1" s="1"/>
  <c r="AN311" i="1" a="1"/>
  <c r="AN311" i="1" s="1"/>
  <c r="AO311" i="1" a="1"/>
  <c r="AO311" i="1" s="1"/>
  <c r="AP311" i="1" a="1"/>
  <c r="AP311" i="1" s="1"/>
  <c r="AQ311" i="1" a="1"/>
  <c r="AQ311" i="1" s="1"/>
  <c r="AR311" i="1" a="1"/>
  <c r="AR311" i="1" s="1"/>
  <c r="AS311" i="1" a="1"/>
  <c r="AS311" i="1" s="1"/>
  <c r="AT311" i="1" a="1"/>
  <c r="AT311" i="1" s="1"/>
  <c r="AU311" i="1" a="1"/>
  <c r="AU311" i="1" s="1"/>
  <c r="AV311" i="1" a="1"/>
  <c r="AV311" i="1" s="1"/>
  <c r="AW311" i="1" a="1"/>
  <c r="AW311" i="1" s="1"/>
  <c r="AX311" i="1" a="1"/>
  <c r="AX311" i="1" s="1"/>
  <c r="AY311" i="1" a="1"/>
  <c r="AY311" i="1" s="1"/>
  <c r="AZ311" i="1" a="1"/>
  <c r="AZ311" i="1" s="1"/>
  <c r="BA311" i="1" a="1"/>
  <c r="BA311" i="1" s="1"/>
  <c r="BB311" i="1" a="1"/>
  <c r="BB311" i="1" s="1"/>
  <c r="AL312" i="1" a="1"/>
  <c r="AL312" i="1" s="1"/>
  <c r="AM312" i="1" a="1"/>
  <c r="AM312" i="1" s="1"/>
  <c r="AN312" i="1" a="1"/>
  <c r="AN312" i="1" s="1"/>
  <c r="AO312" i="1" a="1"/>
  <c r="AO312" i="1" s="1"/>
  <c r="AP312" i="1" a="1"/>
  <c r="AP312" i="1" s="1"/>
  <c r="AQ312" i="1" a="1"/>
  <c r="AQ312" i="1" s="1"/>
  <c r="AR312" i="1" a="1"/>
  <c r="AR312" i="1" s="1"/>
  <c r="AS312" i="1" a="1"/>
  <c r="AS312" i="1" s="1"/>
  <c r="AT312" i="1" a="1"/>
  <c r="AT312" i="1" s="1"/>
  <c r="AU312" i="1" a="1"/>
  <c r="AU312" i="1" s="1"/>
  <c r="AV312" i="1" a="1"/>
  <c r="AV312" i="1" s="1"/>
  <c r="AW312" i="1" a="1"/>
  <c r="AW312" i="1" s="1"/>
  <c r="AX312" i="1" a="1"/>
  <c r="AX312" i="1" s="1"/>
  <c r="AY312" i="1" a="1"/>
  <c r="AY312" i="1" s="1"/>
  <c r="AZ312" i="1" a="1"/>
  <c r="AZ312" i="1" s="1"/>
  <c r="BA312" i="1" a="1"/>
  <c r="BA312" i="1" s="1"/>
  <c r="BB312" i="1" a="1"/>
  <c r="BB312" i="1" s="1"/>
  <c r="AL313" i="1" a="1"/>
  <c r="AL313" i="1" s="1"/>
  <c r="AM313" i="1" a="1"/>
  <c r="AM313" i="1" s="1"/>
  <c r="AN313" i="1" a="1"/>
  <c r="AN313" i="1" s="1"/>
  <c r="AO313" i="1" a="1"/>
  <c r="AO313" i="1" s="1"/>
  <c r="AP313" i="1" a="1"/>
  <c r="AP313" i="1" s="1"/>
  <c r="AQ313" i="1" a="1"/>
  <c r="AQ313" i="1" s="1"/>
  <c r="AR313" i="1" a="1"/>
  <c r="AR313" i="1" s="1"/>
  <c r="AS313" i="1" a="1"/>
  <c r="AS313" i="1" s="1"/>
  <c r="AT313" i="1" a="1"/>
  <c r="AT313" i="1" s="1"/>
  <c r="AU313" i="1" a="1"/>
  <c r="AU313" i="1" s="1"/>
  <c r="AV313" i="1" a="1"/>
  <c r="AV313" i="1" s="1"/>
  <c r="AW313" i="1" a="1"/>
  <c r="AW313" i="1" s="1"/>
  <c r="AX313" i="1" a="1"/>
  <c r="AX313" i="1" s="1"/>
  <c r="AY313" i="1" a="1"/>
  <c r="AY313" i="1" s="1"/>
  <c r="AZ313" i="1" a="1"/>
  <c r="AZ313" i="1" s="1"/>
  <c r="BA313" i="1" a="1"/>
  <c r="BA313" i="1" s="1"/>
  <c r="BB313" i="1" a="1"/>
  <c r="BB313" i="1" s="1"/>
  <c r="AL394" i="1" a="1"/>
  <c r="AL394" i="1" s="1"/>
  <c r="AM394" i="1" a="1"/>
  <c r="AM394" i="1" s="1"/>
  <c r="AN394" i="1" a="1"/>
  <c r="AN394" i="1" s="1"/>
  <c r="AO394" i="1" a="1"/>
  <c r="AO394" i="1" s="1"/>
  <c r="AP394" i="1" a="1"/>
  <c r="AP394" i="1" s="1"/>
  <c r="AQ394" i="1" a="1"/>
  <c r="AQ394" i="1" s="1"/>
  <c r="AR394" i="1" a="1"/>
  <c r="AR394" i="1" s="1"/>
  <c r="AS394" i="1" a="1"/>
  <c r="AS394" i="1" s="1"/>
  <c r="AT394" i="1" a="1"/>
  <c r="AT394" i="1" s="1"/>
  <c r="AU394" i="1" a="1"/>
  <c r="AU394" i="1" s="1"/>
  <c r="AV394" i="1" a="1"/>
  <c r="AV394" i="1" s="1"/>
  <c r="AW394" i="1" a="1"/>
  <c r="AW394" i="1" s="1"/>
  <c r="AX394" i="1" a="1"/>
  <c r="AX394" i="1" s="1"/>
  <c r="AY394" i="1" a="1"/>
  <c r="AY394" i="1" s="1"/>
  <c r="AZ394" i="1" a="1"/>
  <c r="AZ394" i="1" s="1"/>
  <c r="BA394" i="1" a="1"/>
  <c r="BA394" i="1" s="1"/>
  <c r="BB394" i="1" a="1"/>
  <c r="BB394" i="1" s="1"/>
  <c r="AL395" i="1" a="1"/>
  <c r="AL395" i="1" s="1"/>
  <c r="AM395" i="1" a="1"/>
  <c r="AM395" i="1" s="1"/>
  <c r="AN395" i="1" a="1"/>
  <c r="AN395" i="1" s="1"/>
  <c r="AO395" i="1" a="1"/>
  <c r="AO395" i="1" s="1"/>
  <c r="AP395" i="1" a="1"/>
  <c r="AP395" i="1" s="1"/>
  <c r="AQ395" i="1" a="1"/>
  <c r="AQ395" i="1" s="1"/>
  <c r="AR395" i="1" a="1"/>
  <c r="AR395" i="1" s="1"/>
  <c r="AS395" i="1" a="1"/>
  <c r="AS395" i="1" s="1"/>
  <c r="AT395" i="1" a="1"/>
  <c r="AT395" i="1" s="1"/>
  <c r="AU395" i="1" a="1"/>
  <c r="AU395" i="1" s="1"/>
  <c r="AV395" i="1" a="1"/>
  <c r="AV395" i="1" s="1"/>
  <c r="AW395" i="1" a="1"/>
  <c r="AW395" i="1" s="1"/>
  <c r="AX395" i="1" a="1"/>
  <c r="AX395" i="1" s="1"/>
  <c r="AY395" i="1" a="1"/>
  <c r="AY395" i="1" s="1"/>
  <c r="AZ395" i="1" a="1"/>
  <c r="AZ395" i="1" s="1"/>
  <c r="BA395" i="1" a="1"/>
  <c r="BA395" i="1" s="1"/>
  <c r="BB395" i="1" a="1"/>
  <c r="BB395" i="1" s="1"/>
  <c r="AL396" i="1" a="1"/>
  <c r="AL396" i="1" s="1"/>
  <c r="AM396" i="1" a="1"/>
  <c r="AM396" i="1" s="1"/>
  <c r="AN396" i="1" a="1"/>
  <c r="AN396" i="1" s="1"/>
  <c r="AO396" i="1" a="1"/>
  <c r="AO396" i="1" s="1"/>
  <c r="AP396" i="1" a="1"/>
  <c r="AP396" i="1" s="1"/>
  <c r="AQ396" i="1" a="1"/>
  <c r="AQ396" i="1" s="1"/>
  <c r="AR396" i="1" a="1"/>
  <c r="AR396" i="1" s="1"/>
  <c r="AS396" i="1" a="1"/>
  <c r="AS396" i="1" s="1"/>
  <c r="AT396" i="1" a="1"/>
  <c r="AT396" i="1" s="1"/>
  <c r="AU396" i="1" a="1"/>
  <c r="AU396" i="1" s="1"/>
  <c r="AV396" i="1" a="1"/>
  <c r="AV396" i="1" s="1"/>
  <c r="AW396" i="1" a="1"/>
  <c r="AW396" i="1" s="1"/>
  <c r="AX396" i="1" a="1"/>
  <c r="AX396" i="1" s="1"/>
  <c r="AY396" i="1" a="1"/>
  <c r="AY396" i="1" s="1"/>
  <c r="AZ396" i="1" a="1"/>
  <c r="AZ396" i="1" s="1"/>
  <c r="BA396" i="1" a="1"/>
  <c r="BA396" i="1" s="1"/>
  <c r="BB396" i="1" a="1"/>
  <c r="BB396" i="1" s="1"/>
  <c r="AL397" i="1" a="1"/>
  <c r="AL397" i="1" s="1"/>
  <c r="AM397" i="1" a="1"/>
  <c r="AM397" i="1" s="1"/>
  <c r="AN397" i="1" a="1"/>
  <c r="AN397" i="1" s="1"/>
  <c r="AO397" i="1" a="1"/>
  <c r="AO397" i="1" s="1"/>
  <c r="AP397" i="1" a="1"/>
  <c r="AP397" i="1" s="1"/>
  <c r="AQ397" i="1" a="1"/>
  <c r="AQ397" i="1" s="1"/>
  <c r="AR397" i="1" a="1"/>
  <c r="AR397" i="1" s="1"/>
  <c r="AS397" i="1" a="1"/>
  <c r="AS397" i="1" s="1"/>
  <c r="AT397" i="1" a="1"/>
  <c r="AT397" i="1" s="1"/>
  <c r="AU397" i="1" a="1"/>
  <c r="AU397" i="1" s="1"/>
  <c r="AV397" i="1" a="1"/>
  <c r="AV397" i="1" s="1"/>
  <c r="AW397" i="1" a="1"/>
  <c r="AW397" i="1" s="1"/>
  <c r="AX397" i="1" a="1"/>
  <c r="AX397" i="1" s="1"/>
  <c r="AY397" i="1" a="1"/>
  <c r="AY397" i="1" s="1"/>
  <c r="AZ397" i="1" a="1"/>
  <c r="AZ397" i="1" s="1"/>
  <c r="BA397" i="1" a="1"/>
  <c r="BA397" i="1" s="1"/>
  <c r="BB397" i="1" a="1"/>
  <c r="BB397" i="1" s="1"/>
  <c r="AL398" i="1" a="1"/>
  <c r="AL398" i="1" s="1"/>
  <c r="AM398" i="1" a="1"/>
  <c r="AM398" i="1" s="1"/>
  <c r="AN398" i="1" a="1"/>
  <c r="AN398" i="1" s="1"/>
  <c r="AO398" i="1" a="1"/>
  <c r="AO398" i="1" s="1"/>
  <c r="AP398" i="1" a="1"/>
  <c r="AP398" i="1" s="1"/>
  <c r="AQ398" i="1" a="1"/>
  <c r="AQ398" i="1" s="1"/>
  <c r="AR398" i="1" a="1"/>
  <c r="AR398" i="1" s="1"/>
  <c r="AS398" i="1" a="1"/>
  <c r="AS398" i="1" s="1"/>
  <c r="AT398" i="1" a="1"/>
  <c r="AT398" i="1" s="1"/>
  <c r="AU398" i="1" a="1"/>
  <c r="AU398" i="1" s="1"/>
  <c r="AV398" i="1" a="1"/>
  <c r="AV398" i="1" s="1"/>
  <c r="AW398" i="1" a="1"/>
  <c r="AW398" i="1" s="1"/>
  <c r="AX398" i="1" a="1"/>
  <c r="AX398" i="1" s="1"/>
  <c r="AY398" i="1" a="1"/>
  <c r="AY398" i="1" s="1"/>
  <c r="AZ398" i="1" a="1"/>
  <c r="AZ398" i="1" s="1"/>
  <c r="BA398" i="1" a="1"/>
  <c r="BA398" i="1" s="1"/>
  <c r="BB398" i="1" a="1"/>
  <c r="BB398" i="1" s="1"/>
  <c r="AL399" i="1" a="1"/>
  <c r="AL399" i="1" s="1"/>
  <c r="AM399" i="1" a="1"/>
  <c r="AM399" i="1" s="1"/>
  <c r="AN399" i="1" a="1"/>
  <c r="AN399" i="1" s="1"/>
  <c r="AO399" i="1" a="1"/>
  <c r="AO399" i="1" s="1"/>
  <c r="AP399" i="1" a="1"/>
  <c r="AP399" i="1" s="1"/>
  <c r="AQ399" i="1" a="1"/>
  <c r="AQ399" i="1" s="1"/>
  <c r="AR399" i="1" a="1"/>
  <c r="AR399" i="1" s="1"/>
  <c r="AS399" i="1" a="1"/>
  <c r="AS399" i="1" s="1"/>
  <c r="AT399" i="1" a="1"/>
  <c r="AT399" i="1" s="1"/>
  <c r="AU399" i="1" a="1"/>
  <c r="AU399" i="1" s="1"/>
  <c r="AV399" i="1" a="1"/>
  <c r="AV399" i="1" s="1"/>
  <c r="AW399" i="1" a="1"/>
  <c r="AW399" i="1" s="1"/>
  <c r="AX399" i="1" a="1"/>
  <c r="AX399" i="1" s="1"/>
  <c r="AY399" i="1" a="1"/>
  <c r="AY399" i="1" s="1"/>
  <c r="AZ399" i="1" a="1"/>
  <c r="AZ399" i="1" s="1"/>
  <c r="BA399" i="1" a="1"/>
  <c r="BA399" i="1" s="1"/>
  <c r="BB399" i="1" a="1"/>
  <c r="BB399" i="1" s="1"/>
  <c r="AL400" i="1" a="1"/>
  <c r="AL400" i="1" s="1"/>
  <c r="AM400" i="1" a="1"/>
  <c r="AM400" i="1" s="1"/>
  <c r="AN400" i="1" a="1"/>
  <c r="AN400" i="1" s="1"/>
  <c r="AO400" i="1" a="1"/>
  <c r="AO400" i="1" s="1"/>
  <c r="AP400" i="1" a="1"/>
  <c r="AP400" i="1" s="1"/>
  <c r="AQ400" i="1" a="1"/>
  <c r="AQ400" i="1" s="1"/>
  <c r="AR400" i="1" a="1"/>
  <c r="AR400" i="1" s="1"/>
  <c r="AS400" i="1" a="1"/>
  <c r="AS400" i="1" s="1"/>
  <c r="AT400" i="1" a="1"/>
  <c r="AT400" i="1" s="1"/>
  <c r="AU400" i="1" a="1"/>
  <c r="AU400" i="1" s="1"/>
  <c r="AV400" i="1" a="1"/>
  <c r="AV400" i="1" s="1"/>
  <c r="AW400" i="1" a="1"/>
  <c r="AW400" i="1" s="1"/>
  <c r="AX400" i="1" a="1"/>
  <c r="AX400" i="1" s="1"/>
  <c r="AY400" i="1" a="1"/>
  <c r="AY400" i="1" s="1"/>
  <c r="AZ400" i="1" a="1"/>
  <c r="AZ400" i="1" s="1"/>
  <c r="BA400" i="1" a="1"/>
  <c r="BA400" i="1" s="1"/>
  <c r="BB400" i="1" a="1"/>
  <c r="BB400" i="1" s="1"/>
  <c r="AL401" i="1" a="1"/>
  <c r="AL401" i="1" s="1"/>
  <c r="AM401" i="1" a="1"/>
  <c r="AM401" i="1" s="1"/>
  <c r="AN401" i="1" a="1"/>
  <c r="AN401" i="1" s="1"/>
  <c r="AO401" i="1" a="1"/>
  <c r="AO401" i="1" s="1"/>
  <c r="AP401" i="1" a="1"/>
  <c r="AP401" i="1" s="1"/>
  <c r="AQ401" i="1" a="1"/>
  <c r="AQ401" i="1" s="1"/>
  <c r="AR401" i="1" a="1"/>
  <c r="AR401" i="1" s="1"/>
  <c r="AS401" i="1" a="1"/>
  <c r="AS401" i="1" s="1"/>
  <c r="AT401" i="1" a="1"/>
  <c r="AT401" i="1" s="1"/>
  <c r="AU401" i="1" a="1"/>
  <c r="AU401" i="1" s="1"/>
  <c r="AV401" i="1" a="1"/>
  <c r="AV401" i="1" s="1"/>
  <c r="AW401" i="1" a="1"/>
  <c r="AW401" i="1" s="1"/>
  <c r="AX401" i="1" a="1"/>
  <c r="AX401" i="1" s="1"/>
  <c r="AY401" i="1" a="1"/>
  <c r="AY401" i="1" s="1"/>
  <c r="AZ401" i="1" a="1"/>
  <c r="AZ401" i="1" s="1"/>
  <c r="BA401" i="1" a="1"/>
  <c r="BA401" i="1" s="1"/>
  <c r="BB401" i="1" a="1"/>
  <c r="BB401" i="1" s="1"/>
  <c r="AL402" i="1" a="1"/>
  <c r="AL402" i="1" s="1"/>
  <c r="AM402" i="1" a="1"/>
  <c r="AM402" i="1" s="1"/>
  <c r="AN402" i="1" a="1"/>
  <c r="AN402" i="1" s="1"/>
  <c r="AO402" i="1" a="1"/>
  <c r="AO402" i="1" s="1"/>
  <c r="AP402" i="1" a="1"/>
  <c r="AP402" i="1" s="1"/>
  <c r="AQ402" i="1" a="1"/>
  <c r="AQ402" i="1" s="1"/>
  <c r="AR402" i="1" a="1"/>
  <c r="AR402" i="1" s="1"/>
  <c r="AS402" i="1" a="1"/>
  <c r="AS402" i="1" s="1"/>
  <c r="AT402" i="1" a="1"/>
  <c r="AT402" i="1" s="1"/>
  <c r="AU402" i="1" a="1"/>
  <c r="AU402" i="1" s="1"/>
  <c r="AV402" i="1" a="1"/>
  <c r="AV402" i="1" s="1"/>
  <c r="AW402" i="1" a="1"/>
  <c r="AW402" i="1" s="1"/>
  <c r="AX402" i="1" a="1"/>
  <c r="AX402" i="1" s="1"/>
  <c r="AY402" i="1" a="1"/>
  <c r="AY402" i="1" s="1"/>
  <c r="AZ402" i="1" a="1"/>
  <c r="AZ402" i="1" s="1"/>
  <c r="BA402" i="1" a="1"/>
  <c r="BA402" i="1" s="1"/>
  <c r="BB402" i="1" a="1"/>
  <c r="BB402" i="1" s="1"/>
  <c r="AL403" i="1" a="1"/>
  <c r="AL403" i="1" s="1"/>
  <c r="AM403" i="1" a="1"/>
  <c r="AM403" i="1" s="1"/>
  <c r="AN403" i="1" a="1"/>
  <c r="AN403" i="1" s="1"/>
  <c r="AO403" i="1" a="1"/>
  <c r="AO403" i="1" s="1"/>
  <c r="AP403" i="1" a="1"/>
  <c r="AP403" i="1" s="1"/>
  <c r="AQ403" i="1" a="1"/>
  <c r="AQ403" i="1" s="1"/>
  <c r="AR403" i="1" a="1"/>
  <c r="AR403" i="1" s="1"/>
  <c r="AS403" i="1" a="1"/>
  <c r="AS403" i="1" s="1"/>
  <c r="AT403" i="1" a="1"/>
  <c r="AT403" i="1" s="1"/>
  <c r="AU403" i="1" a="1"/>
  <c r="AU403" i="1" s="1"/>
  <c r="AV403" i="1" a="1"/>
  <c r="AV403" i="1" s="1"/>
  <c r="AW403" i="1" a="1"/>
  <c r="AW403" i="1" s="1"/>
  <c r="AX403" i="1" a="1"/>
  <c r="AX403" i="1" s="1"/>
  <c r="AY403" i="1" a="1"/>
  <c r="AY403" i="1" s="1"/>
  <c r="AZ403" i="1" a="1"/>
  <c r="AZ403" i="1" s="1"/>
  <c r="BA403" i="1" a="1"/>
  <c r="BA403" i="1" s="1"/>
  <c r="BB403" i="1" a="1"/>
  <c r="BB403" i="1" s="1"/>
  <c r="AL404" i="1" a="1"/>
  <c r="AL404" i="1" s="1"/>
  <c r="AM404" i="1" a="1"/>
  <c r="AM404" i="1" s="1"/>
  <c r="AN404" i="1" a="1"/>
  <c r="AN404" i="1" s="1"/>
  <c r="AO404" i="1" a="1"/>
  <c r="AO404" i="1" s="1"/>
  <c r="AP404" i="1" a="1"/>
  <c r="AP404" i="1" s="1"/>
  <c r="AQ404" i="1" a="1"/>
  <c r="AQ404" i="1" s="1"/>
  <c r="AR404" i="1" a="1"/>
  <c r="AR404" i="1" s="1"/>
  <c r="AS404" i="1" a="1"/>
  <c r="AS404" i="1" s="1"/>
  <c r="AT404" i="1" a="1"/>
  <c r="AT404" i="1" s="1"/>
  <c r="AU404" i="1" a="1"/>
  <c r="AU404" i="1" s="1"/>
  <c r="AV404" i="1" a="1"/>
  <c r="AV404" i="1" s="1"/>
  <c r="AW404" i="1" a="1"/>
  <c r="AW404" i="1" s="1"/>
  <c r="AX404" i="1" a="1"/>
  <c r="AX404" i="1" s="1"/>
  <c r="AY404" i="1" a="1"/>
  <c r="AY404" i="1" s="1"/>
  <c r="AZ404" i="1" a="1"/>
  <c r="AZ404" i="1" s="1"/>
  <c r="BA404" i="1" a="1"/>
  <c r="BA404" i="1" s="1"/>
  <c r="BB404" i="1" a="1"/>
  <c r="BB404" i="1" s="1"/>
  <c r="AL405" i="1" a="1"/>
  <c r="AL405" i="1" s="1"/>
  <c r="AM405" i="1" a="1"/>
  <c r="AM405" i="1" s="1"/>
  <c r="AN405" i="1" a="1"/>
  <c r="AN405" i="1" s="1"/>
  <c r="AO405" i="1" a="1"/>
  <c r="AO405" i="1" s="1"/>
  <c r="AP405" i="1" a="1"/>
  <c r="AP405" i="1" s="1"/>
  <c r="AQ405" i="1" a="1"/>
  <c r="AQ405" i="1" s="1"/>
  <c r="AR405" i="1" a="1"/>
  <c r="AR405" i="1" s="1"/>
  <c r="AS405" i="1" a="1"/>
  <c r="AS405" i="1" s="1"/>
  <c r="AT405" i="1" a="1"/>
  <c r="AT405" i="1" s="1"/>
  <c r="AU405" i="1" a="1"/>
  <c r="AU405" i="1" s="1"/>
  <c r="AV405" i="1" a="1"/>
  <c r="AV405" i="1" s="1"/>
  <c r="AW405" i="1" a="1"/>
  <c r="AW405" i="1" s="1"/>
  <c r="AX405" i="1" a="1"/>
  <c r="AX405" i="1" s="1"/>
  <c r="AY405" i="1" a="1"/>
  <c r="AY405" i="1" s="1"/>
  <c r="AZ405" i="1" a="1"/>
  <c r="AZ405" i="1" s="1"/>
  <c r="BA405" i="1" a="1"/>
  <c r="BA405" i="1" s="1"/>
  <c r="BB405" i="1" a="1"/>
  <c r="BB405" i="1" s="1"/>
  <c r="AL406" i="1" a="1"/>
  <c r="AL406" i="1" s="1"/>
  <c r="AM406" i="1" a="1"/>
  <c r="AM406" i="1" s="1"/>
  <c r="AN406" i="1" a="1"/>
  <c r="AN406" i="1" s="1"/>
  <c r="AO406" i="1" a="1"/>
  <c r="AO406" i="1" s="1"/>
  <c r="AP406" i="1" a="1"/>
  <c r="AP406" i="1" s="1"/>
  <c r="AQ406" i="1" a="1"/>
  <c r="AQ406" i="1" s="1"/>
  <c r="AR406" i="1" a="1"/>
  <c r="AR406" i="1" s="1"/>
  <c r="AS406" i="1" a="1"/>
  <c r="AS406" i="1" s="1"/>
  <c r="AT406" i="1" a="1"/>
  <c r="AT406" i="1" s="1"/>
  <c r="AU406" i="1" a="1"/>
  <c r="AU406" i="1" s="1"/>
  <c r="AV406" i="1" a="1"/>
  <c r="AV406" i="1" s="1"/>
  <c r="AW406" i="1" a="1"/>
  <c r="AW406" i="1" s="1"/>
  <c r="AX406" i="1" a="1"/>
  <c r="AX406" i="1" s="1"/>
  <c r="AY406" i="1" a="1"/>
  <c r="AY406" i="1" s="1"/>
  <c r="AZ406" i="1" a="1"/>
  <c r="AZ406" i="1" s="1"/>
  <c r="BA406" i="1" a="1"/>
  <c r="BA406" i="1" s="1"/>
  <c r="BB406" i="1" a="1"/>
  <c r="BB406" i="1" s="1"/>
  <c r="AL407" i="1" a="1"/>
  <c r="AL407" i="1" s="1"/>
  <c r="AM407" i="1" a="1"/>
  <c r="AM407" i="1" s="1"/>
  <c r="AN407" i="1" a="1"/>
  <c r="AN407" i="1" s="1"/>
  <c r="AO407" i="1" a="1"/>
  <c r="AO407" i="1" s="1"/>
  <c r="AP407" i="1" a="1"/>
  <c r="AP407" i="1" s="1"/>
  <c r="AQ407" i="1" a="1"/>
  <c r="AQ407" i="1" s="1"/>
  <c r="AR407" i="1" a="1"/>
  <c r="AR407" i="1" s="1"/>
  <c r="AS407" i="1" a="1"/>
  <c r="AS407" i="1" s="1"/>
  <c r="AT407" i="1" a="1"/>
  <c r="AT407" i="1" s="1"/>
  <c r="AU407" i="1" a="1"/>
  <c r="AU407" i="1" s="1"/>
  <c r="AV407" i="1" a="1"/>
  <c r="AV407" i="1" s="1"/>
  <c r="AW407" i="1" a="1"/>
  <c r="AW407" i="1" s="1"/>
  <c r="AX407" i="1" a="1"/>
  <c r="AX407" i="1" s="1"/>
  <c r="AY407" i="1" a="1"/>
  <c r="AY407" i="1" s="1"/>
  <c r="AZ407" i="1" a="1"/>
  <c r="AZ407" i="1" s="1"/>
  <c r="BA407" i="1" a="1"/>
  <c r="BA407" i="1" s="1"/>
  <c r="BB407" i="1" a="1"/>
  <c r="BB407" i="1" s="1"/>
  <c r="AL253" i="1" a="1"/>
  <c r="AL253" i="1" s="1"/>
  <c r="AM253" i="1" a="1"/>
  <c r="AM253" i="1" s="1"/>
  <c r="AN253" i="1" a="1"/>
  <c r="AN253" i="1" s="1"/>
  <c r="AO253" i="1" a="1"/>
  <c r="AO253" i="1" s="1"/>
  <c r="AP253" i="1" a="1"/>
  <c r="AP253" i="1" s="1"/>
  <c r="AQ253" i="1" a="1"/>
  <c r="AQ253" i="1" s="1"/>
  <c r="AR253" i="1" a="1"/>
  <c r="AR253" i="1" s="1"/>
  <c r="AS253" i="1" a="1"/>
  <c r="AS253" i="1" s="1"/>
  <c r="AT253" i="1" a="1"/>
  <c r="AT253" i="1" s="1"/>
  <c r="AU253" i="1" a="1"/>
  <c r="AU253" i="1" s="1"/>
  <c r="AV253" i="1" a="1"/>
  <c r="AV253" i="1" s="1"/>
  <c r="AW253" i="1" a="1"/>
  <c r="AW253" i="1" s="1"/>
  <c r="AX253" i="1" a="1"/>
  <c r="AX253" i="1" s="1"/>
  <c r="AY253" i="1" a="1"/>
  <c r="AY253" i="1" s="1"/>
  <c r="AZ253" i="1" a="1"/>
  <c r="AZ253" i="1" s="1"/>
  <c r="BA253" i="1" a="1"/>
  <c r="BA253" i="1" s="1"/>
  <c r="BB253" i="1" a="1"/>
  <c r="BB253" i="1" s="1"/>
  <c r="AL408" i="1" a="1"/>
  <c r="AL408" i="1" s="1"/>
  <c r="AM408" i="1" a="1"/>
  <c r="AM408" i="1" s="1"/>
  <c r="AN408" i="1" a="1"/>
  <c r="AN408" i="1" s="1"/>
  <c r="AO408" i="1" a="1"/>
  <c r="AO408" i="1" s="1"/>
  <c r="AP408" i="1" a="1"/>
  <c r="AP408" i="1" s="1"/>
  <c r="AQ408" i="1" a="1"/>
  <c r="AQ408" i="1" s="1"/>
  <c r="AR408" i="1" a="1"/>
  <c r="AR408" i="1" s="1"/>
  <c r="AS408" i="1" a="1"/>
  <c r="AS408" i="1" s="1"/>
  <c r="AT408" i="1" a="1"/>
  <c r="AT408" i="1" s="1"/>
  <c r="AU408" i="1" a="1"/>
  <c r="AU408" i="1" s="1"/>
  <c r="AV408" i="1" a="1"/>
  <c r="AV408" i="1" s="1"/>
  <c r="AW408" i="1" a="1"/>
  <c r="AW408" i="1" s="1"/>
  <c r="AX408" i="1" a="1"/>
  <c r="AX408" i="1" s="1"/>
  <c r="AY408" i="1" a="1"/>
  <c r="AY408" i="1" s="1"/>
  <c r="AZ408" i="1" a="1"/>
  <c r="AZ408" i="1" s="1"/>
  <c r="BA408" i="1" a="1"/>
  <c r="BA408" i="1" s="1"/>
  <c r="BB408" i="1" a="1"/>
  <c r="BB408" i="1" s="1"/>
  <c r="AL409" i="1" a="1"/>
  <c r="AL409" i="1" s="1"/>
  <c r="AM409" i="1" a="1"/>
  <c r="AM409" i="1" s="1"/>
  <c r="AN409" i="1" a="1"/>
  <c r="AN409" i="1" s="1"/>
  <c r="AO409" i="1" a="1"/>
  <c r="AO409" i="1" s="1"/>
  <c r="AP409" i="1" a="1"/>
  <c r="AP409" i="1" s="1"/>
  <c r="AQ409" i="1" a="1"/>
  <c r="AQ409" i="1" s="1"/>
  <c r="AR409" i="1" a="1"/>
  <c r="AR409" i="1" s="1"/>
  <c r="AS409" i="1" a="1"/>
  <c r="AS409" i="1" s="1"/>
  <c r="AT409" i="1" a="1"/>
  <c r="AT409" i="1" s="1"/>
  <c r="AU409" i="1" a="1"/>
  <c r="AU409" i="1" s="1"/>
  <c r="AV409" i="1" a="1"/>
  <c r="AV409" i="1" s="1"/>
  <c r="AW409" i="1" a="1"/>
  <c r="AW409" i="1" s="1"/>
  <c r="AX409" i="1" a="1"/>
  <c r="AX409" i="1" s="1"/>
  <c r="AY409" i="1" a="1"/>
  <c r="AY409" i="1" s="1"/>
  <c r="AZ409" i="1" a="1"/>
  <c r="AZ409" i="1" s="1"/>
  <c r="BA409" i="1" a="1"/>
  <c r="BA409" i="1" s="1"/>
  <c r="BB409" i="1" a="1"/>
  <c r="BB409" i="1" s="1"/>
  <c r="AL410" i="1" a="1"/>
  <c r="AL410" i="1" s="1"/>
  <c r="AM410" i="1" a="1"/>
  <c r="AM410" i="1" s="1"/>
  <c r="AN410" i="1" a="1"/>
  <c r="AN410" i="1" s="1"/>
  <c r="AO410" i="1" a="1"/>
  <c r="AO410" i="1" s="1"/>
  <c r="AP410" i="1" a="1"/>
  <c r="AP410" i="1" s="1"/>
  <c r="AQ410" i="1" a="1"/>
  <c r="AQ410" i="1" s="1"/>
  <c r="AR410" i="1" a="1"/>
  <c r="AR410" i="1" s="1"/>
  <c r="AS410" i="1" a="1"/>
  <c r="AS410" i="1" s="1"/>
  <c r="AT410" i="1" a="1"/>
  <c r="AT410" i="1" s="1"/>
  <c r="AU410" i="1" a="1"/>
  <c r="AU410" i="1" s="1"/>
  <c r="AV410" i="1" a="1"/>
  <c r="AV410" i="1" s="1"/>
  <c r="AW410" i="1" a="1"/>
  <c r="AW410" i="1" s="1"/>
  <c r="AX410" i="1" a="1"/>
  <c r="AX410" i="1" s="1"/>
  <c r="AY410" i="1" a="1"/>
  <c r="AY410" i="1" s="1"/>
  <c r="AZ410" i="1" a="1"/>
  <c r="AZ410" i="1" s="1"/>
  <c r="BA410" i="1" a="1"/>
  <c r="BA410" i="1" s="1"/>
  <c r="BB410" i="1" a="1"/>
  <c r="BB410" i="1" s="1"/>
  <c r="AL411" i="1" a="1"/>
  <c r="AL411" i="1" s="1"/>
  <c r="AM411" i="1" a="1"/>
  <c r="AM411" i="1" s="1"/>
  <c r="AN411" i="1" a="1"/>
  <c r="AN411" i="1" s="1"/>
  <c r="AO411" i="1" a="1"/>
  <c r="AO411" i="1" s="1"/>
  <c r="AP411" i="1" a="1"/>
  <c r="AP411" i="1" s="1"/>
  <c r="AQ411" i="1" a="1"/>
  <c r="AQ411" i="1" s="1"/>
  <c r="AR411" i="1" a="1"/>
  <c r="AR411" i="1" s="1"/>
  <c r="AS411" i="1" a="1"/>
  <c r="AS411" i="1" s="1"/>
  <c r="AT411" i="1" a="1"/>
  <c r="AT411" i="1" s="1"/>
  <c r="AU411" i="1" a="1"/>
  <c r="AU411" i="1" s="1"/>
  <c r="AV411" i="1" a="1"/>
  <c r="AV411" i="1" s="1"/>
  <c r="AW411" i="1" a="1"/>
  <c r="AW411" i="1" s="1"/>
  <c r="AX411" i="1" a="1"/>
  <c r="AX411" i="1" s="1"/>
  <c r="AY411" i="1" a="1"/>
  <c r="AY411" i="1" s="1"/>
  <c r="AZ411" i="1" a="1"/>
  <c r="AZ411" i="1" s="1"/>
  <c r="BA411" i="1" a="1"/>
  <c r="BA411" i="1" s="1"/>
  <c r="BB411" i="1" a="1"/>
  <c r="BB411" i="1" s="1"/>
  <c r="AL412" i="1" a="1"/>
  <c r="AL412" i="1" s="1"/>
  <c r="AM412" i="1" a="1"/>
  <c r="AM412" i="1" s="1"/>
  <c r="AN412" i="1" a="1"/>
  <c r="AN412" i="1" s="1"/>
  <c r="AO412" i="1" a="1"/>
  <c r="AO412" i="1" s="1"/>
  <c r="AP412" i="1" a="1"/>
  <c r="AP412" i="1" s="1"/>
  <c r="AQ412" i="1" a="1"/>
  <c r="AQ412" i="1" s="1"/>
  <c r="AR412" i="1" a="1"/>
  <c r="AR412" i="1" s="1"/>
  <c r="AS412" i="1" a="1"/>
  <c r="AS412" i="1" s="1"/>
  <c r="AT412" i="1" a="1"/>
  <c r="AT412" i="1" s="1"/>
  <c r="AU412" i="1" a="1"/>
  <c r="AU412" i="1" s="1"/>
  <c r="AV412" i="1" a="1"/>
  <c r="AV412" i="1" s="1"/>
  <c r="AW412" i="1" a="1"/>
  <c r="AW412" i="1" s="1"/>
  <c r="AX412" i="1" a="1"/>
  <c r="AX412" i="1" s="1"/>
  <c r="AY412" i="1" a="1"/>
  <c r="AY412" i="1" s="1"/>
  <c r="AZ412" i="1" a="1"/>
  <c r="AZ412" i="1" s="1"/>
  <c r="BA412" i="1" a="1"/>
  <c r="BA412" i="1" s="1"/>
  <c r="BB412" i="1" a="1"/>
  <c r="BB412" i="1" s="1"/>
  <c r="AL413" i="1" a="1"/>
  <c r="AL413" i="1" s="1"/>
  <c r="AM413" i="1" a="1"/>
  <c r="AM413" i="1" s="1"/>
  <c r="AN413" i="1" a="1"/>
  <c r="AN413" i="1" s="1"/>
  <c r="AO413" i="1" a="1"/>
  <c r="AO413" i="1" s="1"/>
  <c r="AP413" i="1" a="1"/>
  <c r="AP413" i="1" s="1"/>
  <c r="AQ413" i="1" a="1"/>
  <c r="AQ413" i="1" s="1"/>
  <c r="AR413" i="1" a="1"/>
  <c r="AR413" i="1" s="1"/>
  <c r="AS413" i="1" a="1"/>
  <c r="AS413" i="1" s="1"/>
  <c r="AT413" i="1" a="1"/>
  <c r="AT413" i="1" s="1"/>
  <c r="AU413" i="1" a="1"/>
  <c r="AU413" i="1" s="1"/>
  <c r="AV413" i="1" a="1"/>
  <c r="AV413" i="1" s="1"/>
  <c r="AW413" i="1" a="1"/>
  <c r="AW413" i="1" s="1"/>
  <c r="AX413" i="1" a="1"/>
  <c r="AX413" i="1" s="1"/>
  <c r="AY413" i="1" a="1"/>
  <c r="AY413" i="1" s="1"/>
  <c r="AZ413" i="1" a="1"/>
  <c r="AZ413" i="1" s="1"/>
  <c r="BA413" i="1" a="1"/>
  <c r="BA413" i="1" s="1"/>
  <c r="BB413" i="1" a="1"/>
  <c r="BB413" i="1" s="1"/>
  <c r="AL414" i="1" a="1"/>
  <c r="AL414" i="1" s="1"/>
  <c r="AM414" i="1" a="1"/>
  <c r="AM414" i="1" s="1"/>
  <c r="AN414" i="1" a="1"/>
  <c r="AN414" i="1" s="1"/>
  <c r="AO414" i="1" a="1"/>
  <c r="AO414" i="1" s="1"/>
  <c r="AP414" i="1" a="1"/>
  <c r="AP414" i="1" s="1"/>
  <c r="AQ414" i="1" a="1"/>
  <c r="AQ414" i="1" s="1"/>
  <c r="AR414" i="1" a="1"/>
  <c r="AR414" i="1" s="1"/>
  <c r="AS414" i="1" a="1"/>
  <c r="AS414" i="1" s="1"/>
  <c r="AT414" i="1" a="1"/>
  <c r="AT414" i="1" s="1"/>
  <c r="AU414" i="1" a="1"/>
  <c r="AU414" i="1" s="1"/>
  <c r="AV414" i="1" a="1"/>
  <c r="AV414" i="1" s="1"/>
  <c r="AW414" i="1" a="1"/>
  <c r="AW414" i="1" s="1"/>
  <c r="AX414" i="1" a="1"/>
  <c r="AX414" i="1" s="1"/>
  <c r="AY414" i="1" a="1"/>
  <c r="AY414" i="1" s="1"/>
  <c r="AZ414" i="1" a="1"/>
  <c r="AZ414" i="1" s="1"/>
  <c r="BA414" i="1" a="1"/>
  <c r="BA414" i="1" s="1"/>
  <c r="BB414" i="1" a="1"/>
  <c r="BB414" i="1" s="1"/>
  <c r="AL415" i="1" a="1"/>
  <c r="AL415" i="1" s="1"/>
  <c r="AM415" i="1" a="1"/>
  <c r="AM415" i="1" s="1"/>
  <c r="AN415" i="1" a="1"/>
  <c r="AN415" i="1" s="1"/>
  <c r="AO415" i="1" a="1"/>
  <c r="AO415" i="1" s="1"/>
  <c r="AP415" i="1" a="1"/>
  <c r="AP415" i="1" s="1"/>
  <c r="AQ415" i="1" a="1"/>
  <c r="AQ415" i="1" s="1"/>
  <c r="AR415" i="1" a="1"/>
  <c r="AR415" i="1" s="1"/>
  <c r="AS415" i="1" a="1"/>
  <c r="AS415" i="1" s="1"/>
  <c r="AT415" i="1" a="1"/>
  <c r="AT415" i="1" s="1"/>
  <c r="AU415" i="1" a="1"/>
  <c r="AU415" i="1" s="1"/>
  <c r="AV415" i="1" a="1"/>
  <c r="AV415" i="1" s="1"/>
  <c r="AW415" i="1" a="1"/>
  <c r="AW415" i="1" s="1"/>
  <c r="AX415" i="1" a="1"/>
  <c r="AX415" i="1" s="1"/>
  <c r="AY415" i="1" a="1"/>
  <c r="AY415" i="1" s="1"/>
  <c r="AZ415" i="1" a="1"/>
  <c r="AZ415" i="1" s="1"/>
  <c r="BA415" i="1" a="1"/>
  <c r="BA415" i="1" s="1"/>
  <c r="BB415" i="1" a="1"/>
  <c r="BB415" i="1" s="1"/>
  <c r="AL416" i="1" a="1"/>
  <c r="AL416" i="1" s="1"/>
  <c r="AM416" i="1" a="1"/>
  <c r="AM416" i="1" s="1"/>
  <c r="AN416" i="1" a="1"/>
  <c r="AN416" i="1" s="1"/>
  <c r="AO416" i="1" a="1"/>
  <c r="AO416" i="1" s="1"/>
  <c r="AP416" i="1" a="1"/>
  <c r="AP416" i="1" s="1"/>
  <c r="AQ416" i="1" a="1"/>
  <c r="AQ416" i="1" s="1"/>
  <c r="AR416" i="1" a="1"/>
  <c r="AR416" i="1" s="1"/>
  <c r="AS416" i="1" a="1"/>
  <c r="AS416" i="1" s="1"/>
  <c r="AT416" i="1" a="1"/>
  <c r="AT416" i="1" s="1"/>
  <c r="AU416" i="1" a="1"/>
  <c r="AU416" i="1" s="1"/>
  <c r="AV416" i="1" a="1"/>
  <c r="AV416" i="1" s="1"/>
  <c r="AW416" i="1" a="1"/>
  <c r="AW416" i="1" s="1"/>
  <c r="AX416" i="1" a="1"/>
  <c r="AX416" i="1" s="1"/>
  <c r="AY416" i="1" a="1"/>
  <c r="AY416" i="1" s="1"/>
  <c r="AZ416" i="1" a="1"/>
  <c r="AZ416" i="1" s="1"/>
  <c r="BA416" i="1" a="1"/>
  <c r="BA416" i="1" s="1"/>
  <c r="BB416" i="1" a="1"/>
  <c r="BB416" i="1" s="1"/>
  <c r="AL417" i="1" a="1"/>
  <c r="AL417" i="1" s="1"/>
  <c r="AM417" i="1" a="1"/>
  <c r="AM417" i="1" s="1"/>
  <c r="AN417" i="1" a="1"/>
  <c r="AN417" i="1" s="1"/>
  <c r="AO417" i="1" a="1"/>
  <c r="AO417" i="1" s="1"/>
  <c r="AP417" i="1" a="1"/>
  <c r="AP417" i="1" s="1"/>
  <c r="AQ417" i="1" a="1"/>
  <c r="AQ417" i="1" s="1"/>
  <c r="AR417" i="1" a="1"/>
  <c r="AR417" i="1" s="1"/>
  <c r="AS417" i="1" a="1"/>
  <c r="AS417" i="1" s="1"/>
  <c r="AT417" i="1" a="1"/>
  <c r="AT417" i="1" s="1"/>
  <c r="AU417" i="1" a="1"/>
  <c r="AU417" i="1" s="1"/>
  <c r="AV417" i="1" a="1"/>
  <c r="AV417" i="1" s="1"/>
  <c r="AW417" i="1" a="1"/>
  <c r="AW417" i="1" s="1"/>
  <c r="AX417" i="1" a="1"/>
  <c r="AX417" i="1" s="1"/>
  <c r="AY417" i="1" a="1"/>
  <c r="AY417" i="1" s="1"/>
  <c r="AZ417" i="1" a="1"/>
  <c r="AZ417" i="1" s="1"/>
  <c r="BA417" i="1" a="1"/>
  <c r="BA417" i="1" s="1"/>
  <c r="BB417" i="1" a="1"/>
  <c r="BB417" i="1" s="1"/>
  <c r="AL418" i="1" a="1"/>
  <c r="AL418" i="1" s="1"/>
  <c r="AM418" i="1" a="1"/>
  <c r="AM418" i="1" s="1"/>
  <c r="AN418" i="1" a="1"/>
  <c r="AN418" i="1" s="1"/>
  <c r="AO418" i="1" a="1"/>
  <c r="AO418" i="1" s="1"/>
  <c r="AP418" i="1" a="1"/>
  <c r="AP418" i="1" s="1"/>
  <c r="AQ418" i="1" a="1"/>
  <c r="AQ418" i="1" s="1"/>
  <c r="AR418" i="1" a="1"/>
  <c r="AR418" i="1" s="1"/>
  <c r="AS418" i="1" a="1"/>
  <c r="AS418" i="1" s="1"/>
  <c r="AT418" i="1" a="1"/>
  <c r="AT418" i="1" s="1"/>
  <c r="AU418" i="1" a="1"/>
  <c r="AU418" i="1" s="1"/>
  <c r="AV418" i="1" a="1"/>
  <c r="AV418" i="1" s="1"/>
  <c r="AW418" i="1" a="1"/>
  <c r="AW418" i="1" s="1"/>
  <c r="AX418" i="1" a="1"/>
  <c r="AX418" i="1" s="1"/>
  <c r="AY418" i="1" a="1"/>
  <c r="AY418" i="1" s="1"/>
  <c r="AZ418" i="1" a="1"/>
  <c r="AZ418" i="1" s="1"/>
  <c r="BA418" i="1" a="1"/>
  <c r="BA418" i="1" s="1"/>
  <c r="BB418" i="1" a="1"/>
  <c r="BB418" i="1" s="1"/>
  <c r="AL419" i="1" a="1"/>
  <c r="AL419" i="1" s="1"/>
  <c r="AM419" i="1" a="1"/>
  <c r="AM419" i="1" s="1"/>
  <c r="AN419" i="1" a="1"/>
  <c r="AN419" i="1" s="1"/>
  <c r="AO419" i="1" a="1"/>
  <c r="AO419" i="1" s="1"/>
  <c r="AP419" i="1" a="1"/>
  <c r="AP419" i="1" s="1"/>
  <c r="AQ419" i="1" a="1"/>
  <c r="AQ419" i="1" s="1"/>
  <c r="AR419" i="1" a="1"/>
  <c r="AR419" i="1" s="1"/>
  <c r="AS419" i="1" a="1"/>
  <c r="AS419" i="1" s="1"/>
  <c r="AT419" i="1" a="1"/>
  <c r="AT419" i="1" s="1"/>
  <c r="AU419" i="1" a="1"/>
  <c r="AU419" i="1" s="1"/>
  <c r="AV419" i="1" a="1"/>
  <c r="AV419" i="1" s="1"/>
  <c r="AW419" i="1" a="1"/>
  <c r="AW419" i="1" s="1"/>
  <c r="AX419" i="1" a="1"/>
  <c r="AX419" i="1" s="1"/>
  <c r="AY419" i="1" a="1"/>
  <c r="AY419" i="1" s="1"/>
  <c r="AZ419" i="1" a="1"/>
  <c r="AZ419" i="1" s="1"/>
  <c r="BA419" i="1" a="1"/>
  <c r="BA419" i="1" s="1"/>
  <c r="BB419" i="1" a="1"/>
  <c r="BB419" i="1" s="1"/>
  <c r="AL420" i="1" a="1"/>
  <c r="AL420" i="1" s="1"/>
  <c r="AM420" i="1" a="1"/>
  <c r="AM420" i="1" s="1"/>
  <c r="AN420" i="1" a="1"/>
  <c r="AN420" i="1" s="1"/>
  <c r="AO420" i="1" a="1"/>
  <c r="AO420" i="1" s="1"/>
  <c r="AP420" i="1" a="1"/>
  <c r="AP420" i="1" s="1"/>
  <c r="AQ420" i="1" a="1"/>
  <c r="AQ420" i="1" s="1"/>
  <c r="AR420" i="1" a="1"/>
  <c r="AR420" i="1" s="1"/>
  <c r="AS420" i="1" a="1"/>
  <c r="AS420" i="1" s="1"/>
  <c r="AT420" i="1" a="1"/>
  <c r="AT420" i="1" s="1"/>
  <c r="AU420" i="1" a="1"/>
  <c r="AU420" i="1" s="1"/>
  <c r="AV420" i="1" a="1"/>
  <c r="AV420" i="1" s="1"/>
  <c r="AW420" i="1" a="1"/>
  <c r="AW420" i="1" s="1"/>
  <c r="AX420" i="1" a="1"/>
  <c r="AX420" i="1" s="1"/>
  <c r="AY420" i="1" a="1"/>
  <c r="AY420" i="1" s="1"/>
  <c r="AZ420" i="1" a="1"/>
  <c r="AZ420" i="1" s="1"/>
  <c r="BA420" i="1" a="1"/>
  <c r="BA420" i="1" s="1"/>
  <c r="BB420" i="1" a="1"/>
  <c r="BB420" i="1" s="1"/>
  <c r="AL421" i="1" a="1"/>
  <c r="AL421" i="1" s="1"/>
  <c r="AM421" i="1" a="1"/>
  <c r="AM421" i="1" s="1"/>
  <c r="AN421" i="1" a="1"/>
  <c r="AN421" i="1" s="1"/>
  <c r="AO421" i="1" a="1"/>
  <c r="AO421" i="1" s="1"/>
  <c r="AP421" i="1" a="1"/>
  <c r="AP421" i="1" s="1"/>
  <c r="AQ421" i="1" a="1"/>
  <c r="AQ421" i="1" s="1"/>
  <c r="AR421" i="1" a="1"/>
  <c r="AR421" i="1" s="1"/>
  <c r="AS421" i="1" a="1"/>
  <c r="AS421" i="1" s="1"/>
  <c r="AT421" i="1" a="1"/>
  <c r="AT421" i="1" s="1"/>
  <c r="AU421" i="1" a="1"/>
  <c r="AU421" i="1" s="1"/>
  <c r="AV421" i="1" a="1"/>
  <c r="AV421" i="1" s="1"/>
  <c r="AW421" i="1" a="1"/>
  <c r="AW421" i="1" s="1"/>
  <c r="AX421" i="1" a="1"/>
  <c r="AX421" i="1" s="1"/>
  <c r="AY421" i="1" a="1"/>
  <c r="AY421" i="1" s="1"/>
  <c r="AZ421" i="1" a="1"/>
  <c r="AZ421" i="1" s="1"/>
  <c r="BA421" i="1" a="1"/>
  <c r="BA421" i="1" s="1"/>
  <c r="BB421" i="1" a="1"/>
  <c r="BB421" i="1" s="1"/>
  <c r="AL422" i="1" a="1"/>
  <c r="AL422" i="1" s="1"/>
  <c r="AM422" i="1" a="1"/>
  <c r="AM422" i="1" s="1"/>
  <c r="AN422" i="1" a="1"/>
  <c r="AN422" i="1" s="1"/>
  <c r="AO422" i="1" a="1"/>
  <c r="AO422" i="1" s="1"/>
  <c r="AP422" i="1" a="1"/>
  <c r="AP422" i="1" s="1"/>
  <c r="AQ422" i="1" a="1"/>
  <c r="AQ422" i="1" s="1"/>
  <c r="AR422" i="1" a="1"/>
  <c r="AR422" i="1" s="1"/>
  <c r="AS422" i="1" a="1"/>
  <c r="AS422" i="1" s="1"/>
  <c r="AT422" i="1" a="1"/>
  <c r="AT422" i="1" s="1"/>
  <c r="AU422" i="1" a="1"/>
  <c r="AU422" i="1" s="1"/>
  <c r="AV422" i="1" a="1"/>
  <c r="AV422" i="1" s="1"/>
  <c r="AW422" i="1" a="1"/>
  <c r="AW422" i="1" s="1"/>
  <c r="AX422" i="1" a="1"/>
  <c r="AX422" i="1" s="1"/>
  <c r="AY422" i="1" a="1"/>
  <c r="AY422" i="1" s="1"/>
  <c r="AZ422" i="1" a="1"/>
  <c r="AZ422" i="1" s="1"/>
  <c r="BA422" i="1" a="1"/>
  <c r="BA422" i="1" s="1"/>
  <c r="BB422" i="1" a="1"/>
  <c r="BB422" i="1" s="1"/>
  <c r="AL262" i="1" a="1"/>
  <c r="AL262" i="1" s="1"/>
  <c r="AM262" i="1" a="1"/>
  <c r="AM262" i="1" s="1"/>
  <c r="AN262" i="1" a="1"/>
  <c r="AN262" i="1" s="1"/>
  <c r="AO262" i="1" a="1"/>
  <c r="AO262" i="1" s="1"/>
  <c r="AP262" i="1" a="1"/>
  <c r="AP262" i="1" s="1"/>
  <c r="AQ262" i="1" a="1"/>
  <c r="AQ262" i="1" s="1"/>
  <c r="AR262" i="1" a="1"/>
  <c r="AR262" i="1" s="1"/>
  <c r="AS262" i="1" a="1"/>
  <c r="AS262" i="1" s="1"/>
  <c r="AT262" i="1" a="1"/>
  <c r="AT262" i="1" s="1"/>
  <c r="AU262" i="1" a="1"/>
  <c r="AU262" i="1" s="1"/>
  <c r="AV262" i="1" a="1"/>
  <c r="AV262" i="1" s="1"/>
  <c r="AW262" i="1" a="1"/>
  <c r="AW262" i="1" s="1"/>
  <c r="AX262" i="1" a="1"/>
  <c r="AX262" i="1" s="1"/>
  <c r="AY262" i="1" a="1"/>
  <c r="AY262" i="1" s="1"/>
  <c r="AZ262" i="1" a="1"/>
  <c r="AZ262" i="1" s="1"/>
  <c r="BA262" i="1" a="1"/>
  <c r="BA262" i="1" s="1"/>
  <c r="BB262" i="1" a="1"/>
  <c r="BB262" i="1" s="1"/>
  <c r="AL424" i="1" a="1"/>
  <c r="AL424" i="1" s="1"/>
  <c r="AM424" i="1" a="1"/>
  <c r="AM424" i="1" s="1"/>
  <c r="AN424" i="1" a="1"/>
  <c r="AN424" i="1" s="1"/>
  <c r="AO424" i="1" a="1"/>
  <c r="AO424" i="1" s="1"/>
  <c r="AP424" i="1" a="1"/>
  <c r="AP424" i="1" s="1"/>
  <c r="AQ424" i="1" a="1"/>
  <c r="AQ424" i="1" s="1"/>
  <c r="AR424" i="1" a="1"/>
  <c r="AR424" i="1" s="1"/>
  <c r="AS424" i="1" a="1"/>
  <c r="AS424" i="1" s="1"/>
  <c r="AT424" i="1" a="1"/>
  <c r="AT424" i="1" s="1"/>
  <c r="AU424" i="1" a="1"/>
  <c r="AU424" i="1" s="1"/>
  <c r="AV424" i="1" a="1"/>
  <c r="AV424" i="1" s="1"/>
  <c r="AW424" i="1" a="1"/>
  <c r="AW424" i="1" s="1"/>
  <c r="AX424" i="1" a="1"/>
  <c r="AX424" i="1" s="1"/>
  <c r="AY424" i="1" a="1"/>
  <c r="AY424" i="1" s="1"/>
  <c r="AZ424" i="1" a="1"/>
  <c r="AZ424" i="1" s="1"/>
  <c r="BA424" i="1" a="1"/>
  <c r="BA424" i="1" s="1"/>
  <c r="BB424" i="1" a="1"/>
  <c r="BB424" i="1" s="1"/>
  <c r="AL264" i="1" a="1"/>
  <c r="AL264" i="1" s="1"/>
  <c r="AM264" i="1" a="1"/>
  <c r="AM264" i="1" s="1"/>
  <c r="AN264" i="1" a="1"/>
  <c r="AN264" i="1" s="1"/>
  <c r="AO264" i="1" a="1"/>
  <c r="AO264" i="1" s="1"/>
  <c r="AP264" i="1" a="1"/>
  <c r="AP264" i="1" s="1"/>
  <c r="AQ264" i="1" a="1"/>
  <c r="AQ264" i="1" s="1"/>
  <c r="AR264" i="1" a="1"/>
  <c r="AR264" i="1" s="1"/>
  <c r="AS264" i="1" a="1"/>
  <c r="AS264" i="1" s="1"/>
  <c r="AT264" i="1" a="1"/>
  <c r="AT264" i="1" s="1"/>
  <c r="AU264" i="1" a="1"/>
  <c r="AU264" i="1" s="1"/>
  <c r="AV264" i="1" a="1"/>
  <c r="AV264" i="1" s="1"/>
  <c r="AW264" i="1" a="1"/>
  <c r="AW264" i="1" s="1"/>
  <c r="AX264" i="1" a="1"/>
  <c r="AX264" i="1" s="1"/>
  <c r="AY264" i="1" a="1"/>
  <c r="AY264" i="1" s="1"/>
  <c r="AZ264" i="1" a="1"/>
  <c r="AZ264" i="1" s="1"/>
  <c r="BA264" i="1" a="1"/>
  <c r="BA264" i="1" s="1"/>
  <c r="BB264" i="1" a="1"/>
  <c r="BB264" i="1" s="1"/>
  <c r="AL425" i="1" a="1"/>
  <c r="AL425" i="1" s="1"/>
  <c r="AM425" i="1" a="1"/>
  <c r="AM425" i="1" s="1"/>
  <c r="AN425" i="1" a="1"/>
  <c r="AN425" i="1" s="1"/>
  <c r="AO425" i="1" a="1"/>
  <c r="AO425" i="1" s="1"/>
  <c r="AP425" i="1" a="1"/>
  <c r="AP425" i="1" s="1"/>
  <c r="AQ425" i="1" a="1"/>
  <c r="AQ425" i="1" s="1"/>
  <c r="AR425" i="1" a="1"/>
  <c r="AR425" i="1" s="1"/>
  <c r="AS425" i="1" a="1"/>
  <c r="AS425" i="1" s="1"/>
  <c r="AT425" i="1" a="1"/>
  <c r="AT425" i="1" s="1"/>
  <c r="AU425" i="1" a="1"/>
  <c r="AU425" i="1" s="1"/>
  <c r="AV425" i="1" a="1"/>
  <c r="AV425" i="1" s="1"/>
  <c r="AW425" i="1" a="1"/>
  <c r="AW425" i="1" s="1"/>
  <c r="AX425" i="1" a="1"/>
  <c r="AX425" i="1" s="1"/>
  <c r="AY425" i="1" a="1"/>
  <c r="AY425" i="1" s="1"/>
  <c r="AZ425" i="1" a="1"/>
  <c r="AZ425" i="1" s="1"/>
  <c r="BA425" i="1" a="1"/>
  <c r="BA425" i="1" s="1"/>
  <c r="BB425" i="1" a="1"/>
  <c r="BB425" i="1" s="1"/>
  <c r="AL426" i="1" a="1"/>
  <c r="AL426" i="1" s="1"/>
  <c r="AM426" i="1" a="1"/>
  <c r="AM426" i="1" s="1"/>
  <c r="AN426" i="1" a="1"/>
  <c r="AN426" i="1" s="1"/>
  <c r="AO426" i="1" a="1"/>
  <c r="AO426" i="1" s="1"/>
  <c r="AP426" i="1" a="1"/>
  <c r="AP426" i="1" s="1"/>
  <c r="AQ426" i="1" a="1"/>
  <c r="AQ426" i="1" s="1"/>
  <c r="AR426" i="1" a="1"/>
  <c r="AR426" i="1" s="1"/>
  <c r="AS426" i="1" a="1"/>
  <c r="AS426" i="1" s="1"/>
  <c r="AT426" i="1" a="1"/>
  <c r="AT426" i="1" s="1"/>
  <c r="AU426" i="1" a="1"/>
  <c r="AU426" i="1" s="1"/>
  <c r="AV426" i="1" a="1"/>
  <c r="AV426" i="1" s="1"/>
  <c r="AW426" i="1" a="1"/>
  <c r="AW426" i="1" s="1"/>
  <c r="AX426" i="1" a="1"/>
  <c r="AX426" i="1" s="1"/>
  <c r="AY426" i="1" a="1"/>
  <c r="AY426" i="1" s="1"/>
  <c r="AZ426" i="1" a="1"/>
  <c r="AZ426" i="1" s="1"/>
  <c r="BA426" i="1" a="1"/>
  <c r="BA426" i="1" s="1"/>
  <c r="BB426" i="1" a="1"/>
  <c r="BB426" i="1" s="1"/>
  <c r="AL427" i="1" a="1"/>
  <c r="AL427" i="1" s="1"/>
  <c r="AM427" i="1" a="1"/>
  <c r="AM427" i="1" s="1"/>
  <c r="AN427" i="1" a="1"/>
  <c r="AN427" i="1" s="1"/>
  <c r="AO427" i="1" a="1"/>
  <c r="AO427" i="1" s="1"/>
  <c r="AP427" i="1" a="1"/>
  <c r="AP427" i="1" s="1"/>
  <c r="AQ427" i="1" a="1"/>
  <c r="AQ427" i="1" s="1"/>
  <c r="AR427" i="1" a="1"/>
  <c r="AR427" i="1" s="1"/>
  <c r="AS427" i="1" a="1"/>
  <c r="AS427" i="1" s="1"/>
  <c r="AT427" i="1" a="1"/>
  <c r="AT427" i="1" s="1"/>
  <c r="AU427" i="1" a="1"/>
  <c r="AU427" i="1" s="1"/>
  <c r="AV427" i="1" a="1"/>
  <c r="AV427" i="1" s="1"/>
  <c r="AW427" i="1" a="1"/>
  <c r="AW427" i="1" s="1"/>
  <c r="AX427" i="1" a="1"/>
  <c r="AX427" i="1" s="1"/>
  <c r="AY427" i="1" a="1"/>
  <c r="AY427" i="1" s="1"/>
  <c r="AZ427" i="1" a="1"/>
  <c r="AZ427" i="1" s="1"/>
  <c r="BA427" i="1" a="1"/>
  <c r="BA427" i="1" s="1"/>
  <c r="BB427" i="1" a="1"/>
  <c r="BB427" i="1" s="1"/>
  <c r="AL428" i="1" a="1"/>
  <c r="AL428" i="1" s="1"/>
  <c r="AM428" i="1" a="1"/>
  <c r="AM428" i="1" s="1"/>
  <c r="AN428" i="1" a="1"/>
  <c r="AN428" i="1" s="1"/>
  <c r="AO428" i="1" a="1"/>
  <c r="AO428" i="1" s="1"/>
  <c r="AP428" i="1" a="1"/>
  <c r="AP428" i="1" s="1"/>
  <c r="AQ428" i="1" a="1"/>
  <c r="AQ428" i="1" s="1"/>
  <c r="AR428" i="1" a="1"/>
  <c r="AR428" i="1" s="1"/>
  <c r="AS428" i="1" a="1"/>
  <c r="AS428" i="1" s="1"/>
  <c r="AT428" i="1" a="1"/>
  <c r="AT428" i="1" s="1"/>
  <c r="AU428" i="1" a="1"/>
  <c r="AU428" i="1" s="1"/>
  <c r="AV428" i="1" a="1"/>
  <c r="AV428" i="1" s="1"/>
  <c r="AW428" i="1" a="1"/>
  <c r="AW428" i="1" s="1"/>
  <c r="AX428" i="1" a="1"/>
  <c r="AX428" i="1" s="1"/>
  <c r="AY428" i="1" a="1"/>
  <c r="AY428" i="1" s="1"/>
  <c r="AZ428" i="1" a="1"/>
  <c r="AZ428" i="1" s="1"/>
  <c r="BA428" i="1" a="1"/>
  <c r="BA428" i="1" s="1"/>
  <c r="BB428" i="1" a="1"/>
  <c r="BB428" i="1" s="1"/>
  <c r="AL429" i="1" a="1"/>
  <c r="AL429" i="1" s="1"/>
  <c r="AM429" i="1" a="1"/>
  <c r="AM429" i="1" s="1"/>
  <c r="AN429" i="1" a="1"/>
  <c r="AN429" i="1" s="1"/>
  <c r="AO429" i="1" a="1"/>
  <c r="AO429" i="1" s="1"/>
  <c r="AP429" i="1" a="1"/>
  <c r="AP429" i="1" s="1"/>
  <c r="AQ429" i="1" a="1"/>
  <c r="AQ429" i="1" s="1"/>
  <c r="AR429" i="1" a="1"/>
  <c r="AR429" i="1" s="1"/>
  <c r="AS429" i="1" a="1"/>
  <c r="AS429" i="1" s="1"/>
  <c r="AT429" i="1" a="1"/>
  <c r="AT429" i="1" s="1"/>
  <c r="AU429" i="1" a="1"/>
  <c r="AU429" i="1" s="1"/>
  <c r="AV429" i="1" a="1"/>
  <c r="AV429" i="1" s="1"/>
  <c r="AW429" i="1" a="1"/>
  <c r="AW429" i="1" s="1"/>
  <c r="AX429" i="1" a="1"/>
  <c r="AX429" i="1" s="1"/>
  <c r="AY429" i="1" a="1"/>
  <c r="AY429" i="1" s="1"/>
  <c r="AZ429" i="1" a="1"/>
  <c r="AZ429" i="1" s="1"/>
  <c r="BA429" i="1" a="1"/>
  <c r="BA429" i="1" s="1"/>
  <c r="BB429" i="1" a="1"/>
  <c r="BB429" i="1" s="1"/>
  <c r="AL430" i="1" a="1"/>
  <c r="AL430" i="1" s="1"/>
  <c r="AM430" i="1" a="1"/>
  <c r="AM430" i="1" s="1"/>
  <c r="AN430" i="1" a="1"/>
  <c r="AN430" i="1" s="1"/>
  <c r="AO430" i="1" a="1"/>
  <c r="AO430" i="1" s="1"/>
  <c r="AP430" i="1" a="1"/>
  <c r="AP430" i="1" s="1"/>
  <c r="AQ430" i="1" a="1"/>
  <c r="AQ430" i="1" s="1"/>
  <c r="AR430" i="1" a="1"/>
  <c r="AR430" i="1" s="1"/>
  <c r="AS430" i="1" a="1"/>
  <c r="AS430" i="1" s="1"/>
  <c r="AT430" i="1" a="1"/>
  <c r="AT430" i="1" s="1"/>
  <c r="AU430" i="1" a="1"/>
  <c r="AU430" i="1" s="1"/>
  <c r="AV430" i="1" a="1"/>
  <c r="AV430" i="1" s="1"/>
  <c r="AW430" i="1" a="1"/>
  <c r="AW430" i="1" s="1"/>
  <c r="AX430" i="1" a="1"/>
  <c r="AX430" i="1" s="1"/>
  <c r="AY430" i="1" a="1"/>
  <c r="AY430" i="1" s="1"/>
  <c r="AZ430" i="1" a="1"/>
  <c r="AZ430" i="1" s="1"/>
  <c r="BA430" i="1" a="1"/>
  <c r="BA430" i="1" s="1"/>
  <c r="BB430" i="1" a="1"/>
  <c r="BB430" i="1" s="1"/>
  <c r="AL431" i="1" a="1"/>
  <c r="AL431" i="1" s="1"/>
  <c r="AM431" i="1" a="1"/>
  <c r="AM431" i="1" s="1"/>
  <c r="AN431" i="1" a="1"/>
  <c r="AN431" i="1" s="1"/>
  <c r="AO431" i="1" a="1"/>
  <c r="AO431" i="1" s="1"/>
  <c r="AP431" i="1" a="1"/>
  <c r="AP431" i="1" s="1"/>
  <c r="AQ431" i="1" a="1"/>
  <c r="AQ431" i="1" s="1"/>
  <c r="AR431" i="1" a="1"/>
  <c r="AR431" i="1" s="1"/>
  <c r="AS431" i="1" a="1"/>
  <c r="AS431" i="1" s="1"/>
  <c r="AT431" i="1" a="1"/>
  <c r="AT431" i="1" s="1"/>
  <c r="AU431" i="1" a="1"/>
  <c r="AU431" i="1" s="1"/>
  <c r="AV431" i="1" a="1"/>
  <c r="AV431" i="1" s="1"/>
  <c r="AW431" i="1" a="1"/>
  <c r="AW431" i="1" s="1"/>
  <c r="AX431" i="1" a="1"/>
  <c r="AX431" i="1" s="1"/>
  <c r="AY431" i="1" a="1"/>
  <c r="AY431" i="1" s="1"/>
  <c r="AZ431" i="1" a="1"/>
  <c r="AZ431" i="1" s="1"/>
  <c r="BA431" i="1" a="1"/>
  <c r="BA431" i="1" s="1"/>
  <c r="BB431" i="1" a="1"/>
  <c r="BB431" i="1" s="1"/>
  <c r="AL432" i="1" a="1"/>
  <c r="AL432" i="1" s="1"/>
  <c r="AM432" i="1" a="1"/>
  <c r="AM432" i="1" s="1"/>
  <c r="AN432" i="1" a="1"/>
  <c r="AN432" i="1" s="1"/>
  <c r="AO432" i="1" a="1"/>
  <c r="AO432" i="1" s="1"/>
  <c r="AP432" i="1" a="1"/>
  <c r="AP432" i="1" s="1"/>
  <c r="AQ432" i="1" a="1"/>
  <c r="AQ432" i="1" s="1"/>
  <c r="AR432" i="1" a="1"/>
  <c r="AR432" i="1" s="1"/>
  <c r="AS432" i="1" a="1"/>
  <c r="AS432" i="1" s="1"/>
  <c r="AT432" i="1" a="1"/>
  <c r="AT432" i="1" s="1"/>
  <c r="AU432" i="1" a="1"/>
  <c r="AU432" i="1" s="1"/>
  <c r="AV432" i="1" a="1"/>
  <c r="AV432" i="1" s="1"/>
  <c r="AW432" i="1" a="1"/>
  <c r="AW432" i="1" s="1"/>
  <c r="AX432" i="1" a="1"/>
  <c r="AX432" i="1" s="1"/>
  <c r="AY432" i="1" a="1"/>
  <c r="AY432" i="1" s="1"/>
  <c r="AZ432" i="1" a="1"/>
  <c r="AZ432" i="1" s="1"/>
  <c r="BA432" i="1" a="1"/>
  <c r="BA432" i="1" s="1"/>
  <c r="BB432" i="1" a="1"/>
  <c r="BB432" i="1" s="1"/>
  <c r="AL433" i="1" a="1"/>
  <c r="AL433" i="1" s="1"/>
  <c r="AM433" i="1" a="1"/>
  <c r="AM433" i="1" s="1"/>
  <c r="AN433" i="1" a="1"/>
  <c r="AN433" i="1" s="1"/>
  <c r="AO433" i="1" a="1"/>
  <c r="AO433" i="1" s="1"/>
  <c r="AP433" i="1" a="1"/>
  <c r="AP433" i="1" s="1"/>
  <c r="AQ433" i="1" a="1"/>
  <c r="AQ433" i="1" s="1"/>
  <c r="AR433" i="1" a="1"/>
  <c r="AR433" i="1" s="1"/>
  <c r="AS433" i="1" a="1"/>
  <c r="AS433" i="1" s="1"/>
  <c r="AT433" i="1" a="1"/>
  <c r="AT433" i="1" s="1"/>
  <c r="AU433" i="1" a="1"/>
  <c r="AU433" i="1" s="1"/>
  <c r="AV433" i="1" a="1"/>
  <c r="AV433" i="1" s="1"/>
  <c r="AW433" i="1" a="1"/>
  <c r="AW433" i="1" s="1"/>
  <c r="AX433" i="1" a="1"/>
  <c r="AX433" i="1" s="1"/>
  <c r="AY433" i="1" a="1"/>
  <c r="AY433" i="1" s="1"/>
  <c r="AZ433" i="1" a="1"/>
  <c r="AZ433" i="1" s="1"/>
  <c r="BA433" i="1" a="1"/>
  <c r="BA433" i="1" s="1"/>
  <c r="BB433" i="1" a="1"/>
  <c r="BB433" i="1" s="1"/>
  <c r="AL434" i="1" a="1"/>
  <c r="AL434" i="1" s="1"/>
  <c r="AM434" i="1" a="1"/>
  <c r="AM434" i="1" s="1"/>
  <c r="AN434" i="1" a="1"/>
  <c r="AN434" i="1" s="1"/>
  <c r="AO434" i="1" a="1"/>
  <c r="AO434" i="1" s="1"/>
  <c r="AP434" i="1" a="1"/>
  <c r="AP434" i="1" s="1"/>
  <c r="AQ434" i="1" a="1"/>
  <c r="AQ434" i="1" s="1"/>
  <c r="AR434" i="1" a="1"/>
  <c r="AR434" i="1" s="1"/>
  <c r="AS434" i="1" a="1"/>
  <c r="AS434" i="1" s="1"/>
  <c r="AT434" i="1" a="1"/>
  <c r="AT434" i="1" s="1"/>
  <c r="AU434" i="1" a="1"/>
  <c r="AU434" i="1" s="1"/>
  <c r="AV434" i="1" a="1"/>
  <c r="AV434" i="1" s="1"/>
  <c r="AW434" i="1" a="1"/>
  <c r="AW434" i="1" s="1"/>
  <c r="AX434" i="1" a="1"/>
  <c r="AX434" i="1" s="1"/>
  <c r="AY434" i="1" a="1"/>
  <c r="AY434" i="1" s="1"/>
  <c r="AZ434" i="1" a="1"/>
  <c r="AZ434" i="1" s="1"/>
  <c r="BA434" i="1" a="1"/>
  <c r="BA434" i="1" s="1"/>
  <c r="BB434" i="1" a="1"/>
  <c r="BB434" i="1" s="1"/>
  <c r="AL436" i="1" a="1"/>
  <c r="AL436" i="1" s="1"/>
  <c r="AM436" i="1" a="1"/>
  <c r="AM436" i="1" s="1"/>
  <c r="AN436" i="1" a="1"/>
  <c r="AN436" i="1" s="1"/>
  <c r="AO436" i="1" a="1"/>
  <c r="AO436" i="1" s="1"/>
  <c r="AP436" i="1" a="1"/>
  <c r="AP436" i="1" s="1"/>
  <c r="AQ436" i="1" a="1"/>
  <c r="AQ436" i="1" s="1"/>
  <c r="AR436" i="1" a="1"/>
  <c r="AR436" i="1" s="1"/>
  <c r="AS436" i="1" a="1"/>
  <c r="AS436" i="1" s="1"/>
  <c r="AT436" i="1" a="1"/>
  <c r="AT436" i="1" s="1"/>
  <c r="AU436" i="1" a="1"/>
  <c r="AU436" i="1" s="1"/>
  <c r="AV436" i="1" a="1"/>
  <c r="AV436" i="1" s="1"/>
  <c r="AW436" i="1" a="1"/>
  <c r="AW436" i="1" s="1"/>
  <c r="AX436" i="1" a="1"/>
  <c r="AX436" i="1" s="1"/>
  <c r="AY436" i="1" a="1"/>
  <c r="AY436" i="1" s="1"/>
  <c r="AZ436" i="1" a="1"/>
  <c r="AZ436" i="1" s="1"/>
  <c r="BA436" i="1" a="1"/>
  <c r="BA436" i="1" s="1"/>
  <c r="BB436" i="1" a="1"/>
  <c r="BB436" i="1" s="1"/>
  <c r="AL437" i="1" a="1"/>
  <c r="AL437" i="1" s="1"/>
  <c r="AM437" i="1" a="1"/>
  <c r="AM437" i="1" s="1"/>
  <c r="AN437" i="1" a="1"/>
  <c r="AN437" i="1" s="1"/>
  <c r="AO437" i="1" a="1"/>
  <c r="AO437" i="1" s="1"/>
  <c r="AP437" i="1" a="1"/>
  <c r="AP437" i="1" s="1"/>
  <c r="AQ437" i="1" a="1"/>
  <c r="AQ437" i="1" s="1"/>
  <c r="AR437" i="1" a="1"/>
  <c r="AR437" i="1" s="1"/>
  <c r="AS437" i="1" a="1"/>
  <c r="AS437" i="1" s="1"/>
  <c r="AT437" i="1" a="1"/>
  <c r="AT437" i="1" s="1"/>
  <c r="AU437" i="1" a="1"/>
  <c r="AU437" i="1" s="1"/>
  <c r="AV437" i="1" a="1"/>
  <c r="AV437" i="1" s="1"/>
  <c r="AW437" i="1" a="1"/>
  <c r="AW437" i="1" s="1"/>
  <c r="AX437" i="1" a="1"/>
  <c r="AX437" i="1" s="1"/>
  <c r="AY437" i="1" a="1"/>
  <c r="AY437" i="1" s="1"/>
  <c r="AZ437" i="1" a="1"/>
  <c r="AZ437" i="1" s="1"/>
  <c r="BA437" i="1" a="1"/>
  <c r="BA437" i="1" s="1"/>
  <c r="BB437" i="1" a="1"/>
  <c r="BB437" i="1" s="1"/>
  <c r="AL438" i="1" a="1"/>
  <c r="AL438" i="1" s="1"/>
  <c r="AM438" i="1" a="1"/>
  <c r="AM438" i="1" s="1"/>
  <c r="AN438" i="1" a="1"/>
  <c r="AN438" i="1" s="1"/>
  <c r="AO438" i="1" a="1"/>
  <c r="AO438" i="1" s="1"/>
  <c r="AP438" i="1" a="1"/>
  <c r="AP438" i="1" s="1"/>
  <c r="AQ438" i="1" a="1"/>
  <c r="AQ438" i="1" s="1"/>
  <c r="AR438" i="1" a="1"/>
  <c r="AR438" i="1" s="1"/>
  <c r="AS438" i="1" a="1"/>
  <c r="AS438" i="1" s="1"/>
  <c r="AT438" i="1" a="1"/>
  <c r="AT438" i="1" s="1"/>
  <c r="AU438" i="1" a="1"/>
  <c r="AU438" i="1" s="1"/>
  <c r="AV438" i="1" a="1"/>
  <c r="AV438" i="1" s="1"/>
  <c r="AW438" i="1" a="1"/>
  <c r="AW438" i="1" s="1"/>
  <c r="AX438" i="1" a="1"/>
  <c r="AX438" i="1" s="1"/>
  <c r="AY438" i="1" a="1"/>
  <c r="AY438" i="1" s="1"/>
  <c r="AZ438" i="1" a="1"/>
  <c r="AZ438" i="1" s="1"/>
  <c r="BA438" i="1" a="1"/>
  <c r="BA438" i="1" s="1"/>
  <c r="BB438" i="1" a="1"/>
  <c r="BB438" i="1" s="1"/>
  <c r="AL439" i="1" a="1"/>
  <c r="AL439" i="1" s="1"/>
  <c r="AM439" i="1" a="1"/>
  <c r="AM439" i="1" s="1"/>
  <c r="AN439" i="1" a="1"/>
  <c r="AN439" i="1" s="1"/>
  <c r="AO439" i="1" a="1"/>
  <c r="AO439" i="1" s="1"/>
  <c r="AP439" i="1" a="1"/>
  <c r="AP439" i="1" s="1"/>
  <c r="AQ439" i="1" a="1"/>
  <c r="AQ439" i="1" s="1"/>
  <c r="AR439" i="1" a="1"/>
  <c r="AR439" i="1" s="1"/>
  <c r="AS439" i="1" a="1"/>
  <c r="AS439" i="1" s="1"/>
  <c r="AT439" i="1" a="1"/>
  <c r="AT439" i="1" s="1"/>
  <c r="AU439" i="1" a="1"/>
  <c r="AU439" i="1" s="1"/>
  <c r="AV439" i="1" a="1"/>
  <c r="AV439" i="1" s="1"/>
  <c r="AW439" i="1" a="1"/>
  <c r="AW439" i="1" s="1"/>
  <c r="AX439" i="1" a="1"/>
  <c r="AX439" i="1" s="1"/>
  <c r="AY439" i="1" a="1"/>
  <c r="AY439" i="1" s="1"/>
  <c r="AZ439" i="1" a="1"/>
  <c r="AZ439" i="1" s="1"/>
  <c r="BA439" i="1" a="1"/>
  <c r="BA439" i="1" s="1"/>
  <c r="BB439" i="1" a="1"/>
  <c r="BB439" i="1" s="1"/>
  <c r="AL440" i="1" a="1"/>
  <c r="AL440" i="1" s="1"/>
  <c r="AM440" i="1" a="1"/>
  <c r="AM440" i="1" s="1"/>
  <c r="AN440" i="1" a="1"/>
  <c r="AN440" i="1" s="1"/>
  <c r="AO440" i="1" a="1"/>
  <c r="AO440" i="1" s="1"/>
  <c r="AP440" i="1" a="1"/>
  <c r="AP440" i="1" s="1"/>
  <c r="AQ440" i="1" a="1"/>
  <c r="AQ440" i="1" s="1"/>
  <c r="AR440" i="1" a="1"/>
  <c r="AR440" i="1" s="1"/>
  <c r="AS440" i="1" a="1"/>
  <c r="AS440" i="1" s="1"/>
  <c r="AT440" i="1" a="1"/>
  <c r="AT440" i="1" s="1"/>
  <c r="AU440" i="1" a="1"/>
  <c r="AU440" i="1" s="1"/>
  <c r="AV440" i="1" a="1"/>
  <c r="AV440" i="1" s="1"/>
  <c r="AW440" i="1" a="1"/>
  <c r="AW440" i="1" s="1"/>
  <c r="AX440" i="1" a="1"/>
  <c r="AX440" i="1" s="1"/>
  <c r="AY440" i="1" a="1"/>
  <c r="AY440" i="1" s="1"/>
  <c r="AZ440" i="1" a="1"/>
  <c r="AZ440" i="1" s="1"/>
  <c r="BA440" i="1" a="1"/>
  <c r="BA440" i="1" s="1"/>
  <c r="BB440" i="1" a="1"/>
  <c r="BB440" i="1" s="1"/>
  <c r="AL441" i="1" a="1"/>
  <c r="AL441" i="1" s="1"/>
  <c r="AM441" i="1" a="1"/>
  <c r="AM441" i="1" s="1"/>
  <c r="AN441" i="1" a="1"/>
  <c r="AN441" i="1" s="1"/>
  <c r="AO441" i="1" a="1"/>
  <c r="AO441" i="1" s="1"/>
  <c r="AP441" i="1" a="1"/>
  <c r="AP441" i="1" s="1"/>
  <c r="AQ441" i="1" a="1"/>
  <c r="AQ441" i="1" s="1"/>
  <c r="AR441" i="1" a="1"/>
  <c r="AR441" i="1" s="1"/>
  <c r="AS441" i="1" a="1"/>
  <c r="AS441" i="1" s="1"/>
  <c r="AT441" i="1" a="1"/>
  <c r="AT441" i="1" s="1"/>
  <c r="AU441" i="1" a="1"/>
  <c r="AU441" i="1" s="1"/>
  <c r="AV441" i="1" a="1"/>
  <c r="AV441" i="1" s="1"/>
  <c r="AW441" i="1" a="1"/>
  <c r="AW441" i="1" s="1"/>
  <c r="AX441" i="1" a="1"/>
  <c r="AX441" i="1" s="1"/>
  <c r="AY441" i="1" a="1"/>
  <c r="AY441" i="1" s="1"/>
  <c r="AZ441" i="1" a="1"/>
  <c r="AZ441" i="1" s="1"/>
  <c r="BA441" i="1" a="1"/>
  <c r="BA441" i="1" s="1"/>
  <c r="BB441" i="1" a="1"/>
  <c r="BB441" i="1" s="1"/>
  <c r="AL442" i="1" a="1"/>
  <c r="AL442" i="1" s="1"/>
  <c r="AM442" i="1" a="1"/>
  <c r="AM442" i="1" s="1"/>
  <c r="AN442" i="1" a="1"/>
  <c r="AN442" i="1" s="1"/>
  <c r="AO442" i="1" a="1"/>
  <c r="AO442" i="1" s="1"/>
  <c r="AP442" i="1" a="1"/>
  <c r="AP442" i="1" s="1"/>
  <c r="AQ442" i="1" a="1"/>
  <c r="AQ442" i="1" s="1"/>
  <c r="AR442" i="1" a="1"/>
  <c r="AR442" i="1" s="1"/>
  <c r="AS442" i="1" a="1"/>
  <c r="AS442" i="1" s="1"/>
  <c r="AT442" i="1" a="1"/>
  <c r="AT442" i="1" s="1"/>
  <c r="AU442" i="1" a="1"/>
  <c r="AU442" i="1" s="1"/>
  <c r="AV442" i="1" a="1"/>
  <c r="AV442" i="1" s="1"/>
  <c r="AW442" i="1" a="1"/>
  <c r="AW442" i="1" s="1"/>
  <c r="AX442" i="1" a="1"/>
  <c r="AX442" i="1" s="1"/>
  <c r="AY442" i="1" a="1"/>
  <c r="AY442" i="1" s="1"/>
  <c r="AZ442" i="1" a="1"/>
  <c r="AZ442" i="1" s="1"/>
  <c r="BA442" i="1" a="1"/>
  <c r="BA442" i="1" s="1"/>
  <c r="BB442" i="1" a="1"/>
  <c r="BB442" i="1" s="1"/>
  <c r="AL443" i="1" a="1"/>
  <c r="AL443" i="1" s="1"/>
  <c r="AM443" i="1" a="1"/>
  <c r="AM443" i="1" s="1"/>
  <c r="AN443" i="1" a="1"/>
  <c r="AN443" i="1" s="1"/>
  <c r="AO443" i="1" a="1"/>
  <c r="AO443" i="1" s="1"/>
  <c r="AP443" i="1" a="1"/>
  <c r="AP443" i="1" s="1"/>
  <c r="AQ443" i="1" a="1"/>
  <c r="AQ443" i="1" s="1"/>
  <c r="AR443" i="1" a="1"/>
  <c r="AR443" i="1" s="1"/>
  <c r="AS443" i="1" a="1"/>
  <c r="AS443" i="1" s="1"/>
  <c r="AT443" i="1" a="1"/>
  <c r="AT443" i="1" s="1"/>
  <c r="AU443" i="1" a="1"/>
  <c r="AU443" i="1" s="1"/>
  <c r="AV443" i="1" a="1"/>
  <c r="AV443" i="1" s="1"/>
  <c r="AW443" i="1" a="1"/>
  <c r="AW443" i="1" s="1"/>
  <c r="AX443" i="1" a="1"/>
  <c r="AX443" i="1" s="1"/>
  <c r="AY443" i="1" a="1"/>
  <c r="AY443" i="1" s="1"/>
  <c r="AZ443" i="1" a="1"/>
  <c r="AZ443" i="1" s="1"/>
  <c r="BA443" i="1" a="1"/>
  <c r="BA443" i="1" s="1"/>
  <c r="BB443" i="1" a="1"/>
  <c r="BB443" i="1" s="1"/>
  <c r="AL444" i="1" a="1"/>
  <c r="AL444" i="1" s="1"/>
  <c r="AM444" i="1" a="1"/>
  <c r="AM444" i="1" s="1"/>
  <c r="AN444" i="1" a="1"/>
  <c r="AN444" i="1" s="1"/>
  <c r="AO444" i="1" a="1"/>
  <c r="AO444" i="1" s="1"/>
  <c r="AP444" i="1" a="1"/>
  <c r="AP444" i="1" s="1"/>
  <c r="AQ444" i="1" a="1"/>
  <c r="AQ444" i="1" s="1"/>
  <c r="AR444" i="1" a="1"/>
  <c r="AR444" i="1" s="1"/>
  <c r="AS444" i="1" a="1"/>
  <c r="AS444" i="1" s="1"/>
  <c r="AT444" i="1" a="1"/>
  <c r="AT444" i="1" s="1"/>
  <c r="AU444" i="1" a="1"/>
  <c r="AU444" i="1" s="1"/>
  <c r="AV444" i="1" a="1"/>
  <c r="AV444" i="1" s="1"/>
  <c r="AW444" i="1" a="1"/>
  <c r="AW444" i="1" s="1"/>
  <c r="AX444" i="1" a="1"/>
  <c r="AX444" i="1" s="1"/>
  <c r="AY444" i="1" a="1"/>
  <c r="AY444" i="1" s="1"/>
  <c r="AZ444" i="1" a="1"/>
  <c r="AZ444" i="1" s="1"/>
  <c r="BA444" i="1" a="1"/>
  <c r="BA444" i="1" s="1"/>
  <c r="BB444" i="1" a="1"/>
  <c r="BB444" i="1" s="1"/>
  <c r="AL445" i="1" a="1"/>
  <c r="AL445" i="1" s="1"/>
  <c r="AM445" i="1" a="1"/>
  <c r="AM445" i="1" s="1"/>
  <c r="AN445" i="1" a="1"/>
  <c r="AN445" i="1" s="1"/>
  <c r="AO445" i="1" a="1"/>
  <c r="AO445" i="1" s="1"/>
  <c r="AP445" i="1" a="1"/>
  <c r="AP445" i="1" s="1"/>
  <c r="AQ445" i="1" a="1"/>
  <c r="AQ445" i="1" s="1"/>
  <c r="AR445" i="1" a="1"/>
  <c r="AR445" i="1" s="1"/>
  <c r="AS445" i="1" a="1"/>
  <c r="AS445" i="1" s="1"/>
  <c r="AT445" i="1" a="1"/>
  <c r="AT445" i="1" s="1"/>
  <c r="AU445" i="1" a="1"/>
  <c r="AU445" i="1" s="1"/>
  <c r="AV445" i="1" a="1"/>
  <c r="AV445" i="1" s="1"/>
  <c r="AW445" i="1" a="1"/>
  <c r="AW445" i="1" s="1"/>
  <c r="AX445" i="1" a="1"/>
  <c r="AX445" i="1" s="1"/>
  <c r="AY445" i="1" a="1"/>
  <c r="AY445" i="1" s="1"/>
  <c r="AZ445" i="1" a="1"/>
  <c r="AZ445" i="1" s="1"/>
  <c r="BA445" i="1" a="1"/>
  <c r="BA445" i="1" s="1"/>
  <c r="BB445" i="1" a="1"/>
  <c r="BB445" i="1" s="1"/>
  <c r="AL446" i="1" a="1"/>
  <c r="AL446" i="1" s="1"/>
  <c r="AM446" i="1" a="1"/>
  <c r="AM446" i="1" s="1"/>
  <c r="AN446" i="1" a="1"/>
  <c r="AN446" i="1" s="1"/>
  <c r="AO446" i="1" a="1"/>
  <c r="AO446" i="1" s="1"/>
  <c r="AP446" i="1" a="1"/>
  <c r="AP446" i="1" s="1"/>
  <c r="AQ446" i="1" a="1"/>
  <c r="AQ446" i="1" s="1"/>
  <c r="AR446" i="1" a="1"/>
  <c r="AR446" i="1" s="1"/>
  <c r="AS446" i="1" a="1"/>
  <c r="AS446" i="1" s="1"/>
  <c r="AT446" i="1" a="1"/>
  <c r="AT446" i="1" s="1"/>
  <c r="AU446" i="1" a="1"/>
  <c r="AU446" i="1" s="1"/>
  <c r="AV446" i="1" a="1"/>
  <c r="AV446" i="1" s="1"/>
  <c r="AW446" i="1" a="1"/>
  <c r="AW446" i="1" s="1"/>
  <c r="AX446" i="1" a="1"/>
  <c r="AX446" i="1" s="1"/>
  <c r="AY446" i="1" a="1"/>
  <c r="AY446" i="1" s="1"/>
  <c r="AZ446" i="1" a="1"/>
  <c r="AZ446" i="1" s="1"/>
  <c r="BA446" i="1" a="1"/>
  <c r="BA446" i="1" s="1"/>
  <c r="BB446" i="1" a="1"/>
  <c r="BB446" i="1" s="1"/>
  <c r="AL447" i="1" a="1"/>
  <c r="AL447" i="1" s="1"/>
  <c r="AM447" i="1" a="1"/>
  <c r="AM447" i="1" s="1"/>
  <c r="AN447" i="1" a="1"/>
  <c r="AN447" i="1" s="1"/>
  <c r="AO447" i="1" a="1"/>
  <c r="AO447" i="1" s="1"/>
  <c r="AP447" i="1" a="1"/>
  <c r="AP447" i="1" s="1"/>
  <c r="AQ447" i="1" a="1"/>
  <c r="AQ447" i="1" s="1"/>
  <c r="AR447" i="1" a="1"/>
  <c r="AR447" i="1" s="1"/>
  <c r="AS447" i="1" a="1"/>
  <c r="AS447" i="1" s="1"/>
  <c r="AT447" i="1" a="1"/>
  <c r="AT447" i="1" s="1"/>
  <c r="AU447" i="1" a="1"/>
  <c r="AU447" i="1" s="1"/>
  <c r="AV447" i="1" a="1"/>
  <c r="AV447" i="1" s="1"/>
  <c r="AW447" i="1" a="1"/>
  <c r="AW447" i="1" s="1"/>
  <c r="AX447" i="1" a="1"/>
  <c r="AX447" i="1" s="1"/>
  <c r="AY447" i="1" a="1"/>
  <c r="AY447" i="1" s="1"/>
  <c r="AZ447" i="1" a="1"/>
  <c r="AZ447" i="1" s="1"/>
  <c r="BA447" i="1" a="1"/>
  <c r="BA447" i="1" s="1"/>
  <c r="BB447" i="1" a="1"/>
  <c r="BB447" i="1" s="1"/>
  <c r="AL448" i="1" a="1"/>
  <c r="AL448" i="1" s="1"/>
  <c r="AM448" i="1" a="1"/>
  <c r="AM448" i="1" s="1"/>
  <c r="AN448" i="1" a="1"/>
  <c r="AN448" i="1" s="1"/>
  <c r="AO448" i="1" a="1"/>
  <c r="AO448" i="1" s="1"/>
  <c r="AP448" i="1" a="1"/>
  <c r="AP448" i="1" s="1"/>
  <c r="AQ448" i="1" a="1"/>
  <c r="AQ448" i="1" s="1"/>
  <c r="AR448" i="1" a="1"/>
  <c r="AR448" i="1" s="1"/>
  <c r="AS448" i="1" a="1"/>
  <c r="AS448" i="1" s="1"/>
  <c r="AT448" i="1" a="1"/>
  <c r="AT448" i="1" s="1"/>
  <c r="AU448" i="1" a="1"/>
  <c r="AU448" i="1" s="1"/>
  <c r="AV448" i="1" a="1"/>
  <c r="AV448" i="1" s="1"/>
  <c r="AW448" i="1" a="1"/>
  <c r="AW448" i="1" s="1"/>
  <c r="AX448" i="1" a="1"/>
  <c r="AX448" i="1" s="1"/>
  <c r="AY448" i="1" a="1"/>
  <c r="AY448" i="1" s="1"/>
  <c r="AZ448" i="1" a="1"/>
  <c r="AZ448" i="1" s="1"/>
  <c r="BA448" i="1" a="1"/>
  <c r="BA448" i="1" s="1"/>
  <c r="BB448" i="1" a="1"/>
  <c r="BB448" i="1" s="1"/>
  <c r="AL449" i="1" a="1"/>
  <c r="AL449" i="1" s="1"/>
  <c r="AM449" i="1" a="1"/>
  <c r="AM449" i="1" s="1"/>
  <c r="AN449" i="1" a="1"/>
  <c r="AN449" i="1" s="1"/>
  <c r="AO449" i="1" a="1"/>
  <c r="AO449" i="1" s="1"/>
  <c r="AP449" i="1" a="1"/>
  <c r="AP449" i="1" s="1"/>
  <c r="AQ449" i="1" a="1"/>
  <c r="AQ449" i="1" s="1"/>
  <c r="AR449" i="1" a="1"/>
  <c r="AR449" i="1" s="1"/>
  <c r="AS449" i="1" a="1"/>
  <c r="AS449" i="1" s="1"/>
  <c r="AT449" i="1" a="1"/>
  <c r="AT449" i="1" s="1"/>
  <c r="AU449" i="1" a="1"/>
  <c r="AU449" i="1" s="1"/>
  <c r="AV449" i="1" a="1"/>
  <c r="AV449" i="1" s="1"/>
  <c r="AW449" i="1" a="1"/>
  <c r="AW449" i="1" s="1"/>
  <c r="AX449" i="1" a="1"/>
  <c r="AX449" i="1" s="1"/>
  <c r="AY449" i="1" a="1"/>
  <c r="AY449" i="1" s="1"/>
  <c r="AZ449" i="1" a="1"/>
  <c r="AZ449" i="1" s="1"/>
  <c r="BA449" i="1" a="1"/>
  <c r="BA449" i="1" s="1"/>
  <c r="BB449" i="1" a="1"/>
  <c r="BB449" i="1" s="1"/>
  <c r="AL163" i="1" a="1"/>
  <c r="AL163" i="1" s="1"/>
  <c r="AM163" i="1" a="1"/>
  <c r="AM163" i="1" s="1"/>
  <c r="AN163" i="1" a="1"/>
  <c r="AN163" i="1" s="1"/>
  <c r="AO163" i="1" a="1"/>
  <c r="AO163" i="1" s="1"/>
  <c r="AP163" i="1" a="1"/>
  <c r="AP163" i="1" s="1"/>
  <c r="AQ163" i="1" a="1"/>
  <c r="AQ163" i="1" s="1"/>
  <c r="AR163" i="1" a="1"/>
  <c r="AR163" i="1" s="1"/>
  <c r="AS163" i="1" a="1"/>
  <c r="AS163" i="1" s="1"/>
  <c r="AT163" i="1" a="1"/>
  <c r="AT163" i="1" s="1"/>
  <c r="AU163" i="1" a="1"/>
  <c r="AU163" i="1" s="1"/>
  <c r="AV163" i="1" a="1"/>
  <c r="AV163" i="1" s="1"/>
  <c r="AW163" i="1" a="1"/>
  <c r="AW163" i="1" s="1"/>
  <c r="AX163" i="1" a="1"/>
  <c r="AX163" i="1" s="1"/>
  <c r="AY163" i="1" a="1"/>
  <c r="AY163" i="1" s="1"/>
  <c r="AZ163" i="1" a="1"/>
  <c r="AZ163" i="1" s="1"/>
  <c r="BA163" i="1" a="1"/>
  <c r="BA163" i="1" s="1"/>
  <c r="BB163" i="1" a="1"/>
  <c r="BB163" i="1" s="1"/>
  <c r="AL450" i="1" a="1"/>
  <c r="AL450" i="1" s="1"/>
  <c r="AM450" i="1" a="1"/>
  <c r="AM450" i="1" s="1"/>
  <c r="AN450" i="1" a="1"/>
  <c r="AN450" i="1" s="1"/>
  <c r="AO450" i="1" a="1"/>
  <c r="AO450" i="1" s="1"/>
  <c r="AP450" i="1" a="1"/>
  <c r="AP450" i="1" s="1"/>
  <c r="AQ450" i="1" a="1"/>
  <c r="AQ450" i="1" s="1"/>
  <c r="AR450" i="1" a="1"/>
  <c r="AR450" i="1" s="1"/>
  <c r="AS450" i="1" a="1"/>
  <c r="AS450" i="1" s="1"/>
  <c r="AT450" i="1" a="1"/>
  <c r="AT450" i="1" s="1"/>
  <c r="AU450" i="1" a="1"/>
  <c r="AU450" i="1" s="1"/>
  <c r="AV450" i="1" a="1"/>
  <c r="AV450" i="1" s="1"/>
  <c r="AW450" i="1" a="1"/>
  <c r="AW450" i="1" s="1"/>
  <c r="AX450" i="1" a="1"/>
  <c r="AX450" i="1" s="1"/>
  <c r="AY450" i="1" a="1"/>
  <c r="AY450" i="1" s="1"/>
  <c r="AZ450" i="1" a="1"/>
  <c r="AZ450" i="1" s="1"/>
  <c r="BA450" i="1" a="1"/>
  <c r="BA450" i="1" s="1"/>
  <c r="BB450" i="1" a="1"/>
  <c r="BB450" i="1" s="1"/>
  <c r="AL451" i="1" a="1"/>
  <c r="AL451" i="1" s="1"/>
  <c r="AM451" i="1" a="1"/>
  <c r="AM451" i="1" s="1"/>
  <c r="AN451" i="1" a="1"/>
  <c r="AN451" i="1" s="1"/>
  <c r="AO451" i="1" a="1"/>
  <c r="AO451" i="1" s="1"/>
  <c r="AP451" i="1" a="1"/>
  <c r="AP451" i="1" s="1"/>
  <c r="AQ451" i="1" a="1"/>
  <c r="AQ451" i="1" s="1"/>
  <c r="AR451" i="1" a="1"/>
  <c r="AR451" i="1" s="1"/>
  <c r="AS451" i="1" a="1"/>
  <c r="AS451" i="1" s="1"/>
  <c r="AT451" i="1" a="1"/>
  <c r="AT451" i="1" s="1"/>
  <c r="AU451" i="1" a="1"/>
  <c r="AU451" i="1" s="1"/>
  <c r="AV451" i="1" a="1"/>
  <c r="AV451" i="1" s="1"/>
  <c r="AW451" i="1" a="1"/>
  <c r="AW451" i="1" s="1"/>
  <c r="AX451" i="1" a="1"/>
  <c r="AX451" i="1" s="1"/>
  <c r="AY451" i="1" a="1"/>
  <c r="AY451" i="1" s="1"/>
  <c r="AZ451" i="1" a="1"/>
  <c r="AZ451" i="1" s="1"/>
  <c r="BA451" i="1" a="1"/>
  <c r="BA451" i="1" s="1"/>
  <c r="BB451" i="1" a="1"/>
  <c r="BB451" i="1" s="1"/>
  <c r="AL452" i="1" a="1"/>
  <c r="AL452" i="1" s="1"/>
  <c r="AM452" i="1" a="1"/>
  <c r="AM452" i="1" s="1"/>
  <c r="AN452" i="1" a="1"/>
  <c r="AN452" i="1" s="1"/>
  <c r="AO452" i="1" a="1"/>
  <c r="AO452" i="1" s="1"/>
  <c r="AP452" i="1" a="1"/>
  <c r="AP452" i="1" s="1"/>
  <c r="AQ452" i="1" a="1"/>
  <c r="AQ452" i="1" s="1"/>
  <c r="AR452" i="1" a="1"/>
  <c r="AR452" i="1" s="1"/>
  <c r="AS452" i="1" a="1"/>
  <c r="AS452" i="1" s="1"/>
  <c r="AT452" i="1" a="1"/>
  <c r="AT452" i="1" s="1"/>
  <c r="AU452" i="1" a="1"/>
  <c r="AU452" i="1" s="1"/>
  <c r="AV452" i="1" a="1"/>
  <c r="AV452" i="1" s="1"/>
  <c r="AW452" i="1" a="1"/>
  <c r="AW452" i="1" s="1"/>
  <c r="AX452" i="1" a="1"/>
  <c r="AX452" i="1" s="1"/>
  <c r="AY452" i="1" a="1"/>
  <c r="AY452" i="1" s="1"/>
  <c r="AZ452" i="1" a="1"/>
  <c r="AZ452" i="1" s="1"/>
  <c r="BA452" i="1" a="1"/>
  <c r="BA452" i="1" s="1"/>
  <c r="BB452" i="1" a="1"/>
  <c r="BB452" i="1" s="1"/>
  <c r="AL292" i="1" a="1"/>
  <c r="AL292" i="1" s="1"/>
  <c r="AM292" i="1" a="1"/>
  <c r="AM292" i="1" s="1"/>
  <c r="AN292" i="1" a="1"/>
  <c r="AN292" i="1" s="1"/>
  <c r="AO292" i="1" a="1"/>
  <c r="AO292" i="1" s="1"/>
  <c r="AP292" i="1" a="1"/>
  <c r="AP292" i="1" s="1"/>
  <c r="AQ292" i="1" a="1"/>
  <c r="AQ292" i="1" s="1"/>
  <c r="AR292" i="1" a="1"/>
  <c r="AR292" i="1" s="1"/>
  <c r="AS292" i="1" a="1"/>
  <c r="AS292" i="1" s="1"/>
  <c r="AT292" i="1" a="1"/>
  <c r="AT292" i="1" s="1"/>
  <c r="AU292" i="1" a="1"/>
  <c r="AU292" i="1" s="1"/>
  <c r="AV292" i="1" a="1"/>
  <c r="AV292" i="1" s="1"/>
  <c r="AW292" i="1" a="1"/>
  <c r="AW292" i="1" s="1"/>
  <c r="AX292" i="1" a="1"/>
  <c r="AX292" i="1" s="1"/>
  <c r="AY292" i="1" a="1"/>
  <c r="AY292" i="1" s="1"/>
  <c r="AZ292" i="1" a="1"/>
  <c r="AZ292" i="1" s="1"/>
  <c r="BA292" i="1" a="1"/>
  <c r="BA292" i="1" s="1"/>
  <c r="BB292" i="1" a="1"/>
  <c r="BB292" i="1" s="1"/>
  <c r="AL453" i="1" a="1"/>
  <c r="AL453" i="1" s="1"/>
  <c r="AM453" i="1" a="1"/>
  <c r="AM453" i="1" s="1"/>
  <c r="AN453" i="1" a="1"/>
  <c r="AN453" i="1" s="1"/>
  <c r="AO453" i="1" a="1"/>
  <c r="AO453" i="1" s="1"/>
  <c r="AP453" i="1" a="1"/>
  <c r="AP453" i="1" s="1"/>
  <c r="AQ453" i="1" a="1"/>
  <c r="AQ453" i="1" s="1"/>
  <c r="AR453" i="1" a="1"/>
  <c r="AR453" i="1" s="1"/>
  <c r="AS453" i="1" a="1"/>
  <c r="AS453" i="1" s="1"/>
  <c r="AT453" i="1" a="1"/>
  <c r="AT453" i="1" s="1"/>
  <c r="AU453" i="1" a="1"/>
  <c r="AU453" i="1" s="1"/>
  <c r="AV453" i="1" a="1"/>
  <c r="AV453" i="1" s="1"/>
  <c r="AW453" i="1" a="1"/>
  <c r="AW453" i="1" s="1"/>
  <c r="AX453" i="1" a="1"/>
  <c r="AX453" i="1" s="1"/>
  <c r="AY453" i="1" a="1"/>
  <c r="AY453" i="1" s="1"/>
  <c r="AZ453" i="1" a="1"/>
  <c r="AZ453" i="1" s="1"/>
  <c r="BA453" i="1" a="1"/>
  <c r="BA453" i="1" s="1"/>
  <c r="BB453" i="1" a="1"/>
  <c r="BB453" i="1" s="1"/>
  <c r="AL454" i="1" a="1"/>
  <c r="AL454" i="1" s="1"/>
  <c r="AM454" i="1" a="1"/>
  <c r="AM454" i="1" s="1"/>
  <c r="AN454" i="1" a="1"/>
  <c r="AN454" i="1" s="1"/>
  <c r="AO454" i="1" a="1"/>
  <c r="AO454" i="1" s="1"/>
  <c r="AP454" i="1" a="1"/>
  <c r="AP454" i="1" s="1"/>
  <c r="AQ454" i="1" a="1"/>
  <c r="AQ454" i="1" s="1"/>
  <c r="AR454" i="1" a="1"/>
  <c r="AR454" i="1" s="1"/>
  <c r="AS454" i="1" a="1"/>
  <c r="AS454" i="1" s="1"/>
  <c r="AT454" i="1" a="1"/>
  <c r="AT454" i="1" s="1"/>
  <c r="AU454" i="1" a="1"/>
  <c r="AU454" i="1" s="1"/>
  <c r="AV454" i="1" a="1"/>
  <c r="AV454" i="1" s="1"/>
  <c r="AW454" i="1" a="1"/>
  <c r="AW454" i="1" s="1"/>
  <c r="AX454" i="1" a="1"/>
  <c r="AX454" i="1" s="1"/>
  <c r="AY454" i="1" a="1"/>
  <c r="AY454" i="1" s="1"/>
  <c r="AZ454" i="1" a="1"/>
  <c r="AZ454" i="1" s="1"/>
  <c r="BA454" i="1" a="1"/>
  <c r="BA454" i="1" s="1"/>
  <c r="BB454" i="1" a="1"/>
  <c r="BB454" i="1" s="1"/>
  <c r="AL455" i="1" a="1"/>
  <c r="AL455" i="1" s="1"/>
  <c r="AM455" i="1" a="1"/>
  <c r="AM455" i="1" s="1"/>
  <c r="AN455" i="1" a="1"/>
  <c r="AN455" i="1" s="1"/>
  <c r="AO455" i="1" a="1"/>
  <c r="AO455" i="1" s="1"/>
  <c r="AP455" i="1" a="1"/>
  <c r="AP455" i="1" s="1"/>
  <c r="AQ455" i="1" a="1"/>
  <c r="AQ455" i="1" s="1"/>
  <c r="AR455" i="1" a="1"/>
  <c r="AR455" i="1" s="1"/>
  <c r="AS455" i="1" a="1"/>
  <c r="AS455" i="1" s="1"/>
  <c r="AT455" i="1" a="1"/>
  <c r="AT455" i="1" s="1"/>
  <c r="AU455" i="1" a="1"/>
  <c r="AU455" i="1" s="1"/>
  <c r="AV455" i="1" a="1"/>
  <c r="AV455" i="1" s="1"/>
  <c r="AW455" i="1" a="1"/>
  <c r="AW455" i="1" s="1"/>
  <c r="AX455" i="1" a="1"/>
  <c r="AX455" i="1" s="1"/>
  <c r="AY455" i="1" a="1"/>
  <c r="AY455" i="1" s="1"/>
  <c r="AZ455" i="1" a="1"/>
  <c r="AZ455" i="1" s="1"/>
  <c r="BA455" i="1" a="1"/>
  <c r="BA455" i="1" s="1"/>
  <c r="BB455" i="1" a="1"/>
  <c r="BB455" i="1" s="1"/>
  <c r="AL456" i="1" a="1"/>
  <c r="AL456" i="1" s="1"/>
  <c r="AM456" i="1" a="1"/>
  <c r="AM456" i="1" s="1"/>
  <c r="AN456" i="1" a="1"/>
  <c r="AN456" i="1" s="1"/>
  <c r="AO456" i="1" a="1"/>
  <c r="AO456" i="1" s="1"/>
  <c r="AP456" i="1" a="1"/>
  <c r="AP456" i="1" s="1"/>
  <c r="AQ456" i="1" a="1"/>
  <c r="AQ456" i="1" s="1"/>
  <c r="AR456" i="1" a="1"/>
  <c r="AR456" i="1" s="1"/>
  <c r="AS456" i="1" a="1"/>
  <c r="AS456" i="1" s="1"/>
  <c r="AT456" i="1" a="1"/>
  <c r="AT456" i="1" s="1"/>
  <c r="AU456" i="1" a="1"/>
  <c r="AU456" i="1" s="1"/>
  <c r="AV456" i="1" a="1"/>
  <c r="AV456" i="1" s="1"/>
  <c r="AW456" i="1" a="1"/>
  <c r="AW456" i="1" s="1"/>
  <c r="AX456" i="1" a="1"/>
  <c r="AX456" i="1" s="1"/>
  <c r="AY456" i="1" a="1"/>
  <c r="AY456" i="1" s="1"/>
  <c r="AZ456" i="1" a="1"/>
  <c r="AZ456" i="1" s="1"/>
  <c r="BA456" i="1" a="1"/>
  <c r="BA456" i="1" s="1"/>
  <c r="BB456" i="1" a="1"/>
  <c r="BB456" i="1" s="1"/>
  <c r="AL457" i="1" a="1"/>
  <c r="AL457" i="1" s="1"/>
  <c r="AM457" i="1" a="1"/>
  <c r="AM457" i="1" s="1"/>
  <c r="AN457" i="1" a="1"/>
  <c r="AN457" i="1" s="1"/>
  <c r="AO457" i="1" a="1"/>
  <c r="AO457" i="1" s="1"/>
  <c r="AP457" i="1" a="1"/>
  <c r="AP457" i="1" s="1"/>
  <c r="AQ457" i="1" a="1"/>
  <c r="AQ457" i="1" s="1"/>
  <c r="AR457" i="1" a="1"/>
  <c r="AR457" i="1" s="1"/>
  <c r="AS457" i="1" a="1"/>
  <c r="AS457" i="1" s="1"/>
  <c r="AT457" i="1" a="1"/>
  <c r="AT457" i="1" s="1"/>
  <c r="AU457" i="1" a="1"/>
  <c r="AU457" i="1" s="1"/>
  <c r="AV457" i="1" a="1"/>
  <c r="AV457" i="1" s="1"/>
  <c r="AW457" i="1" a="1"/>
  <c r="AW457" i="1" s="1"/>
  <c r="AX457" i="1" a="1"/>
  <c r="AX457" i="1" s="1"/>
  <c r="AY457" i="1" a="1"/>
  <c r="AY457" i="1" s="1"/>
  <c r="AZ457" i="1" a="1"/>
  <c r="AZ457" i="1" s="1"/>
  <c r="BA457" i="1" a="1"/>
  <c r="BA457" i="1" s="1"/>
  <c r="BB457" i="1" a="1"/>
  <c r="BB457" i="1" s="1"/>
  <c r="AL458" i="1" a="1"/>
  <c r="AL458" i="1" s="1"/>
  <c r="AM458" i="1" a="1"/>
  <c r="AM458" i="1" s="1"/>
  <c r="AN458" i="1" a="1"/>
  <c r="AN458" i="1" s="1"/>
  <c r="AO458" i="1" a="1"/>
  <c r="AO458" i="1" s="1"/>
  <c r="AP458" i="1" a="1"/>
  <c r="AP458" i="1" s="1"/>
  <c r="AQ458" i="1" a="1"/>
  <c r="AQ458" i="1" s="1"/>
  <c r="AR458" i="1" a="1"/>
  <c r="AR458" i="1" s="1"/>
  <c r="AS458" i="1" a="1"/>
  <c r="AS458" i="1" s="1"/>
  <c r="AT458" i="1" a="1"/>
  <c r="AT458" i="1" s="1"/>
  <c r="AU458" i="1" a="1"/>
  <c r="AU458" i="1" s="1"/>
  <c r="AV458" i="1" a="1"/>
  <c r="AV458" i="1" s="1"/>
  <c r="AW458" i="1" a="1"/>
  <c r="AW458" i="1" s="1"/>
  <c r="AX458" i="1" a="1"/>
  <c r="AX458" i="1" s="1"/>
  <c r="AY458" i="1" a="1"/>
  <c r="AY458" i="1" s="1"/>
  <c r="AZ458" i="1" a="1"/>
  <c r="AZ458" i="1" s="1"/>
  <c r="BA458" i="1" a="1"/>
  <c r="BA458" i="1" s="1"/>
  <c r="BB458" i="1" a="1"/>
  <c r="BB458" i="1" s="1"/>
  <c r="AL459" i="1" a="1"/>
  <c r="AL459" i="1" s="1"/>
  <c r="AM459" i="1" a="1"/>
  <c r="AM459" i="1" s="1"/>
  <c r="AN459" i="1" a="1"/>
  <c r="AN459" i="1" s="1"/>
  <c r="AO459" i="1" a="1"/>
  <c r="AO459" i="1" s="1"/>
  <c r="AP459" i="1" a="1"/>
  <c r="AP459" i="1" s="1"/>
  <c r="AQ459" i="1" a="1"/>
  <c r="AQ459" i="1" s="1"/>
  <c r="AR459" i="1" a="1"/>
  <c r="AR459" i="1" s="1"/>
  <c r="AS459" i="1" a="1"/>
  <c r="AS459" i="1" s="1"/>
  <c r="AT459" i="1" a="1"/>
  <c r="AT459" i="1" s="1"/>
  <c r="AU459" i="1" a="1"/>
  <c r="AU459" i="1" s="1"/>
  <c r="AV459" i="1" a="1"/>
  <c r="AV459" i="1" s="1"/>
  <c r="AW459" i="1" a="1"/>
  <c r="AW459" i="1" s="1"/>
  <c r="AX459" i="1" a="1"/>
  <c r="AX459" i="1" s="1"/>
  <c r="AY459" i="1" a="1"/>
  <c r="AY459" i="1" s="1"/>
  <c r="AZ459" i="1" a="1"/>
  <c r="AZ459" i="1" s="1"/>
  <c r="BA459" i="1" a="1"/>
  <c r="BA459" i="1" s="1"/>
  <c r="BB459" i="1" a="1"/>
  <c r="BB459" i="1" s="1"/>
  <c r="AL460" i="1" a="1"/>
  <c r="AL460" i="1" s="1"/>
  <c r="AM460" i="1" a="1"/>
  <c r="AM460" i="1" s="1"/>
  <c r="AN460" i="1" a="1"/>
  <c r="AN460" i="1" s="1"/>
  <c r="AO460" i="1" a="1"/>
  <c r="AO460" i="1" s="1"/>
  <c r="AP460" i="1" a="1"/>
  <c r="AP460" i="1" s="1"/>
  <c r="AQ460" i="1" a="1"/>
  <c r="AQ460" i="1" s="1"/>
  <c r="AR460" i="1" a="1"/>
  <c r="AR460" i="1" s="1"/>
  <c r="AS460" i="1" a="1"/>
  <c r="AS460" i="1" s="1"/>
  <c r="AT460" i="1" a="1"/>
  <c r="AT460" i="1" s="1"/>
  <c r="AU460" i="1" a="1"/>
  <c r="AU460" i="1" s="1"/>
  <c r="AV460" i="1" a="1"/>
  <c r="AV460" i="1" s="1"/>
  <c r="AW460" i="1" a="1"/>
  <c r="AW460" i="1" s="1"/>
  <c r="AX460" i="1" a="1"/>
  <c r="AX460" i="1" s="1"/>
  <c r="AY460" i="1" a="1"/>
  <c r="AY460" i="1" s="1"/>
  <c r="AZ460" i="1" a="1"/>
  <c r="AZ460" i="1" s="1"/>
  <c r="BA460" i="1" a="1"/>
  <c r="BA460" i="1" s="1"/>
  <c r="BB460" i="1" a="1"/>
  <c r="BB460" i="1" s="1"/>
  <c r="AL462" i="1" a="1"/>
  <c r="AL462" i="1" s="1"/>
  <c r="AM462" i="1" a="1"/>
  <c r="AM462" i="1" s="1"/>
  <c r="AN462" i="1" a="1"/>
  <c r="AN462" i="1" s="1"/>
  <c r="AO462" i="1" a="1"/>
  <c r="AO462" i="1" s="1"/>
  <c r="AP462" i="1" a="1"/>
  <c r="AP462" i="1" s="1"/>
  <c r="AQ462" i="1" a="1"/>
  <c r="AQ462" i="1" s="1"/>
  <c r="AR462" i="1" a="1"/>
  <c r="AR462" i="1" s="1"/>
  <c r="AS462" i="1" a="1"/>
  <c r="AS462" i="1" s="1"/>
  <c r="AT462" i="1" a="1"/>
  <c r="AT462" i="1" s="1"/>
  <c r="AU462" i="1" a="1"/>
  <c r="AU462" i="1" s="1"/>
  <c r="AV462" i="1" a="1"/>
  <c r="AV462" i="1" s="1"/>
  <c r="AW462" i="1" a="1"/>
  <c r="AW462" i="1" s="1"/>
  <c r="AX462" i="1" a="1"/>
  <c r="AX462" i="1" s="1"/>
  <c r="AY462" i="1" a="1"/>
  <c r="AY462" i="1" s="1"/>
  <c r="AZ462" i="1" a="1"/>
  <c r="AZ462" i="1" s="1"/>
  <c r="BA462" i="1" a="1"/>
  <c r="BA462" i="1" s="1"/>
  <c r="BB462" i="1" a="1"/>
  <c r="BB462" i="1" s="1"/>
  <c r="AL463" i="1" a="1"/>
  <c r="AL463" i="1" s="1"/>
  <c r="AM463" i="1" a="1"/>
  <c r="AM463" i="1" s="1"/>
  <c r="AN463" i="1" a="1"/>
  <c r="AN463" i="1" s="1"/>
  <c r="AO463" i="1" a="1"/>
  <c r="AO463" i="1" s="1"/>
  <c r="AP463" i="1" a="1"/>
  <c r="AP463" i="1" s="1"/>
  <c r="AQ463" i="1" a="1"/>
  <c r="AQ463" i="1" s="1"/>
  <c r="AR463" i="1" a="1"/>
  <c r="AR463" i="1" s="1"/>
  <c r="AS463" i="1" a="1"/>
  <c r="AS463" i="1" s="1"/>
  <c r="AT463" i="1" a="1"/>
  <c r="AT463" i="1" s="1"/>
  <c r="AU463" i="1" a="1"/>
  <c r="AU463" i="1" s="1"/>
  <c r="AV463" i="1" a="1"/>
  <c r="AV463" i="1" s="1"/>
  <c r="AW463" i="1" a="1"/>
  <c r="AW463" i="1" s="1"/>
  <c r="AX463" i="1" a="1"/>
  <c r="AX463" i="1" s="1"/>
  <c r="AY463" i="1" a="1"/>
  <c r="AY463" i="1" s="1"/>
  <c r="AZ463" i="1" a="1"/>
  <c r="AZ463" i="1" s="1"/>
  <c r="BA463" i="1" a="1"/>
  <c r="BA463" i="1" s="1"/>
  <c r="BB463" i="1" a="1"/>
  <c r="BB463" i="1" s="1"/>
  <c r="AL464" i="1" a="1"/>
  <c r="AL464" i="1" s="1"/>
  <c r="AM464" i="1" a="1"/>
  <c r="AM464" i="1" s="1"/>
  <c r="AN464" i="1" a="1"/>
  <c r="AN464" i="1" s="1"/>
  <c r="AO464" i="1" a="1"/>
  <c r="AO464" i="1" s="1"/>
  <c r="AP464" i="1" a="1"/>
  <c r="AP464" i="1" s="1"/>
  <c r="AQ464" i="1" a="1"/>
  <c r="AQ464" i="1" s="1"/>
  <c r="AR464" i="1" a="1"/>
  <c r="AR464" i="1" s="1"/>
  <c r="AS464" i="1" a="1"/>
  <c r="AS464" i="1" s="1"/>
  <c r="AT464" i="1" a="1"/>
  <c r="AT464" i="1" s="1"/>
  <c r="AU464" i="1" a="1"/>
  <c r="AU464" i="1" s="1"/>
  <c r="AV464" i="1" a="1"/>
  <c r="AV464" i="1" s="1"/>
  <c r="AW464" i="1" a="1"/>
  <c r="AW464" i="1" s="1"/>
  <c r="AX464" i="1" a="1"/>
  <c r="AX464" i="1" s="1"/>
  <c r="AY464" i="1" a="1"/>
  <c r="AY464" i="1" s="1"/>
  <c r="AZ464" i="1" a="1"/>
  <c r="AZ464" i="1" s="1"/>
  <c r="BA464" i="1" a="1"/>
  <c r="BA464" i="1" s="1"/>
  <c r="BB464" i="1" a="1"/>
  <c r="BB464" i="1" s="1"/>
  <c r="AL465" i="1" a="1"/>
  <c r="AL465" i="1" s="1"/>
  <c r="AM465" i="1" a="1"/>
  <c r="AM465" i="1" s="1"/>
  <c r="AN465" i="1" a="1"/>
  <c r="AN465" i="1" s="1"/>
  <c r="AO465" i="1" a="1"/>
  <c r="AO465" i="1" s="1"/>
  <c r="AP465" i="1" a="1"/>
  <c r="AP465" i="1" s="1"/>
  <c r="AQ465" i="1" a="1"/>
  <c r="AQ465" i="1" s="1"/>
  <c r="AR465" i="1" a="1"/>
  <c r="AR465" i="1" s="1"/>
  <c r="AS465" i="1" a="1"/>
  <c r="AS465" i="1" s="1"/>
  <c r="AT465" i="1" a="1"/>
  <c r="AT465" i="1" s="1"/>
  <c r="AU465" i="1" a="1"/>
  <c r="AU465" i="1" s="1"/>
  <c r="AV465" i="1" a="1"/>
  <c r="AV465" i="1" s="1"/>
  <c r="AW465" i="1" a="1"/>
  <c r="AW465" i="1" s="1"/>
  <c r="AX465" i="1" a="1"/>
  <c r="AX465" i="1" s="1"/>
  <c r="AY465" i="1" a="1"/>
  <c r="AY465" i="1" s="1"/>
  <c r="AZ465" i="1" a="1"/>
  <c r="AZ465" i="1" s="1"/>
  <c r="BA465" i="1" a="1"/>
  <c r="BA465" i="1" s="1"/>
  <c r="BB465" i="1" a="1"/>
  <c r="BB465" i="1" s="1"/>
  <c r="AL466" i="1" a="1"/>
  <c r="AL466" i="1" s="1"/>
  <c r="AM466" i="1" a="1"/>
  <c r="AM466" i="1" s="1"/>
  <c r="AN466" i="1" a="1"/>
  <c r="AN466" i="1" s="1"/>
  <c r="AO466" i="1" a="1"/>
  <c r="AO466" i="1" s="1"/>
  <c r="AP466" i="1" a="1"/>
  <c r="AP466" i="1" s="1"/>
  <c r="AQ466" i="1" a="1"/>
  <c r="AQ466" i="1" s="1"/>
  <c r="AR466" i="1" a="1"/>
  <c r="AR466" i="1" s="1"/>
  <c r="AS466" i="1" a="1"/>
  <c r="AS466" i="1" s="1"/>
  <c r="AT466" i="1" a="1"/>
  <c r="AT466" i="1" s="1"/>
  <c r="AU466" i="1" a="1"/>
  <c r="AU466" i="1" s="1"/>
  <c r="AV466" i="1" a="1"/>
  <c r="AV466" i="1" s="1"/>
  <c r="AW466" i="1" a="1"/>
  <c r="AW466" i="1" s="1"/>
  <c r="AX466" i="1" a="1"/>
  <c r="AX466" i="1" s="1"/>
  <c r="AY466" i="1" a="1"/>
  <c r="AY466" i="1" s="1"/>
  <c r="AZ466" i="1" a="1"/>
  <c r="AZ466" i="1" s="1"/>
  <c r="BA466" i="1" a="1"/>
  <c r="BA466" i="1" s="1"/>
  <c r="BB466" i="1" a="1"/>
  <c r="BB466" i="1" s="1"/>
  <c r="AL467" i="1" a="1"/>
  <c r="AL467" i="1" s="1"/>
  <c r="AM467" i="1" a="1"/>
  <c r="AM467" i="1" s="1"/>
  <c r="AN467" i="1" a="1"/>
  <c r="AN467" i="1" s="1"/>
  <c r="AO467" i="1" a="1"/>
  <c r="AO467" i="1" s="1"/>
  <c r="AP467" i="1" a="1"/>
  <c r="AP467" i="1" s="1"/>
  <c r="AQ467" i="1" a="1"/>
  <c r="AQ467" i="1" s="1"/>
  <c r="AR467" i="1" a="1"/>
  <c r="AR467" i="1" s="1"/>
  <c r="AS467" i="1" a="1"/>
  <c r="AS467" i="1" s="1"/>
  <c r="AT467" i="1" a="1"/>
  <c r="AT467" i="1" s="1"/>
  <c r="AU467" i="1" a="1"/>
  <c r="AU467" i="1" s="1"/>
  <c r="AV467" i="1" a="1"/>
  <c r="AV467" i="1" s="1"/>
  <c r="AW467" i="1" a="1"/>
  <c r="AW467" i="1" s="1"/>
  <c r="AX467" i="1" a="1"/>
  <c r="AX467" i="1" s="1"/>
  <c r="AY467" i="1" a="1"/>
  <c r="AY467" i="1" s="1"/>
  <c r="AZ467" i="1" a="1"/>
  <c r="AZ467" i="1" s="1"/>
  <c r="BA467" i="1" a="1"/>
  <c r="BA467" i="1" s="1"/>
  <c r="BB467" i="1" a="1"/>
  <c r="BB467" i="1" s="1"/>
  <c r="AL298" i="1" a="1"/>
  <c r="AL298" i="1" s="1"/>
  <c r="AM298" i="1" a="1"/>
  <c r="AM298" i="1" s="1"/>
  <c r="AN298" i="1" a="1"/>
  <c r="AN298" i="1" s="1"/>
  <c r="AO298" i="1" a="1"/>
  <c r="AO298" i="1" s="1"/>
  <c r="AP298" i="1" a="1"/>
  <c r="AP298" i="1" s="1"/>
  <c r="AQ298" i="1" a="1"/>
  <c r="AQ298" i="1" s="1"/>
  <c r="AR298" i="1" a="1"/>
  <c r="AR298" i="1" s="1"/>
  <c r="AS298" i="1" a="1"/>
  <c r="AS298" i="1" s="1"/>
  <c r="AT298" i="1" a="1"/>
  <c r="AT298" i="1" s="1"/>
  <c r="AU298" i="1" a="1"/>
  <c r="AU298" i="1" s="1"/>
  <c r="AV298" i="1" a="1"/>
  <c r="AV298" i="1" s="1"/>
  <c r="AW298" i="1" a="1"/>
  <c r="AW298" i="1" s="1"/>
  <c r="AX298" i="1" a="1"/>
  <c r="AX298" i="1" s="1"/>
  <c r="AY298" i="1" a="1"/>
  <c r="AY298" i="1" s="1"/>
  <c r="AZ298" i="1" a="1"/>
  <c r="AZ298" i="1" s="1"/>
  <c r="BA298" i="1" a="1"/>
  <c r="BA298" i="1" s="1"/>
  <c r="BB298" i="1" a="1"/>
  <c r="BB298" i="1" s="1"/>
  <c r="AL299" i="1" a="1"/>
  <c r="AL299" i="1" s="1"/>
  <c r="AM299" i="1" a="1"/>
  <c r="AM299" i="1" s="1"/>
  <c r="AN299" i="1" a="1"/>
  <c r="AN299" i="1" s="1"/>
  <c r="AO299" i="1" a="1"/>
  <c r="AO299" i="1" s="1"/>
  <c r="AP299" i="1" a="1"/>
  <c r="AP299" i="1" s="1"/>
  <c r="AQ299" i="1" a="1"/>
  <c r="AQ299" i="1" s="1"/>
  <c r="AR299" i="1" a="1"/>
  <c r="AR299" i="1" s="1"/>
  <c r="AS299" i="1" a="1"/>
  <c r="AS299" i="1" s="1"/>
  <c r="AT299" i="1" a="1"/>
  <c r="AT299" i="1" s="1"/>
  <c r="AU299" i="1" a="1"/>
  <c r="AU299" i="1" s="1"/>
  <c r="AV299" i="1" a="1"/>
  <c r="AV299" i="1" s="1"/>
  <c r="AW299" i="1" a="1"/>
  <c r="AW299" i="1" s="1"/>
  <c r="AX299" i="1" a="1"/>
  <c r="AX299" i="1" s="1"/>
  <c r="AY299" i="1" a="1"/>
  <c r="AY299" i="1" s="1"/>
  <c r="AZ299" i="1" a="1"/>
  <c r="AZ299" i="1" s="1"/>
  <c r="BA299" i="1" a="1"/>
  <c r="BA299" i="1" s="1"/>
  <c r="BB299" i="1" a="1"/>
  <c r="BB299" i="1" s="1"/>
  <c r="AL468" i="1" a="1"/>
  <c r="AL468" i="1" s="1"/>
  <c r="AM468" i="1" a="1"/>
  <c r="AM468" i="1" s="1"/>
  <c r="AN468" i="1" a="1"/>
  <c r="AN468" i="1" s="1"/>
  <c r="AO468" i="1" a="1"/>
  <c r="AO468" i="1" s="1"/>
  <c r="AP468" i="1" a="1"/>
  <c r="AP468" i="1" s="1"/>
  <c r="AQ468" i="1" a="1"/>
  <c r="AQ468" i="1" s="1"/>
  <c r="AR468" i="1" a="1"/>
  <c r="AR468" i="1" s="1"/>
  <c r="AS468" i="1" a="1"/>
  <c r="AS468" i="1" s="1"/>
  <c r="AT468" i="1" a="1"/>
  <c r="AT468" i="1" s="1"/>
  <c r="AU468" i="1" a="1"/>
  <c r="AU468" i="1" s="1"/>
  <c r="AV468" i="1" a="1"/>
  <c r="AV468" i="1" s="1"/>
  <c r="AW468" i="1" a="1"/>
  <c r="AW468" i="1" s="1"/>
  <c r="AX468" i="1" a="1"/>
  <c r="AX468" i="1" s="1"/>
  <c r="AY468" i="1" a="1"/>
  <c r="AY468" i="1" s="1"/>
  <c r="AZ468" i="1" a="1"/>
  <c r="AZ468" i="1" s="1"/>
  <c r="BA468" i="1" a="1"/>
  <c r="BA468" i="1" s="1"/>
  <c r="BB468" i="1" a="1"/>
  <c r="BB468" i="1" s="1"/>
  <c r="AL469" i="1" a="1"/>
  <c r="AL469" i="1" s="1"/>
  <c r="AM469" i="1" a="1"/>
  <c r="AM469" i="1" s="1"/>
  <c r="AN469" i="1" a="1"/>
  <c r="AN469" i="1" s="1"/>
  <c r="AO469" i="1" a="1"/>
  <c r="AO469" i="1" s="1"/>
  <c r="AP469" i="1" a="1"/>
  <c r="AP469" i="1" s="1"/>
  <c r="AQ469" i="1" a="1"/>
  <c r="AQ469" i="1" s="1"/>
  <c r="AR469" i="1" a="1"/>
  <c r="AR469" i="1" s="1"/>
  <c r="AS469" i="1" a="1"/>
  <c r="AS469" i="1" s="1"/>
  <c r="AT469" i="1" a="1"/>
  <c r="AT469" i="1" s="1"/>
  <c r="AU469" i="1" a="1"/>
  <c r="AU469" i="1" s="1"/>
  <c r="AV469" i="1" a="1"/>
  <c r="AV469" i="1" s="1"/>
  <c r="AW469" i="1" a="1"/>
  <c r="AW469" i="1" s="1"/>
  <c r="AX469" i="1" a="1"/>
  <c r="AX469" i="1" s="1"/>
  <c r="AY469" i="1" a="1"/>
  <c r="AY469" i="1" s="1"/>
  <c r="AZ469" i="1" a="1"/>
  <c r="AZ469" i="1" s="1"/>
  <c r="BA469" i="1" a="1"/>
  <c r="BA469" i="1" s="1"/>
  <c r="BB469" i="1" a="1"/>
  <c r="BB469" i="1" s="1"/>
  <c r="AL470" i="1" a="1"/>
  <c r="AL470" i="1" s="1"/>
  <c r="AM470" i="1" a="1"/>
  <c r="AM470" i="1" s="1"/>
  <c r="AN470" i="1" a="1"/>
  <c r="AN470" i="1" s="1"/>
  <c r="AO470" i="1" a="1"/>
  <c r="AO470" i="1" s="1"/>
  <c r="AP470" i="1" a="1"/>
  <c r="AP470" i="1" s="1"/>
  <c r="AQ470" i="1" a="1"/>
  <c r="AQ470" i="1" s="1"/>
  <c r="AR470" i="1" a="1"/>
  <c r="AR470" i="1" s="1"/>
  <c r="AS470" i="1" a="1"/>
  <c r="AS470" i="1" s="1"/>
  <c r="AT470" i="1" a="1"/>
  <c r="AT470" i="1" s="1"/>
  <c r="AU470" i="1" a="1"/>
  <c r="AU470" i="1" s="1"/>
  <c r="AV470" i="1" a="1"/>
  <c r="AV470" i="1" s="1"/>
  <c r="AW470" i="1" a="1"/>
  <c r="AW470" i="1" s="1"/>
  <c r="AX470" i="1" a="1"/>
  <c r="AX470" i="1" s="1"/>
  <c r="AY470" i="1" a="1"/>
  <c r="AY470" i="1" s="1"/>
  <c r="AZ470" i="1" a="1"/>
  <c r="AZ470" i="1" s="1"/>
  <c r="BA470" i="1" a="1"/>
  <c r="BA470" i="1" s="1"/>
  <c r="BB470" i="1" a="1"/>
  <c r="BB470" i="1" s="1"/>
  <c r="AL301" i="1" a="1"/>
  <c r="AL301" i="1" s="1"/>
  <c r="AM301" i="1" a="1"/>
  <c r="AM301" i="1" s="1"/>
  <c r="AN301" i="1" a="1"/>
  <c r="AN301" i="1" s="1"/>
  <c r="AO301" i="1" a="1"/>
  <c r="AO301" i="1" s="1"/>
  <c r="AP301" i="1" a="1"/>
  <c r="AP301" i="1" s="1"/>
  <c r="AQ301" i="1" a="1"/>
  <c r="AQ301" i="1" s="1"/>
  <c r="AR301" i="1" a="1"/>
  <c r="AR301" i="1" s="1"/>
  <c r="AS301" i="1" a="1"/>
  <c r="AS301" i="1" s="1"/>
  <c r="AT301" i="1" a="1"/>
  <c r="AT301" i="1" s="1"/>
  <c r="AU301" i="1" a="1"/>
  <c r="AU301" i="1" s="1"/>
  <c r="AV301" i="1" a="1"/>
  <c r="AV301" i="1" s="1"/>
  <c r="AW301" i="1" a="1"/>
  <c r="AW301" i="1" s="1"/>
  <c r="AX301" i="1" a="1"/>
  <c r="AX301" i="1" s="1"/>
  <c r="AY301" i="1" a="1"/>
  <c r="AY301" i="1" s="1"/>
  <c r="AZ301" i="1" a="1"/>
  <c r="AZ301" i="1" s="1"/>
  <c r="BA301" i="1" a="1"/>
  <c r="BA301" i="1" s="1"/>
  <c r="BB301" i="1" a="1"/>
  <c r="BB301" i="1" s="1"/>
  <c r="AL176" i="1" a="1"/>
  <c r="AL176" i="1" s="1"/>
  <c r="AM176" i="1" a="1"/>
  <c r="AM176" i="1" s="1"/>
  <c r="AN176" i="1" a="1"/>
  <c r="AN176" i="1" s="1"/>
  <c r="AO176" i="1" a="1"/>
  <c r="AO176" i="1" s="1"/>
  <c r="AP176" i="1" a="1"/>
  <c r="AP176" i="1" s="1"/>
  <c r="AQ176" i="1" a="1"/>
  <c r="AQ176" i="1" s="1"/>
  <c r="AR176" i="1" a="1"/>
  <c r="AR176" i="1" s="1"/>
  <c r="AS176" i="1" a="1"/>
  <c r="AS176" i="1" s="1"/>
  <c r="AT176" i="1" a="1"/>
  <c r="AT176" i="1" s="1"/>
  <c r="AU176" i="1" a="1"/>
  <c r="AU176" i="1" s="1"/>
  <c r="AV176" i="1" a="1"/>
  <c r="AV176" i="1" s="1"/>
  <c r="AW176" i="1" a="1"/>
  <c r="AW176" i="1" s="1"/>
  <c r="AX176" i="1" a="1"/>
  <c r="AX176" i="1" s="1"/>
  <c r="AY176" i="1" a="1"/>
  <c r="AY176" i="1" s="1"/>
  <c r="AZ176" i="1" a="1"/>
  <c r="AZ176" i="1" s="1"/>
  <c r="BA176" i="1" a="1"/>
  <c r="BA176" i="1" s="1"/>
  <c r="BB176" i="1" a="1"/>
  <c r="BB176" i="1" s="1"/>
  <c r="AL471" i="1" a="1"/>
  <c r="AL471" i="1" s="1"/>
  <c r="AM471" i="1" a="1"/>
  <c r="AM471" i="1" s="1"/>
  <c r="AN471" i="1" a="1"/>
  <c r="AN471" i="1" s="1"/>
  <c r="AO471" i="1" a="1"/>
  <c r="AO471" i="1" s="1"/>
  <c r="AP471" i="1" a="1"/>
  <c r="AP471" i="1" s="1"/>
  <c r="AQ471" i="1" a="1"/>
  <c r="AQ471" i="1" s="1"/>
  <c r="AR471" i="1" a="1"/>
  <c r="AR471" i="1" s="1"/>
  <c r="AS471" i="1" a="1"/>
  <c r="AS471" i="1" s="1"/>
  <c r="AT471" i="1" a="1"/>
  <c r="AT471" i="1" s="1"/>
  <c r="AU471" i="1" a="1"/>
  <c r="AU471" i="1" s="1"/>
  <c r="AV471" i="1" a="1"/>
  <c r="AV471" i="1" s="1"/>
  <c r="AW471" i="1" a="1"/>
  <c r="AW471" i="1" s="1"/>
  <c r="AX471" i="1" a="1"/>
  <c r="AX471" i="1" s="1"/>
  <c r="AY471" i="1" a="1"/>
  <c r="AY471" i="1" s="1"/>
  <c r="AZ471" i="1" a="1"/>
  <c r="AZ471" i="1" s="1"/>
  <c r="BA471" i="1" a="1"/>
  <c r="BA471" i="1" s="1"/>
  <c r="BB471" i="1" a="1"/>
  <c r="BB471" i="1" s="1"/>
  <c r="AL472" i="1" a="1"/>
  <c r="AL472" i="1" s="1"/>
  <c r="AM472" i="1" a="1"/>
  <c r="AM472" i="1" s="1"/>
  <c r="AN472" i="1" a="1"/>
  <c r="AN472" i="1" s="1"/>
  <c r="AO472" i="1" a="1"/>
  <c r="AO472" i="1" s="1"/>
  <c r="AP472" i="1" a="1"/>
  <c r="AP472" i="1" s="1"/>
  <c r="AQ472" i="1" a="1"/>
  <c r="AQ472" i="1" s="1"/>
  <c r="AR472" i="1" a="1"/>
  <c r="AR472" i="1" s="1"/>
  <c r="AS472" i="1" a="1"/>
  <c r="AS472" i="1" s="1"/>
  <c r="AT472" i="1" a="1"/>
  <c r="AT472" i="1" s="1"/>
  <c r="AU472" i="1" a="1"/>
  <c r="AU472" i="1" s="1"/>
  <c r="AV472" i="1" a="1"/>
  <c r="AV472" i="1" s="1"/>
  <c r="AW472" i="1" a="1"/>
  <c r="AW472" i="1" s="1"/>
  <c r="AX472" i="1" a="1"/>
  <c r="AX472" i="1" s="1"/>
  <c r="AY472" i="1" a="1"/>
  <c r="AY472" i="1" s="1"/>
  <c r="AZ472" i="1" a="1"/>
  <c r="AZ472" i="1" s="1"/>
  <c r="BA472" i="1" a="1"/>
  <c r="BA472" i="1" s="1"/>
  <c r="BB472" i="1" a="1"/>
  <c r="BB472" i="1" s="1"/>
  <c r="AL473" i="1" a="1"/>
  <c r="AL473" i="1" s="1"/>
  <c r="AM473" i="1" a="1"/>
  <c r="AM473" i="1" s="1"/>
  <c r="AN473" i="1" a="1"/>
  <c r="AN473" i="1" s="1"/>
  <c r="AO473" i="1" a="1"/>
  <c r="AO473" i="1" s="1"/>
  <c r="AP473" i="1" a="1"/>
  <c r="AP473" i="1" s="1"/>
  <c r="AQ473" i="1" a="1"/>
  <c r="AQ473" i="1" s="1"/>
  <c r="AR473" i="1" a="1"/>
  <c r="AR473" i="1" s="1"/>
  <c r="AS473" i="1" a="1"/>
  <c r="AS473" i="1" s="1"/>
  <c r="AT473" i="1" a="1"/>
  <c r="AT473" i="1" s="1"/>
  <c r="AU473" i="1" a="1"/>
  <c r="AU473" i="1" s="1"/>
  <c r="AV473" i="1" a="1"/>
  <c r="AV473" i="1" s="1"/>
  <c r="AW473" i="1" a="1"/>
  <c r="AW473" i="1" s="1"/>
  <c r="AX473" i="1" a="1"/>
  <c r="AX473" i="1" s="1"/>
  <c r="AY473" i="1" a="1"/>
  <c r="AY473" i="1" s="1"/>
  <c r="AZ473" i="1" a="1"/>
  <c r="AZ473" i="1" s="1"/>
  <c r="BA473" i="1" a="1"/>
  <c r="BA473" i="1" s="1"/>
  <c r="BB473" i="1" a="1"/>
  <c r="BB473" i="1" s="1"/>
  <c r="AL474" i="1" a="1"/>
  <c r="AL474" i="1" s="1"/>
  <c r="AM474" i="1" a="1"/>
  <c r="AM474" i="1" s="1"/>
  <c r="AN474" i="1" a="1"/>
  <c r="AN474" i="1" s="1"/>
  <c r="AO474" i="1" a="1"/>
  <c r="AO474" i="1" s="1"/>
  <c r="AP474" i="1" a="1"/>
  <c r="AP474" i="1" s="1"/>
  <c r="AQ474" i="1" a="1"/>
  <c r="AQ474" i="1" s="1"/>
  <c r="AR474" i="1" a="1"/>
  <c r="AR474" i="1" s="1"/>
  <c r="AS474" i="1" a="1"/>
  <c r="AS474" i="1" s="1"/>
  <c r="AT474" i="1" a="1"/>
  <c r="AT474" i="1" s="1"/>
  <c r="AU474" i="1" a="1"/>
  <c r="AU474" i="1" s="1"/>
  <c r="AV474" i="1" a="1"/>
  <c r="AV474" i="1" s="1"/>
  <c r="AW474" i="1" a="1"/>
  <c r="AW474" i="1" s="1"/>
  <c r="AX474" i="1" a="1"/>
  <c r="AX474" i="1" s="1"/>
  <c r="AY474" i="1" a="1"/>
  <c r="AY474" i="1" s="1"/>
  <c r="AZ474" i="1" a="1"/>
  <c r="AZ474" i="1" s="1"/>
  <c r="BA474" i="1" a="1"/>
  <c r="BA474" i="1" s="1"/>
  <c r="BB474" i="1" a="1"/>
  <c r="BB474" i="1" s="1"/>
  <c r="AL475" i="1" a="1"/>
  <c r="AL475" i="1" s="1"/>
  <c r="AM475" i="1" a="1"/>
  <c r="AM475" i="1" s="1"/>
  <c r="AN475" i="1" a="1"/>
  <c r="AN475" i="1" s="1"/>
  <c r="AO475" i="1" a="1"/>
  <c r="AO475" i="1" s="1"/>
  <c r="AP475" i="1" a="1"/>
  <c r="AP475" i="1" s="1"/>
  <c r="AQ475" i="1" a="1"/>
  <c r="AQ475" i="1" s="1"/>
  <c r="AR475" i="1" a="1"/>
  <c r="AR475" i="1" s="1"/>
  <c r="AS475" i="1" a="1"/>
  <c r="AS475" i="1" s="1"/>
  <c r="AT475" i="1" a="1"/>
  <c r="AT475" i="1" s="1"/>
  <c r="AU475" i="1" a="1"/>
  <c r="AU475" i="1" s="1"/>
  <c r="AV475" i="1" a="1"/>
  <c r="AV475" i="1" s="1"/>
  <c r="AW475" i="1" a="1"/>
  <c r="AW475" i="1" s="1"/>
  <c r="AX475" i="1" a="1"/>
  <c r="AX475" i="1" s="1"/>
  <c r="AY475" i="1" a="1"/>
  <c r="AY475" i="1" s="1"/>
  <c r="AZ475" i="1" a="1"/>
  <c r="AZ475" i="1" s="1"/>
  <c r="BA475" i="1" a="1"/>
  <c r="BA475" i="1" s="1"/>
  <c r="BB475" i="1" a="1"/>
  <c r="BB475" i="1" s="1"/>
  <c r="AL476" i="1" a="1"/>
  <c r="AL476" i="1" s="1"/>
  <c r="AM476" i="1" a="1"/>
  <c r="AM476" i="1" s="1"/>
  <c r="AN476" i="1" a="1"/>
  <c r="AN476" i="1" s="1"/>
  <c r="AO476" i="1" a="1"/>
  <c r="AO476" i="1" s="1"/>
  <c r="AP476" i="1" a="1"/>
  <c r="AP476" i="1" s="1"/>
  <c r="AQ476" i="1" a="1"/>
  <c r="AQ476" i="1" s="1"/>
  <c r="AR476" i="1" a="1"/>
  <c r="AR476" i="1" s="1"/>
  <c r="AS476" i="1" a="1"/>
  <c r="AS476" i="1" s="1"/>
  <c r="AT476" i="1" a="1"/>
  <c r="AT476" i="1" s="1"/>
  <c r="AU476" i="1" a="1"/>
  <c r="AU476" i="1" s="1"/>
  <c r="AV476" i="1" a="1"/>
  <c r="AV476" i="1" s="1"/>
  <c r="AW476" i="1" a="1"/>
  <c r="AW476" i="1" s="1"/>
  <c r="AX476" i="1" a="1"/>
  <c r="AX476" i="1" s="1"/>
  <c r="AY476" i="1" a="1"/>
  <c r="AY476" i="1" s="1"/>
  <c r="AZ476" i="1" a="1"/>
  <c r="AZ476" i="1" s="1"/>
  <c r="BA476" i="1" a="1"/>
  <c r="BA476" i="1" s="1"/>
  <c r="BB476" i="1" a="1"/>
  <c r="BB476" i="1" s="1"/>
  <c r="AL477" i="1" a="1"/>
  <c r="AL477" i="1" s="1"/>
  <c r="AM477" i="1" a="1"/>
  <c r="AM477" i="1" s="1"/>
  <c r="AN477" i="1" a="1"/>
  <c r="AN477" i="1" s="1"/>
  <c r="AO477" i="1" a="1"/>
  <c r="AO477" i="1" s="1"/>
  <c r="AP477" i="1" a="1"/>
  <c r="AP477" i="1" s="1"/>
  <c r="AQ477" i="1" a="1"/>
  <c r="AQ477" i="1" s="1"/>
  <c r="AR477" i="1" a="1"/>
  <c r="AR477" i="1" s="1"/>
  <c r="AS477" i="1" a="1"/>
  <c r="AS477" i="1" s="1"/>
  <c r="AT477" i="1" a="1"/>
  <c r="AT477" i="1" s="1"/>
  <c r="AU477" i="1" a="1"/>
  <c r="AU477" i="1" s="1"/>
  <c r="AV477" i="1" a="1"/>
  <c r="AV477" i="1" s="1"/>
  <c r="AW477" i="1" a="1"/>
  <c r="AW477" i="1" s="1"/>
  <c r="AX477" i="1" a="1"/>
  <c r="AX477" i="1" s="1"/>
  <c r="AY477" i="1" a="1"/>
  <c r="AY477" i="1" s="1"/>
  <c r="AZ477" i="1" a="1"/>
  <c r="AZ477" i="1" s="1"/>
  <c r="BA477" i="1" a="1"/>
  <c r="BA477" i="1" s="1"/>
  <c r="BB477" i="1" a="1"/>
  <c r="BB477" i="1" s="1"/>
  <c r="AL478" i="1" a="1"/>
  <c r="AL478" i="1" s="1"/>
  <c r="AM478" i="1" a="1"/>
  <c r="AM478" i="1" s="1"/>
  <c r="AN478" i="1" a="1"/>
  <c r="AN478" i="1" s="1"/>
  <c r="AO478" i="1" a="1"/>
  <c r="AO478" i="1" s="1"/>
  <c r="AP478" i="1" a="1"/>
  <c r="AP478" i="1" s="1"/>
  <c r="AQ478" i="1" a="1"/>
  <c r="AQ478" i="1" s="1"/>
  <c r="AR478" i="1" a="1"/>
  <c r="AR478" i="1" s="1"/>
  <c r="AS478" i="1" a="1"/>
  <c r="AS478" i="1" s="1"/>
  <c r="AT478" i="1" a="1"/>
  <c r="AT478" i="1" s="1"/>
  <c r="AU478" i="1" a="1"/>
  <c r="AU478" i="1" s="1"/>
  <c r="AV478" i="1" a="1"/>
  <c r="AV478" i="1" s="1"/>
  <c r="AW478" i="1" a="1"/>
  <c r="AW478" i="1" s="1"/>
  <c r="AX478" i="1" a="1"/>
  <c r="AX478" i="1" s="1"/>
  <c r="AY478" i="1" a="1"/>
  <c r="AY478" i="1" s="1"/>
  <c r="AZ478" i="1" a="1"/>
  <c r="AZ478" i="1" s="1"/>
  <c r="BA478" i="1" a="1"/>
  <c r="BA478" i="1" s="1"/>
  <c r="BB478" i="1" a="1"/>
  <c r="BB478" i="1" s="1"/>
  <c r="AL479" i="1" a="1"/>
  <c r="AL479" i="1" s="1"/>
  <c r="AM479" i="1" a="1"/>
  <c r="AM479" i="1" s="1"/>
  <c r="AN479" i="1" a="1"/>
  <c r="AN479" i="1" s="1"/>
  <c r="AO479" i="1" a="1"/>
  <c r="AO479" i="1" s="1"/>
  <c r="AP479" i="1" a="1"/>
  <c r="AP479" i="1" s="1"/>
  <c r="AQ479" i="1" a="1"/>
  <c r="AQ479" i="1" s="1"/>
  <c r="AR479" i="1" a="1"/>
  <c r="AR479" i="1" s="1"/>
  <c r="AS479" i="1" a="1"/>
  <c r="AS479" i="1" s="1"/>
  <c r="AT479" i="1" a="1"/>
  <c r="AT479" i="1" s="1"/>
  <c r="AU479" i="1" a="1"/>
  <c r="AU479" i="1" s="1"/>
  <c r="AV479" i="1" a="1"/>
  <c r="AV479" i="1" s="1"/>
  <c r="AW479" i="1" a="1"/>
  <c r="AW479" i="1" s="1"/>
  <c r="AX479" i="1" a="1"/>
  <c r="AX479" i="1" s="1"/>
  <c r="AY479" i="1" a="1"/>
  <c r="AY479" i="1" s="1"/>
  <c r="AZ479" i="1" a="1"/>
  <c r="AZ479" i="1" s="1"/>
  <c r="BA479" i="1" a="1"/>
  <c r="BA479" i="1" s="1"/>
  <c r="BB479" i="1" a="1"/>
  <c r="BB479" i="1" s="1"/>
  <c r="AL480" i="1" a="1"/>
  <c r="AL480" i="1" s="1"/>
  <c r="AM480" i="1" a="1"/>
  <c r="AM480" i="1" s="1"/>
  <c r="AN480" i="1" a="1"/>
  <c r="AN480" i="1" s="1"/>
  <c r="AO480" i="1" a="1"/>
  <c r="AO480" i="1" s="1"/>
  <c r="AP480" i="1" a="1"/>
  <c r="AP480" i="1" s="1"/>
  <c r="AQ480" i="1" a="1"/>
  <c r="AQ480" i="1" s="1"/>
  <c r="AR480" i="1" a="1"/>
  <c r="AR480" i="1" s="1"/>
  <c r="AS480" i="1" a="1"/>
  <c r="AS480" i="1" s="1"/>
  <c r="AT480" i="1" a="1"/>
  <c r="AT480" i="1" s="1"/>
  <c r="AU480" i="1" a="1"/>
  <c r="AU480" i="1" s="1"/>
  <c r="AV480" i="1" a="1"/>
  <c r="AV480" i="1" s="1"/>
  <c r="AW480" i="1" a="1"/>
  <c r="AW480" i="1" s="1"/>
  <c r="AX480" i="1" a="1"/>
  <c r="AX480" i="1" s="1"/>
  <c r="AY480" i="1" a="1"/>
  <c r="AY480" i="1" s="1"/>
  <c r="AZ480" i="1" a="1"/>
  <c r="AZ480" i="1" s="1"/>
  <c r="BA480" i="1" a="1"/>
  <c r="BA480" i="1" s="1"/>
  <c r="BB480" i="1" a="1"/>
  <c r="BB480" i="1" s="1"/>
  <c r="AL481" i="1" a="1"/>
  <c r="AL481" i="1" s="1"/>
  <c r="AM481" i="1" a="1"/>
  <c r="AM481" i="1" s="1"/>
  <c r="AN481" i="1" a="1"/>
  <c r="AN481" i="1" s="1"/>
  <c r="AO481" i="1" a="1"/>
  <c r="AO481" i="1" s="1"/>
  <c r="AP481" i="1" a="1"/>
  <c r="AP481" i="1" s="1"/>
  <c r="AQ481" i="1" a="1"/>
  <c r="AQ481" i="1" s="1"/>
  <c r="AR481" i="1" a="1"/>
  <c r="AR481" i="1" s="1"/>
  <c r="AS481" i="1" a="1"/>
  <c r="AS481" i="1" s="1"/>
  <c r="AT481" i="1" a="1"/>
  <c r="AT481" i="1" s="1"/>
  <c r="AU481" i="1" a="1"/>
  <c r="AU481" i="1" s="1"/>
  <c r="AV481" i="1" a="1"/>
  <c r="AV481" i="1" s="1"/>
  <c r="AW481" i="1" a="1"/>
  <c r="AW481" i="1" s="1"/>
  <c r="AX481" i="1" a="1"/>
  <c r="AX481" i="1" s="1"/>
  <c r="AY481" i="1" a="1"/>
  <c r="AY481" i="1" s="1"/>
  <c r="AZ481" i="1" a="1"/>
  <c r="AZ481" i="1" s="1"/>
  <c r="BA481" i="1" a="1"/>
  <c r="BA481" i="1" s="1"/>
  <c r="BB481" i="1" a="1"/>
  <c r="BB481" i="1" s="1"/>
  <c r="AL482" i="1" a="1"/>
  <c r="AL482" i="1" s="1"/>
  <c r="AM482" i="1" a="1"/>
  <c r="AM482" i="1" s="1"/>
  <c r="AN482" i="1" a="1"/>
  <c r="AN482" i="1" s="1"/>
  <c r="AO482" i="1" a="1"/>
  <c r="AO482" i="1" s="1"/>
  <c r="AP482" i="1" a="1"/>
  <c r="AP482" i="1" s="1"/>
  <c r="AQ482" i="1" a="1"/>
  <c r="AQ482" i="1" s="1"/>
  <c r="AR482" i="1" a="1"/>
  <c r="AR482" i="1" s="1"/>
  <c r="AS482" i="1" a="1"/>
  <c r="AS482" i="1" s="1"/>
  <c r="AT482" i="1" a="1"/>
  <c r="AT482" i="1" s="1"/>
  <c r="AU482" i="1" a="1"/>
  <c r="AU482" i="1" s="1"/>
  <c r="AV482" i="1" a="1"/>
  <c r="AV482" i="1" s="1"/>
  <c r="AW482" i="1" a="1"/>
  <c r="AW482" i="1" s="1"/>
  <c r="AX482" i="1" a="1"/>
  <c r="AX482" i="1" s="1"/>
  <c r="AY482" i="1" a="1"/>
  <c r="AY482" i="1" s="1"/>
  <c r="AZ482" i="1" a="1"/>
  <c r="AZ482" i="1" s="1"/>
  <c r="BA482" i="1" a="1"/>
  <c r="BA482" i="1" s="1"/>
  <c r="BB482" i="1" a="1"/>
  <c r="BB482" i="1" s="1"/>
  <c r="AL483" i="1" a="1"/>
  <c r="AL483" i="1" s="1"/>
  <c r="AM483" i="1" a="1"/>
  <c r="AM483" i="1" s="1"/>
  <c r="AN483" i="1" a="1"/>
  <c r="AN483" i="1" s="1"/>
  <c r="AO483" i="1" a="1"/>
  <c r="AO483" i="1" s="1"/>
  <c r="AP483" i="1" a="1"/>
  <c r="AP483" i="1" s="1"/>
  <c r="AQ483" i="1" a="1"/>
  <c r="AQ483" i="1" s="1"/>
  <c r="AR483" i="1" a="1"/>
  <c r="AR483" i="1" s="1"/>
  <c r="AS483" i="1" a="1"/>
  <c r="AS483" i="1" s="1"/>
  <c r="AT483" i="1" a="1"/>
  <c r="AT483" i="1" s="1"/>
  <c r="AU483" i="1" a="1"/>
  <c r="AU483" i="1" s="1"/>
  <c r="AV483" i="1" a="1"/>
  <c r="AV483" i="1" s="1"/>
  <c r="AW483" i="1" a="1"/>
  <c r="AW483" i="1" s="1"/>
  <c r="AX483" i="1" a="1"/>
  <c r="AX483" i="1" s="1"/>
  <c r="AY483" i="1" a="1"/>
  <c r="AY483" i="1" s="1"/>
  <c r="AZ483" i="1" a="1"/>
  <c r="AZ483" i="1" s="1"/>
  <c r="BA483" i="1" a="1"/>
  <c r="BA483" i="1" s="1"/>
  <c r="BB483" i="1" a="1"/>
  <c r="BB483" i="1" s="1"/>
  <c r="AL484" i="1" a="1"/>
  <c r="AL484" i="1" s="1"/>
  <c r="AM484" i="1" a="1"/>
  <c r="AM484" i="1" s="1"/>
  <c r="AN484" i="1" a="1"/>
  <c r="AN484" i="1" s="1"/>
  <c r="AO484" i="1" a="1"/>
  <c r="AO484" i="1" s="1"/>
  <c r="AP484" i="1" a="1"/>
  <c r="AP484" i="1" s="1"/>
  <c r="AQ484" i="1" a="1"/>
  <c r="AQ484" i="1" s="1"/>
  <c r="AR484" i="1" a="1"/>
  <c r="AR484" i="1" s="1"/>
  <c r="AS484" i="1" a="1"/>
  <c r="AS484" i="1" s="1"/>
  <c r="AT484" i="1" a="1"/>
  <c r="AT484" i="1" s="1"/>
  <c r="AU484" i="1" a="1"/>
  <c r="AU484" i="1" s="1"/>
  <c r="AV484" i="1" a="1"/>
  <c r="AV484" i="1" s="1"/>
  <c r="AW484" i="1" a="1"/>
  <c r="AW484" i="1" s="1"/>
  <c r="AX484" i="1" a="1"/>
  <c r="AX484" i="1" s="1"/>
  <c r="AY484" i="1" a="1"/>
  <c r="AY484" i="1" s="1"/>
  <c r="AZ484" i="1" a="1"/>
  <c r="AZ484" i="1" s="1"/>
  <c r="BA484" i="1" a="1"/>
  <c r="BA484" i="1" s="1"/>
  <c r="BB484" i="1" a="1"/>
  <c r="BB484" i="1" s="1"/>
  <c r="AL314" i="1" a="1"/>
  <c r="AL314" i="1" s="1"/>
  <c r="AM314" i="1" a="1"/>
  <c r="AM314" i="1" s="1"/>
  <c r="AN314" i="1" a="1"/>
  <c r="AN314" i="1" s="1"/>
  <c r="AO314" i="1" a="1"/>
  <c r="AO314" i="1" s="1"/>
  <c r="AP314" i="1" a="1"/>
  <c r="AP314" i="1" s="1"/>
  <c r="AQ314" i="1" a="1"/>
  <c r="AQ314" i="1" s="1"/>
  <c r="AR314" i="1" a="1"/>
  <c r="AR314" i="1" s="1"/>
  <c r="AS314" i="1" a="1"/>
  <c r="AS314" i="1" s="1"/>
  <c r="AT314" i="1" a="1"/>
  <c r="AT314" i="1" s="1"/>
  <c r="AU314" i="1" a="1"/>
  <c r="AU314" i="1" s="1"/>
  <c r="AV314" i="1" a="1"/>
  <c r="AV314" i="1" s="1"/>
  <c r="AW314" i="1" a="1"/>
  <c r="AW314" i="1" s="1"/>
  <c r="AX314" i="1" a="1"/>
  <c r="AX314" i="1" s="1"/>
  <c r="AY314" i="1" a="1"/>
  <c r="AY314" i="1" s="1"/>
  <c r="AZ314" i="1" a="1"/>
  <c r="AZ314" i="1" s="1"/>
  <c r="BA314" i="1" a="1"/>
  <c r="BA314" i="1" s="1"/>
  <c r="BB314" i="1" a="1"/>
  <c r="BB314" i="1" s="1"/>
  <c r="AL485" i="1" a="1"/>
  <c r="AL485" i="1" s="1"/>
  <c r="AM485" i="1" a="1"/>
  <c r="AM485" i="1" s="1"/>
  <c r="AN485" i="1" a="1"/>
  <c r="AN485" i="1" s="1"/>
  <c r="AO485" i="1" a="1"/>
  <c r="AO485" i="1" s="1"/>
  <c r="AP485" i="1" a="1"/>
  <c r="AP485" i="1" s="1"/>
  <c r="AQ485" i="1" a="1"/>
  <c r="AQ485" i="1" s="1"/>
  <c r="AR485" i="1" a="1"/>
  <c r="AR485" i="1" s="1"/>
  <c r="AS485" i="1" a="1"/>
  <c r="AS485" i="1" s="1"/>
  <c r="AT485" i="1" a="1"/>
  <c r="AT485" i="1" s="1"/>
  <c r="AU485" i="1" a="1"/>
  <c r="AU485" i="1" s="1"/>
  <c r="AV485" i="1" a="1"/>
  <c r="AV485" i="1" s="1"/>
  <c r="AW485" i="1" a="1"/>
  <c r="AW485" i="1" s="1"/>
  <c r="AX485" i="1" a="1"/>
  <c r="AX485" i="1" s="1"/>
  <c r="AY485" i="1" a="1"/>
  <c r="AY485" i="1" s="1"/>
  <c r="AZ485" i="1" a="1"/>
  <c r="AZ485" i="1" s="1"/>
  <c r="BA485" i="1" a="1"/>
  <c r="BA485" i="1" s="1"/>
  <c r="BB485" i="1" a="1"/>
  <c r="BB485" i="1" s="1"/>
  <c r="AL486" i="1" a="1"/>
  <c r="AL486" i="1" s="1"/>
  <c r="AM486" i="1" a="1"/>
  <c r="AM486" i="1" s="1"/>
  <c r="AN486" i="1" a="1"/>
  <c r="AN486" i="1" s="1"/>
  <c r="AO486" i="1" a="1"/>
  <c r="AO486" i="1" s="1"/>
  <c r="AP486" i="1" a="1"/>
  <c r="AP486" i="1" s="1"/>
  <c r="AQ486" i="1" a="1"/>
  <c r="AQ486" i="1" s="1"/>
  <c r="AR486" i="1" a="1"/>
  <c r="AR486" i="1" s="1"/>
  <c r="AS486" i="1" a="1"/>
  <c r="AS486" i="1" s="1"/>
  <c r="AT486" i="1" a="1"/>
  <c r="AT486" i="1" s="1"/>
  <c r="AU486" i="1" a="1"/>
  <c r="AU486" i="1" s="1"/>
  <c r="AV486" i="1" a="1"/>
  <c r="AV486" i="1" s="1"/>
  <c r="AW486" i="1" a="1"/>
  <c r="AW486" i="1" s="1"/>
  <c r="AX486" i="1" a="1"/>
  <c r="AX486" i="1" s="1"/>
  <c r="AY486" i="1" a="1"/>
  <c r="AY486" i="1" s="1"/>
  <c r="AZ486" i="1" a="1"/>
  <c r="AZ486" i="1" s="1"/>
  <c r="BA486" i="1" a="1"/>
  <c r="BA486" i="1" s="1"/>
  <c r="BB486" i="1" a="1"/>
  <c r="BB486" i="1" s="1"/>
  <c r="AL487" i="1" a="1"/>
  <c r="AL487" i="1" s="1"/>
  <c r="AM487" i="1" a="1"/>
  <c r="AM487" i="1" s="1"/>
  <c r="AN487" i="1" a="1"/>
  <c r="AN487" i="1" s="1"/>
  <c r="AO487" i="1" a="1"/>
  <c r="AO487" i="1" s="1"/>
  <c r="AP487" i="1" a="1"/>
  <c r="AP487" i="1" s="1"/>
  <c r="AQ487" i="1" a="1"/>
  <c r="AQ487" i="1" s="1"/>
  <c r="AR487" i="1" a="1"/>
  <c r="AR487" i="1" s="1"/>
  <c r="AS487" i="1" a="1"/>
  <c r="AS487" i="1" s="1"/>
  <c r="AT487" i="1" a="1"/>
  <c r="AT487" i="1" s="1"/>
  <c r="AU487" i="1" a="1"/>
  <c r="AU487" i="1" s="1"/>
  <c r="AV487" i="1" a="1"/>
  <c r="AV487" i="1" s="1"/>
  <c r="AW487" i="1" a="1"/>
  <c r="AW487" i="1" s="1"/>
  <c r="AX487" i="1" a="1"/>
  <c r="AX487" i="1" s="1"/>
  <c r="AY487" i="1" a="1"/>
  <c r="AY487" i="1" s="1"/>
  <c r="AZ487" i="1" a="1"/>
  <c r="AZ487" i="1" s="1"/>
  <c r="BA487" i="1" a="1"/>
  <c r="BA487" i="1" s="1"/>
  <c r="BB487" i="1" a="1"/>
  <c r="BB487" i="1" s="1"/>
  <c r="AL488" i="1" a="1"/>
  <c r="AL488" i="1" s="1"/>
  <c r="AM488" i="1" a="1"/>
  <c r="AM488" i="1" s="1"/>
  <c r="AN488" i="1" a="1"/>
  <c r="AN488" i="1" s="1"/>
  <c r="AO488" i="1" a="1"/>
  <c r="AO488" i="1" s="1"/>
  <c r="AP488" i="1" a="1"/>
  <c r="AP488" i="1" s="1"/>
  <c r="AQ488" i="1" a="1"/>
  <c r="AQ488" i="1" s="1"/>
  <c r="AR488" i="1" a="1"/>
  <c r="AR488" i="1" s="1"/>
  <c r="AS488" i="1" a="1"/>
  <c r="AS488" i="1" s="1"/>
  <c r="AT488" i="1" a="1"/>
  <c r="AT488" i="1" s="1"/>
  <c r="AU488" i="1" a="1"/>
  <c r="AU488" i="1" s="1"/>
  <c r="AV488" i="1" a="1"/>
  <c r="AV488" i="1" s="1"/>
  <c r="AW488" i="1" a="1"/>
  <c r="AW488" i="1" s="1"/>
  <c r="AX488" i="1" a="1"/>
  <c r="AX488" i="1" s="1"/>
  <c r="AY488" i="1" a="1"/>
  <c r="AY488" i="1" s="1"/>
  <c r="AZ488" i="1" a="1"/>
  <c r="AZ488" i="1" s="1"/>
  <c r="BA488" i="1" a="1"/>
  <c r="BA488" i="1" s="1"/>
  <c r="BB488" i="1" a="1"/>
  <c r="BB488" i="1" s="1"/>
  <c r="AL489" i="1" a="1"/>
  <c r="AL489" i="1" s="1"/>
  <c r="AM489" i="1" a="1"/>
  <c r="AM489" i="1" s="1"/>
  <c r="AN489" i="1" a="1"/>
  <c r="AN489" i="1" s="1"/>
  <c r="AO489" i="1" a="1"/>
  <c r="AO489" i="1" s="1"/>
  <c r="AP489" i="1" a="1"/>
  <c r="AP489" i="1" s="1"/>
  <c r="AQ489" i="1" a="1"/>
  <c r="AQ489" i="1" s="1"/>
  <c r="AR489" i="1" a="1"/>
  <c r="AR489" i="1" s="1"/>
  <c r="AS489" i="1" a="1"/>
  <c r="AS489" i="1" s="1"/>
  <c r="AT489" i="1" a="1"/>
  <c r="AT489" i="1" s="1"/>
  <c r="AU489" i="1" a="1"/>
  <c r="AU489" i="1" s="1"/>
  <c r="AV489" i="1" a="1"/>
  <c r="AV489" i="1" s="1"/>
  <c r="AW489" i="1" a="1"/>
  <c r="AW489" i="1" s="1"/>
  <c r="AX489" i="1" a="1"/>
  <c r="AX489" i="1" s="1"/>
  <c r="AY489" i="1" a="1"/>
  <c r="AY489" i="1" s="1"/>
  <c r="AZ489" i="1" a="1"/>
  <c r="AZ489" i="1" s="1"/>
  <c r="BA489" i="1" a="1"/>
  <c r="BA489" i="1" s="1"/>
  <c r="BB489" i="1" a="1"/>
  <c r="BB489" i="1" s="1"/>
  <c r="AL490" i="1" a="1"/>
  <c r="AL490" i="1" s="1"/>
  <c r="AM490" i="1" a="1"/>
  <c r="AM490" i="1" s="1"/>
  <c r="AN490" i="1" a="1"/>
  <c r="AN490" i="1" s="1"/>
  <c r="AO490" i="1" a="1"/>
  <c r="AO490" i="1" s="1"/>
  <c r="AP490" i="1" a="1"/>
  <c r="AP490" i="1" s="1"/>
  <c r="AQ490" i="1" a="1"/>
  <c r="AQ490" i="1" s="1"/>
  <c r="AR490" i="1" a="1"/>
  <c r="AR490" i="1" s="1"/>
  <c r="AS490" i="1" a="1"/>
  <c r="AS490" i="1" s="1"/>
  <c r="AT490" i="1" a="1"/>
  <c r="AT490" i="1" s="1"/>
  <c r="AU490" i="1" a="1"/>
  <c r="AU490" i="1" s="1"/>
  <c r="AV490" i="1" a="1"/>
  <c r="AV490" i="1" s="1"/>
  <c r="AW490" i="1" a="1"/>
  <c r="AW490" i="1" s="1"/>
  <c r="AX490" i="1" a="1"/>
  <c r="AX490" i="1" s="1"/>
  <c r="AY490" i="1" a="1"/>
  <c r="AY490" i="1" s="1"/>
  <c r="AZ490" i="1" a="1"/>
  <c r="AZ490" i="1" s="1"/>
  <c r="BA490" i="1" a="1"/>
  <c r="BA490" i="1" s="1"/>
  <c r="BB490" i="1" a="1"/>
  <c r="BB490" i="1" s="1"/>
  <c r="AL491" i="1" a="1"/>
  <c r="AL491" i="1" s="1"/>
  <c r="AM491" i="1" a="1"/>
  <c r="AM491" i="1" s="1"/>
  <c r="AN491" i="1" a="1"/>
  <c r="AN491" i="1" s="1"/>
  <c r="AO491" i="1" a="1"/>
  <c r="AO491" i="1" s="1"/>
  <c r="AP491" i="1" a="1"/>
  <c r="AP491" i="1" s="1"/>
  <c r="AQ491" i="1" a="1"/>
  <c r="AQ491" i="1" s="1"/>
  <c r="AR491" i="1" a="1"/>
  <c r="AR491" i="1" s="1"/>
  <c r="AS491" i="1" a="1"/>
  <c r="AS491" i="1" s="1"/>
  <c r="AT491" i="1" a="1"/>
  <c r="AT491" i="1" s="1"/>
  <c r="AU491" i="1" a="1"/>
  <c r="AU491" i="1" s="1"/>
  <c r="AV491" i="1" a="1"/>
  <c r="AV491" i="1" s="1"/>
  <c r="AW491" i="1" a="1"/>
  <c r="AW491" i="1" s="1"/>
  <c r="AX491" i="1" a="1"/>
  <c r="AX491" i="1" s="1"/>
  <c r="AY491" i="1" a="1"/>
  <c r="AY491" i="1" s="1"/>
  <c r="AZ491" i="1" a="1"/>
  <c r="AZ491" i="1" s="1"/>
  <c r="BA491" i="1" a="1"/>
  <c r="BA491" i="1" s="1"/>
  <c r="BB491" i="1" a="1"/>
  <c r="BB491" i="1" s="1"/>
  <c r="AL493" i="1" a="1"/>
  <c r="AL493" i="1" s="1"/>
  <c r="AM493" i="1" a="1"/>
  <c r="AM493" i="1" s="1"/>
  <c r="AN493" i="1" a="1"/>
  <c r="AN493" i="1" s="1"/>
  <c r="AO493" i="1" a="1"/>
  <c r="AO493" i="1" s="1"/>
  <c r="AP493" i="1" a="1"/>
  <c r="AP493" i="1" s="1"/>
  <c r="AQ493" i="1" a="1"/>
  <c r="AQ493" i="1" s="1"/>
  <c r="AR493" i="1" a="1"/>
  <c r="AR493" i="1" s="1"/>
  <c r="AS493" i="1" a="1"/>
  <c r="AS493" i="1" s="1"/>
  <c r="AT493" i="1" a="1"/>
  <c r="AT493" i="1" s="1"/>
  <c r="AU493" i="1" a="1"/>
  <c r="AU493" i="1" s="1"/>
  <c r="AV493" i="1" a="1"/>
  <c r="AV493" i="1" s="1"/>
  <c r="AW493" i="1" a="1"/>
  <c r="AW493" i="1" s="1"/>
  <c r="AX493" i="1" a="1"/>
  <c r="AX493" i="1" s="1"/>
  <c r="AY493" i="1" a="1"/>
  <c r="AY493" i="1" s="1"/>
  <c r="AZ493" i="1" a="1"/>
  <c r="AZ493" i="1" s="1"/>
  <c r="BA493" i="1" a="1"/>
  <c r="BA493" i="1" s="1"/>
  <c r="BB493" i="1" a="1"/>
  <c r="BB493" i="1" s="1"/>
  <c r="AL494" i="1" a="1"/>
  <c r="AL494" i="1" s="1"/>
  <c r="AM494" i="1" a="1"/>
  <c r="AM494" i="1" s="1"/>
  <c r="AN494" i="1" a="1"/>
  <c r="AN494" i="1" s="1"/>
  <c r="AO494" i="1" a="1"/>
  <c r="AO494" i="1" s="1"/>
  <c r="AP494" i="1" a="1"/>
  <c r="AP494" i="1" s="1"/>
  <c r="AQ494" i="1" a="1"/>
  <c r="AQ494" i="1" s="1"/>
  <c r="AR494" i="1" a="1"/>
  <c r="AR494" i="1" s="1"/>
  <c r="AS494" i="1" a="1"/>
  <c r="AS494" i="1" s="1"/>
  <c r="AT494" i="1" a="1"/>
  <c r="AT494" i="1" s="1"/>
  <c r="AU494" i="1" a="1"/>
  <c r="AU494" i="1" s="1"/>
  <c r="AV494" i="1" a="1"/>
  <c r="AV494" i="1" s="1"/>
  <c r="AW494" i="1" a="1"/>
  <c r="AW494" i="1" s="1"/>
  <c r="AX494" i="1" a="1"/>
  <c r="AX494" i="1" s="1"/>
  <c r="AY494" i="1" a="1"/>
  <c r="AY494" i="1" s="1"/>
  <c r="AZ494" i="1" a="1"/>
  <c r="AZ494" i="1" s="1"/>
  <c r="BA494" i="1" a="1"/>
  <c r="BA494" i="1" s="1"/>
  <c r="BB494" i="1" a="1"/>
  <c r="BB494" i="1" s="1"/>
  <c r="AL495" i="1" a="1"/>
  <c r="AL495" i="1" s="1"/>
  <c r="AM495" i="1" a="1"/>
  <c r="AM495" i="1" s="1"/>
  <c r="AN495" i="1" a="1"/>
  <c r="AN495" i="1" s="1"/>
  <c r="AO495" i="1" a="1"/>
  <c r="AO495" i="1" s="1"/>
  <c r="AP495" i="1" a="1"/>
  <c r="AP495" i="1" s="1"/>
  <c r="AQ495" i="1" a="1"/>
  <c r="AQ495" i="1" s="1"/>
  <c r="AR495" i="1" a="1"/>
  <c r="AR495" i="1" s="1"/>
  <c r="AS495" i="1" a="1"/>
  <c r="AS495" i="1" s="1"/>
  <c r="AT495" i="1" a="1"/>
  <c r="AT495" i="1" s="1"/>
  <c r="AU495" i="1" a="1"/>
  <c r="AU495" i="1" s="1"/>
  <c r="AV495" i="1" a="1"/>
  <c r="AV495" i="1" s="1"/>
  <c r="AW495" i="1" a="1"/>
  <c r="AW495" i="1" s="1"/>
  <c r="AX495" i="1" a="1"/>
  <c r="AX495" i="1" s="1"/>
  <c r="AY495" i="1" a="1"/>
  <c r="AY495" i="1" s="1"/>
  <c r="AZ495" i="1" a="1"/>
  <c r="AZ495" i="1" s="1"/>
  <c r="BA495" i="1" a="1"/>
  <c r="BA495" i="1" s="1"/>
  <c r="BB495" i="1" a="1"/>
  <c r="BB495" i="1" s="1"/>
  <c r="AL496" i="1" a="1"/>
  <c r="AL496" i="1" s="1"/>
  <c r="AM496" i="1" a="1"/>
  <c r="AM496" i="1" s="1"/>
  <c r="AN496" i="1" a="1"/>
  <c r="AN496" i="1" s="1"/>
  <c r="AO496" i="1" a="1"/>
  <c r="AO496" i="1" s="1"/>
  <c r="AP496" i="1" a="1"/>
  <c r="AP496" i="1" s="1"/>
  <c r="AQ496" i="1" a="1"/>
  <c r="AQ496" i="1" s="1"/>
  <c r="AR496" i="1" a="1"/>
  <c r="AR496" i="1" s="1"/>
  <c r="AS496" i="1" a="1"/>
  <c r="AS496" i="1" s="1"/>
  <c r="AT496" i="1" a="1"/>
  <c r="AT496" i="1" s="1"/>
  <c r="AU496" i="1" a="1"/>
  <c r="AU496" i="1" s="1"/>
  <c r="AV496" i="1" a="1"/>
  <c r="AV496" i="1" s="1"/>
  <c r="AW496" i="1" a="1"/>
  <c r="AW496" i="1" s="1"/>
  <c r="AX496" i="1" a="1"/>
  <c r="AX496" i="1" s="1"/>
  <c r="AY496" i="1" a="1"/>
  <c r="AY496" i="1" s="1"/>
  <c r="AZ496" i="1" a="1"/>
  <c r="AZ496" i="1" s="1"/>
  <c r="BA496" i="1" a="1"/>
  <c r="BA496" i="1" s="1"/>
  <c r="BB496" i="1" a="1"/>
  <c r="BB496" i="1" s="1"/>
  <c r="AL325" i="1" a="1"/>
  <c r="AL325" i="1" s="1"/>
  <c r="AM325" i="1" a="1"/>
  <c r="AM325" i="1" s="1"/>
  <c r="AN325" i="1" a="1"/>
  <c r="AN325" i="1" s="1"/>
  <c r="AO325" i="1" a="1"/>
  <c r="AO325" i="1" s="1"/>
  <c r="AP325" i="1" a="1"/>
  <c r="AP325" i="1" s="1"/>
  <c r="AQ325" i="1" a="1"/>
  <c r="AQ325" i="1" s="1"/>
  <c r="AR325" i="1" a="1"/>
  <c r="AR325" i="1" s="1"/>
  <c r="AS325" i="1" a="1"/>
  <c r="AS325" i="1" s="1"/>
  <c r="AT325" i="1" a="1"/>
  <c r="AT325" i="1" s="1"/>
  <c r="AU325" i="1" a="1"/>
  <c r="AU325" i="1" s="1"/>
  <c r="AV325" i="1" a="1"/>
  <c r="AV325" i="1" s="1"/>
  <c r="AW325" i="1" a="1"/>
  <c r="AW325" i="1" s="1"/>
  <c r="AX325" i="1" a="1"/>
  <c r="AX325" i="1" s="1"/>
  <c r="AY325" i="1" a="1"/>
  <c r="AY325" i="1" s="1"/>
  <c r="AZ325" i="1" a="1"/>
  <c r="AZ325" i="1" s="1"/>
  <c r="BA325" i="1" a="1"/>
  <c r="BA325" i="1" s="1"/>
  <c r="BB325" i="1" a="1"/>
  <c r="BB325" i="1" s="1"/>
  <c r="AL326" i="1" a="1"/>
  <c r="AL326" i="1" s="1"/>
  <c r="AM326" i="1" a="1"/>
  <c r="AM326" i="1" s="1"/>
  <c r="AN326" i="1" a="1"/>
  <c r="AN326" i="1" s="1"/>
  <c r="AO326" i="1" a="1"/>
  <c r="AO326" i="1" s="1"/>
  <c r="AP326" i="1" a="1"/>
  <c r="AP326" i="1" s="1"/>
  <c r="AQ326" i="1" a="1"/>
  <c r="AQ326" i="1" s="1"/>
  <c r="AR326" i="1" a="1"/>
  <c r="AR326" i="1" s="1"/>
  <c r="AS326" i="1" a="1"/>
  <c r="AS326" i="1" s="1"/>
  <c r="AT326" i="1" a="1"/>
  <c r="AT326" i="1" s="1"/>
  <c r="AU326" i="1" a="1"/>
  <c r="AU326" i="1" s="1"/>
  <c r="AV326" i="1" a="1"/>
  <c r="AV326" i="1" s="1"/>
  <c r="AW326" i="1" a="1"/>
  <c r="AW326" i="1" s="1"/>
  <c r="AX326" i="1" a="1"/>
  <c r="AX326" i="1" s="1"/>
  <c r="AY326" i="1" a="1"/>
  <c r="AY326" i="1" s="1"/>
  <c r="AZ326" i="1" a="1"/>
  <c r="AZ326" i="1" s="1"/>
  <c r="BA326" i="1" a="1"/>
  <c r="BA326" i="1" s="1"/>
  <c r="BB326" i="1" a="1"/>
  <c r="BB326" i="1" s="1"/>
  <c r="AL497" i="1" a="1"/>
  <c r="AL497" i="1" s="1"/>
  <c r="AM497" i="1" a="1"/>
  <c r="AM497" i="1" s="1"/>
  <c r="AN497" i="1" a="1"/>
  <c r="AN497" i="1" s="1"/>
  <c r="AO497" i="1" a="1"/>
  <c r="AO497" i="1" s="1"/>
  <c r="AP497" i="1" a="1"/>
  <c r="AP497" i="1" s="1"/>
  <c r="AQ497" i="1" a="1"/>
  <c r="AQ497" i="1" s="1"/>
  <c r="AR497" i="1" a="1"/>
  <c r="AR497" i="1" s="1"/>
  <c r="AS497" i="1" a="1"/>
  <c r="AS497" i="1" s="1"/>
  <c r="AT497" i="1" a="1"/>
  <c r="AT497" i="1" s="1"/>
  <c r="AU497" i="1" a="1"/>
  <c r="AU497" i="1" s="1"/>
  <c r="AV497" i="1" a="1"/>
  <c r="AV497" i="1" s="1"/>
  <c r="AW497" i="1" a="1"/>
  <c r="AW497" i="1" s="1"/>
  <c r="AX497" i="1" a="1"/>
  <c r="AX497" i="1" s="1"/>
  <c r="AY497" i="1" a="1"/>
  <c r="AY497" i="1" s="1"/>
  <c r="AZ497" i="1" a="1"/>
  <c r="AZ497" i="1" s="1"/>
  <c r="BA497" i="1" a="1"/>
  <c r="BA497" i="1" s="1"/>
  <c r="BB497" i="1" a="1"/>
  <c r="BB497" i="1" s="1"/>
  <c r="AL498" i="1" a="1"/>
  <c r="AL498" i="1" s="1"/>
  <c r="AM498" i="1" a="1"/>
  <c r="AM498" i="1" s="1"/>
  <c r="AN498" i="1" a="1"/>
  <c r="AN498" i="1" s="1"/>
  <c r="AO498" i="1" a="1"/>
  <c r="AO498" i="1" s="1"/>
  <c r="AP498" i="1" a="1"/>
  <c r="AP498" i="1" s="1"/>
  <c r="AQ498" i="1" a="1"/>
  <c r="AQ498" i="1" s="1"/>
  <c r="AR498" i="1" a="1"/>
  <c r="AR498" i="1" s="1"/>
  <c r="AS498" i="1" a="1"/>
  <c r="AS498" i="1" s="1"/>
  <c r="AT498" i="1" a="1"/>
  <c r="AT498" i="1" s="1"/>
  <c r="AU498" i="1" a="1"/>
  <c r="AU498" i="1" s="1"/>
  <c r="AV498" i="1" a="1"/>
  <c r="AV498" i="1" s="1"/>
  <c r="AW498" i="1" a="1"/>
  <c r="AW498" i="1" s="1"/>
  <c r="AX498" i="1" a="1"/>
  <c r="AX498" i="1" s="1"/>
  <c r="AY498" i="1" a="1"/>
  <c r="AY498" i="1" s="1"/>
  <c r="AZ498" i="1" a="1"/>
  <c r="AZ498" i="1" s="1"/>
  <c r="BA498" i="1" a="1"/>
  <c r="BA498" i="1" s="1"/>
  <c r="BB498" i="1" a="1"/>
  <c r="BB498" i="1" s="1"/>
  <c r="AL499" i="1" a="1"/>
  <c r="AL499" i="1" s="1"/>
  <c r="AM499" i="1" a="1"/>
  <c r="AM499" i="1" s="1"/>
  <c r="AN499" i="1" a="1"/>
  <c r="AN499" i="1" s="1"/>
  <c r="AO499" i="1" a="1"/>
  <c r="AO499" i="1" s="1"/>
  <c r="AP499" i="1" a="1"/>
  <c r="AP499" i="1" s="1"/>
  <c r="AQ499" i="1" a="1"/>
  <c r="AQ499" i="1" s="1"/>
  <c r="AR499" i="1" a="1"/>
  <c r="AR499" i="1" s="1"/>
  <c r="AS499" i="1" a="1"/>
  <c r="AS499" i="1" s="1"/>
  <c r="AT499" i="1" a="1"/>
  <c r="AT499" i="1" s="1"/>
  <c r="AU499" i="1" a="1"/>
  <c r="AU499" i="1" s="1"/>
  <c r="AV499" i="1" a="1"/>
  <c r="AV499" i="1" s="1"/>
  <c r="AW499" i="1" a="1"/>
  <c r="AW499" i="1" s="1"/>
  <c r="AX499" i="1" a="1"/>
  <c r="AX499" i="1" s="1"/>
  <c r="AY499" i="1" a="1"/>
  <c r="AY499" i="1" s="1"/>
  <c r="AZ499" i="1" a="1"/>
  <c r="AZ499" i="1" s="1"/>
  <c r="BA499" i="1" a="1"/>
  <c r="BA499" i="1" s="1"/>
  <c r="BB499" i="1" a="1"/>
  <c r="BB499" i="1" s="1"/>
  <c r="AL500" i="1" a="1"/>
  <c r="AL500" i="1" s="1"/>
  <c r="AM500" i="1" a="1"/>
  <c r="AM500" i="1" s="1"/>
  <c r="AN500" i="1" a="1"/>
  <c r="AN500" i="1" s="1"/>
  <c r="AO500" i="1" a="1"/>
  <c r="AO500" i="1" s="1"/>
  <c r="AP500" i="1" a="1"/>
  <c r="AP500" i="1" s="1"/>
  <c r="AQ500" i="1" a="1"/>
  <c r="AQ500" i="1" s="1"/>
  <c r="AR500" i="1" a="1"/>
  <c r="AR500" i="1" s="1"/>
  <c r="AS500" i="1" a="1"/>
  <c r="AS500" i="1" s="1"/>
  <c r="AT500" i="1" a="1"/>
  <c r="AT500" i="1" s="1"/>
  <c r="AU500" i="1" a="1"/>
  <c r="AU500" i="1" s="1"/>
  <c r="AV500" i="1" a="1"/>
  <c r="AV500" i="1" s="1"/>
  <c r="AW500" i="1" a="1"/>
  <c r="AW500" i="1" s="1"/>
  <c r="AX500" i="1" a="1"/>
  <c r="AX500" i="1" s="1"/>
  <c r="AY500" i="1" a="1"/>
  <c r="AY500" i="1" s="1"/>
  <c r="AZ500" i="1" a="1"/>
  <c r="AZ500" i="1" s="1"/>
  <c r="BA500" i="1" a="1"/>
  <c r="BA500" i="1" s="1"/>
  <c r="BB500" i="1" a="1"/>
  <c r="BB500" i="1" s="1"/>
  <c r="AL501" i="1" a="1"/>
  <c r="AL501" i="1" s="1"/>
  <c r="AM501" i="1" a="1"/>
  <c r="AM501" i="1" s="1"/>
  <c r="AN501" i="1" a="1"/>
  <c r="AN501" i="1" s="1"/>
  <c r="AO501" i="1" a="1"/>
  <c r="AO501" i="1" s="1"/>
  <c r="AP501" i="1" a="1"/>
  <c r="AP501" i="1" s="1"/>
  <c r="AQ501" i="1" a="1"/>
  <c r="AQ501" i="1" s="1"/>
  <c r="AR501" i="1" a="1"/>
  <c r="AR501" i="1" s="1"/>
  <c r="AS501" i="1" a="1"/>
  <c r="AS501" i="1" s="1"/>
  <c r="AT501" i="1" a="1"/>
  <c r="AT501" i="1" s="1"/>
  <c r="AU501" i="1" a="1"/>
  <c r="AU501" i="1" s="1"/>
  <c r="AV501" i="1" a="1"/>
  <c r="AV501" i="1" s="1"/>
  <c r="AW501" i="1" a="1"/>
  <c r="AW501" i="1" s="1"/>
  <c r="AX501" i="1" a="1"/>
  <c r="AX501" i="1" s="1"/>
  <c r="AY501" i="1" a="1"/>
  <c r="AY501" i="1" s="1"/>
  <c r="AZ501" i="1" a="1"/>
  <c r="AZ501" i="1" s="1"/>
  <c r="BA501" i="1" a="1"/>
  <c r="BA501" i="1" s="1"/>
  <c r="BB501" i="1" a="1"/>
  <c r="BB501" i="1" s="1"/>
  <c r="AL502" i="1" a="1"/>
  <c r="AL502" i="1" s="1"/>
  <c r="AM502" i="1" a="1"/>
  <c r="AM502" i="1" s="1"/>
  <c r="AN502" i="1" a="1"/>
  <c r="AN502" i="1" s="1"/>
  <c r="AO502" i="1" a="1"/>
  <c r="AO502" i="1" s="1"/>
  <c r="AP502" i="1" a="1"/>
  <c r="AP502" i="1" s="1"/>
  <c r="AQ502" i="1" a="1"/>
  <c r="AQ502" i="1" s="1"/>
  <c r="AR502" i="1" a="1"/>
  <c r="AR502" i="1" s="1"/>
  <c r="AS502" i="1" a="1"/>
  <c r="AS502" i="1" s="1"/>
  <c r="AT502" i="1" a="1"/>
  <c r="AT502" i="1" s="1"/>
  <c r="AU502" i="1" a="1"/>
  <c r="AU502" i="1" s="1"/>
  <c r="AV502" i="1" a="1"/>
  <c r="AV502" i="1" s="1"/>
  <c r="AW502" i="1" a="1"/>
  <c r="AW502" i="1" s="1"/>
  <c r="AX502" i="1" a="1"/>
  <c r="AX502" i="1" s="1"/>
  <c r="AY502" i="1" a="1"/>
  <c r="AY502" i="1" s="1"/>
  <c r="AZ502" i="1" a="1"/>
  <c r="AZ502" i="1" s="1"/>
  <c r="BA502" i="1" a="1"/>
  <c r="BA502" i="1" s="1"/>
  <c r="BB502" i="1" a="1"/>
  <c r="BB502" i="1" s="1"/>
  <c r="AL503" i="1" a="1"/>
  <c r="AL503" i="1" s="1"/>
  <c r="AM503" i="1" a="1"/>
  <c r="AM503" i="1" s="1"/>
  <c r="AN503" i="1" a="1"/>
  <c r="AN503" i="1" s="1"/>
  <c r="AO503" i="1" a="1"/>
  <c r="AO503" i="1" s="1"/>
  <c r="AP503" i="1" a="1"/>
  <c r="AP503" i="1" s="1"/>
  <c r="AQ503" i="1" a="1"/>
  <c r="AQ503" i="1" s="1"/>
  <c r="AR503" i="1" a="1"/>
  <c r="AR503" i="1" s="1"/>
  <c r="AS503" i="1" a="1"/>
  <c r="AS503" i="1" s="1"/>
  <c r="AT503" i="1" a="1"/>
  <c r="AT503" i="1" s="1"/>
  <c r="AU503" i="1" a="1"/>
  <c r="AU503" i="1" s="1"/>
  <c r="AV503" i="1" a="1"/>
  <c r="AV503" i="1" s="1"/>
  <c r="AW503" i="1" a="1"/>
  <c r="AW503" i="1" s="1"/>
  <c r="AX503" i="1" a="1"/>
  <c r="AX503" i="1" s="1"/>
  <c r="AY503" i="1" a="1"/>
  <c r="AY503" i="1" s="1"/>
  <c r="AZ503" i="1" a="1"/>
  <c r="AZ503" i="1" s="1"/>
  <c r="BA503" i="1" a="1"/>
  <c r="BA503" i="1" s="1"/>
  <c r="BB503" i="1" a="1"/>
  <c r="BB503" i="1" s="1"/>
  <c r="AL504" i="1" a="1"/>
  <c r="AL504" i="1" s="1"/>
  <c r="AM504" i="1" a="1"/>
  <c r="AM504" i="1" s="1"/>
  <c r="AN504" i="1" a="1"/>
  <c r="AN504" i="1" s="1"/>
  <c r="AO504" i="1" a="1"/>
  <c r="AO504" i="1" s="1"/>
  <c r="AP504" i="1" a="1"/>
  <c r="AP504" i="1" s="1"/>
  <c r="AQ504" i="1" a="1"/>
  <c r="AQ504" i="1" s="1"/>
  <c r="AR504" i="1" a="1"/>
  <c r="AR504" i="1" s="1"/>
  <c r="AS504" i="1" a="1"/>
  <c r="AS504" i="1" s="1"/>
  <c r="AT504" i="1" a="1"/>
  <c r="AT504" i="1" s="1"/>
  <c r="AU504" i="1" a="1"/>
  <c r="AU504" i="1" s="1"/>
  <c r="AV504" i="1" a="1"/>
  <c r="AV504" i="1" s="1"/>
  <c r="AW504" i="1" a="1"/>
  <c r="AW504" i="1" s="1"/>
  <c r="AX504" i="1" a="1"/>
  <c r="AX504" i="1" s="1"/>
  <c r="AY504" i="1" a="1"/>
  <c r="AY504" i="1" s="1"/>
  <c r="AZ504" i="1" a="1"/>
  <c r="AZ504" i="1" s="1"/>
  <c r="BA504" i="1" a="1"/>
  <c r="BA504" i="1" s="1"/>
  <c r="BB504" i="1" a="1"/>
  <c r="BB504" i="1" s="1"/>
  <c r="AL505" i="1" a="1"/>
  <c r="AL505" i="1" s="1"/>
  <c r="AM505" i="1" a="1"/>
  <c r="AM505" i="1" s="1"/>
  <c r="AN505" i="1" a="1"/>
  <c r="AN505" i="1" s="1"/>
  <c r="AO505" i="1" a="1"/>
  <c r="AO505" i="1" s="1"/>
  <c r="AP505" i="1" a="1"/>
  <c r="AP505" i="1" s="1"/>
  <c r="AQ505" i="1" a="1"/>
  <c r="AQ505" i="1" s="1"/>
  <c r="AR505" i="1" a="1"/>
  <c r="AR505" i="1" s="1"/>
  <c r="AS505" i="1" a="1"/>
  <c r="AS505" i="1" s="1"/>
  <c r="AT505" i="1" a="1"/>
  <c r="AT505" i="1" s="1"/>
  <c r="AU505" i="1" a="1"/>
  <c r="AU505" i="1" s="1"/>
  <c r="AV505" i="1" a="1"/>
  <c r="AV505" i="1" s="1"/>
  <c r="AW505" i="1" a="1"/>
  <c r="AW505" i="1" s="1"/>
  <c r="AX505" i="1" a="1"/>
  <c r="AX505" i="1" s="1"/>
  <c r="AY505" i="1" a="1"/>
  <c r="AY505" i="1" s="1"/>
  <c r="AZ505" i="1" a="1"/>
  <c r="AZ505" i="1" s="1"/>
  <c r="BA505" i="1" a="1"/>
  <c r="BA505" i="1" s="1"/>
  <c r="BB505" i="1" a="1"/>
  <c r="BB505" i="1" s="1"/>
  <c r="AL506" i="1" a="1"/>
  <c r="AL506" i="1" s="1"/>
  <c r="AM506" i="1" a="1"/>
  <c r="AM506" i="1" s="1"/>
  <c r="AN506" i="1" a="1"/>
  <c r="AN506" i="1" s="1"/>
  <c r="AO506" i="1" a="1"/>
  <c r="AO506" i="1" s="1"/>
  <c r="AP506" i="1" a="1"/>
  <c r="AP506" i="1" s="1"/>
  <c r="AQ506" i="1" a="1"/>
  <c r="AQ506" i="1" s="1"/>
  <c r="AR506" i="1" a="1"/>
  <c r="AR506" i="1" s="1"/>
  <c r="AS506" i="1" a="1"/>
  <c r="AS506" i="1" s="1"/>
  <c r="AT506" i="1" a="1"/>
  <c r="AT506" i="1" s="1"/>
  <c r="AU506" i="1" a="1"/>
  <c r="AU506" i="1" s="1"/>
  <c r="AV506" i="1" a="1"/>
  <c r="AV506" i="1" s="1"/>
  <c r="AW506" i="1" a="1"/>
  <c r="AW506" i="1" s="1"/>
  <c r="AX506" i="1" a="1"/>
  <c r="AX506" i="1" s="1"/>
  <c r="AY506" i="1" a="1"/>
  <c r="AY506" i="1" s="1"/>
  <c r="AZ506" i="1" a="1"/>
  <c r="AZ506" i="1" s="1"/>
  <c r="BA506" i="1" a="1"/>
  <c r="BA506" i="1" s="1"/>
  <c r="BB506" i="1" a="1"/>
  <c r="BB506" i="1" s="1"/>
  <c r="AL507" i="1" a="1"/>
  <c r="AL507" i="1" s="1"/>
  <c r="AM507" i="1" a="1"/>
  <c r="AM507" i="1" s="1"/>
  <c r="AN507" i="1" a="1"/>
  <c r="AN507" i="1" s="1"/>
  <c r="AO507" i="1" a="1"/>
  <c r="AO507" i="1" s="1"/>
  <c r="AP507" i="1" a="1"/>
  <c r="AP507" i="1" s="1"/>
  <c r="AQ507" i="1" a="1"/>
  <c r="AQ507" i="1" s="1"/>
  <c r="AR507" i="1" a="1"/>
  <c r="AR507" i="1" s="1"/>
  <c r="AS507" i="1" a="1"/>
  <c r="AS507" i="1" s="1"/>
  <c r="AT507" i="1" a="1"/>
  <c r="AT507" i="1" s="1"/>
  <c r="AU507" i="1" a="1"/>
  <c r="AU507" i="1" s="1"/>
  <c r="AV507" i="1" a="1"/>
  <c r="AV507" i="1" s="1"/>
  <c r="AW507" i="1" a="1"/>
  <c r="AW507" i="1" s="1"/>
  <c r="AX507" i="1" a="1"/>
  <c r="AX507" i="1" s="1"/>
  <c r="AY507" i="1" a="1"/>
  <c r="AY507" i="1" s="1"/>
  <c r="AZ507" i="1" a="1"/>
  <c r="AZ507" i="1" s="1"/>
  <c r="BA507" i="1" a="1"/>
  <c r="BA507" i="1" s="1"/>
  <c r="BB507" i="1" a="1"/>
  <c r="BB507" i="1" s="1"/>
  <c r="AL508" i="1" a="1"/>
  <c r="AL508" i="1" s="1"/>
  <c r="AM508" i="1" a="1"/>
  <c r="AM508" i="1" s="1"/>
  <c r="AN508" i="1" a="1"/>
  <c r="AN508" i="1" s="1"/>
  <c r="AO508" i="1" a="1"/>
  <c r="AO508" i="1" s="1"/>
  <c r="AP508" i="1" a="1"/>
  <c r="AP508" i="1" s="1"/>
  <c r="AQ508" i="1" a="1"/>
  <c r="AQ508" i="1" s="1"/>
  <c r="AR508" i="1" a="1"/>
  <c r="AR508" i="1" s="1"/>
  <c r="AS508" i="1" a="1"/>
  <c r="AS508" i="1" s="1"/>
  <c r="AT508" i="1" a="1"/>
  <c r="AT508" i="1" s="1"/>
  <c r="AU508" i="1" a="1"/>
  <c r="AU508" i="1" s="1"/>
  <c r="AV508" i="1" a="1"/>
  <c r="AV508" i="1" s="1"/>
  <c r="AW508" i="1" a="1"/>
  <c r="AW508" i="1" s="1"/>
  <c r="AX508" i="1" a="1"/>
  <c r="AX508" i="1" s="1"/>
  <c r="AY508" i="1" a="1"/>
  <c r="AY508" i="1" s="1"/>
  <c r="AZ508" i="1" a="1"/>
  <c r="AZ508" i="1" s="1"/>
  <c r="BA508" i="1" a="1"/>
  <c r="BA508" i="1" s="1"/>
  <c r="BB508" i="1" a="1"/>
  <c r="BB508" i="1" s="1"/>
  <c r="AL342" i="1" a="1"/>
  <c r="AL342" i="1" s="1"/>
  <c r="AM342" i="1" a="1"/>
  <c r="AM342" i="1" s="1"/>
  <c r="AN342" i="1" a="1"/>
  <c r="AN342" i="1" s="1"/>
  <c r="AO342" i="1" a="1"/>
  <c r="AO342" i="1" s="1"/>
  <c r="AP342" i="1" a="1"/>
  <c r="AP342" i="1" s="1"/>
  <c r="AQ342" i="1" a="1"/>
  <c r="AQ342" i="1" s="1"/>
  <c r="AR342" i="1" a="1"/>
  <c r="AR342" i="1" s="1"/>
  <c r="AS342" i="1" a="1"/>
  <c r="AS342" i="1" s="1"/>
  <c r="AT342" i="1" a="1"/>
  <c r="AT342" i="1" s="1"/>
  <c r="AU342" i="1" a="1"/>
  <c r="AU342" i="1" s="1"/>
  <c r="AV342" i="1" a="1"/>
  <c r="AV342" i="1" s="1"/>
  <c r="AW342" i="1" a="1"/>
  <c r="AW342" i="1" s="1"/>
  <c r="AX342" i="1" a="1"/>
  <c r="AX342" i="1" s="1"/>
  <c r="AY342" i="1" a="1"/>
  <c r="AY342" i="1" s="1"/>
  <c r="AZ342" i="1" a="1"/>
  <c r="AZ342" i="1" s="1"/>
  <c r="BA342" i="1" a="1"/>
  <c r="BA342" i="1" s="1"/>
  <c r="BB342" i="1" a="1"/>
  <c r="BB342" i="1" s="1"/>
  <c r="AL343" i="1" a="1"/>
  <c r="AL343" i="1" s="1"/>
  <c r="AM343" i="1" a="1"/>
  <c r="AM343" i="1" s="1"/>
  <c r="AN343" i="1" a="1"/>
  <c r="AN343" i="1" s="1"/>
  <c r="AO343" i="1" a="1"/>
  <c r="AO343" i="1" s="1"/>
  <c r="AP343" i="1" a="1"/>
  <c r="AP343" i="1" s="1"/>
  <c r="AQ343" i="1" a="1"/>
  <c r="AQ343" i="1" s="1"/>
  <c r="AR343" i="1" a="1"/>
  <c r="AR343" i="1" s="1"/>
  <c r="AS343" i="1" a="1"/>
  <c r="AS343" i="1" s="1"/>
  <c r="AT343" i="1" a="1"/>
  <c r="AT343" i="1" s="1"/>
  <c r="AU343" i="1" a="1"/>
  <c r="AU343" i="1" s="1"/>
  <c r="AV343" i="1" a="1"/>
  <c r="AV343" i="1" s="1"/>
  <c r="AW343" i="1" a="1"/>
  <c r="AW343" i="1" s="1"/>
  <c r="AX343" i="1" a="1"/>
  <c r="AX343" i="1" s="1"/>
  <c r="AY343" i="1" a="1"/>
  <c r="AY343" i="1" s="1"/>
  <c r="AZ343" i="1" a="1"/>
  <c r="AZ343" i="1" s="1"/>
  <c r="BA343" i="1" a="1"/>
  <c r="BA343" i="1" s="1"/>
  <c r="BB343" i="1" a="1"/>
  <c r="BB343" i="1" s="1"/>
  <c r="AL509" i="1" a="1"/>
  <c r="AL509" i="1" s="1"/>
  <c r="AM509" i="1" a="1"/>
  <c r="AM509" i="1" s="1"/>
  <c r="AN509" i="1" a="1"/>
  <c r="AN509" i="1" s="1"/>
  <c r="AO509" i="1" a="1"/>
  <c r="AO509" i="1" s="1"/>
  <c r="AP509" i="1" a="1"/>
  <c r="AP509" i="1" s="1"/>
  <c r="AQ509" i="1" a="1"/>
  <c r="AQ509" i="1" s="1"/>
  <c r="AR509" i="1" a="1"/>
  <c r="AR509" i="1" s="1"/>
  <c r="AS509" i="1" a="1"/>
  <c r="AS509" i="1" s="1"/>
  <c r="AT509" i="1" a="1"/>
  <c r="AT509" i="1" s="1"/>
  <c r="AU509" i="1" a="1"/>
  <c r="AU509" i="1" s="1"/>
  <c r="AV509" i="1" a="1"/>
  <c r="AV509" i="1" s="1"/>
  <c r="AW509" i="1" a="1"/>
  <c r="AW509" i="1" s="1"/>
  <c r="AX509" i="1" a="1"/>
  <c r="AX509" i="1" s="1"/>
  <c r="AY509" i="1" a="1"/>
  <c r="AY509" i="1" s="1"/>
  <c r="AZ509" i="1" a="1"/>
  <c r="AZ509" i="1" s="1"/>
  <c r="BA509" i="1" a="1"/>
  <c r="BA509" i="1" s="1"/>
  <c r="BB509" i="1" a="1"/>
  <c r="BB509" i="1" s="1"/>
  <c r="AL511" i="1" a="1"/>
  <c r="AL511" i="1" s="1"/>
  <c r="AM511" i="1" a="1"/>
  <c r="AM511" i="1" s="1"/>
  <c r="AN511" i="1" a="1"/>
  <c r="AN511" i="1" s="1"/>
  <c r="AO511" i="1" a="1"/>
  <c r="AO511" i="1" s="1"/>
  <c r="AP511" i="1" a="1"/>
  <c r="AP511" i="1" s="1"/>
  <c r="AQ511" i="1" a="1"/>
  <c r="AQ511" i="1" s="1"/>
  <c r="AR511" i="1" a="1"/>
  <c r="AR511" i="1" s="1"/>
  <c r="AS511" i="1" a="1"/>
  <c r="AS511" i="1" s="1"/>
  <c r="AT511" i="1" a="1"/>
  <c r="AT511" i="1" s="1"/>
  <c r="AU511" i="1" a="1"/>
  <c r="AU511" i="1" s="1"/>
  <c r="AV511" i="1" a="1"/>
  <c r="AV511" i="1" s="1"/>
  <c r="AW511" i="1" a="1"/>
  <c r="AW511" i="1" s="1"/>
  <c r="AX511" i="1" a="1"/>
  <c r="AX511" i="1" s="1"/>
  <c r="AY511" i="1" a="1"/>
  <c r="AY511" i="1" s="1"/>
  <c r="AZ511" i="1" a="1"/>
  <c r="AZ511" i="1" s="1"/>
  <c r="BA511" i="1" a="1"/>
  <c r="BA511" i="1" s="1"/>
  <c r="BB511" i="1" a="1"/>
  <c r="BB511" i="1" s="1"/>
  <c r="AL512" i="1" a="1"/>
  <c r="AL512" i="1" s="1"/>
  <c r="AM512" i="1" a="1"/>
  <c r="AM512" i="1" s="1"/>
  <c r="AN512" i="1" a="1"/>
  <c r="AN512" i="1" s="1"/>
  <c r="AO512" i="1" a="1"/>
  <c r="AO512" i="1" s="1"/>
  <c r="AP512" i="1" a="1"/>
  <c r="AP512" i="1" s="1"/>
  <c r="AQ512" i="1" a="1"/>
  <c r="AQ512" i="1" s="1"/>
  <c r="AR512" i="1" a="1"/>
  <c r="AR512" i="1" s="1"/>
  <c r="AS512" i="1" a="1"/>
  <c r="AS512" i="1" s="1"/>
  <c r="AT512" i="1" a="1"/>
  <c r="AT512" i="1" s="1"/>
  <c r="AU512" i="1" a="1"/>
  <c r="AU512" i="1" s="1"/>
  <c r="AV512" i="1" a="1"/>
  <c r="AV512" i="1" s="1"/>
  <c r="AW512" i="1" a="1"/>
  <c r="AW512" i="1" s="1"/>
  <c r="AX512" i="1" a="1"/>
  <c r="AX512" i="1" s="1"/>
  <c r="AY512" i="1" a="1"/>
  <c r="AY512" i="1" s="1"/>
  <c r="AZ512" i="1" a="1"/>
  <c r="AZ512" i="1" s="1"/>
  <c r="BA512" i="1" a="1"/>
  <c r="BA512" i="1" s="1"/>
  <c r="BB512" i="1" a="1"/>
  <c r="BB512" i="1" s="1"/>
  <c r="AL349" i="1" a="1"/>
  <c r="AL349" i="1" s="1"/>
  <c r="AM349" i="1" a="1"/>
  <c r="AM349" i="1" s="1"/>
  <c r="AN349" i="1" a="1"/>
  <c r="AN349" i="1" s="1"/>
  <c r="AO349" i="1" a="1"/>
  <c r="AO349" i="1" s="1"/>
  <c r="AP349" i="1" a="1"/>
  <c r="AP349" i="1" s="1"/>
  <c r="AQ349" i="1" a="1"/>
  <c r="AQ349" i="1" s="1"/>
  <c r="AR349" i="1" a="1"/>
  <c r="AR349" i="1" s="1"/>
  <c r="AS349" i="1" a="1"/>
  <c r="AS349" i="1" s="1"/>
  <c r="AT349" i="1" a="1"/>
  <c r="AT349" i="1" s="1"/>
  <c r="AU349" i="1" a="1"/>
  <c r="AU349" i="1" s="1"/>
  <c r="AV349" i="1" a="1"/>
  <c r="AV349" i="1" s="1"/>
  <c r="AW349" i="1" a="1"/>
  <c r="AW349" i="1" s="1"/>
  <c r="AX349" i="1" a="1"/>
  <c r="AX349" i="1" s="1"/>
  <c r="AY349" i="1" a="1"/>
  <c r="AY349" i="1" s="1"/>
  <c r="AZ349" i="1" a="1"/>
  <c r="AZ349" i="1" s="1"/>
  <c r="BA349" i="1" a="1"/>
  <c r="BA349" i="1" s="1"/>
  <c r="BB349" i="1" a="1"/>
  <c r="BB349" i="1" s="1"/>
  <c r="AL513" i="1" a="1"/>
  <c r="AL513" i="1" s="1"/>
  <c r="AM513" i="1" a="1"/>
  <c r="AM513" i="1" s="1"/>
  <c r="AN513" i="1" a="1"/>
  <c r="AN513" i="1" s="1"/>
  <c r="AO513" i="1" a="1"/>
  <c r="AO513" i="1" s="1"/>
  <c r="AP513" i="1" a="1"/>
  <c r="AP513" i="1" s="1"/>
  <c r="AQ513" i="1" a="1"/>
  <c r="AQ513" i="1" s="1"/>
  <c r="AR513" i="1" a="1"/>
  <c r="AR513" i="1" s="1"/>
  <c r="AS513" i="1" a="1"/>
  <c r="AS513" i="1" s="1"/>
  <c r="AT513" i="1" a="1"/>
  <c r="AT513" i="1" s="1"/>
  <c r="AU513" i="1" a="1"/>
  <c r="AU513" i="1" s="1"/>
  <c r="AV513" i="1" a="1"/>
  <c r="AV513" i="1" s="1"/>
  <c r="AW513" i="1" a="1"/>
  <c r="AW513" i="1" s="1"/>
  <c r="AX513" i="1" a="1"/>
  <c r="AX513" i="1" s="1"/>
  <c r="AY513" i="1" a="1"/>
  <c r="AY513" i="1" s="1"/>
  <c r="AZ513" i="1" a="1"/>
  <c r="AZ513" i="1" s="1"/>
  <c r="BA513" i="1" a="1"/>
  <c r="BA513" i="1" s="1"/>
  <c r="BB513" i="1" a="1"/>
  <c r="BB513" i="1" s="1"/>
  <c r="AL514" i="1" a="1"/>
  <c r="AL514" i="1" s="1"/>
  <c r="AM514" i="1" a="1"/>
  <c r="AM514" i="1" s="1"/>
  <c r="AN514" i="1" a="1"/>
  <c r="AN514" i="1" s="1"/>
  <c r="AO514" i="1" a="1"/>
  <c r="AO514" i="1" s="1"/>
  <c r="AP514" i="1" a="1"/>
  <c r="AP514" i="1" s="1"/>
  <c r="AQ514" i="1" a="1"/>
  <c r="AQ514" i="1" s="1"/>
  <c r="AR514" i="1" a="1"/>
  <c r="AR514" i="1" s="1"/>
  <c r="AS514" i="1" a="1"/>
  <c r="AS514" i="1" s="1"/>
  <c r="AT514" i="1" a="1"/>
  <c r="AT514" i="1" s="1"/>
  <c r="AU514" i="1" a="1"/>
  <c r="AU514" i="1" s="1"/>
  <c r="AV514" i="1" a="1"/>
  <c r="AV514" i="1" s="1"/>
  <c r="AW514" i="1" a="1"/>
  <c r="AW514" i="1" s="1"/>
  <c r="AX514" i="1" a="1"/>
  <c r="AX514" i="1" s="1"/>
  <c r="AY514" i="1" a="1"/>
  <c r="AY514" i="1" s="1"/>
  <c r="AZ514" i="1" a="1"/>
  <c r="AZ514" i="1" s="1"/>
  <c r="BA514" i="1" a="1"/>
  <c r="BA514" i="1" s="1"/>
  <c r="BB514" i="1" a="1"/>
  <c r="BB514" i="1" s="1"/>
  <c r="AL515" i="1" a="1"/>
  <c r="AL515" i="1" s="1"/>
  <c r="AM515" i="1" a="1"/>
  <c r="AM515" i="1" s="1"/>
  <c r="AN515" i="1" a="1"/>
  <c r="AN515" i="1" s="1"/>
  <c r="AO515" i="1" a="1"/>
  <c r="AO515" i="1" s="1"/>
  <c r="AP515" i="1" a="1"/>
  <c r="AP515" i="1" s="1"/>
  <c r="AQ515" i="1" a="1"/>
  <c r="AQ515" i="1" s="1"/>
  <c r="AR515" i="1" a="1"/>
  <c r="AR515" i="1" s="1"/>
  <c r="AS515" i="1" a="1"/>
  <c r="AS515" i="1" s="1"/>
  <c r="AT515" i="1" a="1"/>
  <c r="AT515" i="1" s="1"/>
  <c r="AU515" i="1" a="1"/>
  <c r="AU515" i="1" s="1"/>
  <c r="AV515" i="1" a="1"/>
  <c r="AV515" i="1" s="1"/>
  <c r="AW515" i="1" a="1"/>
  <c r="AW515" i="1" s="1"/>
  <c r="AX515" i="1" a="1"/>
  <c r="AX515" i="1" s="1"/>
  <c r="AY515" i="1" a="1"/>
  <c r="AY515" i="1" s="1"/>
  <c r="AZ515" i="1" a="1"/>
  <c r="AZ515" i="1" s="1"/>
  <c r="BA515" i="1" a="1"/>
  <c r="BA515" i="1" s="1"/>
  <c r="BB515" i="1" a="1"/>
  <c r="BB515" i="1" s="1"/>
  <c r="AL516" i="1" a="1"/>
  <c r="AL516" i="1" s="1"/>
  <c r="AM516" i="1" a="1"/>
  <c r="AM516" i="1" s="1"/>
  <c r="AN516" i="1" a="1"/>
  <c r="AN516" i="1" s="1"/>
  <c r="AO516" i="1" a="1"/>
  <c r="AO516" i="1" s="1"/>
  <c r="AP516" i="1" a="1"/>
  <c r="AP516" i="1" s="1"/>
  <c r="AQ516" i="1" a="1"/>
  <c r="AQ516" i="1" s="1"/>
  <c r="AR516" i="1" a="1"/>
  <c r="AR516" i="1" s="1"/>
  <c r="AS516" i="1" a="1"/>
  <c r="AS516" i="1" s="1"/>
  <c r="AT516" i="1" a="1"/>
  <c r="AT516" i="1" s="1"/>
  <c r="AU516" i="1" a="1"/>
  <c r="AU516" i="1" s="1"/>
  <c r="AV516" i="1" a="1"/>
  <c r="AV516" i="1" s="1"/>
  <c r="AW516" i="1" a="1"/>
  <c r="AW516" i="1" s="1"/>
  <c r="AX516" i="1" a="1"/>
  <c r="AX516" i="1" s="1"/>
  <c r="AY516" i="1" a="1"/>
  <c r="AY516" i="1" s="1"/>
  <c r="AZ516" i="1" a="1"/>
  <c r="AZ516" i="1" s="1"/>
  <c r="BA516" i="1" a="1"/>
  <c r="BA516" i="1" s="1"/>
  <c r="BB516" i="1" a="1"/>
  <c r="BB516" i="1" s="1"/>
  <c r="AL517" i="1" a="1"/>
  <c r="AL517" i="1" s="1"/>
  <c r="AM517" i="1" a="1"/>
  <c r="AM517" i="1" s="1"/>
  <c r="AN517" i="1" a="1"/>
  <c r="AN517" i="1" s="1"/>
  <c r="AO517" i="1" a="1"/>
  <c r="AO517" i="1" s="1"/>
  <c r="AP517" i="1" a="1"/>
  <c r="AP517" i="1" s="1"/>
  <c r="AQ517" i="1" a="1"/>
  <c r="AQ517" i="1" s="1"/>
  <c r="AR517" i="1" a="1"/>
  <c r="AR517" i="1" s="1"/>
  <c r="AS517" i="1" a="1"/>
  <c r="AS517" i="1" s="1"/>
  <c r="AT517" i="1" a="1"/>
  <c r="AT517" i="1" s="1"/>
  <c r="AU517" i="1" a="1"/>
  <c r="AU517" i="1" s="1"/>
  <c r="AV517" i="1" a="1"/>
  <c r="AV517" i="1" s="1"/>
  <c r="AW517" i="1" a="1"/>
  <c r="AW517" i="1" s="1"/>
  <c r="AX517" i="1" a="1"/>
  <c r="AX517" i="1" s="1"/>
  <c r="AY517" i="1" a="1"/>
  <c r="AY517" i="1" s="1"/>
  <c r="AZ517" i="1" a="1"/>
  <c r="AZ517" i="1" s="1"/>
  <c r="BA517" i="1" a="1"/>
  <c r="BA517" i="1" s="1"/>
  <c r="BB517" i="1" a="1"/>
  <c r="BB517" i="1" s="1"/>
  <c r="AL518" i="1" a="1"/>
  <c r="AL518" i="1" s="1"/>
  <c r="AM518" i="1" a="1"/>
  <c r="AM518" i="1" s="1"/>
  <c r="AN518" i="1" a="1"/>
  <c r="AN518" i="1" s="1"/>
  <c r="AO518" i="1" a="1"/>
  <c r="AO518" i="1" s="1"/>
  <c r="AP518" i="1" a="1"/>
  <c r="AP518" i="1" s="1"/>
  <c r="AQ518" i="1" a="1"/>
  <c r="AQ518" i="1" s="1"/>
  <c r="AR518" i="1" a="1"/>
  <c r="AR518" i="1" s="1"/>
  <c r="AS518" i="1" a="1"/>
  <c r="AS518" i="1" s="1"/>
  <c r="AT518" i="1" a="1"/>
  <c r="AT518" i="1" s="1"/>
  <c r="AU518" i="1" a="1"/>
  <c r="AU518" i="1" s="1"/>
  <c r="AV518" i="1" a="1"/>
  <c r="AV518" i="1" s="1"/>
  <c r="AW518" i="1" a="1"/>
  <c r="AW518" i="1" s="1"/>
  <c r="AX518" i="1" a="1"/>
  <c r="AX518" i="1" s="1"/>
  <c r="AY518" i="1" a="1"/>
  <c r="AY518" i="1" s="1"/>
  <c r="AZ518" i="1" a="1"/>
  <c r="AZ518" i="1" s="1"/>
  <c r="BA518" i="1" a="1"/>
  <c r="BA518" i="1" s="1"/>
  <c r="BB518" i="1" a="1"/>
  <c r="BB518" i="1" s="1"/>
  <c r="AL353" i="1" a="1"/>
  <c r="AL353" i="1" s="1"/>
  <c r="AM353" i="1" a="1"/>
  <c r="AM353" i="1" s="1"/>
  <c r="AN353" i="1" a="1"/>
  <c r="AN353" i="1" s="1"/>
  <c r="AO353" i="1" a="1"/>
  <c r="AO353" i="1" s="1"/>
  <c r="AP353" i="1" a="1"/>
  <c r="AP353" i="1" s="1"/>
  <c r="AQ353" i="1" a="1"/>
  <c r="AQ353" i="1" s="1"/>
  <c r="AR353" i="1" a="1"/>
  <c r="AR353" i="1" s="1"/>
  <c r="AS353" i="1" a="1"/>
  <c r="AS353" i="1" s="1"/>
  <c r="AT353" i="1" a="1"/>
  <c r="AT353" i="1" s="1"/>
  <c r="AU353" i="1" a="1"/>
  <c r="AU353" i="1" s="1"/>
  <c r="AV353" i="1" a="1"/>
  <c r="AV353" i="1" s="1"/>
  <c r="AW353" i="1" a="1"/>
  <c r="AW353" i="1" s="1"/>
  <c r="AX353" i="1" a="1"/>
  <c r="AX353" i="1" s="1"/>
  <c r="AY353" i="1" a="1"/>
  <c r="AY353" i="1" s="1"/>
  <c r="AZ353" i="1" a="1"/>
  <c r="AZ353" i="1" s="1"/>
  <c r="BA353" i="1" a="1"/>
  <c r="BA353" i="1" s="1"/>
  <c r="BB353" i="1" a="1"/>
  <c r="BB353" i="1" s="1"/>
  <c r="AL519" i="1" a="1"/>
  <c r="AL519" i="1" s="1"/>
  <c r="AM519" i="1" a="1"/>
  <c r="AM519" i="1" s="1"/>
  <c r="AN519" i="1" a="1"/>
  <c r="AN519" i="1" s="1"/>
  <c r="AO519" i="1" a="1"/>
  <c r="AO519" i="1" s="1"/>
  <c r="AP519" i="1" a="1"/>
  <c r="AP519" i="1" s="1"/>
  <c r="AQ519" i="1" a="1"/>
  <c r="AQ519" i="1" s="1"/>
  <c r="AR519" i="1" a="1"/>
  <c r="AR519" i="1" s="1"/>
  <c r="AS519" i="1" a="1"/>
  <c r="AS519" i="1" s="1"/>
  <c r="AT519" i="1" a="1"/>
  <c r="AT519" i="1" s="1"/>
  <c r="AU519" i="1" a="1"/>
  <c r="AU519" i="1" s="1"/>
  <c r="AV519" i="1" a="1"/>
  <c r="AV519" i="1" s="1"/>
  <c r="AW519" i="1" a="1"/>
  <c r="AW519" i="1" s="1"/>
  <c r="AX519" i="1" a="1"/>
  <c r="AX519" i="1" s="1"/>
  <c r="AY519" i="1" a="1"/>
  <c r="AY519" i="1" s="1"/>
  <c r="AZ519" i="1" a="1"/>
  <c r="AZ519" i="1" s="1"/>
  <c r="BA519" i="1" a="1"/>
  <c r="BA519" i="1" s="1"/>
  <c r="BB519" i="1" a="1"/>
  <c r="BB519" i="1" s="1"/>
  <c r="AL520" i="1" a="1"/>
  <c r="AL520" i="1" s="1"/>
  <c r="AM520" i="1" a="1"/>
  <c r="AM520" i="1" s="1"/>
  <c r="AN520" i="1" a="1"/>
  <c r="AN520" i="1" s="1"/>
  <c r="AO520" i="1" a="1"/>
  <c r="AO520" i="1" s="1"/>
  <c r="AP520" i="1" a="1"/>
  <c r="AP520" i="1" s="1"/>
  <c r="AQ520" i="1" a="1"/>
  <c r="AQ520" i="1" s="1"/>
  <c r="AR520" i="1" a="1"/>
  <c r="AR520" i="1" s="1"/>
  <c r="AS520" i="1" a="1"/>
  <c r="AS520" i="1" s="1"/>
  <c r="AT520" i="1" a="1"/>
  <c r="AT520" i="1" s="1"/>
  <c r="AU520" i="1" a="1"/>
  <c r="AU520" i="1" s="1"/>
  <c r="AV520" i="1" a="1"/>
  <c r="AV520" i="1" s="1"/>
  <c r="AW520" i="1" a="1"/>
  <c r="AW520" i="1" s="1"/>
  <c r="AX520" i="1" a="1"/>
  <c r="AX520" i="1" s="1"/>
  <c r="AY520" i="1" a="1"/>
  <c r="AY520" i="1" s="1"/>
  <c r="AZ520" i="1" a="1"/>
  <c r="AZ520" i="1" s="1"/>
  <c r="BA520" i="1" a="1"/>
  <c r="BA520" i="1" s="1"/>
  <c r="BB520" i="1" a="1"/>
  <c r="BB520" i="1" s="1"/>
  <c r="AL521" i="1" a="1"/>
  <c r="AL521" i="1" s="1"/>
  <c r="AM521" i="1" a="1"/>
  <c r="AM521" i="1" s="1"/>
  <c r="AN521" i="1" a="1"/>
  <c r="AN521" i="1" s="1"/>
  <c r="AO521" i="1" a="1"/>
  <c r="AO521" i="1" s="1"/>
  <c r="AP521" i="1" a="1"/>
  <c r="AP521" i="1" s="1"/>
  <c r="AQ521" i="1" a="1"/>
  <c r="AQ521" i="1" s="1"/>
  <c r="AR521" i="1" a="1"/>
  <c r="AR521" i="1" s="1"/>
  <c r="AS521" i="1" a="1"/>
  <c r="AS521" i="1" s="1"/>
  <c r="AT521" i="1" a="1"/>
  <c r="AT521" i="1" s="1"/>
  <c r="AU521" i="1" a="1"/>
  <c r="AU521" i="1" s="1"/>
  <c r="AV521" i="1" a="1"/>
  <c r="AV521" i="1" s="1"/>
  <c r="AW521" i="1" a="1"/>
  <c r="AW521" i="1" s="1"/>
  <c r="AX521" i="1" a="1"/>
  <c r="AX521" i="1" s="1"/>
  <c r="AY521" i="1" a="1"/>
  <c r="AY521" i="1" s="1"/>
  <c r="AZ521" i="1" a="1"/>
  <c r="AZ521" i="1" s="1"/>
  <c r="BA521" i="1" a="1"/>
  <c r="BA521" i="1" s="1"/>
  <c r="BB521" i="1" a="1"/>
  <c r="BB521" i="1" s="1"/>
  <c r="AL522" i="1" a="1"/>
  <c r="AL522" i="1" s="1"/>
  <c r="AM522" i="1" a="1"/>
  <c r="AM522" i="1" s="1"/>
  <c r="AN522" i="1" a="1"/>
  <c r="AN522" i="1" s="1"/>
  <c r="AO522" i="1" a="1"/>
  <c r="AO522" i="1" s="1"/>
  <c r="AP522" i="1" a="1"/>
  <c r="AP522" i="1" s="1"/>
  <c r="AQ522" i="1" a="1"/>
  <c r="AQ522" i="1" s="1"/>
  <c r="AR522" i="1" a="1"/>
  <c r="AR522" i="1" s="1"/>
  <c r="AS522" i="1" a="1"/>
  <c r="AS522" i="1" s="1"/>
  <c r="AT522" i="1" a="1"/>
  <c r="AT522" i="1" s="1"/>
  <c r="AU522" i="1" a="1"/>
  <c r="AU522" i="1" s="1"/>
  <c r="AV522" i="1" a="1"/>
  <c r="AV522" i="1" s="1"/>
  <c r="AW522" i="1" a="1"/>
  <c r="AW522" i="1" s="1"/>
  <c r="AX522" i="1" a="1"/>
  <c r="AX522" i="1" s="1"/>
  <c r="AY522" i="1" a="1"/>
  <c r="AY522" i="1" s="1"/>
  <c r="AZ522" i="1" a="1"/>
  <c r="AZ522" i="1" s="1"/>
  <c r="BA522" i="1" a="1"/>
  <c r="BA522" i="1" s="1"/>
  <c r="BB522" i="1" a="1"/>
  <c r="BB522" i="1" s="1"/>
  <c r="AL525" i="1" a="1"/>
  <c r="AL525" i="1" s="1"/>
  <c r="AM525" i="1" a="1"/>
  <c r="AM525" i="1" s="1"/>
  <c r="AN525" i="1" a="1"/>
  <c r="AN525" i="1" s="1"/>
  <c r="AO525" i="1" a="1"/>
  <c r="AO525" i="1" s="1"/>
  <c r="AP525" i="1" a="1"/>
  <c r="AP525" i="1" s="1"/>
  <c r="AQ525" i="1" a="1"/>
  <c r="AQ525" i="1" s="1"/>
  <c r="AR525" i="1" a="1"/>
  <c r="AR525" i="1" s="1"/>
  <c r="AS525" i="1" a="1"/>
  <c r="AS525" i="1" s="1"/>
  <c r="AT525" i="1" a="1"/>
  <c r="AT525" i="1" s="1"/>
  <c r="AU525" i="1" a="1"/>
  <c r="AU525" i="1" s="1"/>
  <c r="AV525" i="1" a="1"/>
  <c r="AV525" i="1" s="1"/>
  <c r="AW525" i="1" a="1"/>
  <c r="AW525" i="1" s="1"/>
  <c r="AX525" i="1" a="1"/>
  <c r="AX525" i="1" s="1"/>
  <c r="AY525" i="1" a="1"/>
  <c r="AY525" i="1" s="1"/>
  <c r="AZ525" i="1" a="1"/>
  <c r="AZ525" i="1" s="1"/>
  <c r="BA525" i="1" a="1"/>
  <c r="BA525" i="1" s="1"/>
  <c r="BB525" i="1" a="1"/>
  <c r="BB525" i="1" s="1"/>
  <c r="AL526" i="1" a="1"/>
  <c r="AL526" i="1" s="1"/>
  <c r="AM526" i="1" a="1"/>
  <c r="AM526" i="1" s="1"/>
  <c r="AN526" i="1" a="1"/>
  <c r="AN526" i="1" s="1"/>
  <c r="AO526" i="1" a="1"/>
  <c r="AO526" i="1" s="1"/>
  <c r="AP526" i="1" a="1"/>
  <c r="AP526" i="1" s="1"/>
  <c r="AQ526" i="1" a="1"/>
  <c r="AQ526" i="1" s="1"/>
  <c r="AR526" i="1" a="1"/>
  <c r="AR526" i="1" s="1"/>
  <c r="AS526" i="1" a="1"/>
  <c r="AS526" i="1" s="1"/>
  <c r="AT526" i="1" a="1"/>
  <c r="AT526" i="1" s="1"/>
  <c r="AU526" i="1" a="1"/>
  <c r="AU526" i="1" s="1"/>
  <c r="AV526" i="1" a="1"/>
  <c r="AV526" i="1" s="1"/>
  <c r="AW526" i="1" a="1"/>
  <c r="AW526" i="1" s="1"/>
  <c r="AX526" i="1" a="1"/>
  <c r="AX526" i="1" s="1"/>
  <c r="AY526" i="1" a="1"/>
  <c r="AY526" i="1" s="1"/>
  <c r="AZ526" i="1" a="1"/>
  <c r="AZ526" i="1" s="1"/>
  <c r="BA526" i="1" a="1"/>
  <c r="BA526" i="1" s="1"/>
  <c r="BB526" i="1" a="1"/>
  <c r="BB526" i="1" s="1"/>
  <c r="AL527" i="1" a="1"/>
  <c r="AL527" i="1" s="1"/>
  <c r="AM527" i="1" a="1"/>
  <c r="AM527" i="1" s="1"/>
  <c r="AN527" i="1" a="1"/>
  <c r="AN527" i="1" s="1"/>
  <c r="AO527" i="1" a="1"/>
  <c r="AO527" i="1" s="1"/>
  <c r="AP527" i="1" a="1"/>
  <c r="AP527" i="1" s="1"/>
  <c r="AQ527" i="1" a="1"/>
  <c r="AQ527" i="1" s="1"/>
  <c r="AR527" i="1" a="1"/>
  <c r="AR527" i="1" s="1"/>
  <c r="AS527" i="1" a="1"/>
  <c r="AS527" i="1" s="1"/>
  <c r="AT527" i="1" a="1"/>
  <c r="AT527" i="1" s="1"/>
  <c r="AU527" i="1" a="1"/>
  <c r="AU527" i="1" s="1"/>
  <c r="AV527" i="1" a="1"/>
  <c r="AV527" i="1" s="1"/>
  <c r="AW527" i="1" a="1"/>
  <c r="AW527" i="1" s="1"/>
  <c r="AX527" i="1" a="1"/>
  <c r="AX527" i="1" s="1"/>
  <c r="AY527" i="1" a="1"/>
  <c r="AY527" i="1" s="1"/>
  <c r="AZ527" i="1" a="1"/>
  <c r="AZ527" i="1" s="1"/>
  <c r="BA527" i="1" a="1"/>
  <c r="BA527" i="1" s="1"/>
  <c r="BB527" i="1" a="1"/>
  <c r="BB527" i="1" s="1"/>
  <c r="AL528" i="1" a="1"/>
  <c r="AL528" i="1" s="1"/>
  <c r="AM528" i="1" a="1"/>
  <c r="AM528" i="1" s="1"/>
  <c r="AN528" i="1" a="1"/>
  <c r="AN528" i="1" s="1"/>
  <c r="AO528" i="1" a="1"/>
  <c r="AO528" i="1" s="1"/>
  <c r="AP528" i="1" a="1"/>
  <c r="AP528" i="1" s="1"/>
  <c r="AQ528" i="1" a="1"/>
  <c r="AQ528" i="1" s="1"/>
  <c r="AR528" i="1" a="1"/>
  <c r="AR528" i="1" s="1"/>
  <c r="AS528" i="1" a="1"/>
  <c r="AS528" i="1" s="1"/>
  <c r="AT528" i="1" a="1"/>
  <c r="AT528" i="1" s="1"/>
  <c r="AU528" i="1" a="1"/>
  <c r="AU528" i="1" s="1"/>
  <c r="AV528" i="1" a="1"/>
  <c r="AV528" i="1" s="1"/>
  <c r="AW528" i="1" a="1"/>
  <c r="AW528" i="1" s="1"/>
  <c r="AX528" i="1" a="1"/>
  <c r="AX528" i="1" s="1"/>
  <c r="AY528" i="1" a="1"/>
  <c r="AY528" i="1" s="1"/>
  <c r="AZ528" i="1" a="1"/>
  <c r="AZ528" i="1" s="1"/>
  <c r="BA528" i="1" a="1"/>
  <c r="BA528" i="1" s="1"/>
  <c r="BB528" i="1" a="1"/>
  <c r="BB528" i="1" s="1"/>
  <c r="AL367" i="1" a="1"/>
  <c r="AL367" i="1" s="1"/>
  <c r="AM367" i="1" a="1"/>
  <c r="AM367" i="1" s="1"/>
  <c r="AN367" i="1" a="1"/>
  <c r="AN367" i="1" s="1"/>
  <c r="AO367" i="1" a="1"/>
  <c r="AO367" i="1" s="1"/>
  <c r="AP367" i="1" a="1"/>
  <c r="AP367" i="1" s="1"/>
  <c r="AQ367" i="1" a="1"/>
  <c r="AQ367" i="1" s="1"/>
  <c r="AR367" i="1" a="1"/>
  <c r="AR367" i="1" s="1"/>
  <c r="AS367" i="1" a="1"/>
  <c r="AS367" i="1" s="1"/>
  <c r="AT367" i="1" a="1"/>
  <c r="AT367" i="1" s="1"/>
  <c r="AU367" i="1" a="1"/>
  <c r="AU367" i="1" s="1"/>
  <c r="AV367" i="1" a="1"/>
  <c r="AV367" i="1" s="1"/>
  <c r="AW367" i="1" a="1"/>
  <c r="AW367" i="1" s="1"/>
  <c r="AX367" i="1" a="1"/>
  <c r="AX367" i="1" s="1"/>
  <c r="AY367" i="1" a="1"/>
  <c r="AY367" i="1" s="1"/>
  <c r="AZ367" i="1" a="1"/>
  <c r="AZ367" i="1" s="1"/>
  <c r="BA367" i="1" a="1"/>
  <c r="BA367" i="1" s="1"/>
  <c r="BB367" i="1" a="1"/>
  <c r="BB367" i="1" s="1"/>
  <c r="AL529" i="1" a="1"/>
  <c r="AL529" i="1" s="1"/>
  <c r="AM529" i="1" a="1"/>
  <c r="AM529" i="1" s="1"/>
  <c r="AN529" i="1" a="1"/>
  <c r="AN529" i="1" s="1"/>
  <c r="AO529" i="1" a="1"/>
  <c r="AO529" i="1" s="1"/>
  <c r="AP529" i="1" a="1"/>
  <c r="AP529" i="1" s="1"/>
  <c r="AQ529" i="1" a="1"/>
  <c r="AQ529" i="1" s="1"/>
  <c r="AR529" i="1" a="1"/>
  <c r="AR529" i="1" s="1"/>
  <c r="AS529" i="1" a="1"/>
  <c r="AS529" i="1" s="1"/>
  <c r="AT529" i="1" a="1"/>
  <c r="AT529" i="1" s="1"/>
  <c r="AU529" i="1" a="1"/>
  <c r="AU529" i="1" s="1"/>
  <c r="AV529" i="1" a="1"/>
  <c r="AV529" i="1" s="1"/>
  <c r="AW529" i="1" a="1"/>
  <c r="AW529" i="1" s="1"/>
  <c r="AX529" i="1" a="1"/>
  <c r="AX529" i="1" s="1"/>
  <c r="AY529" i="1" a="1"/>
  <c r="AY529" i="1" s="1"/>
  <c r="AZ529" i="1" a="1"/>
  <c r="AZ529" i="1" s="1"/>
  <c r="BA529" i="1" a="1"/>
  <c r="BA529" i="1" s="1"/>
  <c r="BB529" i="1" a="1"/>
  <c r="BB529" i="1" s="1"/>
  <c r="AL530" i="1" a="1"/>
  <c r="AL530" i="1" s="1"/>
  <c r="AM530" i="1" a="1"/>
  <c r="AM530" i="1" s="1"/>
  <c r="AN530" i="1" a="1"/>
  <c r="AN530" i="1" s="1"/>
  <c r="AO530" i="1" a="1"/>
  <c r="AO530" i="1" s="1"/>
  <c r="AP530" i="1" a="1"/>
  <c r="AP530" i="1" s="1"/>
  <c r="AQ530" i="1" a="1"/>
  <c r="AQ530" i="1" s="1"/>
  <c r="AR530" i="1" a="1"/>
  <c r="AR530" i="1" s="1"/>
  <c r="AS530" i="1" a="1"/>
  <c r="AS530" i="1" s="1"/>
  <c r="AT530" i="1" a="1"/>
  <c r="AT530" i="1" s="1"/>
  <c r="AU530" i="1" a="1"/>
  <c r="AU530" i="1" s="1"/>
  <c r="AV530" i="1" a="1"/>
  <c r="AV530" i="1" s="1"/>
  <c r="AW530" i="1" a="1"/>
  <c r="AW530" i="1" s="1"/>
  <c r="AX530" i="1" a="1"/>
  <c r="AX530" i="1" s="1"/>
  <c r="AY530" i="1" a="1"/>
  <c r="AY530" i="1" s="1"/>
  <c r="AZ530" i="1" a="1"/>
  <c r="AZ530" i="1" s="1"/>
  <c r="BA530" i="1" a="1"/>
  <c r="BA530" i="1" s="1"/>
  <c r="BB530" i="1" a="1"/>
  <c r="BB530" i="1" s="1"/>
  <c r="AL370" i="1" a="1"/>
  <c r="AL370" i="1" s="1"/>
  <c r="AM370" i="1" a="1"/>
  <c r="AM370" i="1" s="1"/>
  <c r="AN370" i="1" a="1"/>
  <c r="AN370" i="1" s="1"/>
  <c r="AO370" i="1" a="1"/>
  <c r="AO370" i="1" s="1"/>
  <c r="AP370" i="1" a="1"/>
  <c r="AP370" i="1" s="1"/>
  <c r="AQ370" i="1" a="1"/>
  <c r="AQ370" i="1" s="1"/>
  <c r="AR370" i="1" a="1"/>
  <c r="AR370" i="1" s="1"/>
  <c r="AS370" i="1" a="1"/>
  <c r="AS370" i="1" s="1"/>
  <c r="AT370" i="1" a="1"/>
  <c r="AT370" i="1" s="1"/>
  <c r="AU370" i="1" a="1"/>
  <c r="AU370" i="1" s="1"/>
  <c r="AV370" i="1" a="1"/>
  <c r="AV370" i="1" s="1"/>
  <c r="AW370" i="1" a="1"/>
  <c r="AW370" i="1" s="1"/>
  <c r="AX370" i="1" a="1"/>
  <c r="AX370" i="1" s="1"/>
  <c r="AY370" i="1" a="1"/>
  <c r="AY370" i="1" s="1"/>
  <c r="AZ370" i="1" a="1"/>
  <c r="AZ370" i="1" s="1"/>
  <c r="BA370" i="1" a="1"/>
  <c r="BA370" i="1" s="1"/>
  <c r="BB370" i="1" a="1"/>
  <c r="BB370" i="1" s="1"/>
  <c r="AL531" i="1" a="1"/>
  <c r="AL531" i="1" s="1"/>
  <c r="AM531" i="1" a="1"/>
  <c r="AM531" i="1" s="1"/>
  <c r="AN531" i="1" a="1"/>
  <c r="AN531" i="1" s="1"/>
  <c r="AO531" i="1" a="1"/>
  <c r="AO531" i="1" s="1"/>
  <c r="AP531" i="1" a="1"/>
  <c r="AP531" i="1" s="1"/>
  <c r="AQ531" i="1" a="1"/>
  <c r="AQ531" i="1" s="1"/>
  <c r="AR531" i="1" a="1"/>
  <c r="AR531" i="1" s="1"/>
  <c r="AS531" i="1" a="1"/>
  <c r="AS531" i="1" s="1"/>
  <c r="AT531" i="1" a="1"/>
  <c r="AT531" i="1" s="1"/>
  <c r="AU531" i="1" a="1"/>
  <c r="AU531" i="1" s="1"/>
  <c r="AV531" i="1" a="1"/>
  <c r="AV531" i="1" s="1"/>
  <c r="AW531" i="1" a="1"/>
  <c r="AW531" i="1" s="1"/>
  <c r="AX531" i="1" a="1"/>
  <c r="AX531" i="1" s="1"/>
  <c r="AY531" i="1" a="1"/>
  <c r="AY531" i="1" s="1"/>
  <c r="AZ531" i="1" a="1"/>
  <c r="AZ531" i="1" s="1"/>
  <c r="BA531" i="1" a="1"/>
  <c r="BA531" i="1" s="1"/>
  <c r="BB531" i="1" a="1"/>
  <c r="BB531" i="1" s="1"/>
  <c r="AL532" i="1" a="1"/>
  <c r="AL532" i="1" s="1"/>
  <c r="AM532" i="1" a="1"/>
  <c r="AM532" i="1" s="1"/>
  <c r="AN532" i="1" a="1"/>
  <c r="AN532" i="1" s="1"/>
  <c r="AO532" i="1" a="1"/>
  <c r="AO532" i="1" s="1"/>
  <c r="AP532" i="1" a="1"/>
  <c r="AP532" i="1" s="1"/>
  <c r="AQ532" i="1" a="1"/>
  <c r="AQ532" i="1" s="1"/>
  <c r="AR532" i="1" a="1"/>
  <c r="AR532" i="1" s="1"/>
  <c r="AS532" i="1" a="1"/>
  <c r="AS532" i="1" s="1"/>
  <c r="AT532" i="1" a="1"/>
  <c r="AT532" i="1" s="1"/>
  <c r="AU532" i="1" a="1"/>
  <c r="AU532" i="1" s="1"/>
  <c r="AV532" i="1" a="1"/>
  <c r="AV532" i="1" s="1"/>
  <c r="AW532" i="1" a="1"/>
  <c r="AW532" i="1" s="1"/>
  <c r="AX532" i="1" a="1"/>
  <c r="AX532" i="1" s="1"/>
  <c r="AY532" i="1" a="1"/>
  <c r="AY532" i="1" s="1"/>
  <c r="AZ532" i="1" a="1"/>
  <c r="AZ532" i="1" s="1"/>
  <c r="BA532" i="1" a="1"/>
  <c r="BA532" i="1" s="1"/>
  <c r="BB532" i="1" a="1"/>
  <c r="BB532" i="1" s="1"/>
  <c r="AL533" i="1" a="1"/>
  <c r="AL533" i="1" s="1"/>
  <c r="AM533" i="1" a="1"/>
  <c r="AM533" i="1" s="1"/>
  <c r="AN533" i="1" a="1"/>
  <c r="AN533" i="1" s="1"/>
  <c r="AO533" i="1" a="1"/>
  <c r="AO533" i="1" s="1"/>
  <c r="AP533" i="1" a="1"/>
  <c r="AP533" i="1" s="1"/>
  <c r="AQ533" i="1" a="1"/>
  <c r="AQ533" i="1" s="1"/>
  <c r="AR533" i="1" a="1"/>
  <c r="AR533" i="1" s="1"/>
  <c r="AS533" i="1" a="1"/>
  <c r="AS533" i="1" s="1"/>
  <c r="AT533" i="1" a="1"/>
  <c r="AT533" i="1" s="1"/>
  <c r="AU533" i="1" a="1"/>
  <c r="AU533" i="1" s="1"/>
  <c r="AV533" i="1" a="1"/>
  <c r="AV533" i="1" s="1"/>
  <c r="AW533" i="1" a="1"/>
  <c r="AW533" i="1" s="1"/>
  <c r="AX533" i="1" a="1"/>
  <c r="AX533" i="1" s="1"/>
  <c r="AY533" i="1" a="1"/>
  <c r="AY533" i="1" s="1"/>
  <c r="AZ533" i="1" a="1"/>
  <c r="AZ533" i="1" s="1"/>
  <c r="BA533" i="1" a="1"/>
  <c r="BA533" i="1" s="1"/>
  <c r="BB533" i="1" a="1"/>
  <c r="BB533" i="1" s="1"/>
  <c r="AL534" i="1" a="1"/>
  <c r="AL534" i="1" s="1"/>
  <c r="AM534" i="1" a="1"/>
  <c r="AM534" i="1" s="1"/>
  <c r="AN534" i="1" a="1"/>
  <c r="AN534" i="1" s="1"/>
  <c r="AO534" i="1" a="1"/>
  <c r="AO534" i="1" s="1"/>
  <c r="AP534" i="1" a="1"/>
  <c r="AP534" i="1" s="1"/>
  <c r="AQ534" i="1" a="1"/>
  <c r="AQ534" i="1" s="1"/>
  <c r="AR534" i="1" a="1"/>
  <c r="AR534" i="1" s="1"/>
  <c r="AS534" i="1" a="1"/>
  <c r="AS534" i="1" s="1"/>
  <c r="AT534" i="1" a="1"/>
  <c r="AT534" i="1" s="1"/>
  <c r="AU534" i="1" a="1"/>
  <c r="AU534" i="1" s="1"/>
  <c r="AV534" i="1" a="1"/>
  <c r="AV534" i="1" s="1"/>
  <c r="AW534" i="1" a="1"/>
  <c r="AW534" i="1" s="1"/>
  <c r="AX534" i="1" a="1"/>
  <c r="AX534" i="1" s="1"/>
  <c r="AY534" i="1" a="1"/>
  <c r="AY534" i="1" s="1"/>
  <c r="AZ534" i="1" a="1"/>
  <c r="AZ534" i="1" s="1"/>
  <c r="BA534" i="1" a="1"/>
  <c r="BA534" i="1" s="1"/>
  <c r="BB534" i="1" a="1"/>
  <c r="BB534" i="1" s="1"/>
  <c r="AL535" i="1" a="1"/>
  <c r="AL535" i="1" s="1"/>
  <c r="AM535" i="1" a="1"/>
  <c r="AM535" i="1" s="1"/>
  <c r="AN535" i="1" a="1"/>
  <c r="AN535" i="1" s="1"/>
  <c r="AO535" i="1" a="1"/>
  <c r="AO535" i="1" s="1"/>
  <c r="AP535" i="1" a="1"/>
  <c r="AP535" i="1" s="1"/>
  <c r="AQ535" i="1" a="1"/>
  <c r="AQ535" i="1" s="1"/>
  <c r="AR535" i="1" a="1"/>
  <c r="AR535" i="1" s="1"/>
  <c r="AS535" i="1" a="1"/>
  <c r="AS535" i="1" s="1"/>
  <c r="AT535" i="1" a="1"/>
  <c r="AT535" i="1" s="1"/>
  <c r="AU535" i="1" a="1"/>
  <c r="AU535" i="1" s="1"/>
  <c r="AV535" i="1" a="1"/>
  <c r="AV535" i="1" s="1"/>
  <c r="AW535" i="1" a="1"/>
  <c r="AW535" i="1" s="1"/>
  <c r="AX535" i="1" a="1"/>
  <c r="AX535" i="1" s="1"/>
  <c r="AY535" i="1" a="1"/>
  <c r="AY535" i="1" s="1"/>
  <c r="AZ535" i="1" a="1"/>
  <c r="AZ535" i="1" s="1"/>
  <c r="BA535" i="1" a="1"/>
  <c r="BA535" i="1" s="1"/>
  <c r="BB535" i="1" a="1"/>
  <c r="BB535" i="1" s="1"/>
  <c r="AL536" i="1" a="1"/>
  <c r="AL536" i="1" s="1"/>
  <c r="AM536" i="1" a="1"/>
  <c r="AM536" i="1" s="1"/>
  <c r="AN536" i="1" a="1"/>
  <c r="AN536" i="1" s="1"/>
  <c r="AO536" i="1" a="1"/>
  <c r="AO536" i="1" s="1"/>
  <c r="AP536" i="1" a="1"/>
  <c r="AP536" i="1" s="1"/>
  <c r="AQ536" i="1" a="1"/>
  <c r="AQ536" i="1" s="1"/>
  <c r="AR536" i="1" a="1"/>
  <c r="AR536" i="1" s="1"/>
  <c r="AS536" i="1" a="1"/>
  <c r="AS536" i="1" s="1"/>
  <c r="AT536" i="1" a="1"/>
  <c r="AT536" i="1" s="1"/>
  <c r="AU536" i="1" a="1"/>
  <c r="AU536" i="1" s="1"/>
  <c r="AV536" i="1" a="1"/>
  <c r="AV536" i="1" s="1"/>
  <c r="AW536" i="1" a="1"/>
  <c r="AW536" i="1" s="1"/>
  <c r="AX536" i="1" a="1"/>
  <c r="AX536" i="1" s="1"/>
  <c r="AY536" i="1" a="1"/>
  <c r="AY536" i="1" s="1"/>
  <c r="AZ536" i="1" a="1"/>
  <c r="AZ536" i="1" s="1"/>
  <c r="BA536" i="1" a="1"/>
  <c r="BA536" i="1" s="1"/>
  <c r="BB536" i="1" a="1"/>
  <c r="BB536" i="1" s="1"/>
  <c r="AL537" i="1" a="1"/>
  <c r="AL537" i="1" s="1"/>
  <c r="AM537" i="1" a="1"/>
  <c r="AM537" i="1" s="1"/>
  <c r="AN537" i="1" a="1"/>
  <c r="AN537" i="1" s="1"/>
  <c r="AO537" i="1" a="1"/>
  <c r="AO537" i="1" s="1"/>
  <c r="AP537" i="1" a="1"/>
  <c r="AP537" i="1" s="1"/>
  <c r="AQ537" i="1" a="1"/>
  <c r="AQ537" i="1" s="1"/>
  <c r="AR537" i="1" a="1"/>
  <c r="AR537" i="1" s="1"/>
  <c r="AS537" i="1" a="1"/>
  <c r="AS537" i="1" s="1"/>
  <c r="AT537" i="1" a="1"/>
  <c r="AT537" i="1" s="1"/>
  <c r="AU537" i="1" a="1"/>
  <c r="AU537" i="1" s="1"/>
  <c r="AV537" i="1" a="1"/>
  <c r="AV537" i="1" s="1"/>
  <c r="AW537" i="1" a="1"/>
  <c r="AW537" i="1" s="1"/>
  <c r="AX537" i="1" a="1"/>
  <c r="AX537" i="1" s="1"/>
  <c r="AY537" i="1" a="1"/>
  <c r="AY537" i="1" s="1"/>
  <c r="AZ537" i="1" a="1"/>
  <c r="AZ537" i="1" s="1"/>
  <c r="BA537" i="1" a="1"/>
  <c r="BA537" i="1" s="1"/>
  <c r="BB537" i="1" a="1"/>
  <c r="BB537" i="1" s="1"/>
  <c r="AL538" i="1" a="1"/>
  <c r="AL538" i="1" s="1"/>
  <c r="AM538" i="1" a="1"/>
  <c r="AM538" i="1" s="1"/>
  <c r="AN538" i="1" a="1"/>
  <c r="AN538" i="1" s="1"/>
  <c r="AO538" i="1" a="1"/>
  <c r="AO538" i="1" s="1"/>
  <c r="AP538" i="1" a="1"/>
  <c r="AP538" i="1" s="1"/>
  <c r="AQ538" i="1" a="1"/>
  <c r="AQ538" i="1" s="1"/>
  <c r="AR538" i="1" a="1"/>
  <c r="AR538" i="1" s="1"/>
  <c r="AS538" i="1" a="1"/>
  <c r="AS538" i="1" s="1"/>
  <c r="AT538" i="1" a="1"/>
  <c r="AT538" i="1" s="1"/>
  <c r="AU538" i="1" a="1"/>
  <c r="AU538" i="1" s="1"/>
  <c r="AV538" i="1" a="1"/>
  <c r="AV538" i="1" s="1"/>
  <c r="AW538" i="1" a="1"/>
  <c r="AW538" i="1" s="1"/>
  <c r="AX538" i="1" a="1"/>
  <c r="AX538" i="1" s="1"/>
  <c r="AY538" i="1" a="1"/>
  <c r="AY538" i="1" s="1"/>
  <c r="AZ538" i="1" a="1"/>
  <c r="AZ538" i="1" s="1"/>
  <c r="BA538" i="1" a="1"/>
  <c r="BA538" i="1" s="1"/>
  <c r="BB538" i="1" a="1"/>
  <c r="BB538" i="1" s="1"/>
  <c r="AL539" i="1" a="1"/>
  <c r="AL539" i="1" s="1"/>
  <c r="AM539" i="1" a="1"/>
  <c r="AM539" i="1" s="1"/>
  <c r="AN539" i="1" a="1"/>
  <c r="AN539" i="1" s="1"/>
  <c r="AO539" i="1" a="1"/>
  <c r="AO539" i="1" s="1"/>
  <c r="AP539" i="1" a="1"/>
  <c r="AP539" i="1" s="1"/>
  <c r="AQ539" i="1" a="1"/>
  <c r="AQ539" i="1" s="1"/>
  <c r="AR539" i="1" a="1"/>
  <c r="AR539" i="1" s="1"/>
  <c r="AS539" i="1" a="1"/>
  <c r="AS539" i="1" s="1"/>
  <c r="AT539" i="1" a="1"/>
  <c r="AT539" i="1" s="1"/>
  <c r="AU539" i="1" a="1"/>
  <c r="AU539" i="1" s="1"/>
  <c r="AV539" i="1" a="1"/>
  <c r="AV539" i="1" s="1"/>
  <c r="AW539" i="1" a="1"/>
  <c r="AW539" i="1" s="1"/>
  <c r="AX539" i="1" a="1"/>
  <c r="AX539" i="1" s="1"/>
  <c r="AY539" i="1" a="1"/>
  <c r="AY539" i="1" s="1"/>
  <c r="AZ539" i="1" a="1"/>
  <c r="AZ539" i="1" s="1"/>
  <c r="BA539" i="1" a="1"/>
  <c r="BA539" i="1" s="1"/>
  <c r="BB539" i="1" a="1"/>
  <c r="BB539" i="1" s="1"/>
  <c r="AL540" i="1" a="1"/>
  <c r="AL540" i="1" s="1"/>
  <c r="AM540" i="1" a="1"/>
  <c r="AM540" i="1" s="1"/>
  <c r="AN540" i="1" a="1"/>
  <c r="AN540" i="1" s="1"/>
  <c r="AO540" i="1" a="1"/>
  <c r="AO540" i="1" s="1"/>
  <c r="AP540" i="1" a="1"/>
  <c r="AP540" i="1" s="1"/>
  <c r="AQ540" i="1" a="1"/>
  <c r="AQ540" i="1" s="1"/>
  <c r="AR540" i="1" a="1"/>
  <c r="AR540" i="1" s="1"/>
  <c r="AS540" i="1" a="1"/>
  <c r="AS540" i="1" s="1"/>
  <c r="AT540" i="1" a="1"/>
  <c r="AT540" i="1" s="1"/>
  <c r="AU540" i="1" a="1"/>
  <c r="AU540" i="1" s="1"/>
  <c r="AV540" i="1" a="1"/>
  <c r="AV540" i="1" s="1"/>
  <c r="AW540" i="1" a="1"/>
  <c r="AW540" i="1" s="1"/>
  <c r="AX540" i="1" a="1"/>
  <c r="AX540" i="1" s="1"/>
  <c r="AY540" i="1" a="1"/>
  <c r="AY540" i="1" s="1"/>
  <c r="AZ540" i="1" a="1"/>
  <c r="AZ540" i="1" s="1"/>
  <c r="BA540" i="1" a="1"/>
  <c r="BA540" i="1" s="1"/>
  <c r="BB540" i="1" a="1"/>
  <c r="BB540" i="1" s="1"/>
  <c r="AL541" i="1" a="1"/>
  <c r="AL541" i="1" s="1"/>
  <c r="AM541" i="1" a="1"/>
  <c r="AM541" i="1" s="1"/>
  <c r="AN541" i="1" a="1"/>
  <c r="AN541" i="1" s="1"/>
  <c r="AO541" i="1" a="1"/>
  <c r="AO541" i="1" s="1"/>
  <c r="AP541" i="1" a="1"/>
  <c r="AP541" i="1" s="1"/>
  <c r="AQ541" i="1" a="1"/>
  <c r="AQ541" i="1" s="1"/>
  <c r="AR541" i="1" a="1"/>
  <c r="AR541" i="1" s="1"/>
  <c r="AS541" i="1" a="1"/>
  <c r="AS541" i="1" s="1"/>
  <c r="AT541" i="1" a="1"/>
  <c r="AT541" i="1" s="1"/>
  <c r="AU541" i="1" a="1"/>
  <c r="AU541" i="1" s="1"/>
  <c r="AV541" i="1" a="1"/>
  <c r="AV541" i="1" s="1"/>
  <c r="AW541" i="1" a="1"/>
  <c r="AW541" i="1" s="1"/>
  <c r="AX541" i="1" a="1"/>
  <c r="AX541" i="1" s="1"/>
  <c r="AY541" i="1" a="1"/>
  <c r="AY541" i="1" s="1"/>
  <c r="AZ541" i="1" a="1"/>
  <c r="AZ541" i="1" s="1"/>
  <c r="BA541" i="1" a="1"/>
  <c r="BA541" i="1" s="1"/>
  <c r="BB541" i="1" a="1"/>
  <c r="BB541" i="1" s="1"/>
  <c r="AL542" i="1" a="1"/>
  <c r="AL542" i="1" s="1"/>
  <c r="AM542" i="1" a="1"/>
  <c r="AM542" i="1" s="1"/>
  <c r="AN542" i="1" a="1"/>
  <c r="AN542" i="1" s="1"/>
  <c r="AO542" i="1" a="1"/>
  <c r="AO542" i="1" s="1"/>
  <c r="AP542" i="1" a="1"/>
  <c r="AP542" i="1" s="1"/>
  <c r="AQ542" i="1" a="1"/>
  <c r="AQ542" i="1" s="1"/>
  <c r="AR542" i="1" a="1"/>
  <c r="AR542" i="1" s="1"/>
  <c r="AS542" i="1" a="1"/>
  <c r="AS542" i="1" s="1"/>
  <c r="AT542" i="1" a="1"/>
  <c r="AT542" i="1" s="1"/>
  <c r="AU542" i="1" a="1"/>
  <c r="AU542" i="1" s="1"/>
  <c r="AV542" i="1" a="1"/>
  <c r="AV542" i="1" s="1"/>
  <c r="AW542" i="1" a="1"/>
  <c r="AW542" i="1" s="1"/>
  <c r="AX542" i="1" a="1"/>
  <c r="AX542" i="1" s="1"/>
  <c r="AY542" i="1" a="1"/>
  <c r="AY542" i="1" s="1"/>
  <c r="AZ542" i="1" a="1"/>
  <c r="AZ542" i="1" s="1"/>
  <c r="BA542" i="1" a="1"/>
  <c r="BA542" i="1" s="1"/>
  <c r="BB542" i="1" a="1"/>
  <c r="BB542" i="1" s="1"/>
  <c r="AL544" i="1" a="1"/>
  <c r="AL544" i="1" s="1"/>
  <c r="AM544" i="1" a="1"/>
  <c r="AM544" i="1" s="1"/>
  <c r="AN544" i="1" a="1"/>
  <c r="AN544" i="1" s="1"/>
  <c r="AO544" i="1" a="1"/>
  <c r="AO544" i="1" s="1"/>
  <c r="AP544" i="1" a="1"/>
  <c r="AP544" i="1" s="1"/>
  <c r="AQ544" i="1" a="1"/>
  <c r="AQ544" i="1" s="1"/>
  <c r="AR544" i="1" a="1"/>
  <c r="AR544" i="1" s="1"/>
  <c r="AS544" i="1" a="1"/>
  <c r="AS544" i="1" s="1"/>
  <c r="AT544" i="1" a="1"/>
  <c r="AT544" i="1" s="1"/>
  <c r="AU544" i="1" a="1"/>
  <c r="AU544" i="1" s="1"/>
  <c r="AV544" i="1" a="1"/>
  <c r="AV544" i="1" s="1"/>
  <c r="AW544" i="1" a="1"/>
  <c r="AW544" i="1" s="1"/>
  <c r="AX544" i="1" a="1"/>
  <c r="AX544" i="1" s="1"/>
  <c r="AY544" i="1" a="1"/>
  <c r="AY544" i="1" s="1"/>
  <c r="AZ544" i="1" a="1"/>
  <c r="AZ544" i="1" s="1"/>
  <c r="BA544" i="1" a="1"/>
  <c r="BA544" i="1" s="1"/>
  <c r="BB544" i="1" a="1"/>
  <c r="BB544" i="1" s="1"/>
  <c r="AL545" i="1" a="1"/>
  <c r="AL545" i="1" s="1"/>
  <c r="AM545" i="1" a="1"/>
  <c r="AM545" i="1" s="1"/>
  <c r="AN545" i="1" a="1"/>
  <c r="AN545" i="1" s="1"/>
  <c r="AO545" i="1" a="1"/>
  <c r="AO545" i="1" s="1"/>
  <c r="AP545" i="1" a="1"/>
  <c r="AP545" i="1" s="1"/>
  <c r="AQ545" i="1" a="1"/>
  <c r="AQ545" i="1" s="1"/>
  <c r="AR545" i="1" a="1"/>
  <c r="AR545" i="1" s="1"/>
  <c r="AS545" i="1" a="1"/>
  <c r="AS545" i="1" s="1"/>
  <c r="AT545" i="1" a="1"/>
  <c r="AT545" i="1" s="1"/>
  <c r="AU545" i="1" a="1"/>
  <c r="AU545" i="1" s="1"/>
  <c r="AV545" i="1" a="1"/>
  <c r="AV545" i="1" s="1"/>
  <c r="AW545" i="1" a="1"/>
  <c r="AW545" i="1" s="1"/>
  <c r="AX545" i="1" a="1"/>
  <c r="AX545" i="1" s="1"/>
  <c r="AY545" i="1" a="1"/>
  <c r="AY545" i="1" s="1"/>
  <c r="AZ545" i="1" a="1"/>
  <c r="AZ545" i="1" s="1"/>
  <c r="BA545" i="1" a="1"/>
  <c r="BA545" i="1" s="1"/>
  <c r="BB545" i="1" a="1"/>
  <c r="BB545" i="1" s="1"/>
  <c r="AL546" i="1" a="1"/>
  <c r="AL546" i="1" s="1"/>
  <c r="AM546" i="1" a="1"/>
  <c r="AM546" i="1" s="1"/>
  <c r="AN546" i="1" a="1"/>
  <c r="AN546" i="1" s="1"/>
  <c r="AO546" i="1" a="1"/>
  <c r="AO546" i="1" s="1"/>
  <c r="AP546" i="1" a="1"/>
  <c r="AP546" i="1" s="1"/>
  <c r="AQ546" i="1" a="1"/>
  <c r="AQ546" i="1" s="1"/>
  <c r="AR546" i="1" a="1"/>
  <c r="AR546" i="1" s="1"/>
  <c r="AS546" i="1" a="1"/>
  <c r="AS546" i="1" s="1"/>
  <c r="AT546" i="1" a="1"/>
  <c r="AT546" i="1" s="1"/>
  <c r="AU546" i="1" a="1"/>
  <c r="AU546" i="1" s="1"/>
  <c r="AV546" i="1" a="1"/>
  <c r="AV546" i="1" s="1"/>
  <c r="AW546" i="1" a="1"/>
  <c r="AW546" i="1" s="1"/>
  <c r="AX546" i="1" a="1"/>
  <c r="AX546" i="1" s="1"/>
  <c r="AY546" i="1" a="1"/>
  <c r="AY546" i="1" s="1"/>
  <c r="AZ546" i="1" a="1"/>
  <c r="AZ546" i="1" s="1"/>
  <c r="BA546" i="1" a="1"/>
  <c r="BA546" i="1" s="1"/>
  <c r="BB546" i="1" a="1"/>
  <c r="BB546" i="1" s="1"/>
  <c r="AL547" i="1" a="1"/>
  <c r="AL547" i="1" s="1"/>
  <c r="AM547" i="1" a="1"/>
  <c r="AM547" i="1" s="1"/>
  <c r="AN547" i="1" a="1"/>
  <c r="AN547" i="1" s="1"/>
  <c r="AO547" i="1" a="1"/>
  <c r="AO547" i="1" s="1"/>
  <c r="AP547" i="1" a="1"/>
  <c r="AP547" i="1" s="1"/>
  <c r="AQ547" i="1" a="1"/>
  <c r="AQ547" i="1" s="1"/>
  <c r="AR547" i="1" a="1"/>
  <c r="AR547" i="1" s="1"/>
  <c r="AS547" i="1" a="1"/>
  <c r="AS547" i="1" s="1"/>
  <c r="AT547" i="1" a="1"/>
  <c r="AT547" i="1" s="1"/>
  <c r="AU547" i="1" a="1"/>
  <c r="AU547" i="1" s="1"/>
  <c r="AV547" i="1" a="1"/>
  <c r="AV547" i="1" s="1"/>
  <c r="AW547" i="1" a="1"/>
  <c r="AW547" i="1" s="1"/>
  <c r="AX547" i="1" a="1"/>
  <c r="AX547" i="1" s="1"/>
  <c r="AY547" i="1" a="1"/>
  <c r="AY547" i="1" s="1"/>
  <c r="AZ547" i="1" a="1"/>
  <c r="AZ547" i="1" s="1"/>
  <c r="BA547" i="1" a="1"/>
  <c r="BA547" i="1" s="1"/>
  <c r="BB547" i="1" a="1"/>
  <c r="BB547" i="1" s="1"/>
  <c r="AL548" i="1" a="1"/>
  <c r="AL548" i="1" s="1"/>
  <c r="AM548" i="1" a="1"/>
  <c r="AM548" i="1" s="1"/>
  <c r="AN548" i="1" a="1"/>
  <c r="AN548" i="1" s="1"/>
  <c r="AO548" i="1" a="1"/>
  <c r="AO548" i="1" s="1"/>
  <c r="AP548" i="1" a="1"/>
  <c r="AP548" i="1" s="1"/>
  <c r="AQ548" i="1" a="1"/>
  <c r="AQ548" i="1" s="1"/>
  <c r="AR548" i="1" a="1"/>
  <c r="AR548" i="1" s="1"/>
  <c r="AS548" i="1" a="1"/>
  <c r="AS548" i="1" s="1"/>
  <c r="AT548" i="1" a="1"/>
  <c r="AT548" i="1" s="1"/>
  <c r="AU548" i="1" a="1"/>
  <c r="AU548" i="1" s="1"/>
  <c r="AV548" i="1" a="1"/>
  <c r="AV548" i="1" s="1"/>
  <c r="AW548" i="1" a="1"/>
  <c r="AW548" i="1" s="1"/>
  <c r="AX548" i="1" a="1"/>
  <c r="AX548" i="1" s="1"/>
  <c r="AY548" i="1" a="1"/>
  <c r="AY548" i="1" s="1"/>
  <c r="AZ548" i="1" a="1"/>
  <c r="AZ548" i="1" s="1"/>
  <c r="BA548" i="1" a="1"/>
  <c r="BA548" i="1" s="1"/>
  <c r="BB548" i="1" a="1"/>
  <c r="BB548" i="1" s="1"/>
  <c r="AL549" i="1" a="1"/>
  <c r="AL549" i="1" s="1"/>
  <c r="AM549" i="1" a="1"/>
  <c r="AM549" i="1" s="1"/>
  <c r="AN549" i="1" a="1"/>
  <c r="AN549" i="1" s="1"/>
  <c r="AO549" i="1" a="1"/>
  <c r="AO549" i="1" s="1"/>
  <c r="AP549" i="1" a="1"/>
  <c r="AP549" i="1" s="1"/>
  <c r="AQ549" i="1" a="1"/>
  <c r="AQ549" i="1" s="1"/>
  <c r="AR549" i="1" a="1"/>
  <c r="AR549" i="1" s="1"/>
  <c r="AS549" i="1" a="1"/>
  <c r="AS549" i="1" s="1"/>
  <c r="AT549" i="1" a="1"/>
  <c r="AT549" i="1" s="1"/>
  <c r="AU549" i="1" a="1"/>
  <c r="AU549" i="1" s="1"/>
  <c r="AV549" i="1" a="1"/>
  <c r="AV549" i="1" s="1"/>
  <c r="AW549" i="1" a="1"/>
  <c r="AW549" i="1" s="1"/>
  <c r="AX549" i="1" a="1"/>
  <c r="AX549" i="1" s="1"/>
  <c r="AY549" i="1" a="1"/>
  <c r="AY549" i="1" s="1"/>
  <c r="AZ549" i="1" a="1"/>
  <c r="AZ549" i="1" s="1"/>
  <c r="BA549" i="1" a="1"/>
  <c r="BA549" i="1" s="1"/>
  <c r="BB549" i="1" a="1"/>
  <c r="BB549" i="1" s="1"/>
  <c r="AL551" i="1" a="1"/>
  <c r="AL551" i="1" s="1"/>
  <c r="AM551" i="1" a="1"/>
  <c r="AM551" i="1" s="1"/>
  <c r="AN551" i="1" a="1"/>
  <c r="AN551" i="1" s="1"/>
  <c r="AO551" i="1" a="1"/>
  <c r="AO551" i="1" s="1"/>
  <c r="AP551" i="1" a="1"/>
  <c r="AP551" i="1" s="1"/>
  <c r="AQ551" i="1" a="1"/>
  <c r="AQ551" i="1" s="1"/>
  <c r="AR551" i="1" a="1"/>
  <c r="AR551" i="1" s="1"/>
  <c r="AS551" i="1" a="1"/>
  <c r="AS551" i="1" s="1"/>
  <c r="AT551" i="1" a="1"/>
  <c r="AT551" i="1" s="1"/>
  <c r="AU551" i="1" a="1"/>
  <c r="AU551" i="1" s="1"/>
  <c r="AV551" i="1" a="1"/>
  <c r="AV551" i="1" s="1"/>
  <c r="AW551" i="1" a="1"/>
  <c r="AW551" i="1" s="1"/>
  <c r="AX551" i="1" a="1"/>
  <c r="AX551" i="1" s="1"/>
  <c r="AY551" i="1" a="1"/>
  <c r="AY551" i="1" s="1"/>
  <c r="AZ551" i="1" a="1"/>
  <c r="AZ551" i="1" s="1"/>
  <c r="BA551" i="1" a="1"/>
  <c r="BA551" i="1" s="1"/>
  <c r="BB551" i="1" a="1"/>
  <c r="BB551" i="1" s="1"/>
  <c r="AL552" i="1" a="1"/>
  <c r="AL552" i="1" s="1"/>
  <c r="AM552" i="1" a="1"/>
  <c r="AM552" i="1" s="1"/>
  <c r="AN552" i="1" a="1"/>
  <c r="AN552" i="1" s="1"/>
  <c r="AO552" i="1" a="1"/>
  <c r="AO552" i="1" s="1"/>
  <c r="AP552" i="1" a="1"/>
  <c r="AP552" i="1" s="1"/>
  <c r="AQ552" i="1" a="1"/>
  <c r="AQ552" i="1" s="1"/>
  <c r="AR552" i="1" a="1"/>
  <c r="AR552" i="1" s="1"/>
  <c r="AS552" i="1" a="1"/>
  <c r="AS552" i="1" s="1"/>
  <c r="AT552" i="1" a="1"/>
  <c r="AT552" i="1" s="1"/>
  <c r="AU552" i="1" a="1"/>
  <c r="AU552" i="1" s="1"/>
  <c r="AV552" i="1" a="1"/>
  <c r="AV552" i="1" s="1"/>
  <c r="AW552" i="1" a="1"/>
  <c r="AW552" i="1" s="1"/>
  <c r="AX552" i="1" a="1"/>
  <c r="AX552" i="1" s="1"/>
  <c r="AY552" i="1" a="1"/>
  <c r="AY552" i="1" s="1"/>
  <c r="AZ552" i="1" a="1"/>
  <c r="AZ552" i="1" s="1"/>
  <c r="BA552" i="1" a="1"/>
  <c r="BA552" i="1" s="1"/>
  <c r="BB552" i="1" a="1"/>
  <c r="BB552" i="1" s="1"/>
  <c r="AL553" i="1" a="1"/>
  <c r="AL553" i="1" s="1"/>
  <c r="AM553" i="1" a="1"/>
  <c r="AM553" i="1" s="1"/>
  <c r="AN553" i="1" a="1"/>
  <c r="AN553" i="1" s="1"/>
  <c r="AO553" i="1" a="1"/>
  <c r="AO553" i="1" s="1"/>
  <c r="AP553" i="1" a="1"/>
  <c r="AP553" i="1" s="1"/>
  <c r="AQ553" i="1" a="1"/>
  <c r="AQ553" i="1" s="1"/>
  <c r="AR553" i="1" a="1"/>
  <c r="AR553" i="1" s="1"/>
  <c r="AS553" i="1" a="1"/>
  <c r="AS553" i="1" s="1"/>
  <c r="AT553" i="1" a="1"/>
  <c r="AT553" i="1" s="1"/>
  <c r="AU553" i="1" a="1"/>
  <c r="AU553" i="1" s="1"/>
  <c r="AV553" i="1" a="1"/>
  <c r="AV553" i="1" s="1"/>
  <c r="AW553" i="1" a="1"/>
  <c r="AW553" i="1" s="1"/>
  <c r="AX553" i="1" a="1"/>
  <c r="AX553" i="1" s="1"/>
  <c r="AY553" i="1" a="1"/>
  <c r="AY553" i="1" s="1"/>
  <c r="AZ553" i="1" a="1"/>
  <c r="AZ553" i="1" s="1"/>
  <c r="BA553" i="1" a="1"/>
  <c r="BA553" i="1" s="1"/>
  <c r="BB553" i="1" a="1"/>
  <c r="BB553" i="1" s="1"/>
  <c r="AL554" i="1" a="1"/>
  <c r="AL554" i="1" s="1"/>
  <c r="AM554" i="1" a="1"/>
  <c r="AM554" i="1" s="1"/>
  <c r="AN554" i="1" a="1"/>
  <c r="AN554" i="1" s="1"/>
  <c r="AO554" i="1" a="1"/>
  <c r="AO554" i="1" s="1"/>
  <c r="AP554" i="1" a="1"/>
  <c r="AP554" i="1" s="1"/>
  <c r="AQ554" i="1" a="1"/>
  <c r="AQ554" i="1" s="1"/>
  <c r="AR554" i="1" a="1"/>
  <c r="AR554" i="1" s="1"/>
  <c r="AS554" i="1" a="1"/>
  <c r="AS554" i="1" s="1"/>
  <c r="AT554" i="1" a="1"/>
  <c r="AT554" i="1" s="1"/>
  <c r="AU554" i="1" a="1"/>
  <c r="AU554" i="1" s="1"/>
  <c r="AV554" i="1" a="1"/>
  <c r="AV554" i="1" s="1"/>
  <c r="AW554" i="1" a="1"/>
  <c r="AW554" i="1" s="1"/>
  <c r="AX554" i="1" a="1"/>
  <c r="AX554" i="1" s="1"/>
  <c r="AY554" i="1" a="1"/>
  <c r="AY554" i="1" s="1"/>
  <c r="AZ554" i="1" a="1"/>
  <c r="AZ554" i="1" s="1"/>
  <c r="BA554" i="1" a="1"/>
  <c r="BA554" i="1" s="1"/>
  <c r="BB554" i="1" a="1"/>
  <c r="BB554" i="1" s="1"/>
  <c r="AL555" i="1" a="1"/>
  <c r="AL555" i="1" s="1"/>
  <c r="AM555" i="1" a="1"/>
  <c r="AM555" i="1" s="1"/>
  <c r="AN555" i="1" a="1"/>
  <c r="AN555" i="1" s="1"/>
  <c r="AO555" i="1" a="1"/>
  <c r="AO555" i="1" s="1"/>
  <c r="AP555" i="1" a="1"/>
  <c r="AP555" i="1" s="1"/>
  <c r="AQ555" i="1" a="1"/>
  <c r="AQ555" i="1" s="1"/>
  <c r="AR555" i="1" a="1"/>
  <c r="AR555" i="1" s="1"/>
  <c r="AS555" i="1" a="1"/>
  <c r="AS555" i="1" s="1"/>
  <c r="AT555" i="1" a="1"/>
  <c r="AT555" i="1" s="1"/>
  <c r="AU555" i="1" a="1"/>
  <c r="AU555" i="1" s="1"/>
  <c r="AV555" i="1" a="1"/>
  <c r="AV555" i="1" s="1"/>
  <c r="AW555" i="1" a="1"/>
  <c r="AW555" i="1" s="1"/>
  <c r="AX555" i="1" a="1"/>
  <c r="AX555" i="1" s="1"/>
  <c r="AY555" i="1" a="1"/>
  <c r="AY555" i="1" s="1"/>
  <c r="AZ555" i="1" a="1"/>
  <c r="AZ555" i="1" s="1"/>
  <c r="BA555" i="1" a="1"/>
  <c r="BA555" i="1" s="1"/>
  <c r="BB555" i="1" a="1"/>
  <c r="BB555" i="1" s="1"/>
  <c r="AL556" i="1" a="1"/>
  <c r="AL556" i="1" s="1"/>
  <c r="AM556" i="1" a="1"/>
  <c r="AM556" i="1" s="1"/>
  <c r="AN556" i="1" a="1"/>
  <c r="AN556" i="1" s="1"/>
  <c r="AO556" i="1" a="1"/>
  <c r="AO556" i="1" s="1"/>
  <c r="AP556" i="1" a="1"/>
  <c r="AP556" i="1" s="1"/>
  <c r="AQ556" i="1" a="1"/>
  <c r="AQ556" i="1" s="1"/>
  <c r="AR556" i="1" a="1"/>
  <c r="AR556" i="1" s="1"/>
  <c r="AS556" i="1" a="1"/>
  <c r="AS556" i="1" s="1"/>
  <c r="AT556" i="1" a="1"/>
  <c r="AT556" i="1" s="1"/>
  <c r="AU556" i="1" a="1"/>
  <c r="AU556" i="1" s="1"/>
  <c r="AV556" i="1" a="1"/>
  <c r="AV556" i="1" s="1"/>
  <c r="AW556" i="1" a="1"/>
  <c r="AW556" i="1" s="1"/>
  <c r="AX556" i="1" a="1"/>
  <c r="AX556" i="1" s="1"/>
  <c r="AY556" i="1" a="1"/>
  <c r="AY556" i="1" s="1"/>
  <c r="AZ556" i="1" a="1"/>
  <c r="AZ556" i="1" s="1"/>
  <c r="BA556" i="1" a="1"/>
  <c r="BA556" i="1" s="1"/>
  <c r="BB556" i="1" a="1"/>
  <c r="BB556" i="1" s="1"/>
  <c r="AL435" i="1" a="1"/>
  <c r="AL435" i="1" s="1"/>
  <c r="AM435" i="1" a="1"/>
  <c r="AM435" i="1" s="1"/>
  <c r="AN435" i="1" a="1"/>
  <c r="AN435" i="1" s="1"/>
  <c r="AO435" i="1" a="1"/>
  <c r="AO435" i="1" s="1"/>
  <c r="AP435" i="1" a="1"/>
  <c r="AP435" i="1" s="1"/>
  <c r="AQ435" i="1" a="1"/>
  <c r="AQ435" i="1" s="1"/>
  <c r="AR435" i="1" a="1"/>
  <c r="AR435" i="1" s="1"/>
  <c r="AS435" i="1" a="1"/>
  <c r="AS435" i="1" s="1"/>
  <c r="AT435" i="1" a="1"/>
  <c r="AT435" i="1" s="1"/>
  <c r="AU435" i="1" a="1"/>
  <c r="AU435" i="1" s="1"/>
  <c r="AV435" i="1" a="1"/>
  <c r="AV435" i="1" s="1"/>
  <c r="AW435" i="1" a="1"/>
  <c r="AW435" i="1" s="1"/>
  <c r="AX435" i="1" a="1"/>
  <c r="AX435" i="1" s="1"/>
  <c r="AY435" i="1" a="1"/>
  <c r="AY435" i="1" s="1"/>
  <c r="AZ435" i="1" a="1"/>
  <c r="AZ435" i="1" s="1"/>
  <c r="BA435" i="1" a="1"/>
  <c r="BA435" i="1" s="1"/>
  <c r="BB435" i="1" a="1"/>
  <c r="BB435" i="1" s="1"/>
  <c r="AL461" i="1" a="1"/>
  <c r="AL461" i="1" s="1"/>
  <c r="AM461" i="1" a="1"/>
  <c r="AM461" i="1" s="1"/>
  <c r="AN461" i="1" a="1"/>
  <c r="AN461" i="1" s="1"/>
  <c r="AO461" i="1" a="1"/>
  <c r="AO461" i="1" s="1"/>
  <c r="AP461" i="1" a="1"/>
  <c r="AP461" i="1" s="1"/>
  <c r="AQ461" i="1" a="1"/>
  <c r="AQ461" i="1" s="1"/>
  <c r="AR461" i="1" a="1"/>
  <c r="AR461" i="1" s="1"/>
  <c r="AS461" i="1" a="1"/>
  <c r="AS461" i="1" s="1"/>
  <c r="AT461" i="1" a="1"/>
  <c r="AT461" i="1" s="1"/>
  <c r="AU461" i="1" a="1"/>
  <c r="AU461" i="1" s="1"/>
  <c r="AV461" i="1" a="1"/>
  <c r="AV461" i="1" s="1"/>
  <c r="AW461" i="1" a="1"/>
  <c r="AW461" i="1" s="1"/>
  <c r="AX461" i="1" a="1"/>
  <c r="AX461" i="1" s="1"/>
  <c r="AY461" i="1" a="1"/>
  <c r="AY461" i="1" s="1"/>
  <c r="AZ461" i="1" a="1"/>
  <c r="AZ461" i="1" s="1"/>
  <c r="BA461" i="1" a="1"/>
  <c r="BA461" i="1" s="1"/>
  <c r="BB461" i="1" a="1"/>
  <c r="BB461" i="1" s="1"/>
  <c r="AL557" i="1" a="1"/>
  <c r="AL557" i="1" s="1"/>
  <c r="AM557" i="1" a="1"/>
  <c r="AM557" i="1" s="1"/>
  <c r="AN557" i="1" a="1"/>
  <c r="AN557" i="1" s="1"/>
  <c r="AO557" i="1" a="1"/>
  <c r="AO557" i="1" s="1"/>
  <c r="AP557" i="1" a="1"/>
  <c r="AP557" i="1" s="1"/>
  <c r="AQ557" i="1" a="1"/>
  <c r="AQ557" i="1" s="1"/>
  <c r="AR557" i="1" a="1"/>
  <c r="AR557" i="1" s="1"/>
  <c r="AS557" i="1" a="1"/>
  <c r="AS557" i="1" s="1"/>
  <c r="AT557" i="1" a="1"/>
  <c r="AT557" i="1" s="1"/>
  <c r="AU557" i="1" a="1"/>
  <c r="AU557" i="1" s="1"/>
  <c r="AV557" i="1" a="1"/>
  <c r="AV557" i="1" s="1"/>
  <c r="AW557" i="1" a="1"/>
  <c r="AW557" i="1" s="1"/>
  <c r="AX557" i="1" a="1"/>
  <c r="AX557" i="1" s="1"/>
  <c r="AY557" i="1" a="1"/>
  <c r="AY557" i="1" s="1"/>
  <c r="AZ557" i="1" a="1"/>
  <c r="AZ557" i="1" s="1"/>
  <c r="BA557" i="1" a="1"/>
  <c r="BA557" i="1" s="1"/>
  <c r="BB557" i="1" a="1"/>
  <c r="BB557" i="1" s="1"/>
  <c r="AL558" i="1" a="1"/>
  <c r="AL558" i="1" s="1"/>
  <c r="AM558" i="1" a="1"/>
  <c r="AM558" i="1" s="1"/>
  <c r="AN558" i="1" a="1"/>
  <c r="AN558" i="1" s="1"/>
  <c r="AO558" i="1" a="1"/>
  <c r="AO558" i="1" s="1"/>
  <c r="AP558" i="1" a="1"/>
  <c r="AP558" i="1" s="1"/>
  <c r="AQ558" i="1" a="1"/>
  <c r="AQ558" i="1" s="1"/>
  <c r="AR558" i="1" a="1"/>
  <c r="AR558" i="1" s="1"/>
  <c r="AS558" i="1" a="1"/>
  <c r="AS558" i="1" s="1"/>
  <c r="AT558" i="1" a="1"/>
  <c r="AT558" i="1" s="1"/>
  <c r="AU558" i="1" a="1"/>
  <c r="AU558" i="1" s="1"/>
  <c r="AV558" i="1" a="1"/>
  <c r="AV558" i="1" s="1"/>
  <c r="AW558" i="1" a="1"/>
  <c r="AW558" i="1" s="1"/>
  <c r="AX558" i="1" a="1"/>
  <c r="AX558" i="1" s="1"/>
  <c r="AY558" i="1" a="1"/>
  <c r="AY558" i="1" s="1"/>
  <c r="AZ558" i="1" a="1"/>
  <c r="AZ558" i="1" s="1"/>
  <c r="BA558" i="1" a="1"/>
  <c r="BA558" i="1" s="1"/>
  <c r="BB558" i="1" a="1"/>
  <c r="BB558" i="1" s="1"/>
  <c r="AL559" i="1" a="1"/>
  <c r="AL559" i="1" s="1"/>
  <c r="AM559" i="1" a="1"/>
  <c r="AM559" i="1" s="1"/>
  <c r="AN559" i="1" a="1"/>
  <c r="AN559" i="1" s="1"/>
  <c r="AO559" i="1" a="1"/>
  <c r="AO559" i="1" s="1"/>
  <c r="AP559" i="1" a="1"/>
  <c r="AP559" i="1" s="1"/>
  <c r="AQ559" i="1" a="1"/>
  <c r="AQ559" i="1" s="1"/>
  <c r="AR559" i="1" a="1"/>
  <c r="AR559" i="1" s="1"/>
  <c r="AS559" i="1" a="1"/>
  <c r="AS559" i="1" s="1"/>
  <c r="AT559" i="1" a="1"/>
  <c r="AT559" i="1" s="1"/>
  <c r="AU559" i="1" a="1"/>
  <c r="AU559" i="1" s="1"/>
  <c r="AV559" i="1" a="1"/>
  <c r="AV559" i="1" s="1"/>
  <c r="AW559" i="1" a="1"/>
  <c r="AW559" i="1" s="1"/>
  <c r="AX559" i="1" a="1"/>
  <c r="AX559" i="1" s="1"/>
  <c r="AY559" i="1" a="1"/>
  <c r="AY559" i="1" s="1"/>
  <c r="AZ559" i="1" a="1"/>
  <c r="AZ559" i="1" s="1"/>
  <c r="BA559" i="1" a="1"/>
  <c r="BA559" i="1" s="1"/>
  <c r="BB559" i="1" a="1"/>
  <c r="BB559" i="1" s="1"/>
  <c r="AL560" i="1" a="1"/>
  <c r="AL560" i="1" s="1"/>
  <c r="AM560" i="1" a="1"/>
  <c r="AM560" i="1" s="1"/>
  <c r="AN560" i="1" a="1"/>
  <c r="AN560" i="1" s="1"/>
  <c r="AO560" i="1" a="1"/>
  <c r="AO560" i="1" s="1"/>
  <c r="AP560" i="1" a="1"/>
  <c r="AP560" i="1" s="1"/>
  <c r="AQ560" i="1" a="1"/>
  <c r="AQ560" i="1" s="1"/>
  <c r="AR560" i="1" a="1"/>
  <c r="AR560" i="1" s="1"/>
  <c r="AS560" i="1" a="1"/>
  <c r="AS560" i="1" s="1"/>
  <c r="AT560" i="1" a="1"/>
  <c r="AT560" i="1" s="1"/>
  <c r="AU560" i="1" a="1"/>
  <c r="AU560" i="1" s="1"/>
  <c r="AV560" i="1" a="1"/>
  <c r="AV560" i="1" s="1"/>
  <c r="AW560" i="1" a="1"/>
  <c r="AW560" i="1" s="1"/>
  <c r="AX560" i="1" a="1"/>
  <c r="AX560" i="1" s="1"/>
  <c r="AY560" i="1" a="1"/>
  <c r="AY560" i="1" s="1"/>
  <c r="AZ560" i="1" a="1"/>
  <c r="AZ560" i="1" s="1"/>
  <c r="BA560" i="1" a="1"/>
  <c r="BA560" i="1" s="1"/>
  <c r="BB560" i="1" a="1"/>
  <c r="BB560" i="1" s="1"/>
  <c r="AL561" i="1" a="1"/>
  <c r="AL561" i="1" s="1"/>
  <c r="AM561" i="1" a="1"/>
  <c r="AM561" i="1" s="1"/>
  <c r="AN561" i="1" a="1"/>
  <c r="AN561" i="1" s="1"/>
  <c r="AO561" i="1" a="1"/>
  <c r="AO561" i="1" s="1"/>
  <c r="AP561" i="1" a="1"/>
  <c r="AP561" i="1" s="1"/>
  <c r="AQ561" i="1" a="1"/>
  <c r="AQ561" i="1" s="1"/>
  <c r="AR561" i="1" a="1"/>
  <c r="AR561" i="1" s="1"/>
  <c r="AS561" i="1" a="1"/>
  <c r="AS561" i="1" s="1"/>
  <c r="AT561" i="1" a="1"/>
  <c r="AT561" i="1" s="1"/>
  <c r="AU561" i="1" a="1"/>
  <c r="AU561" i="1" s="1"/>
  <c r="AV561" i="1" a="1"/>
  <c r="AV561" i="1" s="1"/>
  <c r="AW561" i="1" a="1"/>
  <c r="AW561" i="1" s="1"/>
  <c r="AX561" i="1" a="1"/>
  <c r="AX561" i="1" s="1"/>
  <c r="AY561" i="1" a="1"/>
  <c r="AY561" i="1" s="1"/>
  <c r="AZ561" i="1" a="1"/>
  <c r="AZ561" i="1" s="1"/>
  <c r="BA561" i="1" a="1"/>
  <c r="BA561" i="1" s="1"/>
  <c r="BB561" i="1" a="1"/>
  <c r="BB561" i="1" s="1"/>
  <c r="AL562" i="1" a="1"/>
  <c r="AL562" i="1" s="1"/>
  <c r="AM562" i="1" a="1"/>
  <c r="AM562" i="1" s="1"/>
  <c r="AN562" i="1" a="1"/>
  <c r="AN562" i="1" s="1"/>
  <c r="AO562" i="1" a="1"/>
  <c r="AO562" i="1" s="1"/>
  <c r="AP562" i="1" a="1"/>
  <c r="AP562" i="1" s="1"/>
  <c r="AQ562" i="1" a="1"/>
  <c r="AQ562" i="1" s="1"/>
  <c r="AR562" i="1" a="1"/>
  <c r="AR562" i="1" s="1"/>
  <c r="AS562" i="1" a="1"/>
  <c r="AS562" i="1" s="1"/>
  <c r="AT562" i="1" a="1"/>
  <c r="AT562" i="1" s="1"/>
  <c r="AU562" i="1" a="1"/>
  <c r="AU562" i="1" s="1"/>
  <c r="AV562" i="1" a="1"/>
  <c r="AV562" i="1" s="1"/>
  <c r="AW562" i="1" a="1"/>
  <c r="AW562" i="1" s="1"/>
  <c r="AX562" i="1" a="1"/>
  <c r="AX562" i="1" s="1"/>
  <c r="AY562" i="1" a="1"/>
  <c r="AY562" i="1" s="1"/>
  <c r="AZ562" i="1" a="1"/>
  <c r="AZ562" i="1" s="1"/>
  <c r="BA562" i="1" a="1"/>
  <c r="BA562" i="1" s="1"/>
  <c r="BB562" i="1" a="1"/>
  <c r="BB562" i="1" s="1"/>
  <c r="AL563" i="1" a="1"/>
  <c r="AL563" i="1" s="1"/>
  <c r="AM563" i="1" a="1"/>
  <c r="AM563" i="1" s="1"/>
  <c r="AN563" i="1" a="1"/>
  <c r="AN563" i="1" s="1"/>
  <c r="AO563" i="1" a="1"/>
  <c r="AO563" i="1" s="1"/>
  <c r="AP563" i="1" a="1"/>
  <c r="AP563" i="1" s="1"/>
  <c r="AQ563" i="1" a="1"/>
  <c r="AQ563" i="1" s="1"/>
  <c r="AR563" i="1" a="1"/>
  <c r="AR563" i="1" s="1"/>
  <c r="AS563" i="1" a="1"/>
  <c r="AS563" i="1" s="1"/>
  <c r="AT563" i="1" a="1"/>
  <c r="AT563" i="1" s="1"/>
  <c r="AU563" i="1" a="1"/>
  <c r="AU563" i="1" s="1"/>
  <c r="AV563" i="1" a="1"/>
  <c r="AV563" i="1" s="1"/>
  <c r="AW563" i="1" a="1"/>
  <c r="AW563" i="1" s="1"/>
  <c r="AX563" i="1" a="1"/>
  <c r="AX563" i="1" s="1"/>
  <c r="AY563" i="1" a="1"/>
  <c r="AY563" i="1" s="1"/>
  <c r="AZ563" i="1" a="1"/>
  <c r="AZ563" i="1" s="1"/>
  <c r="BA563" i="1" a="1"/>
  <c r="BA563" i="1" s="1"/>
  <c r="BB563" i="1" a="1"/>
  <c r="BB563" i="1" s="1"/>
  <c r="AL565" i="1" a="1"/>
  <c r="AL565" i="1" s="1"/>
  <c r="AM565" i="1" a="1"/>
  <c r="AM565" i="1" s="1"/>
  <c r="AN565" i="1" a="1"/>
  <c r="AN565" i="1" s="1"/>
  <c r="AO565" i="1" a="1"/>
  <c r="AO565" i="1" s="1"/>
  <c r="AP565" i="1" a="1"/>
  <c r="AP565" i="1" s="1"/>
  <c r="AQ565" i="1" a="1"/>
  <c r="AQ565" i="1" s="1"/>
  <c r="AR565" i="1" a="1"/>
  <c r="AR565" i="1" s="1"/>
  <c r="AS565" i="1" a="1"/>
  <c r="AS565" i="1" s="1"/>
  <c r="AT565" i="1" a="1"/>
  <c r="AT565" i="1" s="1"/>
  <c r="AU565" i="1" a="1"/>
  <c r="AU565" i="1" s="1"/>
  <c r="AV565" i="1" a="1"/>
  <c r="AV565" i="1" s="1"/>
  <c r="AW565" i="1" a="1"/>
  <c r="AW565" i="1" s="1"/>
  <c r="AX565" i="1" a="1"/>
  <c r="AX565" i="1" s="1"/>
  <c r="AY565" i="1" a="1"/>
  <c r="AY565" i="1" s="1"/>
  <c r="AZ565" i="1" a="1"/>
  <c r="AZ565" i="1" s="1"/>
  <c r="BA565" i="1" a="1"/>
  <c r="BA565" i="1" s="1"/>
  <c r="BB565" i="1" a="1"/>
  <c r="BB565" i="1" s="1"/>
  <c r="AL566" i="1" a="1"/>
  <c r="AL566" i="1" s="1"/>
  <c r="AM566" i="1" a="1"/>
  <c r="AM566" i="1" s="1"/>
  <c r="AN566" i="1" a="1"/>
  <c r="AN566" i="1" s="1"/>
  <c r="AO566" i="1" a="1"/>
  <c r="AO566" i="1" s="1"/>
  <c r="AP566" i="1" a="1"/>
  <c r="AP566" i="1" s="1"/>
  <c r="AQ566" i="1" a="1"/>
  <c r="AQ566" i="1" s="1"/>
  <c r="AR566" i="1" a="1"/>
  <c r="AR566" i="1" s="1"/>
  <c r="AS566" i="1" a="1"/>
  <c r="AS566" i="1" s="1"/>
  <c r="AT566" i="1" a="1"/>
  <c r="AT566" i="1" s="1"/>
  <c r="AU566" i="1" a="1"/>
  <c r="AU566" i="1" s="1"/>
  <c r="AV566" i="1" a="1"/>
  <c r="AV566" i="1" s="1"/>
  <c r="AW566" i="1" a="1"/>
  <c r="AW566" i="1" s="1"/>
  <c r="AX566" i="1" a="1"/>
  <c r="AX566" i="1" s="1"/>
  <c r="AY566" i="1" a="1"/>
  <c r="AY566" i="1" s="1"/>
  <c r="AZ566" i="1" a="1"/>
  <c r="AZ566" i="1" s="1"/>
  <c r="BA566" i="1" a="1"/>
  <c r="BA566" i="1" s="1"/>
  <c r="BB566" i="1" a="1"/>
  <c r="BB566" i="1" s="1"/>
  <c r="AL567" i="1" a="1"/>
  <c r="AL567" i="1" s="1"/>
  <c r="AM567" i="1" a="1"/>
  <c r="AM567" i="1" s="1"/>
  <c r="AN567" i="1" a="1"/>
  <c r="AN567" i="1" s="1"/>
  <c r="AO567" i="1" a="1"/>
  <c r="AO567" i="1" s="1"/>
  <c r="AP567" i="1" a="1"/>
  <c r="AP567" i="1" s="1"/>
  <c r="AQ567" i="1" a="1"/>
  <c r="AQ567" i="1" s="1"/>
  <c r="AR567" i="1" a="1"/>
  <c r="AR567" i="1" s="1"/>
  <c r="AS567" i="1" a="1"/>
  <c r="AS567" i="1" s="1"/>
  <c r="AT567" i="1" a="1"/>
  <c r="AT567" i="1" s="1"/>
  <c r="AU567" i="1" a="1"/>
  <c r="AU567" i="1" s="1"/>
  <c r="AV567" i="1" a="1"/>
  <c r="AV567" i="1" s="1"/>
  <c r="AW567" i="1" a="1"/>
  <c r="AW567" i="1" s="1"/>
  <c r="AX567" i="1" a="1"/>
  <c r="AX567" i="1" s="1"/>
  <c r="AY567" i="1" a="1"/>
  <c r="AY567" i="1" s="1"/>
  <c r="AZ567" i="1" a="1"/>
  <c r="AZ567" i="1" s="1"/>
  <c r="BA567" i="1" a="1"/>
  <c r="BA567" i="1" s="1"/>
  <c r="BB567" i="1" a="1"/>
  <c r="BB567" i="1" s="1"/>
  <c r="AL569" i="1" a="1"/>
  <c r="AL569" i="1" s="1"/>
  <c r="AM569" i="1" a="1"/>
  <c r="AM569" i="1" s="1"/>
  <c r="AN569" i="1" a="1"/>
  <c r="AN569" i="1" s="1"/>
  <c r="AO569" i="1" a="1"/>
  <c r="AO569" i="1" s="1"/>
  <c r="AP569" i="1" a="1"/>
  <c r="AP569" i="1" s="1"/>
  <c r="AQ569" i="1" a="1"/>
  <c r="AQ569" i="1" s="1"/>
  <c r="AR569" i="1" a="1"/>
  <c r="AR569" i="1" s="1"/>
  <c r="AS569" i="1" a="1"/>
  <c r="AS569" i="1" s="1"/>
  <c r="AT569" i="1" a="1"/>
  <c r="AT569" i="1" s="1"/>
  <c r="AU569" i="1" a="1"/>
  <c r="AU569" i="1" s="1"/>
  <c r="AV569" i="1" a="1"/>
  <c r="AV569" i="1" s="1"/>
  <c r="AW569" i="1" a="1"/>
  <c r="AW569" i="1" s="1"/>
  <c r="AX569" i="1" a="1"/>
  <c r="AX569" i="1" s="1"/>
  <c r="AY569" i="1" a="1"/>
  <c r="AY569" i="1" s="1"/>
  <c r="AZ569" i="1" a="1"/>
  <c r="AZ569" i="1" s="1"/>
  <c r="BA569" i="1" a="1"/>
  <c r="BA569" i="1" s="1"/>
  <c r="BB569" i="1" a="1"/>
  <c r="BB569" i="1" s="1"/>
  <c r="AL572" i="1" a="1"/>
  <c r="AL572" i="1" s="1"/>
  <c r="AM572" i="1" a="1"/>
  <c r="AM572" i="1" s="1"/>
  <c r="AN572" i="1" a="1"/>
  <c r="AN572" i="1" s="1"/>
  <c r="AO572" i="1" a="1"/>
  <c r="AO572" i="1" s="1"/>
  <c r="AP572" i="1" a="1"/>
  <c r="AP572" i="1" s="1"/>
  <c r="AQ572" i="1" a="1"/>
  <c r="AQ572" i="1" s="1"/>
  <c r="AR572" i="1" a="1"/>
  <c r="AR572" i="1" s="1"/>
  <c r="AS572" i="1" a="1"/>
  <c r="AS572" i="1" s="1"/>
  <c r="AT572" i="1" a="1"/>
  <c r="AT572" i="1" s="1"/>
  <c r="AU572" i="1" a="1"/>
  <c r="AU572" i="1" s="1"/>
  <c r="AV572" i="1" a="1"/>
  <c r="AV572" i="1" s="1"/>
  <c r="AW572" i="1" a="1"/>
  <c r="AW572" i="1" s="1"/>
  <c r="AX572" i="1" a="1"/>
  <c r="AX572" i="1" s="1"/>
  <c r="AY572" i="1" a="1"/>
  <c r="AY572" i="1" s="1"/>
  <c r="AZ572" i="1" a="1"/>
  <c r="AZ572" i="1" s="1"/>
  <c r="BA572" i="1" a="1"/>
  <c r="BA572" i="1" s="1"/>
  <c r="BB572" i="1" a="1"/>
  <c r="BB572" i="1" s="1"/>
  <c r="AL573" i="1" a="1"/>
  <c r="AL573" i="1" s="1"/>
  <c r="AM573" i="1" a="1"/>
  <c r="AM573" i="1" s="1"/>
  <c r="AN573" i="1" a="1"/>
  <c r="AN573" i="1" s="1"/>
  <c r="AO573" i="1" a="1"/>
  <c r="AO573" i="1" s="1"/>
  <c r="AP573" i="1" a="1"/>
  <c r="AP573" i="1" s="1"/>
  <c r="AQ573" i="1" a="1"/>
  <c r="AQ573" i="1" s="1"/>
  <c r="AR573" i="1" a="1"/>
  <c r="AR573" i="1" s="1"/>
  <c r="AS573" i="1" a="1"/>
  <c r="AS573" i="1" s="1"/>
  <c r="AT573" i="1" a="1"/>
  <c r="AT573" i="1" s="1"/>
  <c r="AU573" i="1" a="1"/>
  <c r="AU573" i="1" s="1"/>
  <c r="AV573" i="1" a="1"/>
  <c r="AV573" i="1" s="1"/>
  <c r="AW573" i="1" a="1"/>
  <c r="AW573" i="1" s="1"/>
  <c r="AX573" i="1" a="1"/>
  <c r="AX573" i="1" s="1"/>
  <c r="AY573" i="1" a="1"/>
  <c r="AY573" i="1" s="1"/>
  <c r="AZ573" i="1" a="1"/>
  <c r="AZ573" i="1" s="1"/>
  <c r="BA573" i="1" a="1"/>
  <c r="BA573" i="1" s="1"/>
  <c r="BB573" i="1" a="1"/>
  <c r="BB573" i="1" s="1"/>
  <c r="AL574" i="1" a="1"/>
  <c r="AL574" i="1" s="1"/>
  <c r="AM574" i="1" a="1"/>
  <c r="AM574" i="1" s="1"/>
  <c r="AN574" i="1" a="1"/>
  <c r="AN574" i="1" s="1"/>
  <c r="AO574" i="1" a="1"/>
  <c r="AO574" i="1" s="1"/>
  <c r="AP574" i="1" a="1"/>
  <c r="AP574" i="1" s="1"/>
  <c r="AQ574" i="1" a="1"/>
  <c r="AQ574" i="1" s="1"/>
  <c r="AR574" i="1" a="1"/>
  <c r="AR574" i="1" s="1"/>
  <c r="AS574" i="1" a="1"/>
  <c r="AS574" i="1" s="1"/>
  <c r="AT574" i="1" a="1"/>
  <c r="AT574" i="1" s="1"/>
  <c r="AU574" i="1" a="1"/>
  <c r="AU574" i="1" s="1"/>
  <c r="AV574" i="1" a="1"/>
  <c r="AV574" i="1" s="1"/>
  <c r="AW574" i="1" a="1"/>
  <c r="AW574" i="1" s="1"/>
  <c r="AX574" i="1" a="1"/>
  <c r="AX574" i="1" s="1"/>
  <c r="AY574" i="1" a="1"/>
  <c r="AY574" i="1" s="1"/>
  <c r="AZ574" i="1" a="1"/>
  <c r="AZ574" i="1" s="1"/>
  <c r="BA574" i="1" a="1"/>
  <c r="BA574" i="1" s="1"/>
  <c r="BB574" i="1" a="1"/>
  <c r="BB574" i="1" s="1"/>
  <c r="AL575" i="1" a="1"/>
  <c r="AL575" i="1" s="1"/>
  <c r="AM575" i="1" a="1"/>
  <c r="AM575" i="1" s="1"/>
  <c r="AN575" i="1" a="1"/>
  <c r="AN575" i="1" s="1"/>
  <c r="AO575" i="1" a="1"/>
  <c r="AO575" i="1" s="1"/>
  <c r="AP575" i="1" a="1"/>
  <c r="AP575" i="1" s="1"/>
  <c r="AQ575" i="1" a="1"/>
  <c r="AQ575" i="1" s="1"/>
  <c r="AR575" i="1" a="1"/>
  <c r="AR575" i="1" s="1"/>
  <c r="AS575" i="1" a="1"/>
  <c r="AS575" i="1" s="1"/>
  <c r="AT575" i="1" a="1"/>
  <c r="AT575" i="1" s="1"/>
  <c r="AU575" i="1" a="1"/>
  <c r="AU575" i="1" s="1"/>
  <c r="AV575" i="1" a="1"/>
  <c r="AV575" i="1" s="1"/>
  <c r="AW575" i="1" a="1"/>
  <c r="AW575" i="1" s="1"/>
  <c r="AX575" i="1" a="1"/>
  <c r="AX575" i="1" s="1"/>
  <c r="AY575" i="1" a="1"/>
  <c r="AY575" i="1" s="1"/>
  <c r="AZ575" i="1" a="1"/>
  <c r="AZ575" i="1" s="1"/>
  <c r="BA575" i="1" a="1"/>
  <c r="BA575" i="1" s="1"/>
  <c r="BB575" i="1" a="1"/>
  <c r="BB575" i="1" s="1"/>
  <c r="AL576" i="1" a="1"/>
  <c r="AL576" i="1" s="1"/>
  <c r="AM576" i="1" a="1"/>
  <c r="AM576" i="1" s="1"/>
  <c r="AN576" i="1" a="1"/>
  <c r="AN576" i="1" s="1"/>
  <c r="AO576" i="1" a="1"/>
  <c r="AO576" i="1" s="1"/>
  <c r="AP576" i="1" a="1"/>
  <c r="AP576" i="1" s="1"/>
  <c r="AQ576" i="1" a="1"/>
  <c r="AQ576" i="1" s="1"/>
  <c r="AR576" i="1" a="1"/>
  <c r="AR576" i="1" s="1"/>
  <c r="AS576" i="1" a="1"/>
  <c r="AS576" i="1" s="1"/>
  <c r="AT576" i="1" a="1"/>
  <c r="AT576" i="1" s="1"/>
  <c r="AU576" i="1" a="1"/>
  <c r="AU576" i="1" s="1"/>
  <c r="AV576" i="1" a="1"/>
  <c r="AV576" i="1" s="1"/>
  <c r="AW576" i="1" a="1"/>
  <c r="AW576" i="1" s="1"/>
  <c r="AX576" i="1" a="1"/>
  <c r="AX576" i="1" s="1"/>
  <c r="AY576" i="1" a="1"/>
  <c r="AY576" i="1" s="1"/>
  <c r="AZ576" i="1" a="1"/>
  <c r="AZ576" i="1" s="1"/>
  <c r="BA576" i="1" a="1"/>
  <c r="BA576" i="1" s="1"/>
  <c r="BB576" i="1" a="1"/>
  <c r="BB576" i="1" s="1"/>
  <c r="AL577" i="1" a="1"/>
  <c r="AL577" i="1" s="1"/>
  <c r="AM577" i="1" a="1"/>
  <c r="AM577" i="1" s="1"/>
  <c r="AN577" i="1" a="1"/>
  <c r="AN577" i="1" s="1"/>
  <c r="AO577" i="1" a="1"/>
  <c r="AO577" i="1" s="1"/>
  <c r="AP577" i="1" a="1"/>
  <c r="AP577" i="1" s="1"/>
  <c r="AQ577" i="1" a="1"/>
  <c r="AQ577" i="1" s="1"/>
  <c r="AR577" i="1" a="1"/>
  <c r="AR577" i="1" s="1"/>
  <c r="AS577" i="1" a="1"/>
  <c r="AS577" i="1" s="1"/>
  <c r="AT577" i="1" a="1"/>
  <c r="AT577" i="1" s="1"/>
  <c r="AU577" i="1" a="1"/>
  <c r="AU577" i="1" s="1"/>
  <c r="AV577" i="1" a="1"/>
  <c r="AV577" i="1" s="1"/>
  <c r="AW577" i="1" a="1"/>
  <c r="AW577" i="1" s="1"/>
  <c r="AX577" i="1" a="1"/>
  <c r="AX577" i="1" s="1"/>
  <c r="AY577" i="1" a="1"/>
  <c r="AY577" i="1" s="1"/>
  <c r="AZ577" i="1" a="1"/>
  <c r="AZ577" i="1" s="1"/>
  <c r="BA577" i="1" a="1"/>
  <c r="BA577" i="1" s="1"/>
  <c r="BB577" i="1" a="1"/>
  <c r="BB577" i="1" s="1"/>
  <c r="AL578" i="1" a="1"/>
  <c r="AL578" i="1" s="1"/>
  <c r="AM578" i="1" a="1"/>
  <c r="AM578" i="1" s="1"/>
  <c r="AN578" i="1" a="1"/>
  <c r="AN578" i="1" s="1"/>
  <c r="AO578" i="1" a="1"/>
  <c r="AO578" i="1" s="1"/>
  <c r="AP578" i="1" a="1"/>
  <c r="AP578" i="1" s="1"/>
  <c r="AQ578" i="1" a="1"/>
  <c r="AQ578" i="1" s="1"/>
  <c r="AR578" i="1" a="1"/>
  <c r="AR578" i="1" s="1"/>
  <c r="AS578" i="1" a="1"/>
  <c r="AS578" i="1" s="1"/>
  <c r="AT578" i="1" a="1"/>
  <c r="AT578" i="1" s="1"/>
  <c r="AU578" i="1" a="1"/>
  <c r="AU578" i="1" s="1"/>
  <c r="AV578" i="1" a="1"/>
  <c r="AV578" i="1" s="1"/>
  <c r="AW578" i="1" a="1"/>
  <c r="AW578" i="1" s="1"/>
  <c r="AX578" i="1" a="1"/>
  <c r="AX578" i="1" s="1"/>
  <c r="AY578" i="1" a="1"/>
  <c r="AY578" i="1" s="1"/>
  <c r="AZ578" i="1" a="1"/>
  <c r="AZ578" i="1" s="1"/>
  <c r="BA578" i="1" a="1"/>
  <c r="BA578" i="1" s="1"/>
  <c r="BB578" i="1" a="1"/>
  <c r="BB578" i="1" s="1"/>
  <c r="AL579" i="1" a="1"/>
  <c r="AL579" i="1" s="1"/>
  <c r="AM579" i="1" a="1"/>
  <c r="AM579" i="1" s="1"/>
  <c r="AN579" i="1" a="1"/>
  <c r="AN579" i="1" s="1"/>
  <c r="AO579" i="1" a="1"/>
  <c r="AO579" i="1" s="1"/>
  <c r="AP579" i="1" a="1"/>
  <c r="AP579" i="1" s="1"/>
  <c r="AQ579" i="1" a="1"/>
  <c r="AQ579" i="1" s="1"/>
  <c r="AR579" i="1" a="1"/>
  <c r="AR579" i="1" s="1"/>
  <c r="AS579" i="1" a="1"/>
  <c r="AS579" i="1" s="1"/>
  <c r="AT579" i="1" a="1"/>
  <c r="AT579" i="1" s="1"/>
  <c r="AU579" i="1" a="1"/>
  <c r="AU579" i="1" s="1"/>
  <c r="AV579" i="1" a="1"/>
  <c r="AV579" i="1" s="1"/>
  <c r="AW579" i="1" a="1"/>
  <c r="AW579" i="1" s="1"/>
  <c r="AX579" i="1" a="1"/>
  <c r="AX579" i="1" s="1"/>
  <c r="AY579" i="1" a="1"/>
  <c r="AY579" i="1" s="1"/>
  <c r="AZ579" i="1" a="1"/>
  <c r="AZ579" i="1" s="1"/>
  <c r="BA579" i="1" a="1"/>
  <c r="BA579" i="1" s="1"/>
  <c r="BB579" i="1" a="1"/>
  <c r="BB579" i="1" s="1"/>
  <c r="AL580" i="1" a="1"/>
  <c r="AL580" i="1" s="1"/>
  <c r="AM580" i="1" a="1"/>
  <c r="AM580" i="1" s="1"/>
  <c r="AN580" i="1" a="1"/>
  <c r="AN580" i="1" s="1"/>
  <c r="AO580" i="1" a="1"/>
  <c r="AO580" i="1" s="1"/>
  <c r="AP580" i="1" a="1"/>
  <c r="AP580" i="1" s="1"/>
  <c r="AQ580" i="1" a="1"/>
  <c r="AQ580" i="1" s="1"/>
  <c r="AR580" i="1" a="1"/>
  <c r="AR580" i="1" s="1"/>
  <c r="AS580" i="1" a="1"/>
  <c r="AS580" i="1" s="1"/>
  <c r="AT580" i="1" a="1"/>
  <c r="AT580" i="1" s="1"/>
  <c r="AU580" i="1" a="1"/>
  <c r="AU580" i="1" s="1"/>
  <c r="AV580" i="1" a="1"/>
  <c r="AV580" i="1" s="1"/>
  <c r="AW580" i="1" a="1"/>
  <c r="AW580" i="1" s="1"/>
  <c r="AX580" i="1" a="1"/>
  <c r="AX580" i="1" s="1"/>
  <c r="AY580" i="1" a="1"/>
  <c r="AY580" i="1" s="1"/>
  <c r="AZ580" i="1" a="1"/>
  <c r="AZ580" i="1" s="1"/>
  <c r="BA580" i="1" a="1"/>
  <c r="BA580" i="1" s="1"/>
  <c r="BB580" i="1" a="1"/>
  <c r="BB580" i="1" s="1"/>
  <c r="AL581" i="1" a="1"/>
  <c r="AL581" i="1" s="1"/>
  <c r="AM581" i="1" a="1"/>
  <c r="AM581" i="1" s="1"/>
  <c r="AN581" i="1" a="1"/>
  <c r="AN581" i="1" s="1"/>
  <c r="AO581" i="1" a="1"/>
  <c r="AO581" i="1" s="1"/>
  <c r="AP581" i="1" a="1"/>
  <c r="AP581" i="1" s="1"/>
  <c r="AQ581" i="1" a="1"/>
  <c r="AQ581" i="1" s="1"/>
  <c r="AR581" i="1" a="1"/>
  <c r="AR581" i="1" s="1"/>
  <c r="AS581" i="1" a="1"/>
  <c r="AS581" i="1" s="1"/>
  <c r="AT581" i="1" a="1"/>
  <c r="AT581" i="1" s="1"/>
  <c r="AU581" i="1" a="1"/>
  <c r="AU581" i="1" s="1"/>
  <c r="AV581" i="1" a="1"/>
  <c r="AV581" i="1" s="1"/>
  <c r="AW581" i="1" a="1"/>
  <c r="AW581" i="1" s="1"/>
  <c r="AX581" i="1" a="1"/>
  <c r="AX581" i="1" s="1"/>
  <c r="AY581" i="1" a="1"/>
  <c r="AY581" i="1" s="1"/>
  <c r="AZ581" i="1" a="1"/>
  <c r="AZ581" i="1" s="1"/>
  <c r="BA581" i="1" a="1"/>
  <c r="BA581" i="1" s="1"/>
  <c r="BB581" i="1" a="1"/>
  <c r="BB581" i="1" s="1"/>
  <c r="AL582" i="1" a="1"/>
  <c r="AL582" i="1" s="1"/>
  <c r="AM582" i="1" a="1"/>
  <c r="AM582" i="1" s="1"/>
  <c r="AN582" i="1" a="1"/>
  <c r="AN582" i="1" s="1"/>
  <c r="AO582" i="1" a="1"/>
  <c r="AO582" i="1" s="1"/>
  <c r="AP582" i="1" a="1"/>
  <c r="AP582" i="1" s="1"/>
  <c r="AQ582" i="1" a="1"/>
  <c r="AQ582" i="1" s="1"/>
  <c r="AR582" i="1" a="1"/>
  <c r="AR582" i="1" s="1"/>
  <c r="AS582" i="1" a="1"/>
  <c r="AS582" i="1" s="1"/>
  <c r="AT582" i="1" a="1"/>
  <c r="AT582" i="1" s="1"/>
  <c r="AU582" i="1" a="1"/>
  <c r="AU582" i="1" s="1"/>
  <c r="AV582" i="1" a="1"/>
  <c r="AV582" i="1" s="1"/>
  <c r="AW582" i="1" a="1"/>
  <c r="AW582" i="1" s="1"/>
  <c r="AX582" i="1" a="1"/>
  <c r="AX582" i="1" s="1"/>
  <c r="AY582" i="1" a="1"/>
  <c r="AY582" i="1" s="1"/>
  <c r="AZ582" i="1" a="1"/>
  <c r="AZ582" i="1" s="1"/>
  <c r="BA582" i="1" a="1"/>
  <c r="BA582" i="1" s="1"/>
  <c r="BB582" i="1" a="1"/>
  <c r="BB582" i="1" s="1"/>
  <c r="AL584" i="1" a="1"/>
  <c r="AL584" i="1" s="1"/>
  <c r="AM584" i="1" a="1"/>
  <c r="AM584" i="1" s="1"/>
  <c r="AN584" i="1" a="1"/>
  <c r="AN584" i="1" s="1"/>
  <c r="AO584" i="1" a="1"/>
  <c r="AO584" i="1" s="1"/>
  <c r="AP584" i="1" a="1"/>
  <c r="AP584" i="1" s="1"/>
  <c r="AQ584" i="1" a="1"/>
  <c r="AQ584" i="1" s="1"/>
  <c r="AR584" i="1" a="1"/>
  <c r="AR584" i="1" s="1"/>
  <c r="AS584" i="1" a="1"/>
  <c r="AS584" i="1" s="1"/>
  <c r="AT584" i="1" a="1"/>
  <c r="AT584" i="1" s="1"/>
  <c r="AU584" i="1" a="1"/>
  <c r="AU584" i="1" s="1"/>
  <c r="AV584" i="1" a="1"/>
  <c r="AV584" i="1" s="1"/>
  <c r="AW584" i="1" a="1"/>
  <c r="AW584" i="1" s="1"/>
  <c r="AX584" i="1" a="1"/>
  <c r="AX584" i="1" s="1"/>
  <c r="AY584" i="1" a="1"/>
  <c r="AY584" i="1" s="1"/>
  <c r="AZ584" i="1" a="1"/>
  <c r="AZ584" i="1" s="1"/>
  <c r="BA584" i="1" a="1"/>
  <c r="BA584" i="1" s="1"/>
  <c r="BB584" i="1" a="1"/>
  <c r="BB584" i="1" s="1"/>
  <c r="AL585" i="1" a="1"/>
  <c r="AL585" i="1" s="1"/>
  <c r="AM585" i="1" a="1"/>
  <c r="AM585" i="1" s="1"/>
  <c r="AN585" i="1" a="1"/>
  <c r="AN585" i="1" s="1"/>
  <c r="AO585" i="1" a="1"/>
  <c r="AO585" i="1" s="1"/>
  <c r="AP585" i="1" a="1"/>
  <c r="AP585" i="1" s="1"/>
  <c r="AQ585" i="1" a="1"/>
  <c r="AQ585" i="1" s="1"/>
  <c r="AR585" i="1" a="1"/>
  <c r="AR585" i="1" s="1"/>
  <c r="AS585" i="1" a="1"/>
  <c r="AS585" i="1" s="1"/>
  <c r="AT585" i="1" a="1"/>
  <c r="AT585" i="1" s="1"/>
  <c r="AU585" i="1" a="1"/>
  <c r="AU585" i="1" s="1"/>
  <c r="AV585" i="1" a="1"/>
  <c r="AV585" i="1" s="1"/>
  <c r="AW585" i="1" a="1"/>
  <c r="AW585" i="1" s="1"/>
  <c r="AX585" i="1" a="1"/>
  <c r="AX585" i="1" s="1"/>
  <c r="AY585" i="1" a="1"/>
  <c r="AY585" i="1" s="1"/>
  <c r="AZ585" i="1" a="1"/>
  <c r="AZ585" i="1" s="1"/>
  <c r="BA585" i="1" a="1"/>
  <c r="BA585" i="1" s="1"/>
  <c r="BB585" i="1" a="1"/>
  <c r="BB585" i="1" s="1"/>
  <c r="AL586" i="1" a="1"/>
  <c r="AL586" i="1" s="1"/>
  <c r="AM586" i="1" a="1"/>
  <c r="AM586" i="1" s="1"/>
  <c r="AN586" i="1" a="1"/>
  <c r="AN586" i="1" s="1"/>
  <c r="AO586" i="1" a="1"/>
  <c r="AO586" i="1" s="1"/>
  <c r="AP586" i="1" a="1"/>
  <c r="AP586" i="1" s="1"/>
  <c r="AQ586" i="1" a="1"/>
  <c r="AQ586" i="1" s="1"/>
  <c r="AR586" i="1" a="1"/>
  <c r="AR586" i="1" s="1"/>
  <c r="AS586" i="1" a="1"/>
  <c r="AS586" i="1" s="1"/>
  <c r="AT586" i="1" a="1"/>
  <c r="AT586" i="1" s="1"/>
  <c r="AU586" i="1" a="1"/>
  <c r="AU586" i="1" s="1"/>
  <c r="AV586" i="1" a="1"/>
  <c r="AV586" i="1" s="1"/>
  <c r="AW586" i="1" a="1"/>
  <c r="AW586" i="1" s="1"/>
  <c r="AX586" i="1" a="1"/>
  <c r="AX586" i="1" s="1"/>
  <c r="AY586" i="1" a="1"/>
  <c r="AY586" i="1" s="1"/>
  <c r="AZ586" i="1" a="1"/>
  <c r="AZ586" i="1" s="1"/>
  <c r="BA586" i="1" a="1"/>
  <c r="BA586" i="1" s="1"/>
  <c r="BB586" i="1" a="1"/>
  <c r="BB586" i="1" s="1"/>
  <c r="AL587" i="1" a="1"/>
  <c r="AL587" i="1" s="1"/>
  <c r="AM587" i="1" a="1"/>
  <c r="AM587" i="1" s="1"/>
  <c r="AN587" i="1" a="1"/>
  <c r="AN587" i="1" s="1"/>
  <c r="AO587" i="1" a="1"/>
  <c r="AO587" i="1" s="1"/>
  <c r="AP587" i="1" a="1"/>
  <c r="AP587" i="1" s="1"/>
  <c r="AQ587" i="1" a="1"/>
  <c r="AQ587" i="1" s="1"/>
  <c r="AR587" i="1" a="1"/>
  <c r="AR587" i="1" s="1"/>
  <c r="AS587" i="1" a="1"/>
  <c r="AS587" i="1" s="1"/>
  <c r="AT587" i="1" a="1"/>
  <c r="AT587" i="1" s="1"/>
  <c r="AU587" i="1" a="1"/>
  <c r="AU587" i="1" s="1"/>
  <c r="AV587" i="1" a="1"/>
  <c r="AV587" i="1" s="1"/>
  <c r="AW587" i="1" a="1"/>
  <c r="AW587" i="1" s="1"/>
  <c r="AX587" i="1" a="1"/>
  <c r="AX587" i="1" s="1"/>
  <c r="AY587" i="1" a="1"/>
  <c r="AY587" i="1" s="1"/>
  <c r="AZ587" i="1" a="1"/>
  <c r="AZ587" i="1" s="1"/>
  <c r="BA587" i="1" a="1"/>
  <c r="BA587" i="1" s="1"/>
  <c r="BB587" i="1" a="1"/>
  <c r="BB587" i="1" s="1"/>
  <c r="AL588" i="1" a="1"/>
  <c r="AL588" i="1" s="1"/>
  <c r="AM588" i="1" a="1"/>
  <c r="AM588" i="1" s="1"/>
  <c r="AN588" i="1" a="1"/>
  <c r="AN588" i="1" s="1"/>
  <c r="AO588" i="1" a="1"/>
  <c r="AO588" i="1" s="1"/>
  <c r="AP588" i="1" a="1"/>
  <c r="AP588" i="1" s="1"/>
  <c r="AQ588" i="1" a="1"/>
  <c r="AQ588" i="1" s="1"/>
  <c r="AR588" i="1" a="1"/>
  <c r="AR588" i="1" s="1"/>
  <c r="AS588" i="1" a="1"/>
  <c r="AS588" i="1" s="1"/>
  <c r="AT588" i="1" a="1"/>
  <c r="AT588" i="1" s="1"/>
  <c r="AU588" i="1" a="1"/>
  <c r="AU588" i="1" s="1"/>
  <c r="AV588" i="1" a="1"/>
  <c r="AV588" i="1" s="1"/>
  <c r="AW588" i="1" a="1"/>
  <c r="AW588" i="1" s="1"/>
  <c r="AX588" i="1" a="1"/>
  <c r="AX588" i="1" s="1"/>
  <c r="AY588" i="1" a="1"/>
  <c r="AY588" i="1" s="1"/>
  <c r="AZ588" i="1" a="1"/>
  <c r="AZ588" i="1" s="1"/>
  <c r="BA588" i="1" a="1"/>
  <c r="BA588" i="1" s="1"/>
  <c r="BB588" i="1" a="1"/>
  <c r="BB588" i="1" s="1"/>
  <c r="AL589" i="1" a="1"/>
  <c r="AL589" i="1" s="1"/>
  <c r="AM589" i="1" a="1"/>
  <c r="AM589" i="1" s="1"/>
  <c r="AN589" i="1" a="1"/>
  <c r="AN589" i="1" s="1"/>
  <c r="AO589" i="1" a="1"/>
  <c r="AO589" i="1" s="1"/>
  <c r="AP589" i="1" a="1"/>
  <c r="AP589" i="1" s="1"/>
  <c r="AQ589" i="1" a="1"/>
  <c r="AQ589" i="1" s="1"/>
  <c r="AR589" i="1" a="1"/>
  <c r="AR589" i="1" s="1"/>
  <c r="AS589" i="1" a="1"/>
  <c r="AS589" i="1" s="1"/>
  <c r="AT589" i="1" a="1"/>
  <c r="AT589" i="1" s="1"/>
  <c r="AU589" i="1" a="1"/>
  <c r="AU589" i="1" s="1"/>
  <c r="AV589" i="1" a="1"/>
  <c r="AV589" i="1" s="1"/>
  <c r="AW589" i="1" a="1"/>
  <c r="AW589" i="1" s="1"/>
  <c r="AX589" i="1" a="1"/>
  <c r="AX589" i="1" s="1"/>
  <c r="AY589" i="1" a="1"/>
  <c r="AY589" i="1" s="1"/>
  <c r="AZ589" i="1" a="1"/>
  <c r="AZ589" i="1" s="1"/>
  <c r="BA589" i="1" a="1"/>
  <c r="BA589" i="1" s="1"/>
  <c r="BB589" i="1" a="1"/>
  <c r="BB589" i="1" s="1"/>
  <c r="AL590" i="1" a="1"/>
  <c r="AL590" i="1" s="1"/>
  <c r="AM590" i="1" a="1"/>
  <c r="AM590" i="1" s="1"/>
  <c r="AN590" i="1" a="1"/>
  <c r="AN590" i="1" s="1"/>
  <c r="AO590" i="1" a="1"/>
  <c r="AO590" i="1" s="1"/>
  <c r="AP590" i="1" a="1"/>
  <c r="AP590" i="1" s="1"/>
  <c r="AQ590" i="1" a="1"/>
  <c r="AQ590" i="1" s="1"/>
  <c r="AR590" i="1" a="1"/>
  <c r="AR590" i="1" s="1"/>
  <c r="AS590" i="1" a="1"/>
  <c r="AS590" i="1" s="1"/>
  <c r="AT590" i="1" a="1"/>
  <c r="AT590" i="1" s="1"/>
  <c r="AU590" i="1" a="1"/>
  <c r="AU590" i="1" s="1"/>
  <c r="AV590" i="1" a="1"/>
  <c r="AV590" i="1" s="1"/>
  <c r="AW590" i="1" a="1"/>
  <c r="AW590" i="1" s="1"/>
  <c r="AX590" i="1" a="1"/>
  <c r="AX590" i="1" s="1"/>
  <c r="AY590" i="1" a="1"/>
  <c r="AY590" i="1" s="1"/>
  <c r="AZ590" i="1" a="1"/>
  <c r="AZ590" i="1" s="1"/>
  <c r="BA590" i="1" a="1"/>
  <c r="BA590" i="1" s="1"/>
  <c r="BB590" i="1" a="1"/>
  <c r="BB590" i="1" s="1"/>
  <c r="AL591" i="1" a="1"/>
  <c r="AL591" i="1" s="1"/>
  <c r="AM591" i="1" a="1"/>
  <c r="AM591" i="1" s="1"/>
  <c r="AN591" i="1" a="1"/>
  <c r="AN591" i="1" s="1"/>
  <c r="AO591" i="1" a="1"/>
  <c r="AO591" i="1" s="1"/>
  <c r="AP591" i="1" a="1"/>
  <c r="AP591" i="1" s="1"/>
  <c r="AQ591" i="1" a="1"/>
  <c r="AQ591" i="1" s="1"/>
  <c r="AR591" i="1" a="1"/>
  <c r="AR591" i="1" s="1"/>
  <c r="AS591" i="1" a="1"/>
  <c r="AS591" i="1" s="1"/>
  <c r="AT591" i="1" a="1"/>
  <c r="AT591" i="1" s="1"/>
  <c r="AU591" i="1" a="1"/>
  <c r="AU591" i="1" s="1"/>
  <c r="AV591" i="1" a="1"/>
  <c r="AV591" i="1" s="1"/>
  <c r="AW591" i="1" a="1"/>
  <c r="AW591" i="1" s="1"/>
  <c r="AX591" i="1" a="1"/>
  <c r="AX591" i="1" s="1"/>
  <c r="AY591" i="1" a="1"/>
  <c r="AY591" i="1" s="1"/>
  <c r="AZ591" i="1" a="1"/>
  <c r="AZ591" i="1" s="1"/>
  <c r="BA591" i="1" a="1"/>
  <c r="BA591" i="1" s="1"/>
  <c r="BB591" i="1" a="1"/>
  <c r="BB591" i="1" s="1"/>
  <c r="AL593" i="1" a="1"/>
  <c r="AL593" i="1" s="1"/>
  <c r="AM593" i="1" a="1"/>
  <c r="AM593" i="1" s="1"/>
  <c r="AN593" i="1" a="1"/>
  <c r="AN593" i="1" s="1"/>
  <c r="AO593" i="1" a="1"/>
  <c r="AO593" i="1" s="1"/>
  <c r="AP593" i="1" a="1"/>
  <c r="AP593" i="1" s="1"/>
  <c r="AQ593" i="1" a="1"/>
  <c r="AQ593" i="1" s="1"/>
  <c r="AR593" i="1" a="1"/>
  <c r="AR593" i="1" s="1"/>
  <c r="AS593" i="1" a="1"/>
  <c r="AS593" i="1" s="1"/>
  <c r="AT593" i="1" a="1"/>
  <c r="AT593" i="1" s="1"/>
  <c r="AU593" i="1" a="1"/>
  <c r="AU593" i="1" s="1"/>
  <c r="AV593" i="1" a="1"/>
  <c r="AV593" i="1" s="1"/>
  <c r="AW593" i="1" a="1"/>
  <c r="AW593" i="1" s="1"/>
  <c r="AX593" i="1" a="1"/>
  <c r="AX593" i="1" s="1"/>
  <c r="AY593" i="1" a="1"/>
  <c r="AY593" i="1" s="1"/>
  <c r="AZ593" i="1" a="1"/>
  <c r="AZ593" i="1" s="1"/>
  <c r="BA593" i="1" a="1"/>
  <c r="BA593" i="1" s="1"/>
  <c r="BB593" i="1" a="1"/>
  <c r="BB593" i="1" s="1"/>
  <c r="AL594" i="1" a="1"/>
  <c r="AL594" i="1" s="1"/>
  <c r="AM594" i="1" a="1"/>
  <c r="AM594" i="1" s="1"/>
  <c r="AN594" i="1" a="1"/>
  <c r="AN594" i="1" s="1"/>
  <c r="AO594" i="1" a="1"/>
  <c r="AO594" i="1" s="1"/>
  <c r="AP594" i="1" a="1"/>
  <c r="AP594" i="1" s="1"/>
  <c r="AQ594" i="1" a="1"/>
  <c r="AQ594" i="1" s="1"/>
  <c r="AR594" i="1" a="1"/>
  <c r="AR594" i="1" s="1"/>
  <c r="AS594" i="1" a="1"/>
  <c r="AS594" i="1" s="1"/>
  <c r="AT594" i="1" a="1"/>
  <c r="AT594" i="1" s="1"/>
  <c r="AU594" i="1" a="1"/>
  <c r="AU594" i="1" s="1"/>
  <c r="AV594" i="1" a="1"/>
  <c r="AV594" i="1" s="1"/>
  <c r="AW594" i="1" a="1"/>
  <c r="AW594" i="1" s="1"/>
  <c r="AX594" i="1" a="1"/>
  <c r="AX594" i="1" s="1"/>
  <c r="AY594" i="1" a="1"/>
  <c r="AY594" i="1" s="1"/>
  <c r="AZ594" i="1" a="1"/>
  <c r="AZ594" i="1" s="1"/>
  <c r="BA594" i="1" a="1"/>
  <c r="BA594" i="1" s="1"/>
  <c r="BB594" i="1" a="1"/>
  <c r="BB594" i="1" s="1"/>
  <c r="AL595" i="1" a="1"/>
  <c r="AL595" i="1" s="1"/>
  <c r="AM595" i="1" a="1"/>
  <c r="AM595" i="1" s="1"/>
  <c r="AN595" i="1" a="1"/>
  <c r="AN595" i="1" s="1"/>
  <c r="AO595" i="1" a="1"/>
  <c r="AO595" i="1" s="1"/>
  <c r="AP595" i="1" a="1"/>
  <c r="AP595" i="1" s="1"/>
  <c r="AQ595" i="1" a="1"/>
  <c r="AQ595" i="1" s="1"/>
  <c r="AR595" i="1" a="1"/>
  <c r="AR595" i="1" s="1"/>
  <c r="AS595" i="1" a="1"/>
  <c r="AS595" i="1" s="1"/>
  <c r="AT595" i="1" a="1"/>
  <c r="AT595" i="1" s="1"/>
  <c r="AU595" i="1" a="1"/>
  <c r="AU595" i="1" s="1"/>
  <c r="AV595" i="1" a="1"/>
  <c r="AV595" i="1" s="1"/>
  <c r="AW595" i="1" a="1"/>
  <c r="AW595" i="1" s="1"/>
  <c r="AX595" i="1" a="1"/>
  <c r="AX595" i="1" s="1"/>
  <c r="AY595" i="1" a="1"/>
  <c r="AY595" i="1" s="1"/>
  <c r="AZ595" i="1" a="1"/>
  <c r="AZ595" i="1" s="1"/>
  <c r="BA595" i="1" a="1"/>
  <c r="BA595" i="1" s="1"/>
  <c r="BB595" i="1" a="1"/>
  <c r="BB595" i="1" s="1"/>
  <c r="AL596" i="1" a="1"/>
  <c r="AL596" i="1" s="1"/>
  <c r="AM596" i="1" a="1"/>
  <c r="AM596" i="1" s="1"/>
  <c r="AN596" i="1" a="1"/>
  <c r="AN596" i="1" s="1"/>
  <c r="AO596" i="1" a="1"/>
  <c r="AO596" i="1" s="1"/>
  <c r="AP596" i="1" a="1"/>
  <c r="AP596" i="1" s="1"/>
  <c r="AQ596" i="1" a="1"/>
  <c r="AQ596" i="1" s="1"/>
  <c r="AR596" i="1" a="1"/>
  <c r="AR596" i="1" s="1"/>
  <c r="AS596" i="1" a="1"/>
  <c r="AS596" i="1" s="1"/>
  <c r="AT596" i="1" a="1"/>
  <c r="AT596" i="1" s="1"/>
  <c r="AU596" i="1" a="1"/>
  <c r="AU596" i="1" s="1"/>
  <c r="AV596" i="1" a="1"/>
  <c r="AV596" i="1" s="1"/>
  <c r="AW596" i="1" a="1"/>
  <c r="AW596" i="1" s="1"/>
  <c r="AX596" i="1" a="1"/>
  <c r="AX596" i="1" s="1"/>
  <c r="AY596" i="1" a="1"/>
  <c r="AY596" i="1" s="1"/>
  <c r="AZ596" i="1" a="1"/>
  <c r="AZ596" i="1" s="1"/>
  <c r="BA596" i="1" a="1"/>
  <c r="BA596" i="1" s="1"/>
  <c r="BB596" i="1" a="1"/>
  <c r="BB596" i="1" s="1"/>
  <c r="AL597" i="1" a="1"/>
  <c r="AL597" i="1" s="1"/>
  <c r="AM597" i="1" a="1"/>
  <c r="AM597" i="1" s="1"/>
  <c r="AN597" i="1" a="1"/>
  <c r="AN597" i="1" s="1"/>
  <c r="AO597" i="1" a="1"/>
  <c r="AO597" i="1" s="1"/>
  <c r="AP597" i="1" a="1"/>
  <c r="AP597" i="1" s="1"/>
  <c r="AQ597" i="1" a="1"/>
  <c r="AQ597" i="1" s="1"/>
  <c r="AR597" i="1" a="1"/>
  <c r="AR597" i="1" s="1"/>
  <c r="AS597" i="1" a="1"/>
  <c r="AS597" i="1" s="1"/>
  <c r="AT597" i="1" a="1"/>
  <c r="AT597" i="1" s="1"/>
  <c r="AU597" i="1" a="1"/>
  <c r="AU597" i="1" s="1"/>
  <c r="AV597" i="1" a="1"/>
  <c r="AV597" i="1" s="1"/>
  <c r="AW597" i="1" a="1"/>
  <c r="AW597" i="1" s="1"/>
  <c r="AX597" i="1" a="1"/>
  <c r="AX597" i="1" s="1"/>
  <c r="AY597" i="1" a="1"/>
  <c r="AY597" i="1" s="1"/>
  <c r="AZ597" i="1" a="1"/>
  <c r="AZ597" i="1" s="1"/>
  <c r="BA597" i="1" a="1"/>
  <c r="BA597" i="1" s="1"/>
  <c r="BB597" i="1" a="1"/>
  <c r="BB597" i="1" s="1"/>
  <c r="AL598" i="1" a="1"/>
  <c r="AL598" i="1" s="1"/>
  <c r="AM598" i="1" a="1"/>
  <c r="AM598" i="1" s="1"/>
  <c r="AN598" i="1" a="1"/>
  <c r="AN598" i="1" s="1"/>
  <c r="AO598" i="1" a="1"/>
  <c r="AO598" i="1" s="1"/>
  <c r="AP598" i="1" a="1"/>
  <c r="AP598" i="1" s="1"/>
  <c r="AQ598" i="1" a="1"/>
  <c r="AQ598" i="1" s="1"/>
  <c r="AR598" i="1" a="1"/>
  <c r="AR598" i="1" s="1"/>
  <c r="AS598" i="1" a="1"/>
  <c r="AS598" i="1" s="1"/>
  <c r="AT598" i="1" a="1"/>
  <c r="AT598" i="1" s="1"/>
  <c r="AU598" i="1" a="1"/>
  <c r="AU598" i="1" s="1"/>
  <c r="AV598" i="1" a="1"/>
  <c r="AV598" i="1" s="1"/>
  <c r="AW598" i="1" a="1"/>
  <c r="AW598" i="1" s="1"/>
  <c r="AX598" i="1" a="1"/>
  <c r="AX598" i="1" s="1"/>
  <c r="AY598" i="1" a="1"/>
  <c r="AY598" i="1" s="1"/>
  <c r="AZ598" i="1" a="1"/>
  <c r="AZ598" i="1" s="1"/>
  <c r="BA598" i="1" a="1"/>
  <c r="BA598" i="1" s="1"/>
  <c r="BB598" i="1" a="1"/>
  <c r="BB598" i="1" s="1"/>
  <c r="AL599" i="1" a="1"/>
  <c r="AL599" i="1" s="1"/>
  <c r="AM599" i="1" a="1"/>
  <c r="AM599" i="1" s="1"/>
  <c r="AN599" i="1" a="1"/>
  <c r="AN599" i="1" s="1"/>
  <c r="AO599" i="1" a="1"/>
  <c r="AO599" i="1" s="1"/>
  <c r="AP599" i="1" a="1"/>
  <c r="AP599" i="1" s="1"/>
  <c r="AQ599" i="1" a="1"/>
  <c r="AQ599" i="1" s="1"/>
  <c r="AR599" i="1" a="1"/>
  <c r="AR599" i="1" s="1"/>
  <c r="AS599" i="1" a="1"/>
  <c r="AS599" i="1" s="1"/>
  <c r="AT599" i="1" a="1"/>
  <c r="AT599" i="1" s="1"/>
  <c r="AU599" i="1" a="1"/>
  <c r="AU599" i="1" s="1"/>
  <c r="AV599" i="1" a="1"/>
  <c r="AV599" i="1" s="1"/>
  <c r="AW599" i="1" a="1"/>
  <c r="AW599" i="1" s="1"/>
  <c r="AX599" i="1" a="1"/>
  <c r="AX599" i="1" s="1"/>
  <c r="AY599" i="1" a="1"/>
  <c r="AY599" i="1" s="1"/>
  <c r="AZ599" i="1" a="1"/>
  <c r="AZ599" i="1" s="1"/>
  <c r="BA599" i="1" a="1"/>
  <c r="BA599" i="1" s="1"/>
  <c r="BB599" i="1" a="1"/>
  <c r="BB599" i="1" s="1"/>
  <c r="AL600" i="1" a="1"/>
  <c r="AL600" i="1" s="1"/>
  <c r="AM600" i="1" a="1"/>
  <c r="AM600" i="1" s="1"/>
  <c r="AN600" i="1" a="1"/>
  <c r="AN600" i="1" s="1"/>
  <c r="AO600" i="1" a="1"/>
  <c r="AO600" i="1" s="1"/>
  <c r="AP600" i="1" a="1"/>
  <c r="AP600" i="1" s="1"/>
  <c r="AQ600" i="1" a="1"/>
  <c r="AQ600" i="1" s="1"/>
  <c r="AR600" i="1" a="1"/>
  <c r="AR600" i="1" s="1"/>
  <c r="AS600" i="1" a="1"/>
  <c r="AS600" i="1" s="1"/>
  <c r="AT600" i="1" a="1"/>
  <c r="AT600" i="1" s="1"/>
  <c r="AU600" i="1" a="1"/>
  <c r="AU600" i="1" s="1"/>
  <c r="AV600" i="1" a="1"/>
  <c r="AV600" i="1" s="1"/>
  <c r="AW600" i="1" a="1"/>
  <c r="AW600" i="1" s="1"/>
  <c r="AX600" i="1" a="1"/>
  <c r="AX600" i="1" s="1"/>
  <c r="AY600" i="1" a="1"/>
  <c r="AY600" i="1" s="1"/>
  <c r="AZ600" i="1" a="1"/>
  <c r="AZ600" i="1" s="1"/>
  <c r="BA600" i="1" a="1"/>
  <c r="BA600" i="1" s="1"/>
  <c r="BB600" i="1" a="1"/>
  <c r="BB600" i="1" s="1"/>
  <c r="AL601" i="1" a="1"/>
  <c r="AL601" i="1" s="1"/>
  <c r="AM601" i="1" a="1"/>
  <c r="AM601" i="1" s="1"/>
  <c r="AN601" i="1" a="1"/>
  <c r="AN601" i="1" s="1"/>
  <c r="AO601" i="1" a="1"/>
  <c r="AO601" i="1" s="1"/>
  <c r="AP601" i="1" a="1"/>
  <c r="AP601" i="1" s="1"/>
  <c r="AQ601" i="1" a="1"/>
  <c r="AQ601" i="1" s="1"/>
  <c r="AR601" i="1" a="1"/>
  <c r="AR601" i="1" s="1"/>
  <c r="AS601" i="1" a="1"/>
  <c r="AS601" i="1" s="1"/>
  <c r="AT601" i="1" a="1"/>
  <c r="AT601" i="1" s="1"/>
  <c r="AU601" i="1" a="1"/>
  <c r="AU601" i="1" s="1"/>
  <c r="AV601" i="1" a="1"/>
  <c r="AV601" i="1" s="1"/>
  <c r="AW601" i="1" a="1"/>
  <c r="AW601" i="1" s="1"/>
  <c r="AX601" i="1" a="1"/>
  <c r="AX601" i="1" s="1"/>
  <c r="AY601" i="1" a="1"/>
  <c r="AY601" i="1" s="1"/>
  <c r="AZ601" i="1" a="1"/>
  <c r="AZ601" i="1" s="1"/>
  <c r="BA601" i="1" a="1"/>
  <c r="BA601" i="1" s="1"/>
  <c r="BB601" i="1" a="1"/>
  <c r="BB601" i="1" s="1"/>
  <c r="AL602" i="1" a="1"/>
  <c r="AL602" i="1" s="1"/>
  <c r="AM602" i="1" a="1"/>
  <c r="AM602" i="1" s="1"/>
  <c r="AN602" i="1" a="1"/>
  <c r="AN602" i="1" s="1"/>
  <c r="AO602" i="1" a="1"/>
  <c r="AO602" i="1" s="1"/>
  <c r="AP602" i="1" a="1"/>
  <c r="AP602" i="1" s="1"/>
  <c r="AQ602" i="1" a="1"/>
  <c r="AQ602" i="1" s="1"/>
  <c r="AR602" i="1" a="1"/>
  <c r="AR602" i="1" s="1"/>
  <c r="AS602" i="1" a="1"/>
  <c r="AS602" i="1" s="1"/>
  <c r="AT602" i="1" a="1"/>
  <c r="AT602" i="1" s="1"/>
  <c r="AU602" i="1" a="1"/>
  <c r="AU602" i="1" s="1"/>
  <c r="AV602" i="1" a="1"/>
  <c r="AV602" i="1" s="1"/>
  <c r="AW602" i="1" a="1"/>
  <c r="AW602" i="1" s="1"/>
  <c r="AX602" i="1" a="1"/>
  <c r="AX602" i="1" s="1"/>
  <c r="AY602" i="1" a="1"/>
  <c r="AY602" i="1" s="1"/>
  <c r="AZ602" i="1" a="1"/>
  <c r="AZ602" i="1" s="1"/>
  <c r="BA602" i="1" a="1"/>
  <c r="BA602" i="1" s="1"/>
  <c r="BB602" i="1" a="1"/>
  <c r="BB602" i="1" s="1"/>
  <c r="AL603" i="1" a="1"/>
  <c r="AL603" i="1" s="1"/>
  <c r="AM603" i="1" a="1"/>
  <c r="AM603" i="1" s="1"/>
  <c r="AN603" i="1" a="1"/>
  <c r="AN603" i="1" s="1"/>
  <c r="AO603" i="1" a="1"/>
  <c r="AO603" i="1" s="1"/>
  <c r="AP603" i="1" a="1"/>
  <c r="AP603" i="1" s="1"/>
  <c r="AQ603" i="1" a="1"/>
  <c r="AQ603" i="1" s="1"/>
  <c r="AR603" i="1" a="1"/>
  <c r="AR603" i="1" s="1"/>
  <c r="AS603" i="1" a="1"/>
  <c r="AS603" i="1" s="1"/>
  <c r="AT603" i="1" a="1"/>
  <c r="AT603" i="1" s="1"/>
  <c r="AU603" i="1" a="1"/>
  <c r="AU603" i="1" s="1"/>
  <c r="AV603" i="1" a="1"/>
  <c r="AV603" i="1" s="1"/>
  <c r="AW603" i="1" a="1"/>
  <c r="AW603" i="1" s="1"/>
  <c r="AX603" i="1" a="1"/>
  <c r="AX603" i="1" s="1"/>
  <c r="AY603" i="1" a="1"/>
  <c r="AY603" i="1" s="1"/>
  <c r="AZ603" i="1" a="1"/>
  <c r="AZ603" i="1" s="1"/>
  <c r="BA603" i="1" a="1"/>
  <c r="BA603" i="1" s="1"/>
  <c r="BB603" i="1" a="1"/>
  <c r="BB603" i="1" s="1"/>
  <c r="AL604" i="1" a="1"/>
  <c r="AL604" i="1" s="1"/>
  <c r="AM604" i="1" a="1"/>
  <c r="AM604" i="1" s="1"/>
  <c r="AN604" i="1" a="1"/>
  <c r="AN604" i="1" s="1"/>
  <c r="AO604" i="1" a="1"/>
  <c r="AO604" i="1" s="1"/>
  <c r="AP604" i="1" a="1"/>
  <c r="AP604" i="1" s="1"/>
  <c r="AQ604" i="1" a="1"/>
  <c r="AQ604" i="1" s="1"/>
  <c r="AR604" i="1" a="1"/>
  <c r="AR604" i="1" s="1"/>
  <c r="AS604" i="1" a="1"/>
  <c r="AS604" i="1" s="1"/>
  <c r="AT604" i="1" a="1"/>
  <c r="AT604" i="1" s="1"/>
  <c r="AU604" i="1" a="1"/>
  <c r="AU604" i="1" s="1"/>
  <c r="AV604" i="1" a="1"/>
  <c r="AV604" i="1" s="1"/>
  <c r="AW604" i="1" a="1"/>
  <c r="AW604" i="1" s="1"/>
  <c r="AX604" i="1" a="1"/>
  <c r="AX604" i="1" s="1"/>
  <c r="AY604" i="1" a="1"/>
  <c r="AY604" i="1" s="1"/>
  <c r="AZ604" i="1" a="1"/>
  <c r="AZ604" i="1" s="1"/>
  <c r="BA604" i="1" a="1"/>
  <c r="BA604" i="1" s="1"/>
  <c r="BB604" i="1" a="1"/>
  <c r="BB604" i="1" s="1"/>
  <c r="AL605" i="1" a="1"/>
  <c r="AL605" i="1" s="1"/>
  <c r="AM605" i="1" a="1"/>
  <c r="AM605" i="1" s="1"/>
  <c r="AN605" i="1" a="1"/>
  <c r="AN605" i="1" s="1"/>
  <c r="AO605" i="1" a="1"/>
  <c r="AO605" i="1" s="1"/>
  <c r="AP605" i="1" a="1"/>
  <c r="AP605" i="1" s="1"/>
  <c r="AQ605" i="1" a="1"/>
  <c r="AQ605" i="1" s="1"/>
  <c r="AR605" i="1" a="1"/>
  <c r="AR605" i="1" s="1"/>
  <c r="AS605" i="1" a="1"/>
  <c r="AS605" i="1" s="1"/>
  <c r="AT605" i="1" a="1"/>
  <c r="AT605" i="1" s="1"/>
  <c r="AU605" i="1" a="1"/>
  <c r="AU605" i="1" s="1"/>
  <c r="AV605" i="1" a="1"/>
  <c r="AV605" i="1" s="1"/>
  <c r="AW605" i="1" a="1"/>
  <c r="AW605" i="1" s="1"/>
  <c r="AX605" i="1" a="1"/>
  <c r="AX605" i="1" s="1"/>
  <c r="AY605" i="1" a="1"/>
  <c r="AY605" i="1" s="1"/>
  <c r="AZ605" i="1" a="1"/>
  <c r="AZ605" i="1" s="1"/>
  <c r="BA605" i="1" a="1"/>
  <c r="BA605" i="1" s="1"/>
  <c r="BB605" i="1" a="1"/>
  <c r="BB605" i="1" s="1"/>
  <c r="AL606" i="1" a="1"/>
  <c r="AL606" i="1" s="1"/>
  <c r="AM606" i="1" a="1"/>
  <c r="AM606" i="1" s="1"/>
  <c r="AN606" i="1" a="1"/>
  <c r="AN606" i="1" s="1"/>
  <c r="AO606" i="1" a="1"/>
  <c r="AO606" i="1" s="1"/>
  <c r="AP606" i="1" a="1"/>
  <c r="AP606" i="1" s="1"/>
  <c r="AQ606" i="1" a="1"/>
  <c r="AQ606" i="1" s="1"/>
  <c r="AR606" i="1" a="1"/>
  <c r="AR606" i="1" s="1"/>
  <c r="AS606" i="1" a="1"/>
  <c r="AS606" i="1" s="1"/>
  <c r="AT606" i="1" a="1"/>
  <c r="AT606" i="1" s="1"/>
  <c r="AU606" i="1" a="1"/>
  <c r="AU606" i="1" s="1"/>
  <c r="AV606" i="1" a="1"/>
  <c r="AV606" i="1" s="1"/>
  <c r="AW606" i="1" a="1"/>
  <c r="AW606" i="1" s="1"/>
  <c r="AX606" i="1" a="1"/>
  <c r="AX606" i="1" s="1"/>
  <c r="AY606" i="1" a="1"/>
  <c r="AY606" i="1" s="1"/>
  <c r="AZ606" i="1" a="1"/>
  <c r="AZ606" i="1" s="1"/>
  <c r="BA606" i="1" a="1"/>
  <c r="BA606" i="1" s="1"/>
  <c r="BB606" i="1" a="1"/>
  <c r="BB606" i="1" s="1"/>
  <c r="AL607" i="1" a="1"/>
  <c r="AL607" i="1" s="1"/>
  <c r="AM607" i="1" a="1"/>
  <c r="AM607" i="1" s="1"/>
  <c r="AN607" i="1" a="1"/>
  <c r="AN607" i="1" s="1"/>
  <c r="AO607" i="1" a="1"/>
  <c r="AO607" i="1" s="1"/>
  <c r="AP607" i="1" a="1"/>
  <c r="AP607" i="1" s="1"/>
  <c r="AQ607" i="1" a="1"/>
  <c r="AQ607" i="1" s="1"/>
  <c r="AR607" i="1" a="1"/>
  <c r="AR607" i="1" s="1"/>
  <c r="AS607" i="1" a="1"/>
  <c r="AS607" i="1" s="1"/>
  <c r="AT607" i="1" a="1"/>
  <c r="AT607" i="1" s="1"/>
  <c r="AU607" i="1" a="1"/>
  <c r="AU607" i="1" s="1"/>
  <c r="AV607" i="1" a="1"/>
  <c r="AV607" i="1" s="1"/>
  <c r="AW607" i="1" a="1"/>
  <c r="AW607" i="1" s="1"/>
  <c r="AX607" i="1" a="1"/>
  <c r="AX607" i="1" s="1"/>
  <c r="AY607" i="1" a="1"/>
  <c r="AY607" i="1" s="1"/>
  <c r="AZ607" i="1" a="1"/>
  <c r="AZ607" i="1" s="1"/>
  <c r="BA607" i="1" a="1"/>
  <c r="BA607" i="1" s="1"/>
  <c r="BB607" i="1" a="1"/>
  <c r="BB607" i="1" s="1"/>
  <c r="AL608" i="1" a="1"/>
  <c r="AL608" i="1" s="1"/>
  <c r="AM608" i="1" a="1"/>
  <c r="AM608" i="1" s="1"/>
  <c r="AN608" i="1" a="1"/>
  <c r="AN608" i="1" s="1"/>
  <c r="AO608" i="1" a="1"/>
  <c r="AO608" i="1" s="1"/>
  <c r="AP608" i="1" a="1"/>
  <c r="AP608" i="1" s="1"/>
  <c r="AQ608" i="1" a="1"/>
  <c r="AQ608" i="1" s="1"/>
  <c r="AR608" i="1" a="1"/>
  <c r="AR608" i="1" s="1"/>
  <c r="AS608" i="1" a="1"/>
  <c r="AS608" i="1" s="1"/>
  <c r="AT608" i="1" a="1"/>
  <c r="AT608" i="1" s="1"/>
  <c r="AU608" i="1" a="1"/>
  <c r="AU608" i="1" s="1"/>
  <c r="AV608" i="1" a="1"/>
  <c r="AV608" i="1" s="1"/>
  <c r="AW608" i="1" a="1"/>
  <c r="AW608" i="1" s="1"/>
  <c r="AX608" i="1" a="1"/>
  <c r="AX608" i="1" s="1"/>
  <c r="AY608" i="1" a="1"/>
  <c r="AY608" i="1" s="1"/>
  <c r="AZ608" i="1" a="1"/>
  <c r="AZ608" i="1" s="1"/>
  <c r="BA608" i="1" a="1"/>
  <c r="BA608" i="1" s="1"/>
  <c r="BB608" i="1" a="1"/>
  <c r="BB608" i="1" s="1"/>
  <c r="AL609" i="1" a="1"/>
  <c r="AL609" i="1" s="1"/>
  <c r="AM609" i="1" a="1"/>
  <c r="AM609" i="1" s="1"/>
  <c r="AN609" i="1" a="1"/>
  <c r="AN609" i="1" s="1"/>
  <c r="AO609" i="1" a="1"/>
  <c r="AO609" i="1" s="1"/>
  <c r="AP609" i="1" a="1"/>
  <c r="AP609" i="1" s="1"/>
  <c r="AQ609" i="1" a="1"/>
  <c r="AQ609" i="1" s="1"/>
  <c r="AR609" i="1" a="1"/>
  <c r="AR609" i="1" s="1"/>
  <c r="AS609" i="1" a="1"/>
  <c r="AS609" i="1" s="1"/>
  <c r="AT609" i="1" a="1"/>
  <c r="AT609" i="1" s="1"/>
  <c r="AU609" i="1" a="1"/>
  <c r="AU609" i="1" s="1"/>
  <c r="AV609" i="1" a="1"/>
  <c r="AV609" i="1" s="1"/>
  <c r="AW609" i="1" a="1"/>
  <c r="AW609" i="1" s="1"/>
  <c r="AX609" i="1" a="1"/>
  <c r="AX609" i="1" s="1"/>
  <c r="AY609" i="1" a="1"/>
  <c r="AY609" i="1" s="1"/>
  <c r="AZ609" i="1" a="1"/>
  <c r="AZ609" i="1" s="1"/>
  <c r="BA609" i="1" a="1"/>
  <c r="BA609" i="1" s="1"/>
  <c r="BB609" i="1" a="1"/>
  <c r="BB609" i="1" s="1"/>
  <c r="AL610" i="1" a="1"/>
  <c r="AL610" i="1" s="1"/>
  <c r="AM610" i="1" a="1"/>
  <c r="AM610" i="1" s="1"/>
  <c r="AN610" i="1" a="1"/>
  <c r="AN610" i="1" s="1"/>
  <c r="AO610" i="1" a="1"/>
  <c r="AO610" i="1" s="1"/>
  <c r="AP610" i="1" a="1"/>
  <c r="AP610" i="1" s="1"/>
  <c r="AQ610" i="1" a="1"/>
  <c r="AQ610" i="1" s="1"/>
  <c r="AR610" i="1" a="1"/>
  <c r="AR610" i="1" s="1"/>
  <c r="AS610" i="1" a="1"/>
  <c r="AS610" i="1" s="1"/>
  <c r="AT610" i="1" a="1"/>
  <c r="AT610" i="1" s="1"/>
  <c r="AU610" i="1" a="1"/>
  <c r="AU610" i="1" s="1"/>
  <c r="AV610" i="1" a="1"/>
  <c r="AV610" i="1" s="1"/>
  <c r="AW610" i="1" a="1"/>
  <c r="AW610" i="1" s="1"/>
  <c r="AX610" i="1" a="1"/>
  <c r="AX610" i="1" s="1"/>
  <c r="AY610" i="1" a="1"/>
  <c r="AY610" i="1" s="1"/>
  <c r="AZ610" i="1" a="1"/>
  <c r="AZ610" i="1" s="1"/>
  <c r="BA610" i="1" a="1"/>
  <c r="BA610" i="1" s="1"/>
  <c r="BB610" i="1" a="1"/>
  <c r="BB610" i="1" s="1"/>
  <c r="AL611" i="1" a="1"/>
  <c r="AL611" i="1" s="1"/>
  <c r="AM611" i="1" a="1"/>
  <c r="AM611" i="1" s="1"/>
  <c r="AN611" i="1" a="1"/>
  <c r="AN611" i="1" s="1"/>
  <c r="AO611" i="1" a="1"/>
  <c r="AO611" i="1" s="1"/>
  <c r="AP611" i="1" a="1"/>
  <c r="AP611" i="1" s="1"/>
  <c r="AQ611" i="1" a="1"/>
  <c r="AQ611" i="1" s="1"/>
  <c r="AR611" i="1" a="1"/>
  <c r="AR611" i="1" s="1"/>
  <c r="AS611" i="1" a="1"/>
  <c r="AS611" i="1" s="1"/>
  <c r="AT611" i="1" a="1"/>
  <c r="AT611" i="1" s="1"/>
  <c r="AU611" i="1" a="1"/>
  <c r="AU611" i="1" s="1"/>
  <c r="AV611" i="1" a="1"/>
  <c r="AV611" i="1" s="1"/>
  <c r="AW611" i="1" a="1"/>
  <c r="AW611" i="1" s="1"/>
  <c r="AX611" i="1" a="1"/>
  <c r="AX611" i="1" s="1"/>
  <c r="AY611" i="1" a="1"/>
  <c r="AY611" i="1" s="1"/>
  <c r="AZ611" i="1" a="1"/>
  <c r="AZ611" i="1" s="1"/>
  <c r="BA611" i="1" a="1"/>
  <c r="BA611" i="1" s="1"/>
  <c r="BB611" i="1" a="1"/>
  <c r="BB611" i="1" s="1"/>
  <c r="AL612" i="1" a="1"/>
  <c r="AL612" i="1" s="1"/>
  <c r="AM612" i="1" a="1"/>
  <c r="AM612" i="1" s="1"/>
  <c r="AN612" i="1" a="1"/>
  <c r="AN612" i="1" s="1"/>
  <c r="AO612" i="1" a="1"/>
  <c r="AO612" i="1" s="1"/>
  <c r="AP612" i="1" a="1"/>
  <c r="AP612" i="1" s="1"/>
  <c r="AQ612" i="1" a="1"/>
  <c r="AQ612" i="1" s="1"/>
  <c r="AR612" i="1" a="1"/>
  <c r="AR612" i="1" s="1"/>
  <c r="AS612" i="1" a="1"/>
  <c r="AS612" i="1" s="1"/>
  <c r="AT612" i="1" a="1"/>
  <c r="AT612" i="1" s="1"/>
  <c r="AU612" i="1" a="1"/>
  <c r="AU612" i="1" s="1"/>
  <c r="AV612" i="1" a="1"/>
  <c r="AV612" i="1" s="1"/>
  <c r="AW612" i="1" a="1"/>
  <c r="AW612" i="1" s="1"/>
  <c r="AX612" i="1" a="1"/>
  <c r="AX612" i="1" s="1"/>
  <c r="AY612" i="1" a="1"/>
  <c r="AY612" i="1" s="1"/>
  <c r="AZ612" i="1" a="1"/>
  <c r="AZ612" i="1" s="1"/>
  <c r="BA612" i="1" a="1"/>
  <c r="BA612" i="1" s="1"/>
  <c r="BB612" i="1" a="1"/>
  <c r="BB612" i="1" s="1"/>
  <c r="AL613" i="1" a="1"/>
  <c r="AL613" i="1" s="1"/>
  <c r="AM613" i="1" a="1"/>
  <c r="AM613" i="1" s="1"/>
  <c r="AN613" i="1" a="1"/>
  <c r="AN613" i="1" s="1"/>
  <c r="AO613" i="1" a="1"/>
  <c r="AO613" i="1" s="1"/>
  <c r="AP613" i="1" a="1"/>
  <c r="AP613" i="1" s="1"/>
  <c r="AQ613" i="1" a="1"/>
  <c r="AQ613" i="1" s="1"/>
  <c r="AR613" i="1" a="1"/>
  <c r="AR613" i="1" s="1"/>
  <c r="AS613" i="1" a="1"/>
  <c r="AS613" i="1" s="1"/>
  <c r="AT613" i="1" a="1"/>
  <c r="AT613" i="1" s="1"/>
  <c r="AU613" i="1" a="1"/>
  <c r="AU613" i="1" s="1"/>
  <c r="AV613" i="1" a="1"/>
  <c r="AV613" i="1" s="1"/>
  <c r="AW613" i="1" a="1"/>
  <c r="AW613" i="1" s="1"/>
  <c r="AX613" i="1" a="1"/>
  <c r="AX613" i="1" s="1"/>
  <c r="AY613" i="1" a="1"/>
  <c r="AY613" i="1" s="1"/>
  <c r="AZ613" i="1" a="1"/>
  <c r="AZ613" i="1" s="1"/>
  <c r="BA613" i="1" a="1"/>
  <c r="BA613" i="1" s="1"/>
  <c r="BB613" i="1" a="1"/>
  <c r="BB613" i="1" s="1"/>
  <c r="AL614" i="1" a="1"/>
  <c r="AL614" i="1" s="1"/>
  <c r="AM614" i="1" a="1"/>
  <c r="AM614" i="1" s="1"/>
  <c r="AN614" i="1" a="1"/>
  <c r="AN614" i="1" s="1"/>
  <c r="AO614" i="1" a="1"/>
  <c r="AO614" i="1" s="1"/>
  <c r="AP614" i="1" a="1"/>
  <c r="AP614" i="1" s="1"/>
  <c r="AQ614" i="1" a="1"/>
  <c r="AQ614" i="1" s="1"/>
  <c r="AR614" i="1" a="1"/>
  <c r="AR614" i="1" s="1"/>
  <c r="AS614" i="1" a="1"/>
  <c r="AS614" i="1" s="1"/>
  <c r="AT614" i="1" a="1"/>
  <c r="AT614" i="1" s="1"/>
  <c r="AU614" i="1" a="1"/>
  <c r="AU614" i="1" s="1"/>
  <c r="AV614" i="1" a="1"/>
  <c r="AV614" i="1" s="1"/>
  <c r="AW614" i="1" a="1"/>
  <c r="AW614" i="1" s="1"/>
  <c r="AX614" i="1" a="1"/>
  <c r="AX614" i="1" s="1"/>
  <c r="AY614" i="1" a="1"/>
  <c r="AY614" i="1" s="1"/>
  <c r="AZ614" i="1" a="1"/>
  <c r="AZ614" i="1" s="1"/>
  <c r="BA614" i="1" a="1"/>
  <c r="BA614" i="1" s="1"/>
  <c r="BB614" i="1" a="1"/>
  <c r="BB614" i="1" s="1"/>
  <c r="AL615" i="1" a="1"/>
  <c r="AL615" i="1" s="1"/>
  <c r="AM615" i="1" a="1"/>
  <c r="AM615" i="1" s="1"/>
  <c r="AN615" i="1" a="1"/>
  <c r="AN615" i="1" s="1"/>
  <c r="AO615" i="1" a="1"/>
  <c r="AO615" i="1" s="1"/>
  <c r="AP615" i="1" a="1"/>
  <c r="AP615" i="1" s="1"/>
  <c r="AQ615" i="1" a="1"/>
  <c r="AQ615" i="1" s="1"/>
  <c r="AR615" i="1" a="1"/>
  <c r="AR615" i="1" s="1"/>
  <c r="AS615" i="1" a="1"/>
  <c r="AS615" i="1" s="1"/>
  <c r="AT615" i="1" a="1"/>
  <c r="AT615" i="1" s="1"/>
  <c r="AU615" i="1" a="1"/>
  <c r="AU615" i="1" s="1"/>
  <c r="AV615" i="1" a="1"/>
  <c r="AV615" i="1" s="1"/>
  <c r="AW615" i="1" a="1"/>
  <c r="AW615" i="1" s="1"/>
  <c r="AX615" i="1" a="1"/>
  <c r="AX615" i="1" s="1"/>
  <c r="AY615" i="1" a="1"/>
  <c r="AY615" i="1" s="1"/>
  <c r="AZ615" i="1" a="1"/>
  <c r="AZ615" i="1" s="1"/>
  <c r="BA615" i="1" a="1"/>
  <c r="BA615" i="1" s="1"/>
  <c r="BB615" i="1" a="1"/>
  <c r="BB615" i="1" s="1"/>
  <c r="AL616" i="1" a="1"/>
  <c r="AL616" i="1" s="1"/>
  <c r="AM616" i="1" a="1"/>
  <c r="AM616" i="1" s="1"/>
  <c r="AN616" i="1" a="1"/>
  <c r="AN616" i="1" s="1"/>
  <c r="AO616" i="1" a="1"/>
  <c r="AO616" i="1" s="1"/>
  <c r="AP616" i="1" a="1"/>
  <c r="AP616" i="1" s="1"/>
  <c r="AQ616" i="1" a="1"/>
  <c r="AQ616" i="1" s="1"/>
  <c r="AR616" i="1" a="1"/>
  <c r="AR616" i="1" s="1"/>
  <c r="AS616" i="1" a="1"/>
  <c r="AS616" i="1" s="1"/>
  <c r="AT616" i="1" a="1"/>
  <c r="AT616" i="1" s="1"/>
  <c r="AU616" i="1" a="1"/>
  <c r="AU616" i="1" s="1"/>
  <c r="AV616" i="1" a="1"/>
  <c r="AV616" i="1" s="1"/>
  <c r="AW616" i="1" a="1"/>
  <c r="AW616" i="1" s="1"/>
  <c r="AX616" i="1" a="1"/>
  <c r="AX616" i="1" s="1"/>
  <c r="AY616" i="1" a="1"/>
  <c r="AY616" i="1" s="1"/>
  <c r="AZ616" i="1" a="1"/>
  <c r="AZ616" i="1" s="1"/>
  <c r="BA616" i="1" a="1"/>
  <c r="BA616" i="1" s="1"/>
  <c r="BB616" i="1" a="1"/>
  <c r="BB616" i="1" s="1"/>
  <c r="AL617" i="1" a="1"/>
  <c r="AL617" i="1" s="1"/>
  <c r="AM617" i="1" a="1"/>
  <c r="AM617" i="1" s="1"/>
  <c r="AN617" i="1" a="1"/>
  <c r="AN617" i="1" s="1"/>
  <c r="AO617" i="1" a="1"/>
  <c r="AO617" i="1" s="1"/>
  <c r="AP617" i="1" a="1"/>
  <c r="AP617" i="1" s="1"/>
  <c r="AQ617" i="1" a="1"/>
  <c r="AQ617" i="1" s="1"/>
  <c r="AR617" i="1" a="1"/>
  <c r="AR617" i="1" s="1"/>
  <c r="AS617" i="1" a="1"/>
  <c r="AS617" i="1" s="1"/>
  <c r="AT617" i="1" a="1"/>
  <c r="AT617" i="1" s="1"/>
  <c r="AU617" i="1" a="1"/>
  <c r="AU617" i="1" s="1"/>
  <c r="AV617" i="1" a="1"/>
  <c r="AV617" i="1" s="1"/>
  <c r="AW617" i="1" a="1"/>
  <c r="AW617" i="1" s="1"/>
  <c r="AX617" i="1" a="1"/>
  <c r="AX617" i="1" s="1"/>
  <c r="AY617" i="1" a="1"/>
  <c r="AY617" i="1" s="1"/>
  <c r="AZ617" i="1" a="1"/>
  <c r="AZ617" i="1" s="1"/>
  <c r="BA617" i="1" a="1"/>
  <c r="BA617" i="1" s="1"/>
  <c r="BB617" i="1" a="1"/>
  <c r="BB617" i="1" s="1"/>
  <c r="AL618" i="1" a="1"/>
  <c r="AL618" i="1" s="1"/>
  <c r="AM618" i="1" a="1"/>
  <c r="AM618" i="1" s="1"/>
  <c r="AN618" i="1" a="1"/>
  <c r="AN618" i="1" s="1"/>
  <c r="AO618" i="1" a="1"/>
  <c r="AO618" i="1" s="1"/>
  <c r="AP618" i="1" a="1"/>
  <c r="AP618" i="1" s="1"/>
  <c r="AQ618" i="1" a="1"/>
  <c r="AQ618" i="1" s="1"/>
  <c r="AR618" i="1" a="1"/>
  <c r="AR618" i="1" s="1"/>
  <c r="AS618" i="1" a="1"/>
  <c r="AS618" i="1" s="1"/>
  <c r="AT618" i="1" a="1"/>
  <c r="AT618" i="1" s="1"/>
  <c r="AU618" i="1" a="1"/>
  <c r="AU618" i="1" s="1"/>
  <c r="AV618" i="1" a="1"/>
  <c r="AV618" i="1" s="1"/>
  <c r="AW618" i="1" a="1"/>
  <c r="AW618" i="1" s="1"/>
  <c r="AX618" i="1" a="1"/>
  <c r="AX618" i="1" s="1"/>
  <c r="AY618" i="1" a="1"/>
  <c r="AY618" i="1" s="1"/>
  <c r="AZ618" i="1" a="1"/>
  <c r="AZ618" i="1" s="1"/>
  <c r="BA618" i="1" a="1"/>
  <c r="BA618" i="1" s="1"/>
  <c r="BB618" i="1" a="1"/>
  <c r="BB618" i="1" s="1"/>
  <c r="AL619" i="1" a="1"/>
  <c r="AL619" i="1" s="1"/>
  <c r="AM619" i="1" a="1"/>
  <c r="AM619" i="1" s="1"/>
  <c r="AN619" i="1" a="1"/>
  <c r="AN619" i="1" s="1"/>
  <c r="AO619" i="1" a="1"/>
  <c r="AO619" i="1" s="1"/>
  <c r="AP619" i="1" a="1"/>
  <c r="AP619" i="1" s="1"/>
  <c r="AQ619" i="1" a="1"/>
  <c r="AQ619" i="1" s="1"/>
  <c r="AR619" i="1" a="1"/>
  <c r="AR619" i="1" s="1"/>
  <c r="AS619" i="1" a="1"/>
  <c r="AS619" i="1" s="1"/>
  <c r="AT619" i="1" a="1"/>
  <c r="AT619" i="1" s="1"/>
  <c r="AU619" i="1" a="1"/>
  <c r="AU619" i="1" s="1"/>
  <c r="AV619" i="1" a="1"/>
  <c r="AV619" i="1" s="1"/>
  <c r="AW619" i="1" a="1"/>
  <c r="AW619" i="1" s="1"/>
  <c r="AX619" i="1" a="1"/>
  <c r="AX619" i="1" s="1"/>
  <c r="AY619" i="1" a="1"/>
  <c r="AY619" i="1" s="1"/>
  <c r="AZ619" i="1" a="1"/>
  <c r="AZ619" i="1" s="1"/>
  <c r="BA619" i="1" a="1"/>
  <c r="BA619" i="1" s="1"/>
  <c r="BB619" i="1" a="1"/>
  <c r="BB619" i="1" s="1"/>
  <c r="AL620" i="1" a="1"/>
  <c r="AL620" i="1" s="1"/>
  <c r="AM620" i="1" a="1"/>
  <c r="AM620" i="1" s="1"/>
  <c r="AN620" i="1" a="1"/>
  <c r="AN620" i="1" s="1"/>
  <c r="AO620" i="1" a="1"/>
  <c r="AO620" i="1" s="1"/>
  <c r="AP620" i="1" a="1"/>
  <c r="AP620" i="1" s="1"/>
  <c r="AQ620" i="1" a="1"/>
  <c r="AQ620" i="1" s="1"/>
  <c r="AR620" i="1" a="1"/>
  <c r="AR620" i="1" s="1"/>
  <c r="AS620" i="1" a="1"/>
  <c r="AS620" i="1" s="1"/>
  <c r="AT620" i="1" a="1"/>
  <c r="AT620" i="1" s="1"/>
  <c r="AU620" i="1" a="1"/>
  <c r="AU620" i="1" s="1"/>
  <c r="AV620" i="1" a="1"/>
  <c r="AV620" i="1" s="1"/>
  <c r="AW620" i="1" a="1"/>
  <c r="AW620" i="1" s="1"/>
  <c r="AX620" i="1" a="1"/>
  <c r="AX620" i="1" s="1"/>
  <c r="AY620" i="1" a="1"/>
  <c r="AY620" i="1" s="1"/>
  <c r="AZ620" i="1" a="1"/>
  <c r="AZ620" i="1" s="1"/>
  <c r="BA620" i="1" a="1"/>
  <c r="BA620" i="1" s="1"/>
  <c r="BB620" i="1" a="1"/>
  <c r="BB620" i="1" s="1"/>
  <c r="AL621" i="1" a="1"/>
  <c r="AL621" i="1" s="1"/>
  <c r="AM621" i="1" a="1"/>
  <c r="AM621" i="1" s="1"/>
  <c r="AN621" i="1" a="1"/>
  <c r="AN621" i="1" s="1"/>
  <c r="AO621" i="1" a="1"/>
  <c r="AO621" i="1" s="1"/>
  <c r="AP621" i="1" a="1"/>
  <c r="AP621" i="1" s="1"/>
  <c r="AQ621" i="1" a="1"/>
  <c r="AQ621" i="1" s="1"/>
  <c r="AR621" i="1" a="1"/>
  <c r="AR621" i="1" s="1"/>
  <c r="AS621" i="1" a="1"/>
  <c r="AS621" i="1" s="1"/>
  <c r="AT621" i="1" a="1"/>
  <c r="AT621" i="1" s="1"/>
  <c r="AU621" i="1" a="1"/>
  <c r="AU621" i="1" s="1"/>
  <c r="AV621" i="1" a="1"/>
  <c r="AV621" i="1" s="1"/>
  <c r="AW621" i="1" a="1"/>
  <c r="AW621" i="1" s="1"/>
  <c r="AX621" i="1" a="1"/>
  <c r="AX621" i="1" s="1"/>
  <c r="AY621" i="1" a="1"/>
  <c r="AY621" i="1" s="1"/>
  <c r="AZ621" i="1" a="1"/>
  <c r="AZ621" i="1" s="1"/>
  <c r="BA621" i="1" a="1"/>
  <c r="BA621" i="1" s="1"/>
  <c r="BB621" i="1" a="1"/>
  <c r="BB621" i="1" s="1"/>
  <c r="AL622" i="1" a="1"/>
  <c r="AL622" i="1" s="1"/>
  <c r="AM622" i="1" a="1"/>
  <c r="AM622" i="1" s="1"/>
  <c r="AN622" i="1" a="1"/>
  <c r="AN622" i="1" s="1"/>
  <c r="AO622" i="1" a="1"/>
  <c r="AO622" i="1" s="1"/>
  <c r="AP622" i="1" a="1"/>
  <c r="AP622" i="1" s="1"/>
  <c r="AQ622" i="1" a="1"/>
  <c r="AQ622" i="1" s="1"/>
  <c r="AR622" i="1" a="1"/>
  <c r="AR622" i="1" s="1"/>
  <c r="AS622" i="1" a="1"/>
  <c r="AS622" i="1" s="1"/>
  <c r="AT622" i="1" a="1"/>
  <c r="AT622" i="1" s="1"/>
  <c r="AU622" i="1" a="1"/>
  <c r="AU622" i="1" s="1"/>
  <c r="AV622" i="1" a="1"/>
  <c r="AV622" i="1" s="1"/>
  <c r="AW622" i="1" a="1"/>
  <c r="AW622" i="1" s="1"/>
  <c r="AX622" i="1" a="1"/>
  <c r="AX622" i="1" s="1"/>
  <c r="AY622" i="1" a="1"/>
  <c r="AY622" i="1" s="1"/>
  <c r="AZ622" i="1" a="1"/>
  <c r="AZ622" i="1" s="1"/>
  <c r="BA622" i="1" a="1"/>
  <c r="BA622" i="1" s="1"/>
  <c r="BB622" i="1" a="1"/>
  <c r="BB622" i="1" s="1"/>
  <c r="AL623" i="1" a="1"/>
  <c r="AL623" i="1" s="1"/>
  <c r="AM623" i="1" a="1"/>
  <c r="AM623" i="1" s="1"/>
  <c r="AN623" i="1" a="1"/>
  <c r="AN623" i="1" s="1"/>
  <c r="AO623" i="1" a="1"/>
  <c r="AO623" i="1" s="1"/>
  <c r="AP623" i="1" a="1"/>
  <c r="AP623" i="1" s="1"/>
  <c r="AQ623" i="1" a="1"/>
  <c r="AQ623" i="1" s="1"/>
  <c r="AR623" i="1" a="1"/>
  <c r="AR623" i="1" s="1"/>
  <c r="AS623" i="1" a="1"/>
  <c r="AS623" i="1" s="1"/>
  <c r="AT623" i="1" a="1"/>
  <c r="AT623" i="1" s="1"/>
  <c r="AU623" i="1" a="1"/>
  <c r="AU623" i="1" s="1"/>
  <c r="AV623" i="1" a="1"/>
  <c r="AV623" i="1" s="1"/>
  <c r="AW623" i="1" a="1"/>
  <c r="AW623" i="1" s="1"/>
  <c r="AX623" i="1" a="1"/>
  <c r="AX623" i="1" s="1"/>
  <c r="AY623" i="1" a="1"/>
  <c r="AY623" i="1" s="1"/>
  <c r="AZ623" i="1" a="1"/>
  <c r="AZ623" i="1" s="1"/>
  <c r="BA623" i="1" a="1"/>
  <c r="BA623" i="1" s="1"/>
  <c r="BB623" i="1" a="1"/>
  <c r="BB623" i="1" s="1"/>
  <c r="AL624" i="1" a="1"/>
  <c r="AL624" i="1" s="1"/>
  <c r="AM624" i="1" a="1"/>
  <c r="AM624" i="1" s="1"/>
  <c r="AN624" i="1" a="1"/>
  <c r="AN624" i="1" s="1"/>
  <c r="AO624" i="1" a="1"/>
  <c r="AO624" i="1" s="1"/>
  <c r="AP624" i="1" a="1"/>
  <c r="AP624" i="1" s="1"/>
  <c r="AQ624" i="1" a="1"/>
  <c r="AQ624" i="1" s="1"/>
  <c r="AR624" i="1" a="1"/>
  <c r="AR624" i="1" s="1"/>
  <c r="AS624" i="1" a="1"/>
  <c r="AS624" i="1" s="1"/>
  <c r="AT624" i="1" a="1"/>
  <c r="AT624" i="1" s="1"/>
  <c r="AU624" i="1" a="1"/>
  <c r="AU624" i="1" s="1"/>
  <c r="AV624" i="1" a="1"/>
  <c r="AV624" i="1" s="1"/>
  <c r="AW624" i="1" a="1"/>
  <c r="AW624" i="1" s="1"/>
  <c r="AX624" i="1" a="1"/>
  <c r="AX624" i="1" s="1"/>
  <c r="AY624" i="1" a="1"/>
  <c r="AY624" i="1" s="1"/>
  <c r="AZ624" i="1" a="1"/>
  <c r="AZ624" i="1" s="1"/>
  <c r="BA624" i="1" a="1"/>
  <c r="BA624" i="1" s="1"/>
  <c r="BB624" i="1" a="1"/>
  <c r="BB624" i="1" s="1"/>
  <c r="AL627" i="1" a="1"/>
  <c r="AL627" i="1" s="1"/>
  <c r="AM627" i="1" a="1"/>
  <c r="AM627" i="1" s="1"/>
  <c r="AN627" i="1" a="1"/>
  <c r="AN627" i="1" s="1"/>
  <c r="AO627" i="1" a="1"/>
  <c r="AO627" i="1" s="1"/>
  <c r="AP627" i="1" a="1"/>
  <c r="AP627" i="1" s="1"/>
  <c r="AQ627" i="1" a="1"/>
  <c r="AQ627" i="1" s="1"/>
  <c r="AR627" i="1" a="1"/>
  <c r="AR627" i="1" s="1"/>
  <c r="AS627" i="1" a="1"/>
  <c r="AS627" i="1" s="1"/>
  <c r="AT627" i="1" a="1"/>
  <c r="AT627" i="1" s="1"/>
  <c r="AU627" i="1" a="1"/>
  <c r="AU627" i="1" s="1"/>
  <c r="AV627" i="1" a="1"/>
  <c r="AV627" i="1" s="1"/>
  <c r="AW627" i="1" a="1"/>
  <c r="AW627" i="1" s="1"/>
  <c r="AX627" i="1" a="1"/>
  <c r="AX627" i="1" s="1"/>
  <c r="AY627" i="1" a="1"/>
  <c r="AY627" i="1" s="1"/>
  <c r="AZ627" i="1" a="1"/>
  <c r="AZ627" i="1" s="1"/>
  <c r="BA627" i="1" a="1"/>
  <c r="BA627" i="1" s="1"/>
  <c r="BB627" i="1" a="1"/>
  <c r="BB627" i="1" s="1"/>
  <c r="AL628" i="1" a="1"/>
  <c r="AL628" i="1" s="1"/>
  <c r="AM628" i="1" a="1"/>
  <c r="AM628" i="1" s="1"/>
  <c r="AN628" i="1" a="1"/>
  <c r="AN628" i="1" s="1"/>
  <c r="AO628" i="1" a="1"/>
  <c r="AO628" i="1" s="1"/>
  <c r="AP628" i="1" a="1"/>
  <c r="AP628" i="1" s="1"/>
  <c r="AQ628" i="1" a="1"/>
  <c r="AQ628" i="1" s="1"/>
  <c r="AR628" i="1" a="1"/>
  <c r="AR628" i="1" s="1"/>
  <c r="AS628" i="1" a="1"/>
  <c r="AS628" i="1" s="1"/>
  <c r="AT628" i="1" a="1"/>
  <c r="AT628" i="1" s="1"/>
  <c r="AU628" i="1" a="1"/>
  <c r="AU628" i="1" s="1"/>
  <c r="AV628" i="1" a="1"/>
  <c r="AV628" i="1" s="1"/>
  <c r="AW628" i="1" a="1"/>
  <c r="AW628" i="1" s="1"/>
  <c r="AX628" i="1" a="1"/>
  <c r="AX628" i="1" s="1"/>
  <c r="AY628" i="1" a="1"/>
  <c r="AY628" i="1" s="1"/>
  <c r="AZ628" i="1" a="1"/>
  <c r="AZ628" i="1" s="1"/>
  <c r="BA628" i="1" a="1"/>
  <c r="BA628" i="1" s="1"/>
  <c r="BB628" i="1" a="1"/>
  <c r="BB628" i="1" s="1"/>
  <c r="AL629" i="1" a="1"/>
  <c r="AL629" i="1" s="1"/>
  <c r="AM629" i="1" a="1"/>
  <c r="AM629" i="1" s="1"/>
  <c r="AN629" i="1" a="1"/>
  <c r="AN629" i="1" s="1"/>
  <c r="AO629" i="1" a="1"/>
  <c r="AO629" i="1" s="1"/>
  <c r="AP629" i="1" a="1"/>
  <c r="AP629" i="1" s="1"/>
  <c r="AQ629" i="1" a="1"/>
  <c r="AQ629" i="1" s="1"/>
  <c r="AR629" i="1" a="1"/>
  <c r="AR629" i="1" s="1"/>
  <c r="AS629" i="1" a="1"/>
  <c r="AS629" i="1" s="1"/>
  <c r="AT629" i="1" a="1"/>
  <c r="AT629" i="1" s="1"/>
  <c r="AU629" i="1" a="1"/>
  <c r="AU629" i="1" s="1"/>
  <c r="AV629" i="1" a="1"/>
  <c r="AV629" i="1" s="1"/>
  <c r="AW629" i="1" a="1"/>
  <c r="AW629" i="1" s="1"/>
  <c r="AX629" i="1" a="1"/>
  <c r="AX629" i="1" s="1"/>
  <c r="AY629" i="1" a="1"/>
  <c r="AY629" i="1" s="1"/>
  <c r="AZ629" i="1" a="1"/>
  <c r="AZ629" i="1" s="1"/>
  <c r="BA629" i="1" a="1"/>
  <c r="BA629" i="1" s="1"/>
  <c r="BB629" i="1" a="1"/>
  <c r="BB629" i="1" s="1"/>
  <c r="AL630" i="1" a="1"/>
  <c r="AL630" i="1" s="1"/>
  <c r="AM630" i="1" a="1"/>
  <c r="AM630" i="1" s="1"/>
  <c r="AN630" i="1" a="1"/>
  <c r="AN630" i="1" s="1"/>
  <c r="AO630" i="1" a="1"/>
  <c r="AO630" i="1" s="1"/>
  <c r="AP630" i="1" a="1"/>
  <c r="AP630" i="1" s="1"/>
  <c r="AQ630" i="1" a="1"/>
  <c r="AQ630" i="1" s="1"/>
  <c r="AR630" i="1" a="1"/>
  <c r="AR630" i="1" s="1"/>
  <c r="AS630" i="1" a="1"/>
  <c r="AS630" i="1" s="1"/>
  <c r="AT630" i="1" a="1"/>
  <c r="AT630" i="1" s="1"/>
  <c r="AU630" i="1" a="1"/>
  <c r="AU630" i="1" s="1"/>
  <c r="AV630" i="1" a="1"/>
  <c r="AV630" i="1" s="1"/>
  <c r="AW630" i="1" a="1"/>
  <c r="AW630" i="1" s="1"/>
  <c r="AX630" i="1" a="1"/>
  <c r="AX630" i="1" s="1"/>
  <c r="AY630" i="1" a="1"/>
  <c r="AY630" i="1" s="1"/>
  <c r="AZ630" i="1" a="1"/>
  <c r="AZ630" i="1" s="1"/>
  <c r="BA630" i="1" a="1"/>
  <c r="BA630" i="1" s="1"/>
  <c r="BB630" i="1" a="1"/>
  <c r="BB630" i="1" s="1"/>
  <c r="AL631" i="1" a="1"/>
  <c r="AL631" i="1" s="1"/>
  <c r="AM631" i="1" a="1"/>
  <c r="AM631" i="1" s="1"/>
  <c r="AN631" i="1" a="1"/>
  <c r="AN631" i="1" s="1"/>
  <c r="AO631" i="1" a="1"/>
  <c r="AO631" i="1" s="1"/>
  <c r="AP631" i="1" a="1"/>
  <c r="AP631" i="1" s="1"/>
  <c r="AQ631" i="1" a="1"/>
  <c r="AQ631" i="1" s="1"/>
  <c r="AR631" i="1" a="1"/>
  <c r="AR631" i="1" s="1"/>
  <c r="AS631" i="1" a="1"/>
  <c r="AS631" i="1" s="1"/>
  <c r="AT631" i="1" a="1"/>
  <c r="AT631" i="1" s="1"/>
  <c r="AU631" i="1" a="1"/>
  <c r="AU631" i="1" s="1"/>
  <c r="AV631" i="1" a="1"/>
  <c r="AV631" i="1" s="1"/>
  <c r="AW631" i="1" a="1"/>
  <c r="AW631" i="1" s="1"/>
  <c r="AX631" i="1" a="1"/>
  <c r="AX631" i="1" s="1"/>
  <c r="AY631" i="1" a="1"/>
  <c r="AY631" i="1" s="1"/>
  <c r="AZ631" i="1" a="1"/>
  <c r="AZ631" i="1" s="1"/>
  <c r="BA631" i="1" a="1"/>
  <c r="BA631" i="1" s="1"/>
  <c r="BB631" i="1" a="1"/>
  <c r="BB631" i="1" s="1"/>
  <c r="AL632" i="1" a="1"/>
  <c r="AL632" i="1" s="1"/>
  <c r="AM632" i="1" a="1"/>
  <c r="AM632" i="1" s="1"/>
  <c r="AN632" i="1" a="1"/>
  <c r="AN632" i="1" s="1"/>
  <c r="AO632" i="1" a="1"/>
  <c r="AO632" i="1" s="1"/>
  <c r="AP632" i="1" a="1"/>
  <c r="AP632" i="1" s="1"/>
  <c r="AQ632" i="1" a="1"/>
  <c r="AQ632" i="1" s="1"/>
  <c r="AR632" i="1" a="1"/>
  <c r="AR632" i="1" s="1"/>
  <c r="AS632" i="1" a="1"/>
  <c r="AS632" i="1" s="1"/>
  <c r="AT632" i="1" a="1"/>
  <c r="AT632" i="1" s="1"/>
  <c r="AU632" i="1" a="1"/>
  <c r="AU632" i="1" s="1"/>
  <c r="AV632" i="1" a="1"/>
  <c r="AV632" i="1" s="1"/>
  <c r="AW632" i="1" a="1"/>
  <c r="AW632" i="1" s="1"/>
  <c r="AX632" i="1" a="1"/>
  <c r="AX632" i="1" s="1"/>
  <c r="AY632" i="1" a="1"/>
  <c r="AY632" i="1" s="1"/>
  <c r="AZ632" i="1" a="1"/>
  <c r="AZ632" i="1" s="1"/>
  <c r="BA632" i="1" a="1"/>
  <c r="BA632" i="1" s="1"/>
  <c r="BB632" i="1" a="1"/>
  <c r="BB632" i="1" s="1"/>
  <c r="AL633" i="1" a="1"/>
  <c r="AL633" i="1" s="1"/>
  <c r="AM633" i="1" a="1"/>
  <c r="AM633" i="1" s="1"/>
  <c r="AN633" i="1" a="1"/>
  <c r="AN633" i="1" s="1"/>
  <c r="AO633" i="1" a="1"/>
  <c r="AO633" i="1" s="1"/>
  <c r="AP633" i="1" a="1"/>
  <c r="AP633" i="1" s="1"/>
  <c r="AQ633" i="1" a="1"/>
  <c r="AQ633" i="1" s="1"/>
  <c r="AR633" i="1" a="1"/>
  <c r="AR633" i="1" s="1"/>
  <c r="AS633" i="1" a="1"/>
  <c r="AS633" i="1" s="1"/>
  <c r="AT633" i="1" a="1"/>
  <c r="AT633" i="1" s="1"/>
  <c r="AU633" i="1" a="1"/>
  <c r="AU633" i="1" s="1"/>
  <c r="AV633" i="1" a="1"/>
  <c r="AV633" i="1" s="1"/>
  <c r="AW633" i="1" a="1"/>
  <c r="AW633" i="1" s="1"/>
  <c r="AX633" i="1" a="1"/>
  <c r="AX633" i="1" s="1"/>
  <c r="AY633" i="1" a="1"/>
  <c r="AY633" i="1" s="1"/>
  <c r="AZ633" i="1" a="1"/>
  <c r="AZ633" i="1" s="1"/>
  <c r="BA633" i="1" a="1"/>
  <c r="BA633" i="1" s="1"/>
  <c r="BB633" i="1" a="1"/>
  <c r="BB633" i="1" s="1"/>
  <c r="AL634" i="1" a="1"/>
  <c r="AL634" i="1" s="1"/>
  <c r="AM634" i="1" a="1"/>
  <c r="AM634" i="1" s="1"/>
  <c r="AN634" i="1" a="1"/>
  <c r="AN634" i="1" s="1"/>
  <c r="AO634" i="1" a="1"/>
  <c r="AO634" i="1" s="1"/>
  <c r="AP634" i="1" a="1"/>
  <c r="AP634" i="1" s="1"/>
  <c r="AQ634" i="1" a="1"/>
  <c r="AQ634" i="1" s="1"/>
  <c r="AR634" i="1" a="1"/>
  <c r="AR634" i="1" s="1"/>
  <c r="AS634" i="1" a="1"/>
  <c r="AS634" i="1" s="1"/>
  <c r="AT634" i="1" a="1"/>
  <c r="AT634" i="1" s="1"/>
  <c r="AU634" i="1" a="1"/>
  <c r="AU634" i="1" s="1"/>
  <c r="AV634" i="1" a="1"/>
  <c r="AV634" i="1" s="1"/>
  <c r="AW634" i="1" a="1"/>
  <c r="AW634" i="1" s="1"/>
  <c r="AX634" i="1" a="1"/>
  <c r="AX634" i="1" s="1"/>
  <c r="AY634" i="1" a="1"/>
  <c r="AY634" i="1" s="1"/>
  <c r="AZ634" i="1" a="1"/>
  <c r="AZ634" i="1" s="1"/>
  <c r="BA634" i="1" a="1"/>
  <c r="BA634" i="1" s="1"/>
  <c r="BB634" i="1" a="1"/>
  <c r="BB634" i="1" s="1"/>
  <c r="AL635" i="1" a="1"/>
  <c r="AL635" i="1" s="1"/>
  <c r="AM635" i="1" a="1"/>
  <c r="AM635" i="1" s="1"/>
  <c r="AN635" i="1" a="1"/>
  <c r="AN635" i="1" s="1"/>
  <c r="AO635" i="1" a="1"/>
  <c r="AO635" i="1" s="1"/>
  <c r="AP635" i="1" a="1"/>
  <c r="AP635" i="1" s="1"/>
  <c r="AQ635" i="1" a="1"/>
  <c r="AQ635" i="1" s="1"/>
  <c r="AR635" i="1" a="1"/>
  <c r="AR635" i="1" s="1"/>
  <c r="AS635" i="1" a="1"/>
  <c r="AS635" i="1" s="1"/>
  <c r="AT635" i="1" a="1"/>
  <c r="AT635" i="1" s="1"/>
  <c r="AU635" i="1" a="1"/>
  <c r="AU635" i="1" s="1"/>
  <c r="AV635" i="1" a="1"/>
  <c r="AV635" i="1" s="1"/>
  <c r="AW635" i="1" a="1"/>
  <c r="AW635" i="1" s="1"/>
  <c r="AX635" i="1" a="1"/>
  <c r="AX635" i="1" s="1"/>
  <c r="AY635" i="1" a="1"/>
  <c r="AY635" i="1" s="1"/>
  <c r="AZ635" i="1" a="1"/>
  <c r="AZ635" i="1" s="1"/>
  <c r="BA635" i="1" a="1"/>
  <c r="BA635" i="1" s="1"/>
  <c r="BB635" i="1" a="1"/>
  <c r="BB635" i="1" s="1"/>
  <c r="AL636" i="1" a="1"/>
  <c r="AL636" i="1" s="1"/>
  <c r="AM636" i="1" a="1"/>
  <c r="AM636" i="1" s="1"/>
  <c r="AN636" i="1" a="1"/>
  <c r="AN636" i="1" s="1"/>
  <c r="AO636" i="1" a="1"/>
  <c r="AO636" i="1" s="1"/>
  <c r="AP636" i="1" a="1"/>
  <c r="AP636" i="1" s="1"/>
  <c r="AQ636" i="1" a="1"/>
  <c r="AQ636" i="1" s="1"/>
  <c r="AR636" i="1" a="1"/>
  <c r="AR636" i="1" s="1"/>
  <c r="AS636" i="1" a="1"/>
  <c r="AS636" i="1" s="1"/>
  <c r="AT636" i="1" a="1"/>
  <c r="AT636" i="1" s="1"/>
  <c r="AU636" i="1" a="1"/>
  <c r="AU636" i="1" s="1"/>
  <c r="AV636" i="1" a="1"/>
  <c r="AV636" i="1" s="1"/>
  <c r="AW636" i="1" a="1"/>
  <c r="AW636" i="1" s="1"/>
  <c r="AX636" i="1" a="1"/>
  <c r="AX636" i="1" s="1"/>
  <c r="AY636" i="1" a="1"/>
  <c r="AY636" i="1" s="1"/>
  <c r="AZ636" i="1" a="1"/>
  <c r="AZ636" i="1" s="1"/>
  <c r="BA636" i="1" a="1"/>
  <c r="BA636" i="1" s="1"/>
  <c r="BB636" i="1" a="1"/>
  <c r="BB636" i="1" s="1"/>
  <c r="AL637" i="1" a="1"/>
  <c r="AL637" i="1" s="1"/>
  <c r="AM637" i="1" a="1"/>
  <c r="AM637" i="1" s="1"/>
  <c r="AN637" i="1" a="1"/>
  <c r="AN637" i="1" s="1"/>
  <c r="AO637" i="1" a="1"/>
  <c r="AO637" i="1" s="1"/>
  <c r="AP637" i="1" a="1"/>
  <c r="AP637" i="1" s="1"/>
  <c r="AQ637" i="1" a="1"/>
  <c r="AQ637" i="1" s="1"/>
  <c r="AR637" i="1" a="1"/>
  <c r="AR637" i="1" s="1"/>
  <c r="AS637" i="1" a="1"/>
  <c r="AS637" i="1" s="1"/>
  <c r="AT637" i="1" a="1"/>
  <c r="AT637" i="1" s="1"/>
  <c r="AU637" i="1" a="1"/>
  <c r="AU637" i="1" s="1"/>
  <c r="AV637" i="1" a="1"/>
  <c r="AV637" i="1" s="1"/>
  <c r="AW637" i="1" a="1"/>
  <c r="AW637" i="1" s="1"/>
  <c r="AX637" i="1" a="1"/>
  <c r="AX637" i="1" s="1"/>
  <c r="AY637" i="1" a="1"/>
  <c r="AY637" i="1" s="1"/>
  <c r="AZ637" i="1" a="1"/>
  <c r="AZ637" i="1" s="1"/>
  <c r="BA637" i="1" a="1"/>
  <c r="BA637" i="1" s="1"/>
  <c r="BB637" i="1" a="1"/>
  <c r="BB637" i="1" s="1"/>
  <c r="AL638" i="1" a="1"/>
  <c r="AL638" i="1" s="1"/>
  <c r="AM638" i="1" a="1"/>
  <c r="AM638" i="1" s="1"/>
  <c r="AN638" i="1" a="1"/>
  <c r="AN638" i="1" s="1"/>
  <c r="AO638" i="1" a="1"/>
  <c r="AO638" i="1" s="1"/>
  <c r="AP638" i="1" a="1"/>
  <c r="AP638" i="1" s="1"/>
  <c r="AQ638" i="1" a="1"/>
  <c r="AQ638" i="1" s="1"/>
  <c r="AR638" i="1" a="1"/>
  <c r="AR638" i="1" s="1"/>
  <c r="AS638" i="1" a="1"/>
  <c r="AS638" i="1" s="1"/>
  <c r="AT638" i="1" a="1"/>
  <c r="AT638" i="1" s="1"/>
  <c r="AU638" i="1" a="1"/>
  <c r="AU638" i="1" s="1"/>
  <c r="AV638" i="1" a="1"/>
  <c r="AV638" i="1" s="1"/>
  <c r="AW638" i="1" a="1"/>
  <c r="AW638" i="1" s="1"/>
  <c r="AX638" i="1" a="1"/>
  <c r="AX638" i="1" s="1"/>
  <c r="AY638" i="1" a="1"/>
  <c r="AY638" i="1" s="1"/>
  <c r="AZ638" i="1" a="1"/>
  <c r="AZ638" i="1" s="1"/>
  <c r="BA638" i="1" a="1"/>
  <c r="BA638" i="1" s="1"/>
  <c r="BB638" i="1" a="1"/>
  <c r="BB638" i="1" s="1"/>
  <c r="AL639" i="1" a="1"/>
  <c r="AL639" i="1" s="1"/>
  <c r="AM639" i="1" a="1"/>
  <c r="AM639" i="1" s="1"/>
  <c r="AN639" i="1" a="1"/>
  <c r="AN639" i="1" s="1"/>
  <c r="AO639" i="1" a="1"/>
  <c r="AO639" i="1" s="1"/>
  <c r="AP639" i="1" a="1"/>
  <c r="AP639" i="1" s="1"/>
  <c r="AQ639" i="1" a="1"/>
  <c r="AQ639" i="1" s="1"/>
  <c r="AR639" i="1" a="1"/>
  <c r="AR639" i="1" s="1"/>
  <c r="AS639" i="1" a="1"/>
  <c r="AS639" i="1" s="1"/>
  <c r="AT639" i="1" a="1"/>
  <c r="AT639" i="1" s="1"/>
  <c r="AU639" i="1" a="1"/>
  <c r="AU639" i="1" s="1"/>
  <c r="AV639" i="1" a="1"/>
  <c r="AV639" i="1" s="1"/>
  <c r="AW639" i="1" a="1"/>
  <c r="AW639" i="1" s="1"/>
  <c r="AX639" i="1" a="1"/>
  <c r="AX639" i="1" s="1"/>
  <c r="AY639" i="1" a="1"/>
  <c r="AY639" i="1" s="1"/>
  <c r="AZ639" i="1" a="1"/>
  <c r="AZ639" i="1" s="1"/>
  <c r="BA639" i="1" a="1"/>
  <c r="BA639" i="1" s="1"/>
  <c r="BB639" i="1" a="1"/>
  <c r="BB639" i="1" s="1"/>
  <c r="AL641" i="1" a="1"/>
  <c r="AL641" i="1" s="1"/>
  <c r="AM641" i="1" a="1"/>
  <c r="AM641" i="1" s="1"/>
  <c r="AN641" i="1" a="1"/>
  <c r="AN641" i="1" s="1"/>
  <c r="AO641" i="1" a="1"/>
  <c r="AO641" i="1" s="1"/>
  <c r="AP641" i="1" a="1"/>
  <c r="AP641" i="1" s="1"/>
  <c r="AQ641" i="1" a="1"/>
  <c r="AQ641" i="1" s="1"/>
  <c r="AR641" i="1" a="1"/>
  <c r="AR641" i="1" s="1"/>
  <c r="AS641" i="1" a="1"/>
  <c r="AS641" i="1" s="1"/>
  <c r="AT641" i="1" a="1"/>
  <c r="AT641" i="1" s="1"/>
  <c r="AU641" i="1" a="1"/>
  <c r="AU641" i="1" s="1"/>
  <c r="AV641" i="1" a="1"/>
  <c r="AV641" i="1" s="1"/>
  <c r="AW641" i="1" a="1"/>
  <c r="AW641" i="1" s="1"/>
  <c r="AX641" i="1" a="1"/>
  <c r="AX641" i="1" s="1"/>
  <c r="AY641" i="1" a="1"/>
  <c r="AY641" i="1" s="1"/>
  <c r="AZ641" i="1" a="1"/>
  <c r="AZ641" i="1" s="1"/>
  <c r="BA641" i="1" a="1"/>
  <c r="BA641" i="1" s="1"/>
  <c r="BB641" i="1" a="1"/>
  <c r="BB641" i="1" s="1"/>
  <c r="AL642" i="1" a="1"/>
  <c r="AL642" i="1" s="1"/>
  <c r="AM642" i="1" a="1"/>
  <c r="AM642" i="1" s="1"/>
  <c r="AN642" i="1" a="1"/>
  <c r="AN642" i="1" s="1"/>
  <c r="AO642" i="1" a="1"/>
  <c r="AO642" i="1" s="1"/>
  <c r="AP642" i="1" a="1"/>
  <c r="AP642" i="1" s="1"/>
  <c r="AQ642" i="1" a="1"/>
  <c r="AQ642" i="1" s="1"/>
  <c r="AR642" i="1" a="1"/>
  <c r="AR642" i="1" s="1"/>
  <c r="AS642" i="1" a="1"/>
  <c r="AS642" i="1" s="1"/>
  <c r="AT642" i="1" a="1"/>
  <c r="AT642" i="1" s="1"/>
  <c r="AU642" i="1" a="1"/>
  <c r="AU642" i="1" s="1"/>
  <c r="AV642" i="1" a="1"/>
  <c r="AV642" i="1" s="1"/>
  <c r="AW642" i="1" a="1"/>
  <c r="AW642" i="1" s="1"/>
  <c r="AX642" i="1" a="1"/>
  <c r="AX642" i="1" s="1"/>
  <c r="AY642" i="1" a="1"/>
  <c r="AY642" i="1" s="1"/>
  <c r="AZ642" i="1" a="1"/>
  <c r="AZ642" i="1" s="1"/>
  <c r="BA642" i="1" a="1"/>
  <c r="BA642" i="1" s="1"/>
  <c r="BB642" i="1" a="1"/>
  <c r="BB642" i="1" s="1"/>
  <c r="AL643" i="1" a="1"/>
  <c r="AL643" i="1" s="1"/>
  <c r="AM643" i="1" a="1"/>
  <c r="AM643" i="1" s="1"/>
  <c r="AN643" i="1" a="1"/>
  <c r="AN643" i="1" s="1"/>
  <c r="AO643" i="1" a="1"/>
  <c r="AO643" i="1" s="1"/>
  <c r="AP643" i="1" a="1"/>
  <c r="AP643" i="1" s="1"/>
  <c r="AQ643" i="1" a="1"/>
  <c r="AQ643" i="1" s="1"/>
  <c r="AR643" i="1" a="1"/>
  <c r="AR643" i="1" s="1"/>
  <c r="AS643" i="1" a="1"/>
  <c r="AS643" i="1" s="1"/>
  <c r="AT643" i="1" a="1"/>
  <c r="AT643" i="1" s="1"/>
  <c r="AU643" i="1" a="1"/>
  <c r="AU643" i="1" s="1"/>
  <c r="AV643" i="1" a="1"/>
  <c r="AV643" i="1" s="1"/>
  <c r="AW643" i="1" a="1"/>
  <c r="AW643" i="1" s="1"/>
  <c r="AX643" i="1" a="1"/>
  <c r="AX643" i="1" s="1"/>
  <c r="AY643" i="1" a="1"/>
  <c r="AY643" i="1" s="1"/>
  <c r="AZ643" i="1" a="1"/>
  <c r="AZ643" i="1" s="1"/>
  <c r="BA643" i="1" a="1"/>
  <c r="BA643" i="1" s="1"/>
  <c r="BB643" i="1" a="1"/>
  <c r="BB643" i="1" s="1"/>
  <c r="AL307" i="1" a="1"/>
  <c r="AL307" i="1" s="1"/>
  <c r="AM307" i="1" a="1"/>
  <c r="AM307" i="1" s="1"/>
  <c r="AN307" i="1" a="1"/>
  <c r="AN307" i="1" s="1"/>
  <c r="AO307" i="1" a="1"/>
  <c r="AO307" i="1" s="1"/>
  <c r="AP307" i="1" a="1"/>
  <c r="AP307" i="1" s="1"/>
  <c r="AQ307" i="1" a="1"/>
  <c r="AQ307" i="1" s="1"/>
  <c r="AR307" i="1" a="1"/>
  <c r="AR307" i="1" s="1"/>
  <c r="AS307" i="1" a="1"/>
  <c r="AS307" i="1" s="1"/>
  <c r="AT307" i="1" a="1"/>
  <c r="AT307" i="1" s="1"/>
  <c r="AU307" i="1" a="1"/>
  <c r="AU307" i="1" s="1"/>
  <c r="AV307" i="1" a="1"/>
  <c r="AV307" i="1" s="1"/>
  <c r="AW307" i="1" a="1"/>
  <c r="AW307" i="1" s="1"/>
  <c r="AX307" i="1" a="1"/>
  <c r="AX307" i="1" s="1"/>
  <c r="AY307" i="1" a="1"/>
  <c r="AY307" i="1" s="1"/>
  <c r="AZ307" i="1" a="1"/>
  <c r="AZ307" i="1" s="1"/>
  <c r="BA307" i="1" a="1"/>
  <c r="BA307" i="1" s="1"/>
  <c r="BB307" i="1" a="1"/>
  <c r="BB307" i="1" s="1"/>
  <c r="AL308" i="1" a="1"/>
  <c r="AL308" i="1" s="1"/>
  <c r="AM308" i="1" a="1"/>
  <c r="AM308" i="1" s="1"/>
  <c r="AN308" i="1" a="1"/>
  <c r="AN308" i="1" s="1"/>
  <c r="AO308" i="1" a="1"/>
  <c r="AO308" i="1" s="1"/>
  <c r="AP308" i="1" a="1"/>
  <c r="AP308" i="1" s="1"/>
  <c r="AQ308" i="1" a="1"/>
  <c r="AQ308" i="1" s="1"/>
  <c r="AR308" i="1" a="1"/>
  <c r="AR308" i="1" s="1"/>
  <c r="AS308" i="1" a="1"/>
  <c r="AS308" i="1" s="1"/>
  <c r="AT308" i="1" a="1"/>
  <c r="AT308" i="1" s="1"/>
  <c r="AU308" i="1" a="1"/>
  <c r="AU308" i="1" s="1"/>
  <c r="AV308" i="1" a="1"/>
  <c r="AV308" i="1" s="1"/>
  <c r="AW308" i="1" a="1"/>
  <c r="AW308" i="1" s="1"/>
  <c r="AX308" i="1" a="1"/>
  <c r="AX308" i="1" s="1"/>
  <c r="AY308" i="1" a="1"/>
  <c r="AY308" i="1" s="1"/>
  <c r="AZ308" i="1" a="1"/>
  <c r="AZ308" i="1" s="1"/>
  <c r="BA308" i="1" a="1"/>
  <c r="BA308" i="1" s="1"/>
  <c r="BB308" i="1" a="1"/>
  <c r="BB308" i="1" s="1"/>
  <c r="AL644" i="1" a="1"/>
  <c r="AL644" i="1" s="1"/>
  <c r="AM644" i="1" a="1"/>
  <c r="AM644" i="1" s="1"/>
  <c r="AN644" i="1" a="1"/>
  <c r="AN644" i="1" s="1"/>
  <c r="AO644" i="1" a="1"/>
  <c r="AO644" i="1" s="1"/>
  <c r="AP644" i="1" a="1"/>
  <c r="AP644" i="1" s="1"/>
  <c r="AQ644" i="1" a="1"/>
  <c r="AQ644" i="1" s="1"/>
  <c r="AR644" i="1" a="1"/>
  <c r="AR644" i="1" s="1"/>
  <c r="AS644" i="1" a="1"/>
  <c r="AS644" i="1" s="1"/>
  <c r="AT644" i="1" a="1"/>
  <c r="AT644" i="1" s="1"/>
  <c r="AU644" i="1" a="1"/>
  <c r="AU644" i="1" s="1"/>
  <c r="AV644" i="1" a="1"/>
  <c r="AV644" i="1" s="1"/>
  <c r="AW644" i="1" a="1"/>
  <c r="AW644" i="1" s="1"/>
  <c r="AX644" i="1" a="1"/>
  <c r="AX644" i="1" s="1"/>
  <c r="AY644" i="1" a="1"/>
  <c r="AY644" i="1" s="1"/>
  <c r="AZ644" i="1" a="1"/>
  <c r="AZ644" i="1" s="1"/>
  <c r="BA644" i="1" a="1"/>
  <c r="BA644" i="1" s="1"/>
  <c r="BB644" i="1" a="1"/>
  <c r="BB644" i="1" s="1"/>
  <c r="AL645" i="1" a="1"/>
  <c r="AL645" i="1" s="1"/>
  <c r="AM645" i="1" a="1"/>
  <c r="AM645" i="1" s="1"/>
  <c r="AN645" i="1" a="1"/>
  <c r="AN645" i="1" s="1"/>
  <c r="AO645" i="1" a="1"/>
  <c r="AO645" i="1" s="1"/>
  <c r="AP645" i="1" a="1"/>
  <c r="AP645" i="1" s="1"/>
  <c r="AQ645" i="1" a="1"/>
  <c r="AQ645" i="1" s="1"/>
  <c r="AR645" i="1" a="1"/>
  <c r="AR645" i="1" s="1"/>
  <c r="AS645" i="1" a="1"/>
  <c r="AS645" i="1" s="1"/>
  <c r="AT645" i="1" a="1"/>
  <c r="AT645" i="1" s="1"/>
  <c r="AU645" i="1" a="1"/>
  <c r="AU645" i="1" s="1"/>
  <c r="AV645" i="1" a="1"/>
  <c r="AV645" i="1" s="1"/>
  <c r="AW645" i="1" a="1"/>
  <c r="AW645" i="1" s="1"/>
  <c r="AX645" i="1" a="1"/>
  <c r="AX645" i="1" s="1"/>
  <c r="AY645" i="1" a="1"/>
  <c r="AY645" i="1" s="1"/>
  <c r="AZ645" i="1" a="1"/>
  <c r="AZ645" i="1" s="1"/>
  <c r="BA645" i="1" a="1"/>
  <c r="BA645" i="1" s="1"/>
  <c r="BB645" i="1" a="1"/>
  <c r="BB645" i="1" s="1"/>
  <c r="AL646" i="1" a="1"/>
  <c r="AL646" i="1" s="1"/>
  <c r="AM646" i="1" a="1"/>
  <c r="AM646" i="1" s="1"/>
  <c r="AN646" i="1" a="1"/>
  <c r="AN646" i="1" s="1"/>
  <c r="AO646" i="1" a="1"/>
  <c r="AO646" i="1" s="1"/>
  <c r="AP646" i="1" a="1"/>
  <c r="AP646" i="1" s="1"/>
  <c r="AQ646" i="1" a="1"/>
  <c r="AQ646" i="1" s="1"/>
  <c r="AR646" i="1" a="1"/>
  <c r="AR646" i="1" s="1"/>
  <c r="AS646" i="1" a="1"/>
  <c r="AS646" i="1" s="1"/>
  <c r="AT646" i="1" a="1"/>
  <c r="AT646" i="1" s="1"/>
  <c r="AU646" i="1" a="1"/>
  <c r="AU646" i="1" s="1"/>
  <c r="AV646" i="1" a="1"/>
  <c r="AV646" i="1" s="1"/>
  <c r="AW646" i="1" a="1"/>
  <c r="AW646" i="1" s="1"/>
  <c r="AX646" i="1" a="1"/>
  <c r="AX646" i="1" s="1"/>
  <c r="AY646" i="1" a="1"/>
  <c r="AY646" i="1" s="1"/>
  <c r="AZ646" i="1" a="1"/>
  <c r="AZ646" i="1" s="1"/>
  <c r="BA646" i="1" a="1"/>
  <c r="BA646" i="1" s="1"/>
  <c r="BB646" i="1" a="1"/>
  <c r="BB646" i="1" s="1"/>
  <c r="AL647" i="1" a="1"/>
  <c r="AL647" i="1" s="1"/>
  <c r="AM647" i="1" a="1"/>
  <c r="AM647" i="1" s="1"/>
  <c r="AN647" i="1" a="1"/>
  <c r="AN647" i="1" s="1"/>
  <c r="AO647" i="1" a="1"/>
  <c r="AO647" i="1" s="1"/>
  <c r="AP647" i="1" a="1"/>
  <c r="AP647" i="1" s="1"/>
  <c r="AQ647" i="1" a="1"/>
  <c r="AQ647" i="1" s="1"/>
  <c r="AR647" i="1" a="1"/>
  <c r="AR647" i="1" s="1"/>
  <c r="AS647" i="1" a="1"/>
  <c r="AS647" i="1" s="1"/>
  <c r="AT647" i="1" a="1"/>
  <c r="AT647" i="1" s="1"/>
  <c r="AU647" i="1" a="1"/>
  <c r="AU647" i="1" s="1"/>
  <c r="AV647" i="1" a="1"/>
  <c r="AV647" i="1" s="1"/>
  <c r="AW647" i="1" a="1"/>
  <c r="AW647" i="1" s="1"/>
  <c r="AX647" i="1" a="1"/>
  <c r="AX647" i="1" s="1"/>
  <c r="AY647" i="1" a="1"/>
  <c r="AY647" i="1" s="1"/>
  <c r="AZ647" i="1" a="1"/>
  <c r="AZ647" i="1" s="1"/>
  <c r="BA647" i="1" a="1"/>
  <c r="BA647" i="1" s="1"/>
  <c r="BB647" i="1" a="1"/>
  <c r="BB647" i="1" s="1"/>
  <c r="AL649" i="1" a="1"/>
  <c r="AL649" i="1" s="1"/>
  <c r="AM649" i="1" a="1"/>
  <c r="AM649" i="1" s="1"/>
  <c r="AN649" i="1" a="1"/>
  <c r="AN649" i="1" s="1"/>
  <c r="AO649" i="1" a="1"/>
  <c r="AO649" i="1" s="1"/>
  <c r="AP649" i="1" a="1"/>
  <c r="AP649" i="1" s="1"/>
  <c r="AQ649" i="1" a="1"/>
  <c r="AQ649" i="1" s="1"/>
  <c r="AR649" i="1" a="1"/>
  <c r="AR649" i="1" s="1"/>
  <c r="AS649" i="1" a="1"/>
  <c r="AS649" i="1" s="1"/>
  <c r="AT649" i="1" a="1"/>
  <c r="AT649" i="1" s="1"/>
  <c r="AU649" i="1" a="1"/>
  <c r="AU649" i="1" s="1"/>
  <c r="AV649" i="1" a="1"/>
  <c r="AV649" i="1" s="1"/>
  <c r="AW649" i="1" a="1"/>
  <c r="AW649" i="1" s="1"/>
  <c r="AX649" i="1" a="1"/>
  <c r="AX649" i="1" s="1"/>
  <c r="AY649" i="1" a="1"/>
  <c r="AY649" i="1" s="1"/>
  <c r="AZ649" i="1" a="1"/>
  <c r="AZ649" i="1" s="1"/>
  <c r="BA649" i="1" a="1"/>
  <c r="BA649" i="1" s="1"/>
  <c r="BB649" i="1" a="1"/>
  <c r="BB649" i="1" s="1"/>
  <c r="AL650" i="1" a="1"/>
  <c r="AL650" i="1" s="1"/>
  <c r="AM650" i="1" a="1"/>
  <c r="AM650" i="1" s="1"/>
  <c r="AN650" i="1" a="1"/>
  <c r="AN650" i="1" s="1"/>
  <c r="AO650" i="1" a="1"/>
  <c r="AO650" i="1" s="1"/>
  <c r="AP650" i="1" a="1"/>
  <c r="AP650" i="1" s="1"/>
  <c r="AQ650" i="1" a="1"/>
  <c r="AQ650" i="1" s="1"/>
  <c r="AR650" i="1" a="1"/>
  <c r="AR650" i="1" s="1"/>
  <c r="AS650" i="1" a="1"/>
  <c r="AS650" i="1" s="1"/>
  <c r="AT650" i="1" a="1"/>
  <c r="AT650" i="1" s="1"/>
  <c r="AU650" i="1" a="1"/>
  <c r="AU650" i="1" s="1"/>
  <c r="AV650" i="1" a="1"/>
  <c r="AV650" i="1" s="1"/>
  <c r="AW650" i="1" a="1"/>
  <c r="AW650" i="1" s="1"/>
  <c r="AX650" i="1" a="1"/>
  <c r="AX650" i="1" s="1"/>
  <c r="AY650" i="1" a="1"/>
  <c r="AY650" i="1" s="1"/>
  <c r="AZ650" i="1" a="1"/>
  <c r="AZ650" i="1" s="1"/>
  <c r="BA650" i="1" a="1"/>
  <c r="BA650" i="1" s="1"/>
  <c r="BB650" i="1" a="1"/>
  <c r="BB650" i="1" s="1"/>
  <c r="AL651" i="1" a="1"/>
  <c r="AL651" i="1" s="1"/>
  <c r="AM651" i="1" a="1"/>
  <c r="AM651" i="1" s="1"/>
  <c r="AN651" i="1" a="1"/>
  <c r="AN651" i="1" s="1"/>
  <c r="AO651" i="1" a="1"/>
  <c r="AO651" i="1" s="1"/>
  <c r="AP651" i="1" a="1"/>
  <c r="AP651" i="1" s="1"/>
  <c r="AQ651" i="1" a="1"/>
  <c r="AQ651" i="1" s="1"/>
  <c r="AR651" i="1" a="1"/>
  <c r="AR651" i="1" s="1"/>
  <c r="AS651" i="1" a="1"/>
  <c r="AS651" i="1" s="1"/>
  <c r="AT651" i="1" a="1"/>
  <c r="AT651" i="1" s="1"/>
  <c r="AU651" i="1" a="1"/>
  <c r="AU651" i="1" s="1"/>
  <c r="AV651" i="1" a="1"/>
  <c r="AV651" i="1" s="1"/>
  <c r="AW651" i="1" a="1"/>
  <c r="AW651" i="1" s="1"/>
  <c r="AX651" i="1" a="1"/>
  <c r="AX651" i="1" s="1"/>
  <c r="AY651" i="1" a="1"/>
  <c r="AY651" i="1" s="1"/>
  <c r="AZ651" i="1" a="1"/>
  <c r="AZ651" i="1" s="1"/>
  <c r="BA651" i="1" a="1"/>
  <c r="BA651" i="1" s="1"/>
  <c r="BB651" i="1" a="1"/>
  <c r="BB651" i="1" s="1"/>
  <c r="AL652" i="1" a="1"/>
  <c r="AL652" i="1" s="1"/>
  <c r="AM652" i="1" a="1"/>
  <c r="AM652" i="1" s="1"/>
  <c r="AN652" i="1" a="1"/>
  <c r="AN652" i="1" s="1"/>
  <c r="AO652" i="1" a="1"/>
  <c r="AO652" i="1" s="1"/>
  <c r="AP652" i="1" a="1"/>
  <c r="AP652" i="1" s="1"/>
  <c r="AQ652" i="1" a="1"/>
  <c r="AQ652" i="1" s="1"/>
  <c r="AR652" i="1" a="1"/>
  <c r="AR652" i="1" s="1"/>
  <c r="AS652" i="1" a="1"/>
  <c r="AS652" i="1" s="1"/>
  <c r="AT652" i="1" a="1"/>
  <c r="AT652" i="1" s="1"/>
  <c r="AU652" i="1" a="1"/>
  <c r="AU652" i="1" s="1"/>
  <c r="AV652" i="1" a="1"/>
  <c r="AV652" i="1" s="1"/>
  <c r="AW652" i="1" a="1"/>
  <c r="AW652" i="1" s="1"/>
  <c r="AX652" i="1" a="1"/>
  <c r="AX652" i="1" s="1"/>
  <c r="AY652" i="1" a="1"/>
  <c r="AY652" i="1" s="1"/>
  <c r="AZ652" i="1" a="1"/>
  <c r="AZ652" i="1" s="1"/>
  <c r="BA652" i="1" a="1"/>
  <c r="BA652" i="1" s="1"/>
  <c r="BB652" i="1" a="1"/>
  <c r="BB652" i="1" s="1"/>
  <c r="AL316" i="1" a="1"/>
  <c r="AL316" i="1" s="1"/>
  <c r="AM316" i="1" a="1"/>
  <c r="AM316" i="1" s="1"/>
  <c r="AN316" i="1" a="1"/>
  <c r="AN316" i="1" s="1"/>
  <c r="AO316" i="1" a="1"/>
  <c r="AO316" i="1" s="1"/>
  <c r="AP316" i="1" a="1"/>
  <c r="AP316" i="1" s="1"/>
  <c r="AQ316" i="1" a="1"/>
  <c r="AQ316" i="1" s="1"/>
  <c r="AR316" i="1" a="1"/>
  <c r="AR316" i="1" s="1"/>
  <c r="AS316" i="1" a="1"/>
  <c r="AS316" i="1" s="1"/>
  <c r="AT316" i="1" a="1"/>
  <c r="AT316" i="1" s="1"/>
  <c r="AU316" i="1" a="1"/>
  <c r="AU316" i="1" s="1"/>
  <c r="AV316" i="1" a="1"/>
  <c r="AV316" i="1" s="1"/>
  <c r="AW316" i="1" a="1"/>
  <c r="AW316" i="1" s="1"/>
  <c r="AX316" i="1" a="1"/>
  <c r="AX316" i="1" s="1"/>
  <c r="AY316" i="1" a="1"/>
  <c r="AY316" i="1" s="1"/>
  <c r="AZ316" i="1" a="1"/>
  <c r="AZ316" i="1" s="1"/>
  <c r="BA316" i="1" a="1"/>
  <c r="BA316" i="1" s="1"/>
  <c r="BB316" i="1" a="1"/>
  <c r="BB316" i="1" s="1"/>
  <c r="AL653" i="1" a="1"/>
  <c r="AL653" i="1" s="1"/>
  <c r="AM653" i="1" a="1"/>
  <c r="AM653" i="1" s="1"/>
  <c r="AN653" i="1" a="1"/>
  <c r="AN653" i="1" s="1"/>
  <c r="AO653" i="1" a="1"/>
  <c r="AO653" i="1" s="1"/>
  <c r="AP653" i="1" a="1"/>
  <c r="AP653" i="1" s="1"/>
  <c r="AQ653" i="1" a="1"/>
  <c r="AQ653" i="1" s="1"/>
  <c r="AR653" i="1" a="1"/>
  <c r="AR653" i="1" s="1"/>
  <c r="AS653" i="1" a="1"/>
  <c r="AS653" i="1" s="1"/>
  <c r="AT653" i="1" a="1"/>
  <c r="AT653" i="1" s="1"/>
  <c r="AU653" i="1" a="1"/>
  <c r="AU653" i="1" s="1"/>
  <c r="AV653" i="1" a="1"/>
  <c r="AV653" i="1" s="1"/>
  <c r="AW653" i="1" a="1"/>
  <c r="AW653" i="1" s="1"/>
  <c r="AX653" i="1" a="1"/>
  <c r="AX653" i="1" s="1"/>
  <c r="AY653" i="1" a="1"/>
  <c r="AY653" i="1" s="1"/>
  <c r="AZ653" i="1" a="1"/>
  <c r="AZ653" i="1" s="1"/>
  <c r="BA653" i="1" a="1"/>
  <c r="BA653" i="1" s="1"/>
  <c r="BB653" i="1" a="1"/>
  <c r="BB653" i="1" s="1"/>
  <c r="AL654" i="1" a="1"/>
  <c r="AL654" i="1" s="1"/>
  <c r="AM654" i="1" a="1"/>
  <c r="AM654" i="1" s="1"/>
  <c r="AN654" i="1" a="1"/>
  <c r="AN654" i="1" s="1"/>
  <c r="AO654" i="1" a="1"/>
  <c r="AO654" i="1" s="1"/>
  <c r="AP654" i="1" a="1"/>
  <c r="AP654" i="1" s="1"/>
  <c r="AQ654" i="1" a="1"/>
  <c r="AQ654" i="1" s="1"/>
  <c r="AR654" i="1" a="1"/>
  <c r="AR654" i="1" s="1"/>
  <c r="AS654" i="1" a="1"/>
  <c r="AS654" i="1" s="1"/>
  <c r="AT654" i="1" a="1"/>
  <c r="AT654" i="1" s="1"/>
  <c r="AU654" i="1" a="1"/>
  <c r="AU654" i="1" s="1"/>
  <c r="AV654" i="1" a="1"/>
  <c r="AV654" i="1" s="1"/>
  <c r="AW654" i="1" a="1"/>
  <c r="AW654" i="1" s="1"/>
  <c r="AX654" i="1" a="1"/>
  <c r="AX654" i="1" s="1"/>
  <c r="AY654" i="1" a="1"/>
  <c r="AY654" i="1" s="1"/>
  <c r="AZ654" i="1" a="1"/>
  <c r="AZ654" i="1" s="1"/>
  <c r="BA654" i="1" a="1"/>
  <c r="BA654" i="1" s="1"/>
  <c r="BB654" i="1" a="1"/>
  <c r="BB654" i="1" s="1"/>
  <c r="AL656" i="1" a="1"/>
  <c r="AL656" i="1" s="1"/>
  <c r="AM656" i="1" a="1"/>
  <c r="AM656" i="1" s="1"/>
  <c r="AN656" i="1" a="1"/>
  <c r="AN656" i="1" s="1"/>
  <c r="AO656" i="1" a="1"/>
  <c r="AO656" i="1" s="1"/>
  <c r="AP656" i="1" a="1"/>
  <c r="AP656" i="1" s="1"/>
  <c r="AQ656" i="1" a="1"/>
  <c r="AQ656" i="1" s="1"/>
  <c r="AR656" i="1" a="1"/>
  <c r="AR656" i="1" s="1"/>
  <c r="AS656" i="1" a="1"/>
  <c r="AS656" i="1" s="1"/>
  <c r="AT656" i="1" a="1"/>
  <c r="AT656" i="1" s="1"/>
  <c r="AU656" i="1" a="1"/>
  <c r="AU656" i="1" s="1"/>
  <c r="AV656" i="1" a="1"/>
  <c r="AV656" i="1" s="1"/>
  <c r="AW656" i="1" a="1"/>
  <c r="AW656" i="1" s="1"/>
  <c r="AX656" i="1" a="1"/>
  <c r="AX656" i="1" s="1"/>
  <c r="AY656" i="1" a="1"/>
  <c r="AY656" i="1" s="1"/>
  <c r="AZ656" i="1" a="1"/>
  <c r="AZ656" i="1" s="1"/>
  <c r="BA656" i="1" a="1"/>
  <c r="BA656" i="1" s="1"/>
  <c r="BB656" i="1" a="1"/>
  <c r="BB656" i="1" s="1"/>
  <c r="AL657" i="1" a="1"/>
  <c r="AL657" i="1" s="1"/>
  <c r="AM657" i="1" a="1"/>
  <c r="AM657" i="1" s="1"/>
  <c r="AN657" i="1" a="1"/>
  <c r="AN657" i="1" s="1"/>
  <c r="AO657" i="1" a="1"/>
  <c r="AO657" i="1" s="1"/>
  <c r="AP657" i="1" a="1"/>
  <c r="AP657" i="1" s="1"/>
  <c r="AQ657" i="1" a="1"/>
  <c r="AQ657" i="1" s="1"/>
  <c r="AR657" i="1" a="1"/>
  <c r="AR657" i="1" s="1"/>
  <c r="AS657" i="1" a="1"/>
  <c r="AS657" i="1" s="1"/>
  <c r="AT657" i="1" a="1"/>
  <c r="AT657" i="1" s="1"/>
  <c r="AU657" i="1" a="1"/>
  <c r="AU657" i="1" s="1"/>
  <c r="AV657" i="1" a="1"/>
  <c r="AV657" i="1" s="1"/>
  <c r="AW657" i="1" a="1"/>
  <c r="AW657" i="1" s="1"/>
  <c r="AX657" i="1" a="1"/>
  <c r="AX657" i="1" s="1"/>
  <c r="AY657" i="1" a="1"/>
  <c r="AY657" i="1" s="1"/>
  <c r="AZ657" i="1" a="1"/>
  <c r="AZ657" i="1" s="1"/>
  <c r="BA657" i="1" a="1"/>
  <c r="BA657" i="1" s="1"/>
  <c r="BB657" i="1" a="1"/>
  <c r="BB657" i="1" s="1"/>
  <c r="AL659" i="1" a="1"/>
  <c r="AL659" i="1" s="1"/>
  <c r="AM659" i="1" a="1"/>
  <c r="AM659" i="1" s="1"/>
  <c r="AN659" i="1" a="1"/>
  <c r="AN659" i="1" s="1"/>
  <c r="AO659" i="1" a="1"/>
  <c r="AO659" i="1" s="1"/>
  <c r="AP659" i="1" a="1"/>
  <c r="AP659" i="1" s="1"/>
  <c r="AQ659" i="1" a="1"/>
  <c r="AQ659" i="1" s="1"/>
  <c r="AR659" i="1" a="1"/>
  <c r="AR659" i="1" s="1"/>
  <c r="AS659" i="1" a="1"/>
  <c r="AS659" i="1" s="1"/>
  <c r="AT659" i="1" a="1"/>
  <c r="AT659" i="1" s="1"/>
  <c r="AU659" i="1" a="1"/>
  <c r="AU659" i="1" s="1"/>
  <c r="AV659" i="1" a="1"/>
  <c r="AV659" i="1" s="1"/>
  <c r="AW659" i="1" a="1"/>
  <c r="AW659" i="1" s="1"/>
  <c r="AX659" i="1" a="1"/>
  <c r="AX659" i="1" s="1"/>
  <c r="AY659" i="1" a="1"/>
  <c r="AY659" i="1" s="1"/>
  <c r="AZ659" i="1" a="1"/>
  <c r="AZ659" i="1" s="1"/>
  <c r="BA659" i="1" a="1"/>
  <c r="BA659" i="1" s="1"/>
  <c r="BB659" i="1" a="1"/>
  <c r="BB659" i="1" s="1"/>
  <c r="AL660" i="1" a="1"/>
  <c r="AL660" i="1" s="1"/>
  <c r="AM660" i="1" a="1"/>
  <c r="AM660" i="1" s="1"/>
  <c r="AN660" i="1" a="1"/>
  <c r="AN660" i="1" s="1"/>
  <c r="AO660" i="1" a="1"/>
  <c r="AO660" i="1" s="1"/>
  <c r="AP660" i="1" a="1"/>
  <c r="AP660" i="1" s="1"/>
  <c r="AQ660" i="1" a="1"/>
  <c r="AQ660" i="1" s="1"/>
  <c r="AR660" i="1" a="1"/>
  <c r="AR660" i="1" s="1"/>
  <c r="AS660" i="1" a="1"/>
  <c r="AS660" i="1" s="1"/>
  <c r="AT660" i="1" a="1"/>
  <c r="AT660" i="1" s="1"/>
  <c r="AU660" i="1" a="1"/>
  <c r="AU660" i="1" s="1"/>
  <c r="AV660" i="1" a="1"/>
  <c r="AV660" i="1" s="1"/>
  <c r="AW660" i="1" a="1"/>
  <c r="AW660" i="1" s="1"/>
  <c r="AX660" i="1" a="1"/>
  <c r="AX660" i="1" s="1"/>
  <c r="AY660" i="1" a="1"/>
  <c r="AY660" i="1" s="1"/>
  <c r="AZ660" i="1" a="1"/>
  <c r="AZ660" i="1" s="1"/>
  <c r="BA660" i="1" a="1"/>
  <c r="BA660" i="1" s="1"/>
  <c r="BB660" i="1" a="1"/>
  <c r="BB660" i="1" s="1"/>
  <c r="AL661" i="1" a="1"/>
  <c r="AL661" i="1" s="1"/>
  <c r="AM661" i="1" a="1"/>
  <c r="AM661" i="1" s="1"/>
  <c r="AN661" i="1" a="1"/>
  <c r="AN661" i="1" s="1"/>
  <c r="AO661" i="1" a="1"/>
  <c r="AO661" i="1" s="1"/>
  <c r="AP661" i="1" a="1"/>
  <c r="AP661" i="1" s="1"/>
  <c r="AQ661" i="1" a="1"/>
  <c r="AQ661" i="1" s="1"/>
  <c r="AR661" i="1" a="1"/>
  <c r="AR661" i="1" s="1"/>
  <c r="AS661" i="1" a="1"/>
  <c r="AS661" i="1" s="1"/>
  <c r="AT661" i="1" a="1"/>
  <c r="AT661" i="1" s="1"/>
  <c r="AU661" i="1" a="1"/>
  <c r="AU661" i="1" s="1"/>
  <c r="AV661" i="1" a="1"/>
  <c r="AV661" i="1" s="1"/>
  <c r="AW661" i="1" a="1"/>
  <c r="AW661" i="1" s="1"/>
  <c r="AX661" i="1" a="1"/>
  <c r="AX661" i="1" s="1"/>
  <c r="AY661" i="1" a="1"/>
  <c r="AY661" i="1" s="1"/>
  <c r="AZ661" i="1" a="1"/>
  <c r="AZ661" i="1" s="1"/>
  <c r="BA661" i="1" a="1"/>
  <c r="BA661" i="1" s="1"/>
  <c r="BB661" i="1" a="1"/>
  <c r="BB661" i="1" s="1"/>
  <c r="AL663" i="1" a="1"/>
  <c r="AL663" i="1" s="1"/>
  <c r="AM663" i="1" a="1"/>
  <c r="AM663" i="1" s="1"/>
  <c r="AN663" i="1" a="1"/>
  <c r="AN663" i="1" s="1"/>
  <c r="AO663" i="1" a="1"/>
  <c r="AO663" i="1" s="1"/>
  <c r="AP663" i="1" a="1"/>
  <c r="AP663" i="1" s="1"/>
  <c r="AQ663" i="1" a="1"/>
  <c r="AQ663" i="1" s="1"/>
  <c r="AR663" i="1" a="1"/>
  <c r="AR663" i="1" s="1"/>
  <c r="AS663" i="1" a="1"/>
  <c r="AS663" i="1" s="1"/>
  <c r="AT663" i="1" a="1"/>
  <c r="AT663" i="1" s="1"/>
  <c r="AU663" i="1" a="1"/>
  <c r="AU663" i="1" s="1"/>
  <c r="AV663" i="1" a="1"/>
  <c r="AV663" i="1" s="1"/>
  <c r="AW663" i="1" a="1"/>
  <c r="AW663" i="1" s="1"/>
  <c r="AX663" i="1" a="1"/>
  <c r="AX663" i="1" s="1"/>
  <c r="AY663" i="1" a="1"/>
  <c r="AY663" i="1" s="1"/>
  <c r="AZ663" i="1" a="1"/>
  <c r="AZ663" i="1" s="1"/>
  <c r="BA663" i="1" a="1"/>
  <c r="BA663" i="1" s="1"/>
  <c r="BB663" i="1" a="1"/>
  <c r="BB663" i="1" s="1"/>
  <c r="AL664" i="1" a="1"/>
  <c r="AL664" i="1" s="1"/>
  <c r="AM664" i="1" a="1"/>
  <c r="AM664" i="1" s="1"/>
  <c r="AN664" i="1" a="1"/>
  <c r="AN664" i="1" s="1"/>
  <c r="AO664" i="1" a="1"/>
  <c r="AO664" i="1" s="1"/>
  <c r="AP664" i="1" a="1"/>
  <c r="AP664" i="1" s="1"/>
  <c r="AQ664" i="1" a="1"/>
  <c r="AQ664" i="1" s="1"/>
  <c r="AR664" i="1" a="1"/>
  <c r="AR664" i="1" s="1"/>
  <c r="AS664" i="1" a="1"/>
  <c r="AS664" i="1" s="1"/>
  <c r="AT664" i="1" a="1"/>
  <c r="AT664" i="1" s="1"/>
  <c r="AU664" i="1" a="1"/>
  <c r="AU664" i="1" s="1"/>
  <c r="AV664" i="1" a="1"/>
  <c r="AV664" i="1" s="1"/>
  <c r="AW664" i="1" a="1"/>
  <c r="AW664" i="1" s="1"/>
  <c r="AX664" i="1" a="1"/>
  <c r="AX664" i="1" s="1"/>
  <c r="AY664" i="1" a="1"/>
  <c r="AY664" i="1" s="1"/>
  <c r="AZ664" i="1" a="1"/>
  <c r="AZ664" i="1" s="1"/>
  <c r="BA664" i="1" a="1"/>
  <c r="BA664" i="1" s="1"/>
  <c r="BB664" i="1" a="1"/>
  <c r="BB664" i="1" s="1"/>
  <c r="AL492" i="1" a="1"/>
  <c r="AL492" i="1" s="1"/>
  <c r="AM492" i="1" a="1"/>
  <c r="AM492" i="1" s="1"/>
  <c r="AN492" i="1" a="1"/>
  <c r="AN492" i="1" s="1"/>
  <c r="AO492" i="1" a="1"/>
  <c r="AO492" i="1" s="1"/>
  <c r="AP492" i="1" a="1"/>
  <c r="AP492" i="1" s="1"/>
  <c r="AQ492" i="1" a="1"/>
  <c r="AQ492" i="1" s="1"/>
  <c r="AR492" i="1" a="1"/>
  <c r="AR492" i="1" s="1"/>
  <c r="AS492" i="1" a="1"/>
  <c r="AS492" i="1" s="1"/>
  <c r="AT492" i="1" a="1"/>
  <c r="AT492" i="1" s="1"/>
  <c r="AU492" i="1" a="1"/>
  <c r="AU492" i="1" s="1"/>
  <c r="AV492" i="1" a="1"/>
  <c r="AV492" i="1" s="1"/>
  <c r="AW492" i="1" a="1"/>
  <c r="AW492" i="1" s="1"/>
  <c r="AX492" i="1" a="1"/>
  <c r="AX492" i="1" s="1"/>
  <c r="AY492" i="1" a="1"/>
  <c r="AY492" i="1" s="1"/>
  <c r="AZ492" i="1" a="1"/>
  <c r="AZ492" i="1" s="1"/>
  <c r="BA492" i="1" a="1"/>
  <c r="BA492" i="1" s="1"/>
  <c r="BB492" i="1" a="1"/>
  <c r="BB492" i="1" s="1"/>
  <c r="AL665" i="1" a="1"/>
  <c r="AL665" i="1" s="1"/>
  <c r="AM665" i="1" a="1"/>
  <c r="AM665" i="1" s="1"/>
  <c r="AN665" i="1" a="1"/>
  <c r="AN665" i="1" s="1"/>
  <c r="AO665" i="1" a="1"/>
  <c r="AO665" i="1" s="1"/>
  <c r="AP665" i="1" a="1"/>
  <c r="AP665" i="1" s="1"/>
  <c r="AQ665" i="1" a="1"/>
  <c r="AQ665" i="1" s="1"/>
  <c r="AR665" i="1" a="1"/>
  <c r="AR665" i="1" s="1"/>
  <c r="AS665" i="1" a="1"/>
  <c r="AS665" i="1" s="1"/>
  <c r="AT665" i="1" a="1"/>
  <c r="AT665" i="1" s="1"/>
  <c r="AU665" i="1" a="1"/>
  <c r="AU665" i="1" s="1"/>
  <c r="AV665" i="1" a="1"/>
  <c r="AV665" i="1" s="1"/>
  <c r="AW665" i="1" a="1"/>
  <c r="AW665" i="1" s="1"/>
  <c r="AX665" i="1" a="1"/>
  <c r="AX665" i="1" s="1"/>
  <c r="AY665" i="1" a="1"/>
  <c r="AY665" i="1" s="1"/>
  <c r="AZ665" i="1" a="1"/>
  <c r="AZ665" i="1" s="1"/>
  <c r="BA665" i="1" a="1"/>
  <c r="BA665" i="1" s="1"/>
  <c r="BB665" i="1" a="1"/>
  <c r="BB665" i="1" s="1"/>
  <c r="AL666" i="1" a="1"/>
  <c r="AL666" i="1" s="1"/>
  <c r="AM666" i="1" a="1"/>
  <c r="AM666" i="1" s="1"/>
  <c r="AN666" i="1" a="1"/>
  <c r="AN666" i="1" s="1"/>
  <c r="AO666" i="1" a="1"/>
  <c r="AO666" i="1" s="1"/>
  <c r="AP666" i="1" a="1"/>
  <c r="AP666" i="1" s="1"/>
  <c r="AQ666" i="1" a="1"/>
  <c r="AQ666" i="1" s="1"/>
  <c r="AR666" i="1" a="1"/>
  <c r="AR666" i="1" s="1"/>
  <c r="AS666" i="1" a="1"/>
  <c r="AS666" i="1" s="1"/>
  <c r="AT666" i="1" a="1"/>
  <c r="AT666" i="1" s="1"/>
  <c r="AU666" i="1" a="1"/>
  <c r="AU666" i="1" s="1"/>
  <c r="AV666" i="1" a="1"/>
  <c r="AV666" i="1" s="1"/>
  <c r="AW666" i="1" a="1"/>
  <c r="AW666" i="1" s="1"/>
  <c r="AX666" i="1" a="1"/>
  <c r="AX666" i="1" s="1"/>
  <c r="AY666" i="1" a="1"/>
  <c r="AY666" i="1" s="1"/>
  <c r="AZ666" i="1" a="1"/>
  <c r="AZ666" i="1" s="1"/>
  <c r="BA666" i="1" a="1"/>
  <c r="BA666" i="1" s="1"/>
  <c r="BB666" i="1" a="1"/>
  <c r="BB666" i="1" s="1"/>
  <c r="AL667" i="1" a="1"/>
  <c r="AL667" i="1" s="1"/>
  <c r="AM667" i="1" a="1"/>
  <c r="AM667" i="1" s="1"/>
  <c r="AN667" i="1" a="1"/>
  <c r="AN667" i="1" s="1"/>
  <c r="AO667" i="1" a="1"/>
  <c r="AO667" i="1" s="1"/>
  <c r="AP667" i="1" a="1"/>
  <c r="AP667" i="1" s="1"/>
  <c r="AQ667" i="1" a="1"/>
  <c r="AQ667" i="1" s="1"/>
  <c r="AR667" i="1" a="1"/>
  <c r="AR667" i="1" s="1"/>
  <c r="AS667" i="1" a="1"/>
  <c r="AS667" i="1" s="1"/>
  <c r="AT667" i="1" a="1"/>
  <c r="AT667" i="1" s="1"/>
  <c r="AU667" i="1" a="1"/>
  <c r="AU667" i="1" s="1"/>
  <c r="AV667" i="1" a="1"/>
  <c r="AV667" i="1" s="1"/>
  <c r="AW667" i="1" a="1"/>
  <c r="AW667" i="1" s="1"/>
  <c r="AX667" i="1" a="1"/>
  <c r="AX667" i="1" s="1"/>
  <c r="AY667" i="1" a="1"/>
  <c r="AY667" i="1" s="1"/>
  <c r="AZ667" i="1" a="1"/>
  <c r="AZ667" i="1" s="1"/>
  <c r="BA667" i="1" a="1"/>
  <c r="BA667" i="1" s="1"/>
  <c r="BB667" i="1" a="1"/>
  <c r="BB667" i="1" s="1"/>
  <c r="AL668" i="1" a="1"/>
  <c r="AL668" i="1" s="1"/>
  <c r="AM668" i="1" a="1"/>
  <c r="AM668" i="1" s="1"/>
  <c r="AN668" i="1" a="1"/>
  <c r="AN668" i="1" s="1"/>
  <c r="AO668" i="1" a="1"/>
  <c r="AO668" i="1" s="1"/>
  <c r="AP668" i="1" a="1"/>
  <c r="AP668" i="1" s="1"/>
  <c r="AQ668" i="1" a="1"/>
  <c r="AQ668" i="1" s="1"/>
  <c r="AR668" i="1" a="1"/>
  <c r="AR668" i="1" s="1"/>
  <c r="AS668" i="1" a="1"/>
  <c r="AS668" i="1" s="1"/>
  <c r="AT668" i="1" a="1"/>
  <c r="AT668" i="1" s="1"/>
  <c r="AU668" i="1" a="1"/>
  <c r="AU668" i="1" s="1"/>
  <c r="AV668" i="1" a="1"/>
  <c r="AV668" i="1" s="1"/>
  <c r="AW668" i="1" a="1"/>
  <c r="AW668" i="1" s="1"/>
  <c r="AX668" i="1" a="1"/>
  <c r="AX668" i="1" s="1"/>
  <c r="AY668" i="1" a="1"/>
  <c r="AY668" i="1" s="1"/>
  <c r="AZ668" i="1" a="1"/>
  <c r="AZ668" i="1" s="1"/>
  <c r="BA668" i="1" a="1"/>
  <c r="BA668" i="1" s="1"/>
  <c r="BB668" i="1" a="1"/>
  <c r="BB668" i="1" s="1"/>
  <c r="AL669" i="1" a="1"/>
  <c r="AL669" i="1" s="1"/>
  <c r="AM669" i="1" a="1"/>
  <c r="AM669" i="1" s="1"/>
  <c r="AN669" i="1" a="1"/>
  <c r="AN669" i="1" s="1"/>
  <c r="AO669" i="1" a="1"/>
  <c r="AO669" i="1" s="1"/>
  <c r="AP669" i="1" a="1"/>
  <c r="AP669" i="1" s="1"/>
  <c r="AQ669" i="1" a="1"/>
  <c r="AQ669" i="1" s="1"/>
  <c r="AR669" i="1" a="1"/>
  <c r="AR669" i="1" s="1"/>
  <c r="AS669" i="1" a="1"/>
  <c r="AS669" i="1" s="1"/>
  <c r="AT669" i="1" a="1"/>
  <c r="AT669" i="1" s="1"/>
  <c r="AU669" i="1" a="1"/>
  <c r="AU669" i="1" s="1"/>
  <c r="AV669" i="1" a="1"/>
  <c r="AV669" i="1" s="1"/>
  <c r="AW669" i="1" a="1"/>
  <c r="AW669" i="1" s="1"/>
  <c r="AX669" i="1" a="1"/>
  <c r="AX669" i="1" s="1"/>
  <c r="AY669" i="1" a="1"/>
  <c r="AY669" i="1" s="1"/>
  <c r="AZ669" i="1" a="1"/>
  <c r="AZ669" i="1" s="1"/>
  <c r="BA669" i="1" a="1"/>
  <c r="BA669" i="1" s="1"/>
  <c r="BB669" i="1" a="1"/>
  <c r="BB669" i="1" s="1"/>
  <c r="AL327" i="1" a="1"/>
  <c r="AL327" i="1" s="1"/>
  <c r="AM327" i="1" a="1"/>
  <c r="AM327" i="1" s="1"/>
  <c r="AN327" i="1" a="1"/>
  <c r="AN327" i="1" s="1"/>
  <c r="AO327" i="1" a="1"/>
  <c r="AO327" i="1" s="1"/>
  <c r="AP327" i="1" a="1"/>
  <c r="AP327" i="1" s="1"/>
  <c r="AQ327" i="1" a="1"/>
  <c r="AQ327" i="1" s="1"/>
  <c r="AR327" i="1" a="1"/>
  <c r="AR327" i="1" s="1"/>
  <c r="AS327" i="1" a="1"/>
  <c r="AS327" i="1" s="1"/>
  <c r="AT327" i="1" a="1"/>
  <c r="AT327" i="1" s="1"/>
  <c r="AU327" i="1" a="1"/>
  <c r="AU327" i="1" s="1"/>
  <c r="AV327" i="1" a="1"/>
  <c r="AV327" i="1" s="1"/>
  <c r="AW327" i="1" a="1"/>
  <c r="AW327" i="1" s="1"/>
  <c r="AX327" i="1" a="1"/>
  <c r="AX327" i="1" s="1"/>
  <c r="AY327" i="1" a="1"/>
  <c r="AY327" i="1" s="1"/>
  <c r="AZ327" i="1" a="1"/>
  <c r="AZ327" i="1" s="1"/>
  <c r="BA327" i="1" a="1"/>
  <c r="BA327" i="1" s="1"/>
  <c r="BB327" i="1" a="1"/>
  <c r="BB327" i="1" s="1"/>
  <c r="AL670" i="1" a="1"/>
  <c r="AL670" i="1" s="1"/>
  <c r="AM670" i="1" a="1"/>
  <c r="AM670" i="1" s="1"/>
  <c r="AN670" i="1" a="1"/>
  <c r="AN670" i="1" s="1"/>
  <c r="AO670" i="1" a="1"/>
  <c r="AO670" i="1" s="1"/>
  <c r="AP670" i="1" a="1"/>
  <c r="AP670" i="1" s="1"/>
  <c r="AQ670" i="1" a="1"/>
  <c r="AQ670" i="1" s="1"/>
  <c r="AR670" i="1" a="1"/>
  <c r="AR670" i="1" s="1"/>
  <c r="AS670" i="1" a="1"/>
  <c r="AS670" i="1" s="1"/>
  <c r="AT670" i="1" a="1"/>
  <c r="AT670" i="1" s="1"/>
  <c r="AU670" i="1" a="1"/>
  <c r="AU670" i="1" s="1"/>
  <c r="AV670" i="1" a="1"/>
  <c r="AV670" i="1" s="1"/>
  <c r="AW670" i="1" a="1"/>
  <c r="AW670" i="1" s="1"/>
  <c r="AX670" i="1" a="1"/>
  <c r="AX670" i="1" s="1"/>
  <c r="AY670" i="1" a="1"/>
  <c r="AY670" i="1" s="1"/>
  <c r="AZ670" i="1" a="1"/>
  <c r="AZ670" i="1" s="1"/>
  <c r="BA670" i="1" a="1"/>
  <c r="BA670" i="1" s="1"/>
  <c r="BB670" i="1" a="1"/>
  <c r="BB670" i="1" s="1"/>
  <c r="AL671" i="1" a="1"/>
  <c r="AL671" i="1" s="1"/>
  <c r="AM671" i="1" a="1"/>
  <c r="AM671" i="1" s="1"/>
  <c r="AN671" i="1" a="1"/>
  <c r="AN671" i="1" s="1"/>
  <c r="AO671" i="1" a="1"/>
  <c r="AO671" i="1" s="1"/>
  <c r="AP671" i="1" a="1"/>
  <c r="AP671" i="1" s="1"/>
  <c r="AQ671" i="1" a="1"/>
  <c r="AQ671" i="1" s="1"/>
  <c r="AR671" i="1" a="1"/>
  <c r="AR671" i="1" s="1"/>
  <c r="AS671" i="1" a="1"/>
  <c r="AS671" i="1" s="1"/>
  <c r="AT671" i="1" a="1"/>
  <c r="AT671" i="1" s="1"/>
  <c r="AU671" i="1" a="1"/>
  <c r="AU671" i="1" s="1"/>
  <c r="AV671" i="1" a="1"/>
  <c r="AV671" i="1" s="1"/>
  <c r="AW671" i="1" a="1"/>
  <c r="AW671" i="1" s="1"/>
  <c r="AX671" i="1" a="1"/>
  <c r="AX671" i="1" s="1"/>
  <c r="AY671" i="1" a="1"/>
  <c r="AY671" i="1" s="1"/>
  <c r="AZ671" i="1" a="1"/>
  <c r="AZ671" i="1" s="1"/>
  <c r="BA671" i="1" a="1"/>
  <c r="BA671" i="1" s="1"/>
  <c r="BB671" i="1" a="1"/>
  <c r="BB671" i="1" s="1"/>
  <c r="AL672" i="1" a="1"/>
  <c r="AL672" i="1" s="1"/>
  <c r="AM672" i="1" a="1"/>
  <c r="AM672" i="1" s="1"/>
  <c r="AN672" i="1" a="1"/>
  <c r="AN672" i="1" s="1"/>
  <c r="AO672" i="1" a="1"/>
  <c r="AO672" i="1" s="1"/>
  <c r="AP672" i="1" a="1"/>
  <c r="AP672" i="1" s="1"/>
  <c r="AQ672" i="1" a="1"/>
  <c r="AQ672" i="1" s="1"/>
  <c r="AR672" i="1" a="1"/>
  <c r="AR672" i="1" s="1"/>
  <c r="AS672" i="1" a="1"/>
  <c r="AS672" i="1" s="1"/>
  <c r="AT672" i="1" a="1"/>
  <c r="AT672" i="1" s="1"/>
  <c r="AU672" i="1" a="1"/>
  <c r="AU672" i="1" s="1"/>
  <c r="AV672" i="1" a="1"/>
  <c r="AV672" i="1" s="1"/>
  <c r="AW672" i="1" a="1"/>
  <c r="AW672" i="1" s="1"/>
  <c r="AX672" i="1" a="1"/>
  <c r="AX672" i="1" s="1"/>
  <c r="AY672" i="1" a="1"/>
  <c r="AY672" i="1" s="1"/>
  <c r="AZ672" i="1" a="1"/>
  <c r="AZ672" i="1" s="1"/>
  <c r="BA672" i="1" a="1"/>
  <c r="BA672" i="1" s="1"/>
  <c r="BB672" i="1" a="1"/>
  <c r="BB672" i="1" s="1"/>
  <c r="AL673" i="1" a="1"/>
  <c r="AL673" i="1" s="1"/>
  <c r="AM673" i="1" a="1"/>
  <c r="AM673" i="1" s="1"/>
  <c r="AN673" i="1" a="1"/>
  <c r="AN673" i="1" s="1"/>
  <c r="AO673" i="1" a="1"/>
  <c r="AO673" i="1" s="1"/>
  <c r="AP673" i="1" a="1"/>
  <c r="AP673" i="1" s="1"/>
  <c r="AQ673" i="1" a="1"/>
  <c r="AQ673" i="1" s="1"/>
  <c r="AR673" i="1" a="1"/>
  <c r="AR673" i="1" s="1"/>
  <c r="AS673" i="1" a="1"/>
  <c r="AS673" i="1" s="1"/>
  <c r="AT673" i="1" a="1"/>
  <c r="AT673" i="1" s="1"/>
  <c r="AU673" i="1" a="1"/>
  <c r="AU673" i="1" s="1"/>
  <c r="AV673" i="1" a="1"/>
  <c r="AV673" i="1" s="1"/>
  <c r="AW673" i="1" a="1"/>
  <c r="AW673" i="1" s="1"/>
  <c r="AX673" i="1" a="1"/>
  <c r="AX673" i="1" s="1"/>
  <c r="AY673" i="1" a="1"/>
  <c r="AY673" i="1" s="1"/>
  <c r="AZ673" i="1" a="1"/>
  <c r="AZ673" i="1" s="1"/>
  <c r="BA673" i="1" a="1"/>
  <c r="BA673" i="1" s="1"/>
  <c r="BB673" i="1" a="1"/>
  <c r="BB673" i="1" s="1"/>
  <c r="AL674" i="1" a="1"/>
  <c r="AL674" i="1" s="1"/>
  <c r="AM674" i="1" a="1"/>
  <c r="AM674" i="1" s="1"/>
  <c r="AN674" i="1" a="1"/>
  <c r="AN674" i="1" s="1"/>
  <c r="AO674" i="1" a="1"/>
  <c r="AO674" i="1" s="1"/>
  <c r="AP674" i="1" a="1"/>
  <c r="AP674" i="1" s="1"/>
  <c r="AQ674" i="1" a="1"/>
  <c r="AQ674" i="1" s="1"/>
  <c r="AR674" i="1" a="1"/>
  <c r="AR674" i="1" s="1"/>
  <c r="AS674" i="1" a="1"/>
  <c r="AS674" i="1" s="1"/>
  <c r="AT674" i="1" a="1"/>
  <c r="AT674" i="1" s="1"/>
  <c r="AU674" i="1" a="1"/>
  <c r="AU674" i="1" s="1"/>
  <c r="AV674" i="1" a="1"/>
  <c r="AV674" i="1" s="1"/>
  <c r="AW674" i="1" a="1"/>
  <c r="AW674" i="1" s="1"/>
  <c r="AX674" i="1" a="1"/>
  <c r="AX674" i="1" s="1"/>
  <c r="AY674" i="1" a="1"/>
  <c r="AY674" i="1" s="1"/>
  <c r="AZ674" i="1" a="1"/>
  <c r="AZ674" i="1" s="1"/>
  <c r="BA674" i="1" a="1"/>
  <c r="BA674" i="1" s="1"/>
  <c r="BB674" i="1" a="1"/>
  <c r="BB674" i="1" s="1"/>
  <c r="AL675" i="1" a="1"/>
  <c r="AL675" i="1" s="1"/>
  <c r="AM675" i="1" a="1"/>
  <c r="AM675" i="1" s="1"/>
  <c r="AN675" i="1" a="1"/>
  <c r="AN675" i="1" s="1"/>
  <c r="AO675" i="1" a="1"/>
  <c r="AO675" i="1" s="1"/>
  <c r="AP675" i="1" a="1"/>
  <c r="AP675" i="1" s="1"/>
  <c r="AQ675" i="1" a="1"/>
  <c r="AQ675" i="1" s="1"/>
  <c r="AR675" i="1" a="1"/>
  <c r="AR675" i="1" s="1"/>
  <c r="AS675" i="1" a="1"/>
  <c r="AS675" i="1" s="1"/>
  <c r="AT675" i="1" a="1"/>
  <c r="AT675" i="1" s="1"/>
  <c r="AU675" i="1" a="1"/>
  <c r="AU675" i="1" s="1"/>
  <c r="AV675" i="1" a="1"/>
  <c r="AV675" i="1" s="1"/>
  <c r="AW675" i="1" a="1"/>
  <c r="AW675" i="1" s="1"/>
  <c r="AX675" i="1" a="1"/>
  <c r="AX675" i="1" s="1"/>
  <c r="AY675" i="1" a="1"/>
  <c r="AY675" i="1" s="1"/>
  <c r="AZ675" i="1" a="1"/>
  <c r="AZ675" i="1" s="1"/>
  <c r="BA675" i="1" a="1"/>
  <c r="BA675" i="1" s="1"/>
  <c r="BB675" i="1" a="1"/>
  <c r="BB675" i="1" s="1"/>
  <c r="AL676" i="1" a="1"/>
  <c r="AL676" i="1" s="1"/>
  <c r="AM676" i="1" a="1"/>
  <c r="AM676" i="1" s="1"/>
  <c r="AN676" i="1" a="1"/>
  <c r="AN676" i="1" s="1"/>
  <c r="AO676" i="1" a="1"/>
  <c r="AO676" i="1" s="1"/>
  <c r="AP676" i="1" a="1"/>
  <c r="AP676" i="1" s="1"/>
  <c r="AQ676" i="1" a="1"/>
  <c r="AQ676" i="1" s="1"/>
  <c r="AR676" i="1" a="1"/>
  <c r="AR676" i="1" s="1"/>
  <c r="AS676" i="1" a="1"/>
  <c r="AS676" i="1" s="1"/>
  <c r="AT676" i="1" a="1"/>
  <c r="AT676" i="1" s="1"/>
  <c r="AU676" i="1" a="1"/>
  <c r="AU676" i="1" s="1"/>
  <c r="AV676" i="1" a="1"/>
  <c r="AV676" i="1" s="1"/>
  <c r="AW676" i="1" a="1"/>
  <c r="AW676" i="1" s="1"/>
  <c r="AX676" i="1" a="1"/>
  <c r="AX676" i="1" s="1"/>
  <c r="AY676" i="1" a="1"/>
  <c r="AY676" i="1" s="1"/>
  <c r="AZ676" i="1" a="1"/>
  <c r="AZ676" i="1" s="1"/>
  <c r="BA676" i="1" a="1"/>
  <c r="BA676" i="1" s="1"/>
  <c r="BB676" i="1" a="1"/>
  <c r="BB676" i="1" s="1"/>
  <c r="AL678" i="1" a="1"/>
  <c r="AL678" i="1" s="1"/>
  <c r="AM678" i="1" a="1"/>
  <c r="AM678" i="1" s="1"/>
  <c r="AN678" i="1" a="1"/>
  <c r="AN678" i="1" s="1"/>
  <c r="AO678" i="1" a="1"/>
  <c r="AO678" i="1" s="1"/>
  <c r="AP678" i="1" a="1"/>
  <c r="AP678" i="1" s="1"/>
  <c r="AQ678" i="1" a="1"/>
  <c r="AQ678" i="1" s="1"/>
  <c r="AR678" i="1" a="1"/>
  <c r="AR678" i="1" s="1"/>
  <c r="AS678" i="1" a="1"/>
  <c r="AS678" i="1" s="1"/>
  <c r="AT678" i="1" a="1"/>
  <c r="AT678" i="1" s="1"/>
  <c r="AU678" i="1" a="1"/>
  <c r="AU678" i="1" s="1"/>
  <c r="AV678" i="1" a="1"/>
  <c r="AV678" i="1" s="1"/>
  <c r="AW678" i="1" a="1"/>
  <c r="AW678" i="1" s="1"/>
  <c r="AX678" i="1" a="1"/>
  <c r="AX678" i="1" s="1"/>
  <c r="AY678" i="1" a="1"/>
  <c r="AY678" i="1" s="1"/>
  <c r="AZ678" i="1" a="1"/>
  <c r="AZ678" i="1" s="1"/>
  <c r="BA678" i="1" a="1"/>
  <c r="BA678" i="1" s="1"/>
  <c r="BB678" i="1" a="1"/>
  <c r="BB678" i="1" s="1"/>
  <c r="AL679" i="1" a="1"/>
  <c r="AL679" i="1" s="1"/>
  <c r="AM679" i="1" a="1"/>
  <c r="AM679" i="1" s="1"/>
  <c r="AN679" i="1" a="1"/>
  <c r="AN679" i="1" s="1"/>
  <c r="AO679" i="1" a="1"/>
  <c r="AO679" i="1" s="1"/>
  <c r="AP679" i="1" a="1"/>
  <c r="AP679" i="1" s="1"/>
  <c r="AQ679" i="1" a="1"/>
  <c r="AQ679" i="1" s="1"/>
  <c r="AR679" i="1" a="1"/>
  <c r="AR679" i="1" s="1"/>
  <c r="AS679" i="1" a="1"/>
  <c r="AS679" i="1" s="1"/>
  <c r="AT679" i="1" a="1"/>
  <c r="AT679" i="1" s="1"/>
  <c r="AU679" i="1" a="1"/>
  <c r="AU679" i="1" s="1"/>
  <c r="AV679" i="1" a="1"/>
  <c r="AV679" i="1" s="1"/>
  <c r="AW679" i="1" a="1"/>
  <c r="AW679" i="1" s="1"/>
  <c r="AX679" i="1" a="1"/>
  <c r="AX679" i="1" s="1"/>
  <c r="AY679" i="1" a="1"/>
  <c r="AY679" i="1" s="1"/>
  <c r="AZ679" i="1" a="1"/>
  <c r="AZ679" i="1" s="1"/>
  <c r="BA679" i="1" a="1"/>
  <c r="BA679" i="1" s="1"/>
  <c r="BB679" i="1" a="1"/>
  <c r="BB679" i="1" s="1"/>
  <c r="AL680" i="1" a="1"/>
  <c r="AL680" i="1" s="1"/>
  <c r="AM680" i="1" a="1"/>
  <c r="AM680" i="1" s="1"/>
  <c r="AN680" i="1" a="1"/>
  <c r="AN680" i="1" s="1"/>
  <c r="AO680" i="1" a="1"/>
  <c r="AO680" i="1" s="1"/>
  <c r="AP680" i="1" a="1"/>
  <c r="AP680" i="1" s="1"/>
  <c r="AQ680" i="1" a="1"/>
  <c r="AQ680" i="1" s="1"/>
  <c r="AR680" i="1" a="1"/>
  <c r="AR680" i="1" s="1"/>
  <c r="AS680" i="1" a="1"/>
  <c r="AS680" i="1" s="1"/>
  <c r="AT680" i="1" a="1"/>
  <c r="AT680" i="1" s="1"/>
  <c r="AU680" i="1" a="1"/>
  <c r="AU680" i="1" s="1"/>
  <c r="AV680" i="1" a="1"/>
  <c r="AV680" i="1" s="1"/>
  <c r="AW680" i="1" a="1"/>
  <c r="AW680" i="1" s="1"/>
  <c r="AX680" i="1" a="1"/>
  <c r="AX680" i="1" s="1"/>
  <c r="AY680" i="1" a="1"/>
  <c r="AY680" i="1" s="1"/>
  <c r="AZ680" i="1" a="1"/>
  <c r="AZ680" i="1" s="1"/>
  <c r="BA680" i="1" a="1"/>
  <c r="BA680" i="1" s="1"/>
  <c r="BB680" i="1" a="1"/>
  <c r="BB680" i="1" s="1"/>
  <c r="AL681" i="1" a="1"/>
  <c r="AL681" i="1" s="1"/>
  <c r="AM681" i="1" a="1"/>
  <c r="AM681" i="1" s="1"/>
  <c r="AN681" i="1" a="1"/>
  <c r="AN681" i="1" s="1"/>
  <c r="AO681" i="1" a="1"/>
  <c r="AO681" i="1" s="1"/>
  <c r="AP681" i="1" a="1"/>
  <c r="AP681" i="1" s="1"/>
  <c r="AQ681" i="1" a="1"/>
  <c r="AQ681" i="1" s="1"/>
  <c r="AR681" i="1" a="1"/>
  <c r="AR681" i="1" s="1"/>
  <c r="AS681" i="1" a="1"/>
  <c r="AS681" i="1" s="1"/>
  <c r="AT681" i="1" a="1"/>
  <c r="AT681" i="1" s="1"/>
  <c r="AU681" i="1" a="1"/>
  <c r="AU681" i="1" s="1"/>
  <c r="AV681" i="1" a="1"/>
  <c r="AV681" i="1" s="1"/>
  <c r="AW681" i="1" a="1"/>
  <c r="AW681" i="1" s="1"/>
  <c r="AX681" i="1" a="1"/>
  <c r="AX681" i="1" s="1"/>
  <c r="AY681" i="1" a="1"/>
  <c r="AY681" i="1" s="1"/>
  <c r="AZ681" i="1" a="1"/>
  <c r="AZ681" i="1" s="1"/>
  <c r="BA681" i="1" a="1"/>
  <c r="BA681" i="1" s="1"/>
  <c r="BB681" i="1" a="1"/>
  <c r="BB681" i="1" s="1"/>
  <c r="AL682" i="1" a="1"/>
  <c r="AL682" i="1" s="1"/>
  <c r="AM682" i="1" a="1"/>
  <c r="AM682" i="1" s="1"/>
  <c r="AN682" i="1" a="1"/>
  <c r="AN682" i="1" s="1"/>
  <c r="AO682" i="1" a="1"/>
  <c r="AO682" i="1" s="1"/>
  <c r="AP682" i="1" a="1"/>
  <c r="AP682" i="1" s="1"/>
  <c r="AQ682" i="1" a="1"/>
  <c r="AQ682" i="1" s="1"/>
  <c r="AR682" i="1" a="1"/>
  <c r="AR682" i="1" s="1"/>
  <c r="AS682" i="1" a="1"/>
  <c r="AS682" i="1" s="1"/>
  <c r="AT682" i="1" a="1"/>
  <c r="AT682" i="1" s="1"/>
  <c r="AU682" i="1" a="1"/>
  <c r="AU682" i="1" s="1"/>
  <c r="AV682" i="1" a="1"/>
  <c r="AV682" i="1" s="1"/>
  <c r="AW682" i="1" a="1"/>
  <c r="AW682" i="1" s="1"/>
  <c r="AX682" i="1" a="1"/>
  <c r="AX682" i="1" s="1"/>
  <c r="AY682" i="1" a="1"/>
  <c r="AY682" i="1" s="1"/>
  <c r="AZ682" i="1" a="1"/>
  <c r="AZ682" i="1" s="1"/>
  <c r="BA682" i="1" a="1"/>
  <c r="BA682" i="1" s="1"/>
  <c r="BB682" i="1" a="1"/>
  <c r="BB682" i="1" s="1"/>
  <c r="AL683" i="1" a="1"/>
  <c r="AL683" i="1" s="1"/>
  <c r="AM683" i="1" a="1"/>
  <c r="AM683" i="1" s="1"/>
  <c r="AN683" i="1" a="1"/>
  <c r="AN683" i="1" s="1"/>
  <c r="AO683" i="1" a="1"/>
  <c r="AO683" i="1" s="1"/>
  <c r="AP683" i="1" a="1"/>
  <c r="AP683" i="1" s="1"/>
  <c r="AQ683" i="1" a="1"/>
  <c r="AQ683" i="1" s="1"/>
  <c r="AR683" i="1" a="1"/>
  <c r="AR683" i="1" s="1"/>
  <c r="AS683" i="1" a="1"/>
  <c r="AS683" i="1" s="1"/>
  <c r="AT683" i="1" a="1"/>
  <c r="AT683" i="1" s="1"/>
  <c r="AU683" i="1" a="1"/>
  <c r="AU683" i="1" s="1"/>
  <c r="AV683" i="1" a="1"/>
  <c r="AV683" i="1" s="1"/>
  <c r="AW683" i="1" a="1"/>
  <c r="AW683" i="1" s="1"/>
  <c r="AX683" i="1" a="1"/>
  <c r="AX683" i="1" s="1"/>
  <c r="AY683" i="1" a="1"/>
  <c r="AY683" i="1" s="1"/>
  <c r="AZ683" i="1" a="1"/>
  <c r="AZ683" i="1" s="1"/>
  <c r="BA683" i="1" a="1"/>
  <c r="BA683" i="1" s="1"/>
  <c r="BB683" i="1" a="1"/>
  <c r="BB683" i="1" s="1"/>
  <c r="AL684" i="1" a="1"/>
  <c r="AL684" i="1" s="1"/>
  <c r="AM684" i="1" a="1"/>
  <c r="AM684" i="1" s="1"/>
  <c r="AN684" i="1" a="1"/>
  <c r="AN684" i="1" s="1"/>
  <c r="AO684" i="1" a="1"/>
  <c r="AO684" i="1" s="1"/>
  <c r="AP684" i="1" a="1"/>
  <c r="AP684" i="1" s="1"/>
  <c r="AQ684" i="1" a="1"/>
  <c r="AQ684" i="1" s="1"/>
  <c r="AR684" i="1" a="1"/>
  <c r="AR684" i="1" s="1"/>
  <c r="AS684" i="1" a="1"/>
  <c r="AS684" i="1" s="1"/>
  <c r="AT684" i="1" a="1"/>
  <c r="AT684" i="1" s="1"/>
  <c r="AU684" i="1" a="1"/>
  <c r="AU684" i="1" s="1"/>
  <c r="AV684" i="1" a="1"/>
  <c r="AV684" i="1" s="1"/>
  <c r="AW684" i="1" a="1"/>
  <c r="AW684" i="1" s="1"/>
  <c r="AX684" i="1" a="1"/>
  <c r="AX684" i="1" s="1"/>
  <c r="AY684" i="1" a="1"/>
  <c r="AY684" i="1" s="1"/>
  <c r="AZ684" i="1" a="1"/>
  <c r="AZ684" i="1" s="1"/>
  <c r="BA684" i="1" a="1"/>
  <c r="BA684" i="1" s="1"/>
  <c r="BB684" i="1" a="1"/>
  <c r="BB684" i="1" s="1"/>
  <c r="AL510" i="1" a="1"/>
  <c r="AL510" i="1" s="1"/>
  <c r="AM510" i="1" a="1"/>
  <c r="AM510" i="1" s="1"/>
  <c r="AN510" i="1" a="1"/>
  <c r="AN510" i="1" s="1"/>
  <c r="AO510" i="1" a="1"/>
  <c r="AO510" i="1" s="1"/>
  <c r="AP510" i="1" a="1"/>
  <c r="AP510" i="1" s="1"/>
  <c r="AQ510" i="1" a="1"/>
  <c r="AQ510" i="1" s="1"/>
  <c r="AR510" i="1" a="1"/>
  <c r="AR510" i="1" s="1"/>
  <c r="AS510" i="1" a="1"/>
  <c r="AS510" i="1" s="1"/>
  <c r="AT510" i="1" a="1"/>
  <c r="AT510" i="1" s="1"/>
  <c r="AU510" i="1" a="1"/>
  <c r="AU510" i="1" s="1"/>
  <c r="AV510" i="1" a="1"/>
  <c r="AV510" i="1" s="1"/>
  <c r="AW510" i="1" a="1"/>
  <c r="AW510" i="1" s="1"/>
  <c r="AX510" i="1" a="1"/>
  <c r="AX510" i="1" s="1"/>
  <c r="AY510" i="1" a="1"/>
  <c r="AY510" i="1" s="1"/>
  <c r="AZ510" i="1" a="1"/>
  <c r="AZ510" i="1" s="1"/>
  <c r="BA510" i="1" a="1"/>
  <c r="BA510" i="1" s="1"/>
  <c r="BB510" i="1" a="1"/>
  <c r="BB510" i="1" s="1"/>
  <c r="AL685" i="1" a="1"/>
  <c r="AL685" i="1" s="1"/>
  <c r="AM685" i="1" a="1"/>
  <c r="AM685" i="1" s="1"/>
  <c r="AN685" i="1" a="1"/>
  <c r="AN685" i="1" s="1"/>
  <c r="AO685" i="1" a="1"/>
  <c r="AO685" i="1" s="1"/>
  <c r="AP685" i="1" a="1"/>
  <c r="AP685" i="1" s="1"/>
  <c r="AQ685" i="1" a="1"/>
  <c r="AQ685" i="1" s="1"/>
  <c r="AR685" i="1" a="1"/>
  <c r="AR685" i="1" s="1"/>
  <c r="AS685" i="1" a="1"/>
  <c r="AS685" i="1" s="1"/>
  <c r="AT685" i="1" a="1"/>
  <c r="AT685" i="1" s="1"/>
  <c r="AU685" i="1" a="1"/>
  <c r="AU685" i="1" s="1"/>
  <c r="AV685" i="1" a="1"/>
  <c r="AV685" i="1" s="1"/>
  <c r="AW685" i="1" a="1"/>
  <c r="AW685" i="1" s="1"/>
  <c r="AX685" i="1" a="1"/>
  <c r="AX685" i="1" s="1"/>
  <c r="AY685" i="1" a="1"/>
  <c r="AY685" i="1" s="1"/>
  <c r="AZ685" i="1" a="1"/>
  <c r="AZ685" i="1" s="1"/>
  <c r="BA685" i="1" a="1"/>
  <c r="BA685" i="1" s="1"/>
  <c r="BB685" i="1" a="1"/>
  <c r="BB685" i="1" s="1"/>
  <c r="AL686" i="1" a="1"/>
  <c r="AL686" i="1" s="1"/>
  <c r="AM686" i="1" a="1"/>
  <c r="AM686" i="1" s="1"/>
  <c r="AN686" i="1" a="1"/>
  <c r="AN686" i="1" s="1"/>
  <c r="AO686" i="1" a="1"/>
  <c r="AO686" i="1" s="1"/>
  <c r="AP686" i="1" a="1"/>
  <c r="AP686" i="1" s="1"/>
  <c r="AQ686" i="1" a="1"/>
  <c r="AQ686" i="1" s="1"/>
  <c r="AR686" i="1" a="1"/>
  <c r="AR686" i="1" s="1"/>
  <c r="AS686" i="1" a="1"/>
  <c r="AS686" i="1" s="1"/>
  <c r="AT686" i="1" a="1"/>
  <c r="AT686" i="1" s="1"/>
  <c r="AU686" i="1" a="1"/>
  <c r="AU686" i="1" s="1"/>
  <c r="AV686" i="1" a="1"/>
  <c r="AV686" i="1" s="1"/>
  <c r="AW686" i="1" a="1"/>
  <c r="AW686" i="1" s="1"/>
  <c r="AX686" i="1" a="1"/>
  <c r="AX686" i="1" s="1"/>
  <c r="AY686" i="1" a="1"/>
  <c r="AY686" i="1" s="1"/>
  <c r="AZ686" i="1" a="1"/>
  <c r="AZ686" i="1" s="1"/>
  <c r="BA686" i="1" a="1"/>
  <c r="BA686" i="1" s="1"/>
  <c r="BB686" i="1" a="1"/>
  <c r="BB686" i="1" s="1"/>
  <c r="AL687" i="1" a="1"/>
  <c r="AL687" i="1" s="1"/>
  <c r="AM687" i="1" a="1"/>
  <c r="AM687" i="1" s="1"/>
  <c r="AN687" i="1" a="1"/>
  <c r="AN687" i="1" s="1"/>
  <c r="AO687" i="1" a="1"/>
  <c r="AO687" i="1" s="1"/>
  <c r="AP687" i="1" a="1"/>
  <c r="AP687" i="1" s="1"/>
  <c r="AQ687" i="1" a="1"/>
  <c r="AQ687" i="1" s="1"/>
  <c r="AR687" i="1" a="1"/>
  <c r="AR687" i="1" s="1"/>
  <c r="AS687" i="1" a="1"/>
  <c r="AS687" i="1" s="1"/>
  <c r="AT687" i="1" a="1"/>
  <c r="AT687" i="1" s="1"/>
  <c r="AU687" i="1" a="1"/>
  <c r="AU687" i="1" s="1"/>
  <c r="AV687" i="1" a="1"/>
  <c r="AV687" i="1" s="1"/>
  <c r="AW687" i="1" a="1"/>
  <c r="AW687" i="1" s="1"/>
  <c r="AX687" i="1" a="1"/>
  <c r="AX687" i="1" s="1"/>
  <c r="AY687" i="1" a="1"/>
  <c r="AY687" i="1" s="1"/>
  <c r="AZ687" i="1" a="1"/>
  <c r="AZ687" i="1" s="1"/>
  <c r="BA687" i="1" a="1"/>
  <c r="BA687" i="1" s="1"/>
  <c r="BB687" i="1" a="1"/>
  <c r="BB687" i="1" s="1"/>
  <c r="AL688" i="1" a="1"/>
  <c r="AL688" i="1" s="1"/>
  <c r="AM688" i="1" a="1"/>
  <c r="AM688" i="1" s="1"/>
  <c r="AN688" i="1" a="1"/>
  <c r="AN688" i="1" s="1"/>
  <c r="AO688" i="1" a="1"/>
  <c r="AO688" i="1" s="1"/>
  <c r="AP688" i="1" a="1"/>
  <c r="AP688" i="1" s="1"/>
  <c r="AQ688" i="1" a="1"/>
  <c r="AQ688" i="1" s="1"/>
  <c r="AR688" i="1" a="1"/>
  <c r="AR688" i="1" s="1"/>
  <c r="AS688" i="1" a="1"/>
  <c r="AS688" i="1" s="1"/>
  <c r="AT688" i="1" a="1"/>
  <c r="AT688" i="1" s="1"/>
  <c r="AU688" i="1" a="1"/>
  <c r="AU688" i="1" s="1"/>
  <c r="AV688" i="1" a="1"/>
  <c r="AV688" i="1" s="1"/>
  <c r="AW688" i="1" a="1"/>
  <c r="AW688" i="1" s="1"/>
  <c r="AX688" i="1" a="1"/>
  <c r="AX688" i="1" s="1"/>
  <c r="AY688" i="1" a="1"/>
  <c r="AY688" i="1" s="1"/>
  <c r="AZ688" i="1" a="1"/>
  <c r="AZ688" i="1" s="1"/>
  <c r="BA688" i="1" a="1"/>
  <c r="BA688" i="1" s="1"/>
  <c r="BB688" i="1" a="1"/>
  <c r="BB688" i="1" s="1"/>
  <c r="AL689" i="1" a="1"/>
  <c r="AL689" i="1" s="1"/>
  <c r="AM689" i="1" a="1"/>
  <c r="AM689" i="1" s="1"/>
  <c r="AN689" i="1" a="1"/>
  <c r="AN689" i="1" s="1"/>
  <c r="AO689" i="1" a="1"/>
  <c r="AO689" i="1" s="1"/>
  <c r="AP689" i="1" a="1"/>
  <c r="AP689" i="1" s="1"/>
  <c r="AQ689" i="1" a="1"/>
  <c r="AQ689" i="1" s="1"/>
  <c r="AR689" i="1" a="1"/>
  <c r="AR689" i="1" s="1"/>
  <c r="AS689" i="1" a="1"/>
  <c r="AS689" i="1" s="1"/>
  <c r="AT689" i="1" a="1"/>
  <c r="AT689" i="1" s="1"/>
  <c r="AU689" i="1" a="1"/>
  <c r="AU689" i="1" s="1"/>
  <c r="AV689" i="1" a="1"/>
  <c r="AV689" i="1" s="1"/>
  <c r="AW689" i="1" a="1"/>
  <c r="AW689" i="1" s="1"/>
  <c r="AX689" i="1" a="1"/>
  <c r="AX689" i="1" s="1"/>
  <c r="AY689" i="1" a="1"/>
  <c r="AY689" i="1" s="1"/>
  <c r="AZ689" i="1" a="1"/>
  <c r="AZ689" i="1" s="1"/>
  <c r="BA689" i="1" a="1"/>
  <c r="BA689" i="1" s="1"/>
  <c r="BB689" i="1" a="1"/>
  <c r="BB689" i="1" s="1"/>
  <c r="AL691" i="1" a="1"/>
  <c r="AL691" i="1" s="1"/>
  <c r="AM691" i="1" a="1"/>
  <c r="AM691" i="1" s="1"/>
  <c r="AN691" i="1" a="1"/>
  <c r="AN691" i="1" s="1"/>
  <c r="AO691" i="1" a="1"/>
  <c r="AO691" i="1" s="1"/>
  <c r="AP691" i="1" a="1"/>
  <c r="AP691" i="1" s="1"/>
  <c r="AQ691" i="1" a="1"/>
  <c r="AQ691" i="1" s="1"/>
  <c r="AR691" i="1" a="1"/>
  <c r="AR691" i="1" s="1"/>
  <c r="AS691" i="1" a="1"/>
  <c r="AS691" i="1" s="1"/>
  <c r="AT691" i="1" a="1"/>
  <c r="AT691" i="1" s="1"/>
  <c r="AU691" i="1" a="1"/>
  <c r="AU691" i="1" s="1"/>
  <c r="AV691" i="1" a="1"/>
  <c r="AV691" i="1" s="1"/>
  <c r="AW691" i="1" a="1"/>
  <c r="AW691" i="1" s="1"/>
  <c r="AX691" i="1" a="1"/>
  <c r="AX691" i="1" s="1"/>
  <c r="AY691" i="1" a="1"/>
  <c r="AY691" i="1" s="1"/>
  <c r="AZ691" i="1" a="1"/>
  <c r="AZ691" i="1" s="1"/>
  <c r="BA691" i="1" a="1"/>
  <c r="BA691" i="1" s="1"/>
  <c r="BB691" i="1" a="1"/>
  <c r="BB691" i="1" s="1"/>
  <c r="AL523" i="1" a="1"/>
  <c r="AL523" i="1" s="1"/>
  <c r="AM523" i="1" a="1"/>
  <c r="AM523" i="1" s="1"/>
  <c r="AN523" i="1" a="1"/>
  <c r="AN523" i="1" s="1"/>
  <c r="AO523" i="1" a="1"/>
  <c r="AO523" i="1" s="1"/>
  <c r="AP523" i="1" a="1"/>
  <c r="AP523" i="1" s="1"/>
  <c r="AQ523" i="1" a="1"/>
  <c r="AQ523" i="1" s="1"/>
  <c r="AR523" i="1" a="1"/>
  <c r="AR523" i="1" s="1"/>
  <c r="AS523" i="1" a="1"/>
  <c r="AS523" i="1" s="1"/>
  <c r="AT523" i="1" a="1"/>
  <c r="AT523" i="1" s="1"/>
  <c r="AU523" i="1" a="1"/>
  <c r="AU523" i="1" s="1"/>
  <c r="AV523" i="1" a="1"/>
  <c r="AV523" i="1" s="1"/>
  <c r="AW523" i="1" a="1"/>
  <c r="AW523" i="1" s="1"/>
  <c r="AX523" i="1" a="1"/>
  <c r="AX523" i="1" s="1"/>
  <c r="AY523" i="1" a="1"/>
  <c r="AY523" i="1" s="1"/>
  <c r="AZ523" i="1" a="1"/>
  <c r="AZ523" i="1" s="1"/>
  <c r="BA523" i="1" a="1"/>
  <c r="BA523" i="1" s="1"/>
  <c r="BB523" i="1" a="1"/>
  <c r="BB523" i="1" s="1"/>
  <c r="AL524" i="1" a="1"/>
  <c r="AL524" i="1" s="1"/>
  <c r="AM524" i="1" a="1"/>
  <c r="AM524" i="1" s="1"/>
  <c r="AN524" i="1" a="1"/>
  <c r="AN524" i="1" s="1"/>
  <c r="AO524" i="1" a="1"/>
  <c r="AO524" i="1" s="1"/>
  <c r="AP524" i="1" a="1"/>
  <c r="AP524" i="1" s="1"/>
  <c r="AQ524" i="1" a="1"/>
  <c r="AQ524" i="1" s="1"/>
  <c r="AR524" i="1" a="1"/>
  <c r="AR524" i="1" s="1"/>
  <c r="AS524" i="1" a="1"/>
  <c r="AS524" i="1" s="1"/>
  <c r="AT524" i="1" a="1"/>
  <c r="AT524" i="1" s="1"/>
  <c r="AU524" i="1" a="1"/>
  <c r="AU524" i="1" s="1"/>
  <c r="AV524" i="1" a="1"/>
  <c r="AV524" i="1" s="1"/>
  <c r="AW524" i="1" a="1"/>
  <c r="AW524" i="1" s="1"/>
  <c r="AX524" i="1" a="1"/>
  <c r="AX524" i="1" s="1"/>
  <c r="AY524" i="1" a="1"/>
  <c r="AY524" i="1" s="1"/>
  <c r="AZ524" i="1" a="1"/>
  <c r="AZ524" i="1" s="1"/>
  <c r="BA524" i="1" a="1"/>
  <c r="BA524" i="1" s="1"/>
  <c r="BB524" i="1" a="1"/>
  <c r="BB524" i="1" s="1"/>
  <c r="AL692" i="1" a="1"/>
  <c r="AL692" i="1" s="1"/>
  <c r="AM692" i="1" a="1"/>
  <c r="AM692" i="1" s="1"/>
  <c r="AN692" i="1" a="1"/>
  <c r="AN692" i="1" s="1"/>
  <c r="AO692" i="1" a="1"/>
  <c r="AO692" i="1" s="1"/>
  <c r="AP692" i="1" a="1"/>
  <c r="AP692" i="1" s="1"/>
  <c r="AQ692" i="1" a="1"/>
  <c r="AQ692" i="1" s="1"/>
  <c r="AR692" i="1" a="1"/>
  <c r="AR692" i="1" s="1"/>
  <c r="AS692" i="1" a="1"/>
  <c r="AS692" i="1" s="1"/>
  <c r="AT692" i="1" a="1"/>
  <c r="AT692" i="1" s="1"/>
  <c r="AU692" i="1" a="1"/>
  <c r="AU692" i="1" s="1"/>
  <c r="AV692" i="1" a="1"/>
  <c r="AV692" i="1" s="1"/>
  <c r="AW692" i="1" a="1"/>
  <c r="AW692" i="1" s="1"/>
  <c r="AX692" i="1" a="1"/>
  <c r="AX692" i="1" s="1"/>
  <c r="AY692" i="1" a="1"/>
  <c r="AY692" i="1" s="1"/>
  <c r="AZ692" i="1" a="1"/>
  <c r="AZ692" i="1" s="1"/>
  <c r="BA692" i="1" a="1"/>
  <c r="BA692" i="1" s="1"/>
  <c r="BB692" i="1" a="1"/>
  <c r="BB692" i="1" s="1"/>
  <c r="AL693" i="1" a="1"/>
  <c r="AL693" i="1" s="1"/>
  <c r="AM693" i="1" a="1"/>
  <c r="AM693" i="1" s="1"/>
  <c r="AN693" i="1" a="1"/>
  <c r="AN693" i="1" s="1"/>
  <c r="AO693" i="1" a="1"/>
  <c r="AO693" i="1" s="1"/>
  <c r="AP693" i="1" a="1"/>
  <c r="AP693" i="1" s="1"/>
  <c r="AQ693" i="1" a="1"/>
  <c r="AQ693" i="1" s="1"/>
  <c r="AR693" i="1" a="1"/>
  <c r="AR693" i="1" s="1"/>
  <c r="AS693" i="1" a="1"/>
  <c r="AS693" i="1" s="1"/>
  <c r="AT693" i="1" a="1"/>
  <c r="AT693" i="1" s="1"/>
  <c r="AU693" i="1" a="1"/>
  <c r="AU693" i="1" s="1"/>
  <c r="AV693" i="1" a="1"/>
  <c r="AV693" i="1" s="1"/>
  <c r="AW693" i="1" a="1"/>
  <c r="AW693" i="1" s="1"/>
  <c r="AX693" i="1" a="1"/>
  <c r="AX693" i="1" s="1"/>
  <c r="AY693" i="1" a="1"/>
  <c r="AY693" i="1" s="1"/>
  <c r="AZ693" i="1" a="1"/>
  <c r="AZ693" i="1" s="1"/>
  <c r="BA693" i="1" a="1"/>
  <c r="BA693" i="1" s="1"/>
  <c r="BB693" i="1" a="1"/>
  <c r="BB693" i="1" s="1"/>
  <c r="AL694" i="1" a="1"/>
  <c r="AL694" i="1" s="1"/>
  <c r="AM694" i="1" a="1"/>
  <c r="AM694" i="1" s="1"/>
  <c r="AN694" i="1" a="1"/>
  <c r="AN694" i="1" s="1"/>
  <c r="AO694" i="1" a="1"/>
  <c r="AO694" i="1" s="1"/>
  <c r="AP694" i="1" a="1"/>
  <c r="AP694" i="1" s="1"/>
  <c r="AQ694" i="1" a="1"/>
  <c r="AQ694" i="1" s="1"/>
  <c r="AR694" i="1" a="1"/>
  <c r="AR694" i="1" s="1"/>
  <c r="AS694" i="1" a="1"/>
  <c r="AS694" i="1" s="1"/>
  <c r="AT694" i="1" a="1"/>
  <c r="AT694" i="1" s="1"/>
  <c r="AU694" i="1" a="1"/>
  <c r="AU694" i="1" s="1"/>
  <c r="AV694" i="1" a="1"/>
  <c r="AV694" i="1" s="1"/>
  <c r="AW694" i="1" a="1"/>
  <c r="AW694" i="1" s="1"/>
  <c r="AX694" i="1" a="1"/>
  <c r="AX694" i="1" s="1"/>
  <c r="AY694" i="1" a="1"/>
  <c r="AY694" i="1" s="1"/>
  <c r="AZ694" i="1" a="1"/>
  <c r="AZ694" i="1" s="1"/>
  <c r="BA694" i="1" a="1"/>
  <c r="BA694" i="1" s="1"/>
  <c r="BB694" i="1" a="1"/>
  <c r="BB694" i="1" s="1"/>
  <c r="AL695" i="1" a="1"/>
  <c r="AL695" i="1" s="1"/>
  <c r="AM695" i="1" a="1"/>
  <c r="AM695" i="1" s="1"/>
  <c r="AN695" i="1" a="1"/>
  <c r="AN695" i="1" s="1"/>
  <c r="AO695" i="1" a="1"/>
  <c r="AO695" i="1" s="1"/>
  <c r="AP695" i="1" a="1"/>
  <c r="AP695" i="1" s="1"/>
  <c r="AQ695" i="1" a="1"/>
  <c r="AQ695" i="1" s="1"/>
  <c r="AR695" i="1" a="1"/>
  <c r="AR695" i="1" s="1"/>
  <c r="AS695" i="1" a="1"/>
  <c r="AS695" i="1" s="1"/>
  <c r="AT695" i="1" a="1"/>
  <c r="AT695" i="1" s="1"/>
  <c r="AU695" i="1" a="1"/>
  <c r="AU695" i="1" s="1"/>
  <c r="AV695" i="1" a="1"/>
  <c r="AV695" i="1" s="1"/>
  <c r="AW695" i="1" a="1"/>
  <c r="AW695" i="1" s="1"/>
  <c r="AX695" i="1" a="1"/>
  <c r="AX695" i="1" s="1"/>
  <c r="AY695" i="1" a="1"/>
  <c r="AY695" i="1" s="1"/>
  <c r="AZ695" i="1" a="1"/>
  <c r="AZ695" i="1" s="1"/>
  <c r="BA695" i="1" a="1"/>
  <c r="BA695" i="1" s="1"/>
  <c r="BB695" i="1" a="1"/>
  <c r="BB695" i="1" s="1"/>
  <c r="AL696" i="1" a="1"/>
  <c r="AL696" i="1" s="1"/>
  <c r="AM696" i="1" a="1"/>
  <c r="AM696" i="1" s="1"/>
  <c r="AN696" i="1" a="1"/>
  <c r="AN696" i="1" s="1"/>
  <c r="AO696" i="1" a="1"/>
  <c r="AO696" i="1" s="1"/>
  <c r="AP696" i="1" a="1"/>
  <c r="AP696" i="1" s="1"/>
  <c r="AQ696" i="1" a="1"/>
  <c r="AQ696" i="1" s="1"/>
  <c r="AR696" i="1" a="1"/>
  <c r="AR696" i="1" s="1"/>
  <c r="AS696" i="1" a="1"/>
  <c r="AS696" i="1" s="1"/>
  <c r="AT696" i="1" a="1"/>
  <c r="AT696" i="1" s="1"/>
  <c r="AU696" i="1" a="1"/>
  <c r="AU696" i="1" s="1"/>
  <c r="AV696" i="1" a="1"/>
  <c r="AV696" i="1" s="1"/>
  <c r="AW696" i="1" a="1"/>
  <c r="AW696" i="1" s="1"/>
  <c r="AX696" i="1" a="1"/>
  <c r="AX696" i="1" s="1"/>
  <c r="AY696" i="1" a="1"/>
  <c r="AY696" i="1" s="1"/>
  <c r="AZ696" i="1" a="1"/>
  <c r="AZ696" i="1" s="1"/>
  <c r="BA696" i="1" a="1"/>
  <c r="BA696" i="1" s="1"/>
  <c r="BB696" i="1" a="1"/>
  <c r="BB696" i="1" s="1"/>
  <c r="AL697" i="1" a="1"/>
  <c r="AL697" i="1" s="1"/>
  <c r="AM697" i="1" a="1"/>
  <c r="AM697" i="1" s="1"/>
  <c r="AN697" i="1" a="1"/>
  <c r="AN697" i="1" s="1"/>
  <c r="AO697" i="1" a="1"/>
  <c r="AO697" i="1" s="1"/>
  <c r="AP697" i="1" a="1"/>
  <c r="AP697" i="1" s="1"/>
  <c r="AQ697" i="1" a="1"/>
  <c r="AQ697" i="1" s="1"/>
  <c r="AR697" i="1" a="1"/>
  <c r="AR697" i="1" s="1"/>
  <c r="AS697" i="1" a="1"/>
  <c r="AS697" i="1" s="1"/>
  <c r="AT697" i="1" a="1"/>
  <c r="AT697" i="1" s="1"/>
  <c r="AU697" i="1" a="1"/>
  <c r="AU697" i="1" s="1"/>
  <c r="AV697" i="1" a="1"/>
  <c r="AV697" i="1" s="1"/>
  <c r="AW697" i="1" a="1"/>
  <c r="AW697" i="1" s="1"/>
  <c r="AX697" i="1" a="1"/>
  <c r="AX697" i="1" s="1"/>
  <c r="AY697" i="1" a="1"/>
  <c r="AY697" i="1" s="1"/>
  <c r="AZ697" i="1" a="1"/>
  <c r="AZ697" i="1" s="1"/>
  <c r="BA697" i="1" a="1"/>
  <c r="BA697" i="1" s="1"/>
  <c r="BB697" i="1" a="1"/>
  <c r="BB697" i="1" s="1"/>
  <c r="AL698" i="1" a="1"/>
  <c r="AL698" i="1" s="1"/>
  <c r="AM698" i="1" a="1"/>
  <c r="AM698" i="1" s="1"/>
  <c r="AN698" i="1" a="1"/>
  <c r="AN698" i="1" s="1"/>
  <c r="AO698" i="1" a="1"/>
  <c r="AO698" i="1" s="1"/>
  <c r="AP698" i="1" a="1"/>
  <c r="AP698" i="1" s="1"/>
  <c r="AQ698" i="1" a="1"/>
  <c r="AQ698" i="1" s="1"/>
  <c r="AR698" i="1" a="1"/>
  <c r="AR698" i="1" s="1"/>
  <c r="AS698" i="1" a="1"/>
  <c r="AS698" i="1" s="1"/>
  <c r="AT698" i="1" a="1"/>
  <c r="AT698" i="1" s="1"/>
  <c r="AU698" i="1" a="1"/>
  <c r="AU698" i="1" s="1"/>
  <c r="AV698" i="1" a="1"/>
  <c r="AV698" i="1" s="1"/>
  <c r="AW698" i="1" a="1"/>
  <c r="AW698" i="1" s="1"/>
  <c r="AX698" i="1" a="1"/>
  <c r="AX698" i="1" s="1"/>
  <c r="AY698" i="1" a="1"/>
  <c r="AY698" i="1" s="1"/>
  <c r="AZ698" i="1" a="1"/>
  <c r="AZ698" i="1" s="1"/>
  <c r="BA698" i="1" a="1"/>
  <c r="BA698" i="1" s="1"/>
  <c r="BB698" i="1" a="1"/>
  <c r="BB698" i="1" s="1"/>
  <c r="AL699" i="1" a="1"/>
  <c r="AL699" i="1" s="1"/>
  <c r="AM699" i="1" a="1"/>
  <c r="AM699" i="1" s="1"/>
  <c r="AN699" i="1" a="1"/>
  <c r="AN699" i="1" s="1"/>
  <c r="AO699" i="1" a="1"/>
  <c r="AO699" i="1" s="1"/>
  <c r="AP699" i="1" a="1"/>
  <c r="AP699" i="1" s="1"/>
  <c r="AQ699" i="1" a="1"/>
  <c r="AQ699" i="1" s="1"/>
  <c r="AR699" i="1" a="1"/>
  <c r="AR699" i="1" s="1"/>
  <c r="AS699" i="1" a="1"/>
  <c r="AS699" i="1" s="1"/>
  <c r="AT699" i="1" a="1"/>
  <c r="AT699" i="1" s="1"/>
  <c r="AU699" i="1" a="1"/>
  <c r="AU699" i="1" s="1"/>
  <c r="AV699" i="1" a="1"/>
  <c r="AV699" i="1" s="1"/>
  <c r="AW699" i="1" a="1"/>
  <c r="AW699" i="1" s="1"/>
  <c r="AX699" i="1" a="1"/>
  <c r="AX699" i="1" s="1"/>
  <c r="AY699" i="1" a="1"/>
  <c r="AY699" i="1" s="1"/>
  <c r="AZ699" i="1" a="1"/>
  <c r="AZ699" i="1" s="1"/>
  <c r="BA699" i="1" a="1"/>
  <c r="BA699" i="1" s="1"/>
  <c r="BB699" i="1" a="1"/>
  <c r="BB699" i="1" s="1"/>
  <c r="AL700" i="1" a="1"/>
  <c r="AL700" i="1" s="1"/>
  <c r="AM700" i="1" a="1"/>
  <c r="AM700" i="1" s="1"/>
  <c r="AN700" i="1" a="1"/>
  <c r="AN700" i="1" s="1"/>
  <c r="AO700" i="1" a="1"/>
  <c r="AO700" i="1" s="1"/>
  <c r="AP700" i="1" a="1"/>
  <c r="AP700" i="1" s="1"/>
  <c r="AQ700" i="1" a="1"/>
  <c r="AQ700" i="1" s="1"/>
  <c r="AR700" i="1" a="1"/>
  <c r="AR700" i="1" s="1"/>
  <c r="AS700" i="1" a="1"/>
  <c r="AS700" i="1" s="1"/>
  <c r="AT700" i="1" a="1"/>
  <c r="AT700" i="1" s="1"/>
  <c r="AU700" i="1" a="1"/>
  <c r="AU700" i="1" s="1"/>
  <c r="AV700" i="1" a="1"/>
  <c r="AV700" i="1" s="1"/>
  <c r="AW700" i="1" a="1"/>
  <c r="AW700" i="1" s="1"/>
  <c r="AX700" i="1" a="1"/>
  <c r="AX700" i="1" s="1"/>
  <c r="AY700" i="1" a="1"/>
  <c r="AY700" i="1" s="1"/>
  <c r="AZ700" i="1" a="1"/>
  <c r="AZ700" i="1" s="1"/>
  <c r="BA700" i="1" a="1"/>
  <c r="BA700" i="1" s="1"/>
  <c r="BB700" i="1" a="1"/>
  <c r="BB700" i="1" s="1"/>
  <c r="AL701" i="1" a="1"/>
  <c r="AL701" i="1" s="1"/>
  <c r="AM701" i="1" a="1"/>
  <c r="AM701" i="1" s="1"/>
  <c r="AN701" i="1" a="1"/>
  <c r="AN701" i="1" s="1"/>
  <c r="AO701" i="1" a="1"/>
  <c r="AO701" i="1" s="1"/>
  <c r="AP701" i="1" a="1"/>
  <c r="AP701" i="1" s="1"/>
  <c r="AQ701" i="1" a="1"/>
  <c r="AQ701" i="1" s="1"/>
  <c r="AR701" i="1" a="1"/>
  <c r="AR701" i="1" s="1"/>
  <c r="AS701" i="1" a="1"/>
  <c r="AS701" i="1" s="1"/>
  <c r="AT701" i="1" a="1"/>
  <c r="AT701" i="1" s="1"/>
  <c r="AU701" i="1" a="1"/>
  <c r="AU701" i="1" s="1"/>
  <c r="AV701" i="1" a="1"/>
  <c r="AV701" i="1" s="1"/>
  <c r="AW701" i="1" a="1"/>
  <c r="AW701" i="1" s="1"/>
  <c r="AX701" i="1" a="1"/>
  <c r="AX701" i="1" s="1"/>
  <c r="AY701" i="1" a="1"/>
  <c r="AY701" i="1" s="1"/>
  <c r="AZ701" i="1" a="1"/>
  <c r="AZ701" i="1" s="1"/>
  <c r="BA701" i="1" a="1"/>
  <c r="BA701" i="1" s="1"/>
  <c r="BB701" i="1" a="1"/>
  <c r="BB701" i="1" s="1"/>
  <c r="AL702" i="1" a="1"/>
  <c r="AL702" i="1" s="1"/>
  <c r="AM702" i="1" a="1"/>
  <c r="AM702" i="1" s="1"/>
  <c r="AN702" i="1" a="1"/>
  <c r="AN702" i="1" s="1"/>
  <c r="AO702" i="1" a="1"/>
  <c r="AO702" i="1" s="1"/>
  <c r="AP702" i="1" a="1"/>
  <c r="AP702" i="1" s="1"/>
  <c r="AQ702" i="1" a="1"/>
  <c r="AQ702" i="1" s="1"/>
  <c r="AR702" i="1" a="1"/>
  <c r="AR702" i="1" s="1"/>
  <c r="AS702" i="1" a="1"/>
  <c r="AS702" i="1" s="1"/>
  <c r="AT702" i="1" a="1"/>
  <c r="AT702" i="1" s="1"/>
  <c r="AU702" i="1" a="1"/>
  <c r="AU702" i="1" s="1"/>
  <c r="AV702" i="1" a="1"/>
  <c r="AV702" i="1" s="1"/>
  <c r="AW702" i="1" a="1"/>
  <c r="AW702" i="1" s="1"/>
  <c r="AX702" i="1" a="1"/>
  <c r="AX702" i="1" s="1"/>
  <c r="AY702" i="1" a="1"/>
  <c r="AY702" i="1" s="1"/>
  <c r="AZ702" i="1" a="1"/>
  <c r="AZ702" i="1" s="1"/>
  <c r="BA702" i="1" a="1"/>
  <c r="BA702" i="1" s="1"/>
  <c r="BB702" i="1" a="1"/>
  <c r="BB702" i="1" s="1"/>
  <c r="AL703" i="1" a="1"/>
  <c r="AL703" i="1" s="1"/>
  <c r="AM703" i="1" a="1"/>
  <c r="AM703" i="1" s="1"/>
  <c r="AN703" i="1" a="1"/>
  <c r="AN703" i="1" s="1"/>
  <c r="AO703" i="1" a="1"/>
  <c r="AO703" i="1" s="1"/>
  <c r="AP703" i="1" a="1"/>
  <c r="AP703" i="1" s="1"/>
  <c r="AQ703" i="1" a="1"/>
  <c r="AQ703" i="1" s="1"/>
  <c r="AR703" i="1" a="1"/>
  <c r="AR703" i="1" s="1"/>
  <c r="AS703" i="1" a="1"/>
  <c r="AS703" i="1" s="1"/>
  <c r="AT703" i="1" a="1"/>
  <c r="AT703" i="1" s="1"/>
  <c r="AU703" i="1" a="1"/>
  <c r="AU703" i="1" s="1"/>
  <c r="AV703" i="1" a="1"/>
  <c r="AV703" i="1" s="1"/>
  <c r="AW703" i="1" a="1"/>
  <c r="AW703" i="1" s="1"/>
  <c r="AX703" i="1" a="1"/>
  <c r="AX703" i="1" s="1"/>
  <c r="AY703" i="1" a="1"/>
  <c r="AY703" i="1" s="1"/>
  <c r="AZ703" i="1" a="1"/>
  <c r="AZ703" i="1" s="1"/>
  <c r="BA703" i="1" a="1"/>
  <c r="BA703" i="1" s="1"/>
  <c r="BB703" i="1" a="1"/>
  <c r="BB703" i="1" s="1"/>
  <c r="AL704" i="1" a="1"/>
  <c r="AL704" i="1" s="1"/>
  <c r="AM704" i="1" a="1"/>
  <c r="AM704" i="1" s="1"/>
  <c r="AN704" i="1" a="1"/>
  <c r="AN704" i="1" s="1"/>
  <c r="AO704" i="1" a="1"/>
  <c r="AO704" i="1" s="1"/>
  <c r="AP704" i="1" a="1"/>
  <c r="AP704" i="1" s="1"/>
  <c r="AQ704" i="1" a="1"/>
  <c r="AQ704" i="1" s="1"/>
  <c r="AR704" i="1" a="1"/>
  <c r="AR704" i="1" s="1"/>
  <c r="AS704" i="1" a="1"/>
  <c r="AS704" i="1" s="1"/>
  <c r="AT704" i="1" a="1"/>
  <c r="AT704" i="1" s="1"/>
  <c r="AU704" i="1" a="1"/>
  <c r="AU704" i="1" s="1"/>
  <c r="AV704" i="1" a="1"/>
  <c r="AV704" i="1" s="1"/>
  <c r="AW704" i="1" a="1"/>
  <c r="AW704" i="1" s="1"/>
  <c r="AX704" i="1" a="1"/>
  <c r="AX704" i="1" s="1"/>
  <c r="AY704" i="1" a="1"/>
  <c r="AY704" i="1" s="1"/>
  <c r="AZ704" i="1" a="1"/>
  <c r="AZ704" i="1" s="1"/>
  <c r="BA704" i="1" a="1"/>
  <c r="BA704" i="1" s="1"/>
  <c r="BB704" i="1" a="1"/>
  <c r="BB704" i="1" s="1"/>
  <c r="AL705" i="1" a="1"/>
  <c r="AL705" i="1" s="1"/>
  <c r="AM705" i="1" a="1"/>
  <c r="AM705" i="1" s="1"/>
  <c r="AN705" i="1" a="1"/>
  <c r="AN705" i="1" s="1"/>
  <c r="AO705" i="1" a="1"/>
  <c r="AO705" i="1" s="1"/>
  <c r="AP705" i="1" a="1"/>
  <c r="AP705" i="1" s="1"/>
  <c r="AQ705" i="1" a="1"/>
  <c r="AQ705" i="1" s="1"/>
  <c r="AR705" i="1" a="1"/>
  <c r="AR705" i="1" s="1"/>
  <c r="AS705" i="1" a="1"/>
  <c r="AS705" i="1" s="1"/>
  <c r="AT705" i="1" a="1"/>
  <c r="AT705" i="1" s="1"/>
  <c r="AU705" i="1" a="1"/>
  <c r="AU705" i="1" s="1"/>
  <c r="AV705" i="1" a="1"/>
  <c r="AV705" i="1" s="1"/>
  <c r="AW705" i="1" a="1"/>
  <c r="AW705" i="1" s="1"/>
  <c r="AX705" i="1" a="1"/>
  <c r="AX705" i="1" s="1"/>
  <c r="AY705" i="1" a="1"/>
  <c r="AY705" i="1" s="1"/>
  <c r="AZ705" i="1" a="1"/>
  <c r="AZ705" i="1" s="1"/>
  <c r="BA705" i="1" a="1"/>
  <c r="BA705" i="1" s="1"/>
  <c r="BB705" i="1" a="1"/>
  <c r="BB705" i="1" s="1"/>
  <c r="AL706" i="1" a="1"/>
  <c r="AL706" i="1" s="1"/>
  <c r="AM706" i="1" a="1"/>
  <c r="AM706" i="1" s="1"/>
  <c r="AN706" i="1" a="1"/>
  <c r="AN706" i="1" s="1"/>
  <c r="AO706" i="1" a="1"/>
  <c r="AO706" i="1" s="1"/>
  <c r="AP706" i="1" a="1"/>
  <c r="AP706" i="1" s="1"/>
  <c r="AQ706" i="1" a="1"/>
  <c r="AQ706" i="1" s="1"/>
  <c r="AR706" i="1" a="1"/>
  <c r="AR706" i="1" s="1"/>
  <c r="AS706" i="1" a="1"/>
  <c r="AS706" i="1" s="1"/>
  <c r="AT706" i="1" a="1"/>
  <c r="AT706" i="1" s="1"/>
  <c r="AU706" i="1" a="1"/>
  <c r="AU706" i="1" s="1"/>
  <c r="AV706" i="1" a="1"/>
  <c r="AV706" i="1" s="1"/>
  <c r="AW706" i="1" a="1"/>
  <c r="AW706" i="1" s="1"/>
  <c r="AX706" i="1" a="1"/>
  <c r="AX706" i="1" s="1"/>
  <c r="AY706" i="1" a="1"/>
  <c r="AY706" i="1" s="1"/>
  <c r="AZ706" i="1" a="1"/>
  <c r="AZ706" i="1" s="1"/>
  <c r="BA706" i="1" a="1"/>
  <c r="BA706" i="1" s="1"/>
  <c r="BB706" i="1" a="1"/>
  <c r="BB706" i="1" s="1"/>
  <c r="AL707" i="1" a="1"/>
  <c r="AL707" i="1" s="1"/>
  <c r="AM707" i="1" a="1"/>
  <c r="AM707" i="1" s="1"/>
  <c r="AN707" i="1" a="1"/>
  <c r="AN707" i="1" s="1"/>
  <c r="AO707" i="1" a="1"/>
  <c r="AO707" i="1" s="1"/>
  <c r="AP707" i="1" a="1"/>
  <c r="AP707" i="1" s="1"/>
  <c r="AQ707" i="1" a="1"/>
  <c r="AQ707" i="1" s="1"/>
  <c r="AR707" i="1" a="1"/>
  <c r="AR707" i="1" s="1"/>
  <c r="AS707" i="1" a="1"/>
  <c r="AS707" i="1" s="1"/>
  <c r="AT707" i="1" a="1"/>
  <c r="AT707" i="1" s="1"/>
  <c r="AU707" i="1" a="1"/>
  <c r="AU707" i="1" s="1"/>
  <c r="AV707" i="1" a="1"/>
  <c r="AV707" i="1" s="1"/>
  <c r="AW707" i="1" a="1"/>
  <c r="AW707" i="1" s="1"/>
  <c r="AX707" i="1" a="1"/>
  <c r="AX707" i="1" s="1"/>
  <c r="AY707" i="1" a="1"/>
  <c r="AY707" i="1" s="1"/>
  <c r="AZ707" i="1" a="1"/>
  <c r="AZ707" i="1" s="1"/>
  <c r="BA707" i="1" a="1"/>
  <c r="BA707" i="1" s="1"/>
  <c r="BB707" i="1" a="1"/>
  <c r="BB707" i="1" s="1"/>
  <c r="AL708" i="1" a="1"/>
  <c r="AL708" i="1" s="1"/>
  <c r="AM708" i="1" a="1"/>
  <c r="AM708" i="1" s="1"/>
  <c r="AN708" i="1" a="1"/>
  <c r="AN708" i="1" s="1"/>
  <c r="AO708" i="1" a="1"/>
  <c r="AO708" i="1" s="1"/>
  <c r="AP708" i="1" a="1"/>
  <c r="AP708" i="1" s="1"/>
  <c r="AQ708" i="1" a="1"/>
  <c r="AQ708" i="1" s="1"/>
  <c r="AR708" i="1" a="1"/>
  <c r="AR708" i="1" s="1"/>
  <c r="AS708" i="1" a="1"/>
  <c r="AS708" i="1" s="1"/>
  <c r="AT708" i="1" a="1"/>
  <c r="AT708" i="1" s="1"/>
  <c r="AU708" i="1" a="1"/>
  <c r="AU708" i="1" s="1"/>
  <c r="AV708" i="1" a="1"/>
  <c r="AV708" i="1" s="1"/>
  <c r="AW708" i="1" a="1"/>
  <c r="AW708" i="1" s="1"/>
  <c r="AX708" i="1" a="1"/>
  <c r="AX708" i="1" s="1"/>
  <c r="AY708" i="1" a="1"/>
  <c r="AY708" i="1" s="1"/>
  <c r="AZ708" i="1" a="1"/>
  <c r="AZ708" i="1" s="1"/>
  <c r="BA708" i="1" a="1"/>
  <c r="BA708" i="1" s="1"/>
  <c r="BB708" i="1" a="1"/>
  <c r="BB708" i="1" s="1"/>
  <c r="AL709" i="1" a="1"/>
  <c r="AL709" i="1" s="1"/>
  <c r="AM709" i="1" a="1"/>
  <c r="AM709" i="1" s="1"/>
  <c r="AN709" i="1" a="1"/>
  <c r="AN709" i="1" s="1"/>
  <c r="AO709" i="1" a="1"/>
  <c r="AO709" i="1" s="1"/>
  <c r="AP709" i="1" a="1"/>
  <c r="AP709" i="1" s="1"/>
  <c r="AQ709" i="1" a="1"/>
  <c r="AQ709" i="1" s="1"/>
  <c r="AR709" i="1" a="1"/>
  <c r="AR709" i="1" s="1"/>
  <c r="AS709" i="1" a="1"/>
  <c r="AS709" i="1" s="1"/>
  <c r="AT709" i="1" a="1"/>
  <c r="AT709" i="1" s="1"/>
  <c r="AU709" i="1" a="1"/>
  <c r="AU709" i="1" s="1"/>
  <c r="AV709" i="1" a="1"/>
  <c r="AV709" i="1" s="1"/>
  <c r="AW709" i="1" a="1"/>
  <c r="AW709" i="1" s="1"/>
  <c r="AX709" i="1" a="1"/>
  <c r="AX709" i="1" s="1"/>
  <c r="AY709" i="1" a="1"/>
  <c r="AY709" i="1" s="1"/>
  <c r="AZ709" i="1" a="1"/>
  <c r="AZ709" i="1" s="1"/>
  <c r="BA709" i="1" a="1"/>
  <c r="BA709" i="1" s="1"/>
  <c r="BB709" i="1" a="1"/>
  <c r="BB709" i="1" s="1"/>
  <c r="AL710" i="1" a="1"/>
  <c r="AL710" i="1" s="1"/>
  <c r="AM710" i="1" a="1"/>
  <c r="AM710" i="1" s="1"/>
  <c r="AN710" i="1" a="1"/>
  <c r="AN710" i="1" s="1"/>
  <c r="AO710" i="1" a="1"/>
  <c r="AO710" i="1" s="1"/>
  <c r="AP710" i="1" a="1"/>
  <c r="AP710" i="1" s="1"/>
  <c r="AQ710" i="1" a="1"/>
  <c r="AQ710" i="1" s="1"/>
  <c r="AR710" i="1" a="1"/>
  <c r="AR710" i="1" s="1"/>
  <c r="AS710" i="1" a="1"/>
  <c r="AS710" i="1" s="1"/>
  <c r="AT710" i="1" a="1"/>
  <c r="AT710" i="1" s="1"/>
  <c r="AU710" i="1" a="1"/>
  <c r="AU710" i="1" s="1"/>
  <c r="AV710" i="1" a="1"/>
  <c r="AV710" i="1" s="1"/>
  <c r="AW710" i="1" a="1"/>
  <c r="AW710" i="1" s="1"/>
  <c r="AX710" i="1" a="1"/>
  <c r="AX710" i="1" s="1"/>
  <c r="AY710" i="1" a="1"/>
  <c r="AY710" i="1" s="1"/>
  <c r="AZ710" i="1" a="1"/>
  <c r="AZ710" i="1" s="1"/>
  <c r="BA710" i="1" a="1"/>
  <c r="BA710" i="1" s="1"/>
  <c r="BB710" i="1" a="1"/>
  <c r="BB710" i="1" s="1"/>
  <c r="AL711" i="1" a="1"/>
  <c r="AL711" i="1" s="1"/>
  <c r="AM711" i="1" a="1"/>
  <c r="AM711" i="1" s="1"/>
  <c r="AN711" i="1" a="1"/>
  <c r="AN711" i="1" s="1"/>
  <c r="AO711" i="1" a="1"/>
  <c r="AO711" i="1" s="1"/>
  <c r="AP711" i="1" a="1"/>
  <c r="AP711" i="1" s="1"/>
  <c r="AQ711" i="1" a="1"/>
  <c r="AQ711" i="1" s="1"/>
  <c r="AR711" i="1" a="1"/>
  <c r="AR711" i="1" s="1"/>
  <c r="AS711" i="1" a="1"/>
  <c r="AS711" i="1" s="1"/>
  <c r="AT711" i="1" a="1"/>
  <c r="AT711" i="1" s="1"/>
  <c r="AU711" i="1" a="1"/>
  <c r="AU711" i="1" s="1"/>
  <c r="AV711" i="1" a="1"/>
  <c r="AV711" i="1" s="1"/>
  <c r="AW711" i="1" a="1"/>
  <c r="AW711" i="1" s="1"/>
  <c r="AX711" i="1" a="1"/>
  <c r="AX711" i="1" s="1"/>
  <c r="AY711" i="1" a="1"/>
  <c r="AY711" i="1" s="1"/>
  <c r="AZ711" i="1" a="1"/>
  <c r="AZ711" i="1" s="1"/>
  <c r="BA711" i="1" a="1"/>
  <c r="BA711" i="1" s="1"/>
  <c r="BB711" i="1" a="1"/>
  <c r="BB711" i="1" s="1"/>
  <c r="AL712" i="1" a="1"/>
  <c r="AL712" i="1" s="1"/>
  <c r="AM712" i="1" a="1"/>
  <c r="AM712" i="1" s="1"/>
  <c r="AN712" i="1" a="1"/>
  <c r="AN712" i="1" s="1"/>
  <c r="AO712" i="1" a="1"/>
  <c r="AO712" i="1" s="1"/>
  <c r="AP712" i="1" a="1"/>
  <c r="AP712" i="1" s="1"/>
  <c r="AQ712" i="1" a="1"/>
  <c r="AQ712" i="1" s="1"/>
  <c r="AR712" i="1" a="1"/>
  <c r="AR712" i="1" s="1"/>
  <c r="AS712" i="1" a="1"/>
  <c r="AS712" i="1" s="1"/>
  <c r="AT712" i="1" a="1"/>
  <c r="AT712" i="1" s="1"/>
  <c r="AU712" i="1" a="1"/>
  <c r="AU712" i="1" s="1"/>
  <c r="AV712" i="1" a="1"/>
  <c r="AV712" i="1" s="1"/>
  <c r="AW712" i="1" a="1"/>
  <c r="AW712" i="1" s="1"/>
  <c r="AX712" i="1" a="1"/>
  <c r="AX712" i="1" s="1"/>
  <c r="AY712" i="1" a="1"/>
  <c r="AY712" i="1" s="1"/>
  <c r="AZ712" i="1" a="1"/>
  <c r="AZ712" i="1" s="1"/>
  <c r="BA712" i="1" a="1"/>
  <c r="BA712" i="1" s="1"/>
  <c r="BB712" i="1" a="1"/>
  <c r="BB712" i="1" s="1"/>
  <c r="AL713" i="1" a="1"/>
  <c r="AL713" i="1" s="1"/>
  <c r="AM713" i="1" a="1"/>
  <c r="AM713" i="1" s="1"/>
  <c r="AN713" i="1" a="1"/>
  <c r="AN713" i="1" s="1"/>
  <c r="AO713" i="1" a="1"/>
  <c r="AO713" i="1" s="1"/>
  <c r="AP713" i="1" a="1"/>
  <c r="AP713" i="1" s="1"/>
  <c r="AQ713" i="1" a="1"/>
  <c r="AQ713" i="1" s="1"/>
  <c r="AR713" i="1" a="1"/>
  <c r="AR713" i="1" s="1"/>
  <c r="AS713" i="1" a="1"/>
  <c r="AS713" i="1" s="1"/>
  <c r="AT713" i="1" a="1"/>
  <c r="AT713" i="1" s="1"/>
  <c r="AU713" i="1" a="1"/>
  <c r="AU713" i="1" s="1"/>
  <c r="AV713" i="1" a="1"/>
  <c r="AV713" i="1" s="1"/>
  <c r="AW713" i="1" a="1"/>
  <c r="AW713" i="1" s="1"/>
  <c r="AX713" i="1" a="1"/>
  <c r="AX713" i="1" s="1"/>
  <c r="AY713" i="1" a="1"/>
  <c r="AY713" i="1" s="1"/>
  <c r="AZ713" i="1" a="1"/>
  <c r="AZ713" i="1" s="1"/>
  <c r="BA713" i="1" a="1"/>
  <c r="BA713" i="1" s="1"/>
  <c r="BB713" i="1" a="1"/>
  <c r="BB713" i="1" s="1"/>
  <c r="AL714" i="1" a="1"/>
  <c r="AL714" i="1" s="1"/>
  <c r="AM714" i="1" a="1"/>
  <c r="AM714" i="1" s="1"/>
  <c r="AN714" i="1" a="1"/>
  <c r="AN714" i="1" s="1"/>
  <c r="AO714" i="1" a="1"/>
  <c r="AO714" i="1" s="1"/>
  <c r="AP714" i="1" a="1"/>
  <c r="AP714" i="1" s="1"/>
  <c r="AQ714" i="1" a="1"/>
  <c r="AQ714" i="1" s="1"/>
  <c r="AR714" i="1" a="1"/>
  <c r="AR714" i="1" s="1"/>
  <c r="AS714" i="1" a="1"/>
  <c r="AS714" i="1" s="1"/>
  <c r="AT714" i="1" a="1"/>
  <c r="AT714" i="1" s="1"/>
  <c r="AU714" i="1" a="1"/>
  <c r="AU714" i="1" s="1"/>
  <c r="AV714" i="1" a="1"/>
  <c r="AV714" i="1" s="1"/>
  <c r="AW714" i="1" a="1"/>
  <c r="AW714" i="1" s="1"/>
  <c r="AX714" i="1" a="1"/>
  <c r="AX714" i="1" s="1"/>
  <c r="AY714" i="1" a="1"/>
  <c r="AY714" i="1" s="1"/>
  <c r="AZ714" i="1" a="1"/>
  <c r="AZ714" i="1" s="1"/>
  <c r="BA714" i="1" a="1"/>
  <c r="BA714" i="1" s="1"/>
  <c r="BB714" i="1" a="1"/>
  <c r="BB714" i="1" s="1"/>
  <c r="AL715" i="1" a="1"/>
  <c r="AL715" i="1" s="1"/>
  <c r="AM715" i="1" a="1"/>
  <c r="AM715" i="1" s="1"/>
  <c r="AN715" i="1" a="1"/>
  <c r="AN715" i="1" s="1"/>
  <c r="AO715" i="1" a="1"/>
  <c r="AO715" i="1" s="1"/>
  <c r="AP715" i="1" a="1"/>
  <c r="AP715" i="1" s="1"/>
  <c r="AQ715" i="1" a="1"/>
  <c r="AQ715" i="1" s="1"/>
  <c r="AR715" i="1" a="1"/>
  <c r="AR715" i="1" s="1"/>
  <c r="AS715" i="1" a="1"/>
  <c r="AS715" i="1" s="1"/>
  <c r="AT715" i="1" a="1"/>
  <c r="AT715" i="1" s="1"/>
  <c r="AU715" i="1" a="1"/>
  <c r="AU715" i="1" s="1"/>
  <c r="AV715" i="1" a="1"/>
  <c r="AV715" i="1" s="1"/>
  <c r="AW715" i="1" a="1"/>
  <c r="AW715" i="1" s="1"/>
  <c r="AX715" i="1" a="1"/>
  <c r="AX715" i="1" s="1"/>
  <c r="AY715" i="1" a="1"/>
  <c r="AY715" i="1" s="1"/>
  <c r="AZ715" i="1" a="1"/>
  <c r="AZ715" i="1" s="1"/>
  <c r="BA715" i="1" a="1"/>
  <c r="BA715" i="1" s="1"/>
  <c r="BB715" i="1" a="1"/>
  <c r="BB715" i="1" s="1"/>
  <c r="AL716" i="1" a="1"/>
  <c r="AL716" i="1" s="1"/>
  <c r="AM716" i="1" a="1"/>
  <c r="AM716" i="1" s="1"/>
  <c r="AN716" i="1" a="1"/>
  <c r="AN716" i="1" s="1"/>
  <c r="AO716" i="1" a="1"/>
  <c r="AO716" i="1" s="1"/>
  <c r="AP716" i="1" a="1"/>
  <c r="AP716" i="1" s="1"/>
  <c r="AQ716" i="1" a="1"/>
  <c r="AQ716" i="1" s="1"/>
  <c r="AR716" i="1" a="1"/>
  <c r="AR716" i="1" s="1"/>
  <c r="AS716" i="1" a="1"/>
  <c r="AS716" i="1" s="1"/>
  <c r="AT716" i="1" a="1"/>
  <c r="AT716" i="1" s="1"/>
  <c r="AU716" i="1" a="1"/>
  <c r="AU716" i="1" s="1"/>
  <c r="AV716" i="1" a="1"/>
  <c r="AV716" i="1" s="1"/>
  <c r="AW716" i="1" a="1"/>
  <c r="AW716" i="1" s="1"/>
  <c r="AX716" i="1" a="1"/>
  <c r="AX716" i="1" s="1"/>
  <c r="AY716" i="1" a="1"/>
  <c r="AY716" i="1" s="1"/>
  <c r="AZ716" i="1" a="1"/>
  <c r="AZ716" i="1" s="1"/>
  <c r="BA716" i="1" a="1"/>
  <c r="BA716" i="1" s="1"/>
  <c r="BB716" i="1" a="1"/>
  <c r="BB716" i="1" s="1"/>
  <c r="AL717" i="1" a="1"/>
  <c r="AL717" i="1" s="1"/>
  <c r="AM717" i="1" a="1"/>
  <c r="AM717" i="1" s="1"/>
  <c r="AN717" i="1" a="1"/>
  <c r="AN717" i="1" s="1"/>
  <c r="AO717" i="1" a="1"/>
  <c r="AO717" i="1" s="1"/>
  <c r="AP717" i="1" a="1"/>
  <c r="AP717" i="1" s="1"/>
  <c r="AQ717" i="1" a="1"/>
  <c r="AQ717" i="1" s="1"/>
  <c r="AR717" i="1" a="1"/>
  <c r="AR717" i="1" s="1"/>
  <c r="AS717" i="1" a="1"/>
  <c r="AS717" i="1" s="1"/>
  <c r="AT717" i="1" a="1"/>
  <c r="AT717" i="1" s="1"/>
  <c r="AU717" i="1" a="1"/>
  <c r="AU717" i="1" s="1"/>
  <c r="AV717" i="1" a="1"/>
  <c r="AV717" i="1" s="1"/>
  <c r="AW717" i="1" a="1"/>
  <c r="AW717" i="1" s="1"/>
  <c r="AX717" i="1" a="1"/>
  <c r="AX717" i="1" s="1"/>
  <c r="AY717" i="1" a="1"/>
  <c r="AY717" i="1" s="1"/>
  <c r="AZ717" i="1" a="1"/>
  <c r="AZ717" i="1" s="1"/>
  <c r="BA717" i="1" a="1"/>
  <c r="BA717" i="1" s="1"/>
  <c r="BB717" i="1" a="1"/>
  <c r="BB717" i="1" s="1"/>
  <c r="AL718" i="1" a="1"/>
  <c r="AL718" i="1" s="1"/>
  <c r="AM718" i="1" a="1"/>
  <c r="AM718" i="1" s="1"/>
  <c r="AN718" i="1" a="1"/>
  <c r="AN718" i="1" s="1"/>
  <c r="AO718" i="1" a="1"/>
  <c r="AO718" i="1" s="1"/>
  <c r="AP718" i="1" a="1"/>
  <c r="AP718" i="1" s="1"/>
  <c r="AQ718" i="1" a="1"/>
  <c r="AQ718" i="1" s="1"/>
  <c r="AR718" i="1" a="1"/>
  <c r="AR718" i="1" s="1"/>
  <c r="AS718" i="1" a="1"/>
  <c r="AS718" i="1" s="1"/>
  <c r="AT718" i="1" a="1"/>
  <c r="AT718" i="1" s="1"/>
  <c r="AU718" i="1" a="1"/>
  <c r="AU718" i="1" s="1"/>
  <c r="AV718" i="1" a="1"/>
  <c r="AV718" i="1" s="1"/>
  <c r="AW718" i="1" a="1"/>
  <c r="AW718" i="1" s="1"/>
  <c r="AX718" i="1" a="1"/>
  <c r="AX718" i="1" s="1"/>
  <c r="AY718" i="1" a="1"/>
  <c r="AY718" i="1" s="1"/>
  <c r="AZ718" i="1" a="1"/>
  <c r="AZ718" i="1" s="1"/>
  <c r="BA718" i="1" a="1"/>
  <c r="BA718" i="1" s="1"/>
  <c r="BB718" i="1" a="1"/>
  <c r="BB718" i="1" s="1"/>
  <c r="AL719" i="1" a="1"/>
  <c r="AL719" i="1" s="1"/>
  <c r="AM719" i="1" a="1"/>
  <c r="AM719" i="1" s="1"/>
  <c r="AN719" i="1" a="1"/>
  <c r="AN719" i="1" s="1"/>
  <c r="AO719" i="1" a="1"/>
  <c r="AO719" i="1" s="1"/>
  <c r="AP719" i="1" a="1"/>
  <c r="AP719" i="1" s="1"/>
  <c r="AQ719" i="1" a="1"/>
  <c r="AQ719" i="1" s="1"/>
  <c r="AR719" i="1" a="1"/>
  <c r="AR719" i="1" s="1"/>
  <c r="AS719" i="1" a="1"/>
  <c r="AS719" i="1" s="1"/>
  <c r="AT719" i="1" a="1"/>
  <c r="AT719" i="1" s="1"/>
  <c r="AU719" i="1" a="1"/>
  <c r="AU719" i="1" s="1"/>
  <c r="AV719" i="1" a="1"/>
  <c r="AV719" i="1" s="1"/>
  <c r="AW719" i="1" a="1"/>
  <c r="AW719" i="1" s="1"/>
  <c r="AX719" i="1" a="1"/>
  <c r="AX719" i="1" s="1"/>
  <c r="AY719" i="1" a="1"/>
  <c r="AY719" i="1" s="1"/>
  <c r="AZ719" i="1" a="1"/>
  <c r="AZ719" i="1" s="1"/>
  <c r="BA719" i="1" a="1"/>
  <c r="BA719" i="1" s="1"/>
  <c r="BB719" i="1" a="1"/>
  <c r="BB719" i="1" s="1"/>
  <c r="AL720" i="1" a="1"/>
  <c r="AL720" i="1" s="1"/>
  <c r="AM720" i="1" a="1"/>
  <c r="AM720" i="1" s="1"/>
  <c r="AN720" i="1" a="1"/>
  <c r="AN720" i="1" s="1"/>
  <c r="AO720" i="1" a="1"/>
  <c r="AO720" i="1" s="1"/>
  <c r="AP720" i="1" a="1"/>
  <c r="AP720" i="1" s="1"/>
  <c r="AQ720" i="1" a="1"/>
  <c r="AQ720" i="1" s="1"/>
  <c r="AR720" i="1" a="1"/>
  <c r="AR720" i="1" s="1"/>
  <c r="AS720" i="1" a="1"/>
  <c r="AS720" i="1" s="1"/>
  <c r="AT720" i="1" a="1"/>
  <c r="AT720" i="1" s="1"/>
  <c r="AU720" i="1" a="1"/>
  <c r="AU720" i="1" s="1"/>
  <c r="AV720" i="1" a="1"/>
  <c r="AV720" i="1" s="1"/>
  <c r="AW720" i="1" a="1"/>
  <c r="AW720" i="1" s="1"/>
  <c r="AX720" i="1" a="1"/>
  <c r="AX720" i="1" s="1"/>
  <c r="AY720" i="1" a="1"/>
  <c r="AY720" i="1" s="1"/>
  <c r="AZ720" i="1" a="1"/>
  <c r="AZ720" i="1" s="1"/>
  <c r="BA720" i="1" a="1"/>
  <c r="BA720" i="1" s="1"/>
  <c r="BB720" i="1" a="1"/>
  <c r="BB720" i="1" s="1"/>
  <c r="AL721" i="1" a="1"/>
  <c r="AL721" i="1" s="1"/>
  <c r="AM721" i="1" a="1"/>
  <c r="AM721" i="1" s="1"/>
  <c r="AN721" i="1" a="1"/>
  <c r="AN721" i="1" s="1"/>
  <c r="AO721" i="1" a="1"/>
  <c r="AO721" i="1" s="1"/>
  <c r="AP721" i="1" a="1"/>
  <c r="AP721" i="1" s="1"/>
  <c r="AQ721" i="1" a="1"/>
  <c r="AQ721" i="1" s="1"/>
  <c r="AR721" i="1" a="1"/>
  <c r="AR721" i="1" s="1"/>
  <c r="AS721" i="1" a="1"/>
  <c r="AS721" i="1" s="1"/>
  <c r="AT721" i="1" a="1"/>
  <c r="AT721" i="1" s="1"/>
  <c r="AU721" i="1" a="1"/>
  <c r="AU721" i="1" s="1"/>
  <c r="AV721" i="1" a="1"/>
  <c r="AV721" i="1" s="1"/>
  <c r="AW721" i="1" a="1"/>
  <c r="AW721" i="1" s="1"/>
  <c r="AX721" i="1" a="1"/>
  <c r="AX721" i="1" s="1"/>
  <c r="AY721" i="1" a="1"/>
  <c r="AY721" i="1" s="1"/>
  <c r="AZ721" i="1" a="1"/>
  <c r="AZ721" i="1" s="1"/>
  <c r="BA721" i="1" a="1"/>
  <c r="BA721" i="1" s="1"/>
  <c r="BB721" i="1" a="1"/>
  <c r="BB721" i="1" s="1"/>
  <c r="AL722" i="1" a="1"/>
  <c r="AL722" i="1" s="1"/>
  <c r="AM722" i="1" a="1"/>
  <c r="AM722" i="1" s="1"/>
  <c r="AN722" i="1" a="1"/>
  <c r="AN722" i="1" s="1"/>
  <c r="AO722" i="1" a="1"/>
  <c r="AO722" i="1" s="1"/>
  <c r="AP722" i="1" a="1"/>
  <c r="AP722" i="1" s="1"/>
  <c r="AQ722" i="1" a="1"/>
  <c r="AQ722" i="1" s="1"/>
  <c r="AR722" i="1" a="1"/>
  <c r="AR722" i="1" s="1"/>
  <c r="AS722" i="1" a="1"/>
  <c r="AS722" i="1" s="1"/>
  <c r="AT722" i="1" a="1"/>
  <c r="AT722" i="1" s="1"/>
  <c r="AU722" i="1" a="1"/>
  <c r="AU722" i="1" s="1"/>
  <c r="AV722" i="1" a="1"/>
  <c r="AV722" i="1" s="1"/>
  <c r="AW722" i="1" a="1"/>
  <c r="AW722" i="1" s="1"/>
  <c r="AX722" i="1" a="1"/>
  <c r="AX722" i="1" s="1"/>
  <c r="AY722" i="1" a="1"/>
  <c r="AY722" i="1" s="1"/>
  <c r="AZ722" i="1" a="1"/>
  <c r="AZ722" i="1" s="1"/>
  <c r="BA722" i="1" a="1"/>
  <c r="BA722" i="1" s="1"/>
  <c r="BB722" i="1" a="1"/>
  <c r="BB722" i="1" s="1"/>
  <c r="AL543" i="1" a="1"/>
  <c r="AL543" i="1" s="1"/>
  <c r="AM543" i="1" a="1"/>
  <c r="AM543" i="1" s="1"/>
  <c r="AN543" i="1" a="1"/>
  <c r="AN543" i="1" s="1"/>
  <c r="AO543" i="1" a="1"/>
  <c r="AO543" i="1" s="1"/>
  <c r="AP543" i="1" a="1"/>
  <c r="AP543" i="1" s="1"/>
  <c r="AQ543" i="1" a="1"/>
  <c r="AQ543" i="1" s="1"/>
  <c r="AR543" i="1" a="1"/>
  <c r="AR543" i="1" s="1"/>
  <c r="AS543" i="1" a="1"/>
  <c r="AS543" i="1" s="1"/>
  <c r="AT543" i="1" a="1"/>
  <c r="AT543" i="1" s="1"/>
  <c r="AU543" i="1" a="1"/>
  <c r="AU543" i="1" s="1"/>
  <c r="AV543" i="1" a="1"/>
  <c r="AV543" i="1" s="1"/>
  <c r="AW543" i="1" a="1"/>
  <c r="AW543" i="1" s="1"/>
  <c r="AX543" i="1" a="1"/>
  <c r="AX543" i="1" s="1"/>
  <c r="AY543" i="1" a="1"/>
  <c r="AY543" i="1" s="1"/>
  <c r="AZ543" i="1" a="1"/>
  <c r="AZ543" i="1" s="1"/>
  <c r="BA543" i="1" a="1"/>
  <c r="BA543" i="1" s="1"/>
  <c r="BB543" i="1" a="1"/>
  <c r="BB543" i="1" s="1"/>
  <c r="AL723" i="1" a="1"/>
  <c r="AL723" i="1" s="1"/>
  <c r="AM723" i="1" a="1"/>
  <c r="AM723" i="1" s="1"/>
  <c r="AN723" i="1" a="1"/>
  <c r="AN723" i="1" s="1"/>
  <c r="AO723" i="1" a="1"/>
  <c r="AO723" i="1" s="1"/>
  <c r="AP723" i="1" a="1"/>
  <c r="AP723" i="1" s="1"/>
  <c r="AQ723" i="1" a="1"/>
  <c r="AQ723" i="1" s="1"/>
  <c r="AR723" i="1" a="1"/>
  <c r="AR723" i="1" s="1"/>
  <c r="AS723" i="1" a="1"/>
  <c r="AS723" i="1" s="1"/>
  <c r="AT723" i="1" a="1"/>
  <c r="AT723" i="1" s="1"/>
  <c r="AU723" i="1" a="1"/>
  <c r="AU723" i="1" s="1"/>
  <c r="AV723" i="1" a="1"/>
  <c r="AV723" i="1" s="1"/>
  <c r="AW723" i="1" a="1"/>
  <c r="AW723" i="1" s="1"/>
  <c r="AX723" i="1" a="1"/>
  <c r="AX723" i="1" s="1"/>
  <c r="AY723" i="1" a="1"/>
  <c r="AY723" i="1" s="1"/>
  <c r="AZ723" i="1" a="1"/>
  <c r="AZ723" i="1" s="1"/>
  <c r="BA723" i="1" a="1"/>
  <c r="BA723" i="1" s="1"/>
  <c r="BB723" i="1" a="1"/>
  <c r="BB723" i="1" s="1"/>
  <c r="AL724" i="1" a="1"/>
  <c r="AL724" i="1" s="1"/>
  <c r="AM724" i="1" a="1"/>
  <c r="AM724" i="1" s="1"/>
  <c r="AN724" i="1" a="1"/>
  <c r="AN724" i="1" s="1"/>
  <c r="AO724" i="1" a="1"/>
  <c r="AO724" i="1" s="1"/>
  <c r="AP724" i="1" a="1"/>
  <c r="AP724" i="1" s="1"/>
  <c r="AQ724" i="1" a="1"/>
  <c r="AQ724" i="1" s="1"/>
  <c r="AR724" i="1" a="1"/>
  <c r="AR724" i="1" s="1"/>
  <c r="AS724" i="1" a="1"/>
  <c r="AS724" i="1" s="1"/>
  <c r="AT724" i="1" a="1"/>
  <c r="AT724" i="1" s="1"/>
  <c r="AU724" i="1" a="1"/>
  <c r="AU724" i="1" s="1"/>
  <c r="AV724" i="1" a="1"/>
  <c r="AV724" i="1" s="1"/>
  <c r="AW724" i="1" a="1"/>
  <c r="AW724" i="1" s="1"/>
  <c r="AX724" i="1" a="1"/>
  <c r="AX724" i="1" s="1"/>
  <c r="AY724" i="1" a="1"/>
  <c r="AY724" i="1" s="1"/>
  <c r="AZ724" i="1" a="1"/>
  <c r="AZ724" i="1" s="1"/>
  <c r="BA724" i="1" a="1"/>
  <c r="BA724" i="1" s="1"/>
  <c r="BB724" i="1" a="1"/>
  <c r="BB724" i="1" s="1"/>
  <c r="AL725" i="1" a="1"/>
  <c r="AL725" i="1" s="1"/>
  <c r="AM725" i="1" a="1"/>
  <c r="AM725" i="1" s="1"/>
  <c r="AN725" i="1" a="1"/>
  <c r="AN725" i="1" s="1"/>
  <c r="AO725" i="1" a="1"/>
  <c r="AO725" i="1" s="1"/>
  <c r="AP725" i="1" a="1"/>
  <c r="AP725" i="1" s="1"/>
  <c r="AQ725" i="1" a="1"/>
  <c r="AQ725" i="1" s="1"/>
  <c r="AR725" i="1" a="1"/>
  <c r="AR725" i="1" s="1"/>
  <c r="AS725" i="1" a="1"/>
  <c r="AS725" i="1" s="1"/>
  <c r="AT725" i="1" a="1"/>
  <c r="AT725" i="1" s="1"/>
  <c r="AU725" i="1" a="1"/>
  <c r="AU725" i="1" s="1"/>
  <c r="AV725" i="1" a="1"/>
  <c r="AV725" i="1" s="1"/>
  <c r="AW725" i="1" a="1"/>
  <c r="AW725" i="1" s="1"/>
  <c r="AX725" i="1" a="1"/>
  <c r="AX725" i="1" s="1"/>
  <c r="AY725" i="1" a="1"/>
  <c r="AY725" i="1" s="1"/>
  <c r="AZ725" i="1" a="1"/>
  <c r="AZ725" i="1" s="1"/>
  <c r="BA725" i="1" a="1"/>
  <c r="BA725" i="1" s="1"/>
  <c r="BB725" i="1" a="1"/>
  <c r="BB725" i="1" s="1"/>
  <c r="AL726" i="1" a="1"/>
  <c r="AL726" i="1" s="1"/>
  <c r="AM726" i="1" a="1"/>
  <c r="AM726" i="1" s="1"/>
  <c r="AN726" i="1" a="1"/>
  <c r="AN726" i="1" s="1"/>
  <c r="AO726" i="1" a="1"/>
  <c r="AO726" i="1" s="1"/>
  <c r="AP726" i="1" a="1"/>
  <c r="AP726" i="1" s="1"/>
  <c r="AQ726" i="1" a="1"/>
  <c r="AQ726" i="1" s="1"/>
  <c r="AR726" i="1" a="1"/>
  <c r="AR726" i="1" s="1"/>
  <c r="AS726" i="1" a="1"/>
  <c r="AS726" i="1" s="1"/>
  <c r="AT726" i="1" a="1"/>
  <c r="AT726" i="1" s="1"/>
  <c r="AU726" i="1" a="1"/>
  <c r="AU726" i="1" s="1"/>
  <c r="AV726" i="1" a="1"/>
  <c r="AV726" i="1" s="1"/>
  <c r="AW726" i="1" a="1"/>
  <c r="AW726" i="1" s="1"/>
  <c r="AX726" i="1" a="1"/>
  <c r="AX726" i="1" s="1"/>
  <c r="AY726" i="1" a="1"/>
  <c r="AY726" i="1" s="1"/>
  <c r="AZ726" i="1" a="1"/>
  <c r="AZ726" i="1" s="1"/>
  <c r="BA726" i="1" a="1"/>
  <c r="BA726" i="1" s="1"/>
  <c r="BB726" i="1" a="1"/>
  <c r="BB726" i="1" s="1"/>
  <c r="AL727" i="1" a="1"/>
  <c r="AL727" i="1" s="1"/>
  <c r="AM727" i="1" a="1"/>
  <c r="AM727" i="1" s="1"/>
  <c r="AN727" i="1" a="1"/>
  <c r="AN727" i="1" s="1"/>
  <c r="AO727" i="1" a="1"/>
  <c r="AO727" i="1" s="1"/>
  <c r="AP727" i="1" a="1"/>
  <c r="AP727" i="1" s="1"/>
  <c r="AQ727" i="1" a="1"/>
  <c r="AQ727" i="1" s="1"/>
  <c r="AR727" i="1" a="1"/>
  <c r="AR727" i="1" s="1"/>
  <c r="AS727" i="1" a="1"/>
  <c r="AS727" i="1" s="1"/>
  <c r="AT727" i="1" a="1"/>
  <c r="AT727" i="1" s="1"/>
  <c r="AU727" i="1" a="1"/>
  <c r="AU727" i="1" s="1"/>
  <c r="AV727" i="1" a="1"/>
  <c r="AV727" i="1" s="1"/>
  <c r="AW727" i="1" a="1"/>
  <c r="AW727" i="1" s="1"/>
  <c r="AX727" i="1" a="1"/>
  <c r="AX727" i="1" s="1"/>
  <c r="AY727" i="1" a="1"/>
  <c r="AY727" i="1" s="1"/>
  <c r="AZ727" i="1" a="1"/>
  <c r="AZ727" i="1" s="1"/>
  <c r="BA727" i="1" a="1"/>
  <c r="BA727" i="1" s="1"/>
  <c r="BB727" i="1" a="1"/>
  <c r="BB727" i="1" s="1"/>
  <c r="AL728" i="1" a="1"/>
  <c r="AL728" i="1" s="1"/>
  <c r="AM728" i="1" a="1"/>
  <c r="AM728" i="1" s="1"/>
  <c r="AN728" i="1" a="1"/>
  <c r="AN728" i="1" s="1"/>
  <c r="AO728" i="1" a="1"/>
  <c r="AO728" i="1" s="1"/>
  <c r="AP728" i="1" a="1"/>
  <c r="AP728" i="1" s="1"/>
  <c r="AQ728" i="1" a="1"/>
  <c r="AQ728" i="1" s="1"/>
  <c r="AR728" i="1" a="1"/>
  <c r="AR728" i="1" s="1"/>
  <c r="AS728" i="1" a="1"/>
  <c r="AS728" i="1" s="1"/>
  <c r="AT728" i="1" a="1"/>
  <c r="AT728" i="1" s="1"/>
  <c r="AU728" i="1" a="1"/>
  <c r="AU728" i="1" s="1"/>
  <c r="AV728" i="1" a="1"/>
  <c r="AV728" i="1" s="1"/>
  <c r="AW728" i="1" a="1"/>
  <c r="AW728" i="1" s="1"/>
  <c r="AX728" i="1" a="1"/>
  <c r="AX728" i="1" s="1"/>
  <c r="AY728" i="1" a="1"/>
  <c r="AY728" i="1" s="1"/>
  <c r="AZ728" i="1" a="1"/>
  <c r="AZ728" i="1" s="1"/>
  <c r="BA728" i="1" a="1"/>
  <c r="BA728" i="1" s="1"/>
  <c r="BB728" i="1" a="1"/>
  <c r="BB728" i="1" s="1"/>
  <c r="AL729" i="1" a="1"/>
  <c r="AL729" i="1" s="1"/>
  <c r="AM729" i="1" a="1"/>
  <c r="AM729" i="1" s="1"/>
  <c r="AN729" i="1" a="1"/>
  <c r="AN729" i="1" s="1"/>
  <c r="AO729" i="1" a="1"/>
  <c r="AO729" i="1" s="1"/>
  <c r="AP729" i="1" a="1"/>
  <c r="AP729" i="1" s="1"/>
  <c r="AQ729" i="1" a="1"/>
  <c r="AQ729" i="1" s="1"/>
  <c r="AR729" i="1" a="1"/>
  <c r="AR729" i="1" s="1"/>
  <c r="AS729" i="1" a="1"/>
  <c r="AS729" i="1" s="1"/>
  <c r="AT729" i="1" a="1"/>
  <c r="AT729" i="1" s="1"/>
  <c r="AU729" i="1" a="1"/>
  <c r="AU729" i="1" s="1"/>
  <c r="AV729" i="1" a="1"/>
  <c r="AV729" i="1" s="1"/>
  <c r="AW729" i="1" a="1"/>
  <c r="AW729" i="1" s="1"/>
  <c r="AX729" i="1" a="1"/>
  <c r="AX729" i="1" s="1"/>
  <c r="AY729" i="1" a="1"/>
  <c r="AY729" i="1" s="1"/>
  <c r="AZ729" i="1" a="1"/>
  <c r="AZ729" i="1" s="1"/>
  <c r="BA729" i="1" a="1"/>
  <c r="BA729" i="1" s="1"/>
  <c r="BB729" i="1" a="1"/>
  <c r="BB729" i="1" s="1"/>
  <c r="AL730" i="1" a="1"/>
  <c r="AL730" i="1" s="1"/>
  <c r="AM730" i="1" a="1"/>
  <c r="AM730" i="1" s="1"/>
  <c r="AN730" i="1" a="1"/>
  <c r="AN730" i="1" s="1"/>
  <c r="AO730" i="1" a="1"/>
  <c r="AO730" i="1" s="1"/>
  <c r="AP730" i="1" a="1"/>
  <c r="AP730" i="1" s="1"/>
  <c r="AQ730" i="1" a="1"/>
  <c r="AQ730" i="1" s="1"/>
  <c r="AR730" i="1" a="1"/>
  <c r="AR730" i="1" s="1"/>
  <c r="AS730" i="1" a="1"/>
  <c r="AS730" i="1" s="1"/>
  <c r="AT730" i="1" a="1"/>
  <c r="AT730" i="1" s="1"/>
  <c r="AU730" i="1" a="1"/>
  <c r="AU730" i="1" s="1"/>
  <c r="AV730" i="1" a="1"/>
  <c r="AV730" i="1" s="1"/>
  <c r="AW730" i="1" a="1"/>
  <c r="AW730" i="1" s="1"/>
  <c r="AX730" i="1" a="1"/>
  <c r="AX730" i="1" s="1"/>
  <c r="AY730" i="1" a="1"/>
  <c r="AY730" i="1" s="1"/>
  <c r="AZ730" i="1" a="1"/>
  <c r="AZ730" i="1" s="1"/>
  <c r="BA730" i="1" a="1"/>
  <c r="BA730" i="1" s="1"/>
  <c r="BB730" i="1" a="1"/>
  <c r="BB730" i="1" s="1"/>
  <c r="AL731" i="1" a="1"/>
  <c r="AL731" i="1" s="1"/>
  <c r="AM731" i="1" a="1"/>
  <c r="AM731" i="1" s="1"/>
  <c r="AN731" i="1" a="1"/>
  <c r="AN731" i="1" s="1"/>
  <c r="AO731" i="1" a="1"/>
  <c r="AO731" i="1" s="1"/>
  <c r="AP731" i="1" a="1"/>
  <c r="AP731" i="1" s="1"/>
  <c r="AQ731" i="1" a="1"/>
  <c r="AQ731" i="1" s="1"/>
  <c r="AR731" i="1" a="1"/>
  <c r="AR731" i="1" s="1"/>
  <c r="AS731" i="1" a="1"/>
  <c r="AS731" i="1" s="1"/>
  <c r="AT731" i="1" a="1"/>
  <c r="AT731" i="1" s="1"/>
  <c r="AU731" i="1" a="1"/>
  <c r="AU731" i="1" s="1"/>
  <c r="AV731" i="1" a="1"/>
  <c r="AV731" i="1" s="1"/>
  <c r="AW731" i="1" a="1"/>
  <c r="AW731" i="1" s="1"/>
  <c r="AX731" i="1" a="1"/>
  <c r="AX731" i="1" s="1"/>
  <c r="AY731" i="1" a="1"/>
  <c r="AY731" i="1" s="1"/>
  <c r="AZ731" i="1" a="1"/>
  <c r="AZ731" i="1" s="1"/>
  <c r="BA731" i="1" a="1"/>
  <c r="BA731" i="1" s="1"/>
  <c r="BB731" i="1" a="1"/>
  <c r="BB731" i="1" s="1"/>
  <c r="AL733" i="1" a="1"/>
  <c r="AL733" i="1" s="1"/>
  <c r="AM733" i="1" a="1"/>
  <c r="AM733" i="1" s="1"/>
  <c r="AN733" i="1" a="1"/>
  <c r="AN733" i="1" s="1"/>
  <c r="AO733" i="1" a="1"/>
  <c r="AO733" i="1" s="1"/>
  <c r="AP733" i="1" a="1"/>
  <c r="AP733" i="1" s="1"/>
  <c r="AQ733" i="1" a="1"/>
  <c r="AQ733" i="1" s="1"/>
  <c r="AR733" i="1" a="1"/>
  <c r="AR733" i="1" s="1"/>
  <c r="AS733" i="1" a="1"/>
  <c r="AS733" i="1" s="1"/>
  <c r="AT733" i="1" a="1"/>
  <c r="AT733" i="1" s="1"/>
  <c r="AU733" i="1" a="1"/>
  <c r="AU733" i="1" s="1"/>
  <c r="AV733" i="1" a="1"/>
  <c r="AV733" i="1" s="1"/>
  <c r="AW733" i="1" a="1"/>
  <c r="AW733" i="1" s="1"/>
  <c r="AX733" i="1" a="1"/>
  <c r="AX733" i="1" s="1"/>
  <c r="AY733" i="1" a="1"/>
  <c r="AY733" i="1" s="1"/>
  <c r="AZ733" i="1" a="1"/>
  <c r="AZ733" i="1" s="1"/>
  <c r="BA733" i="1" a="1"/>
  <c r="BA733" i="1" s="1"/>
  <c r="BB733" i="1" a="1"/>
  <c r="BB733" i="1" s="1"/>
  <c r="AL734" i="1" a="1"/>
  <c r="AL734" i="1" s="1"/>
  <c r="AM734" i="1" a="1"/>
  <c r="AM734" i="1" s="1"/>
  <c r="AN734" i="1" a="1"/>
  <c r="AN734" i="1" s="1"/>
  <c r="AO734" i="1" a="1"/>
  <c r="AO734" i="1" s="1"/>
  <c r="AP734" i="1" a="1"/>
  <c r="AP734" i="1" s="1"/>
  <c r="AQ734" i="1" a="1"/>
  <c r="AQ734" i="1" s="1"/>
  <c r="AR734" i="1" a="1"/>
  <c r="AR734" i="1" s="1"/>
  <c r="AS734" i="1" a="1"/>
  <c r="AS734" i="1" s="1"/>
  <c r="AT734" i="1" a="1"/>
  <c r="AT734" i="1" s="1"/>
  <c r="AU734" i="1" a="1"/>
  <c r="AU734" i="1" s="1"/>
  <c r="AV734" i="1" a="1"/>
  <c r="AV734" i="1" s="1"/>
  <c r="AW734" i="1" a="1"/>
  <c r="AW734" i="1" s="1"/>
  <c r="AX734" i="1" a="1"/>
  <c r="AX734" i="1" s="1"/>
  <c r="AY734" i="1" a="1"/>
  <c r="AY734" i="1" s="1"/>
  <c r="AZ734" i="1" a="1"/>
  <c r="AZ734" i="1" s="1"/>
  <c r="BA734" i="1" a="1"/>
  <c r="BA734" i="1" s="1"/>
  <c r="BB734" i="1" a="1"/>
  <c r="BB734" i="1" s="1"/>
  <c r="AL735" i="1" a="1"/>
  <c r="AL735" i="1" s="1"/>
  <c r="AM735" i="1" a="1"/>
  <c r="AM735" i="1" s="1"/>
  <c r="AN735" i="1" a="1"/>
  <c r="AN735" i="1" s="1"/>
  <c r="AO735" i="1" a="1"/>
  <c r="AO735" i="1" s="1"/>
  <c r="AP735" i="1" a="1"/>
  <c r="AP735" i="1" s="1"/>
  <c r="AQ735" i="1" a="1"/>
  <c r="AQ735" i="1" s="1"/>
  <c r="AR735" i="1" a="1"/>
  <c r="AR735" i="1" s="1"/>
  <c r="AS735" i="1" a="1"/>
  <c r="AS735" i="1" s="1"/>
  <c r="AT735" i="1" a="1"/>
  <c r="AT735" i="1" s="1"/>
  <c r="AU735" i="1" a="1"/>
  <c r="AU735" i="1" s="1"/>
  <c r="AV735" i="1" a="1"/>
  <c r="AV735" i="1" s="1"/>
  <c r="AW735" i="1" a="1"/>
  <c r="AW735" i="1" s="1"/>
  <c r="AX735" i="1" a="1"/>
  <c r="AX735" i="1" s="1"/>
  <c r="AY735" i="1" a="1"/>
  <c r="AY735" i="1" s="1"/>
  <c r="AZ735" i="1" a="1"/>
  <c r="AZ735" i="1" s="1"/>
  <c r="BA735" i="1" a="1"/>
  <c r="BA735" i="1" s="1"/>
  <c r="BB735" i="1" a="1"/>
  <c r="BB735" i="1" s="1"/>
  <c r="AL736" i="1" a="1"/>
  <c r="AL736" i="1" s="1"/>
  <c r="AM736" i="1" a="1"/>
  <c r="AM736" i="1" s="1"/>
  <c r="AN736" i="1" a="1"/>
  <c r="AN736" i="1" s="1"/>
  <c r="AO736" i="1" a="1"/>
  <c r="AO736" i="1" s="1"/>
  <c r="AP736" i="1" a="1"/>
  <c r="AP736" i="1" s="1"/>
  <c r="AQ736" i="1" a="1"/>
  <c r="AQ736" i="1" s="1"/>
  <c r="AR736" i="1" a="1"/>
  <c r="AR736" i="1" s="1"/>
  <c r="AS736" i="1" a="1"/>
  <c r="AS736" i="1" s="1"/>
  <c r="AT736" i="1" a="1"/>
  <c r="AT736" i="1" s="1"/>
  <c r="AU736" i="1" a="1"/>
  <c r="AU736" i="1" s="1"/>
  <c r="AV736" i="1" a="1"/>
  <c r="AV736" i="1" s="1"/>
  <c r="AW736" i="1" a="1"/>
  <c r="AW736" i="1" s="1"/>
  <c r="AX736" i="1" a="1"/>
  <c r="AX736" i="1" s="1"/>
  <c r="AY736" i="1" a="1"/>
  <c r="AY736" i="1" s="1"/>
  <c r="AZ736" i="1" a="1"/>
  <c r="AZ736" i="1" s="1"/>
  <c r="BA736" i="1" a="1"/>
  <c r="BA736" i="1" s="1"/>
  <c r="BB736" i="1" a="1"/>
  <c r="BB736" i="1" s="1"/>
  <c r="AL737" i="1" a="1"/>
  <c r="AL737" i="1" s="1"/>
  <c r="AM737" i="1" a="1"/>
  <c r="AM737" i="1" s="1"/>
  <c r="AN737" i="1" a="1"/>
  <c r="AN737" i="1" s="1"/>
  <c r="AO737" i="1" a="1"/>
  <c r="AO737" i="1" s="1"/>
  <c r="AP737" i="1" a="1"/>
  <c r="AP737" i="1" s="1"/>
  <c r="AQ737" i="1" a="1"/>
  <c r="AQ737" i="1" s="1"/>
  <c r="AR737" i="1" a="1"/>
  <c r="AR737" i="1" s="1"/>
  <c r="AS737" i="1" a="1"/>
  <c r="AS737" i="1" s="1"/>
  <c r="AT737" i="1" a="1"/>
  <c r="AT737" i="1" s="1"/>
  <c r="AU737" i="1" a="1"/>
  <c r="AU737" i="1" s="1"/>
  <c r="AV737" i="1" a="1"/>
  <c r="AV737" i="1" s="1"/>
  <c r="AW737" i="1" a="1"/>
  <c r="AW737" i="1" s="1"/>
  <c r="AX737" i="1" a="1"/>
  <c r="AX737" i="1" s="1"/>
  <c r="AY737" i="1" a="1"/>
  <c r="AY737" i="1" s="1"/>
  <c r="AZ737" i="1" a="1"/>
  <c r="AZ737" i="1" s="1"/>
  <c r="BA737" i="1" a="1"/>
  <c r="BA737" i="1" s="1"/>
  <c r="BB737" i="1" a="1"/>
  <c r="BB737" i="1" s="1"/>
  <c r="AL550" i="1" a="1"/>
  <c r="AL550" i="1" s="1"/>
  <c r="AM550" i="1" a="1"/>
  <c r="AM550" i="1" s="1"/>
  <c r="AN550" i="1" a="1"/>
  <c r="AN550" i="1" s="1"/>
  <c r="AO550" i="1" a="1"/>
  <c r="AO550" i="1" s="1"/>
  <c r="AP550" i="1" a="1"/>
  <c r="AP550" i="1" s="1"/>
  <c r="AQ550" i="1" a="1"/>
  <c r="AQ550" i="1" s="1"/>
  <c r="AR550" i="1" a="1"/>
  <c r="AR550" i="1" s="1"/>
  <c r="AS550" i="1" a="1"/>
  <c r="AS550" i="1" s="1"/>
  <c r="AT550" i="1" a="1"/>
  <c r="AT550" i="1" s="1"/>
  <c r="AU550" i="1" a="1"/>
  <c r="AU550" i="1" s="1"/>
  <c r="AV550" i="1" a="1"/>
  <c r="AV550" i="1" s="1"/>
  <c r="AW550" i="1" a="1"/>
  <c r="AW550" i="1" s="1"/>
  <c r="AX550" i="1" a="1"/>
  <c r="AX550" i="1" s="1"/>
  <c r="AY550" i="1" a="1"/>
  <c r="AY550" i="1" s="1"/>
  <c r="AZ550" i="1" a="1"/>
  <c r="AZ550" i="1" s="1"/>
  <c r="BA550" i="1" a="1"/>
  <c r="BA550" i="1" s="1"/>
  <c r="BB550" i="1" a="1"/>
  <c r="BB550" i="1" s="1"/>
  <c r="AL738" i="1" a="1"/>
  <c r="AL738" i="1" s="1"/>
  <c r="AM738" i="1" a="1"/>
  <c r="AM738" i="1" s="1"/>
  <c r="AN738" i="1" a="1"/>
  <c r="AN738" i="1" s="1"/>
  <c r="AO738" i="1" a="1"/>
  <c r="AO738" i="1" s="1"/>
  <c r="AP738" i="1" a="1"/>
  <c r="AP738" i="1" s="1"/>
  <c r="AQ738" i="1" a="1"/>
  <c r="AQ738" i="1" s="1"/>
  <c r="AR738" i="1" a="1"/>
  <c r="AR738" i="1" s="1"/>
  <c r="AS738" i="1" a="1"/>
  <c r="AS738" i="1" s="1"/>
  <c r="AT738" i="1" a="1"/>
  <c r="AT738" i="1" s="1"/>
  <c r="AU738" i="1" a="1"/>
  <c r="AU738" i="1" s="1"/>
  <c r="AV738" i="1" a="1"/>
  <c r="AV738" i="1" s="1"/>
  <c r="AW738" i="1" a="1"/>
  <c r="AW738" i="1" s="1"/>
  <c r="AX738" i="1" a="1"/>
  <c r="AX738" i="1" s="1"/>
  <c r="AY738" i="1" a="1"/>
  <c r="AY738" i="1" s="1"/>
  <c r="AZ738" i="1" a="1"/>
  <c r="AZ738" i="1" s="1"/>
  <c r="BA738" i="1" a="1"/>
  <c r="BA738" i="1" s="1"/>
  <c r="BB738" i="1" a="1"/>
  <c r="BB738" i="1" s="1"/>
  <c r="AL739" i="1" a="1"/>
  <c r="AL739" i="1" s="1"/>
  <c r="AM739" i="1" a="1"/>
  <c r="AM739" i="1" s="1"/>
  <c r="AN739" i="1" a="1"/>
  <c r="AN739" i="1" s="1"/>
  <c r="AO739" i="1" a="1"/>
  <c r="AO739" i="1" s="1"/>
  <c r="AP739" i="1" a="1"/>
  <c r="AP739" i="1" s="1"/>
  <c r="AQ739" i="1" a="1"/>
  <c r="AQ739" i="1" s="1"/>
  <c r="AR739" i="1" a="1"/>
  <c r="AR739" i="1" s="1"/>
  <c r="AS739" i="1" a="1"/>
  <c r="AS739" i="1" s="1"/>
  <c r="AT739" i="1" a="1"/>
  <c r="AT739" i="1" s="1"/>
  <c r="AU739" i="1" a="1"/>
  <c r="AU739" i="1" s="1"/>
  <c r="AV739" i="1" a="1"/>
  <c r="AV739" i="1" s="1"/>
  <c r="AW739" i="1" a="1"/>
  <c r="AW739" i="1" s="1"/>
  <c r="AX739" i="1" a="1"/>
  <c r="AX739" i="1" s="1"/>
  <c r="AY739" i="1" a="1"/>
  <c r="AY739" i="1" s="1"/>
  <c r="AZ739" i="1" a="1"/>
  <c r="AZ739" i="1" s="1"/>
  <c r="BA739" i="1" a="1"/>
  <c r="BA739" i="1" s="1"/>
  <c r="BB739" i="1" a="1"/>
  <c r="BB739" i="1" s="1"/>
  <c r="AL740" i="1" a="1"/>
  <c r="AL740" i="1" s="1"/>
  <c r="AM740" i="1" a="1"/>
  <c r="AM740" i="1" s="1"/>
  <c r="AN740" i="1" a="1"/>
  <c r="AN740" i="1" s="1"/>
  <c r="AO740" i="1" a="1"/>
  <c r="AO740" i="1" s="1"/>
  <c r="AP740" i="1" a="1"/>
  <c r="AP740" i="1" s="1"/>
  <c r="AQ740" i="1" a="1"/>
  <c r="AQ740" i="1" s="1"/>
  <c r="AR740" i="1" a="1"/>
  <c r="AR740" i="1" s="1"/>
  <c r="AS740" i="1" a="1"/>
  <c r="AS740" i="1" s="1"/>
  <c r="AT740" i="1" a="1"/>
  <c r="AT740" i="1" s="1"/>
  <c r="AU740" i="1" a="1"/>
  <c r="AU740" i="1" s="1"/>
  <c r="AV740" i="1" a="1"/>
  <c r="AV740" i="1" s="1"/>
  <c r="AW740" i="1" a="1"/>
  <c r="AW740" i="1" s="1"/>
  <c r="AX740" i="1" a="1"/>
  <c r="AX740" i="1" s="1"/>
  <c r="AY740" i="1" a="1"/>
  <c r="AY740" i="1" s="1"/>
  <c r="AZ740" i="1" a="1"/>
  <c r="AZ740" i="1" s="1"/>
  <c r="BA740" i="1" a="1"/>
  <c r="BA740" i="1" s="1"/>
  <c r="BB740" i="1" a="1"/>
  <c r="BB740" i="1" s="1"/>
  <c r="AL741" i="1" a="1"/>
  <c r="AL741" i="1" s="1"/>
  <c r="AM741" i="1" a="1"/>
  <c r="AM741" i="1" s="1"/>
  <c r="AN741" i="1" a="1"/>
  <c r="AN741" i="1" s="1"/>
  <c r="AO741" i="1" a="1"/>
  <c r="AO741" i="1" s="1"/>
  <c r="AP741" i="1" a="1"/>
  <c r="AP741" i="1" s="1"/>
  <c r="AQ741" i="1" a="1"/>
  <c r="AQ741" i="1" s="1"/>
  <c r="AR741" i="1" a="1"/>
  <c r="AR741" i="1" s="1"/>
  <c r="AS741" i="1" a="1"/>
  <c r="AS741" i="1" s="1"/>
  <c r="AT741" i="1" a="1"/>
  <c r="AT741" i="1" s="1"/>
  <c r="AU741" i="1" a="1"/>
  <c r="AU741" i="1" s="1"/>
  <c r="AV741" i="1" a="1"/>
  <c r="AV741" i="1" s="1"/>
  <c r="AW741" i="1" a="1"/>
  <c r="AW741" i="1" s="1"/>
  <c r="AX741" i="1" a="1"/>
  <c r="AX741" i="1" s="1"/>
  <c r="AY741" i="1" a="1"/>
  <c r="AY741" i="1" s="1"/>
  <c r="AZ741" i="1" a="1"/>
  <c r="AZ741" i="1" s="1"/>
  <c r="BA741" i="1" a="1"/>
  <c r="BA741" i="1" s="1"/>
  <c r="BB741" i="1" a="1"/>
  <c r="BB741" i="1" s="1"/>
  <c r="AL742" i="1" a="1"/>
  <c r="AL742" i="1" s="1"/>
  <c r="AM742" i="1" a="1"/>
  <c r="AM742" i="1" s="1"/>
  <c r="AN742" i="1" a="1"/>
  <c r="AN742" i="1" s="1"/>
  <c r="AO742" i="1" a="1"/>
  <c r="AO742" i="1" s="1"/>
  <c r="AP742" i="1" a="1"/>
  <c r="AP742" i="1" s="1"/>
  <c r="AQ742" i="1" a="1"/>
  <c r="AQ742" i="1" s="1"/>
  <c r="AR742" i="1" a="1"/>
  <c r="AR742" i="1" s="1"/>
  <c r="AS742" i="1" a="1"/>
  <c r="AS742" i="1" s="1"/>
  <c r="AT742" i="1" a="1"/>
  <c r="AT742" i="1" s="1"/>
  <c r="AU742" i="1" a="1"/>
  <c r="AU742" i="1" s="1"/>
  <c r="AV742" i="1" a="1"/>
  <c r="AV742" i="1" s="1"/>
  <c r="AW742" i="1" a="1"/>
  <c r="AW742" i="1" s="1"/>
  <c r="AX742" i="1" a="1"/>
  <c r="AX742" i="1" s="1"/>
  <c r="AY742" i="1" a="1"/>
  <c r="AY742" i="1" s="1"/>
  <c r="AZ742" i="1" a="1"/>
  <c r="AZ742" i="1" s="1"/>
  <c r="BA742" i="1" a="1"/>
  <c r="BA742" i="1" s="1"/>
  <c r="BB742" i="1" a="1"/>
  <c r="BB742" i="1" s="1"/>
  <c r="AL743" i="1" a="1"/>
  <c r="AL743" i="1" s="1"/>
  <c r="AM743" i="1" a="1"/>
  <c r="AM743" i="1" s="1"/>
  <c r="AN743" i="1" a="1"/>
  <c r="AN743" i="1" s="1"/>
  <c r="AO743" i="1" a="1"/>
  <c r="AO743" i="1" s="1"/>
  <c r="AP743" i="1" a="1"/>
  <c r="AP743" i="1" s="1"/>
  <c r="AQ743" i="1" a="1"/>
  <c r="AQ743" i="1" s="1"/>
  <c r="AR743" i="1" a="1"/>
  <c r="AR743" i="1" s="1"/>
  <c r="AS743" i="1" a="1"/>
  <c r="AS743" i="1" s="1"/>
  <c r="AT743" i="1" a="1"/>
  <c r="AT743" i="1" s="1"/>
  <c r="AU743" i="1" a="1"/>
  <c r="AU743" i="1" s="1"/>
  <c r="AV743" i="1" a="1"/>
  <c r="AV743" i="1" s="1"/>
  <c r="AW743" i="1" a="1"/>
  <c r="AW743" i="1" s="1"/>
  <c r="AX743" i="1" a="1"/>
  <c r="AX743" i="1" s="1"/>
  <c r="AY743" i="1" a="1"/>
  <c r="AY743" i="1" s="1"/>
  <c r="AZ743" i="1" a="1"/>
  <c r="AZ743" i="1" s="1"/>
  <c r="BA743" i="1" a="1"/>
  <c r="BA743" i="1" s="1"/>
  <c r="BB743" i="1" a="1"/>
  <c r="BB743" i="1" s="1"/>
  <c r="AL744" i="1" a="1"/>
  <c r="AL744" i="1" s="1"/>
  <c r="AM744" i="1" a="1"/>
  <c r="AM744" i="1" s="1"/>
  <c r="AN744" i="1" a="1"/>
  <c r="AN744" i="1" s="1"/>
  <c r="AO744" i="1" a="1"/>
  <c r="AO744" i="1" s="1"/>
  <c r="AP744" i="1" a="1"/>
  <c r="AP744" i="1" s="1"/>
  <c r="AQ744" i="1" a="1"/>
  <c r="AQ744" i="1" s="1"/>
  <c r="AR744" i="1" a="1"/>
  <c r="AR744" i="1" s="1"/>
  <c r="AS744" i="1" a="1"/>
  <c r="AS744" i="1" s="1"/>
  <c r="AT744" i="1" a="1"/>
  <c r="AT744" i="1" s="1"/>
  <c r="AU744" i="1" a="1"/>
  <c r="AU744" i="1" s="1"/>
  <c r="AV744" i="1" a="1"/>
  <c r="AV744" i="1" s="1"/>
  <c r="AW744" i="1" a="1"/>
  <c r="AW744" i="1" s="1"/>
  <c r="AX744" i="1" a="1"/>
  <c r="AX744" i="1" s="1"/>
  <c r="AY744" i="1" a="1"/>
  <c r="AY744" i="1" s="1"/>
  <c r="AZ744" i="1" a="1"/>
  <c r="AZ744" i="1" s="1"/>
  <c r="BA744" i="1" a="1"/>
  <c r="BA744" i="1" s="1"/>
  <c r="BB744" i="1" a="1"/>
  <c r="BB744" i="1" s="1"/>
  <c r="AL745" i="1" a="1"/>
  <c r="AL745" i="1" s="1"/>
  <c r="AM745" i="1" a="1"/>
  <c r="AM745" i="1" s="1"/>
  <c r="AN745" i="1" a="1"/>
  <c r="AN745" i="1" s="1"/>
  <c r="AO745" i="1" a="1"/>
  <c r="AO745" i="1" s="1"/>
  <c r="AP745" i="1" a="1"/>
  <c r="AP745" i="1" s="1"/>
  <c r="AQ745" i="1" a="1"/>
  <c r="AQ745" i="1" s="1"/>
  <c r="AR745" i="1" a="1"/>
  <c r="AR745" i="1" s="1"/>
  <c r="AS745" i="1" a="1"/>
  <c r="AS745" i="1" s="1"/>
  <c r="AT745" i="1" a="1"/>
  <c r="AT745" i="1" s="1"/>
  <c r="AU745" i="1" a="1"/>
  <c r="AU745" i="1" s="1"/>
  <c r="AV745" i="1" a="1"/>
  <c r="AV745" i="1" s="1"/>
  <c r="AW745" i="1" a="1"/>
  <c r="AW745" i="1" s="1"/>
  <c r="AX745" i="1" a="1"/>
  <c r="AX745" i="1" s="1"/>
  <c r="AY745" i="1" a="1"/>
  <c r="AY745" i="1" s="1"/>
  <c r="AZ745" i="1" a="1"/>
  <c r="AZ745" i="1" s="1"/>
  <c r="BA745" i="1" a="1"/>
  <c r="BA745" i="1" s="1"/>
  <c r="BB745" i="1" a="1"/>
  <c r="BB745" i="1" s="1"/>
  <c r="AL564" i="1" a="1"/>
  <c r="AL564" i="1" s="1"/>
  <c r="AM564" i="1" a="1"/>
  <c r="AM564" i="1" s="1"/>
  <c r="AN564" i="1" a="1"/>
  <c r="AN564" i="1" s="1"/>
  <c r="AO564" i="1" a="1"/>
  <c r="AO564" i="1" s="1"/>
  <c r="AP564" i="1" a="1"/>
  <c r="AP564" i="1" s="1"/>
  <c r="AQ564" i="1" a="1"/>
  <c r="AQ564" i="1" s="1"/>
  <c r="AR564" i="1" a="1"/>
  <c r="AR564" i="1" s="1"/>
  <c r="AS564" i="1" a="1"/>
  <c r="AS564" i="1" s="1"/>
  <c r="AT564" i="1" a="1"/>
  <c r="AT564" i="1" s="1"/>
  <c r="AU564" i="1" a="1"/>
  <c r="AU564" i="1" s="1"/>
  <c r="AV564" i="1" a="1"/>
  <c r="AV564" i="1" s="1"/>
  <c r="AW564" i="1" a="1"/>
  <c r="AW564" i="1" s="1"/>
  <c r="AX564" i="1" a="1"/>
  <c r="AX564" i="1" s="1"/>
  <c r="AY564" i="1" a="1"/>
  <c r="AY564" i="1" s="1"/>
  <c r="AZ564" i="1" a="1"/>
  <c r="AZ564" i="1" s="1"/>
  <c r="BA564" i="1" a="1"/>
  <c r="BA564" i="1" s="1"/>
  <c r="BB564" i="1" a="1"/>
  <c r="BB564" i="1" s="1"/>
  <c r="AL746" i="1" a="1"/>
  <c r="AL746" i="1" s="1"/>
  <c r="AM746" i="1" a="1"/>
  <c r="AM746" i="1" s="1"/>
  <c r="AN746" i="1" a="1"/>
  <c r="AN746" i="1" s="1"/>
  <c r="AO746" i="1" a="1"/>
  <c r="AO746" i="1" s="1"/>
  <c r="AP746" i="1" a="1"/>
  <c r="AP746" i="1" s="1"/>
  <c r="AQ746" i="1" a="1"/>
  <c r="AQ746" i="1" s="1"/>
  <c r="AR746" i="1" a="1"/>
  <c r="AR746" i="1" s="1"/>
  <c r="AS746" i="1" a="1"/>
  <c r="AS746" i="1" s="1"/>
  <c r="AT746" i="1" a="1"/>
  <c r="AT746" i="1" s="1"/>
  <c r="AU746" i="1" a="1"/>
  <c r="AU746" i="1" s="1"/>
  <c r="AV746" i="1" a="1"/>
  <c r="AV746" i="1" s="1"/>
  <c r="AW746" i="1" a="1"/>
  <c r="AW746" i="1" s="1"/>
  <c r="AX746" i="1" a="1"/>
  <c r="AX746" i="1" s="1"/>
  <c r="AY746" i="1" a="1"/>
  <c r="AY746" i="1" s="1"/>
  <c r="AZ746" i="1" a="1"/>
  <c r="AZ746" i="1" s="1"/>
  <c r="BA746" i="1" a="1"/>
  <c r="BA746" i="1" s="1"/>
  <c r="BB746" i="1" a="1"/>
  <c r="BB746" i="1" s="1"/>
  <c r="AL747" i="1" a="1"/>
  <c r="AL747" i="1" s="1"/>
  <c r="AM747" i="1" a="1"/>
  <c r="AM747" i="1" s="1"/>
  <c r="AN747" i="1" a="1"/>
  <c r="AN747" i="1" s="1"/>
  <c r="AO747" i="1" a="1"/>
  <c r="AO747" i="1" s="1"/>
  <c r="AP747" i="1" a="1"/>
  <c r="AP747" i="1" s="1"/>
  <c r="AQ747" i="1" a="1"/>
  <c r="AQ747" i="1" s="1"/>
  <c r="AR747" i="1" a="1"/>
  <c r="AR747" i="1" s="1"/>
  <c r="AS747" i="1" a="1"/>
  <c r="AS747" i="1" s="1"/>
  <c r="AT747" i="1" a="1"/>
  <c r="AT747" i="1" s="1"/>
  <c r="AU747" i="1" a="1"/>
  <c r="AU747" i="1" s="1"/>
  <c r="AV747" i="1" a="1"/>
  <c r="AV747" i="1" s="1"/>
  <c r="AW747" i="1" a="1"/>
  <c r="AW747" i="1" s="1"/>
  <c r="AX747" i="1" a="1"/>
  <c r="AX747" i="1" s="1"/>
  <c r="AY747" i="1" a="1"/>
  <c r="AY747" i="1" s="1"/>
  <c r="AZ747" i="1" a="1"/>
  <c r="AZ747" i="1" s="1"/>
  <c r="BA747" i="1" a="1"/>
  <c r="BA747" i="1" s="1"/>
  <c r="BB747" i="1" a="1"/>
  <c r="BB747" i="1" s="1"/>
  <c r="AL568" i="1" a="1"/>
  <c r="AL568" i="1" s="1"/>
  <c r="AM568" i="1" a="1"/>
  <c r="AM568" i="1" s="1"/>
  <c r="AN568" i="1" a="1"/>
  <c r="AN568" i="1" s="1"/>
  <c r="AO568" i="1" a="1"/>
  <c r="AO568" i="1" s="1"/>
  <c r="AP568" i="1" a="1"/>
  <c r="AP568" i="1" s="1"/>
  <c r="AQ568" i="1" a="1"/>
  <c r="AQ568" i="1" s="1"/>
  <c r="AR568" i="1" a="1"/>
  <c r="AR568" i="1" s="1"/>
  <c r="AS568" i="1" a="1"/>
  <c r="AS568" i="1" s="1"/>
  <c r="AT568" i="1" a="1"/>
  <c r="AT568" i="1" s="1"/>
  <c r="AU568" i="1" a="1"/>
  <c r="AU568" i="1" s="1"/>
  <c r="AV568" i="1" a="1"/>
  <c r="AV568" i="1" s="1"/>
  <c r="AW568" i="1" a="1"/>
  <c r="AW568" i="1" s="1"/>
  <c r="AX568" i="1" a="1"/>
  <c r="AX568" i="1" s="1"/>
  <c r="AY568" i="1" a="1"/>
  <c r="AY568" i="1" s="1"/>
  <c r="AZ568" i="1" a="1"/>
  <c r="AZ568" i="1" s="1"/>
  <c r="BA568" i="1" a="1"/>
  <c r="BA568" i="1" s="1"/>
  <c r="BB568" i="1" a="1"/>
  <c r="BB568" i="1" s="1"/>
  <c r="AL571" i="1" a="1"/>
  <c r="AL571" i="1" s="1"/>
  <c r="AM571" i="1" a="1"/>
  <c r="AM571" i="1" s="1"/>
  <c r="AN571" i="1" a="1"/>
  <c r="AN571" i="1" s="1"/>
  <c r="AO571" i="1" a="1"/>
  <c r="AO571" i="1" s="1"/>
  <c r="AP571" i="1" a="1"/>
  <c r="AP571" i="1" s="1"/>
  <c r="AQ571" i="1" a="1"/>
  <c r="AQ571" i="1" s="1"/>
  <c r="AR571" i="1" a="1"/>
  <c r="AR571" i="1" s="1"/>
  <c r="AS571" i="1" a="1"/>
  <c r="AS571" i="1" s="1"/>
  <c r="AT571" i="1" a="1"/>
  <c r="AT571" i="1" s="1"/>
  <c r="AU571" i="1" a="1"/>
  <c r="AU571" i="1" s="1"/>
  <c r="AV571" i="1" a="1"/>
  <c r="AV571" i="1" s="1"/>
  <c r="AW571" i="1" a="1"/>
  <c r="AW571" i="1" s="1"/>
  <c r="AX571" i="1" a="1"/>
  <c r="AX571" i="1" s="1"/>
  <c r="AY571" i="1" a="1"/>
  <c r="AY571" i="1" s="1"/>
  <c r="AZ571" i="1" a="1"/>
  <c r="AZ571" i="1" s="1"/>
  <c r="BA571" i="1" a="1"/>
  <c r="BA571" i="1" s="1"/>
  <c r="BB571" i="1" a="1"/>
  <c r="BB571" i="1" s="1"/>
  <c r="AL570" i="1" a="1"/>
  <c r="AL570" i="1" s="1"/>
  <c r="AM570" i="1" a="1"/>
  <c r="AM570" i="1" s="1"/>
  <c r="AN570" i="1" a="1"/>
  <c r="AN570" i="1" s="1"/>
  <c r="AO570" i="1" a="1"/>
  <c r="AO570" i="1" s="1"/>
  <c r="AP570" i="1" a="1"/>
  <c r="AP570" i="1" s="1"/>
  <c r="AQ570" i="1" a="1"/>
  <c r="AQ570" i="1" s="1"/>
  <c r="AR570" i="1" a="1"/>
  <c r="AR570" i="1" s="1"/>
  <c r="AS570" i="1" a="1"/>
  <c r="AS570" i="1" s="1"/>
  <c r="AT570" i="1" a="1"/>
  <c r="AT570" i="1" s="1"/>
  <c r="AU570" i="1" a="1"/>
  <c r="AU570" i="1" s="1"/>
  <c r="AV570" i="1" a="1"/>
  <c r="AV570" i="1" s="1"/>
  <c r="AW570" i="1" a="1"/>
  <c r="AW570" i="1" s="1"/>
  <c r="AX570" i="1" a="1"/>
  <c r="AX570" i="1" s="1"/>
  <c r="AY570" i="1" a="1"/>
  <c r="AY570" i="1" s="1"/>
  <c r="AZ570" i="1" a="1"/>
  <c r="AZ570" i="1" s="1"/>
  <c r="BA570" i="1" a="1"/>
  <c r="BA570" i="1" s="1"/>
  <c r="BB570" i="1" a="1"/>
  <c r="BB570" i="1" s="1"/>
  <c r="AL749" i="1" a="1"/>
  <c r="AL749" i="1" s="1"/>
  <c r="AM749" i="1" a="1"/>
  <c r="AM749" i="1" s="1"/>
  <c r="AN749" i="1" a="1"/>
  <c r="AN749" i="1" s="1"/>
  <c r="AO749" i="1" a="1"/>
  <c r="AO749" i="1" s="1"/>
  <c r="AP749" i="1" a="1"/>
  <c r="AP749" i="1" s="1"/>
  <c r="AQ749" i="1" a="1"/>
  <c r="AQ749" i="1" s="1"/>
  <c r="AR749" i="1" a="1"/>
  <c r="AR749" i="1" s="1"/>
  <c r="AS749" i="1" a="1"/>
  <c r="AS749" i="1" s="1"/>
  <c r="AT749" i="1" a="1"/>
  <c r="AT749" i="1" s="1"/>
  <c r="AU749" i="1" a="1"/>
  <c r="AU749" i="1" s="1"/>
  <c r="AV749" i="1" a="1"/>
  <c r="AV749" i="1" s="1"/>
  <c r="AW749" i="1" a="1"/>
  <c r="AW749" i="1" s="1"/>
  <c r="AX749" i="1" a="1"/>
  <c r="AX749" i="1" s="1"/>
  <c r="AY749" i="1" a="1"/>
  <c r="AY749" i="1" s="1"/>
  <c r="AZ749" i="1" a="1"/>
  <c r="AZ749" i="1" s="1"/>
  <c r="BA749" i="1" a="1"/>
  <c r="BA749" i="1" s="1"/>
  <c r="BB749" i="1" a="1"/>
  <c r="BB749" i="1" s="1"/>
  <c r="AL750" i="1" a="1"/>
  <c r="AL750" i="1" s="1"/>
  <c r="AM750" i="1" a="1"/>
  <c r="AM750" i="1" s="1"/>
  <c r="AN750" i="1" a="1"/>
  <c r="AN750" i="1" s="1"/>
  <c r="AO750" i="1" a="1"/>
  <c r="AO750" i="1" s="1"/>
  <c r="AP750" i="1" a="1"/>
  <c r="AP750" i="1" s="1"/>
  <c r="AQ750" i="1" a="1"/>
  <c r="AQ750" i="1" s="1"/>
  <c r="AR750" i="1" a="1"/>
  <c r="AR750" i="1" s="1"/>
  <c r="AS750" i="1" a="1"/>
  <c r="AS750" i="1" s="1"/>
  <c r="AT750" i="1" a="1"/>
  <c r="AT750" i="1" s="1"/>
  <c r="AU750" i="1" a="1"/>
  <c r="AU750" i="1" s="1"/>
  <c r="AV750" i="1" a="1"/>
  <c r="AV750" i="1" s="1"/>
  <c r="AW750" i="1" a="1"/>
  <c r="AW750" i="1" s="1"/>
  <c r="AX750" i="1" a="1"/>
  <c r="AX750" i="1" s="1"/>
  <c r="AY750" i="1" a="1"/>
  <c r="AY750" i="1" s="1"/>
  <c r="AZ750" i="1" a="1"/>
  <c r="AZ750" i="1" s="1"/>
  <c r="BA750" i="1" a="1"/>
  <c r="BA750" i="1" s="1"/>
  <c r="BB750" i="1" a="1"/>
  <c r="BB750" i="1" s="1"/>
  <c r="AL751" i="1" a="1"/>
  <c r="AL751" i="1" s="1"/>
  <c r="AM751" i="1" a="1"/>
  <c r="AM751" i="1" s="1"/>
  <c r="AN751" i="1" a="1"/>
  <c r="AN751" i="1" s="1"/>
  <c r="AO751" i="1" a="1"/>
  <c r="AO751" i="1" s="1"/>
  <c r="AP751" i="1" a="1"/>
  <c r="AP751" i="1" s="1"/>
  <c r="AQ751" i="1" a="1"/>
  <c r="AQ751" i="1" s="1"/>
  <c r="AR751" i="1" a="1"/>
  <c r="AR751" i="1" s="1"/>
  <c r="AS751" i="1" a="1"/>
  <c r="AS751" i="1" s="1"/>
  <c r="AT751" i="1" a="1"/>
  <c r="AT751" i="1" s="1"/>
  <c r="AU751" i="1" a="1"/>
  <c r="AU751" i="1" s="1"/>
  <c r="AV751" i="1" a="1"/>
  <c r="AV751" i="1" s="1"/>
  <c r="AW751" i="1" a="1"/>
  <c r="AW751" i="1" s="1"/>
  <c r="AX751" i="1" a="1"/>
  <c r="AX751" i="1" s="1"/>
  <c r="AY751" i="1" a="1"/>
  <c r="AY751" i="1" s="1"/>
  <c r="AZ751" i="1" a="1"/>
  <c r="AZ751" i="1" s="1"/>
  <c r="BA751" i="1" a="1"/>
  <c r="BA751" i="1" s="1"/>
  <c r="BB751" i="1" a="1"/>
  <c r="BB751" i="1" s="1"/>
  <c r="AL752" i="1" a="1"/>
  <c r="AL752" i="1" s="1"/>
  <c r="AM752" i="1" a="1"/>
  <c r="AM752" i="1" s="1"/>
  <c r="AN752" i="1" a="1"/>
  <c r="AN752" i="1" s="1"/>
  <c r="AO752" i="1" a="1"/>
  <c r="AO752" i="1" s="1"/>
  <c r="AP752" i="1" a="1"/>
  <c r="AP752" i="1" s="1"/>
  <c r="AQ752" i="1" a="1"/>
  <c r="AQ752" i="1" s="1"/>
  <c r="AR752" i="1" a="1"/>
  <c r="AR752" i="1" s="1"/>
  <c r="AS752" i="1" a="1"/>
  <c r="AS752" i="1" s="1"/>
  <c r="AT752" i="1" a="1"/>
  <c r="AT752" i="1" s="1"/>
  <c r="AU752" i="1" a="1"/>
  <c r="AU752" i="1" s="1"/>
  <c r="AV752" i="1" a="1"/>
  <c r="AV752" i="1" s="1"/>
  <c r="AW752" i="1" a="1"/>
  <c r="AW752" i="1" s="1"/>
  <c r="AX752" i="1" a="1"/>
  <c r="AX752" i="1" s="1"/>
  <c r="AY752" i="1" a="1"/>
  <c r="AY752" i="1" s="1"/>
  <c r="AZ752" i="1" a="1"/>
  <c r="AZ752" i="1" s="1"/>
  <c r="BA752" i="1" a="1"/>
  <c r="BA752" i="1" s="1"/>
  <c r="BB752" i="1" a="1"/>
  <c r="BB752" i="1" s="1"/>
  <c r="AL753" i="1" a="1"/>
  <c r="AL753" i="1" s="1"/>
  <c r="AM753" i="1" a="1"/>
  <c r="AM753" i="1" s="1"/>
  <c r="AN753" i="1" a="1"/>
  <c r="AN753" i="1" s="1"/>
  <c r="AO753" i="1" a="1"/>
  <c r="AO753" i="1" s="1"/>
  <c r="AP753" i="1" a="1"/>
  <c r="AP753" i="1" s="1"/>
  <c r="AQ753" i="1" a="1"/>
  <c r="AQ753" i="1" s="1"/>
  <c r="AR753" i="1" a="1"/>
  <c r="AR753" i="1" s="1"/>
  <c r="AS753" i="1" a="1"/>
  <c r="AS753" i="1" s="1"/>
  <c r="AT753" i="1" a="1"/>
  <c r="AT753" i="1" s="1"/>
  <c r="AU753" i="1" a="1"/>
  <c r="AU753" i="1" s="1"/>
  <c r="AV753" i="1" a="1"/>
  <c r="AV753" i="1" s="1"/>
  <c r="AW753" i="1" a="1"/>
  <c r="AW753" i="1" s="1"/>
  <c r="AX753" i="1" a="1"/>
  <c r="AX753" i="1" s="1"/>
  <c r="AY753" i="1" a="1"/>
  <c r="AY753" i="1" s="1"/>
  <c r="AZ753" i="1" a="1"/>
  <c r="AZ753" i="1" s="1"/>
  <c r="BA753" i="1" a="1"/>
  <c r="BA753" i="1" s="1"/>
  <c r="BB753" i="1" a="1"/>
  <c r="BB753" i="1" s="1"/>
  <c r="AL754" i="1" a="1"/>
  <c r="AL754" i="1" s="1"/>
  <c r="AM754" i="1" a="1"/>
  <c r="AM754" i="1" s="1"/>
  <c r="AN754" i="1" a="1"/>
  <c r="AN754" i="1" s="1"/>
  <c r="AO754" i="1" a="1"/>
  <c r="AO754" i="1" s="1"/>
  <c r="AP754" i="1" a="1"/>
  <c r="AP754" i="1" s="1"/>
  <c r="AQ754" i="1" a="1"/>
  <c r="AQ754" i="1" s="1"/>
  <c r="AR754" i="1" a="1"/>
  <c r="AR754" i="1" s="1"/>
  <c r="AS754" i="1" a="1"/>
  <c r="AS754" i="1" s="1"/>
  <c r="AT754" i="1" a="1"/>
  <c r="AT754" i="1" s="1"/>
  <c r="AU754" i="1" a="1"/>
  <c r="AU754" i="1" s="1"/>
  <c r="AV754" i="1" a="1"/>
  <c r="AV754" i="1" s="1"/>
  <c r="AW754" i="1" a="1"/>
  <c r="AW754" i="1" s="1"/>
  <c r="AX754" i="1" a="1"/>
  <c r="AX754" i="1" s="1"/>
  <c r="AY754" i="1" a="1"/>
  <c r="AY754" i="1" s="1"/>
  <c r="AZ754" i="1" a="1"/>
  <c r="AZ754" i="1" s="1"/>
  <c r="BA754" i="1" a="1"/>
  <c r="BA754" i="1" s="1"/>
  <c r="BB754" i="1" a="1"/>
  <c r="BB754" i="1" s="1"/>
  <c r="AL755" i="1" a="1"/>
  <c r="AL755" i="1" s="1"/>
  <c r="AM755" i="1" a="1"/>
  <c r="AM755" i="1" s="1"/>
  <c r="AN755" i="1" a="1"/>
  <c r="AN755" i="1" s="1"/>
  <c r="AO755" i="1" a="1"/>
  <c r="AO755" i="1" s="1"/>
  <c r="AP755" i="1" a="1"/>
  <c r="AP755" i="1" s="1"/>
  <c r="AQ755" i="1" a="1"/>
  <c r="AQ755" i="1" s="1"/>
  <c r="AR755" i="1" a="1"/>
  <c r="AR755" i="1" s="1"/>
  <c r="AS755" i="1" a="1"/>
  <c r="AS755" i="1" s="1"/>
  <c r="AT755" i="1" a="1"/>
  <c r="AT755" i="1" s="1"/>
  <c r="AU755" i="1" a="1"/>
  <c r="AU755" i="1" s="1"/>
  <c r="AV755" i="1" a="1"/>
  <c r="AV755" i="1" s="1"/>
  <c r="AW755" i="1" a="1"/>
  <c r="AW755" i="1" s="1"/>
  <c r="AX755" i="1" a="1"/>
  <c r="AX755" i="1" s="1"/>
  <c r="AY755" i="1" a="1"/>
  <c r="AY755" i="1" s="1"/>
  <c r="AZ755" i="1" a="1"/>
  <c r="AZ755" i="1" s="1"/>
  <c r="BA755" i="1" a="1"/>
  <c r="BA755" i="1" s="1"/>
  <c r="BB755" i="1" a="1"/>
  <c r="BB755" i="1" s="1"/>
  <c r="AL583" i="1" a="1"/>
  <c r="AL583" i="1" s="1"/>
  <c r="AM583" i="1" a="1"/>
  <c r="AM583" i="1" s="1"/>
  <c r="AN583" i="1" a="1"/>
  <c r="AN583" i="1" s="1"/>
  <c r="AO583" i="1" a="1"/>
  <c r="AO583" i="1" s="1"/>
  <c r="AP583" i="1" a="1"/>
  <c r="AP583" i="1" s="1"/>
  <c r="AQ583" i="1" a="1"/>
  <c r="AQ583" i="1" s="1"/>
  <c r="AR583" i="1" a="1"/>
  <c r="AR583" i="1" s="1"/>
  <c r="AS583" i="1" a="1"/>
  <c r="AS583" i="1" s="1"/>
  <c r="AT583" i="1" a="1"/>
  <c r="AT583" i="1" s="1"/>
  <c r="AU583" i="1" a="1"/>
  <c r="AU583" i="1" s="1"/>
  <c r="AV583" i="1" a="1"/>
  <c r="AV583" i="1" s="1"/>
  <c r="AW583" i="1" a="1"/>
  <c r="AW583" i="1" s="1"/>
  <c r="AX583" i="1" a="1"/>
  <c r="AX583" i="1" s="1"/>
  <c r="AY583" i="1" a="1"/>
  <c r="AY583" i="1" s="1"/>
  <c r="AZ583" i="1" a="1"/>
  <c r="AZ583" i="1" s="1"/>
  <c r="BA583" i="1" a="1"/>
  <c r="BA583" i="1" s="1"/>
  <c r="BB583" i="1" a="1"/>
  <c r="BB583" i="1" s="1"/>
  <c r="AL756" i="1" a="1"/>
  <c r="AL756" i="1" s="1"/>
  <c r="AM756" i="1" a="1"/>
  <c r="AM756" i="1" s="1"/>
  <c r="AN756" i="1" a="1"/>
  <c r="AN756" i="1" s="1"/>
  <c r="AO756" i="1" a="1"/>
  <c r="AO756" i="1" s="1"/>
  <c r="AP756" i="1" a="1"/>
  <c r="AP756" i="1" s="1"/>
  <c r="AQ756" i="1" a="1"/>
  <c r="AQ756" i="1" s="1"/>
  <c r="AR756" i="1" a="1"/>
  <c r="AR756" i="1" s="1"/>
  <c r="AS756" i="1" a="1"/>
  <c r="AS756" i="1" s="1"/>
  <c r="AT756" i="1" a="1"/>
  <c r="AT756" i="1" s="1"/>
  <c r="AU756" i="1" a="1"/>
  <c r="AU756" i="1" s="1"/>
  <c r="AV756" i="1" a="1"/>
  <c r="AV756" i="1" s="1"/>
  <c r="AW756" i="1" a="1"/>
  <c r="AW756" i="1" s="1"/>
  <c r="AX756" i="1" a="1"/>
  <c r="AX756" i="1" s="1"/>
  <c r="AY756" i="1" a="1"/>
  <c r="AY756" i="1" s="1"/>
  <c r="AZ756" i="1" a="1"/>
  <c r="AZ756" i="1" s="1"/>
  <c r="BA756" i="1" a="1"/>
  <c r="BA756" i="1" s="1"/>
  <c r="BB756" i="1" a="1"/>
  <c r="BB756" i="1" s="1"/>
  <c r="AL757" i="1" a="1"/>
  <c r="AL757" i="1" s="1"/>
  <c r="AM757" i="1" a="1"/>
  <c r="AM757" i="1" s="1"/>
  <c r="AN757" i="1" a="1"/>
  <c r="AN757" i="1" s="1"/>
  <c r="AO757" i="1" a="1"/>
  <c r="AO757" i="1" s="1"/>
  <c r="AP757" i="1" a="1"/>
  <c r="AP757" i="1" s="1"/>
  <c r="AQ757" i="1" a="1"/>
  <c r="AQ757" i="1" s="1"/>
  <c r="AR757" i="1" a="1"/>
  <c r="AR757" i="1" s="1"/>
  <c r="AS757" i="1" a="1"/>
  <c r="AS757" i="1" s="1"/>
  <c r="AT757" i="1" a="1"/>
  <c r="AT757" i="1" s="1"/>
  <c r="AU757" i="1" a="1"/>
  <c r="AU757" i="1" s="1"/>
  <c r="AV757" i="1" a="1"/>
  <c r="AV757" i="1" s="1"/>
  <c r="AW757" i="1" a="1"/>
  <c r="AW757" i="1" s="1"/>
  <c r="AX757" i="1" a="1"/>
  <c r="AX757" i="1" s="1"/>
  <c r="AY757" i="1" a="1"/>
  <c r="AY757" i="1" s="1"/>
  <c r="AZ757" i="1" a="1"/>
  <c r="AZ757" i="1" s="1"/>
  <c r="BA757" i="1" a="1"/>
  <c r="BA757" i="1" s="1"/>
  <c r="BB757" i="1" a="1"/>
  <c r="BB757" i="1" s="1"/>
  <c r="AL260" i="1" a="1"/>
  <c r="AL260" i="1" s="1"/>
  <c r="AM260" i="1" a="1"/>
  <c r="AM260" i="1" s="1"/>
  <c r="AN260" i="1" a="1"/>
  <c r="AN260" i="1" s="1"/>
  <c r="AO260" i="1" a="1"/>
  <c r="AO260" i="1" s="1"/>
  <c r="AP260" i="1" a="1"/>
  <c r="AP260" i="1" s="1"/>
  <c r="AQ260" i="1" a="1"/>
  <c r="AQ260" i="1" s="1"/>
  <c r="AR260" i="1" a="1"/>
  <c r="AR260" i="1" s="1"/>
  <c r="AS260" i="1" a="1"/>
  <c r="AS260" i="1" s="1"/>
  <c r="AT260" i="1" a="1"/>
  <c r="AT260" i="1" s="1"/>
  <c r="AU260" i="1" a="1"/>
  <c r="AU260" i="1" s="1"/>
  <c r="AV260" i="1" a="1"/>
  <c r="AV260" i="1" s="1"/>
  <c r="AW260" i="1" a="1"/>
  <c r="AW260" i="1" s="1"/>
  <c r="AX260" i="1" a="1"/>
  <c r="AX260" i="1" s="1"/>
  <c r="AY260" i="1" a="1"/>
  <c r="AY260" i="1" s="1"/>
  <c r="AZ260" i="1" a="1"/>
  <c r="AZ260" i="1" s="1"/>
  <c r="BA260" i="1" a="1"/>
  <c r="BA260" i="1" s="1"/>
  <c r="BB260" i="1" a="1"/>
  <c r="BB260" i="1" s="1"/>
  <c r="AL592" i="1" a="1"/>
  <c r="AL592" i="1" s="1"/>
  <c r="AM592" i="1" a="1"/>
  <c r="AM592" i="1" s="1"/>
  <c r="AN592" i="1" a="1"/>
  <c r="AN592" i="1" s="1"/>
  <c r="AO592" i="1" a="1"/>
  <c r="AO592" i="1" s="1"/>
  <c r="AP592" i="1" a="1"/>
  <c r="AP592" i="1" s="1"/>
  <c r="AQ592" i="1" a="1"/>
  <c r="AQ592" i="1" s="1"/>
  <c r="AR592" i="1" a="1"/>
  <c r="AR592" i="1" s="1"/>
  <c r="AS592" i="1" a="1"/>
  <c r="AS592" i="1" s="1"/>
  <c r="AT592" i="1" a="1"/>
  <c r="AT592" i="1" s="1"/>
  <c r="AU592" i="1" a="1"/>
  <c r="AU592" i="1" s="1"/>
  <c r="AV592" i="1" a="1"/>
  <c r="AV592" i="1" s="1"/>
  <c r="AW592" i="1" a="1"/>
  <c r="AW592" i="1" s="1"/>
  <c r="AX592" i="1" a="1"/>
  <c r="AX592" i="1" s="1"/>
  <c r="AY592" i="1" a="1"/>
  <c r="AY592" i="1" s="1"/>
  <c r="AZ592" i="1" a="1"/>
  <c r="AZ592" i="1" s="1"/>
  <c r="BA592" i="1" a="1"/>
  <c r="BA592" i="1" s="1"/>
  <c r="BB592" i="1" a="1"/>
  <c r="BB592" i="1" s="1"/>
  <c r="AL758" i="1" a="1"/>
  <c r="AL758" i="1" s="1"/>
  <c r="AM758" i="1" a="1"/>
  <c r="AM758" i="1" s="1"/>
  <c r="AN758" i="1" a="1"/>
  <c r="AN758" i="1" s="1"/>
  <c r="AO758" i="1" a="1"/>
  <c r="AO758" i="1" s="1"/>
  <c r="AP758" i="1" a="1"/>
  <c r="AP758" i="1" s="1"/>
  <c r="AQ758" i="1" a="1"/>
  <c r="AQ758" i="1" s="1"/>
  <c r="AR758" i="1" a="1"/>
  <c r="AR758" i="1" s="1"/>
  <c r="AS758" i="1" a="1"/>
  <c r="AS758" i="1" s="1"/>
  <c r="AT758" i="1" a="1"/>
  <c r="AT758" i="1" s="1"/>
  <c r="AU758" i="1" a="1"/>
  <c r="AU758" i="1" s="1"/>
  <c r="AV758" i="1" a="1"/>
  <c r="AV758" i="1" s="1"/>
  <c r="AW758" i="1" a="1"/>
  <c r="AW758" i="1" s="1"/>
  <c r="AX758" i="1" a="1"/>
  <c r="AX758" i="1" s="1"/>
  <c r="AY758" i="1" a="1"/>
  <c r="AY758" i="1" s="1"/>
  <c r="AZ758" i="1" a="1"/>
  <c r="AZ758" i="1" s="1"/>
  <c r="BA758" i="1" a="1"/>
  <c r="BA758" i="1" s="1"/>
  <c r="BB758" i="1" a="1"/>
  <c r="BB758" i="1" s="1"/>
  <c r="AL759" i="1" a="1"/>
  <c r="AL759" i="1" s="1"/>
  <c r="AM759" i="1" a="1"/>
  <c r="AM759" i="1" s="1"/>
  <c r="AN759" i="1" a="1"/>
  <c r="AN759" i="1" s="1"/>
  <c r="AO759" i="1" a="1"/>
  <c r="AO759" i="1" s="1"/>
  <c r="AP759" i="1" a="1"/>
  <c r="AP759" i="1" s="1"/>
  <c r="AQ759" i="1" a="1"/>
  <c r="AQ759" i="1" s="1"/>
  <c r="AR759" i="1" a="1"/>
  <c r="AR759" i="1" s="1"/>
  <c r="AS759" i="1" a="1"/>
  <c r="AS759" i="1" s="1"/>
  <c r="AT759" i="1" a="1"/>
  <c r="AT759" i="1" s="1"/>
  <c r="AU759" i="1" a="1"/>
  <c r="AU759" i="1" s="1"/>
  <c r="AV759" i="1" a="1"/>
  <c r="AV759" i="1" s="1"/>
  <c r="AW759" i="1" a="1"/>
  <c r="AW759" i="1" s="1"/>
  <c r="AX759" i="1" a="1"/>
  <c r="AX759" i="1" s="1"/>
  <c r="AY759" i="1" a="1"/>
  <c r="AY759" i="1" s="1"/>
  <c r="AZ759" i="1" a="1"/>
  <c r="AZ759" i="1" s="1"/>
  <c r="BA759" i="1" a="1"/>
  <c r="BA759" i="1" s="1"/>
  <c r="BB759" i="1" a="1"/>
  <c r="BB759" i="1" s="1"/>
  <c r="AL760" i="1" a="1"/>
  <c r="AL760" i="1" s="1"/>
  <c r="AM760" i="1" a="1"/>
  <c r="AM760" i="1" s="1"/>
  <c r="AN760" i="1" a="1"/>
  <c r="AN760" i="1" s="1"/>
  <c r="AO760" i="1" a="1"/>
  <c r="AO760" i="1" s="1"/>
  <c r="AP760" i="1" a="1"/>
  <c r="AP760" i="1" s="1"/>
  <c r="AQ760" i="1" a="1"/>
  <c r="AQ760" i="1" s="1"/>
  <c r="AR760" i="1" a="1"/>
  <c r="AR760" i="1" s="1"/>
  <c r="AS760" i="1" a="1"/>
  <c r="AS760" i="1" s="1"/>
  <c r="AT760" i="1" a="1"/>
  <c r="AT760" i="1" s="1"/>
  <c r="AU760" i="1" a="1"/>
  <c r="AU760" i="1" s="1"/>
  <c r="AV760" i="1" a="1"/>
  <c r="AV760" i="1" s="1"/>
  <c r="AW760" i="1" a="1"/>
  <c r="AW760" i="1" s="1"/>
  <c r="AX760" i="1" a="1"/>
  <c r="AX760" i="1" s="1"/>
  <c r="AY760" i="1" a="1"/>
  <c r="AY760" i="1" s="1"/>
  <c r="AZ760" i="1" a="1"/>
  <c r="AZ760" i="1" s="1"/>
  <c r="BA760" i="1" a="1"/>
  <c r="BA760" i="1" s="1"/>
  <c r="BB760" i="1" a="1"/>
  <c r="BB760" i="1" s="1"/>
  <c r="AL761" i="1" a="1"/>
  <c r="AL761" i="1" s="1"/>
  <c r="AM761" i="1" a="1"/>
  <c r="AM761" i="1" s="1"/>
  <c r="AN761" i="1" a="1"/>
  <c r="AN761" i="1" s="1"/>
  <c r="AO761" i="1" a="1"/>
  <c r="AO761" i="1" s="1"/>
  <c r="AP761" i="1" a="1"/>
  <c r="AP761" i="1" s="1"/>
  <c r="AQ761" i="1" a="1"/>
  <c r="AQ761" i="1" s="1"/>
  <c r="AR761" i="1" a="1"/>
  <c r="AR761" i="1" s="1"/>
  <c r="AS761" i="1" a="1"/>
  <c r="AS761" i="1" s="1"/>
  <c r="AT761" i="1" a="1"/>
  <c r="AT761" i="1" s="1"/>
  <c r="AU761" i="1" a="1"/>
  <c r="AU761" i="1" s="1"/>
  <c r="AV761" i="1" a="1"/>
  <c r="AV761" i="1" s="1"/>
  <c r="AW761" i="1" a="1"/>
  <c r="AW761" i="1" s="1"/>
  <c r="AX761" i="1" a="1"/>
  <c r="AX761" i="1" s="1"/>
  <c r="AY761" i="1" a="1"/>
  <c r="AY761" i="1" s="1"/>
  <c r="AZ761" i="1" a="1"/>
  <c r="AZ761" i="1" s="1"/>
  <c r="BA761" i="1" a="1"/>
  <c r="BA761" i="1" s="1"/>
  <c r="BB761" i="1" a="1"/>
  <c r="BB761" i="1" s="1"/>
  <c r="AL762" i="1" a="1"/>
  <c r="AL762" i="1" s="1"/>
  <c r="AM762" i="1" a="1"/>
  <c r="AM762" i="1" s="1"/>
  <c r="AN762" i="1" a="1"/>
  <c r="AN762" i="1" s="1"/>
  <c r="AO762" i="1" a="1"/>
  <c r="AO762" i="1" s="1"/>
  <c r="AP762" i="1" a="1"/>
  <c r="AP762" i="1" s="1"/>
  <c r="AQ762" i="1" a="1"/>
  <c r="AQ762" i="1" s="1"/>
  <c r="AR762" i="1" a="1"/>
  <c r="AR762" i="1" s="1"/>
  <c r="AS762" i="1" a="1"/>
  <c r="AS762" i="1" s="1"/>
  <c r="AT762" i="1" a="1"/>
  <c r="AT762" i="1" s="1"/>
  <c r="AU762" i="1" a="1"/>
  <c r="AU762" i="1" s="1"/>
  <c r="AV762" i="1" a="1"/>
  <c r="AV762" i="1" s="1"/>
  <c r="AW762" i="1" a="1"/>
  <c r="AW762" i="1" s="1"/>
  <c r="AX762" i="1" a="1"/>
  <c r="AX762" i="1" s="1"/>
  <c r="AY762" i="1" a="1"/>
  <c r="AY762" i="1" s="1"/>
  <c r="AZ762" i="1" a="1"/>
  <c r="AZ762" i="1" s="1"/>
  <c r="BA762" i="1" a="1"/>
  <c r="BA762" i="1" s="1"/>
  <c r="BB762" i="1" a="1"/>
  <c r="BB762" i="1" s="1"/>
  <c r="AL763" i="1" a="1"/>
  <c r="AL763" i="1" s="1"/>
  <c r="AM763" i="1" a="1"/>
  <c r="AM763" i="1" s="1"/>
  <c r="AN763" i="1" a="1"/>
  <c r="AN763" i="1" s="1"/>
  <c r="AO763" i="1" a="1"/>
  <c r="AO763" i="1" s="1"/>
  <c r="AP763" i="1" a="1"/>
  <c r="AP763" i="1" s="1"/>
  <c r="AQ763" i="1" a="1"/>
  <c r="AQ763" i="1" s="1"/>
  <c r="AR763" i="1" a="1"/>
  <c r="AR763" i="1" s="1"/>
  <c r="AS763" i="1" a="1"/>
  <c r="AS763" i="1" s="1"/>
  <c r="AT763" i="1" a="1"/>
  <c r="AT763" i="1" s="1"/>
  <c r="AU763" i="1" a="1"/>
  <c r="AU763" i="1" s="1"/>
  <c r="AV763" i="1" a="1"/>
  <c r="AV763" i="1" s="1"/>
  <c r="AW763" i="1" a="1"/>
  <c r="AW763" i="1" s="1"/>
  <c r="AX763" i="1" a="1"/>
  <c r="AX763" i="1" s="1"/>
  <c r="AY763" i="1" a="1"/>
  <c r="AY763" i="1" s="1"/>
  <c r="AZ763" i="1" a="1"/>
  <c r="AZ763" i="1" s="1"/>
  <c r="BA763" i="1" a="1"/>
  <c r="BA763" i="1" s="1"/>
  <c r="BB763" i="1" a="1"/>
  <c r="BB763" i="1" s="1"/>
  <c r="AL764" i="1" a="1"/>
  <c r="AL764" i="1" s="1"/>
  <c r="AM764" i="1" a="1"/>
  <c r="AM764" i="1" s="1"/>
  <c r="AN764" i="1" a="1"/>
  <c r="AN764" i="1" s="1"/>
  <c r="AO764" i="1" a="1"/>
  <c r="AO764" i="1" s="1"/>
  <c r="AP764" i="1" a="1"/>
  <c r="AP764" i="1" s="1"/>
  <c r="AQ764" i="1" a="1"/>
  <c r="AQ764" i="1" s="1"/>
  <c r="AR764" i="1" a="1"/>
  <c r="AR764" i="1" s="1"/>
  <c r="AS764" i="1" a="1"/>
  <c r="AS764" i="1" s="1"/>
  <c r="AT764" i="1" a="1"/>
  <c r="AT764" i="1" s="1"/>
  <c r="AU764" i="1" a="1"/>
  <c r="AU764" i="1" s="1"/>
  <c r="AV764" i="1" a="1"/>
  <c r="AV764" i="1" s="1"/>
  <c r="AW764" i="1" a="1"/>
  <c r="AW764" i="1" s="1"/>
  <c r="AX764" i="1" a="1"/>
  <c r="AX764" i="1" s="1"/>
  <c r="AY764" i="1" a="1"/>
  <c r="AY764" i="1" s="1"/>
  <c r="AZ764" i="1" a="1"/>
  <c r="AZ764" i="1" s="1"/>
  <c r="BA764" i="1" a="1"/>
  <c r="BA764" i="1" s="1"/>
  <c r="BB764" i="1" a="1"/>
  <c r="BB764" i="1" s="1"/>
  <c r="AL423" i="1" a="1"/>
  <c r="AL423" i="1" s="1"/>
  <c r="AM423" i="1" a="1"/>
  <c r="AM423" i="1" s="1"/>
  <c r="AN423" i="1" a="1"/>
  <c r="AN423" i="1" s="1"/>
  <c r="AO423" i="1" a="1"/>
  <c r="AO423" i="1" s="1"/>
  <c r="AP423" i="1" a="1"/>
  <c r="AP423" i="1" s="1"/>
  <c r="AQ423" i="1" a="1"/>
  <c r="AQ423" i="1" s="1"/>
  <c r="AR423" i="1" a="1"/>
  <c r="AR423" i="1" s="1"/>
  <c r="AS423" i="1" a="1"/>
  <c r="AS423" i="1" s="1"/>
  <c r="AT423" i="1" a="1"/>
  <c r="AT423" i="1" s="1"/>
  <c r="AU423" i="1" a="1"/>
  <c r="AU423" i="1" s="1"/>
  <c r="AV423" i="1" a="1"/>
  <c r="AV423" i="1" s="1"/>
  <c r="AW423" i="1" a="1"/>
  <c r="AW423" i="1" s="1"/>
  <c r="AX423" i="1" a="1"/>
  <c r="AX423" i="1" s="1"/>
  <c r="AY423" i="1" a="1"/>
  <c r="AY423" i="1" s="1"/>
  <c r="AZ423" i="1" a="1"/>
  <c r="AZ423" i="1" s="1"/>
  <c r="BA423" i="1" a="1"/>
  <c r="BA423" i="1" s="1"/>
  <c r="BB423" i="1" a="1"/>
  <c r="BB423" i="1" s="1"/>
  <c r="AL765" i="1" a="1"/>
  <c r="AL765" i="1" s="1"/>
  <c r="AM765" i="1" a="1"/>
  <c r="AM765" i="1" s="1"/>
  <c r="AN765" i="1" a="1"/>
  <c r="AN765" i="1" s="1"/>
  <c r="AO765" i="1" a="1"/>
  <c r="AO765" i="1" s="1"/>
  <c r="AP765" i="1" a="1"/>
  <c r="AP765" i="1" s="1"/>
  <c r="AQ765" i="1" a="1"/>
  <c r="AQ765" i="1" s="1"/>
  <c r="AR765" i="1" a="1"/>
  <c r="AR765" i="1" s="1"/>
  <c r="AS765" i="1" a="1"/>
  <c r="AS765" i="1" s="1"/>
  <c r="AT765" i="1" a="1"/>
  <c r="AT765" i="1" s="1"/>
  <c r="AU765" i="1" a="1"/>
  <c r="AU765" i="1" s="1"/>
  <c r="AV765" i="1" a="1"/>
  <c r="AV765" i="1" s="1"/>
  <c r="AW765" i="1" a="1"/>
  <c r="AW765" i="1" s="1"/>
  <c r="AX765" i="1" a="1"/>
  <c r="AX765" i="1" s="1"/>
  <c r="AY765" i="1" a="1"/>
  <c r="AY765" i="1" s="1"/>
  <c r="AZ765" i="1" a="1"/>
  <c r="AZ765" i="1" s="1"/>
  <c r="BA765" i="1" a="1"/>
  <c r="BA765" i="1" s="1"/>
  <c r="BB765" i="1" a="1"/>
  <c r="BB765" i="1" s="1"/>
  <c r="AL766" i="1" a="1"/>
  <c r="AL766" i="1" s="1"/>
  <c r="AM766" i="1" a="1"/>
  <c r="AM766" i="1" s="1"/>
  <c r="AN766" i="1" a="1"/>
  <c r="AN766" i="1" s="1"/>
  <c r="AO766" i="1" a="1"/>
  <c r="AO766" i="1" s="1"/>
  <c r="AP766" i="1" a="1"/>
  <c r="AP766" i="1" s="1"/>
  <c r="AQ766" i="1" a="1"/>
  <c r="AQ766" i="1" s="1"/>
  <c r="AR766" i="1" a="1"/>
  <c r="AR766" i="1" s="1"/>
  <c r="AS766" i="1" a="1"/>
  <c r="AS766" i="1" s="1"/>
  <c r="AT766" i="1" a="1"/>
  <c r="AT766" i="1" s="1"/>
  <c r="AU766" i="1" a="1"/>
  <c r="AU766" i="1" s="1"/>
  <c r="AV766" i="1" a="1"/>
  <c r="AV766" i="1" s="1"/>
  <c r="AW766" i="1" a="1"/>
  <c r="AW766" i="1" s="1"/>
  <c r="AX766" i="1" a="1"/>
  <c r="AX766" i="1" s="1"/>
  <c r="AY766" i="1" a="1"/>
  <c r="AY766" i="1" s="1"/>
  <c r="AZ766" i="1" a="1"/>
  <c r="AZ766" i="1" s="1"/>
  <c r="BA766" i="1" a="1"/>
  <c r="BA766" i="1" s="1"/>
  <c r="BB766" i="1" a="1"/>
  <c r="BB766" i="1" s="1"/>
  <c r="AL767" i="1" a="1"/>
  <c r="AL767" i="1" s="1"/>
  <c r="AM767" i="1" a="1"/>
  <c r="AM767" i="1" s="1"/>
  <c r="AN767" i="1" a="1"/>
  <c r="AN767" i="1" s="1"/>
  <c r="AO767" i="1" a="1"/>
  <c r="AO767" i="1" s="1"/>
  <c r="AP767" i="1" a="1"/>
  <c r="AP767" i="1" s="1"/>
  <c r="AQ767" i="1" a="1"/>
  <c r="AQ767" i="1" s="1"/>
  <c r="AR767" i="1" a="1"/>
  <c r="AR767" i="1" s="1"/>
  <c r="AS767" i="1" a="1"/>
  <c r="AS767" i="1" s="1"/>
  <c r="AT767" i="1" a="1"/>
  <c r="AT767" i="1" s="1"/>
  <c r="AU767" i="1" a="1"/>
  <c r="AU767" i="1" s="1"/>
  <c r="AV767" i="1" a="1"/>
  <c r="AV767" i="1" s="1"/>
  <c r="AW767" i="1" a="1"/>
  <c r="AW767" i="1" s="1"/>
  <c r="AX767" i="1" a="1"/>
  <c r="AX767" i="1" s="1"/>
  <c r="AY767" i="1" a="1"/>
  <c r="AY767" i="1" s="1"/>
  <c r="AZ767" i="1" a="1"/>
  <c r="AZ767" i="1" s="1"/>
  <c r="BA767" i="1" a="1"/>
  <c r="BA767" i="1" s="1"/>
  <c r="BB767" i="1" a="1"/>
  <c r="BB767" i="1" s="1"/>
  <c r="AL265" i="1" a="1"/>
  <c r="AL265" i="1" s="1"/>
  <c r="AM265" i="1" a="1"/>
  <c r="AM265" i="1" s="1"/>
  <c r="AN265" i="1" a="1"/>
  <c r="AN265" i="1" s="1"/>
  <c r="AO265" i="1" a="1"/>
  <c r="AO265" i="1" s="1"/>
  <c r="AP265" i="1" a="1"/>
  <c r="AP265" i="1" s="1"/>
  <c r="AQ265" i="1" a="1"/>
  <c r="AQ265" i="1" s="1"/>
  <c r="AR265" i="1" a="1"/>
  <c r="AR265" i="1" s="1"/>
  <c r="AS265" i="1" a="1"/>
  <c r="AS265" i="1" s="1"/>
  <c r="AT265" i="1" a="1"/>
  <c r="AT265" i="1" s="1"/>
  <c r="AU265" i="1" a="1"/>
  <c r="AU265" i="1" s="1"/>
  <c r="AV265" i="1" a="1"/>
  <c r="AV265" i="1" s="1"/>
  <c r="AW265" i="1" a="1"/>
  <c r="AW265" i="1" s="1"/>
  <c r="AX265" i="1" a="1"/>
  <c r="AX265" i="1" s="1"/>
  <c r="AY265" i="1" a="1"/>
  <c r="AY265" i="1" s="1"/>
  <c r="AZ265" i="1" a="1"/>
  <c r="AZ265" i="1" s="1"/>
  <c r="BA265" i="1" a="1"/>
  <c r="BA265" i="1" s="1"/>
  <c r="BB265" i="1" a="1"/>
  <c r="BB265" i="1" s="1"/>
  <c r="AL768" i="1" a="1"/>
  <c r="AL768" i="1" s="1"/>
  <c r="AM768" i="1" a="1"/>
  <c r="AM768" i="1" s="1"/>
  <c r="AN768" i="1" a="1"/>
  <c r="AN768" i="1" s="1"/>
  <c r="AO768" i="1" a="1"/>
  <c r="AO768" i="1" s="1"/>
  <c r="AP768" i="1" a="1"/>
  <c r="AP768" i="1" s="1"/>
  <c r="AQ768" i="1" a="1"/>
  <c r="AQ768" i="1" s="1"/>
  <c r="AR768" i="1" a="1"/>
  <c r="AR768" i="1" s="1"/>
  <c r="AS768" i="1" a="1"/>
  <c r="AS768" i="1" s="1"/>
  <c r="AT768" i="1" a="1"/>
  <c r="AT768" i="1" s="1"/>
  <c r="AU768" i="1" a="1"/>
  <c r="AU768" i="1" s="1"/>
  <c r="AV768" i="1" a="1"/>
  <c r="AV768" i="1" s="1"/>
  <c r="AW768" i="1" a="1"/>
  <c r="AW768" i="1" s="1"/>
  <c r="AX768" i="1" a="1"/>
  <c r="AX768" i="1" s="1"/>
  <c r="AY768" i="1" a="1"/>
  <c r="AY768" i="1" s="1"/>
  <c r="AZ768" i="1" a="1"/>
  <c r="AZ768" i="1" s="1"/>
  <c r="BA768" i="1" a="1"/>
  <c r="BA768" i="1" s="1"/>
  <c r="BB768" i="1" a="1"/>
  <c r="BB768" i="1" s="1"/>
  <c r="AL769" i="1" a="1"/>
  <c r="AL769" i="1" s="1"/>
  <c r="AM769" i="1" a="1"/>
  <c r="AM769" i="1" s="1"/>
  <c r="AN769" i="1" a="1"/>
  <c r="AN769" i="1" s="1"/>
  <c r="AO769" i="1" a="1"/>
  <c r="AO769" i="1" s="1"/>
  <c r="AP769" i="1" a="1"/>
  <c r="AP769" i="1" s="1"/>
  <c r="AQ769" i="1" a="1"/>
  <c r="AQ769" i="1" s="1"/>
  <c r="AR769" i="1" a="1"/>
  <c r="AR769" i="1" s="1"/>
  <c r="AS769" i="1" a="1"/>
  <c r="AS769" i="1" s="1"/>
  <c r="AT769" i="1" a="1"/>
  <c r="AT769" i="1" s="1"/>
  <c r="AU769" i="1" a="1"/>
  <c r="AU769" i="1" s="1"/>
  <c r="AV769" i="1" a="1"/>
  <c r="AV769" i="1" s="1"/>
  <c r="AW769" i="1" a="1"/>
  <c r="AW769" i="1" s="1"/>
  <c r="AX769" i="1" a="1"/>
  <c r="AX769" i="1" s="1"/>
  <c r="AY769" i="1" a="1"/>
  <c r="AY769" i="1" s="1"/>
  <c r="AZ769" i="1" a="1"/>
  <c r="AZ769" i="1" s="1"/>
  <c r="BA769" i="1" a="1"/>
  <c r="BA769" i="1" s="1"/>
  <c r="BB769" i="1" a="1"/>
  <c r="BB769" i="1" s="1"/>
  <c r="AL770" i="1" a="1"/>
  <c r="AL770" i="1" s="1"/>
  <c r="AM770" i="1" a="1"/>
  <c r="AM770" i="1" s="1"/>
  <c r="AN770" i="1" a="1"/>
  <c r="AN770" i="1" s="1"/>
  <c r="AO770" i="1" a="1"/>
  <c r="AO770" i="1" s="1"/>
  <c r="AP770" i="1" a="1"/>
  <c r="AP770" i="1" s="1"/>
  <c r="AQ770" i="1" a="1"/>
  <c r="AQ770" i="1" s="1"/>
  <c r="AR770" i="1" a="1"/>
  <c r="AR770" i="1" s="1"/>
  <c r="AS770" i="1" a="1"/>
  <c r="AS770" i="1" s="1"/>
  <c r="AT770" i="1" a="1"/>
  <c r="AT770" i="1" s="1"/>
  <c r="AU770" i="1" a="1"/>
  <c r="AU770" i="1" s="1"/>
  <c r="AV770" i="1" a="1"/>
  <c r="AV770" i="1" s="1"/>
  <c r="AW770" i="1" a="1"/>
  <c r="AW770" i="1" s="1"/>
  <c r="AX770" i="1" a="1"/>
  <c r="AX770" i="1" s="1"/>
  <c r="AY770" i="1" a="1"/>
  <c r="AY770" i="1" s="1"/>
  <c r="AZ770" i="1" a="1"/>
  <c r="AZ770" i="1" s="1"/>
  <c r="BA770" i="1" a="1"/>
  <c r="BA770" i="1" s="1"/>
  <c r="BB770" i="1" a="1"/>
  <c r="BB770" i="1" s="1"/>
  <c r="AL771" i="1" a="1"/>
  <c r="AL771" i="1" s="1"/>
  <c r="AM771" i="1" a="1"/>
  <c r="AM771" i="1" s="1"/>
  <c r="AN771" i="1" a="1"/>
  <c r="AN771" i="1" s="1"/>
  <c r="AO771" i="1" a="1"/>
  <c r="AO771" i="1" s="1"/>
  <c r="AP771" i="1" a="1"/>
  <c r="AP771" i="1" s="1"/>
  <c r="AQ771" i="1" a="1"/>
  <c r="AQ771" i="1" s="1"/>
  <c r="AR771" i="1" a="1"/>
  <c r="AR771" i="1" s="1"/>
  <c r="AS771" i="1" a="1"/>
  <c r="AS771" i="1" s="1"/>
  <c r="AT771" i="1" a="1"/>
  <c r="AT771" i="1" s="1"/>
  <c r="AU771" i="1" a="1"/>
  <c r="AU771" i="1" s="1"/>
  <c r="AV771" i="1" a="1"/>
  <c r="AV771" i="1" s="1"/>
  <c r="AW771" i="1" a="1"/>
  <c r="AW771" i="1" s="1"/>
  <c r="AX771" i="1" a="1"/>
  <c r="AX771" i="1" s="1"/>
  <c r="AY771" i="1" a="1"/>
  <c r="AY771" i="1" s="1"/>
  <c r="AZ771" i="1" a="1"/>
  <c r="AZ771" i="1" s="1"/>
  <c r="BA771" i="1" a="1"/>
  <c r="BA771" i="1" s="1"/>
  <c r="BB771" i="1" a="1"/>
  <c r="BB771" i="1" s="1"/>
  <c r="AL772" i="1" a="1"/>
  <c r="AL772" i="1" s="1"/>
  <c r="AM772" i="1" a="1"/>
  <c r="AM772" i="1" s="1"/>
  <c r="AN772" i="1" a="1"/>
  <c r="AN772" i="1" s="1"/>
  <c r="AO772" i="1" a="1"/>
  <c r="AO772" i="1" s="1"/>
  <c r="AP772" i="1" a="1"/>
  <c r="AP772" i="1" s="1"/>
  <c r="AQ772" i="1" a="1"/>
  <c r="AQ772" i="1" s="1"/>
  <c r="AR772" i="1" a="1"/>
  <c r="AR772" i="1" s="1"/>
  <c r="AS772" i="1" a="1"/>
  <c r="AS772" i="1" s="1"/>
  <c r="AT772" i="1" a="1"/>
  <c r="AT772" i="1" s="1"/>
  <c r="AU772" i="1" a="1"/>
  <c r="AU772" i="1" s="1"/>
  <c r="AV772" i="1" a="1"/>
  <c r="AV772" i="1" s="1"/>
  <c r="AW772" i="1" a="1"/>
  <c r="AW772" i="1" s="1"/>
  <c r="AX772" i="1" a="1"/>
  <c r="AX772" i="1" s="1"/>
  <c r="AY772" i="1" a="1"/>
  <c r="AY772" i="1" s="1"/>
  <c r="AZ772" i="1" a="1"/>
  <c r="AZ772" i="1" s="1"/>
  <c r="BA772" i="1" a="1"/>
  <c r="BA772" i="1" s="1"/>
  <c r="BB772" i="1" a="1"/>
  <c r="BB772" i="1" s="1"/>
  <c r="AL773" i="1" a="1"/>
  <c r="AL773" i="1" s="1"/>
  <c r="AM773" i="1" a="1"/>
  <c r="AM773" i="1" s="1"/>
  <c r="AN773" i="1" a="1"/>
  <c r="AN773" i="1" s="1"/>
  <c r="AO773" i="1" a="1"/>
  <c r="AO773" i="1" s="1"/>
  <c r="AP773" i="1" a="1"/>
  <c r="AP773" i="1" s="1"/>
  <c r="AQ773" i="1" a="1"/>
  <c r="AQ773" i="1" s="1"/>
  <c r="AR773" i="1" a="1"/>
  <c r="AR773" i="1" s="1"/>
  <c r="AS773" i="1" a="1"/>
  <c r="AS773" i="1" s="1"/>
  <c r="AT773" i="1" a="1"/>
  <c r="AT773" i="1" s="1"/>
  <c r="AU773" i="1" a="1"/>
  <c r="AU773" i="1" s="1"/>
  <c r="AV773" i="1" a="1"/>
  <c r="AV773" i="1" s="1"/>
  <c r="AW773" i="1" a="1"/>
  <c r="AW773" i="1" s="1"/>
  <c r="AX773" i="1" a="1"/>
  <c r="AX773" i="1" s="1"/>
  <c r="AY773" i="1" a="1"/>
  <c r="AY773" i="1" s="1"/>
  <c r="AZ773" i="1" a="1"/>
  <c r="AZ773" i="1" s="1"/>
  <c r="BA773" i="1" a="1"/>
  <c r="BA773" i="1" s="1"/>
  <c r="BB773" i="1" a="1"/>
  <c r="BB773" i="1" s="1"/>
  <c r="AL774" i="1" a="1"/>
  <c r="AL774" i="1" s="1"/>
  <c r="AM774" i="1" a="1"/>
  <c r="AM774" i="1" s="1"/>
  <c r="AN774" i="1" a="1"/>
  <c r="AN774" i="1" s="1"/>
  <c r="AO774" i="1" a="1"/>
  <c r="AO774" i="1" s="1"/>
  <c r="AP774" i="1" a="1"/>
  <c r="AP774" i="1" s="1"/>
  <c r="AQ774" i="1" a="1"/>
  <c r="AQ774" i="1" s="1"/>
  <c r="AR774" i="1" a="1"/>
  <c r="AR774" i="1" s="1"/>
  <c r="AS774" i="1" a="1"/>
  <c r="AS774" i="1" s="1"/>
  <c r="AT774" i="1" a="1"/>
  <c r="AT774" i="1" s="1"/>
  <c r="AU774" i="1" a="1"/>
  <c r="AU774" i="1" s="1"/>
  <c r="AV774" i="1" a="1"/>
  <c r="AV774" i="1" s="1"/>
  <c r="AW774" i="1" a="1"/>
  <c r="AW774" i="1" s="1"/>
  <c r="AX774" i="1" a="1"/>
  <c r="AX774" i="1" s="1"/>
  <c r="AY774" i="1" a="1"/>
  <c r="AY774" i="1" s="1"/>
  <c r="AZ774" i="1" a="1"/>
  <c r="AZ774" i="1" s="1"/>
  <c r="BA774" i="1" a="1"/>
  <c r="BA774" i="1" s="1"/>
  <c r="BB774" i="1" a="1"/>
  <c r="BB774" i="1" s="1"/>
  <c r="AL775" i="1" a="1"/>
  <c r="AL775" i="1" s="1"/>
  <c r="AM775" i="1" a="1"/>
  <c r="AM775" i="1" s="1"/>
  <c r="AN775" i="1" a="1"/>
  <c r="AN775" i="1" s="1"/>
  <c r="AO775" i="1" a="1"/>
  <c r="AO775" i="1" s="1"/>
  <c r="AP775" i="1" a="1"/>
  <c r="AP775" i="1" s="1"/>
  <c r="AQ775" i="1" a="1"/>
  <c r="AQ775" i="1" s="1"/>
  <c r="AR775" i="1" a="1"/>
  <c r="AR775" i="1" s="1"/>
  <c r="AS775" i="1" a="1"/>
  <c r="AS775" i="1" s="1"/>
  <c r="AT775" i="1" a="1"/>
  <c r="AT775" i="1" s="1"/>
  <c r="AU775" i="1" a="1"/>
  <c r="AU775" i="1" s="1"/>
  <c r="AV775" i="1" a="1"/>
  <c r="AV775" i="1" s="1"/>
  <c r="AW775" i="1" a="1"/>
  <c r="AW775" i="1" s="1"/>
  <c r="AX775" i="1" a="1"/>
  <c r="AX775" i="1" s="1"/>
  <c r="AY775" i="1" a="1"/>
  <c r="AY775" i="1" s="1"/>
  <c r="AZ775" i="1" a="1"/>
  <c r="AZ775" i="1" s="1"/>
  <c r="BA775" i="1" a="1"/>
  <c r="BA775" i="1" s="1"/>
  <c r="BB775" i="1" a="1"/>
  <c r="BB775" i="1" s="1"/>
  <c r="AL776" i="1" a="1"/>
  <c r="AL776" i="1" s="1"/>
  <c r="AM776" i="1" a="1"/>
  <c r="AM776" i="1" s="1"/>
  <c r="AN776" i="1" a="1"/>
  <c r="AN776" i="1" s="1"/>
  <c r="AO776" i="1" a="1"/>
  <c r="AO776" i="1" s="1"/>
  <c r="AP776" i="1" a="1"/>
  <c r="AP776" i="1" s="1"/>
  <c r="AQ776" i="1" a="1"/>
  <c r="AQ776" i="1" s="1"/>
  <c r="AR776" i="1" a="1"/>
  <c r="AR776" i="1" s="1"/>
  <c r="AS776" i="1" a="1"/>
  <c r="AS776" i="1" s="1"/>
  <c r="AT776" i="1" a="1"/>
  <c r="AT776" i="1" s="1"/>
  <c r="AU776" i="1" a="1"/>
  <c r="AU776" i="1" s="1"/>
  <c r="AV776" i="1" a="1"/>
  <c r="AV776" i="1" s="1"/>
  <c r="AW776" i="1" a="1"/>
  <c r="AW776" i="1" s="1"/>
  <c r="AX776" i="1" a="1"/>
  <c r="AX776" i="1" s="1"/>
  <c r="AY776" i="1" a="1"/>
  <c r="AY776" i="1" s="1"/>
  <c r="AZ776" i="1" a="1"/>
  <c r="AZ776" i="1" s="1"/>
  <c r="BA776" i="1" a="1"/>
  <c r="BA776" i="1" s="1"/>
  <c r="BB776" i="1" a="1"/>
  <c r="BB776" i="1" s="1"/>
  <c r="AL777" i="1" a="1"/>
  <c r="AL777" i="1" s="1"/>
  <c r="AM777" i="1" a="1"/>
  <c r="AM777" i="1" s="1"/>
  <c r="AN777" i="1" a="1"/>
  <c r="AN777" i="1" s="1"/>
  <c r="AO777" i="1" a="1"/>
  <c r="AO777" i="1" s="1"/>
  <c r="AP777" i="1" a="1"/>
  <c r="AP777" i="1" s="1"/>
  <c r="AQ777" i="1" a="1"/>
  <c r="AQ777" i="1" s="1"/>
  <c r="AR777" i="1" a="1"/>
  <c r="AR777" i="1" s="1"/>
  <c r="AS777" i="1" a="1"/>
  <c r="AS777" i="1" s="1"/>
  <c r="AT777" i="1" a="1"/>
  <c r="AT777" i="1" s="1"/>
  <c r="AU777" i="1" a="1"/>
  <c r="AU777" i="1" s="1"/>
  <c r="AV777" i="1" a="1"/>
  <c r="AV777" i="1" s="1"/>
  <c r="AW777" i="1" a="1"/>
  <c r="AW777" i="1" s="1"/>
  <c r="AX777" i="1" a="1"/>
  <c r="AX777" i="1" s="1"/>
  <c r="AY777" i="1" a="1"/>
  <c r="AY777" i="1" s="1"/>
  <c r="AZ777" i="1" a="1"/>
  <c r="AZ777" i="1" s="1"/>
  <c r="BA777" i="1" a="1"/>
  <c r="BA777" i="1" s="1"/>
  <c r="BB777" i="1" a="1"/>
  <c r="BB777" i="1" s="1"/>
  <c r="AL778" i="1" a="1"/>
  <c r="AL778" i="1" s="1"/>
  <c r="AM778" i="1" a="1"/>
  <c r="AM778" i="1" s="1"/>
  <c r="AN778" i="1" a="1"/>
  <c r="AN778" i="1" s="1"/>
  <c r="AO778" i="1" a="1"/>
  <c r="AO778" i="1" s="1"/>
  <c r="AP778" i="1" a="1"/>
  <c r="AP778" i="1" s="1"/>
  <c r="AQ778" i="1" a="1"/>
  <c r="AQ778" i="1" s="1"/>
  <c r="AR778" i="1" a="1"/>
  <c r="AR778" i="1" s="1"/>
  <c r="AS778" i="1" a="1"/>
  <c r="AS778" i="1" s="1"/>
  <c r="AT778" i="1" a="1"/>
  <c r="AT778" i="1" s="1"/>
  <c r="AU778" i="1" a="1"/>
  <c r="AU778" i="1" s="1"/>
  <c r="AV778" i="1" a="1"/>
  <c r="AV778" i="1" s="1"/>
  <c r="AW778" i="1" a="1"/>
  <c r="AW778" i="1" s="1"/>
  <c r="AX778" i="1" a="1"/>
  <c r="AX778" i="1" s="1"/>
  <c r="AY778" i="1" a="1"/>
  <c r="AY778" i="1" s="1"/>
  <c r="AZ778" i="1" a="1"/>
  <c r="AZ778" i="1" s="1"/>
  <c r="BA778" i="1" a="1"/>
  <c r="BA778" i="1" s="1"/>
  <c r="BB778" i="1" a="1"/>
  <c r="BB778" i="1" s="1"/>
  <c r="AL779" i="1" a="1"/>
  <c r="AL779" i="1" s="1"/>
  <c r="AM779" i="1" a="1"/>
  <c r="AM779" i="1" s="1"/>
  <c r="AN779" i="1" a="1"/>
  <c r="AN779" i="1" s="1"/>
  <c r="AO779" i="1" a="1"/>
  <c r="AO779" i="1" s="1"/>
  <c r="AP779" i="1" a="1"/>
  <c r="AP779" i="1" s="1"/>
  <c r="AQ779" i="1" a="1"/>
  <c r="AQ779" i="1" s="1"/>
  <c r="AR779" i="1" a="1"/>
  <c r="AR779" i="1" s="1"/>
  <c r="AS779" i="1" a="1"/>
  <c r="AS779" i="1" s="1"/>
  <c r="AT779" i="1" a="1"/>
  <c r="AT779" i="1" s="1"/>
  <c r="AU779" i="1" a="1"/>
  <c r="AU779" i="1" s="1"/>
  <c r="AV779" i="1" a="1"/>
  <c r="AV779" i="1" s="1"/>
  <c r="AW779" i="1" a="1"/>
  <c r="AW779" i="1" s="1"/>
  <c r="AX779" i="1" a="1"/>
  <c r="AX779" i="1" s="1"/>
  <c r="AY779" i="1" a="1"/>
  <c r="AY779" i="1" s="1"/>
  <c r="AZ779" i="1" a="1"/>
  <c r="AZ779" i="1" s="1"/>
  <c r="BA779" i="1" a="1"/>
  <c r="BA779" i="1" s="1"/>
  <c r="BB779" i="1" a="1"/>
  <c r="BB779" i="1" s="1"/>
  <c r="AL780" i="1" a="1"/>
  <c r="AL780" i="1" s="1"/>
  <c r="AM780" i="1" a="1"/>
  <c r="AM780" i="1" s="1"/>
  <c r="AN780" i="1" a="1"/>
  <c r="AN780" i="1" s="1"/>
  <c r="AO780" i="1" a="1"/>
  <c r="AO780" i="1" s="1"/>
  <c r="AP780" i="1" a="1"/>
  <c r="AP780" i="1" s="1"/>
  <c r="AQ780" i="1" a="1"/>
  <c r="AQ780" i="1" s="1"/>
  <c r="AR780" i="1" a="1"/>
  <c r="AR780" i="1" s="1"/>
  <c r="AS780" i="1" a="1"/>
  <c r="AS780" i="1" s="1"/>
  <c r="AT780" i="1" a="1"/>
  <c r="AT780" i="1" s="1"/>
  <c r="AU780" i="1" a="1"/>
  <c r="AU780" i="1" s="1"/>
  <c r="AV780" i="1" a="1"/>
  <c r="AV780" i="1" s="1"/>
  <c r="AW780" i="1" a="1"/>
  <c r="AW780" i="1" s="1"/>
  <c r="AX780" i="1" a="1"/>
  <c r="AX780" i="1" s="1"/>
  <c r="AY780" i="1" a="1"/>
  <c r="AY780" i="1" s="1"/>
  <c r="AZ780" i="1" a="1"/>
  <c r="AZ780" i="1" s="1"/>
  <c r="BA780" i="1" a="1"/>
  <c r="BA780" i="1" s="1"/>
  <c r="BB780" i="1" a="1"/>
  <c r="BB780" i="1" s="1"/>
  <c r="AL625" i="1" a="1"/>
  <c r="AL625" i="1" s="1"/>
  <c r="AM625" i="1" a="1"/>
  <c r="AM625" i="1" s="1"/>
  <c r="AN625" i="1" a="1"/>
  <c r="AN625" i="1" s="1"/>
  <c r="AO625" i="1" a="1"/>
  <c r="AO625" i="1" s="1"/>
  <c r="AP625" i="1" a="1"/>
  <c r="AP625" i="1" s="1"/>
  <c r="AQ625" i="1" a="1"/>
  <c r="AQ625" i="1" s="1"/>
  <c r="AR625" i="1" a="1"/>
  <c r="AR625" i="1" s="1"/>
  <c r="AS625" i="1" a="1"/>
  <c r="AS625" i="1" s="1"/>
  <c r="AT625" i="1" a="1"/>
  <c r="AT625" i="1" s="1"/>
  <c r="AU625" i="1" a="1"/>
  <c r="AU625" i="1" s="1"/>
  <c r="AV625" i="1" a="1"/>
  <c r="AV625" i="1" s="1"/>
  <c r="AW625" i="1" a="1"/>
  <c r="AW625" i="1" s="1"/>
  <c r="AX625" i="1" a="1"/>
  <c r="AX625" i="1" s="1"/>
  <c r="AY625" i="1" a="1"/>
  <c r="AY625" i="1" s="1"/>
  <c r="AZ625" i="1" a="1"/>
  <c r="AZ625" i="1" s="1"/>
  <c r="BA625" i="1" a="1"/>
  <c r="BA625" i="1" s="1"/>
  <c r="BB625" i="1" a="1"/>
  <c r="BB625" i="1" s="1"/>
  <c r="AL626" i="1" a="1"/>
  <c r="AL626" i="1" s="1"/>
  <c r="AM626" i="1" a="1"/>
  <c r="AM626" i="1" s="1"/>
  <c r="AN626" i="1" a="1"/>
  <c r="AN626" i="1" s="1"/>
  <c r="AO626" i="1" a="1"/>
  <c r="AO626" i="1" s="1"/>
  <c r="AP626" i="1" a="1"/>
  <c r="AP626" i="1" s="1"/>
  <c r="AQ626" i="1" a="1"/>
  <c r="AQ626" i="1" s="1"/>
  <c r="AR626" i="1" a="1"/>
  <c r="AR626" i="1" s="1"/>
  <c r="AS626" i="1" a="1"/>
  <c r="AS626" i="1" s="1"/>
  <c r="AT626" i="1" a="1"/>
  <c r="AT626" i="1" s="1"/>
  <c r="AU626" i="1" a="1"/>
  <c r="AU626" i="1" s="1"/>
  <c r="AV626" i="1" a="1"/>
  <c r="AV626" i="1" s="1"/>
  <c r="AW626" i="1" a="1"/>
  <c r="AW626" i="1" s="1"/>
  <c r="AX626" i="1" a="1"/>
  <c r="AX626" i="1" s="1"/>
  <c r="AY626" i="1" a="1"/>
  <c r="AY626" i="1" s="1"/>
  <c r="AZ626" i="1" a="1"/>
  <c r="AZ626" i="1" s="1"/>
  <c r="BA626" i="1" a="1"/>
  <c r="BA626" i="1" s="1"/>
  <c r="BB626" i="1" a="1"/>
  <c r="BB626" i="1" s="1"/>
  <c r="AL781" i="1" a="1"/>
  <c r="AL781" i="1" s="1"/>
  <c r="AM781" i="1" a="1"/>
  <c r="AM781" i="1" s="1"/>
  <c r="AN781" i="1" a="1"/>
  <c r="AN781" i="1" s="1"/>
  <c r="AO781" i="1" a="1"/>
  <c r="AO781" i="1" s="1"/>
  <c r="AP781" i="1" a="1"/>
  <c r="AP781" i="1" s="1"/>
  <c r="AQ781" i="1" a="1"/>
  <c r="AQ781" i="1" s="1"/>
  <c r="AR781" i="1" a="1"/>
  <c r="AR781" i="1" s="1"/>
  <c r="AS781" i="1" a="1"/>
  <c r="AS781" i="1" s="1"/>
  <c r="AT781" i="1" a="1"/>
  <c r="AT781" i="1" s="1"/>
  <c r="AU781" i="1" a="1"/>
  <c r="AU781" i="1" s="1"/>
  <c r="AV781" i="1" a="1"/>
  <c r="AV781" i="1" s="1"/>
  <c r="AW781" i="1" a="1"/>
  <c r="AW781" i="1" s="1"/>
  <c r="AX781" i="1" a="1"/>
  <c r="AX781" i="1" s="1"/>
  <c r="AY781" i="1" a="1"/>
  <c r="AY781" i="1" s="1"/>
  <c r="AZ781" i="1" a="1"/>
  <c r="AZ781" i="1" s="1"/>
  <c r="BA781" i="1" a="1"/>
  <c r="BA781" i="1" s="1"/>
  <c r="BB781" i="1" a="1"/>
  <c r="BB781" i="1" s="1"/>
  <c r="AL783" i="1" a="1"/>
  <c r="AL783" i="1" s="1"/>
  <c r="AM783" i="1" a="1"/>
  <c r="AM783" i="1" s="1"/>
  <c r="AN783" i="1" a="1"/>
  <c r="AN783" i="1" s="1"/>
  <c r="AO783" i="1" a="1"/>
  <c r="AO783" i="1" s="1"/>
  <c r="AP783" i="1" a="1"/>
  <c r="AP783" i="1" s="1"/>
  <c r="AQ783" i="1" a="1"/>
  <c r="AQ783" i="1" s="1"/>
  <c r="AR783" i="1" a="1"/>
  <c r="AR783" i="1" s="1"/>
  <c r="AS783" i="1" a="1"/>
  <c r="AS783" i="1" s="1"/>
  <c r="AT783" i="1" a="1"/>
  <c r="AT783" i="1" s="1"/>
  <c r="AU783" i="1" a="1"/>
  <c r="AU783" i="1" s="1"/>
  <c r="AV783" i="1" a="1"/>
  <c r="AV783" i="1" s="1"/>
  <c r="AW783" i="1" a="1"/>
  <c r="AW783" i="1" s="1"/>
  <c r="AX783" i="1" a="1"/>
  <c r="AX783" i="1" s="1"/>
  <c r="AY783" i="1" a="1"/>
  <c r="AY783" i="1" s="1"/>
  <c r="AZ783" i="1" a="1"/>
  <c r="AZ783" i="1" s="1"/>
  <c r="BA783" i="1" a="1"/>
  <c r="BA783" i="1" s="1"/>
  <c r="BB783" i="1" a="1"/>
  <c r="BB783" i="1" s="1"/>
  <c r="AL784" i="1" a="1"/>
  <c r="AL784" i="1" s="1"/>
  <c r="AM784" i="1" a="1"/>
  <c r="AM784" i="1" s="1"/>
  <c r="AN784" i="1" a="1"/>
  <c r="AN784" i="1" s="1"/>
  <c r="AO784" i="1" a="1"/>
  <c r="AO784" i="1" s="1"/>
  <c r="AP784" i="1" a="1"/>
  <c r="AP784" i="1" s="1"/>
  <c r="AQ784" i="1" a="1"/>
  <c r="AQ784" i="1" s="1"/>
  <c r="AR784" i="1" a="1"/>
  <c r="AR784" i="1" s="1"/>
  <c r="AS784" i="1" a="1"/>
  <c r="AS784" i="1" s="1"/>
  <c r="AT784" i="1" a="1"/>
  <c r="AT784" i="1" s="1"/>
  <c r="AU784" i="1" a="1"/>
  <c r="AU784" i="1" s="1"/>
  <c r="AV784" i="1" a="1"/>
  <c r="AV784" i="1" s="1"/>
  <c r="AW784" i="1" a="1"/>
  <c r="AW784" i="1" s="1"/>
  <c r="AX784" i="1" a="1"/>
  <c r="AX784" i="1" s="1"/>
  <c r="AY784" i="1" a="1"/>
  <c r="AY784" i="1" s="1"/>
  <c r="AZ784" i="1" a="1"/>
  <c r="AZ784" i="1" s="1"/>
  <c r="BA784" i="1" a="1"/>
  <c r="BA784" i="1" s="1"/>
  <c r="BB784" i="1" a="1"/>
  <c r="BB784" i="1" s="1"/>
  <c r="AL785" i="1" a="1"/>
  <c r="AL785" i="1" s="1"/>
  <c r="AM785" i="1" a="1"/>
  <c r="AM785" i="1" s="1"/>
  <c r="AN785" i="1" a="1"/>
  <c r="AN785" i="1" s="1"/>
  <c r="AO785" i="1" a="1"/>
  <c r="AO785" i="1" s="1"/>
  <c r="AP785" i="1" a="1"/>
  <c r="AP785" i="1" s="1"/>
  <c r="AQ785" i="1" a="1"/>
  <c r="AQ785" i="1" s="1"/>
  <c r="AR785" i="1" a="1"/>
  <c r="AR785" i="1" s="1"/>
  <c r="AS785" i="1" a="1"/>
  <c r="AS785" i="1" s="1"/>
  <c r="AT785" i="1" a="1"/>
  <c r="AT785" i="1" s="1"/>
  <c r="AU785" i="1" a="1"/>
  <c r="AU785" i="1" s="1"/>
  <c r="AV785" i="1" a="1"/>
  <c r="AV785" i="1" s="1"/>
  <c r="AW785" i="1" a="1"/>
  <c r="AW785" i="1" s="1"/>
  <c r="AX785" i="1" a="1"/>
  <c r="AX785" i="1" s="1"/>
  <c r="AY785" i="1" a="1"/>
  <c r="AY785" i="1" s="1"/>
  <c r="AZ785" i="1" a="1"/>
  <c r="AZ785" i="1" s="1"/>
  <c r="BA785" i="1" a="1"/>
  <c r="BA785" i="1" s="1"/>
  <c r="BB785" i="1" a="1"/>
  <c r="BB785" i="1" s="1"/>
  <c r="AL786" i="1" a="1"/>
  <c r="AL786" i="1" s="1"/>
  <c r="AM786" i="1" a="1"/>
  <c r="AM786" i="1" s="1"/>
  <c r="AN786" i="1" a="1"/>
  <c r="AN786" i="1" s="1"/>
  <c r="AO786" i="1" a="1"/>
  <c r="AO786" i="1" s="1"/>
  <c r="AP786" i="1" a="1"/>
  <c r="AP786" i="1" s="1"/>
  <c r="AQ786" i="1" a="1"/>
  <c r="AQ786" i="1" s="1"/>
  <c r="AR786" i="1" a="1"/>
  <c r="AR786" i="1" s="1"/>
  <c r="AS786" i="1" a="1"/>
  <c r="AS786" i="1" s="1"/>
  <c r="AT786" i="1" a="1"/>
  <c r="AT786" i="1" s="1"/>
  <c r="AU786" i="1" a="1"/>
  <c r="AU786" i="1" s="1"/>
  <c r="AV786" i="1" a="1"/>
  <c r="AV786" i="1" s="1"/>
  <c r="AW786" i="1" a="1"/>
  <c r="AW786" i="1" s="1"/>
  <c r="AX786" i="1" a="1"/>
  <c r="AX786" i="1" s="1"/>
  <c r="AY786" i="1" a="1"/>
  <c r="AY786" i="1" s="1"/>
  <c r="AZ786" i="1" a="1"/>
  <c r="AZ786" i="1" s="1"/>
  <c r="BA786" i="1" a="1"/>
  <c r="BA786" i="1" s="1"/>
  <c r="BB786" i="1" a="1"/>
  <c r="BB786" i="1" s="1"/>
  <c r="AL640" i="1" a="1"/>
  <c r="AL640" i="1" s="1"/>
  <c r="AM640" i="1" a="1"/>
  <c r="AM640" i="1" s="1"/>
  <c r="AN640" i="1" a="1"/>
  <c r="AN640" i="1" s="1"/>
  <c r="AO640" i="1" a="1"/>
  <c r="AO640" i="1" s="1"/>
  <c r="AP640" i="1" a="1"/>
  <c r="AP640" i="1" s="1"/>
  <c r="AQ640" i="1" a="1"/>
  <c r="AQ640" i="1" s="1"/>
  <c r="AR640" i="1" a="1"/>
  <c r="AR640" i="1" s="1"/>
  <c r="AS640" i="1" a="1"/>
  <c r="AS640" i="1" s="1"/>
  <c r="AT640" i="1" a="1"/>
  <c r="AT640" i="1" s="1"/>
  <c r="AU640" i="1" a="1"/>
  <c r="AU640" i="1" s="1"/>
  <c r="AV640" i="1" a="1"/>
  <c r="AV640" i="1" s="1"/>
  <c r="AW640" i="1" a="1"/>
  <c r="AW640" i="1" s="1"/>
  <c r="AX640" i="1" a="1"/>
  <c r="AX640" i="1" s="1"/>
  <c r="AY640" i="1" a="1"/>
  <c r="AY640" i="1" s="1"/>
  <c r="AZ640" i="1" a="1"/>
  <c r="AZ640" i="1" s="1"/>
  <c r="BA640" i="1" a="1"/>
  <c r="BA640" i="1" s="1"/>
  <c r="BB640" i="1" a="1"/>
  <c r="BB640" i="1" s="1"/>
  <c r="AL787" i="1" a="1"/>
  <c r="AL787" i="1" s="1"/>
  <c r="AM787" i="1" a="1"/>
  <c r="AM787" i="1" s="1"/>
  <c r="AN787" i="1" a="1"/>
  <c r="AN787" i="1" s="1"/>
  <c r="AO787" i="1" a="1"/>
  <c r="AO787" i="1" s="1"/>
  <c r="AP787" i="1" a="1"/>
  <c r="AP787" i="1" s="1"/>
  <c r="AQ787" i="1" a="1"/>
  <c r="AQ787" i="1" s="1"/>
  <c r="AR787" i="1" a="1"/>
  <c r="AR787" i="1" s="1"/>
  <c r="AS787" i="1" a="1"/>
  <c r="AS787" i="1" s="1"/>
  <c r="AT787" i="1" a="1"/>
  <c r="AT787" i="1" s="1"/>
  <c r="AU787" i="1" a="1"/>
  <c r="AU787" i="1" s="1"/>
  <c r="AV787" i="1" a="1"/>
  <c r="AV787" i="1" s="1"/>
  <c r="AW787" i="1" a="1"/>
  <c r="AW787" i="1" s="1"/>
  <c r="AX787" i="1" a="1"/>
  <c r="AX787" i="1" s="1"/>
  <c r="AY787" i="1" a="1"/>
  <c r="AY787" i="1" s="1"/>
  <c r="AZ787" i="1" a="1"/>
  <c r="AZ787" i="1" s="1"/>
  <c r="BA787" i="1" a="1"/>
  <c r="BA787" i="1" s="1"/>
  <c r="BB787" i="1" a="1"/>
  <c r="BB787" i="1" s="1"/>
  <c r="AL788" i="1" a="1"/>
  <c r="AL788" i="1" s="1"/>
  <c r="AM788" i="1" a="1"/>
  <c r="AM788" i="1" s="1"/>
  <c r="AN788" i="1" a="1"/>
  <c r="AN788" i="1" s="1"/>
  <c r="AO788" i="1" a="1"/>
  <c r="AO788" i="1" s="1"/>
  <c r="AP788" i="1" a="1"/>
  <c r="AP788" i="1" s="1"/>
  <c r="AQ788" i="1" a="1"/>
  <c r="AQ788" i="1" s="1"/>
  <c r="AR788" i="1" a="1"/>
  <c r="AR788" i="1" s="1"/>
  <c r="AS788" i="1" a="1"/>
  <c r="AS788" i="1" s="1"/>
  <c r="AT788" i="1" a="1"/>
  <c r="AT788" i="1" s="1"/>
  <c r="AU788" i="1" a="1"/>
  <c r="AU788" i="1" s="1"/>
  <c r="AV788" i="1" a="1"/>
  <c r="AV788" i="1" s="1"/>
  <c r="AW788" i="1" a="1"/>
  <c r="AW788" i="1" s="1"/>
  <c r="AX788" i="1" a="1"/>
  <c r="AX788" i="1" s="1"/>
  <c r="AY788" i="1" a="1"/>
  <c r="AY788" i="1" s="1"/>
  <c r="AZ788" i="1" a="1"/>
  <c r="AZ788" i="1" s="1"/>
  <c r="BA788" i="1" a="1"/>
  <c r="BA788" i="1" s="1"/>
  <c r="BB788" i="1" a="1"/>
  <c r="BB788" i="1" s="1"/>
  <c r="AL789" i="1" a="1"/>
  <c r="AL789" i="1" s="1"/>
  <c r="AM789" i="1" a="1"/>
  <c r="AM789" i="1" s="1"/>
  <c r="AN789" i="1" a="1"/>
  <c r="AN789" i="1" s="1"/>
  <c r="AO789" i="1" a="1"/>
  <c r="AO789" i="1" s="1"/>
  <c r="AP789" i="1" a="1"/>
  <c r="AP789" i="1" s="1"/>
  <c r="AQ789" i="1" a="1"/>
  <c r="AQ789" i="1" s="1"/>
  <c r="AR789" i="1" a="1"/>
  <c r="AR789" i="1" s="1"/>
  <c r="AS789" i="1" a="1"/>
  <c r="AS789" i="1" s="1"/>
  <c r="AT789" i="1" a="1"/>
  <c r="AT789" i="1" s="1"/>
  <c r="AU789" i="1" a="1"/>
  <c r="AU789" i="1" s="1"/>
  <c r="AV789" i="1" a="1"/>
  <c r="AV789" i="1" s="1"/>
  <c r="AW789" i="1" a="1"/>
  <c r="AW789" i="1" s="1"/>
  <c r="AX789" i="1" a="1"/>
  <c r="AX789" i="1" s="1"/>
  <c r="AY789" i="1" a="1"/>
  <c r="AY789" i="1" s="1"/>
  <c r="AZ789" i="1" a="1"/>
  <c r="AZ789" i="1" s="1"/>
  <c r="BA789" i="1" a="1"/>
  <c r="BA789" i="1" s="1"/>
  <c r="BB789" i="1" a="1"/>
  <c r="BB789" i="1" s="1"/>
  <c r="AL648" i="1" a="1"/>
  <c r="AL648" i="1" s="1"/>
  <c r="AM648" i="1" a="1"/>
  <c r="AM648" i="1" s="1"/>
  <c r="AN648" i="1" a="1"/>
  <c r="AN648" i="1" s="1"/>
  <c r="AO648" i="1" a="1"/>
  <c r="AO648" i="1" s="1"/>
  <c r="AP648" i="1" a="1"/>
  <c r="AP648" i="1" s="1"/>
  <c r="AQ648" i="1" a="1"/>
  <c r="AQ648" i="1" s="1"/>
  <c r="AR648" i="1" a="1"/>
  <c r="AR648" i="1" s="1"/>
  <c r="AS648" i="1" a="1"/>
  <c r="AS648" i="1" s="1"/>
  <c r="AT648" i="1" a="1"/>
  <c r="AT648" i="1" s="1"/>
  <c r="AU648" i="1" a="1"/>
  <c r="AU648" i="1" s="1"/>
  <c r="AV648" i="1" a="1"/>
  <c r="AV648" i="1" s="1"/>
  <c r="AW648" i="1" a="1"/>
  <c r="AW648" i="1" s="1"/>
  <c r="AX648" i="1" a="1"/>
  <c r="AX648" i="1" s="1"/>
  <c r="AY648" i="1" a="1"/>
  <c r="AY648" i="1" s="1"/>
  <c r="AZ648" i="1" a="1"/>
  <c r="AZ648" i="1" s="1"/>
  <c r="BA648" i="1" a="1"/>
  <c r="BA648" i="1" s="1"/>
  <c r="BB648" i="1" a="1"/>
  <c r="BB648" i="1" s="1"/>
  <c r="AL790" i="1" a="1"/>
  <c r="AL790" i="1" s="1"/>
  <c r="AM790" i="1" a="1"/>
  <c r="AM790" i="1" s="1"/>
  <c r="AN790" i="1" a="1"/>
  <c r="AN790" i="1" s="1"/>
  <c r="AO790" i="1" a="1"/>
  <c r="AO790" i="1" s="1"/>
  <c r="AP790" i="1" a="1"/>
  <c r="AP790" i="1" s="1"/>
  <c r="AQ790" i="1" a="1"/>
  <c r="AQ790" i="1" s="1"/>
  <c r="AR790" i="1" a="1"/>
  <c r="AR790" i="1" s="1"/>
  <c r="AS790" i="1" a="1"/>
  <c r="AS790" i="1" s="1"/>
  <c r="AT790" i="1" a="1"/>
  <c r="AT790" i="1" s="1"/>
  <c r="AU790" i="1" a="1"/>
  <c r="AU790" i="1" s="1"/>
  <c r="AV790" i="1" a="1"/>
  <c r="AV790" i="1" s="1"/>
  <c r="AW790" i="1" a="1"/>
  <c r="AW790" i="1" s="1"/>
  <c r="AX790" i="1" a="1"/>
  <c r="AX790" i="1" s="1"/>
  <c r="AY790" i="1" a="1"/>
  <c r="AY790" i="1" s="1"/>
  <c r="AZ790" i="1" a="1"/>
  <c r="AZ790" i="1" s="1"/>
  <c r="BA790" i="1" a="1"/>
  <c r="BA790" i="1" s="1"/>
  <c r="BB790" i="1" a="1"/>
  <c r="BB790" i="1" s="1"/>
  <c r="AL791" i="1" a="1"/>
  <c r="AL791" i="1" s="1"/>
  <c r="AM791" i="1" a="1"/>
  <c r="AM791" i="1" s="1"/>
  <c r="AN791" i="1" a="1"/>
  <c r="AN791" i="1" s="1"/>
  <c r="AO791" i="1" a="1"/>
  <c r="AO791" i="1" s="1"/>
  <c r="AP791" i="1" a="1"/>
  <c r="AP791" i="1" s="1"/>
  <c r="AQ791" i="1" a="1"/>
  <c r="AQ791" i="1" s="1"/>
  <c r="AR791" i="1" a="1"/>
  <c r="AR791" i="1" s="1"/>
  <c r="AS791" i="1" a="1"/>
  <c r="AS791" i="1" s="1"/>
  <c r="AT791" i="1" a="1"/>
  <c r="AT791" i="1" s="1"/>
  <c r="AU791" i="1" a="1"/>
  <c r="AU791" i="1" s="1"/>
  <c r="AV791" i="1" a="1"/>
  <c r="AV791" i="1" s="1"/>
  <c r="AW791" i="1" a="1"/>
  <c r="AW791" i="1" s="1"/>
  <c r="AX791" i="1" a="1"/>
  <c r="AX791" i="1" s="1"/>
  <c r="AY791" i="1" a="1"/>
  <c r="AY791" i="1" s="1"/>
  <c r="AZ791" i="1" a="1"/>
  <c r="AZ791" i="1" s="1"/>
  <c r="BA791" i="1" a="1"/>
  <c r="BA791" i="1" s="1"/>
  <c r="BB791" i="1" a="1"/>
  <c r="BB791" i="1" s="1"/>
  <c r="AL792" i="1" a="1"/>
  <c r="AL792" i="1" s="1"/>
  <c r="AM792" i="1" a="1"/>
  <c r="AM792" i="1" s="1"/>
  <c r="AN792" i="1" a="1"/>
  <c r="AN792" i="1" s="1"/>
  <c r="AO792" i="1" a="1"/>
  <c r="AO792" i="1" s="1"/>
  <c r="AP792" i="1" a="1"/>
  <c r="AP792" i="1" s="1"/>
  <c r="AQ792" i="1" a="1"/>
  <c r="AQ792" i="1" s="1"/>
  <c r="AR792" i="1" a="1"/>
  <c r="AR792" i="1" s="1"/>
  <c r="AS792" i="1" a="1"/>
  <c r="AS792" i="1" s="1"/>
  <c r="AT792" i="1" a="1"/>
  <c r="AT792" i="1" s="1"/>
  <c r="AU792" i="1" a="1"/>
  <c r="AU792" i="1" s="1"/>
  <c r="AV792" i="1" a="1"/>
  <c r="AV792" i="1" s="1"/>
  <c r="AW792" i="1" a="1"/>
  <c r="AW792" i="1" s="1"/>
  <c r="AX792" i="1" a="1"/>
  <c r="AX792" i="1" s="1"/>
  <c r="AY792" i="1" a="1"/>
  <c r="AY792" i="1" s="1"/>
  <c r="AZ792" i="1" a="1"/>
  <c r="AZ792" i="1" s="1"/>
  <c r="BA792" i="1" a="1"/>
  <c r="BA792" i="1" s="1"/>
  <c r="BB792" i="1" a="1"/>
  <c r="BB792" i="1" s="1"/>
  <c r="AL655" i="1" a="1"/>
  <c r="AL655" i="1" s="1"/>
  <c r="AM655" i="1" a="1"/>
  <c r="AM655" i="1" s="1"/>
  <c r="AN655" i="1" a="1"/>
  <c r="AN655" i="1" s="1"/>
  <c r="AO655" i="1" a="1"/>
  <c r="AO655" i="1" s="1"/>
  <c r="AP655" i="1" a="1"/>
  <c r="AP655" i="1" s="1"/>
  <c r="AQ655" i="1" a="1"/>
  <c r="AQ655" i="1" s="1"/>
  <c r="AR655" i="1" a="1"/>
  <c r="AR655" i="1" s="1"/>
  <c r="AS655" i="1" a="1"/>
  <c r="AS655" i="1" s="1"/>
  <c r="AT655" i="1" a="1"/>
  <c r="AT655" i="1" s="1"/>
  <c r="AU655" i="1" a="1"/>
  <c r="AU655" i="1" s="1"/>
  <c r="AV655" i="1" a="1"/>
  <c r="AV655" i="1" s="1"/>
  <c r="AW655" i="1" a="1"/>
  <c r="AW655" i="1" s="1"/>
  <c r="AX655" i="1" a="1"/>
  <c r="AX655" i="1" s="1"/>
  <c r="AY655" i="1" a="1"/>
  <c r="AY655" i="1" s="1"/>
  <c r="AZ655" i="1" a="1"/>
  <c r="AZ655" i="1" s="1"/>
  <c r="BA655" i="1" a="1"/>
  <c r="BA655" i="1" s="1"/>
  <c r="BB655" i="1" a="1"/>
  <c r="BB655" i="1" s="1"/>
  <c r="AL793" i="1" a="1"/>
  <c r="AL793" i="1" s="1"/>
  <c r="AM793" i="1" a="1"/>
  <c r="AM793" i="1" s="1"/>
  <c r="AN793" i="1" a="1"/>
  <c r="AN793" i="1" s="1"/>
  <c r="AO793" i="1" a="1"/>
  <c r="AO793" i="1" s="1"/>
  <c r="AP793" i="1" a="1"/>
  <c r="AP793" i="1" s="1"/>
  <c r="AQ793" i="1" a="1"/>
  <c r="AQ793" i="1" s="1"/>
  <c r="AR793" i="1" a="1"/>
  <c r="AR793" i="1" s="1"/>
  <c r="AS793" i="1" a="1"/>
  <c r="AS793" i="1" s="1"/>
  <c r="AT793" i="1" a="1"/>
  <c r="AT793" i="1" s="1"/>
  <c r="AU793" i="1" a="1"/>
  <c r="AU793" i="1" s="1"/>
  <c r="AV793" i="1" a="1"/>
  <c r="AV793" i="1" s="1"/>
  <c r="AW793" i="1" a="1"/>
  <c r="AW793" i="1" s="1"/>
  <c r="AX793" i="1" a="1"/>
  <c r="AX793" i="1" s="1"/>
  <c r="AY793" i="1" a="1"/>
  <c r="AY793" i="1" s="1"/>
  <c r="AZ793" i="1" a="1"/>
  <c r="AZ793" i="1" s="1"/>
  <c r="BA793" i="1" a="1"/>
  <c r="BA793" i="1" s="1"/>
  <c r="BB793" i="1" a="1"/>
  <c r="BB793" i="1" s="1"/>
  <c r="AL658" i="1" a="1"/>
  <c r="AL658" i="1" s="1"/>
  <c r="AM658" i="1" a="1"/>
  <c r="AM658" i="1" s="1"/>
  <c r="AN658" i="1" a="1"/>
  <c r="AN658" i="1" s="1"/>
  <c r="AO658" i="1" a="1"/>
  <c r="AO658" i="1" s="1"/>
  <c r="AP658" i="1" a="1"/>
  <c r="AP658" i="1" s="1"/>
  <c r="AQ658" i="1" a="1"/>
  <c r="AQ658" i="1" s="1"/>
  <c r="AR658" i="1" a="1"/>
  <c r="AR658" i="1" s="1"/>
  <c r="AS658" i="1" a="1"/>
  <c r="AS658" i="1" s="1"/>
  <c r="AT658" i="1" a="1"/>
  <c r="AT658" i="1" s="1"/>
  <c r="AU658" i="1" a="1"/>
  <c r="AU658" i="1" s="1"/>
  <c r="AV658" i="1" a="1"/>
  <c r="AV658" i="1" s="1"/>
  <c r="AW658" i="1" a="1"/>
  <c r="AW658" i="1" s="1"/>
  <c r="AX658" i="1" a="1"/>
  <c r="AX658" i="1" s="1"/>
  <c r="AY658" i="1" a="1"/>
  <c r="AY658" i="1" s="1"/>
  <c r="AZ658" i="1" a="1"/>
  <c r="AZ658" i="1" s="1"/>
  <c r="BA658" i="1" a="1"/>
  <c r="BA658" i="1" s="1"/>
  <c r="BB658" i="1" a="1"/>
  <c r="BB658" i="1" s="1"/>
  <c r="AL794" i="1" a="1"/>
  <c r="AL794" i="1" s="1"/>
  <c r="AM794" i="1" a="1"/>
  <c r="AM794" i="1" s="1"/>
  <c r="AN794" i="1" a="1"/>
  <c r="AN794" i="1" s="1"/>
  <c r="AO794" i="1" a="1"/>
  <c r="AO794" i="1" s="1"/>
  <c r="AP794" i="1" a="1"/>
  <c r="AP794" i="1" s="1"/>
  <c r="AQ794" i="1" a="1"/>
  <c r="AQ794" i="1" s="1"/>
  <c r="AR794" i="1" a="1"/>
  <c r="AR794" i="1" s="1"/>
  <c r="AS794" i="1" a="1"/>
  <c r="AS794" i="1" s="1"/>
  <c r="AT794" i="1" a="1"/>
  <c r="AT794" i="1" s="1"/>
  <c r="AU794" i="1" a="1"/>
  <c r="AU794" i="1" s="1"/>
  <c r="AV794" i="1" a="1"/>
  <c r="AV794" i="1" s="1"/>
  <c r="AW794" i="1" a="1"/>
  <c r="AW794" i="1" s="1"/>
  <c r="AX794" i="1" a="1"/>
  <c r="AX794" i="1" s="1"/>
  <c r="AY794" i="1" a="1"/>
  <c r="AY794" i="1" s="1"/>
  <c r="AZ794" i="1" a="1"/>
  <c r="AZ794" i="1" s="1"/>
  <c r="BA794" i="1" a="1"/>
  <c r="BA794" i="1" s="1"/>
  <c r="BB794" i="1" a="1"/>
  <c r="BB794" i="1" s="1"/>
  <c r="AL662" i="1" a="1"/>
  <c r="AL662" i="1" s="1"/>
  <c r="AM662" i="1" a="1"/>
  <c r="AM662" i="1" s="1"/>
  <c r="AN662" i="1" a="1"/>
  <c r="AN662" i="1" s="1"/>
  <c r="AO662" i="1" a="1"/>
  <c r="AO662" i="1" s="1"/>
  <c r="AP662" i="1" a="1"/>
  <c r="AP662" i="1" s="1"/>
  <c r="AQ662" i="1" a="1"/>
  <c r="AQ662" i="1" s="1"/>
  <c r="AR662" i="1" a="1"/>
  <c r="AR662" i="1" s="1"/>
  <c r="AS662" i="1" a="1"/>
  <c r="AS662" i="1" s="1"/>
  <c r="AT662" i="1" a="1"/>
  <c r="AT662" i="1" s="1"/>
  <c r="AU662" i="1" a="1"/>
  <c r="AU662" i="1" s="1"/>
  <c r="AV662" i="1" a="1"/>
  <c r="AV662" i="1" s="1"/>
  <c r="AW662" i="1" a="1"/>
  <c r="AW662" i="1" s="1"/>
  <c r="AX662" i="1" a="1"/>
  <c r="AX662" i="1" s="1"/>
  <c r="AY662" i="1" a="1"/>
  <c r="AY662" i="1" s="1"/>
  <c r="AZ662" i="1" a="1"/>
  <c r="AZ662" i="1" s="1"/>
  <c r="BA662" i="1" a="1"/>
  <c r="BA662" i="1" s="1"/>
  <c r="BB662" i="1" a="1"/>
  <c r="BB662" i="1" s="1"/>
  <c r="AL795" i="1" a="1"/>
  <c r="AL795" i="1" s="1"/>
  <c r="AM795" i="1" a="1"/>
  <c r="AM795" i="1" s="1"/>
  <c r="AN795" i="1" a="1"/>
  <c r="AN795" i="1" s="1"/>
  <c r="AO795" i="1" a="1"/>
  <c r="AO795" i="1" s="1"/>
  <c r="AP795" i="1" a="1"/>
  <c r="AP795" i="1" s="1"/>
  <c r="AQ795" i="1" a="1"/>
  <c r="AQ795" i="1" s="1"/>
  <c r="AR795" i="1" a="1"/>
  <c r="AR795" i="1" s="1"/>
  <c r="AS795" i="1" a="1"/>
  <c r="AS795" i="1" s="1"/>
  <c r="AT795" i="1" a="1"/>
  <c r="AT795" i="1" s="1"/>
  <c r="AU795" i="1" a="1"/>
  <c r="AU795" i="1" s="1"/>
  <c r="AV795" i="1" a="1"/>
  <c r="AV795" i="1" s="1"/>
  <c r="AW795" i="1" a="1"/>
  <c r="AW795" i="1" s="1"/>
  <c r="AX795" i="1" a="1"/>
  <c r="AX795" i="1" s="1"/>
  <c r="AY795" i="1" a="1"/>
  <c r="AY795" i="1" s="1"/>
  <c r="AZ795" i="1" a="1"/>
  <c r="AZ795" i="1" s="1"/>
  <c r="BA795" i="1" a="1"/>
  <c r="BA795" i="1" s="1"/>
  <c r="BB795" i="1" a="1"/>
  <c r="BB795" i="1" s="1"/>
  <c r="AL796" i="1" a="1"/>
  <c r="AL796" i="1" s="1"/>
  <c r="AM796" i="1" a="1"/>
  <c r="AM796" i="1" s="1"/>
  <c r="AN796" i="1" a="1"/>
  <c r="AN796" i="1" s="1"/>
  <c r="AO796" i="1" a="1"/>
  <c r="AO796" i="1" s="1"/>
  <c r="AP796" i="1" a="1"/>
  <c r="AP796" i="1" s="1"/>
  <c r="AQ796" i="1" a="1"/>
  <c r="AQ796" i="1" s="1"/>
  <c r="AR796" i="1" a="1"/>
  <c r="AR796" i="1" s="1"/>
  <c r="AS796" i="1" a="1"/>
  <c r="AS796" i="1" s="1"/>
  <c r="AT796" i="1" a="1"/>
  <c r="AT796" i="1" s="1"/>
  <c r="AU796" i="1" a="1"/>
  <c r="AU796" i="1" s="1"/>
  <c r="AV796" i="1" a="1"/>
  <c r="AV796" i="1" s="1"/>
  <c r="AW796" i="1" a="1"/>
  <c r="AW796" i="1" s="1"/>
  <c r="AX796" i="1" a="1"/>
  <c r="AX796" i="1" s="1"/>
  <c r="AY796" i="1" a="1"/>
  <c r="AY796" i="1" s="1"/>
  <c r="AZ796" i="1" a="1"/>
  <c r="AZ796" i="1" s="1"/>
  <c r="BA796" i="1" a="1"/>
  <c r="BA796" i="1" s="1"/>
  <c r="BB796" i="1" a="1"/>
  <c r="BB796" i="1" s="1"/>
  <c r="AL797" i="1" a="1"/>
  <c r="AL797" i="1" s="1"/>
  <c r="AM797" i="1" a="1"/>
  <c r="AM797" i="1" s="1"/>
  <c r="AN797" i="1" a="1"/>
  <c r="AN797" i="1" s="1"/>
  <c r="AO797" i="1" a="1"/>
  <c r="AO797" i="1" s="1"/>
  <c r="AP797" i="1" a="1"/>
  <c r="AP797" i="1" s="1"/>
  <c r="AQ797" i="1" a="1"/>
  <c r="AQ797" i="1" s="1"/>
  <c r="AR797" i="1" a="1"/>
  <c r="AR797" i="1" s="1"/>
  <c r="AS797" i="1" a="1"/>
  <c r="AS797" i="1" s="1"/>
  <c r="AT797" i="1" a="1"/>
  <c r="AT797" i="1" s="1"/>
  <c r="AU797" i="1" a="1"/>
  <c r="AU797" i="1" s="1"/>
  <c r="AV797" i="1" a="1"/>
  <c r="AV797" i="1" s="1"/>
  <c r="AW797" i="1" a="1"/>
  <c r="AW797" i="1" s="1"/>
  <c r="AX797" i="1" a="1"/>
  <c r="AX797" i="1" s="1"/>
  <c r="AY797" i="1" a="1"/>
  <c r="AY797" i="1" s="1"/>
  <c r="AZ797" i="1" a="1"/>
  <c r="AZ797" i="1" s="1"/>
  <c r="BA797" i="1" a="1"/>
  <c r="BA797" i="1" s="1"/>
  <c r="BB797" i="1" a="1"/>
  <c r="BB797" i="1" s="1"/>
  <c r="AL798" i="1" a="1"/>
  <c r="AL798" i="1" s="1"/>
  <c r="AM798" i="1" a="1"/>
  <c r="AM798" i="1" s="1"/>
  <c r="AN798" i="1" a="1"/>
  <c r="AN798" i="1" s="1"/>
  <c r="AO798" i="1" a="1"/>
  <c r="AO798" i="1" s="1"/>
  <c r="AP798" i="1" a="1"/>
  <c r="AP798" i="1" s="1"/>
  <c r="AQ798" i="1" a="1"/>
  <c r="AQ798" i="1" s="1"/>
  <c r="AR798" i="1" a="1"/>
  <c r="AR798" i="1" s="1"/>
  <c r="AS798" i="1" a="1"/>
  <c r="AS798" i="1" s="1"/>
  <c r="AT798" i="1" a="1"/>
  <c r="AT798" i="1" s="1"/>
  <c r="AU798" i="1" a="1"/>
  <c r="AU798" i="1" s="1"/>
  <c r="AV798" i="1" a="1"/>
  <c r="AV798" i="1" s="1"/>
  <c r="AW798" i="1" a="1"/>
  <c r="AW798" i="1" s="1"/>
  <c r="AX798" i="1" a="1"/>
  <c r="AX798" i="1" s="1"/>
  <c r="AY798" i="1" a="1"/>
  <c r="AY798" i="1" s="1"/>
  <c r="AZ798" i="1" a="1"/>
  <c r="AZ798" i="1" s="1"/>
  <c r="BA798" i="1" a="1"/>
  <c r="BA798" i="1" s="1"/>
  <c r="BB798" i="1" a="1"/>
  <c r="BB798" i="1" s="1"/>
  <c r="AL799" i="1" a="1"/>
  <c r="AL799" i="1" s="1"/>
  <c r="AM799" i="1" a="1"/>
  <c r="AM799" i="1" s="1"/>
  <c r="AN799" i="1" a="1"/>
  <c r="AN799" i="1" s="1"/>
  <c r="AO799" i="1" a="1"/>
  <c r="AO799" i="1" s="1"/>
  <c r="AP799" i="1" a="1"/>
  <c r="AP799" i="1" s="1"/>
  <c r="AQ799" i="1" a="1"/>
  <c r="AQ799" i="1" s="1"/>
  <c r="AR799" i="1" a="1"/>
  <c r="AR799" i="1" s="1"/>
  <c r="AS799" i="1" a="1"/>
  <c r="AS799" i="1" s="1"/>
  <c r="AT799" i="1" a="1"/>
  <c r="AT799" i="1" s="1"/>
  <c r="AU799" i="1" a="1"/>
  <c r="AU799" i="1" s="1"/>
  <c r="AV799" i="1" a="1"/>
  <c r="AV799" i="1" s="1"/>
  <c r="AW799" i="1" a="1"/>
  <c r="AW799" i="1" s="1"/>
  <c r="AX799" i="1" a="1"/>
  <c r="AX799" i="1" s="1"/>
  <c r="AY799" i="1" a="1"/>
  <c r="AY799" i="1" s="1"/>
  <c r="AZ799" i="1" a="1"/>
  <c r="AZ799" i="1" s="1"/>
  <c r="BA799" i="1" a="1"/>
  <c r="BA799" i="1" s="1"/>
  <c r="BB799" i="1" a="1"/>
  <c r="BB799" i="1" s="1"/>
  <c r="AL800" i="1" a="1"/>
  <c r="AL800" i="1" s="1"/>
  <c r="AM800" i="1" a="1"/>
  <c r="AM800" i="1" s="1"/>
  <c r="AN800" i="1" a="1"/>
  <c r="AN800" i="1" s="1"/>
  <c r="AO800" i="1" a="1"/>
  <c r="AO800" i="1" s="1"/>
  <c r="AP800" i="1" a="1"/>
  <c r="AP800" i="1" s="1"/>
  <c r="AQ800" i="1" a="1"/>
  <c r="AQ800" i="1" s="1"/>
  <c r="AR800" i="1" a="1"/>
  <c r="AR800" i="1" s="1"/>
  <c r="AS800" i="1" a="1"/>
  <c r="AS800" i="1" s="1"/>
  <c r="AT800" i="1" a="1"/>
  <c r="AT800" i="1" s="1"/>
  <c r="AU800" i="1" a="1"/>
  <c r="AU800" i="1" s="1"/>
  <c r="AV800" i="1" a="1"/>
  <c r="AV800" i="1" s="1"/>
  <c r="AW800" i="1" a="1"/>
  <c r="AW800" i="1" s="1"/>
  <c r="AX800" i="1" a="1"/>
  <c r="AX800" i="1" s="1"/>
  <c r="AY800" i="1" a="1"/>
  <c r="AY800" i="1" s="1"/>
  <c r="AZ800" i="1" a="1"/>
  <c r="AZ800" i="1" s="1"/>
  <c r="BA800" i="1" a="1"/>
  <c r="BA800" i="1" s="1"/>
  <c r="BB800" i="1" a="1"/>
  <c r="BB800" i="1" s="1"/>
  <c r="AL677" i="1" a="1"/>
  <c r="AL677" i="1" s="1"/>
  <c r="AM677" i="1" a="1"/>
  <c r="AM677" i="1" s="1"/>
  <c r="AN677" i="1" a="1"/>
  <c r="AN677" i="1" s="1"/>
  <c r="AO677" i="1" a="1"/>
  <c r="AO677" i="1" s="1"/>
  <c r="AP677" i="1" a="1"/>
  <c r="AP677" i="1" s="1"/>
  <c r="AQ677" i="1" a="1"/>
  <c r="AQ677" i="1" s="1"/>
  <c r="AR677" i="1" a="1"/>
  <c r="AR677" i="1" s="1"/>
  <c r="AS677" i="1" a="1"/>
  <c r="AS677" i="1" s="1"/>
  <c r="AT677" i="1" a="1"/>
  <c r="AT677" i="1" s="1"/>
  <c r="AU677" i="1" a="1"/>
  <c r="AU677" i="1" s="1"/>
  <c r="AV677" i="1" a="1"/>
  <c r="AV677" i="1" s="1"/>
  <c r="AW677" i="1" a="1"/>
  <c r="AW677" i="1" s="1"/>
  <c r="AX677" i="1" a="1"/>
  <c r="AX677" i="1" s="1"/>
  <c r="AY677" i="1" a="1"/>
  <c r="AY677" i="1" s="1"/>
  <c r="AZ677" i="1" a="1"/>
  <c r="AZ677" i="1" s="1"/>
  <c r="BA677" i="1" a="1"/>
  <c r="BA677" i="1" s="1"/>
  <c r="BB677" i="1" a="1"/>
  <c r="BB677" i="1" s="1"/>
  <c r="AL801" i="1" a="1"/>
  <c r="AL801" i="1" s="1"/>
  <c r="AM801" i="1" a="1"/>
  <c r="AM801" i="1" s="1"/>
  <c r="AN801" i="1" a="1"/>
  <c r="AN801" i="1" s="1"/>
  <c r="AO801" i="1" a="1"/>
  <c r="AO801" i="1" s="1"/>
  <c r="AP801" i="1" a="1"/>
  <c r="AP801" i="1" s="1"/>
  <c r="AQ801" i="1" a="1"/>
  <c r="AQ801" i="1" s="1"/>
  <c r="AR801" i="1" a="1"/>
  <c r="AR801" i="1" s="1"/>
  <c r="AS801" i="1" a="1"/>
  <c r="AS801" i="1" s="1"/>
  <c r="AT801" i="1" a="1"/>
  <c r="AT801" i="1" s="1"/>
  <c r="AU801" i="1" a="1"/>
  <c r="AU801" i="1" s="1"/>
  <c r="AV801" i="1" a="1"/>
  <c r="AV801" i="1" s="1"/>
  <c r="AW801" i="1" a="1"/>
  <c r="AW801" i="1" s="1"/>
  <c r="AX801" i="1" a="1"/>
  <c r="AX801" i="1" s="1"/>
  <c r="AY801" i="1" a="1"/>
  <c r="AY801" i="1" s="1"/>
  <c r="AZ801" i="1" a="1"/>
  <c r="AZ801" i="1" s="1"/>
  <c r="BA801" i="1" a="1"/>
  <c r="BA801" i="1" s="1"/>
  <c r="BB801" i="1" a="1"/>
  <c r="BB801" i="1" s="1"/>
  <c r="AL802" i="1" a="1"/>
  <c r="AL802" i="1" s="1"/>
  <c r="AM802" i="1" a="1"/>
  <c r="AM802" i="1" s="1"/>
  <c r="AN802" i="1" a="1"/>
  <c r="AN802" i="1" s="1"/>
  <c r="AO802" i="1" a="1"/>
  <c r="AO802" i="1" s="1"/>
  <c r="AP802" i="1" a="1"/>
  <c r="AP802" i="1" s="1"/>
  <c r="AQ802" i="1" a="1"/>
  <c r="AQ802" i="1" s="1"/>
  <c r="AR802" i="1" a="1"/>
  <c r="AR802" i="1" s="1"/>
  <c r="AS802" i="1" a="1"/>
  <c r="AS802" i="1" s="1"/>
  <c r="AT802" i="1" a="1"/>
  <c r="AT802" i="1" s="1"/>
  <c r="AU802" i="1" a="1"/>
  <c r="AU802" i="1" s="1"/>
  <c r="AV802" i="1" a="1"/>
  <c r="AV802" i="1" s="1"/>
  <c r="AW802" i="1" a="1"/>
  <c r="AW802" i="1" s="1"/>
  <c r="AX802" i="1" a="1"/>
  <c r="AX802" i="1" s="1"/>
  <c r="AY802" i="1" a="1"/>
  <c r="AY802" i="1" s="1"/>
  <c r="AZ802" i="1" a="1"/>
  <c r="AZ802" i="1" s="1"/>
  <c r="BA802" i="1" a="1"/>
  <c r="BA802" i="1" s="1"/>
  <c r="BB802" i="1" a="1"/>
  <c r="BB802" i="1" s="1"/>
  <c r="AL803" i="1" a="1"/>
  <c r="AL803" i="1" s="1"/>
  <c r="AM803" i="1" a="1"/>
  <c r="AM803" i="1" s="1"/>
  <c r="AN803" i="1" a="1"/>
  <c r="AN803" i="1" s="1"/>
  <c r="AO803" i="1" a="1"/>
  <c r="AO803" i="1" s="1"/>
  <c r="AP803" i="1" a="1"/>
  <c r="AP803" i="1" s="1"/>
  <c r="AQ803" i="1" a="1"/>
  <c r="AQ803" i="1" s="1"/>
  <c r="AR803" i="1" a="1"/>
  <c r="AR803" i="1" s="1"/>
  <c r="AS803" i="1" a="1"/>
  <c r="AS803" i="1" s="1"/>
  <c r="AT803" i="1" a="1"/>
  <c r="AT803" i="1" s="1"/>
  <c r="AU803" i="1" a="1"/>
  <c r="AU803" i="1" s="1"/>
  <c r="AV803" i="1" a="1"/>
  <c r="AV803" i="1" s="1"/>
  <c r="AW803" i="1" a="1"/>
  <c r="AW803" i="1" s="1"/>
  <c r="AX803" i="1" a="1"/>
  <c r="AX803" i="1" s="1"/>
  <c r="AY803" i="1" a="1"/>
  <c r="AY803" i="1" s="1"/>
  <c r="AZ803" i="1" a="1"/>
  <c r="AZ803" i="1" s="1"/>
  <c r="BA803" i="1" a="1"/>
  <c r="BA803" i="1" s="1"/>
  <c r="BB803" i="1" a="1"/>
  <c r="BB803" i="1" s="1"/>
  <c r="AL338" i="1" a="1"/>
  <c r="AL338" i="1" s="1"/>
  <c r="AM338" i="1" a="1"/>
  <c r="AM338" i="1" s="1"/>
  <c r="AN338" i="1" a="1"/>
  <c r="AN338" i="1" s="1"/>
  <c r="AO338" i="1" a="1"/>
  <c r="AO338" i="1" s="1"/>
  <c r="AP338" i="1" a="1"/>
  <c r="AP338" i="1" s="1"/>
  <c r="AQ338" i="1" a="1"/>
  <c r="AQ338" i="1" s="1"/>
  <c r="AR338" i="1" a="1"/>
  <c r="AR338" i="1" s="1"/>
  <c r="AS338" i="1" a="1"/>
  <c r="AS338" i="1" s="1"/>
  <c r="AT338" i="1" a="1"/>
  <c r="AT338" i="1" s="1"/>
  <c r="AU338" i="1" a="1"/>
  <c r="AU338" i="1" s="1"/>
  <c r="AV338" i="1" a="1"/>
  <c r="AV338" i="1" s="1"/>
  <c r="AW338" i="1" a="1"/>
  <c r="AW338" i="1" s="1"/>
  <c r="AX338" i="1" a="1"/>
  <c r="AX338" i="1" s="1"/>
  <c r="AY338" i="1" a="1"/>
  <c r="AY338" i="1" s="1"/>
  <c r="AZ338" i="1" a="1"/>
  <c r="AZ338" i="1" s="1"/>
  <c r="BA338" i="1" a="1"/>
  <c r="BA338" i="1" s="1"/>
  <c r="BB338" i="1" a="1"/>
  <c r="BB338" i="1" s="1"/>
  <c r="AL804" i="1" a="1"/>
  <c r="AL804" i="1" s="1"/>
  <c r="AM804" i="1" a="1"/>
  <c r="AM804" i="1" s="1"/>
  <c r="AN804" i="1" a="1"/>
  <c r="AN804" i="1" s="1"/>
  <c r="AO804" i="1" a="1"/>
  <c r="AO804" i="1" s="1"/>
  <c r="AP804" i="1" a="1"/>
  <c r="AP804" i="1" s="1"/>
  <c r="AQ804" i="1" a="1"/>
  <c r="AQ804" i="1" s="1"/>
  <c r="AR804" i="1" a="1"/>
  <c r="AR804" i="1" s="1"/>
  <c r="AS804" i="1" a="1"/>
  <c r="AS804" i="1" s="1"/>
  <c r="AT804" i="1" a="1"/>
  <c r="AT804" i="1" s="1"/>
  <c r="AU804" i="1" a="1"/>
  <c r="AU804" i="1" s="1"/>
  <c r="AV804" i="1" a="1"/>
  <c r="AV804" i="1" s="1"/>
  <c r="AW804" i="1" a="1"/>
  <c r="AW804" i="1" s="1"/>
  <c r="AX804" i="1" a="1"/>
  <c r="AX804" i="1" s="1"/>
  <c r="AY804" i="1" a="1"/>
  <c r="AY804" i="1" s="1"/>
  <c r="AZ804" i="1" a="1"/>
  <c r="AZ804" i="1" s="1"/>
  <c r="BA804" i="1" a="1"/>
  <c r="BA804" i="1" s="1"/>
  <c r="BB804" i="1" a="1"/>
  <c r="BB804" i="1" s="1"/>
  <c r="AL805" i="1" a="1"/>
  <c r="AL805" i="1" s="1"/>
  <c r="AM805" i="1" a="1"/>
  <c r="AM805" i="1" s="1"/>
  <c r="AN805" i="1" a="1"/>
  <c r="AN805" i="1" s="1"/>
  <c r="AO805" i="1" a="1"/>
  <c r="AO805" i="1" s="1"/>
  <c r="AP805" i="1" a="1"/>
  <c r="AP805" i="1" s="1"/>
  <c r="AQ805" i="1" a="1"/>
  <c r="AQ805" i="1" s="1"/>
  <c r="AR805" i="1" a="1"/>
  <c r="AR805" i="1" s="1"/>
  <c r="AS805" i="1" a="1"/>
  <c r="AS805" i="1" s="1"/>
  <c r="AT805" i="1" a="1"/>
  <c r="AT805" i="1" s="1"/>
  <c r="AU805" i="1" a="1"/>
  <c r="AU805" i="1" s="1"/>
  <c r="AV805" i="1" a="1"/>
  <c r="AV805" i="1" s="1"/>
  <c r="AW805" i="1" a="1"/>
  <c r="AW805" i="1" s="1"/>
  <c r="AX805" i="1" a="1"/>
  <c r="AX805" i="1" s="1"/>
  <c r="AY805" i="1" a="1"/>
  <c r="AY805" i="1" s="1"/>
  <c r="AZ805" i="1" a="1"/>
  <c r="AZ805" i="1" s="1"/>
  <c r="BA805" i="1" a="1"/>
  <c r="BA805" i="1" s="1"/>
  <c r="BB805" i="1" a="1"/>
  <c r="BB805" i="1" s="1"/>
  <c r="AL806" i="1" a="1"/>
  <c r="AL806" i="1" s="1"/>
  <c r="AM806" i="1" a="1"/>
  <c r="AM806" i="1" s="1"/>
  <c r="AN806" i="1" a="1"/>
  <c r="AN806" i="1" s="1"/>
  <c r="AO806" i="1" a="1"/>
  <c r="AO806" i="1" s="1"/>
  <c r="AP806" i="1" a="1"/>
  <c r="AP806" i="1" s="1"/>
  <c r="AQ806" i="1" a="1"/>
  <c r="AQ806" i="1" s="1"/>
  <c r="AR806" i="1" a="1"/>
  <c r="AR806" i="1" s="1"/>
  <c r="AS806" i="1" a="1"/>
  <c r="AS806" i="1" s="1"/>
  <c r="AT806" i="1" a="1"/>
  <c r="AT806" i="1" s="1"/>
  <c r="AU806" i="1" a="1"/>
  <c r="AU806" i="1" s="1"/>
  <c r="AV806" i="1" a="1"/>
  <c r="AV806" i="1" s="1"/>
  <c r="AW806" i="1" a="1"/>
  <c r="AW806" i="1" s="1"/>
  <c r="AX806" i="1" a="1"/>
  <c r="AX806" i="1" s="1"/>
  <c r="AY806" i="1" a="1"/>
  <c r="AY806" i="1" s="1"/>
  <c r="AZ806" i="1" a="1"/>
  <c r="AZ806" i="1" s="1"/>
  <c r="BA806" i="1" a="1"/>
  <c r="BA806" i="1" s="1"/>
  <c r="BB806" i="1" a="1"/>
  <c r="BB806" i="1" s="1"/>
  <c r="AL807" i="1" a="1"/>
  <c r="AL807" i="1" s="1"/>
  <c r="AM807" i="1" a="1"/>
  <c r="AM807" i="1" s="1"/>
  <c r="AN807" i="1" a="1"/>
  <c r="AN807" i="1" s="1"/>
  <c r="AO807" i="1" a="1"/>
  <c r="AO807" i="1" s="1"/>
  <c r="AP807" i="1" a="1"/>
  <c r="AP807" i="1" s="1"/>
  <c r="AQ807" i="1" a="1"/>
  <c r="AQ807" i="1" s="1"/>
  <c r="AR807" i="1" a="1"/>
  <c r="AR807" i="1" s="1"/>
  <c r="AS807" i="1" a="1"/>
  <c r="AS807" i="1" s="1"/>
  <c r="AT807" i="1" a="1"/>
  <c r="AT807" i="1" s="1"/>
  <c r="AU807" i="1" a="1"/>
  <c r="AU807" i="1" s="1"/>
  <c r="AV807" i="1" a="1"/>
  <c r="AV807" i="1" s="1"/>
  <c r="AW807" i="1" a="1"/>
  <c r="AW807" i="1" s="1"/>
  <c r="AX807" i="1" a="1"/>
  <c r="AX807" i="1" s="1"/>
  <c r="AY807" i="1" a="1"/>
  <c r="AY807" i="1" s="1"/>
  <c r="AZ807" i="1" a="1"/>
  <c r="AZ807" i="1" s="1"/>
  <c r="BA807" i="1" a="1"/>
  <c r="BA807" i="1" s="1"/>
  <c r="BB807" i="1" a="1"/>
  <c r="BB807" i="1" s="1"/>
  <c r="AL808" i="1" a="1"/>
  <c r="AL808" i="1" s="1"/>
  <c r="AM808" i="1" a="1"/>
  <c r="AM808" i="1" s="1"/>
  <c r="AN808" i="1" a="1"/>
  <c r="AN808" i="1" s="1"/>
  <c r="AO808" i="1" a="1"/>
  <c r="AO808" i="1" s="1"/>
  <c r="AP808" i="1" a="1"/>
  <c r="AP808" i="1" s="1"/>
  <c r="AQ808" i="1" a="1"/>
  <c r="AQ808" i="1" s="1"/>
  <c r="AR808" i="1" a="1"/>
  <c r="AR808" i="1" s="1"/>
  <c r="AS808" i="1" a="1"/>
  <c r="AS808" i="1" s="1"/>
  <c r="AT808" i="1" a="1"/>
  <c r="AT808" i="1" s="1"/>
  <c r="AU808" i="1" a="1"/>
  <c r="AU808" i="1" s="1"/>
  <c r="AV808" i="1" a="1"/>
  <c r="AV808" i="1" s="1"/>
  <c r="AW808" i="1" a="1"/>
  <c r="AW808" i="1" s="1"/>
  <c r="AX808" i="1" a="1"/>
  <c r="AX808" i="1" s="1"/>
  <c r="AY808" i="1" a="1"/>
  <c r="AY808" i="1" s="1"/>
  <c r="AZ808" i="1" a="1"/>
  <c r="AZ808" i="1" s="1"/>
  <c r="BA808" i="1" a="1"/>
  <c r="BA808" i="1" s="1"/>
  <c r="BB808" i="1" a="1"/>
  <c r="BB808" i="1" s="1"/>
  <c r="AL690" i="1" a="1"/>
  <c r="AL690" i="1" s="1"/>
  <c r="AM690" i="1" a="1"/>
  <c r="AM690" i="1" s="1"/>
  <c r="AN690" i="1" a="1"/>
  <c r="AN690" i="1" s="1"/>
  <c r="AO690" i="1" a="1"/>
  <c r="AO690" i="1" s="1"/>
  <c r="AP690" i="1" a="1"/>
  <c r="AP690" i="1" s="1"/>
  <c r="AQ690" i="1" a="1"/>
  <c r="AQ690" i="1" s="1"/>
  <c r="AR690" i="1" a="1"/>
  <c r="AR690" i="1" s="1"/>
  <c r="AS690" i="1" a="1"/>
  <c r="AS690" i="1" s="1"/>
  <c r="AT690" i="1" a="1"/>
  <c r="AT690" i="1" s="1"/>
  <c r="AU690" i="1" a="1"/>
  <c r="AU690" i="1" s="1"/>
  <c r="AV690" i="1" a="1"/>
  <c r="AV690" i="1" s="1"/>
  <c r="AW690" i="1" a="1"/>
  <c r="AW690" i="1" s="1"/>
  <c r="AX690" i="1" a="1"/>
  <c r="AX690" i="1" s="1"/>
  <c r="AY690" i="1" a="1"/>
  <c r="AY690" i="1" s="1"/>
  <c r="AZ690" i="1" a="1"/>
  <c r="AZ690" i="1" s="1"/>
  <c r="BA690" i="1" a="1"/>
  <c r="BA690" i="1" s="1"/>
  <c r="BB690" i="1" a="1"/>
  <c r="BB690" i="1" s="1"/>
  <c r="AL809" i="1" a="1"/>
  <c r="AL809" i="1" s="1"/>
  <c r="AM809" i="1" a="1"/>
  <c r="AM809" i="1" s="1"/>
  <c r="AN809" i="1" a="1"/>
  <c r="AN809" i="1" s="1"/>
  <c r="AO809" i="1" a="1"/>
  <c r="AO809" i="1" s="1"/>
  <c r="AP809" i="1" a="1"/>
  <c r="AP809" i="1" s="1"/>
  <c r="AQ809" i="1" a="1"/>
  <c r="AQ809" i="1" s="1"/>
  <c r="AR809" i="1" a="1"/>
  <c r="AR809" i="1" s="1"/>
  <c r="AS809" i="1" a="1"/>
  <c r="AS809" i="1" s="1"/>
  <c r="AT809" i="1" a="1"/>
  <c r="AT809" i="1" s="1"/>
  <c r="AU809" i="1" a="1"/>
  <c r="AU809" i="1" s="1"/>
  <c r="AV809" i="1" a="1"/>
  <c r="AV809" i="1" s="1"/>
  <c r="AW809" i="1" a="1"/>
  <c r="AW809" i="1" s="1"/>
  <c r="AX809" i="1" a="1"/>
  <c r="AX809" i="1" s="1"/>
  <c r="AY809" i="1" a="1"/>
  <c r="AY809" i="1" s="1"/>
  <c r="AZ809" i="1" a="1"/>
  <c r="AZ809" i="1" s="1"/>
  <c r="BA809" i="1" a="1"/>
  <c r="BA809" i="1" s="1"/>
  <c r="BB809" i="1" a="1"/>
  <c r="BB809" i="1" s="1"/>
  <c r="AL810" i="1" a="1"/>
  <c r="AL810" i="1" s="1"/>
  <c r="AM810" i="1" a="1"/>
  <c r="AM810" i="1" s="1"/>
  <c r="AN810" i="1" a="1"/>
  <c r="AN810" i="1" s="1"/>
  <c r="AO810" i="1" a="1"/>
  <c r="AO810" i="1" s="1"/>
  <c r="AP810" i="1" a="1"/>
  <c r="AP810" i="1" s="1"/>
  <c r="AQ810" i="1" a="1"/>
  <c r="AQ810" i="1" s="1"/>
  <c r="AR810" i="1" a="1"/>
  <c r="AR810" i="1" s="1"/>
  <c r="AS810" i="1" a="1"/>
  <c r="AS810" i="1" s="1"/>
  <c r="AT810" i="1" a="1"/>
  <c r="AT810" i="1" s="1"/>
  <c r="AU810" i="1" a="1"/>
  <c r="AU810" i="1" s="1"/>
  <c r="AV810" i="1" a="1"/>
  <c r="AV810" i="1" s="1"/>
  <c r="AW810" i="1" a="1"/>
  <c r="AW810" i="1" s="1"/>
  <c r="AX810" i="1" a="1"/>
  <c r="AX810" i="1" s="1"/>
  <c r="AY810" i="1" a="1"/>
  <c r="AY810" i="1" s="1"/>
  <c r="AZ810" i="1" a="1"/>
  <c r="AZ810" i="1" s="1"/>
  <c r="BA810" i="1" a="1"/>
  <c r="BA810" i="1" s="1"/>
  <c r="BB810" i="1" a="1"/>
  <c r="BB810" i="1" s="1"/>
  <c r="AL811" i="1" a="1"/>
  <c r="AL811" i="1" s="1"/>
  <c r="AM811" i="1" a="1"/>
  <c r="AM811" i="1" s="1"/>
  <c r="AN811" i="1" a="1"/>
  <c r="AN811" i="1" s="1"/>
  <c r="AO811" i="1" a="1"/>
  <c r="AO811" i="1" s="1"/>
  <c r="AP811" i="1" a="1"/>
  <c r="AP811" i="1" s="1"/>
  <c r="AQ811" i="1" a="1"/>
  <c r="AQ811" i="1" s="1"/>
  <c r="AR811" i="1" a="1"/>
  <c r="AR811" i="1" s="1"/>
  <c r="AS811" i="1" a="1"/>
  <c r="AS811" i="1" s="1"/>
  <c r="AT811" i="1" a="1"/>
  <c r="AT811" i="1" s="1"/>
  <c r="AU811" i="1" a="1"/>
  <c r="AU811" i="1" s="1"/>
  <c r="AV811" i="1" a="1"/>
  <c r="AV811" i="1" s="1"/>
  <c r="AW811" i="1" a="1"/>
  <c r="AW811" i="1" s="1"/>
  <c r="AX811" i="1" a="1"/>
  <c r="AX811" i="1" s="1"/>
  <c r="AY811" i="1" a="1"/>
  <c r="AY811" i="1" s="1"/>
  <c r="AZ811" i="1" a="1"/>
  <c r="AZ811" i="1" s="1"/>
  <c r="BA811" i="1" a="1"/>
  <c r="BA811" i="1" s="1"/>
  <c r="BB811" i="1" a="1"/>
  <c r="BB811" i="1" s="1"/>
  <c r="AL812" i="1" a="1"/>
  <c r="AL812" i="1" s="1"/>
  <c r="AM812" i="1" a="1"/>
  <c r="AM812" i="1" s="1"/>
  <c r="AN812" i="1" a="1"/>
  <c r="AN812" i="1" s="1"/>
  <c r="AO812" i="1" a="1"/>
  <c r="AO812" i="1" s="1"/>
  <c r="AP812" i="1" a="1"/>
  <c r="AP812" i="1" s="1"/>
  <c r="AQ812" i="1" a="1"/>
  <c r="AQ812" i="1" s="1"/>
  <c r="AR812" i="1" a="1"/>
  <c r="AR812" i="1" s="1"/>
  <c r="AS812" i="1" a="1"/>
  <c r="AS812" i="1" s="1"/>
  <c r="AT812" i="1" a="1"/>
  <c r="AT812" i="1" s="1"/>
  <c r="AU812" i="1" a="1"/>
  <c r="AU812" i="1" s="1"/>
  <c r="AV812" i="1" a="1"/>
  <c r="AV812" i="1" s="1"/>
  <c r="AW812" i="1" a="1"/>
  <c r="AW812" i="1" s="1"/>
  <c r="AX812" i="1" a="1"/>
  <c r="AX812" i="1" s="1"/>
  <c r="AY812" i="1" a="1"/>
  <c r="AY812" i="1" s="1"/>
  <c r="AZ812" i="1" a="1"/>
  <c r="AZ812" i="1" s="1"/>
  <c r="BA812" i="1" a="1"/>
  <c r="BA812" i="1" s="1"/>
  <c r="BB812" i="1" a="1"/>
  <c r="BB812" i="1" s="1"/>
  <c r="AL813" i="1" a="1"/>
  <c r="AL813" i="1" s="1"/>
  <c r="AM813" i="1" a="1"/>
  <c r="AM813" i="1" s="1"/>
  <c r="AN813" i="1" a="1"/>
  <c r="AN813" i="1" s="1"/>
  <c r="AO813" i="1" a="1"/>
  <c r="AO813" i="1" s="1"/>
  <c r="AP813" i="1" a="1"/>
  <c r="AP813" i="1" s="1"/>
  <c r="AQ813" i="1" a="1"/>
  <c r="AQ813" i="1" s="1"/>
  <c r="AR813" i="1" a="1"/>
  <c r="AR813" i="1" s="1"/>
  <c r="AS813" i="1" a="1"/>
  <c r="AS813" i="1" s="1"/>
  <c r="AT813" i="1" a="1"/>
  <c r="AT813" i="1" s="1"/>
  <c r="AU813" i="1" a="1"/>
  <c r="AU813" i="1" s="1"/>
  <c r="AV813" i="1" a="1"/>
  <c r="AV813" i="1" s="1"/>
  <c r="AW813" i="1" a="1"/>
  <c r="AW813" i="1" s="1"/>
  <c r="AX813" i="1" a="1"/>
  <c r="AX813" i="1" s="1"/>
  <c r="AY813" i="1" a="1"/>
  <c r="AY813" i="1" s="1"/>
  <c r="AZ813" i="1" a="1"/>
  <c r="AZ813" i="1" s="1"/>
  <c r="BA813" i="1" a="1"/>
  <c r="BA813" i="1" s="1"/>
  <c r="BB813" i="1" a="1"/>
  <c r="BB813" i="1" s="1"/>
  <c r="AL814" i="1" a="1"/>
  <c r="AL814" i="1" s="1"/>
  <c r="AM814" i="1" a="1"/>
  <c r="AM814" i="1" s="1"/>
  <c r="AN814" i="1" a="1"/>
  <c r="AN814" i="1" s="1"/>
  <c r="AO814" i="1" a="1"/>
  <c r="AO814" i="1" s="1"/>
  <c r="AP814" i="1" a="1"/>
  <c r="AP814" i="1" s="1"/>
  <c r="AQ814" i="1" a="1"/>
  <c r="AQ814" i="1" s="1"/>
  <c r="AR814" i="1" a="1"/>
  <c r="AR814" i="1" s="1"/>
  <c r="AS814" i="1" a="1"/>
  <c r="AS814" i="1" s="1"/>
  <c r="AT814" i="1" a="1"/>
  <c r="AT814" i="1" s="1"/>
  <c r="AU814" i="1" a="1"/>
  <c r="AU814" i="1" s="1"/>
  <c r="AV814" i="1" a="1"/>
  <c r="AV814" i="1" s="1"/>
  <c r="AW814" i="1" a="1"/>
  <c r="AW814" i="1" s="1"/>
  <c r="AX814" i="1" a="1"/>
  <c r="AX814" i="1" s="1"/>
  <c r="AY814" i="1" a="1"/>
  <c r="AY814" i="1" s="1"/>
  <c r="AZ814" i="1" a="1"/>
  <c r="AZ814" i="1" s="1"/>
  <c r="BA814" i="1" a="1"/>
  <c r="BA814" i="1" s="1"/>
  <c r="BB814" i="1" a="1"/>
  <c r="BB814" i="1" s="1"/>
  <c r="AL815" i="1" a="1"/>
  <c r="AL815" i="1" s="1"/>
  <c r="AM815" i="1" a="1"/>
  <c r="AM815" i="1" s="1"/>
  <c r="AN815" i="1" a="1"/>
  <c r="AN815" i="1" s="1"/>
  <c r="AO815" i="1" a="1"/>
  <c r="AO815" i="1" s="1"/>
  <c r="AP815" i="1" a="1"/>
  <c r="AP815" i="1" s="1"/>
  <c r="AQ815" i="1" a="1"/>
  <c r="AQ815" i="1" s="1"/>
  <c r="AR815" i="1" a="1"/>
  <c r="AR815" i="1" s="1"/>
  <c r="AS815" i="1" a="1"/>
  <c r="AS815" i="1" s="1"/>
  <c r="AT815" i="1" a="1"/>
  <c r="AT815" i="1" s="1"/>
  <c r="AU815" i="1" a="1"/>
  <c r="AU815" i="1" s="1"/>
  <c r="AV815" i="1" a="1"/>
  <c r="AV815" i="1" s="1"/>
  <c r="AW815" i="1" a="1"/>
  <c r="AW815" i="1" s="1"/>
  <c r="AX815" i="1" a="1"/>
  <c r="AX815" i="1" s="1"/>
  <c r="AY815" i="1" a="1"/>
  <c r="AY815" i="1" s="1"/>
  <c r="AZ815" i="1" a="1"/>
  <c r="AZ815" i="1" s="1"/>
  <c r="BA815" i="1" a="1"/>
  <c r="BA815" i="1" s="1"/>
  <c r="BB815" i="1" a="1"/>
  <c r="BB815" i="1" s="1"/>
  <c r="AL816" i="1" a="1"/>
  <c r="AL816" i="1" s="1"/>
  <c r="AM816" i="1" a="1"/>
  <c r="AM816" i="1" s="1"/>
  <c r="AN816" i="1" a="1"/>
  <c r="AN816" i="1" s="1"/>
  <c r="AO816" i="1" a="1"/>
  <c r="AO816" i="1" s="1"/>
  <c r="AP816" i="1" a="1"/>
  <c r="AP816" i="1" s="1"/>
  <c r="AQ816" i="1" a="1"/>
  <c r="AQ816" i="1" s="1"/>
  <c r="AR816" i="1" a="1"/>
  <c r="AR816" i="1" s="1"/>
  <c r="AS816" i="1" a="1"/>
  <c r="AS816" i="1" s="1"/>
  <c r="AT816" i="1" a="1"/>
  <c r="AT816" i="1" s="1"/>
  <c r="AU816" i="1" a="1"/>
  <c r="AU816" i="1" s="1"/>
  <c r="AV816" i="1" a="1"/>
  <c r="AV816" i="1" s="1"/>
  <c r="AW816" i="1" a="1"/>
  <c r="AW816" i="1" s="1"/>
  <c r="AX816" i="1" a="1"/>
  <c r="AX816" i="1" s="1"/>
  <c r="AY816" i="1" a="1"/>
  <c r="AY816" i="1" s="1"/>
  <c r="AZ816" i="1" a="1"/>
  <c r="AZ816" i="1" s="1"/>
  <c r="BA816" i="1" a="1"/>
  <c r="BA816" i="1" s="1"/>
  <c r="BB816" i="1" a="1"/>
  <c r="BB816" i="1" s="1"/>
  <c r="AL817" i="1" a="1"/>
  <c r="AL817" i="1" s="1"/>
  <c r="AM817" i="1" a="1"/>
  <c r="AM817" i="1" s="1"/>
  <c r="AN817" i="1" a="1"/>
  <c r="AN817" i="1" s="1"/>
  <c r="AO817" i="1" a="1"/>
  <c r="AO817" i="1" s="1"/>
  <c r="AP817" i="1" a="1"/>
  <c r="AP817" i="1" s="1"/>
  <c r="AQ817" i="1" a="1"/>
  <c r="AQ817" i="1" s="1"/>
  <c r="AR817" i="1" a="1"/>
  <c r="AR817" i="1" s="1"/>
  <c r="AS817" i="1" a="1"/>
  <c r="AS817" i="1" s="1"/>
  <c r="AT817" i="1" a="1"/>
  <c r="AT817" i="1" s="1"/>
  <c r="AU817" i="1" a="1"/>
  <c r="AU817" i="1" s="1"/>
  <c r="AV817" i="1" a="1"/>
  <c r="AV817" i="1" s="1"/>
  <c r="AW817" i="1" a="1"/>
  <c r="AW817" i="1" s="1"/>
  <c r="AX817" i="1" a="1"/>
  <c r="AX817" i="1" s="1"/>
  <c r="AY817" i="1" a="1"/>
  <c r="AY817" i="1" s="1"/>
  <c r="AZ817" i="1" a="1"/>
  <c r="AZ817" i="1" s="1"/>
  <c r="BA817" i="1" a="1"/>
  <c r="BA817" i="1" s="1"/>
  <c r="BB817" i="1" a="1"/>
  <c r="BB817" i="1" s="1"/>
  <c r="AL818" i="1" a="1"/>
  <c r="AL818" i="1" s="1"/>
  <c r="AM818" i="1" a="1"/>
  <c r="AM818" i="1" s="1"/>
  <c r="AN818" i="1" a="1"/>
  <c r="AN818" i="1" s="1"/>
  <c r="AO818" i="1" a="1"/>
  <c r="AO818" i="1" s="1"/>
  <c r="AP818" i="1" a="1"/>
  <c r="AP818" i="1" s="1"/>
  <c r="AQ818" i="1" a="1"/>
  <c r="AQ818" i="1" s="1"/>
  <c r="AR818" i="1" a="1"/>
  <c r="AR818" i="1" s="1"/>
  <c r="AS818" i="1" a="1"/>
  <c r="AS818" i="1" s="1"/>
  <c r="AT818" i="1" a="1"/>
  <c r="AT818" i="1" s="1"/>
  <c r="AU818" i="1" a="1"/>
  <c r="AU818" i="1" s="1"/>
  <c r="AV818" i="1" a="1"/>
  <c r="AV818" i="1" s="1"/>
  <c r="AW818" i="1" a="1"/>
  <c r="AW818" i="1" s="1"/>
  <c r="AX818" i="1" a="1"/>
  <c r="AX818" i="1" s="1"/>
  <c r="AY818" i="1" a="1"/>
  <c r="AY818" i="1" s="1"/>
  <c r="AZ818" i="1" a="1"/>
  <c r="AZ818" i="1" s="1"/>
  <c r="BA818" i="1" a="1"/>
  <c r="BA818" i="1" s="1"/>
  <c r="BB818" i="1" a="1"/>
  <c r="BB818" i="1" s="1"/>
  <c r="AL819" i="1" a="1"/>
  <c r="AL819" i="1" s="1"/>
  <c r="AM819" i="1" a="1"/>
  <c r="AM819" i="1" s="1"/>
  <c r="AN819" i="1" a="1"/>
  <c r="AN819" i="1" s="1"/>
  <c r="AO819" i="1" a="1"/>
  <c r="AO819" i="1" s="1"/>
  <c r="AP819" i="1" a="1"/>
  <c r="AP819" i="1" s="1"/>
  <c r="AQ819" i="1" a="1"/>
  <c r="AQ819" i="1" s="1"/>
  <c r="AR819" i="1" a="1"/>
  <c r="AR819" i="1" s="1"/>
  <c r="AS819" i="1" a="1"/>
  <c r="AS819" i="1" s="1"/>
  <c r="AT819" i="1" a="1"/>
  <c r="AT819" i="1" s="1"/>
  <c r="AU819" i="1" a="1"/>
  <c r="AU819" i="1" s="1"/>
  <c r="AV819" i="1" a="1"/>
  <c r="AV819" i="1" s="1"/>
  <c r="AW819" i="1" a="1"/>
  <c r="AW819" i="1" s="1"/>
  <c r="AX819" i="1" a="1"/>
  <c r="AX819" i="1" s="1"/>
  <c r="AY819" i="1" a="1"/>
  <c r="AY819" i="1" s="1"/>
  <c r="AZ819" i="1" a="1"/>
  <c r="AZ819" i="1" s="1"/>
  <c r="BA819" i="1" a="1"/>
  <c r="BA819" i="1" s="1"/>
  <c r="BB819" i="1" a="1"/>
  <c r="BB819" i="1" s="1"/>
  <c r="AL820" i="1" a="1"/>
  <c r="AL820" i="1" s="1"/>
  <c r="AM820" i="1" a="1"/>
  <c r="AM820" i="1" s="1"/>
  <c r="AN820" i="1" a="1"/>
  <c r="AN820" i="1" s="1"/>
  <c r="AO820" i="1" a="1"/>
  <c r="AO820" i="1" s="1"/>
  <c r="AP820" i="1" a="1"/>
  <c r="AP820" i="1" s="1"/>
  <c r="AQ820" i="1" a="1"/>
  <c r="AQ820" i="1" s="1"/>
  <c r="AR820" i="1" a="1"/>
  <c r="AR820" i="1" s="1"/>
  <c r="AS820" i="1" a="1"/>
  <c r="AS820" i="1" s="1"/>
  <c r="AT820" i="1" a="1"/>
  <c r="AT820" i="1" s="1"/>
  <c r="AU820" i="1" a="1"/>
  <c r="AU820" i="1" s="1"/>
  <c r="AV820" i="1" a="1"/>
  <c r="AV820" i="1" s="1"/>
  <c r="AW820" i="1" a="1"/>
  <c r="AW820" i="1" s="1"/>
  <c r="AX820" i="1" a="1"/>
  <c r="AX820" i="1" s="1"/>
  <c r="AY820" i="1" a="1"/>
  <c r="AY820" i="1" s="1"/>
  <c r="AZ820" i="1" a="1"/>
  <c r="AZ820" i="1" s="1"/>
  <c r="BA820" i="1" a="1"/>
  <c r="BA820" i="1" s="1"/>
  <c r="BB820" i="1" a="1"/>
  <c r="BB820" i="1" s="1"/>
  <c r="AL821" i="1" a="1"/>
  <c r="AL821" i="1" s="1"/>
  <c r="AM821" i="1" a="1"/>
  <c r="AM821" i="1" s="1"/>
  <c r="AN821" i="1" a="1"/>
  <c r="AN821" i="1" s="1"/>
  <c r="AO821" i="1" a="1"/>
  <c r="AO821" i="1" s="1"/>
  <c r="AP821" i="1" a="1"/>
  <c r="AP821" i="1" s="1"/>
  <c r="AQ821" i="1" a="1"/>
  <c r="AQ821" i="1" s="1"/>
  <c r="AR821" i="1" a="1"/>
  <c r="AR821" i="1" s="1"/>
  <c r="AS821" i="1" a="1"/>
  <c r="AS821" i="1" s="1"/>
  <c r="AT821" i="1" a="1"/>
  <c r="AT821" i="1" s="1"/>
  <c r="AU821" i="1" a="1"/>
  <c r="AU821" i="1" s="1"/>
  <c r="AV821" i="1" a="1"/>
  <c r="AV821" i="1" s="1"/>
  <c r="AW821" i="1" a="1"/>
  <c r="AW821" i="1" s="1"/>
  <c r="AX821" i="1" a="1"/>
  <c r="AX821" i="1" s="1"/>
  <c r="AY821" i="1" a="1"/>
  <c r="AY821" i="1" s="1"/>
  <c r="AZ821" i="1" a="1"/>
  <c r="AZ821" i="1" s="1"/>
  <c r="BA821" i="1" a="1"/>
  <c r="BA821" i="1" s="1"/>
  <c r="BB821" i="1" a="1"/>
  <c r="BB821" i="1" s="1"/>
  <c r="AL822" i="1" a="1"/>
  <c r="AL822" i="1" s="1"/>
  <c r="AM822" i="1" a="1"/>
  <c r="AM822" i="1" s="1"/>
  <c r="AN822" i="1" a="1"/>
  <c r="AN822" i="1" s="1"/>
  <c r="AO822" i="1" a="1"/>
  <c r="AO822" i="1" s="1"/>
  <c r="AP822" i="1" a="1"/>
  <c r="AP822" i="1" s="1"/>
  <c r="AQ822" i="1" a="1"/>
  <c r="AQ822" i="1" s="1"/>
  <c r="AR822" i="1" a="1"/>
  <c r="AR822" i="1" s="1"/>
  <c r="AS822" i="1" a="1"/>
  <c r="AS822" i="1" s="1"/>
  <c r="AT822" i="1" a="1"/>
  <c r="AT822" i="1" s="1"/>
  <c r="AU822" i="1" a="1"/>
  <c r="AU822" i="1" s="1"/>
  <c r="AV822" i="1" a="1"/>
  <c r="AV822" i="1" s="1"/>
  <c r="AW822" i="1" a="1"/>
  <c r="AW822" i="1" s="1"/>
  <c r="AX822" i="1" a="1"/>
  <c r="AX822" i="1" s="1"/>
  <c r="AY822" i="1" a="1"/>
  <c r="AY822" i="1" s="1"/>
  <c r="AZ822" i="1" a="1"/>
  <c r="AZ822" i="1" s="1"/>
  <c r="BA822" i="1" a="1"/>
  <c r="BA822" i="1" s="1"/>
  <c r="BB822" i="1" a="1"/>
  <c r="BB822" i="1" s="1"/>
  <c r="AL823" i="1" a="1"/>
  <c r="AL823" i="1" s="1"/>
  <c r="AM823" i="1" a="1"/>
  <c r="AM823" i="1" s="1"/>
  <c r="AN823" i="1" a="1"/>
  <c r="AN823" i="1" s="1"/>
  <c r="AO823" i="1" a="1"/>
  <c r="AO823" i="1" s="1"/>
  <c r="AP823" i="1" a="1"/>
  <c r="AP823" i="1" s="1"/>
  <c r="AQ823" i="1" a="1"/>
  <c r="AQ823" i="1" s="1"/>
  <c r="AR823" i="1" a="1"/>
  <c r="AR823" i="1" s="1"/>
  <c r="AS823" i="1" a="1"/>
  <c r="AS823" i="1" s="1"/>
  <c r="AT823" i="1" a="1"/>
  <c r="AT823" i="1" s="1"/>
  <c r="AU823" i="1" a="1"/>
  <c r="AU823" i="1" s="1"/>
  <c r="AV823" i="1" a="1"/>
  <c r="AV823" i="1" s="1"/>
  <c r="AW823" i="1" a="1"/>
  <c r="AW823" i="1" s="1"/>
  <c r="AX823" i="1" a="1"/>
  <c r="AX823" i="1" s="1"/>
  <c r="AY823" i="1" a="1"/>
  <c r="AY823" i="1" s="1"/>
  <c r="AZ823" i="1" a="1"/>
  <c r="AZ823" i="1" s="1"/>
  <c r="BA823" i="1" a="1"/>
  <c r="BA823" i="1" s="1"/>
  <c r="BB823" i="1" a="1"/>
  <c r="BB823" i="1" s="1"/>
  <c r="AL824" i="1" a="1"/>
  <c r="AL824" i="1" s="1"/>
  <c r="AM824" i="1" a="1"/>
  <c r="AM824" i="1" s="1"/>
  <c r="AN824" i="1" a="1"/>
  <c r="AN824" i="1" s="1"/>
  <c r="AO824" i="1" a="1"/>
  <c r="AO824" i="1" s="1"/>
  <c r="AP824" i="1" a="1"/>
  <c r="AP824" i="1" s="1"/>
  <c r="AQ824" i="1" a="1"/>
  <c r="AQ824" i="1" s="1"/>
  <c r="AR824" i="1" a="1"/>
  <c r="AR824" i="1" s="1"/>
  <c r="AS824" i="1" a="1"/>
  <c r="AS824" i="1" s="1"/>
  <c r="AT824" i="1" a="1"/>
  <c r="AT824" i="1" s="1"/>
  <c r="AU824" i="1" a="1"/>
  <c r="AU824" i="1" s="1"/>
  <c r="AV824" i="1" a="1"/>
  <c r="AV824" i="1" s="1"/>
  <c r="AW824" i="1" a="1"/>
  <c r="AW824" i="1" s="1"/>
  <c r="AX824" i="1" a="1"/>
  <c r="AX824" i="1" s="1"/>
  <c r="AY824" i="1" a="1"/>
  <c r="AY824" i="1" s="1"/>
  <c r="AZ824" i="1" a="1"/>
  <c r="AZ824" i="1" s="1"/>
  <c r="BA824" i="1" a="1"/>
  <c r="BA824" i="1" s="1"/>
  <c r="BB824" i="1" a="1"/>
  <c r="BB824" i="1" s="1"/>
  <c r="AL825" i="1" a="1"/>
  <c r="AL825" i="1" s="1"/>
  <c r="AM825" i="1" a="1"/>
  <c r="AM825" i="1" s="1"/>
  <c r="AN825" i="1" a="1"/>
  <c r="AN825" i="1" s="1"/>
  <c r="AO825" i="1" a="1"/>
  <c r="AO825" i="1" s="1"/>
  <c r="AP825" i="1" a="1"/>
  <c r="AP825" i="1" s="1"/>
  <c r="AQ825" i="1" a="1"/>
  <c r="AQ825" i="1" s="1"/>
  <c r="AR825" i="1" a="1"/>
  <c r="AR825" i="1" s="1"/>
  <c r="AS825" i="1" a="1"/>
  <c r="AS825" i="1" s="1"/>
  <c r="AT825" i="1" a="1"/>
  <c r="AT825" i="1" s="1"/>
  <c r="AU825" i="1" a="1"/>
  <c r="AU825" i="1" s="1"/>
  <c r="AV825" i="1" a="1"/>
  <c r="AV825" i="1" s="1"/>
  <c r="AW825" i="1" a="1"/>
  <c r="AW825" i="1" s="1"/>
  <c r="AX825" i="1" a="1"/>
  <c r="AX825" i="1" s="1"/>
  <c r="AY825" i="1" a="1"/>
  <c r="AY825" i="1" s="1"/>
  <c r="AZ825" i="1" a="1"/>
  <c r="AZ825" i="1" s="1"/>
  <c r="BA825" i="1" a="1"/>
  <c r="BA825" i="1" s="1"/>
  <c r="BB825" i="1" a="1"/>
  <c r="BB825" i="1" s="1"/>
  <c r="AL826" i="1" a="1"/>
  <c r="AL826" i="1" s="1"/>
  <c r="AM826" i="1" a="1"/>
  <c r="AM826" i="1" s="1"/>
  <c r="AN826" i="1" a="1"/>
  <c r="AN826" i="1" s="1"/>
  <c r="AO826" i="1" a="1"/>
  <c r="AO826" i="1" s="1"/>
  <c r="AP826" i="1" a="1"/>
  <c r="AP826" i="1" s="1"/>
  <c r="AQ826" i="1" a="1"/>
  <c r="AQ826" i="1" s="1"/>
  <c r="AR826" i="1" a="1"/>
  <c r="AR826" i="1" s="1"/>
  <c r="AS826" i="1" a="1"/>
  <c r="AS826" i="1" s="1"/>
  <c r="AT826" i="1" a="1"/>
  <c r="AT826" i="1" s="1"/>
  <c r="AU826" i="1" a="1"/>
  <c r="AU826" i="1" s="1"/>
  <c r="AV826" i="1" a="1"/>
  <c r="AV826" i="1" s="1"/>
  <c r="AW826" i="1" a="1"/>
  <c r="AW826" i="1" s="1"/>
  <c r="AX826" i="1" a="1"/>
  <c r="AX826" i="1" s="1"/>
  <c r="AY826" i="1" a="1"/>
  <c r="AY826" i="1" s="1"/>
  <c r="AZ826" i="1" a="1"/>
  <c r="AZ826" i="1" s="1"/>
  <c r="BA826" i="1" a="1"/>
  <c r="BA826" i="1" s="1"/>
  <c r="BB826" i="1" a="1"/>
  <c r="BB826" i="1" s="1"/>
  <c r="AL827" i="1" a="1"/>
  <c r="AL827" i="1" s="1"/>
  <c r="AM827" i="1" a="1"/>
  <c r="AM827" i="1" s="1"/>
  <c r="AN827" i="1" a="1"/>
  <c r="AN827" i="1" s="1"/>
  <c r="AO827" i="1" a="1"/>
  <c r="AO827" i="1" s="1"/>
  <c r="AP827" i="1" a="1"/>
  <c r="AP827" i="1" s="1"/>
  <c r="AQ827" i="1" a="1"/>
  <c r="AQ827" i="1" s="1"/>
  <c r="AR827" i="1" a="1"/>
  <c r="AR827" i="1" s="1"/>
  <c r="AS827" i="1" a="1"/>
  <c r="AS827" i="1" s="1"/>
  <c r="AT827" i="1" a="1"/>
  <c r="AT827" i="1" s="1"/>
  <c r="AU827" i="1" a="1"/>
  <c r="AU827" i="1" s="1"/>
  <c r="AV827" i="1" a="1"/>
  <c r="AV827" i="1" s="1"/>
  <c r="AW827" i="1" a="1"/>
  <c r="AW827" i="1" s="1"/>
  <c r="AX827" i="1" a="1"/>
  <c r="AX827" i="1" s="1"/>
  <c r="AY827" i="1" a="1"/>
  <c r="AY827" i="1" s="1"/>
  <c r="AZ827" i="1" a="1"/>
  <c r="AZ827" i="1" s="1"/>
  <c r="BA827" i="1" a="1"/>
  <c r="BA827" i="1" s="1"/>
  <c r="BB827" i="1" a="1"/>
  <c r="BB827" i="1" s="1"/>
  <c r="AL828" i="1" a="1"/>
  <c r="AL828" i="1" s="1"/>
  <c r="AM828" i="1" a="1"/>
  <c r="AM828" i="1" s="1"/>
  <c r="AN828" i="1" a="1"/>
  <c r="AN828" i="1" s="1"/>
  <c r="AO828" i="1" a="1"/>
  <c r="AO828" i="1" s="1"/>
  <c r="AP828" i="1" a="1"/>
  <c r="AP828" i="1" s="1"/>
  <c r="AQ828" i="1" a="1"/>
  <c r="AQ828" i="1" s="1"/>
  <c r="AR828" i="1" a="1"/>
  <c r="AR828" i="1" s="1"/>
  <c r="AS828" i="1" a="1"/>
  <c r="AS828" i="1" s="1"/>
  <c r="AT828" i="1" a="1"/>
  <c r="AT828" i="1" s="1"/>
  <c r="AU828" i="1" a="1"/>
  <c r="AU828" i="1" s="1"/>
  <c r="AV828" i="1" a="1"/>
  <c r="AV828" i="1" s="1"/>
  <c r="AW828" i="1" a="1"/>
  <c r="AW828" i="1" s="1"/>
  <c r="AX828" i="1" a="1"/>
  <c r="AX828" i="1" s="1"/>
  <c r="AY828" i="1" a="1"/>
  <c r="AY828" i="1" s="1"/>
  <c r="AZ828" i="1" a="1"/>
  <c r="AZ828" i="1" s="1"/>
  <c r="BA828" i="1" a="1"/>
  <c r="BA828" i="1" s="1"/>
  <c r="BB828" i="1" a="1"/>
  <c r="BB828" i="1" s="1"/>
  <c r="AL829" i="1" a="1"/>
  <c r="AL829" i="1" s="1"/>
  <c r="AM829" i="1" a="1"/>
  <c r="AM829" i="1" s="1"/>
  <c r="AN829" i="1" a="1"/>
  <c r="AN829" i="1" s="1"/>
  <c r="AO829" i="1" a="1"/>
  <c r="AO829" i="1" s="1"/>
  <c r="AP829" i="1" a="1"/>
  <c r="AP829" i="1" s="1"/>
  <c r="AQ829" i="1" a="1"/>
  <c r="AQ829" i="1" s="1"/>
  <c r="AR829" i="1" a="1"/>
  <c r="AR829" i="1" s="1"/>
  <c r="AS829" i="1" a="1"/>
  <c r="AS829" i="1" s="1"/>
  <c r="AT829" i="1" a="1"/>
  <c r="AT829" i="1" s="1"/>
  <c r="AU829" i="1" a="1"/>
  <c r="AU829" i="1" s="1"/>
  <c r="AV829" i="1" a="1"/>
  <c r="AV829" i="1" s="1"/>
  <c r="AW829" i="1" a="1"/>
  <c r="AW829" i="1" s="1"/>
  <c r="AX829" i="1" a="1"/>
  <c r="AX829" i="1" s="1"/>
  <c r="AY829" i="1" a="1"/>
  <c r="AY829" i="1" s="1"/>
  <c r="AZ829" i="1" a="1"/>
  <c r="AZ829" i="1" s="1"/>
  <c r="BA829" i="1" a="1"/>
  <c r="BA829" i="1" s="1"/>
  <c r="BB829" i="1" a="1"/>
  <c r="BB829" i="1" s="1"/>
  <c r="AL830" i="1" a="1"/>
  <c r="AL830" i="1" s="1"/>
  <c r="AM830" i="1" a="1"/>
  <c r="AM830" i="1" s="1"/>
  <c r="AN830" i="1" a="1"/>
  <c r="AN830" i="1" s="1"/>
  <c r="AO830" i="1" a="1"/>
  <c r="AO830" i="1" s="1"/>
  <c r="AP830" i="1" a="1"/>
  <c r="AP830" i="1" s="1"/>
  <c r="AQ830" i="1" a="1"/>
  <c r="AQ830" i="1" s="1"/>
  <c r="AR830" i="1" a="1"/>
  <c r="AR830" i="1" s="1"/>
  <c r="AS830" i="1" a="1"/>
  <c r="AS830" i="1" s="1"/>
  <c r="AT830" i="1" a="1"/>
  <c r="AT830" i="1" s="1"/>
  <c r="AU830" i="1" a="1"/>
  <c r="AU830" i="1" s="1"/>
  <c r="AV830" i="1" a="1"/>
  <c r="AV830" i="1" s="1"/>
  <c r="AW830" i="1" a="1"/>
  <c r="AW830" i="1" s="1"/>
  <c r="AX830" i="1" a="1"/>
  <c r="AX830" i="1" s="1"/>
  <c r="AY830" i="1" a="1"/>
  <c r="AY830" i="1" s="1"/>
  <c r="AZ830" i="1" a="1"/>
  <c r="AZ830" i="1" s="1"/>
  <c r="BA830" i="1" a="1"/>
  <c r="BA830" i="1" s="1"/>
  <c r="BB830" i="1" a="1"/>
  <c r="BB830" i="1" s="1"/>
  <c r="AL831" i="1" a="1"/>
  <c r="AL831" i="1" s="1"/>
  <c r="AM831" i="1" a="1"/>
  <c r="AM831" i="1" s="1"/>
  <c r="AN831" i="1" a="1"/>
  <c r="AN831" i="1" s="1"/>
  <c r="AO831" i="1" a="1"/>
  <c r="AO831" i="1" s="1"/>
  <c r="AP831" i="1" a="1"/>
  <c r="AP831" i="1" s="1"/>
  <c r="AQ831" i="1" a="1"/>
  <c r="AQ831" i="1" s="1"/>
  <c r="AR831" i="1" a="1"/>
  <c r="AR831" i="1" s="1"/>
  <c r="AS831" i="1" a="1"/>
  <c r="AS831" i="1" s="1"/>
  <c r="AT831" i="1" a="1"/>
  <c r="AT831" i="1" s="1"/>
  <c r="AU831" i="1" a="1"/>
  <c r="AU831" i="1" s="1"/>
  <c r="AV831" i="1" a="1"/>
  <c r="AV831" i="1" s="1"/>
  <c r="AW831" i="1" a="1"/>
  <c r="AW831" i="1" s="1"/>
  <c r="AX831" i="1" a="1"/>
  <c r="AX831" i="1" s="1"/>
  <c r="AY831" i="1" a="1"/>
  <c r="AY831" i="1" s="1"/>
  <c r="AZ831" i="1" a="1"/>
  <c r="AZ831" i="1" s="1"/>
  <c r="BA831" i="1" a="1"/>
  <c r="BA831" i="1" s="1"/>
  <c r="BB831" i="1" a="1"/>
  <c r="BB831" i="1" s="1"/>
  <c r="AL832" i="1" a="1"/>
  <c r="AL832" i="1" s="1"/>
  <c r="AM832" i="1" a="1"/>
  <c r="AM832" i="1" s="1"/>
  <c r="AN832" i="1" a="1"/>
  <c r="AN832" i="1" s="1"/>
  <c r="AO832" i="1" a="1"/>
  <c r="AO832" i="1" s="1"/>
  <c r="AP832" i="1" a="1"/>
  <c r="AP832" i="1" s="1"/>
  <c r="AQ832" i="1" a="1"/>
  <c r="AQ832" i="1" s="1"/>
  <c r="AR832" i="1" a="1"/>
  <c r="AR832" i="1" s="1"/>
  <c r="AS832" i="1" a="1"/>
  <c r="AS832" i="1" s="1"/>
  <c r="AT832" i="1" a="1"/>
  <c r="AT832" i="1" s="1"/>
  <c r="AU832" i="1" a="1"/>
  <c r="AU832" i="1" s="1"/>
  <c r="AV832" i="1" a="1"/>
  <c r="AV832" i="1" s="1"/>
  <c r="AW832" i="1" a="1"/>
  <c r="AW832" i="1" s="1"/>
  <c r="AX832" i="1" a="1"/>
  <c r="AX832" i="1" s="1"/>
  <c r="AY832" i="1" a="1"/>
  <c r="AY832" i="1" s="1"/>
  <c r="AZ832" i="1" a="1"/>
  <c r="AZ832" i="1" s="1"/>
  <c r="BA832" i="1" a="1"/>
  <c r="BA832" i="1" s="1"/>
  <c r="BB832" i="1" a="1"/>
  <c r="BB832" i="1" s="1"/>
  <c r="AL833" i="1" a="1"/>
  <c r="AL833" i="1" s="1"/>
  <c r="AM833" i="1" a="1"/>
  <c r="AM833" i="1" s="1"/>
  <c r="AN833" i="1" a="1"/>
  <c r="AN833" i="1" s="1"/>
  <c r="AO833" i="1" a="1"/>
  <c r="AO833" i="1" s="1"/>
  <c r="AP833" i="1" a="1"/>
  <c r="AP833" i="1" s="1"/>
  <c r="AQ833" i="1" a="1"/>
  <c r="AQ833" i="1" s="1"/>
  <c r="AR833" i="1" a="1"/>
  <c r="AR833" i="1" s="1"/>
  <c r="AS833" i="1" a="1"/>
  <c r="AS833" i="1" s="1"/>
  <c r="AT833" i="1" a="1"/>
  <c r="AT833" i="1" s="1"/>
  <c r="AU833" i="1" a="1"/>
  <c r="AU833" i="1" s="1"/>
  <c r="AV833" i="1" a="1"/>
  <c r="AV833" i="1" s="1"/>
  <c r="AW833" i="1" a="1"/>
  <c r="AW833" i="1" s="1"/>
  <c r="AX833" i="1" a="1"/>
  <c r="AX833" i="1" s="1"/>
  <c r="AY833" i="1" a="1"/>
  <c r="AY833" i="1" s="1"/>
  <c r="AZ833" i="1" a="1"/>
  <c r="AZ833" i="1" s="1"/>
  <c r="BA833" i="1" a="1"/>
  <c r="BA833" i="1" s="1"/>
  <c r="BB833" i="1" a="1"/>
  <c r="BB833" i="1" s="1"/>
  <c r="AL732" i="1" a="1"/>
  <c r="AL732" i="1" s="1"/>
  <c r="AM732" i="1" a="1"/>
  <c r="AM732" i="1" s="1"/>
  <c r="AN732" i="1" a="1"/>
  <c r="AN732" i="1" s="1"/>
  <c r="AO732" i="1" a="1"/>
  <c r="AO732" i="1" s="1"/>
  <c r="AP732" i="1" a="1"/>
  <c r="AP732" i="1" s="1"/>
  <c r="AQ732" i="1" a="1"/>
  <c r="AQ732" i="1" s="1"/>
  <c r="AR732" i="1" a="1"/>
  <c r="AR732" i="1" s="1"/>
  <c r="AS732" i="1" a="1"/>
  <c r="AS732" i="1" s="1"/>
  <c r="AT732" i="1" a="1"/>
  <c r="AT732" i="1" s="1"/>
  <c r="AU732" i="1" a="1"/>
  <c r="AU732" i="1" s="1"/>
  <c r="AV732" i="1" a="1"/>
  <c r="AV732" i="1" s="1"/>
  <c r="AW732" i="1" a="1"/>
  <c r="AW732" i="1" s="1"/>
  <c r="AX732" i="1" a="1"/>
  <c r="AX732" i="1" s="1"/>
  <c r="AY732" i="1" a="1"/>
  <c r="AY732" i="1" s="1"/>
  <c r="AZ732" i="1" a="1"/>
  <c r="AZ732" i="1" s="1"/>
  <c r="BA732" i="1" a="1"/>
  <c r="BA732" i="1" s="1"/>
  <c r="BB732" i="1" a="1"/>
  <c r="BB732" i="1" s="1"/>
  <c r="AL834" i="1" a="1"/>
  <c r="AL834" i="1" s="1"/>
  <c r="AM834" i="1" a="1"/>
  <c r="AM834" i="1" s="1"/>
  <c r="AN834" i="1" a="1"/>
  <c r="AN834" i="1" s="1"/>
  <c r="AO834" i="1" a="1"/>
  <c r="AO834" i="1" s="1"/>
  <c r="AP834" i="1" a="1"/>
  <c r="AP834" i="1" s="1"/>
  <c r="AQ834" i="1" a="1"/>
  <c r="AQ834" i="1" s="1"/>
  <c r="AR834" i="1" a="1"/>
  <c r="AR834" i="1" s="1"/>
  <c r="AS834" i="1" a="1"/>
  <c r="AS834" i="1" s="1"/>
  <c r="AT834" i="1" a="1"/>
  <c r="AT834" i="1" s="1"/>
  <c r="AU834" i="1" a="1"/>
  <c r="AU834" i="1" s="1"/>
  <c r="AV834" i="1" a="1"/>
  <c r="AV834" i="1" s="1"/>
  <c r="AW834" i="1" a="1"/>
  <c r="AW834" i="1" s="1"/>
  <c r="AX834" i="1" a="1"/>
  <c r="AX834" i="1" s="1"/>
  <c r="AY834" i="1" a="1"/>
  <c r="AY834" i="1" s="1"/>
  <c r="AZ834" i="1" a="1"/>
  <c r="AZ834" i="1" s="1"/>
  <c r="BA834" i="1" a="1"/>
  <c r="BA834" i="1" s="1"/>
  <c r="BB834" i="1" a="1"/>
  <c r="BB834" i="1" s="1"/>
  <c r="AL835" i="1" a="1"/>
  <c r="AL835" i="1" s="1"/>
  <c r="AM835" i="1" a="1"/>
  <c r="AM835" i="1" s="1"/>
  <c r="AN835" i="1" a="1"/>
  <c r="AN835" i="1" s="1"/>
  <c r="AO835" i="1" a="1"/>
  <c r="AO835" i="1" s="1"/>
  <c r="AP835" i="1" a="1"/>
  <c r="AP835" i="1" s="1"/>
  <c r="AQ835" i="1" a="1"/>
  <c r="AQ835" i="1" s="1"/>
  <c r="AR835" i="1" a="1"/>
  <c r="AR835" i="1" s="1"/>
  <c r="AS835" i="1" a="1"/>
  <c r="AS835" i="1" s="1"/>
  <c r="AT835" i="1" a="1"/>
  <c r="AT835" i="1" s="1"/>
  <c r="AU835" i="1" a="1"/>
  <c r="AU835" i="1" s="1"/>
  <c r="AV835" i="1" a="1"/>
  <c r="AV835" i="1" s="1"/>
  <c r="AW835" i="1" a="1"/>
  <c r="AW835" i="1" s="1"/>
  <c r="AX835" i="1" a="1"/>
  <c r="AX835" i="1" s="1"/>
  <c r="AY835" i="1" a="1"/>
  <c r="AY835" i="1" s="1"/>
  <c r="AZ835" i="1" a="1"/>
  <c r="AZ835" i="1" s="1"/>
  <c r="BA835" i="1" a="1"/>
  <c r="BA835" i="1" s="1"/>
  <c r="BB835" i="1" a="1"/>
  <c r="BB835" i="1" s="1"/>
  <c r="AL836" i="1" a="1"/>
  <c r="AL836" i="1" s="1"/>
  <c r="AM836" i="1" a="1"/>
  <c r="AM836" i="1" s="1"/>
  <c r="AN836" i="1" a="1"/>
  <c r="AN836" i="1" s="1"/>
  <c r="AO836" i="1" a="1"/>
  <c r="AO836" i="1" s="1"/>
  <c r="AP836" i="1" a="1"/>
  <c r="AP836" i="1" s="1"/>
  <c r="AQ836" i="1" a="1"/>
  <c r="AQ836" i="1" s="1"/>
  <c r="AR836" i="1" a="1"/>
  <c r="AR836" i="1" s="1"/>
  <c r="AS836" i="1" a="1"/>
  <c r="AS836" i="1" s="1"/>
  <c r="AT836" i="1" a="1"/>
  <c r="AT836" i="1" s="1"/>
  <c r="AU836" i="1" a="1"/>
  <c r="AU836" i="1" s="1"/>
  <c r="AV836" i="1" a="1"/>
  <c r="AV836" i="1" s="1"/>
  <c r="AW836" i="1" a="1"/>
  <c r="AW836" i="1" s="1"/>
  <c r="AX836" i="1" a="1"/>
  <c r="AX836" i="1" s="1"/>
  <c r="AY836" i="1" a="1"/>
  <c r="AY836" i="1" s="1"/>
  <c r="AZ836" i="1" a="1"/>
  <c r="AZ836" i="1" s="1"/>
  <c r="BA836" i="1" a="1"/>
  <c r="BA836" i="1" s="1"/>
  <c r="BB836" i="1" a="1"/>
  <c r="BB836" i="1" s="1"/>
  <c r="AL837" i="1" a="1"/>
  <c r="AL837" i="1" s="1"/>
  <c r="AM837" i="1" a="1"/>
  <c r="AM837" i="1" s="1"/>
  <c r="AN837" i="1" a="1"/>
  <c r="AN837" i="1" s="1"/>
  <c r="AO837" i="1" a="1"/>
  <c r="AO837" i="1" s="1"/>
  <c r="AP837" i="1" a="1"/>
  <c r="AP837" i="1" s="1"/>
  <c r="AQ837" i="1" a="1"/>
  <c r="AQ837" i="1" s="1"/>
  <c r="AR837" i="1" a="1"/>
  <c r="AR837" i="1" s="1"/>
  <c r="AS837" i="1" a="1"/>
  <c r="AS837" i="1" s="1"/>
  <c r="AT837" i="1" a="1"/>
  <c r="AT837" i="1" s="1"/>
  <c r="AU837" i="1" a="1"/>
  <c r="AU837" i="1" s="1"/>
  <c r="AV837" i="1" a="1"/>
  <c r="AV837" i="1" s="1"/>
  <c r="AW837" i="1" a="1"/>
  <c r="AW837" i="1" s="1"/>
  <c r="AX837" i="1" a="1"/>
  <c r="AX837" i="1" s="1"/>
  <c r="AY837" i="1" a="1"/>
  <c r="AY837" i="1" s="1"/>
  <c r="AZ837" i="1" a="1"/>
  <c r="AZ837" i="1" s="1"/>
  <c r="BA837" i="1" a="1"/>
  <c r="BA837" i="1" s="1"/>
  <c r="BB837" i="1" a="1"/>
  <c r="BB837" i="1" s="1"/>
  <c r="AL838" i="1" a="1"/>
  <c r="AL838" i="1" s="1"/>
  <c r="AM838" i="1" a="1"/>
  <c r="AM838" i="1" s="1"/>
  <c r="AN838" i="1" a="1"/>
  <c r="AN838" i="1" s="1"/>
  <c r="AO838" i="1" a="1"/>
  <c r="AO838" i="1" s="1"/>
  <c r="AP838" i="1" a="1"/>
  <c r="AP838" i="1" s="1"/>
  <c r="AQ838" i="1" a="1"/>
  <c r="AQ838" i="1" s="1"/>
  <c r="AR838" i="1" a="1"/>
  <c r="AR838" i="1" s="1"/>
  <c r="AS838" i="1" a="1"/>
  <c r="AS838" i="1" s="1"/>
  <c r="AT838" i="1" a="1"/>
  <c r="AT838" i="1" s="1"/>
  <c r="AU838" i="1" a="1"/>
  <c r="AU838" i="1" s="1"/>
  <c r="AV838" i="1" a="1"/>
  <c r="AV838" i="1" s="1"/>
  <c r="AW838" i="1" a="1"/>
  <c r="AW838" i="1" s="1"/>
  <c r="AX838" i="1" a="1"/>
  <c r="AX838" i="1" s="1"/>
  <c r="AY838" i="1" a="1"/>
  <c r="AY838" i="1" s="1"/>
  <c r="AZ838" i="1" a="1"/>
  <c r="AZ838" i="1" s="1"/>
  <c r="BA838" i="1" a="1"/>
  <c r="BA838" i="1" s="1"/>
  <c r="BB838" i="1" a="1"/>
  <c r="BB838" i="1" s="1"/>
  <c r="AL839" i="1" a="1"/>
  <c r="AL839" i="1" s="1"/>
  <c r="AM839" i="1" a="1"/>
  <c r="AM839" i="1" s="1"/>
  <c r="AN839" i="1" a="1"/>
  <c r="AN839" i="1" s="1"/>
  <c r="AO839" i="1" a="1"/>
  <c r="AO839" i="1" s="1"/>
  <c r="AP839" i="1" a="1"/>
  <c r="AP839" i="1" s="1"/>
  <c r="AQ839" i="1" a="1"/>
  <c r="AQ839" i="1" s="1"/>
  <c r="AR839" i="1" a="1"/>
  <c r="AR839" i="1" s="1"/>
  <c r="AS839" i="1" a="1"/>
  <c r="AS839" i="1" s="1"/>
  <c r="AT839" i="1" a="1"/>
  <c r="AT839" i="1" s="1"/>
  <c r="AU839" i="1" a="1"/>
  <c r="AU839" i="1" s="1"/>
  <c r="AV839" i="1" a="1"/>
  <c r="AV839" i="1" s="1"/>
  <c r="AW839" i="1" a="1"/>
  <c r="AW839" i="1" s="1"/>
  <c r="AX839" i="1" a="1"/>
  <c r="AX839" i="1" s="1"/>
  <c r="AY839" i="1" a="1"/>
  <c r="AY839" i="1" s="1"/>
  <c r="AZ839" i="1" a="1"/>
  <c r="AZ839" i="1" s="1"/>
  <c r="BA839" i="1" a="1"/>
  <c r="BA839" i="1" s="1"/>
  <c r="BB839" i="1" a="1"/>
  <c r="BB839" i="1" s="1"/>
  <c r="AL840" i="1" a="1"/>
  <c r="AL840" i="1" s="1"/>
  <c r="AM840" i="1" a="1"/>
  <c r="AM840" i="1" s="1"/>
  <c r="AN840" i="1" a="1"/>
  <c r="AN840" i="1" s="1"/>
  <c r="AO840" i="1" a="1"/>
  <c r="AO840" i="1" s="1"/>
  <c r="AP840" i="1" a="1"/>
  <c r="AP840" i="1" s="1"/>
  <c r="AQ840" i="1" a="1"/>
  <c r="AQ840" i="1" s="1"/>
  <c r="AR840" i="1" a="1"/>
  <c r="AR840" i="1" s="1"/>
  <c r="AS840" i="1" a="1"/>
  <c r="AS840" i="1" s="1"/>
  <c r="AT840" i="1" a="1"/>
  <c r="AT840" i="1" s="1"/>
  <c r="AU840" i="1" a="1"/>
  <c r="AU840" i="1" s="1"/>
  <c r="AV840" i="1" a="1"/>
  <c r="AV840" i="1" s="1"/>
  <c r="AW840" i="1" a="1"/>
  <c r="AW840" i="1" s="1"/>
  <c r="AX840" i="1" a="1"/>
  <c r="AX840" i="1" s="1"/>
  <c r="AY840" i="1" a="1"/>
  <c r="AY840" i="1" s="1"/>
  <c r="AZ840" i="1" a="1"/>
  <c r="AZ840" i="1" s="1"/>
  <c r="BA840" i="1" a="1"/>
  <c r="BA840" i="1" s="1"/>
  <c r="BB840" i="1" a="1"/>
  <c r="BB840" i="1" s="1"/>
  <c r="AL841" i="1" a="1"/>
  <c r="AL841" i="1" s="1"/>
  <c r="AM841" i="1" a="1"/>
  <c r="AM841" i="1" s="1"/>
  <c r="AN841" i="1" a="1"/>
  <c r="AN841" i="1" s="1"/>
  <c r="AO841" i="1" a="1"/>
  <c r="AO841" i="1" s="1"/>
  <c r="AP841" i="1" a="1"/>
  <c r="AP841" i="1" s="1"/>
  <c r="AQ841" i="1" a="1"/>
  <c r="AQ841" i="1" s="1"/>
  <c r="AR841" i="1" a="1"/>
  <c r="AR841" i="1" s="1"/>
  <c r="AS841" i="1" a="1"/>
  <c r="AS841" i="1" s="1"/>
  <c r="AT841" i="1" a="1"/>
  <c r="AT841" i="1" s="1"/>
  <c r="AU841" i="1" a="1"/>
  <c r="AU841" i="1" s="1"/>
  <c r="AV841" i="1" a="1"/>
  <c r="AV841" i="1" s="1"/>
  <c r="AW841" i="1" a="1"/>
  <c r="AW841" i="1" s="1"/>
  <c r="AX841" i="1" a="1"/>
  <c r="AX841" i="1" s="1"/>
  <c r="AY841" i="1" a="1"/>
  <c r="AY841" i="1" s="1"/>
  <c r="AZ841" i="1" a="1"/>
  <c r="AZ841" i="1" s="1"/>
  <c r="BA841" i="1" a="1"/>
  <c r="BA841" i="1" s="1"/>
  <c r="BB841" i="1" a="1"/>
  <c r="BB841" i="1" s="1"/>
  <c r="AL842" i="1" a="1"/>
  <c r="AL842" i="1" s="1"/>
  <c r="AM842" i="1" a="1"/>
  <c r="AM842" i="1" s="1"/>
  <c r="AN842" i="1" a="1"/>
  <c r="AN842" i="1" s="1"/>
  <c r="AO842" i="1" a="1"/>
  <c r="AO842" i="1" s="1"/>
  <c r="AP842" i="1" a="1"/>
  <c r="AP842" i="1" s="1"/>
  <c r="AQ842" i="1" a="1"/>
  <c r="AQ842" i="1" s="1"/>
  <c r="AR842" i="1" a="1"/>
  <c r="AR842" i="1" s="1"/>
  <c r="AS842" i="1" a="1"/>
  <c r="AS842" i="1" s="1"/>
  <c r="AT842" i="1" a="1"/>
  <c r="AT842" i="1" s="1"/>
  <c r="AU842" i="1" a="1"/>
  <c r="AU842" i="1" s="1"/>
  <c r="AV842" i="1" a="1"/>
  <c r="AV842" i="1" s="1"/>
  <c r="AW842" i="1" a="1"/>
  <c r="AW842" i="1" s="1"/>
  <c r="AX842" i="1" a="1"/>
  <c r="AX842" i="1" s="1"/>
  <c r="AY842" i="1" a="1"/>
  <c r="AY842" i="1" s="1"/>
  <c r="AZ842" i="1" a="1"/>
  <c r="AZ842" i="1" s="1"/>
  <c r="BA842" i="1" a="1"/>
  <c r="BA842" i="1" s="1"/>
  <c r="BB842" i="1" a="1"/>
  <c r="BB842" i="1" s="1"/>
  <c r="AL843" i="1" a="1"/>
  <c r="AL843" i="1" s="1"/>
  <c r="AM843" i="1" a="1"/>
  <c r="AM843" i="1" s="1"/>
  <c r="AN843" i="1" a="1"/>
  <c r="AN843" i="1" s="1"/>
  <c r="AO843" i="1" a="1"/>
  <c r="AO843" i="1" s="1"/>
  <c r="AP843" i="1" a="1"/>
  <c r="AP843" i="1" s="1"/>
  <c r="AQ843" i="1" a="1"/>
  <c r="AQ843" i="1" s="1"/>
  <c r="AR843" i="1" a="1"/>
  <c r="AR843" i="1" s="1"/>
  <c r="AS843" i="1" a="1"/>
  <c r="AS843" i="1" s="1"/>
  <c r="AT843" i="1" a="1"/>
  <c r="AT843" i="1" s="1"/>
  <c r="AU843" i="1" a="1"/>
  <c r="AU843" i="1" s="1"/>
  <c r="AV843" i="1" a="1"/>
  <c r="AV843" i="1" s="1"/>
  <c r="AW843" i="1" a="1"/>
  <c r="AW843" i="1" s="1"/>
  <c r="AX843" i="1" a="1"/>
  <c r="AX843" i="1" s="1"/>
  <c r="AY843" i="1" a="1"/>
  <c r="AY843" i="1" s="1"/>
  <c r="AZ843" i="1" a="1"/>
  <c r="AZ843" i="1" s="1"/>
  <c r="BA843" i="1" a="1"/>
  <c r="BA843" i="1" s="1"/>
  <c r="BB843" i="1" a="1"/>
  <c r="BB843" i="1" s="1"/>
  <c r="AL844" i="1" a="1"/>
  <c r="AL844" i="1" s="1"/>
  <c r="AM844" i="1" a="1"/>
  <c r="AM844" i="1" s="1"/>
  <c r="AN844" i="1" a="1"/>
  <c r="AN844" i="1" s="1"/>
  <c r="AO844" i="1" a="1"/>
  <c r="AO844" i="1" s="1"/>
  <c r="AP844" i="1" a="1"/>
  <c r="AP844" i="1" s="1"/>
  <c r="AQ844" i="1" a="1"/>
  <c r="AQ844" i="1" s="1"/>
  <c r="AR844" i="1" a="1"/>
  <c r="AR844" i="1" s="1"/>
  <c r="AS844" i="1" a="1"/>
  <c r="AS844" i="1" s="1"/>
  <c r="AT844" i="1" a="1"/>
  <c r="AT844" i="1" s="1"/>
  <c r="AU844" i="1" a="1"/>
  <c r="AU844" i="1" s="1"/>
  <c r="AV844" i="1" a="1"/>
  <c r="AV844" i="1" s="1"/>
  <c r="AW844" i="1" a="1"/>
  <c r="AW844" i="1" s="1"/>
  <c r="AX844" i="1" a="1"/>
  <c r="AX844" i="1" s="1"/>
  <c r="AY844" i="1" a="1"/>
  <c r="AY844" i="1" s="1"/>
  <c r="AZ844" i="1" a="1"/>
  <c r="AZ844" i="1" s="1"/>
  <c r="BA844" i="1" a="1"/>
  <c r="BA844" i="1" s="1"/>
  <c r="BB844" i="1" a="1"/>
  <c r="BB844" i="1" s="1"/>
  <c r="AL845" i="1" a="1"/>
  <c r="AL845" i="1" s="1"/>
  <c r="AM845" i="1" a="1"/>
  <c r="AM845" i="1" s="1"/>
  <c r="AN845" i="1" a="1"/>
  <c r="AN845" i="1" s="1"/>
  <c r="AO845" i="1" a="1"/>
  <c r="AO845" i="1" s="1"/>
  <c r="AP845" i="1" a="1"/>
  <c r="AP845" i="1" s="1"/>
  <c r="AQ845" i="1" a="1"/>
  <c r="AQ845" i="1" s="1"/>
  <c r="AR845" i="1" a="1"/>
  <c r="AR845" i="1" s="1"/>
  <c r="AS845" i="1" a="1"/>
  <c r="AS845" i="1" s="1"/>
  <c r="AT845" i="1" a="1"/>
  <c r="AT845" i="1" s="1"/>
  <c r="AU845" i="1" a="1"/>
  <c r="AU845" i="1" s="1"/>
  <c r="AV845" i="1" a="1"/>
  <c r="AV845" i="1" s="1"/>
  <c r="AW845" i="1" a="1"/>
  <c r="AW845" i="1" s="1"/>
  <c r="AX845" i="1" a="1"/>
  <c r="AX845" i="1" s="1"/>
  <c r="AY845" i="1" a="1"/>
  <c r="AY845" i="1" s="1"/>
  <c r="AZ845" i="1" a="1"/>
  <c r="AZ845" i="1" s="1"/>
  <c r="BA845" i="1" a="1"/>
  <c r="BA845" i="1" s="1"/>
  <c r="BB845" i="1" a="1"/>
  <c r="BB845" i="1" s="1"/>
  <c r="AL846" i="1" a="1"/>
  <c r="AL846" i="1" s="1"/>
  <c r="AM846" i="1" a="1"/>
  <c r="AM846" i="1" s="1"/>
  <c r="AN846" i="1" a="1"/>
  <c r="AN846" i="1" s="1"/>
  <c r="AO846" i="1" a="1"/>
  <c r="AO846" i="1" s="1"/>
  <c r="AP846" i="1" a="1"/>
  <c r="AP846" i="1" s="1"/>
  <c r="AQ846" i="1" a="1"/>
  <c r="AQ846" i="1" s="1"/>
  <c r="AR846" i="1" a="1"/>
  <c r="AR846" i="1" s="1"/>
  <c r="AS846" i="1" a="1"/>
  <c r="AS846" i="1" s="1"/>
  <c r="AT846" i="1" a="1"/>
  <c r="AT846" i="1" s="1"/>
  <c r="AU846" i="1" a="1"/>
  <c r="AU846" i="1" s="1"/>
  <c r="AV846" i="1" a="1"/>
  <c r="AV846" i="1" s="1"/>
  <c r="AW846" i="1" a="1"/>
  <c r="AW846" i="1" s="1"/>
  <c r="AX846" i="1" a="1"/>
  <c r="AX846" i="1" s="1"/>
  <c r="AY846" i="1" a="1"/>
  <c r="AY846" i="1" s="1"/>
  <c r="AZ846" i="1" a="1"/>
  <c r="AZ846" i="1" s="1"/>
  <c r="BA846" i="1" a="1"/>
  <c r="BA846" i="1" s="1"/>
  <c r="BB846" i="1" a="1"/>
  <c r="BB846" i="1" s="1"/>
  <c r="AL847" i="1" a="1"/>
  <c r="AL847" i="1" s="1"/>
  <c r="AM847" i="1" a="1"/>
  <c r="AM847" i="1" s="1"/>
  <c r="AN847" i="1" a="1"/>
  <c r="AN847" i="1" s="1"/>
  <c r="AO847" i="1" a="1"/>
  <c r="AO847" i="1" s="1"/>
  <c r="AP847" i="1" a="1"/>
  <c r="AP847" i="1" s="1"/>
  <c r="AQ847" i="1" a="1"/>
  <c r="AQ847" i="1" s="1"/>
  <c r="AR847" i="1" a="1"/>
  <c r="AR847" i="1" s="1"/>
  <c r="AS847" i="1" a="1"/>
  <c r="AS847" i="1" s="1"/>
  <c r="AT847" i="1" a="1"/>
  <c r="AT847" i="1" s="1"/>
  <c r="AU847" i="1" a="1"/>
  <c r="AU847" i="1" s="1"/>
  <c r="AV847" i="1" a="1"/>
  <c r="AV847" i="1" s="1"/>
  <c r="AW847" i="1" a="1"/>
  <c r="AW847" i="1" s="1"/>
  <c r="AX847" i="1" a="1"/>
  <c r="AX847" i="1" s="1"/>
  <c r="AY847" i="1" a="1"/>
  <c r="AY847" i="1" s="1"/>
  <c r="AZ847" i="1" a="1"/>
  <c r="AZ847" i="1" s="1"/>
  <c r="BA847" i="1" a="1"/>
  <c r="BA847" i="1" s="1"/>
  <c r="BB847" i="1" a="1"/>
  <c r="BB847" i="1" s="1"/>
  <c r="AL848" i="1" a="1"/>
  <c r="AL848" i="1" s="1"/>
  <c r="AM848" i="1" a="1"/>
  <c r="AM848" i="1" s="1"/>
  <c r="AN848" i="1" a="1"/>
  <c r="AN848" i="1" s="1"/>
  <c r="AO848" i="1" a="1"/>
  <c r="AO848" i="1" s="1"/>
  <c r="AP848" i="1" a="1"/>
  <c r="AP848" i="1" s="1"/>
  <c r="AQ848" i="1" a="1"/>
  <c r="AQ848" i="1" s="1"/>
  <c r="AR848" i="1" a="1"/>
  <c r="AR848" i="1" s="1"/>
  <c r="AS848" i="1" a="1"/>
  <c r="AS848" i="1" s="1"/>
  <c r="AT848" i="1" a="1"/>
  <c r="AT848" i="1" s="1"/>
  <c r="AU848" i="1" a="1"/>
  <c r="AU848" i="1" s="1"/>
  <c r="AV848" i="1" a="1"/>
  <c r="AV848" i="1" s="1"/>
  <c r="AW848" i="1" a="1"/>
  <c r="AW848" i="1" s="1"/>
  <c r="AX848" i="1" a="1"/>
  <c r="AX848" i="1" s="1"/>
  <c r="AY848" i="1" a="1"/>
  <c r="AY848" i="1" s="1"/>
  <c r="AZ848" i="1" a="1"/>
  <c r="AZ848" i="1" s="1"/>
  <c r="BA848" i="1" a="1"/>
  <c r="BA848" i="1" s="1"/>
  <c r="BB848" i="1" a="1"/>
  <c r="BB848" i="1" s="1"/>
  <c r="AL849" i="1" a="1"/>
  <c r="AL849" i="1" s="1"/>
  <c r="AM849" i="1" a="1"/>
  <c r="AM849" i="1" s="1"/>
  <c r="AN849" i="1" a="1"/>
  <c r="AN849" i="1" s="1"/>
  <c r="AO849" i="1" a="1"/>
  <c r="AO849" i="1" s="1"/>
  <c r="AP849" i="1" a="1"/>
  <c r="AP849" i="1" s="1"/>
  <c r="AQ849" i="1" a="1"/>
  <c r="AQ849" i="1" s="1"/>
  <c r="AR849" i="1" a="1"/>
  <c r="AR849" i="1" s="1"/>
  <c r="AS849" i="1" a="1"/>
  <c r="AS849" i="1" s="1"/>
  <c r="AT849" i="1" a="1"/>
  <c r="AT849" i="1" s="1"/>
  <c r="AU849" i="1" a="1"/>
  <c r="AU849" i="1" s="1"/>
  <c r="AV849" i="1" a="1"/>
  <c r="AV849" i="1" s="1"/>
  <c r="AW849" i="1" a="1"/>
  <c r="AW849" i="1" s="1"/>
  <c r="AX849" i="1" a="1"/>
  <c r="AX849" i="1" s="1"/>
  <c r="AY849" i="1" a="1"/>
  <c r="AY849" i="1" s="1"/>
  <c r="AZ849" i="1" a="1"/>
  <c r="AZ849" i="1" s="1"/>
  <c r="BA849" i="1" a="1"/>
  <c r="BA849" i="1" s="1"/>
  <c r="BB849" i="1" a="1"/>
  <c r="BB849" i="1" s="1"/>
  <c r="AL748" i="1" a="1"/>
  <c r="AL748" i="1" s="1"/>
  <c r="AM748" i="1" a="1"/>
  <c r="AM748" i="1" s="1"/>
  <c r="AN748" i="1" a="1"/>
  <c r="AN748" i="1" s="1"/>
  <c r="AO748" i="1" a="1"/>
  <c r="AO748" i="1" s="1"/>
  <c r="AP748" i="1" a="1"/>
  <c r="AP748" i="1" s="1"/>
  <c r="AQ748" i="1" a="1"/>
  <c r="AQ748" i="1" s="1"/>
  <c r="AR748" i="1" a="1"/>
  <c r="AR748" i="1" s="1"/>
  <c r="AS748" i="1" a="1"/>
  <c r="AS748" i="1" s="1"/>
  <c r="AT748" i="1" a="1"/>
  <c r="AT748" i="1" s="1"/>
  <c r="AU748" i="1" a="1"/>
  <c r="AU748" i="1" s="1"/>
  <c r="AV748" i="1" a="1"/>
  <c r="AV748" i="1" s="1"/>
  <c r="AW748" i="1" a="1"/>
  <c r="AW748" i="1" s="1"/>
  <c r="AX748" i="1" a="1"/>
  <c r="AX748" i="1" s="1"/>
  <c r="AY748" i="1" a="1"/>
  <c r="AY748" i="1" s="1"/>
  <c r="AZ748" i="1" a="1"/>
  <c r="AZ748" i="1" s="1"/>
  <c r="BA748" i="1" a="1"/>
  <c r="BA748" i="1" s="1"/>
  <c r="BB748" i="1" a="1"/>
  <c r="BB748" i="1" s="1"/>
  <c r="AL850" i="1" a="1"/>
  <c r="AL850" i="1" s="1"/>
  <c r="AM850" i="1" a="1"/>
  <c r="AM850" i="1" s="1"/>
  <c r="AN850" i="1" a="1"/>
  <c r="AN850" i="1" s="1"/>
  <c r="AO850" i="1" a="1"/>
  <c r="AO850" i="1" s="1"/>
  <c r="AP850" i="1" a="1"/>
  <c r="AP850" i="1" s="1"/>
  <c r="AQ850" i="1" a="1"/>
  <c r="AQ850" i="1" s="1"/>
  <c r="AR850" i="1" a="1"/>
  <c r="AR850" i="1" s="1"/>
  <c r="AS850" i="1" a="1"/>
  <c r="AS850" i="1" s="1"/>
  <c r="AT850" i="1" a="1"/>
  <c r="AT850" i="1" s="1"/>
  <c r="AU850" i="1" a="1"/>
  <c r="AU850" i="1" s="1"/>
  <c r="AV850" i="1" a="1"/>
  <c r="AV850" i="1" s="1"/>
  <c r="AW850" i="1" a="1"/>
  <c r="AW850" i="1" s="1"/>
  <c r="AX850" i="1" a="1"/>
  <c r="AX850" i="1" s="1"/>
  <c r="AY850" i="1" a="1"/>
  <c r="AY850" i="1" s="1"/>
  <c r="AZ850" i="1" a="1"/>
  <c r="AZ850" i="1" s="1"/>
  <c r="BA850" i="1" a="1"/>
  <c r="BA850" i="1" s="1"/>
  <c r="BB850" i="1" a="1"/>
  <c r="BB850" i="1" s="1"/>
  <c r="AL851" i="1" a="1"/>
  <c r="AL851" i="1" s="1"/>
  <c r="AM851" i="1" a="1"/>
  <c r="AM851" i="1" s="1"/>
  <c r="AN851" i="1" a="1"/>
  <c r="AN851" i="1" s="1"/>
  <c r="AO851" i="1" a="1"/>
  <c r="AO851" i="1" s="1"/>
  <c r="AP851" i="1" a="1"/>
  <c r="AP851" i="1" s="1"/>
  <c r="AQ851" i="1" a="1"/>
  <c r="AQ851" i="1" s="1"/>
  <c r="AR851" i="1" a="1"/>
  <c r="AR851" i="1" s="1"/>
  <c r="AS851" i="1" a="1"/>
  <c r="AS851" i="1" s="1"/>
  <c r="AT851" i="1" a="1"/>
  <c r="AT851" i="1" s="1"/>
  <c r="AU851" i="1" a="1"/>
  <c r="AU851" i="1" s="1"/>
  <c r="AV851" i="1" a="1"/>
  <c r="AV851" i="1" s="1"/>
  <c r="AW851" i="1" a="1"/>
  <c r="AW851" i="1" s="1"/>
  <c r="AX851" i="1" a="1"/>
  <c r="AX851" i="1" s="1"/>
  <c r="AY851" i="1" a="1"/>
  <c r="AY851" i="1" s="1"/>
  <c r="AZ851" i="1" a="1"/>
  <c r="AZ851" i="1" s="1"/>
  <c r="BA851" i="1" a="1"/>
  <c r="BA851" i="1" s="1"/>
  <c r="BB851" i="1" a="1"/>
  <c r="BB851" i="1" s="1"/>
  <c r="AL852" i="1" a="1"/>
  <c r="AL852" i="1" s="1"/>
  <c r="AM852" i="1" a="1"/>
  <c r="AM852" i="1" s="1"/>
  <c r="AN852" i="1" a="1"/>
  <c r="AN852" i="1" s="1"/>
  <c r="AO852" i="1" a="1"/>
  <c r="AO852" i="1" s="1"/>
  <c r="AP852" i="1" a="1"/>
  <c r="AP852" i="1" s="1"/>
  <c r="AQ852" i="1" a="1"/>
  <c r="AQ852" i="1" s="1"/>
  <c r="AR852" i="1" a="1"/>
  <c r="AR852" i="1" s="1"/>
  <c r="AS852" i="1" a="1"/>
  <c r="AS852" i="1" s="1"/>
  <c r="AT852" i="1" a="1"/>
  <c r="AT852" i="1" s="1"/>
  <c r="AU852" i="1" a="1"/>
  <c r="AU852" i="1" s="1"/>
  <c r="AV852" i="1" a="1"/>
  <c r="AV852" i="1" s="1"/>
  <c r="AW852" i="1" a="1"/>
  <c r="AW852" i="1" s="1"/>
  <c r="AX852" i="1" a="1"/>
  <c r="AX852" i="1" s="1"/>
  <c r="AY852" i="1" a="1"/>
  <c r="AY852" i="1" s="1"/>
  <c r="AZ852" i="1" a="1"/>
  <c r="AZ852" i="1" s="1"/>
  <c r="BA852" i="1" a="1"/>
  <c r="BA852" i="1" s="1"/>
  <c r="BB852" i="1" a="1"/>
  <c r="BB852" i="1" s="1"/>
  <c r="AL853" i="1" a="1"/>
  <c r="AL853" i="1" s="1"/>
  <c r="AM853" i="1" a="1"/>
  <c r="AM853" i="1" s="1"/>
  <c r="AN853" i="1" a="1"/>
  <c r="AN853" i="1" s="1"/>
  <c r="AO853" i="1" a="1"/>
  <c r="AO853" i="1" s="1"/>
  <c r="AP853" i="1" a="1"/>
  <c r="AP853" i="1" s="1"/>
  <c r="AQ853" i="1" a="1"/>
  <c r="AQ853" i="1" s="1"/>
  <c r="AR853" i="1" a="1"/>
  <c r="AR853" i="1" s="1"/>
  <c r="AS853" i="1" a="1"/>
  <c r="AS853" i="1" s="1"/>
  <c r="AT853" i="1" a="1"/>
  <c r="AT853" i="1" s="1"/>
  <c r="AU853" i="1" a="1"/>
  <c r="AU853" i="1" s="1"/>
  <c r="AV853" i="1" a="1"/>
  <c r="AV853" i="1" s="1"/>
  <c r="AW853" i="1" a="1"/>
  <c r="AW853" i="1" s="1"/>
  <c r="AX853" i="1" a="1"/>
  <c r="AX853" i="1" s="1"/>
  <c r="AY853" i="1" a="1"/>
  <c r="AY853" i="1" s="1"/>
  <c r="AZ853" i="1" a="1"/>
  <c r="AZ853" i="1" s="1"/>
  <c r="BA853" i="1" a="1"/>
  <c r="BA853" i="1" s="1"/>
  <c r="BB853" i="1" a="1"/>
  <c r="BB853" i="1" s="1"/>
  <c r="AL854" i="1" a="1"/>
  <c r="AL854" i="1" s="1"/>
  <c r="AM854" i="1" a="1"/>
  <c r="AM854" i="1" s="1"/>
  <c r="AN854" i="1" a="1"/>
  <c r="AN854" i="1" s="1"/>
  <c r="AO854" i="1" a="1"/>
  <c r="AO854" i="1" s="1"/>
  <c r="AP854" i="1" a="1"/>
  <c r="AP854" i="1" s="1"/>
  <c r="AQ854" i="1" a="1"/>
  <c r="AQ854" i="1" s="1"/>
  <c r="AR854" i="1" a="1"/>
  <c r="AR854" i="1" s="1"/>
  <c r="AS854" i="1" a="1"/>
  <c r="AS854" i="1" s="1"/>
  <c r="AT854" i="1" a="1"/>
  <c r="AT854" i="1" s="1"/>
  <c r="AU854" i="1" a="1"/>
  <c r="AU854" i="1" s="1"/>
  <c r="AV854" i="1" a="1"/>
  <c r="AV854" i="1" s="1"/>
  <c r="AW854" i="1" a="1"/>
  <c r="AW854" i="1" s="1"/>
  <c r="AX854" i="1" a="1"/>
  <c r="AX854" i="1" s="1"/>
  <c r="AY854" i="1" a="1"/>
  <c r="AY854" i="1" s="1"/>
  <c r="AZ854" i="1" a="1"/>
  <c r="AZ854" i="1" s="1"/>
  <c r="BA854" i="1" a="1"/>
  <c r="BA854" i="1" s="1"/>
  <c r="BB854" i="1" a="1"/>
  <c r="BB854" i="1" s="1"/>
  <c r="AL855" i="1" a="1"/>
  <c r="AL855" i="1" s="1"/>
  <c r="AM855" i="1" a="1"/>
  <c r="AM855" i="1" s="1"/>
  <c r="AN855" i="1" a="1"/>
  <c r="AN855" i="1" s="1"/>
  <c r="AO855" i="1" a="1"/>
  <c r="AO855" i="1" s="1"/>
  <c r="AP855" i="1" a="1"/>
  <c r="AP855" i="1" s="1"/>
  <c r="AQ855" i="1" a="1"/>
  <c r="AQ855" i="1" s="1"/>
  <c r="AR855" i="1" a="1"/>
  <c r="AR855" i="1" s="1"/>
  <c r="AS855" i="1" a="1"/>
  <c r="AS855" i="1" s="1"/>
  <c r="AT855" i="1" a="1"/>
  <c r="AT855" i="1" s="1"/>
  <c r="AU855" i="1" a="1"/>
  <c r="AU855" i="1" s="1"/>
  <c r="AV855" i="1" a="1"/>
  <c r="AV855" i="1" s="1"/>
  <c r="AW855" i="1" a="1"/>
  <c r="AW855" i="1" s="1"/>
  <c r="AX855" i="1" a="1"/>
  <c r="AX855" i="1" s="1"/>
  <c r="AY855" i="1" a="1"/>
  <c r="AY855" i="1" s="1"/>
  <c r="AZ855" i="1" a="1"/>
  <c r="AZ855" i="1" s="1"/>
  <c r="BA855" i="1" a="1"/>
  <c r="BA855" i="1" s="1"/>
  <c r="BB855" i="1" a="1"/>
  <c r="BB855" i="1" s="1"/>
  <c r="AL856" i="1" a="1"/>
  <c r="AL856" i="1" s="1"/>
  <c r="AM856" i="1" a="1"/>
  <c r="AM856" i="1" s="1"/>
  <c r="AN856" i="1" a="1"/>
  <c r="AN856" i="1" s="1"/>
  <c r="AO856" i="1" a="1"/>
  <c r="AO856" i="1" s="1"/>
  <c r="AP856" i="1" a="1"/>
  <c r="AP856" i="1" s="1"/>
  <c r="AQ856" i="1" a="1"/>
  <c r="AQ856" i="1" s="1"/>
  <c r="AR856" i="1" a="1"/>
  <c r="AR856" i="1" s="1"/>
  <c r="AS856" i="1" a="1"/>
  <c r="AS856" i="1" s="1"/>
  <c r="AT856" i="1" a="1"/>
  <c r="AT856" i="1" s="1"/>
  <c r="AU856" i="1" a="1"/>
  <c r="AU856" i="1" s="1"/>
  <c r="AV856" i="1" a="1"/>
  <c r="AV856" i="1" s="1"/>
  <c r="AW856" i="1" a="1"/>
  <c r="AW856" i="1" s="1"/>
  <c r="AX856" i="1" a="1"/>
  <c r="AX856" i="1" s="1"/>
  <c r="AY856" i="1" a="1"/>
  <c r="AY856" i="1" s="1"/>
  <c r="AZ856" i="1" a="1"/>
  <c r="AZ856" i="1" s="1"/>
  <c r="BA856" i="1" a="1"/>
  <c r="BA856" i="1" s="1"/>
  <c r="BB856" i="1" a="1"/>
  <c r="BB856" i="1" s="1"/>
  <c r="AL857" i="1" a="1"/>
  <c r="AL857" i="1" s="1"/>
  <c r="AM857" i="1" a="1"/>
  <c r="AM857" i="1" s="1"/>
  <c r="AN857" i="1" a="1"/>
  <c r="AN857" i="1" s="1"/>
  <c r="AO857" i="1" a="1"/>
  <c r="AO857" i="1" s="1"/>
  <c r="AP857" i="1" a="1"/>
  <c r="AP857" i="1" s="1"/>
  <c r="AQ857" i="1" a="1"/>
  <c r="AQ857" i="1" s="1"/>
  <c r="AR857" i="1" a="1"/>
  <c r="AR857" i="1" s="1"/>
  <c r="AS857" i="1" a="1"/>
  <c r="AS857" i="1" s="1"/>
  <c r="AT857" i="1" a="1"/>
  <c r="AT857" i="1" s="1"/>
  <c r="AU857" i="1" a="1"/>
  <c r="AU857" i="1" s="1"/>
  <c r="AV857" i="1" a="1"/>
  <c r="AV857" i="1" s="1"/>
  <c r="AW857" i="1" a="1"/>
  <c r="AW857" i="1" s="1"/>
  <c r="AX857" i="1" a="1"/>
  <c r="AX857" i="1" s="1"/>
  <c r="AY857" i="1" a="1"/>
  <c r="AY857" i="1" s="1"/>
  <c r="AZ857" i="1" a="1"/>
  <c r="AZ857" i="1" s="1"/>
  <c r="BA857" i="1" a="1"/>
  <c r="BA857" i="1" s="1"/>
  <c r="BB857" i="1" a="1"/>
  <c r="BB857" i="1" s="1"/>
  <c r="AL858" i="1" a="1"/>
  <c r="AL858" i="1" s="1"/>
  <c r="AM858" i="1" a="1"/>
  <c r="AM858" i="1" s="1"/>
  <c r="AN858" i="1" a="1"/>
  <c r="AN858" i="1" s="1"/>
  <c r="AO858" i="1" a="1"/>
  <c r="AO858" i="1" s="1"/>
  <c r="AP858" i="1" a="1"/>
  <c r="AP858" i="1" s="1"/>
  <c r="AQ858" i="1" a="1"/>
  <c r="AQ858" i="1" s="1"/>
  <c r="AR858" i="1" a="1"/>
  <c r="AR858" i="1" s="1"/>
  <c r="AS858" i="1" a="1"/>
  <c r="AS858" i="1" s="1"/>
  <c r="AT858" i="1" a="1"/>
  <c r="AT858" i="1" s="1"/>
  <c r="AU858" i="1" a="1"/>
  <c r="AU858" i="1" s="1"/>
  <c r="AV858" i="1" a="1"/>
  <c r="AV858" i="1" s="1"/>
  <c r="AW858" i="1" a="1"/>
  <c r="AW858" i="1" s="1"/>
  <c r="AX858" i="1" a="1"/>
  <c r="AX858" i="1" s="1"/>
  <c r="AY858" i="1" a="1"/>
  <c r="AY858" i="1" s="1"/>
  <c r="AZ858" i="1" a="1"/>
  <c r="AZ858" i="1" s="1"/>
  <c r="BA858" i="1" a="1"/>
  <c r="BA858" i="1" s="1"/>
  <c r="BB858" i="1" a="1"/>
  <c r="BB858" i="1" s="1"/>
  <c r="AL859" i="1" a="1"/>
  <c r="AL859" i="1" s="1"/>
  <c r="AM859" i="1" a="1"/>
  <c r="AM859" i="1" s="1"/>
  <c r="AN859" i="1" a="1"/>
  <c r="AN859" i="1" s="1"/>
  <c r="AO859" i="1" a="1"/>
  <c r="AO859" i="1" s="1"/>
  <c r="AP859" i="1" a="1"/>
  <c r="AP859" i="1" s="1"/>
  <c r="AQ859" i="1" a="1"/>
  <c r="AQ859" i="1" s="1"/>
  <c r="AR859" i="1" a="1"/>
  <c r="AR859" i="1" s="1"/>
  <c r="AS859" i="1" a="1"/>
  <c r="AS859" i="1" s="1"/>
  <c r="AT859" i="1" a="1"/>
  <c r="AT859" i="1" s="1"/>
  <c r="AU859" i="1" a="1"/>
  <c r="AU859" i="1" s="1"/>
  <c r="AV859" i="1" a="1"/>
  <c r="AV859" i="1" s="1"/>
  <c r="AW859" i="1" a="1"/>
  <c r="AW859" i="1" s="1"/>
  <c r="AX859" i="1" a="1"/>
  <c r="AX859" i="1" s="1"/>
  <c r="AY859" i="1" a="1"/>
  <c r="AY859" i="1" s="1"/>
  <c r="AZ859" i="1" a="1"/>
  <c r="AZ859" i="1" s="1"/>
  <c r="BA859" i="1" a="1"/>
  <c r="BA859" i="1" s="1"/>
  <c r="BB859" i="1" a="1"/>
  <c r="BB859" i="1" s="1"/>
  <c r="AL860" i="1" a="1"/>
  <c r="AL860" i="1" s="1"/>
  <c r="AM860" i="1" a="1"/>
  <c r="AM860" i="1" s="1"/>
  <c r="AN860" i="1" a="1"/>
  <c r="AN860" i="1" s="1"/>
  <c r="AO860" i="1" a="1"/>
  <c r="AO860" i="1" s="1"/>
  <c r="AP860" i="1" a="1"/>
  <c r="AP860" i="1" s="1"/>
  <c r="AQ860" i="1" a="1"/>
  <c r="AQ860" i="1" s="1"/>
  <c r="AR860" i="1" a="1"/>
  <c r="AR860" i="1" s="1"/>
  <c r="AS860" i="1" a="1"/>
  <c r="AS860" i="1" s="1"/>
  <c r="AT860" i="1" a="1"/>
  <c r="AT860" i="1" s="1"/>
  <c r="AU860" i="1" a="1"/>
  <c r="AU860" i="1" s="1"/>
  <c r="AV860" i="1" a="1"/>
  <c r="AV860" i="1" s="1"/>
  <c r="AW860" i="1" a="1"/>
  <c r="AW860" i="1" s="1"/>
  <c r="AX860" i="1" a="1"/>
  <c r="AX860" i="1" s="1"/>
  <c r="AY860" i="1" a="1"/>
  <c r="AY860" i="1" s="1"/>
  <c r="AZ860" i="1" a="1"/>
  <c r="AZ860" i="1" s="1"/>
  <c r="BA860" i="1" a="1"/>
  <c r="BA860" i="1" s="1"/>
  <c r="BB860" i="1" a="1"/>
  <c r="BB860" i="1" s="1"/>
  <c r="AL861" i="1" a="1"/>
  <c r="AL861" i="1" s="1"/>
  <c r="AM861" i="1" a="1"/>
  <c r="AM861" i="1" s="1"/>
  <c r="AN861" i="1" a="1"/>
  <c r="AN861" i="1" s="1"/>
  <c r="AO861" i="1" a="1"/>
  <c r="AO861" i="1" s="1"/>
  <c r="AP861" i="1" a="1"/>
  <c r="AP861" i="1" s="1"/>
  <c r="AQ861" i="1" a="1"/>
  <c r="AQ861" i="1" s="1"/>
  <c r="AR861" i="1" a="1"/>
  <c r="AR861" i="1" s="1"/>
  <c r="AS861" i="1" a="1"/>
  <c r="AS861" i="1" s="1"/>
  <c r="AT861" i="1" a="1"/>
  <c r="AT861" i="1" s="1"/>
  <c r="AU861" i="1" a="1"/>
  <c r="AU861" i="1" s="1"/>
  <c r="AV861" i="1" a="1"/>
  <c r="AV861" i="1" s="1"/>
  <c r="AW861" i="1" a="1"/>
  <c r="AW861" i="1" s="1"/>
  <c r="AX861" i="1" a="1"/>
  <c r="AX861" i="1" s="1"/>
  <c r="AY861" i="1" a="1"/>
  <c r="AY861" i="1" s="1"/>
  <c r="AZ861" i="1" a="1"/>
  <c r="AZ861" i="1" s="1"/>
  <c r="BA861" i="1" a="1"/>
  <c r="BA861" i="1" s="1"/>
  <c r="BB861" i="1" a="1"/>
  <c r="BB861" i="1" s="1"/>
  <c r="AL862" i="1" a="1"/>
  <c r="AL862" i="1" s="1"/>
  <c r="AM862" i="1" a="1"/>
  <c r="AM862" i="1" s="1"/>
  <c r="AN862" i="1" a="1"/>
  <c r="AN862" i="1" s="1"/>
  <c r="AO862" i="1" a="1"/>
  <c r="AO862" i="1" s="1"/>
  <c r="AP862" i="1" a="1"/>
  <c r="AP862" i="1" s="1"/>
  <c r="AQ862" i="1" a="1"/>
  <c r="AQ862" i="1" s="1"/>
  <c r="AR862" i="1" a="1"/>
  <c r="AR862" i="1" s="1"/>
  <c r="AS862" i="1" a="1"/>
  <c r="AS862" i="1" s="1"/>
  <c r="AT862" i="1" a="1"/>
  <c r="AT862" i="1" s="1"/>
  <c r="AU862" i="1" a="1"/>
  <c r="AU862" i="1" s="1"/>
  <c r="AV862" i="1" a="1"/>
  <c r="AV862" i="1" s="1"/>
  <c r="AW862" i="1" a="1"/>
  <c r="AW862" i="1" s="1"/>
  <c r="AX862" i="1" a="1"/>
  <c r="AX862" i="1" s="1"/>
  <c r="AY862" i="1" a="1"/>
  <c r="AY862" i="1" s="1"/>
  <c r="AZ862" i="1" a="1"/>
  <c r="AZ862" i="1" s="1"/>
  <c r="BA862" i="1" a="1"/>
  <c r="BA862" i="1" s="1"/>
  <c r="BB862" i="1" a="1"/>
  <c r="BB862" i="1" s="1"/>
  <c r="AL863" i="1" a="1"/>
  <c r="AL863" i="1" s="1"/>
  <c r="AM863" i="1" a="1"/>
  <c r="AM863" i="1" s="1"/>
  <c r="AN863" i="1" a="1"/>
  <c r="AN863" i="1" s="1"/>
  <c r="AO863" i="1" a="1"/>
  <c r="AO863" i="1" s="1"/>
  <c r="AP863" i="1" a="1"/>
  <c r="AP863" i="1" s="1"/>
  <c r="AQ863" i="1" a="1"/>
  <c r="AQ863" i="1" s="1"/>
  <c r="AR863" i="1" a="1"/>
  <c r="AR863" i="1" s="1"/>
  <c r="AS863" i="1" a="1"/>
  <c r="AS863" i="1" s="1"/>
  <c r="AT863" i="1" a="1"/>
  <c r="AT863" i="1" s="1"/>
  <c r="AU863" i="1" a="1"/>
  <c r="AU863" i="1" s="1"/>
  <c r="AV863" i="1" a="1"/>
  <c r="AV863" i="1" s="1"/>
  <c r="AW863" i="1" a="1"/>
  <c r="AW863" i="1" s="1"/>
  <c r="AX863" i="1" a="1"/>
  <c r="AX863" i="1" s="1"/>
  <c r="AY863" i="1" a="1"/>
  <c r="AY863" i="1" s="1"/>
  <c r="AZ863" i="1" a="1"/>
  <c r="AZ863" i="1" s="1"/>
  <c r="BA863" i="1" a="1"/>
  <c r="BA863" i="1" s="1"/>
  <c r="BB863" i="1" a="1"/>
  <c r="BB863" i="1" s="1"/>
  <c r="AL864" i="1" a="1"/>
  <c r="AL864" i="1" s="1"/>
  <c r="AM864" i="1" a="1"/>
  <c r="AM864" i="1" s="1"/>
  <c r="AN864" i="1" a="1"/>
  <c r="AN864" i="1" s="1"/>
  <c r="AO864" i="1" a="1"/>
  <c r="AO864" i="1" s="1"/>
  <c r="AP864" i="1" a="1"/>
  <c r="AP864" i="1" s="1"/>
  <c r="AQ864" i="1" a="1"/>
  <c r="AQ864" i="1" s="1"/>
  <c r="AR864" i="1" a="1"/>
  <c r="AR864" i="1" s="1"/>
  <c r="AS864" i="1" a="1"/>
  <c r="AS864" i="1" s="1"/>
  <c r="AT864" i="1" a="1"/>
  <c r="AT864" i="1" s="1"/>
  <c r="AU864" i="1" a="1"/>
  <c r="AU864" i="1" s="1"/>
  <c r="AV864" i="1" a="1"/>
  <c r="AV864" i="1" s="1"/>
  <c r="AW864" i="1" a="1"/>
  <c r="AW864" i="1" s="1"/>
  <c r="AX864" i="1" a="1"/>
  <c r="AX864" i="1" s="1"/>
  <c r="AY864" i="1" a="1"/>
  <c r="AY864" i="1" s="1"/>
  <c r="AZ864" i="1" a="1"/>
  <c r="AZ864" i="1" s="1"/>
  <c r="BA864" i="1" a="1"/>
  <c r="BA864" i="1" s="1"/>
  <c r="BB864" i="1" a="1"/>
  <c r="BB864" i="1" s="1"/>
  <c r="AL865" i="1" a="1"/>
  <c r="AL865" i="1" s="1"/>
  <c r="AM865" i="1" a="1"/>
  <c r="AM865" i="1" s="1"/>
  <c r="AN865" i="1" a="1"/>
  <c r="AN865" i="1" s="1"/>
  <c r="AO865" i="1" a="1"/>
  <c r="AO865" i="1" s="1"/>
  <c r="AP865" i="1" a="1"/>
  <c r="AP865" i="1" s="1"/>
  <c r="AQ865" i="1" a="1"/>
  <c r="AQ865" i="1" s="1"/>
  <c r="AR865" i="1" a="1"/>
  <c r="AR865" i="1" s="1"/>
  <c r="AS865" i="1" a="1"/>
  <c r="AS865" i="1" s="1"/>
  <c r="AT865" i="1" a="1"/>
  <c r="AT865" i="1" s="1"/>
  <c r="AU865" i="1" a="1"/>
  <c r="AU865" i="1" s="1"/>
  <c r="AV865" i="1" a="1"/>
  <c r="AV865" i="1" s="1"/>
  <c r="AW865" i="1" a="1"/>
  <c r="AW865" i="1" s="1"/>
  <c r="AX865" i="1" a="1"/>
  <c r="AX865" i="1" s="1"/>
  <c r="AY865" i="1" a="1"/>
  <c r="AY865" i="1" s="1"/>
  <c r="AZ865" i="1" a="1"/>
  <c r="AZ865" i="1" s="1"/>
  <c r="BA865" i="1" a="1"/>
  <c r="BA865" i="1" s="1"/>
  <c r="BB865" i="1" a="1"/>
  <c r="BB865" i="1" s="1"/>
  <c r="AL866" i="1" a="1"/>
  <c r="AL866" i="1" s="1"/>
  <c r="AM866" i="1" a="1"/>
  <c r="AM866" i="1" s="1"/>
  <c r="AN866" i="1" a="1"/>
  <c r="AN866" i="1" s="1"/>
  <c r="AO866" i="1" a="1"/>
  <c r="AO866" i="1" s="1"/>
  <c r="AP866" i="1" a="1"/>
  <c r="AP866" i="1" s="1"/>
  <c r="AQ866" i="1" a="1"/>
  <c r="AQ866" i="1" s="1"/>
  <c r="AR866" i="1" a="1"/>
  <c r="AR866" i="1" s="1"/>
  <c r="AS866" i="1" a="1"/>
  <c r="AS866" i="1" s="1"/>
  <c r="AT866" i="1" a="1"/>
  <c r="AT866" i="1" s="1"/>
  <c r="AU866" i="1" a="1"/>
  <c r="AU866" i="1" s="1"/>
  <c r="AV866" i="1" a="1"/>
  <c r="AV866" i="1" s="1"/>
  <c r="AW866" i="1" a="1"/>
  <c r="AW866" i="1" s="1"/>
  <c r="AX866" i="1" a="1"/>
  <c r="AX866" i="1" s="1"/>
  <c r="AY866" i="1" a="1"/>
  <c r="AY866" i="1" s="1"/>
  <c r="AZ866" i="1" a="1"/>
  <c r="AZ866" i="1" s="1"/>
  <c r="BA866" i="1" a="1"/>
  <c r="BA866" i="1" s="1"/>
  <c r="BB866" i="1" a="1"/>
  <c r="BB866" i="1" s="1"/>
  <c r="AL867" i="1" a="1"/>
  <c r="AL867" i="1" s="1"/>
  <c r="AM867" i="1" a="1"/>
  <c r="AM867" i="1" s="1"/>
  <c r="AN867" i="1" a="1"/>
  <c r="AN867" i="1" s="1"/>
  <c r="AO867" i="1" a="1"/>
  <c r="AO867" i="1" s="1"/>
  <c r="AP867" i="1" a="1"/>
  <c r="AP867" i="1" s="1"/>
  <c r="AQ867" i="1" a="1"/>
  <c r="AQ867" i="1" s="1"/>
  <c r="AR867" i="1" a="1"/>
  <c r="AR867" i="1" s="1"/>
  <c r="AS867" i="1" a="1"/>
  <c r="AS867" i="1" s="1"/>
  <c r="AT867" i="1" a="1"/>
  <c r="AT867" i="1" s="1"/>
  <c r="AU867" i="1" a="1"/>
  <c r="AU867" i="1" s="1"/>
  <c r="AV867" i="1" a="1"/>
  <c r="AV867" i="1" s="1"/>
  <c r="AW867" i="1" a="1"/>
  <c r="AW867" i="1" s="1"/>
  <c r="AX867" i="1" a="1"/>
  <c r="AX867" i="1" s="1"/>
  <c r="AY867" i="1" a="1"/>
  <c r="AY867" i="1" s="1"/>
  <c r="AZ867" i="1" a="1"/>
  <c r="AZ867" i="1" s="1"/>
  <c r="BA867" i="1" a="1"/>
  <c r="BA867" i="1" s="1"/>
  <c r="BB867" i="1" a="1"/>
  <c r="BB867" i="1" s="1"/>
  <c r="AL868" i="1" a="1"/>
  <c r="AL868" i="1" s="1"/>
  <c r="AM868" i="1" a="1"/>
  <c r="AM868" i="1" s="1"/>
  <c r="AN868" i="1" a="1"/>
  <c r="AN868" i="1" s="1"/>
  <c r="AO868" i="1" a="1"/>
  <c r="AO868" i="1" s="1"/>
  <c r="AP868" i="1" a="1"/>
  <c r="AP868" i="1" s="1"/>
  <c r="AQ868" i="1" a="1"/>
  <c r="AQ868" i="1" s="1"/>
  <c r="AR868" i="1" a="1"/>
  <c r="AR868" i="1" s="1"/>
  <c r="AS868" i="1" a="1"/>
  <c r="AS868" i="1" s="1"/>
  <c r="AT868" i="1" a="1"/>
  <c r="AT868" i="1" s="1"/>
  <c r="AU868" i="1" a="1"/>
  <c r="AU868" i="1" s="1"/>
  <c r="AV868" i="1" a="1"/>
  <c r="AV868" i="1" s="1"/>
  <c r="AW868" i="1" a="1"/>
  <c r="AW868" i="1" s="1"/>
  <c r="AX868" i="1" a="1"/>
  <c r="AX868" i="1" s="1"/>
  <c r="AY868" i="1" a="1"/>
  <c r="AY868" i="1" s="1"/>
  <c r="AZ868" i="1" a="1"/>
  <c r="AZ868" i="1" s="1"/>
  <c r="BA868" i="1" a="1"/>
  <c r="BA868" i="1" s="1"/>
  <c r="BB868" i="1" a="1"/>
  <c r="BB868" i="1" s="1"/>
  <c r="AL869" i="1" a="1"/>
  <c r="AL869" i="1" s="1"/>
  <c r="AM869" i="1" a="1"/>
  <c r="AM869" i="1" s="1"/>
  <c r="AN869" i="1" a="1"/>
  <c r="AN869" i="1" s="1"/>
  <c r="AO869" i="1" a="1"/>
  <c r="AO869" i="1" s="1"/>
  <c r="AP869" i="1" a="1"/>
  <c r="AP869" i="1" s="1"/>
  <c r="AQ869" i="1" a="1"/>
  <c r="AQ869" i="1" s="1"/>
  <c r="AR869" i="1" a="1"/>
  <c r="AR869" i="1" s="1"/>
  <c r="AS869" i="1" a="1"/>
  <c r="AS869" i="1" s="1"/>
  <c r="AT869" i="1" a="1"/>
  <c r="AT869" i="1" s="1"/>
  <c r="AU869" i="1" a="1"/>
  <c r="AU869" i="1" s="1"/>
  <c r="AV869" i="1" a="1"/>
  <c r="AV869" i="1" s="1"/>
  <c r="AW869" i="1" a="1"/>
  <c r="AW869" i="1" s="1"/>
  <c r="AX869" i="1" a="1"/>
  <c r="AX869" i="1" s="1"/>
  <c r="AY869" i="1" a="1"/>
  <c r="AY869" i="1" s="1"/>
  <c r="AZ869" i="1" a="1"/>
  <c r="AZ869" i="1" s="1"/>
  <c r="BA869" i="1" a="1"/>
  <c r="BA869" i="1" s="1"/>
  <c r="BB869" i="1" a="1"/>
  <c r="BB869" i="1" s="1"/>
  <c r="AL870" i="1" a="1"/>
  <c r="AL870" i="1" s="1"/>
  <c r="AM870" i="1" a="1"/>
  <c r="AM870" i="1" s="1"/>
  <c r="AN870" i="1" a="1"/>
  <c r="AN870" i="1" s="1"/>
  <c r="AO870" i="1" a="1"/>
  <c r="AO870" i="1" s="1"/>
  <c r="AP870" i="1" a="1"/>
  <c r="AP870" i="1" s="1"/>
  <c r="AQ870" i="1" a="1"/>
  <c r="AQ870" i="1" s="1"/>
  <c r="AR870" i="1" a="1"/>
  <c r="AR870" i="1" s="1"/>
  <c r="AS870" i="1" a="1"/>
  <c r="AS870" i="1" s="1"/>
  <c r="AT870" i="1" a="1"/>
  <c r="AT870" i="1" s="1"/>
  <c r="AU870" i="1" a="1"/>
  <c r="AU870" i="1" s="1"/>
  <c r="AV870" i="1" a="1"/>
  <c r="AV870" i="1" s="1"/>
  <c r="AW870" i="1" a="1"/>
  <c r="AW870" i="1" s="1"/>
  <c r="AX870" i="1" a="1"/>
  <c r="AX870" i="1" s="1"/>
  <c r="AY870" i="1" a="1"/>
  <c r="AY870" i="1" s="1"/>
  <c r="AZ870" i="1" a="1"/>
  <c r="AZ870" i="1" s="1"/>
  <c r="BA870" i="1" a="1"/>
  <c r="BA870" i="1" s="1"/>
  <c r="BB870" i="1" a="1"/>
  <c r="BB870" i="1" s="1"/>
  <c r="AL871" i="1" a="1"/>
  <c r="AL871" i="1" s="1"/>
  <c r="AM871" i="1" a="1"/>
  <c r="AM871" i="1" s="1"/>
  <c r="AN871" i="1" a="1"/>
  <c r="AN871" i="1" s="1"/>
  <c r="AO871" i="1" a="1"/>
  <c r="AO871" i="1" s="1"/>
  <c r="AP871" i="1" a="1"/>
  <c r="AP871" i="1" s="1"/>
  <c r="AQ871" i="1" a="1"/>
  <c r="AQ871" i="1" s="1"/>
  <c r="AR871" i="1" a="1"/>
  <c r="AR871" i="1" s="1"/>
  <c r="AS871" i="1" a="1"/>
  <c r="AS871" i="1" s="1"/>
  <c r="AT871" i="1" a="1"/>
  <c r="AT871" i="1" s="1"/>
  <c r="AU871" i="1" a="1"/>
  <c r="AU871" i="1" s="1"/>
  <c r="AV871" i="1" a="1"/>
  <c r="AV871" i="1" s="1"/>
  <c r="AW871" i="1" a="1"/>
  <c r="AW871" i="1" s="1"/>
  <c r="AX871" i="1" a="1"/>
  <c r="AX871" i="1" s="1"/>
  <c r="AY871" i="1" a="1"/>
  <c r="AY871" i="1" s="1"/>
  <c r="AZ871" i="1" a="1"/>
  <c r="AZ871" i="1" s="1"/>
  <c r="BA871" i="1" a="1"/>
  <c r="BA871" i="1" s="1"/>
  <c r="BB871" i="1" a="1"/>
  <c r="BB871" i="1" s="1"/>
  <c r="AL872" i="1" a="1"/>
  <c r="AL872" i="1" s="1"/>
  <c r="AM872" i="1" a="1"/>
  <c r="AM872" i="1" s="1"/>
  <c r="AN872" i="1" a="1"/>
  <c r="AN872" i="1" s="1"/>
  <c r="AO872" i="1" a="1"/>
  <c r="AO872" i="1" s="1"/>
  <c r="AP872" i="1" a="1"/>
  <c r="AP872" i="1" s="1"/>
  <c r="AQ872" i="1" a="1"/>
  <c r="AQ872" i="1" s="1"/>
  <c r="AR872" i="1" a="1"/>
  <c r="AR872" i="1" s="1"/>
  <c r="AS872" i="1" a="1"/>
  <c r="AS872" i="1" s="1"/>
  <c r="AT872" i="1" a="1"/>
  <c r="AT872" i="1" s="1"/>
  <c r="AU872" i="1" a="1"/>
  <c r="AU872" i="1" s="1"/>
  <c r="AV872" i="1" a="1"/>
  <c r="AV872" i="1" s="1"/>
  <c r="AW872" i="1" a="1"/>
  <c r="AW872" i="1" s="1"/>
  <c r="AX872" i="1" a="1"/>
  <c r="AX872" i="1" s="1"/>
  <c r="AY872" i="1" a="1"/>
  <c r="AY872" i="1" s="1"/>
  <c r="AZ872" i="1" a="1"/>
  <c r="AZ872" i="1" s="1"/>
  <c r="BA872" i="1" a="1"/>
  <c r="BA872" i="1" s="1"/>
  <c r="BB872" i="1" a="1"/>
  <c r="BB872" i="1" s="1"/>
  <c r="AL873" i="1" a="1"/>
  <c r="AL873" i="1" s="1"/>
  <c r="AM873" i="1" a="1"/>
  <c r="AM873" i="1" s="1"/>
  <c r="AN873" i="1" a="1"/>
  <c r="AN873" i="1" s="1"/>
  <c r="AO873" i="1" a="1"/>
  <c r="AO873" i="1" s="1"/>
  <c r="AP873" i="1" a="1"/>
  <c r="AP873" i="1" s="1"/>
  <c r="AQ873" i="1" a="1"/>
  <c r="AQ873" i="1" s="1"/>
  <c r="AR873" i="1" a="1"/>
  <c r="AR873" i="1" s="1"/>
  <c r="AS873" i="1" a="1"/>
  <c r="AS873" i="1" s="1"/>
  <c r="AT873" i="1" a="1"/>
  <c r="AT873" i="1" s="1"/>
  <c r="AU873" i="1" a="1"/>
  <c r="AU873" i="1" s="1"/>
  <c r="AV873" i="1" a="1"/>
  <c r="AV873" i="1" s="1"/>
  <c r="AW873" i="1" a="1"/>
  <c r="AW873" i="1" s="1"/>
  <c r="AX873" i="1" a="1"/>
  <c r="AX873" i="1" s="1"/>
  <c r="AY873" i="1" a="1"/>
  <c r="AY873" i="1" s="1"/>
  <c r="AZ873" i="1" a="1"/>
  <c r="AZ873" i="1" s="1"/>
  <c r="BA873" i="1" a="1"/>
  <c r="BA873" i="1" s="1"/>
  <c r="BB873" i="1" a="1"/>
  <c r="BB873" i="1" s="1"/>
  <c r="AL874" i="1" a="1"/>
  <c r="AL874" i="1" s="1"/>
  <c r="AM874" i="1" a="1"/>
  <c r="AM874" i="1" s="1"/>
  <c r="AN874" i="1" a="1"/>
  <c r="AN874" i="1" s="1"/>
  <c r="AO874" i="1" a="1"/>
  <c r="AO874" i="1" s="1"/>
  <c r="AP874" i="1" a="1"/>
  <c r="AP874" i="1" s="1"/>
  <c r="AQ874" i="1" a="1"/>
  <c r="AQ874" i="1" s="1"/>
  <c r="AR874" i="1" a="1"/>
  <c r="AR874" i="1" s="1"/>
  <c r="AS874" i="1" a="1"/>
  <c r="AS874" i="1" s="1"/>
  <c r="AT874" i="1" a="1"/>
  <c r="AT874" i="1" s="1"/>
  <c r="AU874" i="1" a="1"/>
  <c r="AU874" i="1" s="1"/>
  <c r="AV874" i="1" a="1"/>
  <c r="AV874" i="1" s="1"/>
  <c r="AW874" i="1" a="1"/>
  <c r="AW874" i="1" s="1"/>
  <c r="AX874" i="1" a="1"/>
  <c r="AX874" i="1" s="1"/>
  <c r="AY874" i="1" a="1"/>
  <c r="AY874" i="1" s="1"/>
  <c r="AZ874" i="1" a="1"/>
  <c r="AZ874" i="1" s="1"/>
  <c r="BA874" i="1" a="1"/>
  <c r="BA874" i="1" s="1"/>
  <c r="BB874" i="1" a="1"/>
  <c r="BB874" i="1" s="1"/>
  <c r="AL875" i="1" a="1"/>
  <c r="AL875" i="1" s="1"/>
  <c r="AM875" i="1" a="1"/>
  <c r="AM875" i="1" s="1"/>
  <c r="AN875" i="1" a="1"/>
  <c r="AN875" i="1" s="1"/>
  <c r="AO875" i="1" a="1"/>
  <c r="AO875" i="1" s="1"/>
  <c r="AP875" i="1" a="1"/>
  <c r="AP875" i="1" s="1"/>
  <c r="AQ875" i="1" a="1"/>
  <c r="AQ875" i="1" s="1"/>
  <c r="AR875" i="1" a="1"/>
  <c r="AR875" i="1" s="1"/>
  <c r="AS875" i="1" a="1"/>
  <c r="AS875" i="1" s="1"/>
  <c r="AT875" i="1" a="1"/>
  <c r="AT875" i="1" s="1"/>
  <c r="AU875" i="1" a="1"/>
  <c r="AU875" i="1" s="1"/>
  <c r="AV875" i="1" a="1"/>
  <c r="AV875" i="1" s="1"/>
  <c r="AW875" i="1" a="1"/>
  <c r="AW875" i="1" s="1"/>
  <c r="AX875" i="1" a="1"/>
  <c r="AX875" i="1" s="1"/>
  <c r="AY875" i="1" a="1"/>
  <c r="AY875" i="1" s="1"/>
  <c r="AZ875" i="1" a="1"/>
  <c r="AZ875" i="1" s="1"/>
  <c r="BA875" i="1" a="1"/>
  <c r="BA875" i="1" s="1"/>
  <c r="BB875" i="1" a="1"/>
  <c r="BB875" i="1" s="1"/>
  <c r="AL876" i="1" a="1"/>
  <c r="AL876" i="1" s="1"/>
  <c r="AM876" i="1" a="1"/>
  <c r="AM876" i="1" s="1"/>
  <c r="AN876" i="1" a="1"/>
  <c r="AN876" i="1" s="1"/>
  <c r="AO876" i="1" a="1"/>
  <c r="AO876" i="1" s="1"/>
  <c r="AP876" i="1" a="1"/>
  <c r="AP876" i="1" s="1"/>
  <c r="AQ876" i="1" a="1"/>
  <c r="AQ876" i="1" s="1"/>
  <c r="AR876" i="1" a="1"/>
  <c r="AR876" i="1" s="1"/>
  <c r="AS876" i="1" a="1"/>
  <c r="AS876" i="1" s="1"/>
  <c r="AT876" i="1" a="1"/>
  <c r="AT876" i="1" s="1"/>
  <c r="AU876" i="1" a="1"/>
  <c r="AU876" i="1" s="1"/>
  <c r="AV876" i="1" a="1"/>
  <c r="AV876" i="1" s="1"/>
  <c r="AW876" i="1" a="1"/>
  <c r="AW876" i="1" s="1"/>
  <c r="AX876" i="1" a="1"/>
  <c r="AX876" i="1" s="1"/>
  <c r="AY876" i="1" a="1"/>
  <c r="AY876" i="1" s="1"/>
  <c r="AZ876" i="1" a="1"/>
  <c r="AZ876" i="1" s="1"/>
  <c r="BA876" i="1" a="1"/>
  <c r="BA876" i="1" s="1"/>
  <c r="BB876" i="1" a="1"/>
  <c r="BB876" i="1" s="1"/>
  <c r="AL877" i="1" a="1"/>
  <c r="AL877" i="1" s="1"/>
  <c r="AM877" i="1" a="1"/>
  <c r="AM877" i="1" s="1"/>
  <c r="AN877" i="1" a="1"/>
  <c r="AN877" i="1" s="1"/>
  <c r="AO877" i="1" a="1"/>
  <c r="AO877" i="1" s="1"/>
  <c r="AP877" i="1" a="1"/>
  <c r="AP877" i="1" s="1"/>
  <c r="AQ877" i="1" a="1"/>
  <c r="AQ877" i="1" s="1"/>
  <c r="AR877" i="1" a="1"/>
  <c r="AR877" i="1" s="1"/>
  <c r="AS877" i="1" a="1"/>
  <c r="AS877" i="1" s="1"/>
  <c r="AT877" i="1" a="1"/>
  <c r="AT877" i="1" s="1"/>
  <c r="AU877" i="1" a="1"/>
  <c r="AU877" i="1" s="1"/>
  <c r="AV877" i="1" a="1"/>
  <c r="AV877" i="1" s="1"/>
  <c r="AW877" i="1" a="1"/>
  <c r="AW877" i="1" s="1"/>
  <c r="AX877" i="1" a="1"/>
  <c r="AX877" i="1" s="1"/>
  <c r="AY877" i="1" a="1"/>
  <c r="AY877" i="1" s="1"/>
  <c r="AZ877" i="1" a="1"/>
  <c r="AZ877" i="1" s="1"/>
  <c r="BA877" i="1" a="1"/>
  <c r="BA877" i="1" s="1"/>
  <c r="BB877" i="1" a="1"/>
  <c r="BB877" i="1" s="1"/>
  <c r="AL878" i="1" a="1"/>
  <c r="AL878" i="1" s="1"/>
  <c r="AM878" i="1" a="1"/>
  <c r="AM878" i="1" s="1"/>
  <c r="AN878" i="1" a="1"/>
  <c r="AN878" i="1" s="1"/>
  <c r="AO878" i="1" a="1"/>
  <c r="AO878" i="1" s="1"/>
  <c r="AP878" i="1" a="1"/>
  <c r="AP878" i="1" s="1"/>
  <c r="AQ878" i="1" a="1"/>
  <c r="AQ878" i="1" s="1"/>
  <c r="AR878" i="1" a="1"/>
  <c r="AR878" i="1" s="1"/>
  <c r="AS878" i="1" a="1"/>
  <c r="AS878" i="1" s="1"/>
  <c r="AT878" i="1" a="1"/>
  <c r="AT878" i="1" s="1"/>
  <c r="AU878" i="1" a="1"/>
  <c r="AU878" i="1" s="1"/>
  <c r="AV878" i="1" a="1"/>
  <c r="AV878" i="1" s="1"/>
  <c r="AW878" i="1" a="1"/>
  <c r="AW878" i="1" s="1"/>
  <c r="AX878" i="1" a="1"/>
  <c r="AX878" i="1" s="1"/>
  <c r="AY878" i="1" a="1"/>
  <c r="AY878" i="1" s="1"/>
  <c r="AZ878" i="1" a="1"/>
  <c r="AZ878" i="1" s="1"/>
  <c r="BA878" i="1" a="1"/>
  <c r="BA878" i="1" s="1"/>
  <c r="BB878" i="1" a="1"/>
  <c r="BB878" i="1" s="1"/>
  <c r="AL879" i="1" a="1"/>
  <c r="AL879" i="1" s="1"/>
  <c r="AM879" i="1" a="1"/>
  <c r="AM879" i="1" s="1"/>
  <c r="AN879" i="1" a="1"/>
  <c r="AN879" i="1" s="1"/>
  <c r="AO879" i="1" a="1"/>
  <c r="AO879" i="1" s="1"/>
  <c r="AP879" i="1" a="1"/>
  <c r="AP879" i="1" s="1"/>
  <c r="AQ879" i="1" a="1"/>
  <c r="AQ879" i="1" s="1"/>
  <c r="AR879" i="1" a="1"/>
  <c r="AR879" i="1" s="1"/>
  <c r="AS879" i="1" a="1"/>
  <c r="AS879" i="1" s="1"/>
  <c r="AT879" i="1" a="1"/>
  <c r="AT879" i="1" s="1"/>
  <c r="AU879" i="1" a="1"/>
  <c r="AU879" i="1" s="1"/>
  <c r="AV879" i="1" a="1"/>
  <c r="AV879" i="1" s="1"/>
  <c r="AW879" i="1" a="1"/>
  <c r="AW879" i="1" s="1"/>
  <c r="AX879" i="1" a="1"/>
  <c r="AX879" i="1" s="1"/>
  <c r="AY879" i="1" a="1"/>
  <c r="AY879" i="1" s="1"/>
  <c r="AZ879" i="1" a="1"/>
  <c r="AZ879" i="1" s="1"/>
  <c r="BA879" i="1" a="1"/>
  <c r="BA879" i="1" s="1"/>
  <c r="BB879" i="1" a="1"/>
  <c r="BB879" i="1" s="1"/>
  <c r="AL880" i="1" a="1"/>
  <c r="AL880" i="1" s="1"/>
  <c r="AM880" i="1" a="1"/>
  <c r="AM880" i="1" s="1"/>
  <c r="AN880" i="1" a="1"/>
  <c r="AN880" i="1" s="1"/>
  <c r="AO880" i="1" a="1"/>
  <c r="AO880" i="1" s="1"/>
  <c r="AP880" i="1" a="1"/>
  <c r="AP880" i="1" s="1"/>
  <c r="AQ880" i="1" a="1"/>
  <c r="AQ880" i="1" s="1"/>
  <c r="AR880" i="1" a="1"/>
  <c r="AR880" i="1" s="1"/>
  <c r="AS880" i="1" a="1"/>
  <c r="AS880" i="1" s="1"/>
  <c r="AT880" i="1" a="1"/>
  <c r="AT880" i="1" s="1"/>
  <c r="AU880" i="1" a="1"/>
  <c r="AU880" i="1" s="1"/>
  <c r="AV880" i="1" a="1"/>
  <c r="AV880" i="1" s="1"/>
  <c r="AW880" i="1" a="1"/>
  <c r="AW880" i="1" s="1"/>
  <c r="AX880" i="1" a="1"/>
  <c r="AX880" i="1" s="1"/>
  <c r="AY880" i="1" a="1"/>
  <c r="AY880" i="1" s="1"/>
  <c r="AZ880" i="1" a="1"/>
  <c r="AZ880" i="1" s="1"/>
  <c r="BA880" i="1" a="1"/>
  <c r="BA880" i="1" s="1"/>
  <c r="BB880" i="1" a="1"/>
  <c r="BB880" i="1" s="1"/>
  <c r="AL881" i="1" a="1"/>
  <c r="AL881" i="1" s="1"/>
  <c r="AM881" i="1" a="1"/>
  <c r="AM881" i="1" s="1"/>
  <c r="AN881" i="1" a="1"/>
  <c r="AN881" i="1" s="1"/>
  <c r="AO881" i="1" a="1"/>
  <c r="AO881" i="1" s="1"/>
  <c r="AP881" i="1" a="1"/>
  <c r="AP881" i="1" s="1"/>
  <c r="AQ881" i="1" a="1"/>
  <c r="AQ881" i="1" s="1"/>
  <c r="AR881" i="1" a="1"/>
  <c r="AR881" i="1" s="1"/>
  <c r="AS881" i="1" a="1"/>
  <c r="AS881" i="1" s="1"/>
  <c r="AT881" i="1" a="1"/>
  <c r="AT881" i="1" s="1"/>
  <c r="AU881" i="1" a="1"/>
  <c r="AU881" i="1" s="1"/>
  <c r="AV881" i="1" a="1"/>
  <c r="AV881" i="1" s="1"/>
  <c r="AW881" i="1" a="1"/>
  <c r="AW881" i="1" s="1"/>
  <c r="AX881" i="1" a="1"/>
  <c r="AX881" i="1" s="1"/>
  <c r="AY881" i="1" a="1"/>
  <c r="AY881" i="1" s="1"/>
  <c r="AZ881" i="1" a="1"/>
  <c r="AZ881" i="1" s="1"/>
  <c r="BA881" i="1" a="1"/>
  <c r="BA881" i="1" s="1"/>
  <c r="BB881" i="1" a="1"/>
  <c r="BB881" i="1" s="1"/>
  <c r="AL882" i="1" a="1"/>
  <c r="AL882" i="1" s="1"/>
  <c r="AM882" i="1" a="1"/>
  <c r="AM882" i="1" s="1"/>
  <c r="AN882" i="1" a="1"/>
  <c r="AN882" i="1" s="1"/>
  <c r="AO882" i="1" a="1"/>
  <c r="AO882" i="1" s="1"/>
  <c r="AP882" i="1" a="1"/>
  <c r="AP882" i="1" s="1"/>
  <c r="AQ882" i="1" a="1"/>
  <c r="AQ882" i="1" s="1"/>
  <c r="AR882" i="1" a="1"/>
  <c r="AR882" i="1" s="1"/>
  <c r="AS882" i="1" a="1"/>
  <c r="AS882" i="1" s="1"/>
  <c r="AT882" i="1" a="1"/>
  <c r="AT882" i="1" s="1"/>
  <c r="AU882" i="1" a="1"/>
  <c r="AU882" i="1" s="1"/>
  <c r="AV882" i="1" a="1"/>
  <c r="AV882" i="1" s="1"/>
  <c r="AW882" i="1" a="1"/>
  <c r="AW882" i="1" s="1"/>
  <c r="AX882" i="1" a="1"/>
  <c r="AX882" i="1" s="1"/>
  <c r="AY882" i="1" a="1"/>
  <c r="AY882" i="1" s="1"/>
  <c r="AZ882" i="1" a="1"/>
  <c r="AZ882" i="1" s="1"/>
  <c r="BA882" i="1" a="1"/>
  <c r="BA882" i="1" s="1"/>
  <c r="BB882" i="1" a="1"/>
  <c r="BB882" i="1" s="1"/>
  <c r="AL883" i="1" a="1"/>
  <c r="AL883" i="1" s="1"/>
  <c r="AM883" i="1" a="1"/>
  <c r="AM883" i="1" s="1"/>
  <c r="AN883" i="1" a="1"/>
  <c r="AN883" i="1" s="1"/>
  <c r="AO883" i="1" a="1"/>
  <c r="AO883" i="1" s="1"/>
  <c r="AP883" i="1" a="1"/>
  <c r="AP883" i="1" s="1"/>
  <c r="AQ883" i="1" a="1"/>
  <c r="AQ883" i="1" s="1"/>
  <c r="AR883" i="1" a="1"/>
  <c r="AR883" i="1" s="1"/>
  <c r="AS883" i="1" a="1"/>
  <c r="AS883" i="1" s="1"/>
  <c r="AT883" i="1" a="1"/>
  <c r="AT883" i="1" s="1"/>
  <c r="AU883" i="1" a="1"/>
  <c r="AU883" i="1" s="1"/>
  <c r="AV883" i="1" a="1"/>
  <c r="AV883" i="1" s="1"/>
  <c r="AW883" i="1" a="1"/>
  <c r="AW883" i="1" s="1"/>
  <c r="AX883" i="1" a="1"/>
  <c r="AX883" i="1" s="1"/>
  <c r="AY883" i="1" a="1"/>
  <c r="AY883" i="1" s="1"/>
  <c r="AZ883" i="1" a="1"/>
  <c r="AZ883" i="1" s="1"/>
  <c r="BA883" i="1" a="1"/>
  <c r="BA883" i="1" s="1"/>
  <c r="BB883" i="1" a="1"/>
  <c r="BB883" i="1" s="1"/>
  <c r="AL884" i="1" a="1"/>
  <c r="AL884" i="1" s="1"/>
  <c r="AM884" i="1" a="1"/>
  <c r="AM884" i="1" s="1"/>
  <c r="AN884" i="1" a="1"/>
  <c r="AN884" i="1" s="1"/>
  <c r="AO884" i="1" a="1"/>
  <c r="AO884" i="1" s="1"/>
  <c r="AP884" i="1" a="1"/>
  <c r="AP884" i="1" s="1"/>
  <c r="AQ884" i="1" a="1"/>
  <c r="AQ884" i="1" s="1"/>
  <c r="AR884" i="1" a="1"/>
  <c r="AR884" i="1" s="1"/>
  <c r="AS884" i="1" a="1"/>
  <c r="AS884" i="1" s="1"/>
  <c r="AT884" i="1" a="1"/>
  <c r="AT884" i="1" s="1"/>
  <c r="AU884" i="1" a="1"/>
  <c r="AU884" i="1" s="1"/>
  <c r="AV884" i="1" a="1"/>
  <c r="AV884" i="1" s="1"/>
  <c r="AW884" i="1" a="1"/>
  <c r="AW884" i="1" s="1"/>
  <c r="AX884" i="1" a="1"/>
  <c r="AX884" i="1" s="1"/>
  <c r="AY884" i="1" a="1"/>
  <c r="AY884" i="1" s="1"/>
  <c r="AZ884" i="1" a="1"/>
  <c r="AZ884" i="1" s="1"/>
  <c r="BA884" i="1" a="1"/>
  <c r="BA884" i="1" s="1"/>
  <c r="BB884" i="1" a="1"/>
  <c r="BB884" i="1" s="1"/>
  <c r="AL885" i="1" a="1"/>
  <c r="AL885" i="1" s="1"/>
  <c r="AM885" i="1" a="1"/>
  <c r="AM885" i="1" s="1"/>
  <c r="AN885" i="1" a="1"/>
  <c r="AN885" i="1" s="1"/>
  <c r="AO885" i="1" a="1"/>
  <c r="AO885" i="1" s="1"/>
  <c r="AP885" i="1" a="1"/>
  <c r="AP885" i="1" s="1"/>
  <c r="AQ885" i="1" a="1"/>
  <c r="AQ885" i="1" s="1"/>
  <c r="AR885" i="1" a="1"/>
  <c r="AR885" i="1" s="1"/>
  <c r="AS885" i="1" a="1"/>
  <c r="AS885" i="1" s="1"/>
  <c r="AT885" i="1" a="1"/>
  <c r="AT885" i="1" s="1"/>
  <c r="AU885" i="1" a="1"/>
  <c r="AU885" i="1" s="1"/>
  <c r="AV885" i="1" a="1"/>
  <c r="AV885" i="1" s="1"/>
  <c r="AW885" i="1" a="1"/>
  <c r="AW885" i="1" s="1"/>
  <c r="AX885" i="1" a="1"/>
  <c r="AX885" i="1" s="1"/>
  <c r="AY885" i="1" a="1"/>
  <c r="AY885" i="1" s="1"/>
  <c r="AZ885" i="1" a="1"/>
  <c r="AZ885" i="1" s="1"/>
  <c r="BA885" i="1" a="1"/>
  <c r="BA885" i="1" s="1"/>
  <c r="BB885" i="1" a="1"/>
  <c r="BB885" i="1" s="1"/>
  <c r="AL886" i="1" a="1"/>
  <c r="AL886" i="1" s="1"/>
  <c r="AM886" i="1" a="1"/>
  <c r="AM886" i="1" s="1"/>
  <c r="AN886" i="1" a="1"/>
  <c r="AN886" i="1" s="1"/>
  <c r="AO886" i="1" a="1"/>
  <c r="AO886" i="1" s="1"/>
  <c r="AP886" i="1" a="1"/>
  <c r="AP886" i="1" s="1"/>
  <c r="AQ886" i="1" a="1"/>
  <c r="AQ886" i="1" s="1"/>
  <c r="AR886" i="1" a="1"/>
  <c r="AR886" i="1" s="1"/>
  <c r="AS886" i="1" a="1"/>
  <c r="AS886" i="1" s="1"/>
  <c r="AT886" i="1" a="1"/>
  <c r="AT886" i="1" s="1"/>
  <c r="AU886" i="1" a="1"/>
  <c r="AU886" i="1" s="1"/>
  <c r="AV886" i="1" a="1"/>
  <c r="AV886" i="1" s="1"/>
  <c r="AW886" i="1" a="1"/>
  <c r="AW886" i="1" s="1"/>
  <c r="AX886" i="1" a="1"/>
  <c r="AX886" i="1" s="1"/>
  <c r="AY886" i="1" a="1"/>
  <c r="AY886" i="1" s="1"/>
  <c r="AZ886" i="1" a="1"/>
  <c r="AZ886" i="1" s="1"/>
  <c r="BA886" i="1" a="1"/>
  <c r="BA886" i="1" s="1"/>
  <c r="BB886" i="1" a="1"/>
  <c r="BB886" i="1" s="1"/>
  <c r="AL887" i="1" a="1"/>
  <c r="AL887" i="1" s="1"/>
  <c r="AM887" i="1" a="1"/>
  <c r="AM887" i="1" s="1"/>
  <c r="AN887" i="1" a="1"/>
  <c r="AN887" i="1" s="1"/>
  <c r="AO887" i="1" a="1"/>
  <c r="AO887" i="1" s="1"/>
  <c r="AP887" i="1" a="1"/>
  <c r="AP887" i="1" s="1"/>
  <c r="AQ887" i="1" a="1"/>
  <c r="AQ887" i="1" s="1"/>
  <c r="AR887" i="1" a="1"/>
  <c r="AR887" i="1" s="1"/>
  <c r="AS887" i="1" a="1"/>
  <c r="AS887" i="1" s="1"/>
  <c r="AT887" i="1" a="1"/>
  <c r="AT887" i="1" s="1"/>
  <c r="AU887" i="1" a="1"/>
  <c r="AU887" i="1" s="1"/>
  <c r="AV887" i="1" a="1"/>
  <c r="AV887" i="1" s="1"/>
  <c r="AW887" i="1" a="1"/>
  <c r="AW887" i="1" s="1"/>
  <c r="AX887" i="1" a="1"/>
  <c r="AX887" i="1" s="1"/>
  <c r="AY887" i="1" a="1"/>
  <c r="AY887" i="1" s="1"/>
  <c r="AZ887" i="1" a="1"/>
  <c r="AZ887" i="1" s="1"/>
  <c r="BA887" i="1" a="1"/>
  <c r="BA887" i="1" s="1"/>
  <c r="BB887" i="1" a="1"/>
  <c r="BB887" i="1" s="1"/>
  <c r="AL888" i="1" a="1"/>
  <c r="AL888" i="1" s="1"/>
  <c r="AM888" i="1" a="1"/>
  <c r="AM888" i="1" s="1"/>
  <c r="AN888" i="1" a="1"/>
  <c r="AN888" i="1" s="1"/>
  <c r="AO888" i="1" a="1"/>
  <c r="AO888" i="1" s="1"/>
  <c r="AP888" i="1" a="1"/>
  <c r="AP888" i="1" s="1"/>
  <c r="AQ888" i="1" a="1"/>
  <c r="AQ888" i="1" s="1"/>
  <c r="AR888" i="1" a="1"/>
  <c r="AR888" i="1" s="1"/>
  <c r="AS888" i="1" a="1"/>
  <c r="AS888" i="1" s="1"/>
  <c r="AT888" i="1" a="1"/>
  <c r="AT888" i="1" s="1"/>
  <c r="AU888" i="1" a="1"/>
  <c r="AU888" i="1" s="1"/>
  <c r="AV888" i="1" a="1"/>
  <c r="AV888" i="1" s="1"/>
  <c r="AW888" i="1" a="1"/>
  <c r="AW888" i="1" s="1"/>
  <c r="AX888" i="1" a="1"/>
  <c r="AX888" i="1" s="1"/>
  <c r="AY888" i="1" a="1"/>
  <c r="AY888" i="1" s="1"/>
  <c r="AZ888" i="1" a="1"/>
  <c r="AZ888" i="1" s="1"/>
  <c r="BA888" i="1" a="1"/>
  <c r="BA888" i="1" s="1"/>
  <c r="BB888" i="1" a="1"/>
  <c r="BB888" i="1" s="1"/>
  <c r="AL889" i="1" a="1"/>
  <c r="AL889" i="1" s="1"/>
  <c r="AM889" i="1" a="1"/>
  <c r="AM889" i="1" s="1"/>
  <c r="AN889" i="1" a="1"/>
  <c r="AN889" i="1" s="1"/>
  <c r="AO889" i="1" a="1"/>
  <c r="AO889" i="1" s="1"/>
  <c r="AP889" i="1" a="1"/>
  <c r="AP889" i="1" s="1"/>
  <c r="AQ889" i="1" a="1"/>
  <c r="AQ889" i="1" s="1"/>
  <c r="AR889" i="1" a="1"/>
  <c r="AR889" i="1" s="1"/>
  <c r="AS889" i="1" a="1"/>
  <c r="AS889" i="1" s="1"/>
  <c r="AT889" i="1" a="1"/>
  <c r="AT889" i="1" s="1"/>
  <c r="AU889" i="1" a="1"/>
  <c r="AU889" i="1" s="1"/>
  <c r="AV889" i="1" a="1"/>
  <c r="AV889" i="1" s="1"/>
  <c r="AW889" i="1" a="1"/>
  <c r="AW889" i="1" s="1"/>
  <c r="AX889" i="1" a="1"/>
  <c r="AX889" i="1" s="1"/>
  <c r="AY889" i="1" a="1"/>
  <c r="AY889" i="1" s="1"/>
  <c r="AZ889" i="1" a="1"/>
  <c r="AZ889" i="1" s="1"/>
  <c r="BA889" i="1" a="1"/>
  <c r="BA889" i="1" s="1"/>
  <c r="BB889" i="1" a="1"/>
  <c r="BB889" i="1" s="1"/>
  <c r="AL890" i="1" a="1"/>
  <c r="AL890" i="1" s="1"/>
  <c r="AM890" i="1" a="1"/>
  <c r="AM890" i="1" s="1"/>
  <c r="AN890" i="1" a="1"/>
  <c r="AN890" i="1" s="1"/>
  <c r="AO890" i="1" a="1"/>
  <c r="AO890" i="1" s="1"/>
  <c r="AP890" i="1" a="1"/>
  <c r="AP890" i="1" s="1"/>
  <c r="AQ890" i="1" a="1"/>
  <c r="AQ890" i="1" s="1"/>
  <c r="AR890" i="1" a="1"/>
  <c r="AR890" i="1" s="1"/>
  <c r="AS890" i="1" a="1"/>
  <c r="AS890" i="1" s="1"/>
  <c r="AT890" i="1" a="1"/>
  <c r="AT890" i="1" s="1"/>
  <c r="AU890" i="1" a="1"/>
  <c r="AU890" i="1" s="1"/>
  <c r="AV890" i="1" a="1"/>
  <c r="AV890" i="1" s="1"/>
  <c r="AW890" i="1" a="1"/>
  <c r="AW890" i="1" s="1"/>
  <c r="AX890" i="1" a="1"/>
  <c r="AX890" i="1" s="1"/>
  <c r="AY890" i="1" a="1"/>
  <c r="AY890" i="1" s="1"/>
  <c r="AZ890" i="1" a="1"/>
  <c r="AZ890" i="1" s="1"/>
  <c r="BA890" i="1" a="1"/>
  <c r="BA890" i="1" s="1"/>
  <c r="BB890" i="1" a="1"/>
  <c r="BB890" i="1" s="1"/>
  <c r="AL891" i="1" a="1"/>
  <c r="AL891" i="1" s="1"/>
  <c r="AM891" i="1" a="1"/>
  <c r="AM891" i="1" s="1"/>
  <c r="AN891" i="1" a="1"/>
  <c r="AN891" i="1" s="1"/>
  <c r="AO891" i="1" a="1"/>
  <c r="AO891" i="1" s="1"/>
  <c r="AP891" i="1" a="1"/>
  <c r="AP891" i="1" s="1"/>
  <c r="AQ891" i="1" a="1"/>
  <c r="AQ891" i="1" s="1"/>
  <c r="AR891" i="1" a="1"/>
  <c r="AR891" i="1" s="1"/>
  <c r="AS891" i="1" a="1"/>
  <c r="AS891" i="1" s="1"/>
  <c r="AT891" i="1" a="1"/>
  <c r="AT891" i="1" s="1"/>
  <c r="AU891" i="1" a="1"/>
  <c r="AU891" i="1" s="1"/>
  <c r="AV891" i="1" a="1"/>
  <c r="AV891" i="1" s="1"/>
  <c r="AW891" i="1" a="1"/>
  <c r="AW891" i="1" s="1"/>
  <c r="AX891" i="1" a="1"/>
  <c r="AX891" i="1" s="1"/>
  <c r="AY891" i="1" a="1"/>
  <c r="AY891" i="1" s="1"/>
  <c r="AZ891" i="1" a="1"/>
  <c r="AZ891" i="1" s="1"/>
  <c r="BA891" i="1" a="1"/>
  <c r="BA891" i="1" s="1"/>
  <c r="BB891" i="1" a="1"/>
  <c r="BB891" i="1" s="1"/>
  <c r="AL892" i="1" a="1"/>
  <c r="AL892" i="1" s="1"/>
  <c r="AM892" i="1" a="1"/>
  <c r="AM892" i="1" s="1"/>
  <c r="AN892" i="1" a="1"/>
  <c r="AN892" i="1" s="1"/>
  <c r="AO892" i="1" a="1"/>
  <c r="AO892" i="1" s="1"/>
  <c r="AP892" i="1" a="1"/>
  <c r="AP892" i="1" s="1"/>
  <c r="AQ892" i="1" a="1"/>
  <c r="AQ892" i="1" s="1"/>
  <c r="AR892" i="1" a="1"/>
  <c r="AR892" i="1" s="1"/>
  <c r="AS892" i="1" a="1"/>
  <c r="AS892" i="1" s="1"/>
  <c r="AT892" i="1" a="1"/>
  <c r="AT892" i="1" s="1"/>
  <c r="AU892" i="1" a="1"/>
  <c r="AU892" i="1" s="1"/>
  <c r="AV892" i="1" a="1"/>
  <c r="AV892" i="1" s="1"/>
  <c r="AW892" i="1" a="1"/>
  <c r="AW892" i="1" s="1"/>
  <c r="AX892" i="1" a="1"/>
  <c r="AX892" i="1" s="1"/>
  <c r="AY892" i="1" a="1"/>
  <c r="AY892" i="1" s="1"/>
  <c r="AZ892" i="1" a="1"/>
  <c r="AZ892" i="1" s="1"/>
  <c r="BA892" i="1" a="1"/>
  <c r="BA892" i="1" s="1"/>
  <c r="BB892" i="1" a="1"/>
  <c r="BB892" i="1" s="1"/>
  <c r="AL893" i="1" a="1"/>
  <c r="AL893" i="1" s="1"/>
  <c r="AM893" i="1" a="1"/>
  <c r="AM893" i="1" s="1"/>
  <c r="AN893" i="1" a="1"/>
  <c r="AN893" i="1" s="1"/>
  <c r="AO893" i="1" a="1"/>
  <c r="AO893" i="1" s="1"/>
  <c r="AP893" i="1" a="1"/>
  <c r="AP893" i="1" s="1"/>
  <c r="AQ893" i="1" a="1"/>
  <c r="AQ893" i="1" s="1"/>
  <c r="AR893" i="1" a="1"/>
  <c r="AR893" i="1" s="1"/>
  <c r="AS893" i="1" a="1"/>
  <c r="AS893" i="1" s="1"/>
  <c r="AT893" i="1" a="1"/>
  <c r="AT893" i="1" s="1"/>
  <c r="AU893" i="1" a="1"/>
  <c r="AU893" i="1" s="1"/>
  <c r="AV893" i="1" a="1"/>
  <c r="AV893" i="1" s="1"/>
  <c r="AW893" i="1" a="1"/>
  <c r="AW893" i="1" s="1"/>
  <c r="AX893" i="1" a="1"/>
  <c r="AX893" i="1" s="1"/>
  <c r="AY893" i="1" a="1"/>
  <c r="AY893" i="1" s="1"/>
  <c r="AZ893" i="1" a="1"/>
  <c r="AZ893" i="1" s="1"/>
  <c r="BA893" i="1" a="1"/>
  <c r="BA893" i="1" s="1"/>
  <c r="BB893" i="1" a="1"/>
  <c r="BB893" i="1" s="1"/>
  <c r="AL894" i="1" a="1"/>
  <c r="AL894" i="1" s="1"/>
  <c r="AM894" i="1" a="1"/>
  <c r="AM894" i="1" s="1"/>
  <c r="AN894" i="1" a="1"/>
  <c r="AN894" i="1" s="1"/>
  <c r="AO894" i="1" a="1"/>
  <c r="AO894" i="1" s="1"/>
  <c r="AP894" i="1" a="1"/>
  <c r="AP894" i="1" s="1"/>
  <c r="AQ894" i="1" a="1"/>
  <c r="AQ894" i="1" s="1"/>
  <c r="AR894" i="1" a="1"/>
  <c r="AR894" i="1" s="1"/>
  <c r="AS894" i="1" a="1"/>
  <c r="AS894" i="1" s="1"/>
  <c r="AT894" i="1" a="1"/>
  <c r="AT894" i="1" s="1"/>
  <c r="AU894" i="1" a="1"/>
  <c r="AU894" i="1" s="1"/>
  <c r="AV894" i="1" a="1"/>
  <c r="AV894" i="1" s="1"/>
  <c r="AW894" i="1" a="1"/>
  <c r="AW894" i="1" s="1"/>
  <c r="AX894" i="1" a="1"/>
  <c r="AX894" i="1" s="1"/>
  <c r="AY894" i="1" a="1"/>
  <c r="AY894" i="1" s="1"/>
  <c r="AZ894" i="1" a="1"/>
  <c r="AZ894" i="1" s="1"/>
  <c r="BA894" i="1" a="1"/>
  <c r="BA894" i="1" s="1"/>
  <c r="BB894" i="1" a="1"/>
  <c r="BB894" i="1" s="1"/>
  <c r="AL895" i="1" a="1"/>
  <c r="AL895" i="1" s="1"/>
  <c r="AM895" i="1" a="1"/>
  <c r="AM895" i="1" s="1"/>
  <c r="AN895" i="1" a="1"/>
  <c r="AN895" i="1" s="1"/>
  <c r="AO895" i="1" a="1"/>
  <c r="AO895" i="1" s="1"/>
  <c r="AP895" i="1" a="1"/>
  <c r="AP895" i="1" s="1"/>
  <c r="AQ895" i="1" a="1"/>
  <c r="AQ895" i="1" s="1"/>
  <c r="AR895" i="1" a="1"/>
  <c r="AR895" i="1" s="1"/>
  <c r="AS895" i="1" a="1"/>
  <c r="AS895" i="1" s="1"/>
  <c r="AT895" i="1" a="1"/>
  <c r="AT895" i="1" s="1"/>
  <c r="AU895" i="1" a="1"/>
  <c r="AU895" i="1" s="1"/>
  <c r="AV895" i="1" a="1"/>
  <c r="AV895" i="1" s="1"/>
  <c r="AW895" i="1" a="1"/>
  <c r="AW895" i="1" s="1"/>
  <c r="AX895" i="1" a="1"/>
  <c r="AX895" i="1" s="1"/>
  <c r="AY895" i="1" a="1"/>
  <c r="AY895" i="1" s="1"/>
  <c r="AZ895" i="1" a="1"/>
  <c r="AZ895" i="1" s="1"/>
  <c r="BA895" i="1" a="1"/>
  <c r="BA895" i="1" s="1"/>
  <c r="BB895" i="1" a="1"/>
  <c r="BB895" i="1" s="1"/>
  <c r="AL896" i="1" a="1"/>
  <c r="AL896" i="1" s="1"/>
  <c r="AM896" i="1" a="1"/>
  <c r="AM896" i="1" s="1"/>
  <c r="AN896" i="1" a="1"/>
  <c r="AN896" i="1" s="1"/>
  <c r="AO896" i="1" a="1"/>
  <c r="AO896" i="1" s="1"/>
  <c r="AP896" i="1" a="1"/>
  <c r="AP896" i="1" s="1"/>
  <c r="AQ896" i="1" a="1"/>
  <c r="AQ896" i="1" s="1"/>
  <c r="AR896" i="1" a="1"/>
  <c r="AR896" i="1" s="1"/>
  <c r="AS896" i="1" a="1"/>
  <c r="AS896" i="1" s="1"/>
  <c r="AT896" i="1" a="1"/>
  <c r="AT896" i="1" s="1"/>
  <c r="AU896" i="1" a="1"/>
  <c r="AU896" i="1" s="1"/>
  <c r="AV896" i="1" a="1"/>
  <c r="AV896" i="1" s="1"/>
  <c r="AW896" i="1" a="1"/>
  <c r="AW896" i="1" s="1"/>
  <c r="AX896" i="1" a="1"/>
  <c r="AX896" i="1" s="1"/>
  <c r="AY896" i="1" a="1"/>
  <c r="AY896" i="1" s="1"/>
  <c r="AZ896" i="1" a="1"/>
  <c r="AZ896" i="1" s="1"/>
  <c r="BA896" i="1" a="1"/>
  <c r="BA896" i="1" s="1"/>
  <c r="BB896" i="1" a="1"/>
  <c r="BB896" i="1" s="1"/>
  <c r="AL897" i="1" a="1"/>
  <c r="AL897" i="1" s="1"/>
  <c r="AM897" i="1" a="1"/>
  <c r="AM897" i="1" s="1"/>
  <c r="AN897" i="1" a="1"/>
  <c r="AN897" i="1" s="1"/>
  <c r="AO897" i="1" a="1"/>
  <c r="AO897" i="1" s="1"/>
  <c r="AP897" i="1" a="1"/>
  <c r="AP897" i="1" s="1"/>
  <c r="AQ897" i="1" a="1"/>
  <c r="AQ897" i="1" s="1"/>
  <c r="AR897" i="1" a="1"/>
  <c r="AR897" i="1" s="1"/>
  <c r="AS897" i="1" a="1"/>
  <c r="AS897" i="1" s="1"/>
  <c r="AT897" i="1" a="1"/>
  <c r="AT897" i="1" s="1"/>
  <c r="AU897" i="1" a="1"/>
  <c r="AU897" i="1" s="1"/>
  <c r="AV897" i="1" a="1"/>
  <c r="AV897" i="1" s="1"/>
  <c r="AW897" i="1" a="1"/>
  <c r="AW897" i="1" s="1"/>
  <c r="AX897" i="1" a="1"/>
  <c r="AX897" i="1" s="1"/>
  <c r="AY897" i="1" a="1"/>
  <c r="AY897" i="1" s="1"/>
  <c r="AZ897" i="1" a="1"/>
  <c r="AZ897" i="1" s="1"/>
  <c r="BA897" i="1" a="1"/>
  <c r="BA897" i="1" s="1"/>
  <c r="BB897" i="1" a="1"/>
  <c r="BB897" i="1" s="1"/>
  <c r="AL898" i="1" a="1"/>
  <c r="AL898" i="1" s="1"/>
  <c r="AM898" i="1" a="1"/>
  <c r="AM898" i="1" s="1"/>
  <c r="AN898" i="1" a="1"/>
  <c r="AN898" i="1" s="1"/>
  <c r="AO898" i="1" a="1"/>
  <c r="AO898" i="1" s="1"/>
  <c r="AP898" i="1" a="1"/>
  <c r="AP898" i="1" s="1"/>
  <c r="AQ898" i="1" a="1"/>
  <c r="AQ898" i="1" s="1"/>
  <c r="AR898" i="1" a="1"/>
  <c r="AR898" i="1" s="1"/>
  <c r="AS898" i="1" a="1"/>
  <c r="AS898" i="1" s="1"/>
  <c r="AT898" i="1" a="1"/>
  <c r="AT898" i="1" s="1"/>
  <c r="AU898" i="1" a="1"/>
  <c r="AU898" i="1" s="1"/>
  <c r="AV898" i="1" a="1"/>
  <c r="AV898" i="1" s="1"/>
  <c r="AW898" i="1" a="1"/>
  <c r="AW898" i="1" s="1"/>
  <c r="AX898" i="1" a="1"/>
  <c r="AX898" i="1" s="1"/>
  <c r="AY898" i="1" a="1"/>
  <c r="AY898" i="1" s="1"/>
  <c r="AZ898" i="1" a="1"/>
  <c r="AZ898" i="1" s="1"/>
  <c r="BA898" i="1" a="1"/>
  <c r="BA898" i="1" s="1"/>
  <c r="BB898" i="1" a="1"/>
  <c r="BB898" i="1" s="1"/>
  <c r="AL899" i="1" a="1"/>
  <c r="AL899" i="1" s="1"/>
  <c r="AM899" i="1" a="1"/>
  <c r="AM899" i="1" s="1"/>
  <c r="AN899" i="1" a="1"/>
  <c r="AN899" i="1" s="1"/>
  <c r="AO899" i="1" a="1"/>
  <c r="AO899" i="1" s="1"/>
  <c r="AP899" i="1" a="1"/>
  <c r="AP899" i="1" s="1"/>
  <c r="AQ899" i="1" a="1"/>
  <c r="AQ899" i="1" s="1"/>
  <c r="AR899" i="1" a="1"/>
  <c r="AR899" i="1" s="1"/>
  <c r="AS899" i="1" a="1"/>
  <c r="AS899" i="1" s="1"/>
  <c r="AT899" i="1" a="1"/>
  <c r="AT899" i="1" s="1"/>
  <c r="AU899" i="1" a="1"/>
  <c r="AU899" i="1" s="1"/>
  <c r="AV899" i="1" a="1"/>
  <c r="AV899" i="1" s="1"/>
  <c r="AW899" i="1" a="1"/>
  <c r="AW899" i="1" s="1"/>
  <c r="AX899" i="1" a="1"/>
  <c r="AX899" i="1" s="1"/>
  <c r="AY899" i="1" a="1"/>
  <c r="AY899" i="1" s="1"/>
  <c r="AZ899" i="1" a="1"/>
  <c r="AZ899" i="1" s="1"/>
  <c r="BA899" i="1" a="1"/>
  <c r="BA899" i="1" s="1"/>
  <c r="BB899" i="1" a="1"/>
  <c r="BB899" i="1" s="1"/>
  <c r="AL900" i="1" a="1"/>
  <c r="AL900" i="1" s="1"/>
  <c r="AM900" i="1" a="1"/>
  <c r="AM900" i="1" s="1"/>
  <c r="AN900" i="1" a="1"/>
  <c r="AN900" i="1" s="1"/>
  <c r="AO900" i="1" a="1"/>
  <c r="AO900" i="1" s="1"/>
  <c r="AP900" i="1" a="1"/>
  <c r="AP900" i="1" s="1"/>
  <c r="AQ900" i="1" a="1"/>
  <c r="AQ900" i="1" s="1"/>
  <c r="AR900" i="1" a="1"/>
  <c r="AR900" i="1" s="1"/>
  <c r="AS900" i="1" a="1"/>
  <c r="AS900" i="1" s="1"/>
  <c r="AT900" i="1" a="1"/>
  <c r="AT900" i="1" s="1"/>
  <c r="AU900" i="1" a="1"/>
  <c r="AU900" i="1" s="1"/>
  <c r="AV900" i="1" a="1"/>
  <c r="AV900" i="1" s="1"/>
  <c r="AW900" i="1" a="1"/>
  <c r="AW900" i="1" s="1"/>
  <c r="AX900" i="1" a="1"/>
  <c r="AX900" i="1" s="1"/>
  <c r="AY900" i="1" a="1"/>
  <c r="AY900" i="1" s="1"/>
  <c r="AZ900" i="1" a="1"/>
  <c r="AZ900" i="1" s="1"/>
  <c r="BA900" i="1" a="1"/>
  <c r="BA900" i="1" s="1"/>
  <c r="BB900" i="1" a="1"/>
  <c r="BB900" i="1" s="1"/>
  <c r="AL901" i="1" a="1"/>
  <c r="AL901" i="1" s="1"/>
  <c r="AM901" i="1" a="1"/>
  <c r="AM901" i="1" s="1"/>
  <c r="AN901" i="1" a="1"/>
  <c r="AN901" i="1" s="1"/>
  <c r="AO901" i="1" a="1"/>
  <c r="AO901" i="1" s="1"/>
  <c r="AP901" i="1" a="1"/>
  <c r="AP901" i="1" s="1"/>
  <c r="AQ901" i="1" a="1"/>
  <c r="AQ901" i="1" s="1"/>
  <c r="AR901" i="1" a="1"/>
  <c r="AR901" i="1" s="1"/>
  <c r="AS901" i="1" a="1"/>
  <c r="AS901" i="1" s="1"/>
  <c r="AT901" i="1" a="1"/>
  <c r="AT901" i="1" s="1"/>
  <c r="AU901" i="1" a="1"/>
  <c r="AU901" i="1" s="1"/>
  <c r="AV901" i="1" a="1"/>
  <c r="AV901" i="1" s="1"/>
  <c r="AW901" i="1" a="1"/>
  <c r="AW901" i="1" s="1"/>
  <c r="AX901" i="1" a="1"/>
  <c r="AX901" i="1" s="1"/>
  <c r="AY901" i="1" a="1"/>
  <c r="AY901" i="1" s="1"/>
  <c r="AZ901" i="1" a="1"/>
  <c r="AZ901" i="1" s="1"/>
  <c r="BA901" i="1" a="1"/>
  <c r="BA901" i="1" s="1"/>
  <c r="BB901" i="1" a="1"/>
  <c r="BB901" i="1" s="1"/>
  <c r="AL902" i="1" a="1"/>
  <c r="AL902" i="1" s="1"/>
  <c r="AM902" i="1" a="1"/>
  <c r="AM902" i="1" s="1"/>
  <c r="AN902" i="1" a="1"/>
  <c r="AN902" i="1" s="1"/>
  <c r="AO902" i="1" a="1"/>
  <c r="AO902" i="1" s="1"/>
  <c r="AP902" i="1" a="1"/>
  <c r="AP902" i="1" s="1"/>
  <c r="AQ902" i="1" a="1"/>
  <c r="AQ902" i="1" s="1"/>
  <c r="AR902" i="1" a="1"/>
  <c r="AR902" i="1" s="1"/>
  <c r="AS902" i="1" a="1"/>
  <c r="AS902" i="1" s="1"/>
  <c r="AT902" i="1" a="1"/>
  <c r="AT902" i="1" s="1"/>
  <c r="AU902" i="1" a="1"/>
  <c r="AU902" i="1" s="1"/>
  <c r="AV902" i="1" a="1"/>
  <c r="AV902" i="1" s="1"/>
  <c r="AW902" i="1" a="1"/>
  <c r="AW902" i="1" s="1"/>
  <c r="AX902" i="1" a="1"/>
  <c r="AX902" i="1" s="1"/>
  <c r="AY902" i="1" a="1"/>
  <c r="AY902" i="1" s="1"/>
  <c r="AZ902" i="1" a="1"/>
  <c r="AZ902" i="1" s="1"/>
  <c r="BA902" i="1" a="1"/>
  <c r="BA902" i="1" s="1"/>
  <c r="BB902" i="1" a="1"/>
  <c r="BB902" i="1" s="1"/>
  <c r="AL903" i="1" a="1"/>
  <c r="AL903" i="1" s="1"/>
  <c r="AM903" i="1" a="1"/>
  <c r="AM903" i="1" s="1"/>
  <c r="AN903" i="1" a="1"/>
  <c r="AN903" i="1" s="1"/>
  <c r="AO903" i="1" a="1"/>
  <c r="AO903" i="1" s="1"/>
  <c r="AP903" i="1" a="1"/>
  <c r="AP903" i="1" s="1"/>
  <c r="AQ903" i="1" a="1"/>
  <c r="AQ903" i="1" s="1"/>
  <c r="AR903" i="1" a="1"/>
  <c r="AR903" i="1" s="1"/>
  <c r="AS903" i="1" a="1"/>
  <c r="AS903" i="1" s="1"/>
  <c r="AT903" i="1" a="1"/>
  <c r="AT903" i="1" s="1"/>
  <c r="AU903" i="1" a="1"/>
  <c r="AU903" i="1" s="1"/>
  <c r="AV903" i="1" a="1"/>
  <c r="AV903" i="1" s="1"/>
  <c r="AW903" i="1" a="1"/>
  <c r="AW903" i="1" s="1"/>
  <c r="AX903" i="1" a="1"/>
  <c r="AX903" i="1" s="1"/>
  <c r="AY903" i="1" a="1"/>
  <c r="AY903" i="1" s="1"/>
  <c r="AZ903" i="1" a="1"/>
  <c r="AZ903" i="1" s="1"/>
  <c r="BA903" i="1" a="1"/>
  <c r="BA903" i="1" s="1"/>
  <c r="BB903" i="1" a="1"/>
  <c r="BB903" i="1" s="1"/>
  <c r="AL904" i="1" a="1"/>
  <c r="AL904" i="1" s="1"/>
  <c r="AM904" i="1" a="1"/>
  <c r="AM904" i="1" s="1"/>
  <c r="AN904" i="1" a="1"/>
  <c r="AN904" i="1" s="1"/>
  <c r="AO904" i="1" a="1"/>
  <c r="AO904" i="1" s="1"/>
  <c r="AP904" i="1" a="1"/>
  <c r="AP904" i="1" s="1"/>
  <c r="AQ904" i="1" a="1"/>
  <c r="AQ904" i="1" s="1"/>
  <c r="AR904" i="1" a="1"/>
  <c r="AR904" i="1" s="1"/>
  <c r="AS904" i="1" a="1"/>
  <c r="AS904" i="1" s="1"/>
  <c r="AT904" i="1" a="1"/>
  <c r="AT904" i="1" s="1"/>
  <c r="AU904" i="1" a="1"/>
  <c r="AU904" i="1" s="1"/>
  <c r="AV904" i="1" a="1"/>
  <c r="AV904" i="1" s="1"/>
  <c r="AW904" i="1" a="1"/>
  <c r="AW904" i="1" s="1"/>
  <c r="AX904" i="1" a="1"/>
  <c r="AX904" i="1" s="1"/>
  <c r="AY904" i="1" a="1"/>
  <c r="AY904" i="1" s="1"/>
  <c r="AZ904" i="1" a="1"/>
  <c r="AZ904" i="1" s="1"/>
  <c r="BA904" i="1" a="1"/>
  <c r="BA904" i="1" s="1"/>
  <c r="BB904" i="1" a="1"/>
  <c r="BB904" i="1" s="1"/>
  <c r="AL905" i="1" a="1"/>
  <c r="AL905" i="1" s="1"/>
  <c r="AM905" i="1" a="1"/>
  <c r="AM905" i="1" s="1"/>
  <c r="AN905" i="1" a="1"/>
  <c r="AN905" i="1" s="1"/>
  <c r="AO905" i="1" a="1"/>
  <c r="AO905" i="1" s="1"/>
  <c r="AP905" i="1" a="1"/>
  <c r="AP905" i="1" s="1"/>
  <c r="AQ905" i="1" a="1"/>
  <c r="AQ905" i="1" s="1"/>
  <c r="AR905" i="1" a="1"/>
  <c r="AR905" i="1" s="1"/>
  <c r="AS905" i="1" a="1"/>
  <c r="AS905" i="1" s="1"/>
  <c r="AT905" i="1" a="1"/>
  <c r="AT905" i="1" s="1"/>
  <c r="AU905" i="1" a="1"/>
  <c r="AU905" i="1" s="1"/>
  <c r="AV905" i="1" a="1"/>
  <c r="AV905" i="1" s="1"/>
  <c r="AW905" i="1" a="1"/>
  <c r="AW905" i="1" s="1"/>
  <c r="AX905" i="1" a="1"/>
  <c r="AX905" i="1" s="1"/>
  <c r="AY905" i="1" a="1"/>
  <c r="AY905" i="1" s="1"/>
  <c r="AZ905" i="1" a="1"/>
  <c r="AZ905" i="1" s="1"/>
  <c r="BA905" i="1" a="1"/>
  <c r="BA905" i="1" s="1"/>
  <c r="BB905" i="1" a="1"/>
  <c r="BB905" i="1" s="1"/>
  <c r="AL906" i="1" a="1"/>
  <c r="AL906" i="1" s="1"/>
  <c r="AM906" i="1" a="1"/>
  <c r="AM906" i="1" s="1"/>
  <c r="AN906" i="1" a="1"/>
  <c r="AN906" i="1" s="1"/>
  <c r="AO906" i="1" a="1"/>
  <c r="AO906" i="1" s="1"/>
  <c r="AP906" i="1" a="1"/>
  <c r="AP906" i="1" s="1"/>
  <c r="AQ906" i="1" a="1"/>
  <c r="AQ906" i="1" s="1"/>
  <c r="AR906" i="1" a="1"/>
  <c r="AR906" i="1" s="1"/>
  <c r="AS906" i="1" a="1"/>
  <c r="AS906" i="1" s="1"/>
  <c r="AT906" i="1" a="1"/>
  <c r="AT906" i="1" s="1"/>
  <c r="AU906" i="1" a="1"/>
  <c r="AU906" i="1" s="1"/>
  <c r="AV906" i="1" a="1"/>
  <c r="AV906" i="1" s="1"/>
  <c r="AW906" i="1" a="1"/>
  <c r="AW906" i="1" s="1"/>
  <c r="AX906" i="1" a="1"/>
  <c r="AX906" i="1" s="1"/>
  <c r="AY906" i="1" a="1"/>
  <c r="AY906" i="1" s="1"/>
  <c r="AZ906" i="1" a="1"/>
  <c r="AZ906" i="1" s="1"/>
  <c r="BA906" i="1" a="1"/>
  <c r="BA906" i="1" s="1"/>
  <c r="BB906" i="1" a="1"/>
  <c r="BB906" i="1" s="1"/>
  <c r="AL907" i="1" a="1"/>
  <c r="AL907" i="1" s="1"/>
  <c r="AM907" i="1" a="1"/>
  <c r="AM907" i="1" s="1"/>
  <c r="AN907" i="1" a="1"/>
  <c r="AN907" i="1" s="1"/>
  <c r="AO907" i="1" a="1"/>
  <c r="AO907" i="1" s="1"/>
  <c r="AP907" i="1" a="1"/>
  <c r="AP907" i="1" s="1"/>
  <c r="AQ907" i="1" a="1"/>
  <c r="AQ907" i="1" s="1"/>
  <c r="AR907" i="1" a="1"/>
  <c r="AR907" i="1" s="1"/>
  <c r="AS907" i="1" a="1"/>
  <c r="AS907" i="1" s="1"/>
  <c r="AT907" i="1" a="1"/>
  <c r="AT907" i="1" s="1"/>
  <c r="AU907" i="1" a="1"/>
  <c r="AU907" i="1" s="1"/>
  <c r="AV907" i="1" a="1"/>
  <c r="AV907" i="1" s="1"/>
  <c r="AW907" i="1" a="1"/>
  <c r="AW907" i="1" s="1"/>
  <c r="AX907" i="1" a="1"/>
  <c r="AX907" i="1" s="1"/>
  <c r="AY907" i="1" a="1"/>
  <c r="AY907" i="1" s="1"/>
  <c r="AZ907" i="1" a="1"/>
  <c r="AZ907" i="1" s="1"/>
  <c r="BA907" i="1" a="1"/>
  <c r="BA907" i="1" s="1"/>
  <c r="BB907" i="1" a="1"/>
  <c r="BB907" i="1" s="1"/>
  <c r="AL908" i="1" a="1"/>
  <c r="AL908" i="1" s="1"/>
  <c r="AM908" i="1" a="1"/>
  <c r="AM908" i="1" s="1"/>
  <c r="AN908" i="1" a="1"/>
  <c r="AN908" i="1" s="1"/>
  <c r="AO908" i="1" a="1"/>
  <c r="AO908" i="1" s="1"/>
  <c r="AP908" i="1" a="1"/>
  <c r="AP908" i="1" s="1"/>
  <c r="AQ908" i="1" a="1"/>
  <c r="AQ908" i="1" s="1"/>
  <c r="AR908" i="1" a="1"/>
  <c r="AR908" i="1" s="1"/>
  <c r="AS908" i="1" a="1"/>
  <c r="AS908" i="1" s="1"/>
  <c r="AT908" i="1" a="1"/>
  <c r="AT908" i="1" s="1"/>
  <c r="AU908" i="1" a="1"/>
  <c r="AU908" i="1" s="1"/>
  <c r="AV908" i="1" a="1"/>
  <c r="AV908" i="1" s="1"/>
  <c r="AW908" i="1" a="1"/>
  <c r="AW908" i="1" s="1"/>
  <c r="AX908" i="1" a="1"/>
  <c r="AX908" i="1" s="1"/>
  <c r="AY908" i="1" a="1"/>
  <c r="AY908" i="1" s="1"/>
  <c r="AZ908" i="1" a="1"/>
  <c r="AZ908" i="1" s="1"/>
  <c r="BA908" i="1" a="1"/>
  <c r="BA908" i="1" s="1"/>
  <c r="BB908" i="1" a="1"/>
  <c r="BB908" i="1" s="1"/>
  <c r="AL909" i="1" a="1"/>
  <c r="AL909" i="1" s="1"/>
  <c r="AM909" i="1" a="1"/>
  <c r="AM909" i="1" s="1"/>
  <c r="AN909" i="1" a="1"/>
  <c r="AN909" i="1" s="1"/>
  <c r="AO909" i="1" a="1"/>
  <c r="AO909" i="1" s="1"/>
  <c r="AP909" i="1" a="1"/>
  <c r="AP909" i="1" s="1"/>
  <c r="AQ909" i="1" a="1"/>
  <c r="AQ909" i="1" s="1"/>
  <c r="AR909" i="1" a="1"/>
  <c r="AR909" i="1" s="1"/>
  <c r="AS909" i="1" a="1"/>
  <c r="AS909" i="1" s="1"/>
  <c r="AT909" i="1" a="1"/>
  <c r="AT909" i="1" s="1"/>
  <c r="AU909" i="1" a="1"/>
  <c r="AU909" i="1" s="1"/>
  <c r="AV909" i="1" a="1"/>
  <c r="AV909" i="1" s="1"/>
  <c r="AW909" i="1" a="1"/>
  <c r="AW909" i="1" s="1"/>
  <c r="AX909" i="1" a="1"/>
  <c r="AX909" i="1" s="1"/>
  <c r="AY909" i="1" a="1"/>
  <c r="AY909" i="1" s="1"/>
  <c r="AZ909" i="1" a="1"/>
  <c r="AZ909" i="1" s="1"/>
  <c r="BA909" i="1" a="1"/>
  <c r="BA909" i="1" s="1"/>
  <c r="BB909" i="1" a="1"/>
  <c r="BB909" i="1" s="1"/>
  <c r="AL910" i="1" a="1"/>
  <c r="AL910" i="1" s="1"/>
  <c r="AM910" i="1" a="1"/>
  <c r="AM910" i="1" s="1"/>
  <c r="AN910" i="1" a="1"/>
  <c r="AN910" i="1" s="1"/>
  <c r="AO910" i="1" a="1"/>
  <c r="AO910" i="1" s="1"/>
  <c r="AP910" i="1" a="1"/>
  <c r="AP910" i="1" s="1"/>
  <c r="AQ910" i="1" a="1"/>
  <c r="AQ910" i="1" s="1"/>
  <c r="AR910" i="1" a="1"/>
  <c r="AR910" i="1" s="1"/>
  <c r="AS910" i="1" a="1"/>
  <c r="AS910" i="1" s="1"/>
  <c r="AT910" i="1" a="1"/>
  <c r="AT910" i="1" s="1"/>
  <c r="AU910" i="1" a="1"/>
  <c r="AU910" i="1" s="1"/>
  <c r="AV910" i="1" a="1"/>
  <c r="AV910" i="1" s="1"/>
  <c r="AW910" i="1" a="1"/>
  <c r="AW910" i="1" s="1"/>
  <c r="AX910" i="1" a="1"/>
  <c r="AX910" i="1" s="1"/>
  <c r="AY910" i="1" a="1"/>
  <c r="AY910" i="1" s="1"/>
  <c r="AZ910" i="1" a="1"/>
  <c r="AZ910" i="1" s="1"/>
  <c r="BA910" i="1" a="1"/>
  <c r="BA910" i="1" s="1"/>
  <c r="BB910" i="1" a="1"/>
  <c r="BB910" i="1" s="1"/>
  <c r="AL911" i="1" a="1"/>
  <c r="AL911" i="1" s="1"/>
  <c r="AM911" i="1" a="1"/>
  <c r="AM911" i="1" s="1"/>
  <c r="AN911" i="1" a="1"/>
  <c r="AN911" i="1" s="1"/>
  <c r="AO911" i="1" a="1"/>
  <c r="AO911" i="1" s="1"/>
  <c r="AP911" i="1" a="1"/>
  <c r="AP911" i="1" s="1"/>
  <c r="AQ911" i="1" a="1"/>
  <c r="AQ911" i="1" s="1"/>
  <c r="AR911" i="1" a="1"/>
  <c r="AR911" i="1" s="1"/>
  <c r="AS911" i="1" a="1"/>
  <c r="AS911" i="1" s="1"/>
  <c r="AT911" i="1" a="1"/>
  <c r="AT911" i="1" s="1"/>
  <c r="AU911" i="1" a="1"/>
  <c r="AU911" i="1" s="1"/>
  <c r="AV911" i="1" a="1"/>
  <c r="AV911" i="1" s="1"/>
  <c r="AW911" i="1" a="1"/>
  <c r="AW911" i="1" s="1"/>
  <c r="AX911" i="1" a="1"/>
  <c r="AX911" i="1" s="1"/>
  <c r="AY911" i="1" a="1"/>
  <c r="AY911" i="1" s="1"/>
  <c r="AZ911" i="1" a="1"/>
  <c r="AZ911" i="1" s="1"/>
  <c r="BA911" i="1" a="1"/>
  <c r="BA911" i="1" s="1"/>
  <c r="BB911" i="1" a="1"/>
  <c r="BB911" i="1" s="1"/>
  <c r="AL912" i="1" a="1"/>
  <c r="AL912" i="1" s="1"/>
  <c r="AM912" i="1" a="1"/>
  <c r="AM912" i="1" s="1"/>
  <c r="AN912" i="1" a="1"/>
  <c r="AN912" i="1" s="1"/>
  <c r="AO912" i="1" a="1"/>
  <c r="AO912" i="1" s="1"/>
  <c r="AP912" i="1" a="1"/>
  <c r="AP912" i="1" s="1"/>
  <c r="AQ912" i="1" a="1"/>
  <c r="AQ912" i="1" s="1"/>
  <c r="AR912" i="1" a="1"/>
  <c r="AR912" i="1" s="1"/>
  <c r="AS912" i="1" a="1"/>
  <c r="AS912" i="1" s="1"/>
  <c r="AT912" i="1" a="1"/>
  <c r="AT912" i="1" s="1"/>
  <c r="AU912" i="1" a="1"/>
  <c r="AU912" i="1" s="1"/>
  <c r="AV912" i="1" a="1"/>
  <c r="AV912" i="1" s="1"/>
  <c r="AW912" i="1" a="1"/>
  <c r="AW912" i="1" s="1"/>
  <c r="AX912" i="1" a="1"/>
  <c r="AX912" i="1" s="1"/>
  <c r="AY912" i="1" a="1"/>
  <c r="AY912" i="1" s="1"/>
  <c r="AZ912" i="1" a="1"/>
  <c r="AZ912" i="1" s="1"/>
  <c r="BA912" i="1" a="1"/>
  <c r="BA912" i="1" s="1"/>
  <c r="BB912" i="1" a="1"/>
  <c r="BB912" i="1" s="1"/>
  <c r="AL913" i="1" a="1"/>
  <c r="AL913" i="1" s="1"/>
  <c r="AM913" i="1" a="1"/>
  <c r="AM913" i="1" s="1"/>
  <c r="AN913" i="1" a="1"/>
  <c r="AN913" i="1" s="1"/>
  <c r="AO913" i="1" a="1"/>
  <c r="AO913" i="1" s="1"/>
  <c r="AP913" i="1" a="1"/>
  <c r="AP913" i="1" s="1"/>
  <c r="AQ913" i="1" a="1"/>
  <c r="AQ913" i="1" s="1"/>
  <c r="AR913" i="1" a="1"/>
  <c r="AR913" i="1" s="1"/>
  <c r="AS913" i="1" a="1"/>
  <c r="AS913" i="1" s="1"/>
  <c r="AT913" i="1" a="1"/>
  <c r="AT913" i="1" s="1"/>
  <c r="AU913" i="1" a="1"/>
  <c r="AU913" i="1" s="1"/>
  <c r="AV913" i="1" a="1"/>
  <c r="AV913" i="1" s="1"/>
  <c r="AW913" i="1" a="1"/>
  <c r="AW913" i="1" s="1"/>
  <c r="AX913" i="1" a="1"/>
  <c r="AX913" i="1" s="1"/>
  <c r="AY913" i="1" a="1"/>
  <c r="AY913" i="1" s="1"/>
  <c r="AZ913" i="1" a="1"/>
  <c r="AZ913" i="1" s="1"/>
  <c r="BA913" i="1" a="1"/>
  <c r="BA913" i="1" s="1"/>
  <c r="BB913" i="1" a="1"/>
  <c r="BB913" i="1" s="1"/>
  <c r="AL914" i="1" a="1"/>
  <c r="AL914" i="1" s="1"/>
  <c r="AM914" i="1" a="1"/>
  <c r="AM914" i="1" s="1"/>
  <c r="AN914" i="1" a="1"/>
  <c r="AN914" i="1" s="1"/>
  <c r="AO914" i="1" a="1"/>
  <c r="AO914" i="1" s="1"/>
  <c r="AP914" i="1" a="1"/>
  <c r="AP914" i="1" s="1"/>
  <c r="AQ914" i="1" a="1"/>
  <c r="AQ914" i="1" s="1"/>
  <c r="AR914" i="1" a="1"/>
  <c r="AR914" i="1" s="1"/>
  <c r="AS914" i="1" a="1"/>
  <c r="AS914" i="1" s="1"/>
  <c r="AT914" i="1" a="1"/>
  <c r="AT914" i="1" s="1"/>
  <c r="AU914" i="1" a="1"/>
  <c r="AU914" i="1" s="1"/>
  <c r="AV914" i="1" a="1"/>
  <c r="AV914" i="1" s="1"/>
  <c r="AW914" i="1" a="1"/>
  <c r="AW914" i="1" s="1"/>
  <c r="AX914" i="1" a="1"/>
  <c r="AX914" i="1" s="1"/>
  <c r="AY914" i="1" a="1"/>
  <c r="AY914" i="1" s="1"/>
  <c r="AZ914" i="1" a="1"/>
  <c r="AZ914" i="1" s="1"/>
  <c r="BA914" i="1" a="1"/>
  <c r="BA914" i="1" s="1"/>
  <c r="BB914" i="1" a="1"/>
  <c r="BB914" i="1" s="1"/>
  <c r="AL915" i="1" a="1"/>
  <c r="AL915" i="1" s="1"/>
  <c r="AM915" i="1" a="1"/>
  <c r="AM915" i="1" s="1"/>
  <c r="AN915" i="1" a="1"/>
  <c r="AN915" i="1" s="1"/>
  <c r="AO915" i="1" a="1"/>
  <c r="AO915" i="1" s="1"/>
  <c r="AP915" i="1" a="1"/>
  <c r="AP915" i="1" s="1"/>
  <c r="AQ915" i="1" a="1"/>
  <c r="AQ915" i="1" s="1"/>
  <c r="AR915" i="1" a="1"/>
  <c r="AR915" i="1" s="1"/>
  <c r="AS915" i="1" a="1"/>
  <c r="AS915" i="1" s="1"/>
  <c r="AT915" i="1" a="1"/>
  <c r="AT915" i="1" s="1"/>
  <c r="AU915" i="1" a="1"/>
  <c r="AU915" i="1" s="1"/>
  <c r="AV915" i="1" a="1"/>
  <c r="AV915" i="1" s="1"/>
  <c r="AW915" i="1" a="1"/>
  <c r="AW915" i="1" s="1"/>
  <c r="AX915" i="1" a="1"/>
  <c r="AX915" i="1" s="1"/>
  <c r="AY915" i="1" a="1"/>
  <c r="AY915" i="1" s="1"/>
  <c r="AZ915" i="1" a="1"/>
  <c r="AZ915" i="1" s="1"/>
  <c r="BA915" i="1" a="1"/>
  <c r="BA915" i="1" s="1"/>
  <c r="BB915" i="1" a="1"/>
  <c r="BB915" i="1" s="1"/>
  <c r="AL916" i="1" a="1"/>
  <c r="AL916" i="1" s="1"/>
  <c r="AM916" i="1" a="1"/>
  <c r="AM916" i="1" s="1"/>
  <c r="AN916" i="1" a="1"/>
  <c r="AN916" i="1" s="1"/>
  <c r="AO916" i="1" a="1"/>
  <c r="AO916" i="1" s="1"/>
  <c r="AP916" i="1" a="1"/>
  <c r="AP916" i="1" s="1"/>
  <c r="AQ916" i="1" a="1"/>
  <c r="AQ916" i="1" s="1"/>
  <c r="AR916" i="1" a="1"/>
  <c r="AR916" i="1" s="1"/>
  <c r="AS916" i="1" a="1"/>
  <c r="AS916" i="1" s="1"/>
  <c r="AT916" i="1" a="1"/>
  <c r="AT916" i="1" s="1"/>
  <c r="AU916" i="1" a="1"/>
  <c r="AU916" i="1" s="1"/>
  <c r="AV916" i="1" a="1"/>
  <c r="AV916" i="1" s="1"/>
  <c r="AW916" i="1" a="1"/>
  <c r="AW916" i="1" s="1"/>
  <c r="AX916" i="1" a="1"/>
  <c r="AX916" i="1" s="1"/>
  <c r="AY916" i="1" a="1"/>
  <c r="AY916" i="1" s="1"/>
  <c r="AZ916" i="1" a="1"/>
  <c r="AZ916" i="1" s="1"/>
  <c r="BA916" i="1" a="1"/>
  <c r="BA916" i="1" s="1"/>
  <c r="BB916" i="1" a="1"/>
  <c r="BB916" i="1" s="1"/>
  <c r="AL917" i="1" a="1"/>
  <c r="AL917" i="1" s="1"/>
  <c r="AM917" i="1" a="1"/>
  <c r="AM917" i="1" s="1"/>
  <c r="AN917" i="1" a="1"/>
  <c r="AN917" i="1" s="1"/>
  <c r="AO917" i="1" a="1"/>
  <c r="AO917" i="1" s="1"/>
  <c r="AP917" i="1" a="1"/>
  <c r="AP917" i="1" s="1"/>
  <c r="AQ917" i="1" a="1"/>
  <c r="AQ917" i="1" s="1"/>
  <c r="AR917" i="1" a="1"/>
  <c r="AR917" i="1" s="1"/>
  <c r="AS917" i="1" a="1"/>
  <c r="AS917" i="1" s="1"/>
  <c r="AT917" i="1" a="1"/>
  <c r="AT917" i="1" s="1"/>
  <c r="AU917" i="1" a="1"/>
  <c r="AU917" i="1" s="1"/>
  <c r="AV917" i="1" a="1"/>
  <c r="AV917" i="1" s="1"/>
  <c r="AW917" i="1" a="1"/>
  <c r="AW917" i="1" s="1"/>
  <c r="AX917" i="1" a="1"/>
  <c r="AX917" i="1" s="1"/>
  <c r="AY917" i="1" a="1"/>
  <c r="AY917" i="1" s="1"/>
  <c r="AZ917" i="1" a="1"/>
  <c r="AZ917" i="1" s="1"/>
  <c r="BA917" i="1" a="1"/>
  <c r="BA917" i="1" s="1"/>
  <c r="BB917" i="1" a="1"/>
  <c r="BB917" i="1" s="1"/>
  <c r="AL918" i="1" a="1"/>
  <c r="AL918" i="1" s="1"/>
  <c r="AM918" i="1" a="1"/>
  <c r="AM918" i="1" s="1"/>
  <c r="AN918" i="1" a="1"/>
  <c r="AN918" i="1" s="1"/>
  <c r="AO918" i="1" a="1"/>
  <c r="AO918" i="1" s="1"/>
  <c r="AP918" i="1" a="1"/>
  <c r="AP918" i="1" s="1"/>
  <c r="AQ918" i="1" a="1"/>
  <c r="AQ918" i="1" s="1"/>
  <c r="AR918" i="1" a="1"/>
  <c r="AR918" i="1" s="1"/>
  <c r="AS918" i="1" a="1"/>
  <c r="AS918" i="1" s="1"/>
  <c r="AT918" i="1" a="1"/>
  <c r="AT918" i="1" s="1"/>
  <c r="AU918" i="1" a="1"/>
  <c r="AU918" i="1" s="1"/>
  <c r="AV918" i="1" a="1"/>
  <c r="AV918" i="1" s="1"/>
  <c r="AW918" i="1" a="1"/>
  <c r="AW918" i="1" s="1"/>
  <c r="AX918" i="1" a="1"/>
  <c r="AX918" i="1" s="1"/>
  <c r="AY918" i="1" a="1"/>
  <c r="AY918" i="1" s="1"/>
  <c r="AZ918" i="1" a="1"/>
  <c r="AZ918" i="1" s="1"/>
  <c r="BA918" i="1" a="1"/>
  <c r="BA918" i="1" s="1"/>
  <c r="BB918" i="1" a="1"/>
  <c r="BB918" i="1" s="1"/>
  <c r="AL919" i="1" a="1"/>
  <c r="AL919" i="1" s="1"/>
  <c r="AM919" i="1" a="1"/>
  <c r="AM919" i="1" s="1"/>
  <c r="AN919" i="1" a="1"/>
  <c r="AN919" i="1" s="1"/>
  <c r="AO919" i="1" a="1"/>
  <c r="AO919" i="1" s="1"/>
  <c r="AP919" i="1" a="1"/>
  <c r="AP919" i="1" s="1"/>
  <c r="AQ919" i="1" a="1"/>
  <c r="AQ919" i="1" s="1"/>
  <c r="AR919" i="1" a="1"/>
  <c r="AR919" i="1" s="1"/>
  <c r="AS919" i="1" a="1"/>
  <c r="AS919" i="1" s="1"/>
  <c r="AT919" i="1" a="1"/>
  <c r="AT919" i="1" s="1"/>
  <c r="AU919" i="1" a="1"/>
  <c r="AU919" i="1" s="1"/>
  <c r="AV919" i="1" a="1"/>
  <c r="AV919" i="1" s="1"/>
  <c r="AW919" i="1" a="1"/>
  <c r="AW919" i="1" s="1"/>
  <c r="AX919" i="1" a="1"/>
  <c r="AX919" i="1" s="1"/>
  <c r="AY919" i="1" a="1"/>
  <c r="AY919" i="1" s="1"/>
  <c r="AZ919" i="1" a="1"/>
  <c r="AZ919" i="1" s="1"/>
  <c r="BA919" i="1" a="1"/>
  <c r="BA919" i="1" s="1"/>
  <c r="BB919" i="1" a="1"/>
  <c r="BB919" i="1" s="1"/>
  <c r="AL920" i="1" a="1"/>
  <c r="AL920" i="1" s="1"/>
  <c r="AM920" i="1" a="1"/>
  <c r="AM920" i="1" s="1"/>
  <c r="AN920" i="1" a="1"/>
  <c r="AN920" i="1" s="1"/>
  <c r="AO920" i="1" a="1"/>
  <c r="AO920" i="1" s="1"/>
  <c r="AP920" i="1" a="1"/>
  <c r="AP920" i="1" s="1"/>
  <c r="AQ920" i="1" a="1"/>
  <c r="AQ920" i="1" s="1"/>
  <c r="AR920" i="1" a="1"/>
  <c r="AR920" i="1" s="1"/>
  <c r="AS920" i="1" a="1"/>
  <c r="AS920" i="1" s="1"/>
  <c r="AT920" i="1" a="1"/>
  <c r="AT920" i="1" s="1"/>
  <c r="AU920" i="1" a="1"/>
  <c r="AU920" i="1" s="1"/>
  <c r="AV920" i="1" a="1"/>
  <c r="AV920" i="1" s="1"/>
  <c r="AW920" i="1" a="1"/>
  <c r="AW920" i="1" s="1"/>
  <c r="AX920" i="1" a="1"/>
  <c r="AX920" i="1" s="1"/>
  <c r="AY920" i="1" a="1"/>
  <c r="AY920" i="1" s="1"/>
  <c r="AZ920" i="1" a="1"/>
  <c r="AZ920" i="1" s="1"/>
  <c r="BA920" i="1" a="1"/>
  <c r="BA920" i="1" s="1"/>
  <c r="BB920" i="1" a="1"/>
  <c r="BB920" i="1" s="1"/>
  <c r="AL921" i="1" a="1"/>
  <c r="AL921" i="1" s="1"/>
  <c r="AM921" i="1" a="1"/>
  <c r="AM921" i="1" s="1"/>
  <c r="AN921" i="1" a="1"/>
  <c r="AN921" i="1" s="1"/>
  <c r="AO921" i="1" a="1"/>
  <c r="AO921" i="1" s="1"/>
  <c r="AP921" i="1" a="1"/>
  <c r="AP921" i="1" s="1"/>
  <c r="AQ921" i="1" a="1"/>
  <c r="AQ921" i="1" s="1"/>
  <c r="AR921" i="1" a="1"/>
  <c r="AR921" i="1" s="1"/>
  <c r="AS921" i="1" a="1"/>
  <c r="AS921" i="1" s="1"/>
  <c r="AT921" i="1" a="1"/>
  <c r="AT921" i="1" s="1"/>
  <c r="AU921" i="1" a="1"/>
  <c r="AU921" i="1" s="1"/>
  <c r="AV921" i="1" a="1"/>
  <c r="AV921" i="1" s="1"/>
  <c r="AW921" i="1" a="1"/>
  <c r="AW921" i="1" s="1"/>
  <c r="AX921" i="1" a="1"/>
  <c r="AX921" i="1" s="1"/>
  <c r="AY921" i="1" a="1"/>
  <c r="AY921" i="1" s="1"/>
  <c r="AZ921" i="1" a="1"/>
  <c r="AZ921" i="1" s="1"/>
  <c r="BA921" i="1" a="1"/>
  <c r="BA921" i="1" s="1"/>
  <c r="BB921" i="1" a="1"/>
  <c r="BB921" i="1" s="1"/>
  <c r="AL922" i="1" a="1"/>
  <c r="AL922" i="1" s="1"/>
  <c r="AM922" i="1" a="1"/>
  <c r="AM922" i="1" s="1"/>
  <c r="AN922" i="1" a="1"/>
  <c r="AN922" i="1" s="1"/>
  <c r="AO922" i="1" a="1"/>
  <c r="AO922" i="1" s="1"/>
  <c r="AP922" i="1" a="1"/>
  <c r="AP922" i="1" s="1"/>
  <c r="AQ922" i="1" a="1"/>
  <c r="AQ922" i="1" s="1"/>
  <c r="AR922" i="1" a="1"/>
  <c r="AR922" i="1" s="1"/>
  <c r="AS922" i="1" a="1"/>
  <c r="AS922" i="1" s="1"/>
  <c r="AT922" i="1" a="1"/>
  <c r="AT922" i="1" s="1"/>
  <c r="AU922" i="1" a="1"/>
  <c r="AU922" i="1" s="1"/>
  <c r="AV922" i="1" a="1"/>
  <c r="AV922" i="1" s="1"/>
  <c r="AW922" i="1" a="1"/>
  <c r="AW922" i="1" s="1"/>
  <c r="AX922" i="1" a="1"/>
  <c r="AX922" i="1" s="1"/>
  <c r="AY922" i="1" a="1"/>
  <c r="AY922" i="1" s="1"/>
  <c r="AZ922" i="1" a="1"/>
  <c r="AZ922" i="1" s="1"/>
  <c r="BA922" i="1" a="1"/>
  <c r="BA922" i="1" s="1"/>
  <c r="BB922" i="1" a="1"/>
  <c r="BB922" i="1" s="1"/>
  <c r="AL923" i="1" a="1"/>
  <c r="AL923" i="1" s="1"/>
  <c r="AM923" i="1" a="1"/>
  <c r="AM923" i="1" s="1"/>
  <c r="AN923" i="1" a="1"/>
  <c r="AN923" i="1" s="1"/>
  <c r="AO923" i="1" a="1"/>
  <c r="AO923" i="1" s="1"/>
  <c r="AP923" i="1" a="1"/>
  <c r="AP923" i="1" s="1"/>
  <c r="AQ923" i="1" a="1"/>
  <c r="AQ923" i="1" s="1"/>
  <c r="AR923" i="1" a="1"/>
  <c r="AR923" i="1" s="1"/>
  <c r="AS923" i="1" a="1"/>
  <c r="AS923" i="1" s="1"/>
  <c r="AT923" i="1" a="1"/>
  <c r="AT923" i="1" s="1"/>
  <c r="AU923" i="1" a="1"/>
  <c r="AU923" i="1" s="1"/>
  <c r="AV923" i="1" a="1"/>
  <c r="AV923" i="1" s="1"/>
  <c r="AW923" i="1" a="1"/>
  <c r="AW923" i="1" s="1"/>
  <c r="AX923" i="1" a="1"/>
  <c r="AX923" i="1" s="1"/>
  <c r="AY923" i="1" a="1"/>
  <c r="AY923" i="1" s="1"/>
  <c r="AZ923" i="1" a="1"/>
  <c r="AZ923" i="1" s="1"/>
  <c r="BA923" i="1" a="1"/>
  <c r="BA923" i="1" s="1"/>
  <c r="BB923" i="1" a="1"/>
  <c r="BB923" i="1" s="1"/>
  <c r="AL924" i="1" a="1"/>
  <c r="AL924" i="1" s="1"/>
  <c r="AM924" i="1" a="1"/>
  <c r="AM924" i="1" s="1"/>
  <c r="AN924" i="1" a="1"/>
  <c r="AN924" i="1" s="1"/>
  <c r="AO924" i="1" a="1"/>
  <c r="AO924" i="1" s="1"/>
  <c r="AP924" i="1" a="1"/>
  <c r="AP924" i="1" s="1"/>
  <c r="AQ924" i="1" a="1"/>
  <c r="AQ924" i="1" s="1"/>
  <c r="AR924" i="1" a="1"/>
  <c r="AR924" i="1" s="1"/>
  <c r="AS924" i="1" a="1"/>
  <c r="AS924" i="1" s="1"/>
  <c r="AT924" i="1" a="1"/>
  <c r="AT924" i="1" s="1"/>
  <c r="AU924" i="1" a="1"/>
  <c r="AU924" i="1" s="1"/>
  <c r="AV924" i="1" a="1"/>
  <c r="AV924" i="1" s="1"/>
  <c r="AW924" i="1" a="1"/>
  <c r="AW924" i="1" s="1"/>
  <c r="AX924" i="1" a="1"/>
  <c r="AX924" i="1" s="1"/>
  <c r="AY924" i="1" a="1"/>
  <c r="AY924" i="1" s="1"/>
  <c r="AZ924" i="1" a="1"/>
  <c r="AZ924" i="1" s="1"/>
  <c r="BA924" i="1" a="1"/>
  <c r="BA924" i="1" s="1"/>
  <c r="BB924" i="1" a="1"/>
  <c r="BB924" i="1" s="1"/>
  <c r="AL925" i="1" a="1"/>
  <c r="AL925" i="1" s="1"/>
  <c r="AM925" i="1" a="1"/>
  <c r="AM925" i="1" s="1"/>
  <c r="AN925" i="1" a="1"/>
  <c r="AN925" i="1" s="1"/>
  <c r="AO925" i="1" a="1"/>
  <c r="AO925" i="1" s="1"/>
  <c r="AP925" i="1" a="1"/>
  <c r="AP925" i="1" s="1"/>
  <c r="AQ925" i="1" a="1"/>
  <c r="AQ925" i="1" s="1"/>
  <c r="AR925" i="1" a="1"/>
  <c r="AR925" i="1" s="1"/>
  <c r="AS925" i="1" a="1"/>
  <c r="AS925" i="1" s="1"/>
  <c r="AT925" i="1" a="1"/>
  <c r="AT925" i="1" s="1"/>
  <c r="AU925" i="1" a="1"/>
  <c r="AU925" i="1" s="1"/>
  <c r="AV925" i="1" a="1"/>
  <c r="AV925" i="1" s="1"/>
  <c r="AW925" i="1" a="1"/>
  <c r="AW925" i="1" s="1"/>
  <c r="AX925" i="1" a="1"/>
  <c r="AX925" i="1" s="1"/>
  <c r="AY925" i="1" a="1"/>
  <c r="AY925" i="1" s="1"/>
  <c r="AZ925" i="1" a="1"/>
  <c r="AZ925" i="1" s="1"/>
  <c r="BA925" i="1" a="1"/>
  <c r="BA925" i="1" s="1"/>
  <c r="BB925" i="1" a="1"/>
  <c r="BB925" i="1" s="1"/>
  <c r="AL926" i="1" a="1"/>
  <c r="AL926" i="1" s="1"/>
  <c r="AM926" i="1" a="1"/>
  <c r="AM926" i="1" s="1"/>
  <c r="AN926" i="1" a="1"/>
  <c r="AN926" i="1" s="1"/>
  <c r="AO926" i="1" a="1"/>
  <c r="AO926" i="1" s="1"/>
  <c r="AP926" i="1" a="1"/>
  <c r="AP926" i="1" s="1"/>
  <c r="AQ926" i="1" a="1"/>
  <c r="AQ926" i="1" s="1"/>
  <c r="AR926" i="1" a="1"/>
  <c r="AR926" i="1" s="1"/>
  <c r="AS926" i="1" a="1"/>
  <c r="AS926" i="1" s="1"/>
  <c r="AT926" i="1" a="1"/>
  <c r="AT926" i="1" s="1"/>
  <c r="AU926" i="1" a="1"/>
  <c r="AU926" i="1" s="1"/>
  <c r="AV926" i="1" a="1"/>
  <c r="AV926" i="1" s="1"/>
  <c r="AW926" i="1" a="1"/>
  <c r="AW926" i="1" s="1"/>
  <c r="AX926" i="1" a="1"/>
  <c r="AX926" i="1" s="1"/>
  <c r="AY926" i="1" a="1"/>
  <c r="AY926" i="1" s="1"/>
  <c r="AZ926" i="1" a="1"/>
  <c r="AZ926" i="1" s="1"/>
  <c r="BA926" i="1" a="1"/>
  <c r="BA926" i="1" s="1"/>
  <c r="BB926" i="1" a="1"/>
  <c r="BB926" i="1" s="1"/>
  <c r="AL782" i="1" a="1"/>
  <c r="AL782" i="1" s="1"/>
  <c r="AM782" i="1" a="1"/>
  <c r="AM782" i="1" s="1"/>
  <c r="AN782" i="1" a="1"/>
  <c r="AN782" i="1" s="1"/>
  <c r="AO782" i="1" a="1"/>
  <c r="AO782" i="1" s="1"/>
  <c r="AP782" i="1" a="1"/>
  <c r="AP782" i="1" s="1"/>
  <c r="AQ782" i="1" a="1"/>
  <c r="AQ782" i="1" s="1"/>
  <c r="AR782" i="1" a="1"/>
  <c r="AR782" i="1" s="1"/>
  <c r="AS782" i="1" a="1"/>
  <c r="AS782" i="1" s="1"/>
  <c r="AT782" i="1" a="1"/>
  <c r="AT782" i="1" s="1"/>
  <c r="AU782" i="1" a="1"/>
  <c r="AU782" i="1" s="1"/>
  <c r="AV782" i="1" a="1"/>
  <c r="AV782" i="1" s="1"/>
  <c r="AW782" i="1" a="1"/>
  <c r="AW782" i="1" s="1"/>
  <c r="AX782" i="1" a="1"/>
  <c r="AX782" i="1" s="1"/>
  <c r="AY782" i="1" a="1"/>
  <c r="AY782" i="1" s="1"/>
  <c r="AZ782" i="1" a="1"/>
  <c r="AZ782" i="1" s="1"/>
  <c r="BA782" i="1" a="1"/>
  <c r="BA782" i="1" s="1"/>
  <c r="BB782" i="1" a="1"/>
  <c r="BB782" i="1" s="1"/>
  <c r="AL927" i="1" a="1"/>
  <c r="AL927" i="1" s="1"/>
  <c r="AM927" i="1" a="1"/>
  <c r="AM927" i="1" s="1"/>
  <c r="AN927" i="1" a="1"/>
  <c r="AN927" i="1" s="1"/>
  <c r="AO927" i="1" a="1"/>
  <c r="AO927" i="1" s="1"/>
  <c r="AP927" i="1" a="1"/>
  <c r="AP927" i="1" s="1"/>
  <c r="AQ927" i="1" a="1"/>
  <c r="AQ927" i="1" s="1"/>
  <c r="AR927" i="1" a="1"/>
  <c r="AR927" i="1" s="1"/>
  <c r="AS927" i="1" a="1"/>
  <c r="AS927" i="1" s="1"/>
  <c r="AT927" i="1" a="1"/>
  <c r="AT927" i="1" s="1"/>
  <c r="AU927" i="1" a="1"/>
  <c r="AU927" i="1" s="1"/>
  <c r="AV927" i="1" a="1"/>
  <c r="AV927" i="1" s="1"/>
  <c r="AW927" i="1" a="1"/>
  <c r="AW927" i="1" s="1"/>
  <c r="AX927" i="1" a="1"/>
  <c r="AX927" i="1" s="1"/>
  <c r="AY927" i="1" a="1"/>
  <c r="AY927" i="1" s="1"/>
  <c r="AZ927" i="1" a="1"/>
  <c r="AZ927" i="1" s="1"/>
  <c r="BA927" i="1" a="1"/>
  <c r="BA927" i="1" s="1"/>
  <c r="BB927" i="1" a="1"/>
  <c r="BB927" i="1" s="1"/>
  <c r="AL928" i="1" a="1"/>
  <c r="AL928" i="1" s="1"/>
  <c r="AM928" i="1" a="1"/>
  <c r="AM928" i="1" s="1"/>
  <c r="AN928" i="1" a="1"/>
  <c r="AN928" i="1" s="1"/>
  <c r="AO928" i="1" a="1"/>
  <c r="AO928" i="1" s="1"/>
  <c r="AP928" i="1" a="1"/>
  <c r="AP928" i="1" s="1"/>
  <c r="AQ928" i="1" a="1"/>
  <c r="AQ928" i="1" s="1"/>
  <c r="AR928" i="1" a="1"/>
  <c r="AR928" i="1" s="1"/>
  <c r="AS928" i="1" a="1"/>
  <c r="AS928" i="1" s="1"/>
  <c r="AT928" i="1" a="1"/>
  <c r="AT928" i="1" s="1"/>
  <c r="AU928" i="1" a="1"/>
  <c r="AU928" i="1" s="1"/>
  <c r="AV928" i="1" a="1"/>
  <c r="AV928" i="1" s="1"/>
  <c r="AW928" i="1" a="1"/>
  <c r="AW928" i="1" s="1"/>
  <c r="AX928" i="1" a="1"/>
  <c r="AX928" i="1" s="1"/>
  <c r="AY928" i="1" a="1"/>
  <c r="AY928" i="1" s="1"/>
  <c r="AZ928" i="1" a="1"/>
  <c r="AZ928" i="1" s="1"/>
  <c r="BA928" i="1" a="1"/>
  <c r="BA928" i="1" s="1"/>
  <c r="BB928" i="1" a="1"/>
  <c r="BB928" i="1" s="1"/>
  <c r="AL929" i="1" a="1"/>
  <c r="AL929" i="1" s="1"/>
  <c r="AM929" i="1" a="1"/>
  <c r="AM929" i="1" s="1"/>
  <c r="AN929" i="1" a="1"/>
  <c r="AN929" i="1" s="1"/>
  <c r="AO929" i="1" a="1"/>
  <c r="AO929" i="1" s="1"/>
  <c r="AP929" i="1" a="1"/>
  <c r="AP929" i="1" s="1"/>
  <c r="AQ929" i="1" a="1"/>
  <c r="AQ929" i="1" s="1"/>
  <c r="AR929" i="1" a="1"/>
  <c r="AR929" i="1" s="1"/>
  <c r="AS929" i="1" a="1"/>
  <c r="AS929" i="1" s="1"/>
  <c r="AT929" i="1" a="1"/>
  <c r="AT929" i="1" s="1"/>
  <c r="AU929" i="1" a="1"/>
  <c r="AU929" i="1" s="1"/>
  <c r="AV929" i="1" a="1"/>
  <c r="AV929" i="1" s="1"/>
  <c r="AW929" i="1" a="1"/>
  <c r="AW929" i="1" s="1"/>
  <c r="AX929" i="1" a="1"/>
  <c r="AX929" i="1" s="1"/>
  <c r="AY929" i="1" a="1"/>
  <c r="AY929" i="1" s="1"/>
  <c r="AZ929" i="1" a="1"/>
  <c r="AZ929" i="1" s="1"/>
  <c r="BA929" i="1" a="1"/>
  <c r="BA929" i="1" s="1"/>
  <c r="BB929" i="1" a="1"/>
  <c r="BB929" i="1" s="1"/>
  <c r="AL930" i="1" a="1"/>
  <c r="AL930" i="1" s="1"/>
  <c r="AM930" i="1" a="1"/>
  <c r="AM930" i="1" s="1"/>
  <c r="AN930" i="1" a="1"/>
  <c r="AN930" i="1" s="1"/>
  <c r="AO930" i="1" a="1"/>
  <c r="AO930" i="1" s="1"/>
  <c r="AP930" i="1" a="1"/>
  <c r="AP930" i="1" s="1"/>
  <c r="AQ930" i="1" a="1"/>
  <c r="AQ930" i="1" s="1"/>
  <c r="AR930" i="1" a="1"/>
  <c r="AR930" i="1" s="1"/>
  <c r="AS930" i="1" a="1"/>
  <c r="AS930" i="1" s="1"/>
  <c r="AT930" i="1" a="1"/>
  <c r="AT930" i="1" s="1"/>
  <c r="AU930" i="1" a="1"/>
  <c r="AU930" i="1" s="1"/>
  <c r="AV930" i="1" a="1"/>
  <c r="AV930" i="1" s="1"/>
  <c r="AW930" i="1" a="1"/>
  <c r="AW930" i="1" s="1"/>
  <c r="AX930" i="1" a="1"/>
  <c r="AX930" i="1" s="1"/>
  <c r="AY930" i="1" a="1"/>
  <c r="AY930" i="1" s="1"/>
  <c r="AZ930" i="1" a="1"/>
  <c r="AZ930" i="1" s="1"/>
  <c r="BA930" i="1" a="1"/>
  <c r="BA930" i="1" s="1"/>
  <c r="BB930" i="1" a="1"/>
  <c r="BB930" i="1" s="1"/>
  <c r="AL931" i="1" a="1"/>
  <c r="AL931" i="1" s="1"/>
  <c r="AM931" i="1" a="1"/>
  <c r="AM931" i="1" s="1"/>
  <c r="AN931" i="1" a="1"/>
  <c r="AN931" i="1" s="1"/>
  <c r="AO931" i="1" a="1"/>
  <c r="AO931" i="1" s="1"/>
  <c r="AP931" i="1" a="1"/>
  <c r="AP931" i="1" s="1"/>
  <c r="AQ931" i="1" a="1"/>
  <c r="AQ931" i="1" s="1"/>
  <c r="AR931" i="1" a="1"/>
  <c r="AR931" i="1" s="1"/>
  <c r="AS931" i="1" a="1"/>
  <c r="AS931" i="1" s="1"/>
  <c r="AT931" i="1" a="1"/>
  <c r="AT931" i="1" s="1"/>
  <c r="AU931" i="1" a="1"/>
  <c r="AU931" i="1" s="1"/>
  <c r="AV931" i="1" a="1"/>
  <c r="AV931" i="1" s="1"/>
  <c r="AW931" i="1" a="1"/>
  <c r="AW931" i="1" s="1"/>
  <c r="AX931" i="1" a="1"/>
  <c r="AX931" i="1" s="1"/>
  <c r="AY931" i="1" a="1"/>
  <c r="AY931" i="1" s="1"/>
  <c r="AZ931" i="1" a="1"/>
  <c r="AZ931" i="1" s="1"/>
  <c r="BA931" i="1" a="1"/>
  <c r="BA931" i="1" s="1"/>
  <c r="BB931" i="1" a="1"/>
  <c r="BB931" i="1" s="1"/>
  <c r="AL932" i="1" a="1"/>
  <c r="AL932" i="1" s="1"/>
  <c r="AM932" i="1" a="1"/>
  <c r="AM932" i="1" s="1"/>
  <c r="AN932" i="1" a="1"/>
  <c r="AN932" i="1" s="1"/>
  <c r="AO932" i="1" a="1"/>
  <c r="AO932" i="1" s="1"/>
  <c r="AP932" i="1" a="1"/>
  <c r="AP932" i="1" s="1"/>
  <c r="AQ932" i="1" a="1"/>
  <c r="AQ932" i="1" s="1"/>
  <c r="AR932" i="1" a="1"/>
  <c r="AR932" i="1" s="1"/>
  <c r="AS932" i="1" a="1"/>
  <c r="AS932" i="1" s="1"/>
  <c r="AT932" i="1" a="1"/>
  <c r="AT932" i="1" s="1"/>
  <c r="AU932" i="1" a="1"/>
  <c r="AU932" i="1" s="1"/>
  <c r="AV932" i="1" a="1"/>
  <c r="AV932" i="1" s="1"/>
  <c r="AW932" i="1" a="1"/>
  <c r="AW932" i="1" s="1"/>
  <c r="AX932" i="1" a="1"/>
  <c r="AX932" i="1" s="1"/>
  <c r="AY932" i="1" a="1"/>
  <c r="AY932" i="1" s="1"/>
  <c r="AZ932" i="1" a="1"/>
  <c r="AZ932" i="1" s="1"/>
  <c r="BA932" i="1" a="1"/>
  <c r="BA932" i="1" s="1"/>
  <c r="BB932" i="1" a="1"/>
  <c r="BB932" i="1" s="1"/>
  <c r="AL933" i="1" a="1"/>
  <c r="AL933" i="1" s="1"/>
  <c r="AM933" i="1" a="1"/>
  <c r="AM933" i="1" s="1"/>
  <c r="AN933" i="1" a="1"/>
  <c r="AN933" i="1" s="1"/>
  <c r="AO933" i="1" a="1"/>
  <c r="AO933" i="1" s="1"/>
  <c r="AP933" i="1" a="1"/>
  <c r="AP933" i="1" s="1"/>
  <c r="AQ933" i="1" a="1"/>
  <c r="AQ933" i="1" s="1"/>
  <c r="AR933" i="1" a="1"/>
  <c r="AR933" i="1" s="1"/>
  <c r="AS933" i="1" a="1"/>
  <c r="AS933" i="1" s="1"/>
  <c r="AT933" i="1" a="1"/>
  <c r="AT933" i="1" s="1"/>
  <c r="AU933" i="1" a="1"/>
  <c r="AU933" i="1" s="1"/>
  <c r="AV933" i="1" a="1"/>
  <c r="AV933" i="1" s="1"/>
  <c r="AW933" i="1" a="1"/>
  <c r="AW933" i="1" s="1"/>
  <c r="AX933" i="1" a="1"/>
  <c r="AX933" i="1" s="1"/>
  <c r="AY933" i="1" a="1"/>
  <c r="AY933" i="1" s="1"/>
  <c r="AZ933" i="1" a="1"/>
  <c r="AZ933" i="1" s="1"/>
  <c r="BA933" i="1" a="1"/>
  <c r="BA933" i="1" s="1"/>
  <c r="BB933" i="1" a="1"/>
  <c r="BB933" i="1" s="1"/>
  <c r="AL934" i="1" a="1"/>
  <c r="AL934" i="1" s="1"/>
  <c r="AM934" i="1" a="1"/>
  <c r="AM934" i="1" s="1"/>
  <c r="AN934" i="1" a="1"/>
  <c r="AN934" i="1" s="1"/>
  <c r="AO934" i="1" a="1"/>
  <c r="AO934" i="1" s="1"/>
  <c r="AP934" i="1" a="1"/>
  <c r="AP934" i="1" s="1"/>
  <c r="AQ934" i="1" a="1"/>
  <c r="AQ934" i="1" s="1"/>
  <c r="AR934" i="1" a="1"/>
  <c r="AR934" i="1" s="1"/>
  <c r="AS934" i="1" a="1"/>
  <c r="AS934" i="1" s="1"/>
  <c r="AT934" i="1" a="1"/>
  <c r="AT934" i="1" s="1"/>
  <c r="AU934" i="1" a="1"/>
  <c r="AU934" i="1" s="1"/>
  <c r="AV934" i="1" a="1"/>
  <c r="AV934" i="1" s="1"/>
  <c r="AW934" i="1" a="1"/>
  <c r="AW934" i="1" s="1"/>
  <c r="AX934" i="1" a="1"/>
  <c r="AX934" i="1" s="1"/>
  <c r="AY934" i="1" a="1"/>
  <c r="AY934" i="1" s="1"/>
  <c r="AZ934" i="1" a="1"/>
  <c r="AZ934" i="1" s="1"/>
  <c r="BA934" i="1" a="1"/>
  <c r="BA934" i="1" s="1"/>
  <c r="BB934" i="1" a="1"/>
  <c r="BB934" i="1" s="1"/>
  <c r="AL935" i="1" a="1"/>
  <c r="AL935" i="1" s="1"/>
  <c r="AM935" i="1" a="1"/>
  <c r="AM935" i="1" s="1"/>
  <c r="AN935" i="1" a="1"/>
  <c r="AN935" i="1" s="1"/>
  <c r="AO935" i="1" a="1"/>
  <c r="AO935" i="1" s="1"/>
  <c r="AP935" i="1" a="1"/>
  <c r="AP935" i="1" s="1"/>
  <c r="AQ935" i="1" a="1"/>
  <c r="AQ935" i="1" s="1"/>
  <c r="AR935" i="1" a="1"/>
  <c r="AR935" i="1" s="1"/>
  <c r="AS935" i="1" a="1"/>
  <c r="AS935" i="1" s="1"/>
  <c r="AT935" i="1" a="1"/>
  <c r="AT935" i="1" s="1"/>
  <c r="AU935" i="1" a="1"/>
  <c r="AU935" i="1" s="1"/>
  <c r="AV935" i="1" a="1"/>
  <c r="AV935" i="1" s="1"/>
  <c r="AW935" i="1" a="1"/>
  <c r="AW935" i="1" s="1"/>
  <c r="AX935" i="1" a="1"/>
  <c r="AX935" i="1" s="1"/>
  <c r="AY935" i="1" a="1"/>
  <c r="AY935" i="1" s="1"/>
  <c r="AZ935" i="1" a="1"/>
  <c r="AZ935" i="1" s="1"/>
  <c r="BA935" i="1" a="1"/>
  <c r="BA935" i="1" s="1"/>
  <c r="BB935" i="1" a="1"/>
  <c r="BB935" i="1" s="1"/>
  <c r="AL936" i="1" a="1"/>
  <c r="AL936" i="1" s="1"/>
  <c r="AM936" i="1" a="1"/>
  <c r="AM936" i="1" s="1"/>
  <c r="AN936" i="1" a="1"/>
  <c r="AN936" i="1" s="1"/>
  <c r="AO936" i="1" a="1"/>
  <c r="AO936" i="1" s="1"/>
  <c r="AP936" i="1" a="1"/>
  <c r="AP936" i="1" s="1"/>
  <c r="AQ936" i="1" a="1"/>
  <c r="AQ936" i="1" s="1"/>
  <c r="AR936" i="1" a="1"/>
  <c r="AR936" i="1" s="1"/>
  <c r="AS936" i="1" a="1"/>
  <c r="AS936" i="1" s="1"/>
  <c r="AT936" i="1" a="1"/>
  <c r="AT936" i="1" s="1"/>
  <c r="AU936" i="1" a="1"/>
  <c r="AU936" i="1" s="1"/>
  <c r="AV936" i="1" a="1"/>
  <c r="AV936" i="1" s="1"/>
  <c r="AW936" i="1" a="1"/>
  <c r="AW936" i="1" s="1"/>
  <c r="AX936" i="1" a="1"/>
  <c r="AX936" i="1" s="1"/>
  <c r="AY936" i="1" a="1"/>
  <c r="AY936" i="1" s="1"/>
  <c r="AZ936" i="1" a="1"/>
  <c r="AZ936" i="1" s="1"/>
  <c r="BA936" i="1" a="1"/>
  <c r="BA936" i="1" s="1"/>
  <c r="BB936" i="1" a="1"/>
  <c r="BB936" i="1" s="1"/>
  <c r="AL937" i="1" a="1"/>
  <c r="AL937" i="1" s="1"/>
  <c r="AM937" i="1" a="1"/>
  <c r="AM937" i="1" s="1"/>
  <c r="AN937" i="1" a="1"/>
  <c r="AN937" i="1" s="1"/>
  <c r="AO937" i="1" a="1"/>
  <c r="AO937" i="1" s="1"/>
  <c r="AP937" i="1" a="1"/>
  <c r="AP937" i="1" s="1"/>
  <c r="AQ937" i="1" a="1"/>
  <c r="AQ937" i="1" s="1"/>
  <c r="AR937" i="1" a="1"/>
  <c r="AR937" i="1" s="1"/>
  <c r="AS937" i="1" a="1"/>
  <c r="AS937" i="1" s="1"/>
  <c r="AT937" i="1" a="1"/>
  <c r="AT937" i="1" s="1"/>
  <c r="AU937" i="1" a="1"/>
  <c r="AU937" i="1" s="1"/>
  <c r="AV937" i="1" a="1"/>
  <c r="AV937" i="1" s="1"/>
  <c r="AW937" i="1" a="1"/>
  <c r="AW937" i="1" s="1"/>
  <c r="AX937" i="1" a="1"/>
  <c r="AX937" i="1" s="1"/>
  <c r="AY937" i="1" a="1"/>
  <c r="AY937" i="1" s="1"/>
  <c r="AZ937" i="1" a="1"/>
  <c r="AZ937" i="1" s="1"/>
  <c r="BA937" i="1" a="1"/>
  <c r="BA937" i="1" s="1"/>
  <c r="BB937" i="1" a="1"/>
  <c r="BB937" i="1" s="1"/>
  <c r="AL938" i="1" a="1"/>
  <c r="AL938" i="1" s="1"/>
  <c r="AM938" i="1" a="1"/>
  <c r="AM938" i="1" s="1"/>
  <c r="AN938" i="1" a="1"/>
  <c r="AN938" i="1" s="1"/>
  <c r="AO938" i="1" a="1"/>
  <c r="AO938" i="1" s="1"/>
  <c r="AP938" i="1" a="1"/>
  <c r="AP938" i="1" s="1"/>
  <c r="AQ938" i="1" a="1"/>
  <c r="AQ938" i="1" s="1"/>
  <c r="AR938" i="1" a="1"/>
  <c r="AR938" i="1" s="1"/>
  <c r="AS938" i="1" a="1"/>
  <c r="AS938" i="1" s="1"/>
  <c r="AT938" i="1" a="1"/>
  <c r="AT938" i="1" s="1"/>
  <c r="AU938" i="1" a="1"/>
  <c r="AU938" i="1" s="1"/>
  <c r="AV938" i="1" a="1"/>
  <c r="AV938" i="1" s="1"/>
  <c r="AW938" i="1" a="1"/>
  <c r="AW938" i="1" s="1"/>
  <c r="AX938" i="1" a="1"/>
  <c r="AX938" i="1" s="1"/>
  <c r="AY938" i="1" a="1"/>
  <c r="AY938" i="1" s="1"/>
  <c r="AZ938" i="1" a="1"/>
  <c r="AZ938" i="1" s="1"/>
  <c r="BA938" i="1" a="1"/>
  <c r="BA938" i="1" s="1"/>
  <c r="BB938" i="1" a="1"/>
  <c r="BB938" i="1" s="1"/>
  <c r="AL939" i="1" a="1"/>
  <c r="AL939" i="1" s="1"/>
  <c r="AM939" i="1" a="1"/>
  <c r="AM939" i="1" s="1"/>
  <c r="AN939" i="1" a="1"/>
  <c r="AN939" i="1" s="1"/>
  <c r="AO939" i="1" a="1"/>
  <c r="AO939" i="1" s="1"/>
  <c r="AP939" i="1" a="1"/>
  <c r="AP939" i="1" s="1"/>
  <c r="AQ939" i="1" a="1"/>
  <c r="AQ939" i="1" s="1"/>
  <c r="AR939" i="1" a="1"/>
  <c r="AR939" i="1" s="1"/>
  <c r="AS939" i="1" a="1"/>
  <c r="AS939" i="1" s="1"/>
  <c r="AT939" i="1" a="1"/>
  <c r="AT939" i="1" s="1"/>
  <c r="AU939" i="1" a="1"/>
  <c r="AU939" i="1" s="1"/>
  <c r="AV939" i="1" a="1"/>
  <c r="AV939" i="1" s="1"/>
  <c r="AW939" i="1" a="1"/>
  <c r="AW939" i="1" s="1"/>
  <c r="AX939" i="1" a="1"/>
  <c r="AX939" i="1" s="1"/>
  <c r="AY939" i="1" a="1"/>
  <c r="AY939" i="1" s="1"/>
  <c r="AZ939" i="1" a="1"/>
  <c r="AZ939" i="1" s="1"/>
  <c r="BA939" i="1" a="1"/>
  <c r="BA939" i="1" s="1"/>
  <c r="BB939" i="1" a="1"/>
  <c r="BB939" i="1" s="1"/>
  <c r="AL940" i="1" a="1"/>
  <c r="AL940" i="1" s="1"/>
  <c r="AM940" i="1" a="1"/>
  <c r="AM940" i="1" s="1"/>
  <c r="AN940" i="1" a="1"/>
  <c r="AN940" i="1" s="1"/>
  <c r="AO940" i="1" a="1"/>
  <c r="AO940" i="1" s="1"/>
  <c r="AP940" i="1" a="1"/>
  <c r="AP940" i="1" s="1"/>
  <c r="AQ940" i="1" a="1"/>
  <c r="AQ940" i="1" s="1"/>
  <c r="AR940" i="1" a="1"/>
  <c r="AR940" i="1" s="1"/>
  <c r="AS940" i="1" a="1"/>
  <c r="AS940" i="1" s="1"/>
  <c r="AT940" i="1" a="1"/>
  <c r="AT940" i="1" s="1"/>
  <c r="AU940" i="1" a="1"/>
  <c r="AU940" i="1" s="1"/>
  <c r="AV940" i="1" a="1"/>
  <c r="AV940" i="1" s="1"/>
  <c r="AW940" i="1" a="1"/>
  <c r="AW940" i="1" s="1"/>
  <c r="AX940" i="1" a="1"/>
  <c r="AX940" i="1" s="1"/>
  <c r="AY940" i="1" a="1"/>
  <c r="AY940" i="1" s="1"/>
  <c r="AZ940" i="1" a="1"/>
  <c r="AZ940" i="1" s="1"/>
  <c r="BA940" i="1" a="1"/>
  <c r="BA940" i="1" s="1"/>
  <c r="BB940" i="1" a="1"/>
  <c r="BB940" i="1" s="1"/>
  <c r="AL941" i="1" a="1"/>
  <c r="AL941" i="1" s="1"/>
  <c r="AM941" i="1" a="1"/>
  <c r="AM941" i="1" s="1"/>
  <c r="AN941" i="1" a="1"/>
  <c r="AN941" i="1" s="1"/>
  <c r="AO941" i="1" a="1"/>
  <c r="AO941" i="1" s="1"/>
  <c r="AP941" i="1" a="1"/>
  <c r="AP941" i="1" s="1"/>
  <c r="AQ941" i="1" a="1"/>
  <c r="AQ941" i="1" s="1"/>
  <c r="AR941" i="1" a="1"/>
  <c r="AR941" i="1" s="1"/>
  <c r="AS941" i="1" a="1"/>
  <c r="AS941" i="1" s="1"/>
  <c r="AT941" i="1" a="1"/>
  <c r="AT941" i="1" s="1"/>
  <c r="AU941" i="1" a="1"/>
  <c r="AU941" i="1" s="1"/>
  <c r="AV941" i="1" a="1"/>
  <c r="AV941" i="1" s="1"/>
  <c r="AW941" i="1" a="1"/>
  <c r="AW941" i="1" s="1"/>
  <c r="AX941" i="1" a="1"/>
  <c r="AX941" i="1" s="1"/>
  <c r="AY941" i="1" a="1"/>
  <c r="AY941" i="1" s="1"/>
  <c r="AZ941" i="1" a="1"/>
  <c r="AZ941" i="1" s="1"/>
  <c r="BA941" i="1" a="1"/>
  <c r="BA941" i="1" s="1"/>
  <c r="BB941" i="1" a="1"/>
  <c r="BB941" i="1" s="1"/>
  <c r="AL942" i="1" a="1"/>
  <c r="AL942" i="1" s="1"/>
  <c r="AM942" i="1" a="1"/>
  <c r="AM942" i="1" s="1"/>
  <c r="AN942" i="1" a="1"/>
  <c r="AN942" i="1" s="1"/>
  <c r="AO942" i="1" a="1"/>
  <c r="AO942" i="1" s="1"/>
  <c r="AP942" i="1" a="1"/>
  <c r="AP942" i="1" s="1"/>
  <c r="AQ942" i="1" a="1"/>
  <c r="AQ942" i="1" s="1"/>
  <c r="AR942" i="1" a="1"/>
  <c r="AR942" i="1" s="1"/>
  <c r="AS942" i="1" a="1"/>
  <c r="AS942" i="1" s="1"/>
  <c r="AT942" i="1" a="1"/>
  <c r="AT942" i="1" s="1"/>
  <c r="AU942" i="1" a="1"/>
  <c r="AU942" i="1" s="1"/>
  <c r="AV942" i="1" a="1"/>
  <c r="AV942" i="1" s="1"/>
  <c r="AW942" i="1" a="1"/>
  <c r="AW942" i="1" s="1"/>
  <c r="AX942" i="1" a="1"/>
  <c r="AX942" i="1" s="1"/>
  <c r="AY942" i="1" a="1"/>
  <c r="AY942" i="1" s="1"/>
  <c r="AZ942" i="1" a="1"/>
  <c r="AZ942" i="1" s="1"/>
  <c r="BA942" i="1" a="1"/>
  <c r="BA942" i="1" s="1"/>
  <c r="BB942" i="1" a="1"/>
  <c r="BB942" i="1" s="1"/>
  <c r="AL943" i="1" a="1"/>
  <c r="AL943" i="1" s="1"/>
  <c r="AM943" i="1" a="1"/>
  <c r="AM943" i="1" s="1"/>
  <c r="AN943" i="1" a="1"/>
  <c r="AN943" i="1" s="1"/>
  <c r="AO943" i="1" a="1"/>
  <c r="AO943" i="1" s="1"/>
  <c r="AP943" i="1" a="1"/>
  <c r="AP943" i="1" s="1"/>
  <c r="AQ943" i="1" a="1"/>
  <c r="AQ943" i="1" s="1"/>
  <c r="AR943" i="1" a="1"/>
  <c r="AR943" i="1" s="1"/>
  <c r="AS943" i="1" a="1"/>
  <c r="AS943" i="1" s="1"/>
  <c r="AT943" i="1" a="1"/>
  <c r="AT943" i="1" s="1"/>
  <c r="AU943" i="1" a="1"/>
  <c r="AU943" i="1" s="1"/>
  <c r="AV943" i="1" a="1"/>
  <c r="AV943" i="1" s="1"/>
  <c r="AW943" i="1" a="1"/>
  <c r="AW943" i="1" s="1"/>
  <c r="AX943" i="1" a="1"/>
  <c r="AX943" i="1" s="1"/>
  <c r="AY943" i="1" a="1"/>
  <c r="AY943" i="1" s="1"/>
  <c r="AZ943" i="1" a="1"/>
  <c r="AZ943" i="1" s="1"/>
  <c r="BA943" i="1" a="1"/>
  <c r="BA943" i="1" s="1"/>
  <c r="BB943" i="1" a="1"/>
  <c r="BB943" i="1" s="1"/>
  <c r="AL944" i="1" a="1"/>
  <c r="AL944" i="1" s="1"/>
  <c r="AM944" i="1" a="1"/>
  <c r="AM944" i="1" s="1"/>
  <c r="AN944" i="1" a="1"/>
  <c r="AN944" i="1" s="1"/>
  <c r="AO944" i="1" a="1"/>
  <c r="AO944" i="1" s="1"/>
  <c r="AP944" i="1" a="1"/>
  <c r="AP944" i="1" s="1"/>
  <c r="AQ944" i="1" a="1"/>
  <c r="AQ944" i="1" s="1"/>
  <c r="AR944" i="1" a="1"/>
  <c r="AR944" i="1" s="1"/>
  <c r="AS944" i="1" a="1"/>
  <c r="AS944" i="1" s="1"/>
  <c r="AT944" i="1" a="1"/>
  <c r="AT944" i="1" s="1"/>
  <c r="AU944" i="1" a="1"/>
  <c r="AU944" i="1" s="1"/>
  <c r="AV944" i="1" a="1"/>
  <c r="AV944" i="1" s="1"/>
  <c r="AW944" i="1" a="1"/>
  <c r="AW944" i="1" s="1"/>
  <c r="AX944" i="1" a="1"/>
  <c r="AX944" i="1" s="1"/>
  <c r="AY944" i="1" a="1"/>
  <c r="AY944" i="1" s="1"/>
  <c r="AZ944" i="1" a="1"/>
  <c r="AZ944" i="1" s="1"/>
  <c r="BA944" i="1" a="1"/>
  <c r="BA944" i="1" s="1"/>
  <c r="BB944" i="1" a="1"/>
  <c r="BB944" i="1" s="1"/>
  <c r="AL945" i="1" a="1"/>
  <c r="AL945" i="1" s="1"/>
  <c r="AM945" i="1" a="1"/>
  <c r="AM945" i="1" s="1"/>
  <c r="AN945" i="1" a="1"/>
  <c r="AN945" i="1" s="1"/>
  <c r="AO945" i="1" a="1"/>
  <c r="AO945" i="1" s="1"/>
  <c r="AP945" i="1" a="1"/>
  <c r="AP945" i="1" s="1"/>
  <c r="AQ945" i="1" a="1"/>
  <c r="AQ945" i="1" s="1"/>
  <c r="AR945" i="1" a="1"/>
  <c r="AR945" i="1" s="1"/>
  <c r="AS945" i="1" a="1"/>
  <c r="AS945" i="1" s="1"/>
  <c r="AT945" i="1" a="1"/>
  <c r="AT945" i="1" s="1"/>
  <c r="AU945" i="1" a="1"/>
  <c r="AU945" i="1" s="1"/>
  <c r="AV945" i="1" a="1"/>
  <c r="AV945" i="1" s="1"/>
  <c r="AW945" i="1" a="1"/>
  <c r="AW945" i="1" s="1"/>
  <c r="AX945" i="1" a="1"/>
  <c r="AX945" i="1" s="1"/>
  <c r="AY945" i="1" a="1"/>
  <c r="AY945" i="1" s="1"/>
  <c r="AZ945" i="1" a="1"/>
  <c r="AZ945" i="1" s="1"/>
  <c r="BA945" i="1" a="1"/>
  <c r="BA945" i="1" s="1"/>
  <c r="BB945" i="1" a="1"/>
  <c r="BB945" i="1" s="1"/>
  <c r="AL946" i="1" a="1"/>
  <c r="AL946" i="1" s="1"/>
  <c r="AM946" i="1" a="1"/>
  <c r="AM946" i="1" s="1"/>
  <c r="AN946" i="1" a="1"/>
  <c r="AN946" i="1" s="1"/>
  <c r="AO946" i="1" a="1"/>
  <c r="AO946" i="1" s="1"/>
  <c r="AP946" i="1" a="1"/>
  <c r="AP946" i="1" s="1"/>
  <c r="AQ946" i="1" a="1"/>
  <c r="AQ946" i="1" s="1"/>
  <c r="AR946" i="1" a="1"/>
  <c r="AR946" i="1" s="1"/>
  <c r="AS946" i="1" a="1"/>
  <c r="AS946" i="1" s="1"/>
  <c r="AT946" i="1" a="1"/>
  <c r="AT946" i="1" s="1"/>
  <c r="AU946" i="1" a="1"/>
  <c r="AU946" i="1" s="1"/>
  <c r="AV946" i="1" a="1"/>
  <c r="AV946" i="1" s="1"/>
  <c r="AW946" i="1" a="1"/>
  <c r="AW946" i="1" s="1"/>
  <c r="AX946" i="1" a="1"/>
  <c r="AX946" i="1" s="1"/>
  <c r="AY946" i="1" a="1"/>
  <c r="AY946" i="1" s="1"/>
  <c r="AZ946" i="1" a="1"/>
  <c r="AZ946" i="1" s="1"/>
  <c r="BA946" i="1" a="1"/>
  <c r="BA946" i="1" s="1"/>
  <c r="BB946" i="1" a="1"/>
  <c r="BB946" i="1" s="1"/>
  <c r="AL947" i="1" a="1"/>
  <c r="AL947" i="1" s="1"/>
  <c r="AM947" i="1" a="1"/>
  <c r="AM947" i="1" s="1"/>
  <c r="AN947" i="1" a="1"/>
  <c r="AN947" i="1" s="1"/>
  <c r="AO947" i="1" a="1"/>
  <c r="AO947" i="1" s="1"/>
  <c r="AP947" i="1" a="1"/>
  <c r="AP947" i="1" s="1"/>
  <c r="AQ947" i="1" a="1"/>
  <c r="AQ947" i="1" s="1"/>
  <c r="AR947" i="1" a="1"/>
  <c r="AR947" i="1" s="1"/>
  <c r="AS947" i="1" a="1"/>
  <c r="AS947" i="1" s="1"/>
  <c r="AT947" i="1" a="1"/>
  <c r="AT947" i="1" s="1"/>
  <c r="AU947" i="1" a="1"/>
  <c r="AU947" i="1" s="1"/>
  <c r="AV947" i="1" a="1"/>
  <c r="AV947" i="1" s="1"/>
  <c r="AW947" i="1" a="1"/>
  <c r="AW947" i="1" s="1"/>
  <c r="AX947" i="1" a="1"/>
  <c r="AX947" i="1" s="1"/>
  <c r="AY947" i="1" a="1"/>
  <c r="AY947" i="1" s="1"/>
  <c r="AZ947" i="1" a="1"/>
  <c r="AZ947" i="1" s="1"/>
  <c r="BA947" i="1" a="1"/>
  <c r="BA947" i="1" s="1"/>
  <c r="BB947" i="1" a="1"/>
  <c r="BB947" i="1" s="1"/>
  <c r="AL948" i="1" a="1"/>
  <c r="AL948" i="1" s="1"/>
  <c r="AM948" i="1" a="1"/>
  <c r="AM948" i="1" s="1"/>
  <c r="AN948" i="1" a="1"/>
  <c r="AN948" i="1" s="1"/>
  <c r="AO948" i="1" a="1"/>
  <c r="AO948" i="1" s="1"/>
  <c r="AP948" i="1" a="1"/>
  <c r="AP948" i="1" s="1"/>
  <c r="AQ948" i="1" a="1"/>
  <c r="AQ948" i="1" s="1"/>
  <c r="AR948" i="1" a="1"/>
  <c r="AR948" i="1" s="1"/>
  <c r="AS948" i="1" a="1"/>
  <c r="AS948" i="1" s="1"/>
  <c r="AT948" i="1" a="1"/>
  <c r="AT948" i="1" s="1"/>
  <c r="AU948" i="1" a="1"/>
  <c r="AU948" i="1" s="1"/>
  <c r="AV948" i="1" a="1"/>
  <c r="AV948" i="1" s="1"/>
  <c r="AW948" i="1" a="1"/>
  <c r="AW948" i="1" s="1"/>
  <c r="AX948" i="1" a="1"/>
  <c r="AX948" i="1" s="1"/>
  <c r="AY948" i="1" a="1"/>
  <c r="AY948" i="1" s="1"/>
  <c r="AZ948" i="1" a="1"/>
  <c r="AZ948" i="1" s="1"/>
  <c r="BA948" i="1" a="1"/>
  <c r="BA948" i="1" s="1"/>
  <c r="BB948" i="1" a="1"/>
  <c r="BB948" i="1" s="1"/>
  <c r="AL949" i="1" a="1"/>
  <c r="AL949" i="1" s="1"/>
  <c r="AM949" i="1" a="1"/>
  <c r="AM949" i="1" s="1"/>
  <c r="AN949" i="1" a="1"/>
  <c r="AN949" i="1" s="1"/>
  <c r="AO949" i="1" a="1"/>
  <c r="AO949" i="1" s="1"/>
  <c r="AP949" i="1" a="1"/>
  <c r="AP949" i="1" s="1"/>
  <c r="AQ949" i="1" a="1"/>
  <c r="AQ949" i="1" s="1"/>
  <c r="AR949" i="1" a="1"/>
  <c r="AR949" i="1" s="1"/>
  <c r="AS949" i="1" a="1"/>
  <c r="AS949" i="1" s="1"/>
  <c r="AT949" i="1" a="1"/>
  <c r="AT949" i="1" s="1"/>
  <c r="AU949" i="1" a="1"/>
  <c r="AU949" i="1" s="1"/>
  <c r="AV949" i="1" a="1"/>
  <c r="AV949" i="1" s="1"/>
  <c r="AW949" i="1" a="1"/>
  <c r="AW949" i="1" s="1"/>
  <c r="AX949" i="1" a="1"/>
  <c r="AX949" i="1" s="1"/>
  <c r="AY949" i="1" a="1"/>
  <c r="AY949" i="1" s="1"/>
  <c r="AZ949" i="1" a="1"/>
  <c r="AZ949" i="1" s="1"/>
  <c r="BA949" i="1" a="1"/>
  <c r="BA949" i="1" s="1"/>
  <c r="BB949" i="1" a="1"/>
  <c r="BB949" i="1" s="1"/>
  <c r="AL950" i="1" a="1"/>
  <c r="AL950" i="1" s="1"/>
  <c r="AM950" i="1" a="1"/>
  <c r="AM950" i="1" s="1"/>
  <c r="AN950" i="1" a="1"/>
  <c r="AN950" i="1" s="1"/>
  <c r="AO950" i="1" a="1"/>
  <c r="AO950" i="1" s="1"/>
  <c r="AP950" i="1" a="1"/>
  <c r="AP950" i="1" s="1"/>
  <c r="AQ950" i="1" a="1"/>
  <c r="AQ950" i="1" s="1"/>
  <c r="AR950" i="1" a="1"/>
  <c r="AR950" i="1" s="1"/>
  <c r="AS950" i="1" a="1"/>
  <c r="AS950" i="1" s="1"/>
  <c r="AT950" i="1" a="1"/>
  <c r="AT950" i="1" s="1"/>
  <c r="AU950" i="1" a="1"/>
  <c r="AU950" i="1" s="1"/>
  <c r="AV950" i="1" a="1"/>
  <c r="AV950" i="1" s="1"/>
  <c r="AW950" i="1" a="1"/>
  <c r="AW950" i="1" s="1"/>
  <c r="AX950" i="1" a="1"/>
  <c r="AX950" i="1" s="1"/>
  <c r="AY950" i="1" a="1"/>
  <c r="AY950" i="1" s="1"/>
  <c r="AZ950" i="1" a="1"/>
  <c r="AZ950" i="1" s="1"/>
  <c r="BA950" i="1" a="1"/>
  <c r="BA950" i="1" s="1"/>
  <c r="BB950" i="1" a="1"/>
  <c r="BB950" i="1" s="1"/>
  <c r="AL951" i="1" a="1"/>
  <c r="AL951" i="1" s="1"/>
  <c r="AM951" i="1" a="1"/>
  <c r="AM951" i="1" s="1"/>
  <c r="AN951" i="1" a="1"/>
  <c r="AN951" i="1" s="1"/>
  <c r="AO951" i="1" a="1"/>
  <c r="AO951" i="1" s="1"/>
  <c r="AP951" i="1" a="1"/>
  <c r="AP951" i="1" s="1"/>
  <c r="AQ951" i="1" a="1"/>
  <c r="AQ951" i="1" s="1"/>
  <c r="AR951" i="1" a="1"/>
  <c r="AR951" i="1" s="1"/>
  <c r="AS951" i="1" a="1"/>
  <c r="AS951" i="1" s="1"/>
  <c r="AT951" i="1" a="1"/>
  <c r="AT951" i="1" s="1"/>
  <c r="AU951" i="1" a="1"/>
  <c r="AU951" i="1" s="1"/>
  <c r="AV951" i="1" a="1"/>
  <c r="AV951" i="1" s="1"/>
  <c r="AW951" i="1" a="1"/>
  <c r="AW951" i="1" s="1"/>
  <c r="AX951" i="1" a="1"/>
  <c r="AX951" i="1" s="1"/>
  <c r="AY951" i="1" a="1"/>
  <c r="AY951" i="1" s="1"/>
  <c r="AZ951" i="1" a="1"/>
  <c r="AZ951" i="1" s="1"/>
  <c r="BA951" i="1" a="1"/>
  <c r="BA951" i="1" s="1"/>
  <c r="BB951" i="1" a="1"/>
  <c r="BB951" i="1" s="1"/>
  <c r="AL952" i="1" a="1"/>
  <c r="AL952" i="1" s="1"/>
  <c r="AM952" i="1" a="1"/>
  <c r="AM952" i="1" s="1"/>
  <c r="AN952" i="1" a="1"/>
  <c r="AN952" i="1" s="1"/>
  <c r="AO952" i="1" a="1"/>
  <c r="AO952" i="1" s="1"/>
  <c r="AP952" i="1" a="1"/>
  <c r="AP952" i="1" s="1"/>
  <c r="AQ952" i="1" a="1"/>
  <c r="AQ952" i="1" s="1"/>
  <c r="AR952" i="1" a="1"/>
  <c r="AR952" i="1" s="1"/>
  <c r="AS952" i="1" a="1"/>
  <c r="AS952" i="1" s="1"/>
  <c r="AT952" i="1" a="1"/>
  <c r="AT952" i="1" s="1"/>
  <c r="AU952" i="1" a="1"/>
  <c r="AU952" i="1" s="1"/>
  <c r="AV952" i="1" a="1"/>
  <c r="AV952" i="1" s="1"/>
  <c r="AW952" i="1" a="1"/>
  <c r="AW952" i="1" s="1"/>
  <c r="AX952" i="1" a="1"/>
  <c r="AX952" i="1" s="1"/>
  <c r="AY952" i="1" a="1"/>
  <c r="AY952" i="1" s="1"/>
  <c r="AZ952" i="1" a="1"/>
  <c r="AZ952" i="1" s="1"/>
  <c r="BA952" i="1" a="1"/>
  <c r="BA952" i="1" s="1"/>
  <c r="BB952" i="1" a="1"/>
  <c r="BB952" i="1" s="1"/>
  <c r="AL953" i="1" a="1"/>
  <c r="AL953" i="1" s="1"/>
  <c r="AM953" i="1" a="1"/>
  <c r="AM953" i="1" s="1"/>
  <c r="AN953" i="1" a="1"/>
  <c r="AN953" i="1" s="1"/>
  <c r="AO953" i="1" a="1"/>
  <c r="AO953" i="1" s="1"/>
  <c r="AP953" i="1" a="1"/>
  <c r="AP953" i="1" s="1"/>
  <c r="AQ953" i="1" a="1"/>
  <c r="AQ953" i="1" s="1"/>
  <c r="AR953" i="1" a="1"/>
  <c r="AR953" i="1" s="1"/>
  <c r="AS953" i="1" a="1"/>
  <c r="AS953" i="1" s="1"/>
  <c r="AT953" i="1" a="1"/>
  <c r="AT953" i="1" s="1"/>
  <c r="AU953" i="1" a="1"/>
  <c r="AU953" i="1" s="1"/>
  <c r="AV953" i="1" a="1"/>
  <c r="AV953" i="1" s="1"/>
  <c r="AW953" i="1" a="1"/>
  <c r="AW953" i="1" s="1"/>
  <c r="AX953" i="1" a="1"/>
  <c r="AX953" i="1" s="1"/>
  <c r="AY953" i="1" a="1"/>
  <c r="AY953" i="1" s="1"/>
  <c r="AZ953" i="1" a="1"/>
  <c r="AZ953" i="1" s="1"/>
  <c r="BA953" i="1" a="1"/>
  <c r="BA953" i="1" s="1"/>
  <c r="BB953" i="1" a="1"/>
  <c r="BB953" i="1" s="1"/>
  <c r="AL954" i="1" a="1"/>
  <c r="AL954" i="1" s="1"/>
  <c r="AM954" i="1" a="1"/>
  <c r="AM954" i="1" s="1"/>
  <c r="AN954" i="1" a="1"/>
  <c r="AN954" i="1" s="1"/>
  <c r="AO954" i="1" a="1"/>
  <c r="AO954" i="1" s="1"/>
  <c r="AP954" i="1" a="1"/>
  <c r="AP954" i="1" s="1"/>
  <c r="AQ954" i="1" a="1"/>
  <c r="AQ954" i="1" s="1"/>
  <c r="AR954" i="1" a="1"/>
  <c r="AR954" i="1" s="1"/>
  <c r="AS954" i="1" a="1"/>
  <c r="AS954" i="1" s="1"/>
  <c r="AT954" i="1" a="1"/>
  <c r="AT954" i="1" s="1"/>
  <c r="AU954" i="1" a="1"/>
  <c r="AU954" i="1" s="1"/>
  <c r="AV954" i="1" a="1"/>
  <c r="AV954" i="1" s="1"/>
  <c r="AW954" i="1" a="1"/>
  <c r="AW954" i="1" s="1"/>
  <c r="AX954" i="1" a="1"/>
  <c r="AX954" i="1" s="1"/>
  <c r="AY954" i="1" a="1"/>
  <c r="AY954" i="1" s="1"/>
  <c r="AZ954" i="1" a="1"/>
  <c r="AZ954" i="1" s="1"/>
  <c r="BA954" i="1" a="1"/>
  <c r="BA954" i="1" s="1"/>
  <c r="BB954" i="1" a="1"/>
  <c r="BB954" i="1" s="1"/>
  <c r="AL955" i="1" a="1"/>
  <c r="AL955" i="1" s="1"/>
  <c r="AM955" i="1" a="1"/>
  <c r="AM955" i="1" s="1"/>
  <c r="AN955" i="1" a="1"/>
  <c r="AN955" i="1" s="1"/>
  <c r="AO955" i="1" a="1"/>
  <c r="AO955" i="1" s="1"/>
  <c r="AP955" i="1" a="1"/>
  <c r="AP955" i="1" s="1"/>
  <c r="AQ955" i="1" a="1"/>
  <c r="AQ955" i="1" s="1"/>
  <c r="AR955" i="1" a="1"/>
  <c r="AR955" i="1" s="1"/>
  <c r="AS955" i="1" a="1"/>
  <c r="AS955" i="1" s="1"/>
  <c r="AT955" i="1" a="1"/>
  <c r="AT955" i="1" s="1"/>
  <c r="AU955" i="1" a="1"/>
  <c r="AU955" i="1" s="1"/>
  <c r="AV955" i="1" a="1"/>
  <c r="AV955" i="1" s="1"/>
  <c r="AW955" i="1" a="1"/>
  <c r="AW955" i="1" s="1"/>
  <c r="AX955" i="1" a="1"/>
  <c r="AX955" i="1" s="1"/>
  <c r="AY955" i="1" a="1"/>
  <c r="AY955" i="1" s="1"/>
  <c r="AZ955" i="1" a="1"/>
  <c r="AZ955" i="1" s="1"/>
  <c r="BA955" i="1" a="1"/>
  <c r="BA955" i="1" s="1"/>
  <c r="BB955" i="1" a="1"/>
  <c r="BB955" i="1" s="1"/>
  <c r="AL956" i="1" a="1"/>
  <c r="AL956" i="1" s="1"/>
  <c r="AM956" i="1" a="1"/>
  <c r="AM956" i="1" s="1"/>
  <c r="AN956" i="1" a="1"/>
  <c r="AN956" i="1" s="1"/>
  <c r="AO956" i="1" a="1"/>
  <c r="AO956" i="1" s="1"/>
  <c r="AP956" i="1" a="1"/>
  <c r="AP956" i="1" s="1"/>
  <c r="AQ956" i="1" a="1"/>
  <c r="AQ956" i="1" s="1"/>
  <c r="AR956" i="1" a="1"/>
  <c r="AR956" i="1" s="1"/>
  <c r="AS956" i="1" a="1"/>
  <c r="AS956" i="1" s="1"/>
  <c r="AT956" i="1" a="1"/>
  <c r="AT956" i="1" s="1"/>
  <c r="AU956" i="1" a="1"/>
  <c r="AU956" i="1" s="1"/>
  <c r="AV956" i="1" a="1"/>
  <c r="AV956" i="1" s="1"/>
  <c r="AW956" i="1" a="1"/>
  <c r="AW956" i="1" s="1"/>
  <c r="AX956" i="1" a="1"/>
  <c r="AX956" i="1" s="1"/>
  <c r="AY956" i="1" a="1"/>
  <c r="AY956" i="1" s="1"/>
  <c r="AZ956" i="1" a="1"/>
  <c r="AZ956" i="1" s="1"/>
  <c r="BA956" i="1" a="1"/>
  <c r="BA956" i="1" s="1"/>
  <c r="BB956" i="1" a="1"/>
  <c r="BB956" i="1" s="1"/>
  <c r="AL957" i="1" a="1"/>
  <c r="AL957" i="1" s="1"/>
  <c r="AM957" i="1" a="1"/>
  <c r="AM957" i="1" s="1"/>
  <c r="AN957" i="1" a="1"/>
  <c r="AN957" i="1" s="1"/>
  <c r="AO957" i="1" a="1"/>
  <c r="AO957" i="1" s="1"/>
  <c r="AP957" i="1" a="1"/>
  <c r="AP957" i="1" s="1"/>
  <c r="AQ957" i="1" a="1"/>
  <c r="AQ957" i="1" s="1"/>
  <c r="AR957" i="1" a="1"/>
  <c r="AR957" i="1" s="1"/>
  <c r="AS957" i="1" a="1"/>
  <c r="AS957" i="1" s="1"/>
  <c r="AT957" i="1" a="1"/>
  <c r="AT957" i="1" s="1"/>
  <c r="AU957" i="1" a="1"/>
  <c r="AU957" i="1" s="1"/>
  <c r="AV957" i="1" a="1"/>
  <c r="AV957" i="1" s="1"/>
  <c r="AW957" i="1" a="1"/>
  <c r="AW957" i="1" s="1"/>
  <c r="AX957" i="1" a="1"/>
  <c r="AX957" i="1" s="1"/>
  <c r="AY957" i="1" a="1"/>
  <c r="AY957" i="1" s="1"/>
  <c r="AZ957" i="1" a="1"/>
  <c r="AZ957" i="1" s="1"/>
  <c r="BA957" i="1" a="1"/>
  <c r="BA957" i="1" s="1"/>
  <c r="BB957" i="1" a="1"/>
  <c r="BB957" i="1" s="1"/>
  <c r="AL958" i="1" a="1"/>
  <c r="AL958" i="1" s="1"/>
  <c r="AM958" i="1" a="1"/>
  <c r="AM958" i="1" s="1"/>
  <c r="AN958" i="1" a="1"/>
  <c r="AN958" i="1" s="1"/>
  <c r="AO958" i="1" a="1"/>
  <c r="AO958" i="1" s="1"/>
  <c r="AP958" i="1" a="1"/>
  <c r="AP958" i="1" s="1"/>
  <c r="AQ958" i="1" a="1"/>
  <c r="AQ958" i="1" s="1"/>
  <c r="AR958" i="1" a="1"/>
  <c r="AR958" i="1" s="1"/>
  <c r="AS958" i="1" a="1"/>
  <c r="AS958" i="1" s="1"/>
  <c r="AT958" i="1" a="1"/>
  <c r="AT958" i="1" s="1"/>
  <c r="AU958" i="1" a="1"/>
  <c r="AU958" i="1" s="1"/>
  <c r="AV958" i="1" a="1"/>
  <c r="AV958" i="1" s="1"/>
  <c r="AW958" i="1" a="1"/>
  <c r="AW958" i="1" s="1"/>
  <c r="AX958" i="1" a="1"/>
  <c r="AX958" i="1" s="1"/>
  <c r="AY958" i="1" a="1"/>
  <c r="AY958" i="1" s="1"/>
  <c r="AZ958" i="1" a="1"/>
  <c r="AZ958" i="1" s="1"/>
  <c r="BA958" i="1" a="1"/>
  <c r="BA958" i="1" s="1"/>
  <c r="BB958" i="1" a="1"/>
  <c r="BB958" i="1" s="1"/>
  <c r="AL959" i="1" a="1"/>
  <c r="AL959" i="1" s="1"/>
  <c r="AM959" i="1" a="1"/>
  <c r="AM959" i="1" s="1"/>
  <c r="AN959" i="1" a="1"/>
  <c r="AN959" i="1" s="1"/>
  <c r="AO959" i="1" a="1"/>
  <c r="AO959" i="1" s="1"/>
  <c r="AP959" i="1" a="1"/>
  <c r="AP959" i="1" s="1"/>
  <c r="AQ959" i="1" a="1"/>
  <c r="AQ959" i="1" s="1"/>
  <c r="AR959" i="1" a="1"/>
  <c r="AR959" i="1" s="1"/>
  <c r="AS959" i="1" a="1"/>
  <c r="AS959" i="1" s="1"/>
  <c r="AT959" i="1" a="1"/>
  <c r="AT959" i="1" s="1"/>
  <c r="AU959" i="1" a="1"/>
  <c r="AU959" i="1" s="1"/>
  <c r="AV959" i="1" a="1"/>
  <c r="AV959" i="1" s="1"/>
  <c r="AW959" i="1" a="1"/>
  <c r="AW959" i="1" s="1"/>
  <c r="AX959" i="1" a="1"/>
  <c r="AX959" i="1" s="1"/>
  <c r="AY959" i="1" a="1"/>
  <c r="AY959" i="1" s="1"/>
  <c r="AZ959" i="1" a="1"/>
  <c r="AZ959" i="1" s="1"/>
  <c r="BA959" i="1" a="1"/>
  <c r="BA959" i="1" s="1"/>
  <c r="BB959" i="1" a="1"/>
  <c r="BB959" i="1" s="1"/>
  <c r="AL960" i="1" a="1"/>
  <c r="AL960" i="1" s="1"/>
  <c r="AM960" i="1" a="1"/>
  <c r="AM960" i="1" s="1"/>
  <c r="AN960" i="1" a="1"/>
  <c r="AN960" i="1" s="1"/>
  <c r="AO960" i="1" a="1"/>
  <c r="AO960" i="1" s="1"/>
  <c r="AP960" i="1" a="1"/>
  <c r="AP960" i="1" s="1"/>
  <c r="AQ960" i="1" a="1"/>
  <c r="AQ960" i="1" s="1"/>
  <c r="AR960" i="1" a="1"/>
  <c r="AR960" i="1" s="1"/>
  <c r="AS960" i="1" a="1"/>
  <c r="AS960" i="1" s="1"/>
  <c r="AT960" i="1" a="1"/>
  <c r="AT960" i="1" s="1"/>
  <c r="AU960" i="1" a="1"/>
  <c r="AU960" i="1" s="1"/>
  <c r="AV960" i="1" a="1"/>
  <c r="AV960" i="1" s="1"/>
  <c r="AW960" i="1" a="1"/>
  <c r="AW960" i="1" s="1"/>
  <c r="AX960" i="1" a="1"/>
  <c r="AX960" i="1" s="1"/>
  <c r="AY960" i="1" a="1"/>
  <c r="AY960" i="1" s="1"/>
  <c r="AZ960" i="1" a="1"/>
  <c r="AZ960" i="1" s="1"/>
  <c r="BA960" i="1" a="1"/>
  <c r="BA960" i="1" s="1"/>
  <c r="BB960" i="1" a="1"/>
  <c r="BB960" i="1" s="1"/>
  <c r="AL961" i="1" a="1"/>
  <c r="AL961" i="1" s="1"/>
  <c r="AM961" i="1" a="1"/>
  <c r="AM961" i="1" s="1"/>
  <c r="AN961" i="1" a="1"/>
  <c r="AN961" i="1" s="1"/>
  <c r="AO961" i="1" a="1"/>
  <c r="AO961" i="1" s="1"/>
  <c r="AP961" i="1" a="1"/>
  <c r="AP961" i="1" s="1"/>
  <c r="AQ961" i="1" a="1"/>
  <c r="AQ961" i="1" s="1"/>
  <c r="AR961" i="1" a="1"/>
  <c r="AR961" i="1" s="1"/>
  <c r="AS961" i="1" a="1"/>
  <c r="AS961" i="1" s="1"/>
  <c r="AT961" i="1" a="1"/>
  <c r="AT961" i="1" s="1"/>
  <c r="AU961" i="1" a="1"/>
  <c r="AU961" i="1" s="1"/>
  <c r="AV961" i="1" a="1"/>
  <c r="AV961" i="1" s="1"/>
  <c r="AW961" i="1" a="1"/>
  <c r="AW961" i="1" s="1"/>
  <c r="AX961" i="1" a="1"/>
  <c r="AX961" i="1" s="1"/>
  <c r="AY961" i="1" a="1"/>
  <c r="AY961" i="1" s="1"/>
  <c r="AZ961" i="1" a="1"/>
  <c r="AZ961" i="1" s="1"/>
  <c r="BA961" i="1" a="1"/>
  <c r="BA961" i="1" s="1"/>
  <c r="BB961" i="1" a="1"/>
  <c r="BB961" i="1" s="1"/>
  <c r="AL962" i="1" a="1"/>
  <c r="AL962" i="1" s="1"/>
  <c r="AM962" i="1" a="1"/>
  <c r="AM962" i="1" s="1"/>
  <c r="AN962" i="1" a="1"/>
  <c r="AN962" i="1" s="1"/>
  <c r="AO962" i="1" a="1"/>
  <c r="AO962" i="1" s="1"/>
  <c r="AP962" i="1" a="1"/>
  <c r="AP962" i="1" s="1"/>
  <c r="AQ962" i="1" a="1"/>
  <c r="AQ962" i="1" s="1"/>
  <c r="AR962" i="1" a="1"/>
  <c r="AR962" i="1" s="1"/>
  <c r="AS962" i="1" a="1"/>
  <c r="AS962" i="1" s="1"/>
  <c r="AT962" i="1" a="1"/>
  <c r="AT962" i="1" s="1"/>
  <c r="AU962" i="1" a="1"/>
  <c r="AU962" i="1" s="1"/>
  <c r="AV962" i="1" a="1"/>
  <c r="AV962" i="1" s="1"/>
  <c r="AW962" i="1" a="1"/>
  <c r="AW962" i="1" s="1"/>
  <c r="AX962" i="1" a="1"/>
  <c r="AX962" i="1" s="1"/>
  <c r="AY962" i="1" a="1"/>
  <c r="AY962" i="1" s="1"/>
  <c r="AZ962" i="1" a="1"/>
  <c r="AZ962" i="1" s="1"/>
  <c r="BA962" i="1" a="1"/>
  <c r="BA962" i="1" s="1"/>
  <c r="BB962" i="1" a="1"/>
  <c r="BB962" i="1" s="1"/>
  <c r="AL963" i="1" a="1"/>
  <c r="AL963" i="1" s="1"/>
  <c r="AM963" i="1" a="1"/>
  <c r="AM963" i="1" s="1"/>
  <c r="AN963" i="1" a="1"/>
  <c r="AN963" i="1" s="1"/>
  <c r="AO963" i="1" a="1"/>
  <c r="AO963" i="1" s="1"/>
  <c r="AP963" i="1" a="1"/>
  <c r="AP963" i="1" s="1"/>
  <c r="AQ963" i="1" a="1"/>
  <c r="AQ963" i="1" s="1"/>
  <c r="AR963" i="1" a="1"/>
  <c r="AR963" i="1" s="1"/>
  <c r="AS963" i="1" a="1"/>
  <c r="AS963" i="1" s="1"/>
  <c r="AT963" i="1" a="1"/>
  <c r="AT963" i="1" s="1"/>
  <c r="AU963" i="1" a="1"/>
  <c r="AU963" i="1" s="1"/>
  <c r="AV963" i="1" a="1"/>
  <c r="AV963" i="1" s="1"/>
  <c r="AW963" i="1" a="1"/>
  <c r="AW963" i="1" s="1"/>
  <c r="AX963" i="1" a="1"/>
  <c r="AX963" i="1" s="1"/>
  <c r="AY963" i="1" a="1"/>
  <c r="AY963" i="1" s="1"/>
  <c r="AZ963" i="1" a="1"/>
  <c r="AZ963" i="1" s="1"/>
  <c r="BA963" i="1" a="1"/>
  <c r="BA963" i="1" s="1"/>
  <c r="BB963" i="1" a="1"/>
  <c r="BB963" i="1" s="1"/>
  <c r="AL964" i="1" a="1"/>
  <c r="AL964" i="1" s="1"/>
  <c r="AM964" i="1" a="1"/>
  <c r="AM964" i="1" s="1"/>
  <c r="AN964" i="1" a="1"/>
  <c r="AN964" i="1" s="1"/>
  <c r="AO964" i="1" a="1"/>
  <c r="AO964" i="1" s="1"/>
  <c r="AP964" i="1" a="1"/>
  <c r="AP964" i="1" s="1"/>
  <c r="AQ964" i="1" a="1"/>
  <c r="AQ964" i="1" s="1"/>
  <c r="AR964" i="1" a="1"/>
  <c r="AR964" i="1" s="1"/>
  <c r="AS964" i="1" a="1"/>
  <c r="AS964" i="1" s="1"/>
  <c r="AT964" i="1" a="1"/>
  <c r="AT964" i="1" s="1"/>
  <c r="AU964" i="1" a="1"/>
  <c r="AU964" i="1" s="1"/>
  <c r="AV964" i="1" a="1"/>
  <c r="AV964" i="1" s="1"/>
  <c r="AW964" i="1" a="1"/>
  <c r="AW964" i="1" s="1"/>
  <c r="AX964" i="1" a="1"/>
  <c r="AX964" i="1" s="1"/>
  <c r="AY964" i="1" a="1"/>
  <c r="AY964" i="1" s="1"/>
  <c r="AZ964" i="1" a="1"/>
  <c r="AZ964" i="1" s="1"/>
  <c r="BA964" i="1" a="1"/>
  <c r="BA964" i="1" s="1"/>
  <c r="BB964" i="1" a="1"/>
  <c r="BB964" i="1" s="1"/>
  <c r="AL965" i="1" a="1"/>
  <c r="AL965" i="1" s="1"/>
  <c r="AM965" i="1" a="1"/>
  <c r="AM965" i="1" s="1"/>
  <c r="AN965" i="1" a="1"/>
  <c r="AN965" i="1" s="1"/>
  <c r="AO965" i="1" a="1"/>
  <c r="AO965" i="1" s="1"/>
  <c r="AP965" i="1" a="1"/>
  <c r="AP965" i="1" s="1"/>
  <c r="AQ965" i="1" a="1"/>
  <c r="AQ965" i="1" s="1"/>
  <c r="AR965" i="1" a="1"/>
  <c r="AR965" i="1" s="1"/>
  <c r="AS965" i="1" a="1"/>
  <c r="AS965" i="1" s="1"/>
  <c r="AT965" i="1" a="1"/>
  <c r="AT965" i="1" s="1"/>
  <c r="AU965" i="1" a="1"/>
  <c r="AU965" i="1" s="1"/>
  <c r="AV965" i="1" a="1"/>
  <c r="AV965" i="1" s="1"/>
  <c r="AW965" i="1" a="1"/>
  <c r="AW965" i="1" s="1"/>
  <c r="AX965" i="1" a="1"/>
  <c r="AX965" i="1" s="1"/>
  <c r="AY965" i="1" a="1"/>
  <c r="AY965" i="1" s="1"/>
  <c r="AZ965" i="1" a="1"/>
  <c r="AZ965" i="1" s="1"/>
  <c r="BA965" i="1" a="1"/>
  <c r="BA965" i="1" s="1"/>
  <c r="BB965" i="1" a="1"/>
  <c r="BB965" i="1" s="1"/>
  <c r="AL966" i="1" a="1"/>
  <c r="AL966" i="1" s="1"/>
  <c r="AM966" i="1" a="1"/>
  <c r="AM966" i="1" s="1"/>
  <c r="AN966" i="1" a="1"/>
  <c r="AN966" i="1" s="1"/>
  <c r="AO966" i="1" a="1"/>
  <c r="AO966" i="1" s="1"/>
  <c r="AP966" i="1" a="1"/>
  <c r="AP966" i="1" s="1"/>
  <c r="AQ966" i="1" a="1"/>
  <c r="AQ966" i="1" s="1"/>
  <c r="AR966" i="1" a="1"/>
  <c r="AR966" i="1" s="1"/>
  <c r="AS966" i="1" a="1"/>
  <c r="AS966" i="1" s="1"/>
  <c r="AT966" i="1" a="1"/>
  <c r="AT966" i="1" s="1"/>
  <c r="AU966" i="1" a="1"/>
  <c r="AU966" i="1" s="1"/>
  <c r="AV966" i="1" a="1"/>
  <c r="AV966" i="1" s="1"/>
  <c r="AW966" i="1" a="1"/>
  <c r="AW966" i="1" s="1"/>
  <c r="AX966" i="1" a="1"/>
  <c r="AX966" i="1" s="1"/>
  <c r="AY966" i="1" a="1"/>
  <c r="AY966" i="1" s="1"/>
  <c r="AZ966" i="1" a="1"/>
  <c r="AZ966" i="1" s="1"/>
  <c r="BA966" i="1" a="1"/>
  <c r="BA966" i="1" s="1"/>
  <c r="BB966" i="1" a="1"/>
  <c r="BB966" i="1" s="1"/>
  <c r="AL967" i="1" a="1"/>
  <c r="AL967" i="1" s="1"/>
  <c r="AM967" i="1" a="1"/>
  <c r="AM967" i="1" s="1"/>
  <c r="AN967" i="1" a="1"/>
  <c r="AN967" i="1" s="1"/>
  <c r="AO967" i="1" a="1"/>
  <c r="AO967" i="1" s="1"/>
  <c r="AP967" i="1" a="1"/>
  <c r="AP967" i="1" s="1"/>
  <c r="AQ967" i="1" a="1"/>
  <c r="AQ967" i="1" s="1"/>
  <c r="AR967" i="1" a="1"/>
  <c r="AR967" i="1" s="1"/>
  <c r="AS967" i="1" a="1"/>
  <c r="AS967" i="1" s="1"/>
  <c r="AT967" i="1" a="1"/>
  <c r="AT967" i="1" s="1"/>
  <c r="AU967" i="1" a="1"/>
  <c r="AU967" i="1" s="1"/>
  <c r="AV967" i="1" a="1"/>
  <c r="AV967" i="1" s="1"/>
  <c r="AW967" i="1" a="1"/>
  <c r="AW967" i="1" s="1"/>
  <c r="AX967" i="1" a="1"/>
  <c r="AX967" i="1" s="1"/>
  <c r="AY967" i="1" a="1"/>
  <c r="AY967" i="1" s="1"/>
  <c r="AZ967" i="1" a="1"/>
  <c r="AZ967" i="1" s="1"/>
  <c r="BA967" i="1" a="1"/>
  <c r="BA967" i="1" s="1"/>
  <c r="BB967" i="1" a="1"/>
  <c r="BB967" i="1" s="1"/>
  <c r="AL968" i="1" a="1"/>
  <c r="AL968" i="1" s="1"/>
  <c r="AM968" i="1" a="1"/>
  <c r="AM968" i="1" s="1"/>
  <c r="AN968" i="1" a="1"/>
  <c r="AN968" i="1" s="1"/>
  <c r="AO968" i="1" a="1"/>
  <c r="AO968" i="1" s="1"/>
  <c r="AP968" i="1" a="1"/>
  <c r="AP968" i="1" s="1"/>
  <c r="AQ968" i="1" a="1"/>
  <c r="AQ968" i="1" s="1"/>
  <c r="AR968" i="1" a="1"/>
  <c r="AR968" i="1" s="1"/>
  <c r="AS968" i="1" a="1"/>
  <c r="AS968" i="1" s="1"/>
  <c r="AT968" i="1" a="1"/>
  <c r="AT968" i="1" s="1"/>
  <c r="AU968" i="1" a="1"/>
  <c r="AU968" i="1" s="1"/>
  <c r="AV968" i="1" a="1"/>
  <c r="AV968" i="1" s="1"/>
  <c r="AW968" i="1" a="1"/>
  <c r="AW968" i="1" s="1"/>
  <c r="AX968" i="1" a="1"/>
  <c r="AX968" i="1" s="1"/>
  <c r="AY968" i="1" a="1"/>
  <c r="AY968" i="1" s="1"/>
  <c r="AZ968" i="1" a="1"/>
  <c r="AZ968" i="1" s="1"/>
  <c r="BA968" i="1" a="1"/>
  <c r="BA968" i="1" s="1"/>
  <c r="BB968" i="1" a="1"/>
  <c r="BB968" i="1" s="1"/>
  <c r="AL969" i="1" a="1"/>
  <c r="AL969" i="1" s="1"/>
  <c r="AM969" i="1" a="1"/>
  <c r="AM969" i="1" s="1"/>
  <c r="AN969" i="1" a="1"/>
  <c r="AN969" i="1" s="1"/>
  <c r="AO969" i="1" a="1"/>
  <c r="AO969" i="1" s="1"/>
  <c r="AP969" i="1" a="1"/>
  <c r="AP969" i="1" s="1"/>
  <c r="AQ969" i="1" a="1"/>
  <c r="AQ969" i="1" s="1"/>
  <c r="AR969" i="1" a="1"/>
  <c r="AR969" i="1" s="1"/>
  <c r="AS969" i="1" a="1"/>
  <c r="AS969" i="1" s="1"/>
  <c r="AT969" i="1" a="1"/>
  <c r="AT969" i="1" s="1"/>
  <c r="AU969" i="1" a="1"/>
  <c r="AU969" i="1" s="1"/>
  <c r="AV969" i="1" a="1"/>
  <c r="AV969" i="1" s="1"/>
  <c r="AW969" i="1" a="1"/>
  <c r="AW969" i="1" s="1"/>
  <c r="AX969" i="1" a="1"/>
  <c r="AX969" i="1" s="1"/>
  <c r="AY969" i="1" a="1"/>
  <c r="AY969" i="1" s="1"/>
  <c r="AZ969" i="1" a="1"/>
  <c r="AZ969" i="1" s="1"/>
  <c r="BA969" i="1" a="1"/>
  <c r="BA969" i="1" s="1"/>
  <c r="BB969" i="1" a="1"/>
  <c r="BB969" i="1" s="1"/>
  <c r="AL970" i="1" a="1"/>
  <c r="AL970" i="1" s="1"/>
  <c r="AM970" i="1" a="1"/>
  <c r="AM970" i="1" s="1"/>
  <c r="AN970" i="1" a="1"/>
  <c r="AN970" i="1" s="1"/>
  <c r="AO970" i="1" a="1"/>
  <c r="AO970" i="1" s="1"/>
  <c r="AP970" i="1" a="1"/>
  <c r="AP970" i="1" s="1"/>
  <c r="AQ970" i="1" a="1"/>
  <c r="AQ970" i="1" s="1"/>
  <c r="AR970" i="1" a="1"/>
  <c r="AR970" i="1" s="1"/>
  <c r="AS970" i="1" a="1"/>
  <c r="AS970" i="1" s="1"/>
  <c r="AT970" i="1" a="1"/>
  <c r="AT970" i="1" s="1"/>
  <c r="AU970" i="1" a="1"/>
  <c r="AU970" i="1" s="1"/>
  <c r="AV970" i="1" a="1"/>
  <c r="AV970" i="1" s="1"/>
  <c r="AW970" i="1" a="1"/>
  <c r="AW970" i="1" s="1"/>
  <c r="AX970" i="1" a="1"/>
  <c r="AX970" i="1" s="1"/>
  <c r="AY970" i="1" a="1"/>
  <c r="AY970" i="1" s="1"/>
  <c r="AZ970" i="1" a="1"/>
  <c r="AZ970" i="1" s="1"/>
  <c r="BA970" i="1" a="1"/>
  <c r="BA970" i="1" s="1"/>
  <c r="BB970" i="1" a="1"/>
  <c r="BB970" i="1" s="1"/>
  <c r="AL971" i="1" a="1"/>
  <c r="AL971" i="1" s="1"/>
  <c r="AM971" i="1" a="1"/>
  <c r="AM971" i="1" s="1"/>
  <c r="AN971" i="1" a="1"/>
  <c r="AN971" i="1" s="1"/>
  <c r="AO971" i="1" a="1"/>
  <c r="AO971" i="1" s="1"/>
  <c r="AP971" i="1" a="1"/>
  <c r="AP971" i="1" s="1"/>
  <c r="AQ971" i="1" a="1"/>
  <c r="AQ971" i="1" s="1"/>
  <c r="AR971" i="1" a="1"/>
  <c r="AR971" i="1" s="1"/>
  <c r="AS971" i="1" a="1"/>
  <c r="AS971" i="1" s="1"/>
  <c r="AT971" i="1" a="1"/>
  <c r="AT971" i="1" s="1"/>
  <c r="AU971" i="1" a="1"/>
  <c r="AU971" i="1" s="1"/>
  <c r="AV971" i="1" a="1"/>
  <c r="AV971" i="1" s="1"/>
  <c r="AW971" i="1" a="1"/>
  <c r="AW971" i="1" s="1"/>
  <c r="AX971" i="1" a="1"/>
  <c r="AX971" i="1" s="1"/>
  <c r="AY971" i="1" a="1"/>
  <c r="AY971" i="1" s="1"/>
  <c r="AZ971" i="1" a="1"/>
  <c r="AZ971" i="1" s="1"/>
  <c r="BA971" i="1" a="1"/>
  <c r="BA971" i="1" s="1"/>
  <c r="BB971" i="1" a="1"/>
  <c r="BB971" i="1" s="1"/>
  <c r="AL972" i="1" a="1"/>
  <c r="AL972" i="1" s="1"/>
  <c r="AM972" i="1" a="1"/>
  <c r="AM972" i="1" s="1"/>
  <c r="AN972" i="1" a="1"/>
  <c r="AN972" i="1" s="1"/>
  <c r="AO972" i="1" a="1"/>
  <c r="AO972" i="1" s="1"/>
  <c r="AP972" i="1" a="1"/>
  <c r="AP972" i="1" s="1"/>
  <c r="AQ972" i="1" a="1"/>
  <c r="AQ972" i="1" s="1"/>
  <c r="AR972" i="1" a="1"/>
  <c r="AR972" i="1" s="1"/>
  <c r="AS972" i="1" a="1"/>
  <c r="AS972" i="1" s="1"/>
  <c r="AT972" i="1" a="1"/>
  <c r="AT972" i="1" s="1"/>
  <c r="AU972" i="1" a="1"/>
  <c r="AU972" i="1" s="1"/>
  <c r="AV972" i="1" a="1"/>
  <c r="AV972" i="1" s="1"/>
  <c r="AW972" i="1" a="1"/>
  <c r="AW972" i="1" s="1"/>
  <c r="AX972" i="1" a="1"/>
  <c r="AX972" i="1" s="1"/>
  <c r="AY972" i="1" a="1"/>
  <c r="AY972" i="1" s="1"/>
  <c r="AZ972" i="1" a="1"/>
  <c r="AZ972" i="1" s="1"/>
  <c r="BA972" i="1" a="1"/>
  <c r="BA972" i="1" s="1"/>
  <c r="BB972" i="1" a="1"/>
  <c r="BB972" i="1" s="1"/>
  <c r="AL973" i="1" a="1"/>
  <c r="AL973" i="1" s="1"/>
  <c r="AM973" i="1" a="1"/>
  <c r="AM973" i="1" s="1"/>
  <c r="AN973" i="1" a="1"/>
  <c r="AN973" i="1" s="1"/>
  <c r="AO973" i="1" a="1"/>
  <c r="AO973" i="1" s="1"/>
  <c r="AP973" i="1" a="1"/>
  <c r="AP973" i="1" s="1"/>
  <c r="AQ973" i="1" a="1"/>
  <c r="AQ973" i="1" s="1"/>
  <c r="AR973" i="1" a="1"/>
  <c r="AR973" i="1" s="1"/>
  <c r="AS973" i="1" a="1"/>
  <c r="AS973" i="1" s="1"/>
  <c r="AT973" i="1" a="1"/>
  <c r="AT973" i="1" s="1"/>
  <c r="AU973" i="1" a="1"/>
  <c r="AU973" i="1" s="1"/>
  <c r="AV973" i="1" a="1"/>
  <c r="AV973" i="1" s="1"/>
  <c r="AW973" i="1" a="1"/>
  <c r="AW973" i="1" s="1"/>
  <c r="AX973" i="1" a="1"/>
  <c r="AX973" i="1" s="1"/>
  <c r="AY973" i="1" a="1"/>
  <c r="AY973" i="1" s="1"/>
  <c r="AZ973" i="1" a="1"/>
  <c r="AZ973" i="1" s="1"/>
  <c r="BA973" i="1" a="1"/>
  <c r="BA973" i="1" s="1"/>
  <c r="BB973" i="1" a="1"/>
  <c r="BB973" i="1" s="1"/>
  <c r="AL974" i="1" a="1"/>
  <c r="AL974" i="1" s="1"/>
  <c r="AM974" i="1" a="1"/>
  <c r="AM974" i="1" s="1"/>
  <c r="AN974" i="1" a="1"/>
  <c r="AN974" i="1" s="1"/>
  <c r="AO974" i="1" a="1"/>
  <c r="AO974" i="1" s="1"/>
  <c r="AP974" i="1" a="1"/>
  <c r="AP974" i="1" s="1"/>
  <c r="AQ974" i="1" a="1"/>
  <c r="AQ974" i="1" s="1"/>
  <c r="AR974" i="1" a="1"/>
  <c r="AR974" i="1" s="1"/>
  <c r="AS974" i="1" a="1"/>
  <c r="AS974" i="1" s="1"/>
  <c r="AT974" i="1" a="1"/>
  <c r="AT974" i="1" s="1"/>
  <c r="AU974" i="1" a="1"/>
  <c r="AU974" i="1" s="1"/>
  <c r="AV974" i="1" a="1"/>
  <c r="AV974" i="1" s="1"/>
  <c r="AW974" i="1" a="1"/>
  <c r="AW974" i="1" s="1"/>
  <c r="AX974" i="1" a="1"/>
  <c r="AX974" i="1" s="1"/>
  <c r="AY974" i="1" a="1"/>
  <c r="AY974" i="1" s="1"/>
  <c r="AZ974" i="1" a="1"/>
  <c r="AZ974" i="1" s="1"/>
  <c r="BA974" i="1" a="1"/>
  <c r="BA974" i="1" s="1"/>
  <c r="BB974" i="1" a="1"/>
  <c r="BB974" i="1" s="1"/>
  <c r="AL975" i="1" a="1"/>
  <c r="AL975" i="1" s="1"/>
  <c r="AM975" i="1" a="1"/>
  <c r="AM975" i="1" s="1"/>
  <c r="AN975" i="1" a="1"/>
  <c r="AN975" i="1" s="1"/>
  <c r="AO975" i="1" a="1"/>
  <c r="AO975" i="1" s="1"/>
  <c r="AP975" i="1" a="1"/>
  <c r="AP975" i="1" s="1"/>
  <c r="AQ975" i="1" a="1"/>
  <c r="AQ975" i="1" s="1"/>
  <c r="AR975" i="1" a="1"/>
  <c r="AR975" i="1" s="1"/>
  <c r="AS975" i="1" a="1"/>
  <c r="AS975" i="1" s="1"/>
  <c r="AT975" i="1" a="1"/>
  <c r="AT975" i="1" s="1"/>
  <c r="AU975" i="1" a="1"/>
  <c r="AU975" i="1" s="1"/>
  <c r="AV975" i="1" a="1"/>
  <c r="AV975" i="1" s="1"/>
  <c r="AW975" i="1" a="1"/>
  <c r="AW975" i="1" s="1"/>
  <c r="AX975" i="1" a="1"/>
  <c r="AX975" i="1" s="1"/>
  <c r="AY975" i="1" a="1"/>
  <c r="AY975" i="1" s="1"/>
  <c r="AZ975" i="1" a="1"/>
  <c r="AZ975" i="1" s="1"/>
  <c r="BA975" i="1" a="1"/>
  <c r="BA975" i="1" s="1"/>
  <c r="BB975" i="1" a="1"/>
  <c r="BB975" i="1" s="1"/>
  <c r="AL976" i="1" a="1"/>
  <c r="AL976" i="1" s="1"/>
  <c r="AM976" i="1" a="1"/>
  <c r="AM976" i="1" s="1"/>
  <c r="AN976" i="1" a="1"/>
  <c r="AN976" i="1" s="1"/>
  <c r="AO976" i="1" a="1"/>
  <c r="AO976" i="1" s="1"/>
  <c r="AP976" i="1" a="1"/>
  <c r="AP976" i="1" s="1"/>
  <c r="AQ976" i="1" a="1"/>
  <c r="AQ976" i="1" s="1"/>
  <c r="AR976" i="1" a="1"/>
  <c r="AR976" i="1" s="1"/>
  <c r="AS976" i="1" a="1"/>
  <c r="AS976" i="1" s="1"/>
  <c r="AT976" i="1" a="1"/>
  <c r="AT976" i="1" s="1"/>
  <c r="AU976" i="1" a="1"/>
  <c r="AU976" i="1" s="1"/>
  <c r="AV976" i="1" a="1"/>
  <c r="AV976" i="1" s="1"/>
  <c r="AW976" i="1" a="1"/>
  <c r="AW976" i="1" s="1"/>
  <c r="AX976" i="1" a="1"/>
  <c r="AX976" i="1" s="1"/>
  <c r="AY976" i="1" a="1"/>
  <c r="AY976" i="1" s="1"/>
  <c r="AZ976" i="1" a="1"/>
  <c r="AZ976" i="1" s="1"/>
  <c r="BA976" i="1" a="1"/>
  <c r="BA976" i="1" s="1"/>
  <c r="BB976" i="1" a="1"/>
  <c r="BB976" i="1" s="1"/>
  <c r="AL977" i="1" a="1"/>
  <c r="AL977" i="1" s="1"/>
  <c r="AM977" i="1" a="1"/>
  <c r="AM977" i="1" s="1"/>
  <c r="AN977" i="1" a="1"/>
  <c r="AN977" i="1" s="1"/>
  <c r="AO977" i="1" a="1"/>
  <c r="AO977" i="1" s="1"/>
  <c r="AP977" i="1" a="1"/>
  <c r="AP977" i="1" s="1"/>
  <c r="AQ977" i="1" a="1"/>
  <c r="AQ977" i="1" s="1"/>
  <c r="AR977" i="1" a="1"/>
  <c r="AR977" i="1" s="1"/>
  <c r="AS977" i="1" a="1"/>
  <c r="AS977" i="1" s="1"/>
  <c r="AT977" i="1" a="1"/>
  <c r="AT977" i="1" s="1"/>
  <c r="AU977" i="1" a="1"/>
  <c r="AU977" i="1" s="1"/>
  <c r="AV977" i="1" a="1"/>
  <c r="AV977" i="1" s="1"/>
  <c r="AW977" i="1" a="1"/>
  <c r="AW977" i="1" s="1"/>
  <c r="AX977" i="1" a="1"/>
  <c r="AX977" i="1" s="1"/>
  <c r="AY977" i="1" a="1"/>
  <c r="AY977" i="1" s="1"/>
  <c r="AZ977" i="1" a="1"/>
  <c r="AZ977" i="1" s="1"/>
  <c r="BA977" i="1" a="1"/>
  <c r="BA977" i="1" s="1"/>
  <c r="BB977" i="1" a="1"/>
  <c r="BB977" i="1" s="1"/>
  <c r="AL978" i="1" a="1"/>
  <c r="AL978" i="1" s="1"/>
  <c r="AM978" i="1" a="1"/>
  <c r="AM978" i="1" s="1"/>
  <c r="AN978" i="1" a="1"/>
  <c r="AN978" i="1" s="1"/>
  <c r="AO978" i="1" a="1"/>
  <c r="AO978" i="1" s="1"/>
  <c r="AP978" i="1" a="1"/>
  <c r="AP978" i="1" s="1"/>
  <c r="AQ978" i="1" a="1"/>
  <c r="AQ978" i="1" s="1"/>
  <c r="AR978" i="1" a="1"/>
  <c r="AR978" i="1" s="1"/>
  <c r="AS978" i="1" a="1"/>
  <c r="AS978" i="1" s="1"/>
  <c r="AT978" i="1" a="1"/>
  <c r="AT978" i="1" s="1"/>
  <c r="AU978" i="1" a="1"/>
  <c r="AU978" i="1" s="1"/>
  <c r="AV978" i="1" a="1"/>
  <c r="AV978" i="1" s="1"/>
  <c r="AW978" i="1" a="1"/>
  <c r="AW978" i="1" s="1"/>
  <c r="AX978" i="1" a="1"/>
  <c r="AX978" i="1" s="1"/>
  <c r="AY978" i="1" a="1"/>
  <c r="AY978" i="1" s="1"/>
  <c r="AZ978" i="1" a="1"/>
  <c r="AZ978" i="1" s="1"/>
  <c r="BA978" i="1" a="1"/>
  <c r="BA978" i="1" s="1"/>
  <c r="BB978" i="1" a="1"/>
  <c r="BB978" i="1" s="1"/>
  <c r="AL979" i="1" a="1"/>
  <c r="AL979" i="1" s="1"/>
  <c r="AM979" i="1" a="1"/>
  <c r="AM979" i="1" s="1"/>
  <c r="AN979" i="1" a="1"/>
  <c r="AN979" i="1" s="1"/>
  <c r="AO979" i="1" a="1"/>
  <c r="AO979" i="1" s="1"/>
  <c r="AP979" i="1" a="1"/>
  <c r="AP979" i="1" s="1"/>
  <c r="AQ979" i="1" a="1"/>
  <c r="AQ979" i="1" s="1"/>
  <c r="AR979" i="1" a="1"/>
  <c r="AR979" i="1" s="1"/>
  <c r="AS979" i="1" a="1"/>
  <c r="AS979" i="1" s="1"/>
  <c r="AT979" i="1" a="1"/>
  <c r="AT979" i="1" s="1"/>
  <c r="AU979" i="1" a="1"/>
  <c r="AU979" i="1" s="1"/>
  <c r="AV979" i="1" a="1"/>
  <c r="AV979" i="1" s="1"/>
  <c r="AW979" i="1" a="1"/>
  <c r="AW979" i="1" s="1"/>
  <c r="AX979" i="1" a="1"/>
  <c r="AX979" i="1" s="1"/>
  <c r="AY979" i="1" a="1"/>
  <c r="AY979" i="1" s="1"/>
  <c r="AZ979" i="1" a="1"/>
  <c r="AZ979" i="1" s="1"/>
  <c r="BA979" i="1" a="1"/>
  <c r="BA979" i="1" s="1"/>
  <c r="BB979" i="1" a="1"/>
  <c r="BB979" i="1" s="1"/>
  <c r="AL980" i="1" a="1"/>
  <c r="AL980" i="1" s="1"/>
  <c r="AM980" i="1" a="1"/>
  <c r="AM980" i="1" s="1"/>
  <c r="AN980" i="1" a="1"/>
  <c r="AN980" i="1" s="1"/>
  <c r="AO980" i="1" a="1"/>
  <c r="AO980" i="1" s="1"/>
  <c r="AP980" i="1" a="1"/>
  <c r="AP980" i="1" s="1"/>
  <c r="AQ980" i="1" a="1"/>
  <c r="AQ980" i="1" s="1"/>
  <c r="AR980" i="1" a="1"/>
  <c r="AR980" i="1" s="1"/>
  <c r="AS980" i="1" a="1"/>
  <c r="AS980" i="1" s="1"/>
  <c r="AT980" i="1" a="1"/>
  <c r="AT980" i="1" s="1"/>
  <c r="AU980" i="1" a="1"/>
  <c r="AU980" i="1" s="1"/>
  <c r="AV980" i="1" a="1"/>
  <c r="AV980" i="1" s="1"/>
  <c r="AW980" i="1" a="1"/>
  <c r="AW980" i="1" s="1"/>
  <c r="AX980" i="1" a="1"/>
  <c r="AX980" i="1" s="1"/>
  <c r="AY980" i="1" a="1"/>
  <c r="AY980" i="1" s="1"/>
  <c r="AZ980" i="1" a="1"/>
  <c r="AZ980" i="1" s="1"/>
  <c r="BA980" i="1" a="1"/>
  <c r="BA980" i="1" s="1"/>
  <c r="BB980" i="1" a="1"/>
  <c r="BB980" i="1" s="1"/>
  <c r="AL981" i="1" a="1"/>
  <c r="AL981" i="1" s="1"/>
  <c r="AM981" i="1" a="1"/>
  <c r="AM981" i="1" s="1"/>
  <c r="AN981" i="1" a="1"/>
  <c r="AN981" i="1" s="1"/>
  <c r="AO981" i="1" a="1"/>
  <c r="AO981" i="1" s="1"/>
  <c r="AP981" i="1" a="1"/>
  <c r="AP981" i="1" s="1"/>
  <c r="AQ981" i="1" a="1"/>
  <c r="AQ981" i="1" s="1"/>
  <c r="AR981" i="1" a="1"/>
  <c r="AR981" i="1" s="1"/>
  <c r="AS981" i="1" a="1"/>
  <c r="AS981" i="1" s="1"/>
  <c r="AT981" i="1" a="1"/>
  <c r="AT981" i="1" s="1"/>
  <c r="AU981" i="1" a="1"/>
  <c r="AU981" i="1" s="1"/>
  <c r="AV981" i="1" a="1"/>
  <c r="AV981" i="1" s="1"/>
  <c r="AW981" i="1" a="1"/>
  <c r="AW981" i="1" s="1"/>
  <c r="AX981" i="1" a="1"/>
  <c r="AX981" i="1" s="1"/>
  <c r="AY981" i="1" a="1"/>
  <c r="AY981" i="1" s="1"/>
  <c r="AZ981" i="1" a="1"/>
  <c r="AZ981" i="1" s="1"/>
  <c r="BA981" i="1" a="1"/>
  <c r="BA981" i="1" s="1"/>
  <c r="BB981" i="1" a="1"/>
  <c r="BB981" i="1" s="1"/>
  <c r="AL982" i="1" a="1"/>
  <c r="AL982" i="1" s="1"/>
  <c r="AM982" i="1" a="1"/>
  <c r="AM982" i="1" s="1"/>
  <c r="AN982" i="1" a="1"/>
  <c r="AN982" i="1" s="1"/>
  <c r="AO982" i="1" a="1"/>
  <c r="AO982" i="1" s="1"/>
  <c r="AP982" i="1" a="1"/>
  <c r="AP982" i="1" s="1"/>
  <c r="AQ982" i="1" a="1"/>
  <c r="AQ982" i="1" s="1"/>
  <c r="AR982" i="1" a="1"/>
  <c r="AR982" i="1" s="1"/>
  <c r="AS982" i="1" a="1"/>
  <c r="AS982" i="1" s="1"/>
  <c r="AT982" i="1" a="1"/>
  <c r="AT982" i="1" s="1"/>
  <c r="AU982" i="1" a="1"/>
  <c r="AU982" i="1" s="1"/>
  <c r="AV982" i="1" a="1"/>
  <c r="AV982" i="1" s="1"/>
  <c r="AW982" i="1" a="1"/>
  <c r="AW982" i="1" s="1"/>
  <c r="AX982" i="1" a="1"/>
  <c r="AX982" i="1" s="1"/>
  <c r="AY982" i="1" a="1"/>
  <c r="AY982" i="1" s="1"/>
  <c r="AZ982" i="1" a="1"/>
  <c r="AZ982" i="1" s="1"/>
  <c r="BA982" i="1" a="1"/>
  <c r="BA982" i="1" s="1"/>
  <c r="BB982" i="1" a="1"/>
  <c r="BB982" i="1" s="1"/>
  <c r="AL984" i="1" a="1"/>
  <c r="AL984" i="1" s="1"/>
  <c r="AM984" i="1" a="1"/>
  <c r="AM984" i="1" s="1"/>
  <c r="AN984" i="1" a="1"/>
  <c r="AN984" i="1" s="1"/>
  <c r="AO984" i="1" a="1"/>
  <c r="AO984" i="1" s="1"/>
  <c r="AP984" i="1" a="1"/>
  <c r="AP984" i="1" s="1"/>
  <c r="AQ984" i="1" a="1"/>
  <c r="AQ984" i="1" s="1"/>
  <c r="AR984" i="1" a="1"/>
  <c r="AR984" i="1" s="1"/>
  <c r="AS984" i="1" a="1"/>
  <c r="AS984" i="1" s="1"/>
  <c r="AT984" i="1" a="1"/>
  <c r="AT984" i="1" s="1"/>
  <c r="AU984" i="1" a="1"/>
  <c r="AU984" i="1" s="1"/>
  <c r="AV984" i="1" a="1"/>
  <c r="AV984" i="1" s="1"/>
  <c r="AW984" i="1" a="1"/>
  <c r="AW984" i="1" s="1"/>
  <c r="AX984" i="1" a="1"/>
  <c r="AX984" i="1" s="1"/>
  <c r="AY984" i="1" a="1"/>
  <c r="AY984" i="1" s="1"/>
  <c r="AZ984" i="1" a="1"/>
  <c r="AZ984" i="1" s="1"/>
  <c r="BA984" i="1" a="1"/>
  <c r="BA984" i="1" s="1"/>
  <c r="BB984" i="1" a="1"/>
  <c r="BB984" i="1" s="1"/>
  <c r="AL983" i="1" a="1"/>
  <c r="AL983" i="1" s="1"/>
  <c r="AM983" i="1" a="1"/>
  <c r="AM983" i="1" s="1"/>
  <c r="AN983" i="1" a="1"/>
  <c r="AN983" i="1" s="1"/>
  <c r="AO983" i="1" a="1"/>
  <c r="AO983" i="1" s="1"/>
  <c r="AP983" i="1" a="1"/>
  <c r="AP983" i="1" s="1"/>
  <c r="AQ983" i="1" a="1"/>
  <c r="AQ983" i="1" s="1"/>
  <c r="AR983" i="1" a="1"/>
  <c r="AR983" i="1" s="1"/>
  <c r="AS983" i="1" a="1"/>
  <c r="AS983" i="1" s="1"/>
  <c r="AT983" i="1" a="1"/>
  <c r="AT983" i="1" s="1"/>
  <c r="AU983" i="1" a="1"/>
  <c r="AU983" i="1" s="1"/>
  <c r="AV983" i="1" a="1"/>
  <c r="AV983" i="1" s="1"/>
  <c r="AW983" i="1" a="1"/>
  <c r="AW983" i="1" s="1"/>
  <c r="AX983" i="1" a="1"/>
  <c r="AX983" i="1" s="1"/>
  <c r="AY983" i="1" a="1"/>
  <c r="AY983" i="1" s="1"/>
  <c r="AZ983" i="1" a="1"/>
  <c r="AZ983" i="1" s="1"/>
  <c r="BA983" i="1" a="1"/>
  <c r="BA983" i="1" s="1"/>
  <c r="BB983" i="1" a="1"/>
  <c r="BB983" i="1" s="1"/>
  <c r="AL985" i="1" a="1"/>
  <c r="AL985" i="1" s="1"/>
  <c r="AM985" i="1" a="1"/>
  <c r="AM985" i="1" s="1"/>
  <c r="AN985" i="1" a="1"/>
  <c r="AN985" i="1" s="1"/>
  <c r="AO985" i="1" a="1"/>
  <c r="AO985" i="1" s="1"/>
  <c r="AP985" i="1" a="1"/>
  <c r="AP985" i="1" s="1"/>
  <c r="AQ985" i="1" a="1"/>
  <c r="AQ985" i="1" s="1"/>
  <c r="AR985" i="1" a="1"/>
  <c r="AR985" i="1" s="1"/>
  <c r="AS985" i="1" a="1"/>
  <c r="AS985" i="1" s="1"/>
  <c r="AT985" i="1" a="1"/>
  <c r="AT985" i="1" s="1"/>
  <c r="AU985" i="1" a="1"/>
  <c r="AU985" i="1" s="1"/>
  <c r="AV985" i="1" a="1"/>
  <c r="AV985" i="1" s="1"/>
  <c r="AW985" i="1" a="1"/>
  <c r="AW985" i="1" s="1"/>
  <c r="AX985" i="1" a="1"/>
  <c r="AX985" i="1" s="1"/>
  <c r="AY985" i="1" a="1"/>
  <c r="AY985" i="1" s="1"/>
  <c r="AZ985" i="1" a="1"/>
  <c r="AZ985" i="1" s="1"/>
  <c r="BA985" i="1" a="1"/>
  <c r="BA985" i="1" s="1"/>
  <c r="BB985" i="1" a="1"/>
  <c r="BB985" i="1" s="1"/>
  <c r="AL986" i="1" a="1"/>
  <c r="AL986" i="1" s="1"/>
  <c r="AM986" i="1" a="1"/>
  <c r="AM986" i="1" s="1"/>
  <c r="AN986" i="1" a="1"/>
  <c r="AN986" i="1" s="1"/>
  <c r="AO986" i="1" a="1"/>
  <c r="AO986" i="1" s="1"/>
  <c r="AP986" i="1" a="1"/>
  <c r="AP986" i="1" s="1"/>
  <c r="AQ986" i="1" a="1"/>
  <c r="AQ986" i="1" s="1"/>
  <c r="AR986" i="1" a="1"/>
  <c r="AR986" i="1" s="1"/>
  <c r="AS986" i="1" a="1"/>
  <c r="AS986" i="1" s="1"/>
  <c r="AT986" i="1" a="1"/>
  <c r="AT986" i="1" s="1"/>
  <c r="AU986" i="1" a="1"/>
  <c r="AU986" i="1" s="1"/>
  <c r="AV986" i="1" a="1"/>
  <c r="AV986" i="1" s="1"/>
  <c r="AW986" i="1" a="1"/>
  <c r="AW986" i="1" s="1"/>
  <c r="AX986" i="1" a="1"/>
  <c r="AX986" i="1" s="1"/>
  <c r="AY986" i="1" a="1"/>
  <c r="AY986" i="1" s="1"/>
  <c r="AZ986" i="1" a="1"/>
  <c r="AZ986" i="1" s="1"/>
  <c r="BA986" i="1" a="1"/>
  <c r="BA986" i="1" s="1"/>
  <c r="BB986" i="1" a="1"/>
  <c r="BB986" i="1" s="1"/>
  <c r="AL987" i="1" a="1"/>
  <c r="AL987" i="1" s="1"/>
  <c r="AM987" i="1" a="1"/>
  <c r="AM987" i="1" s="1"/>
  <c r="AN987" i="1" a="1"/>
  <c r="AN987" i="1" s="1"/>
  <c r="AO987" i="1" a="1"/>
  <c r="AO987" i="1" s="1"/>
  <c r="AP987" i="1" a="1"/>
  <c r="AP987" i="1" s="1"/>
  <c r="AQ987" i="1" a="1"/>
  <c r="AQ987" i="1" s="1"/>
  <c r="AR987" i="1" a="1"/>
  <c r="AR987" i="1" s="1"/>
  <c r="AS987" i="1" a="1"/>
  <c r="AS987" i="1" s="1"/>
  <c r="AT987" i="1" a="1"/>
  <c r="AT987" i="1" s="1"/>
  <c r="AU987" i="1" a="1"/>
  <c r="AU987" i="1" s="1"/>
  <c r="AV987" i="1" a="1"/>
  <c r="AV987" i="1" s="1"/>
  <c r="AW987" i="1" a="1"/>
  <c r="AW987" i="1" s="1"/>
  <c r="AX987" i="1" a="1"/>
  <c r="AX987" i="1" s="1"/>
  <c r="AY987" i="1" a="1"/>
  <c r="AY987" i="1" s="1"/>
  <c r="AZ987" i="1" a="1"/>
  <c r="AZ987" i="1" s="1"/>
  <c r="BA987" i="1" a="1"/>
  <c r="BA987" i="1" s="1"/>
  <c r="BB987" i="1" a="1"/>
  <c r="BB987" i="1" s="1"/>
  <c r="AL988" i="1" a="1"/>
  <c r="AL988" i="1" s="1"/>
  <c r="AM988" i="1" a="1"/>
  <c r="AM988" i="1" s="1"/>
  <c r="AN988" i="1" a="1"/>
  <c r="AN988" i="1" s="1"/>
  <c r="AO988" i="1" a="1"/>
  <c r="AO988" i="1" s="1"/>
  <c r="AP988" i="1" a="1"/>
  <c r="AP988" i="1" s="1"/>
  <c r="AQ988" i="1" a="1"/>
  <c r="AQ988" i="1" s="1"/>
  <c r="AR988" i="1" a="1"/>
  <c r="AR988" i="1" s="1"/>
  <c r="AS988" i="1" a="1"/>
  <c r="AS988" i="1" s="1"/>
  <c r="AT988" i="1" a="1"/>
  <c r="AT988" i="1" s="1"/>
  <c r="AU988" i="1" a="1"/>
  <c r="AU988" i="1" s="1"/>
  <c r="AV988" i="1" a="1"/>
  <c r="AV988" i="1" s="1"/>
  <c r="AW988" i="1" a="1"/>
  <c r="AW988" i="1" s="1"/>
  <c r="AX988" i="1" a="1"/>
  <c r="AX988" i="1" s="1"/>
  <c r="AY988" i="1" a="1"/>
  <c r="AY988" i="1" s="1"/>
  <c r="AZ988" i="1" a="1"/>
  <c r="AZ988" i="1" s="1"/>
  <c r="BA988" i="1" a="1"/>
  <c r="BA988" i="1" s="1"/>
  <c r="BB988" i="1" a="1"/>
  <c r="BB988" i="1" s="1"/>
  <c r="AL989" i="1" a="1"/>
  <c r="AL989" i="1" s="1"/>
  <c r="AM989" i="1" a="1"/>
  <c r="AM989" i="1" s="1"/>
  <c r="AN989" i="1" a="1"/>
  <c r="AN989" i="1" s="1"/>
  <c r="AO989" i="1" a="1"/>
  <c r="AO989" i="1" s="1"/>
  <c r="AP989" i="1" a="1"/>
  <c r="AP989" i="1" s="1"/>
  <c r="AQ989" i="1" a="1"/>
  <c r="AQ989" i="1" s="1"/>
  <c r="AR989" i="1" a="1"/>
  <c r="AR989" i="1" s="1"/>
  <c r="AS989" i="1" a="1"/>
  <c r="AS989" i="1" s="1"/>
  <c r="AT989" i="1" a="1"/>
  <c r="AT989" i="1" s="1"/>
  <c r="AU989" i="1" a="1"/>
  <c r="AU989" i="1" s="1"/>
  <c r="AV989" i="1" a="1"/>
  <c r="AV989" i="1" s="1"/>
  <c r="AW989" i="1" a="1"/>
  <c r="AW989" i="1" s="1"/>
  <c r="AX989" i="1" a="1"/>
  <c r="AX989" i="1" s="1"/>
  <c r="AY989" i="1" a="1"/>
  <c r="AY989" i="1" s="1"/>
  <c r="AZ989" i="1" a="1"/>
  <c r="AZ989" i="1" s="1"/>
  <c r="BA989" i="1" a="1"/>
  <c r="BA989" i="1" s="1"/>
  <c r="BB989" i="1" a="1"/>
  <c r="BB989" i="1" s="1"/>
  <c r="AL990" i="1" a="1"/>
  <c r="AL990" i="1" s="1"/>
  <c r="AM990" i="1" a="1"/>
  <c r="AM990" i="1" s="1"/>
  <c r="AN990" i="1" a="1"/>
  <c r="AN990" i="1" s="1"/>
  <c r="AO990" i="1" a="1"/>
  <c r="AO990" i="1" s="1"/>
  <c r="AP990" i="1" a="1"/>
  <c r="AP990" i="1" s="1"/>
  <c r="AQ990" i="1" a="1"/>
  <c r="AQ990" i="1" s="1"/>
  <c r="AR990" i="1" a="1"/>
  <c r="AR990" i="1" s="1"/>
  <c r="AS990" i="1" a="1"/>
  <c r="AS990" i="1" s="1"/>
  <c r="AT990" i="1" a="1"/>
  <c r="AT990" i="1" s="1"/>
  <c r="AU990" i="1" a="1"/>
  <c r="AU990" i="1" s="1"/>
  <c r="AV990" i="1" a="1"/>
  <c r="AV990" i="1" s="1"/>
  <c r="AW990" i="1" a="1"/>
  <c r="AW990" i="1" s="1"/>
  <c r="AX990" i="1" a="1"/>
  <c r="AX990" i="1" s="1"/>
  <c r="AY990" i="1" a="1"/>
  <c r="AY990" i="1" s="1"/>
  <c r="AZ990" i="1" a="1"/>
  <c r="AZ990" i="1" s="1"/>
  <c r="BA990" i="1" a="1"/>
  <c r="BA990" i="1" s="1"/>
  <c r="BB990" i="1" a="1"/>
  <c r="BB990" i="1" s="1"/>
  <c r="AL991" i="1" a="1"/>
  <c r="AL991" i="1" s="1"/>
  <c r="AM991" i="1" a="1"/>
  <c r="AM991" i="1" s="1"/>
  <c r="AN991" i="1" a="1"/>
  <c r="AN991" i="1" s="1"/>
  <c r="AO991" i="1" a="1"/>
  <c r="AO991" i="1" s="1"/>
  <c r="AP991" i="1" a="1"/>
  <c r="AP991" i="1" s="1"/>
  <c r="AQ991" i="1" a="1"/>
  <c r="AQ991" i="1" s="1"/>
  <c r="AR991" i="1" a="1"/>
  <c r="AR991" i="1" s="1"/>
  <c r="AS991" i="1" a="1"/>
  <c r="AS991" i="1" s="1"/>
  <c r="AT991" i="1" a="1"/>
  <c r="AT991" i="1" s="1"/>
  <c r="AU991" i="1" a="1"/>
  <c r="AU991" i="1" s="1"/>
  <c r="AV991" i="1" a="1"/>
  <c r="AV991" i="1" s="1"/>
  <c r="AW991" i="1" a="1"/>
  <c r="AW991" i="1" s="1"/>
  <c r="AX991" i="1" a="1"/>
  <c r="AX991" i="1" s="1"/>
  <c r="AY991" i="1" a="1"/>
  <c r="AY991" i="1" s="1"/>
  <c r="AZ991" i="1" a="1"/>
  <c r="AZ991" i="1" s="1"/>
  <c r="BA991" i="1" a="1"/>
  <c r="BA991" i="1" s="1"/>
  <c r="BB991" i="1" a="1"/>
  <c r="BB991" i="1" s="1"/>
  <c r="AL992" i="1" a="1"/>
  <c r="AL992" i="1" s="1"/>
  <c r="AM992" i="1" a="1"/>
  <c r="AM992" i="1" s="1"/>
  <c r="AN992" i="1" a="1"/>
  <c r="AN992" i="1" s="1"/>
  <c r="AO992" i="1" a="1"/>
  <c r="AO992" i="1" s="1"/>
  <c r="AP992" i="1" a="1"/>
  <c r="AP992" i="1" s="1"/>
  <c r="AQ992" i="1" a="1"/>
  <c r="AQ992" i="1" s="1"/>
  <c r="AR992" i="1" a="1"/>
  <c r="AR992" i="1" s="1"/>
  <c r="AS992" i="1" a="1"/>
  <c r="AS992" i="1" s="1"/>
  <c r="AT992" i="1" a="1"/>
  <c r="AT992" i="1" s="1"/>
  <c r="AU992" i="1" a="1"/>
  <c r="AU992" i="1" s="1"/>
  <c r="AV992" i="1" a="1"/>
  <c r="AV992" i="1" s="1"/>
  <c r="AW992" i="1" a="1"/>
  <c r="AW992" i="1" s="1"/>
  <c r="AX992" i="1" a="1"/>
  <c r="AX992" i="1" s="1"/>
  <c r="AY992" i="1" a="1"/>
  <c r="AY992" i="1" s="1"/>
  <c r="AZ992" i="1" a="1"/>
  <c r="AZ992" i="1" s="1"/>
  <c r="BA992" i="1" a="1"/>
  <c r="BA992" i="1" s="1"/>
  <c r="BB992" i="1" a="1"/>
  <c r="BB992" i="1" s="1"/>
  <c r="AL993" i="1" a="1"/>
  <c r="AL993" i="1" s="1"/>
  <c r="AM993" i="1" a="1"/>
  <c r="AM993" i="1" s="1"/>
  <c r="AN993" i="1" a="1"/>
  <c r="AN993" i="1" s="1"/>
  <c r="AO993" i="1" a="1"/>
  <c r="AO993" i="1" s="1"/>
  <c r="AP993" i="1" a="1"/>
  <c r="AP993" i="1" s="1"/>
  <c r="AQ993" i="1" a="1"/>
  <c r="AQ993" i="1" s="1"/>
  <c r="AR993" i="1" a="1"/>
  <c r="AR993" i="1" s="1"/>
  <c r="AS993" i="1" a="1"/>
  <c r="AS993" i="1" s="1"/>
  <c r="AT993" i="1" a="1"/>
  <c r="AT993" i="1" s="1"/>
  <c r="AU993" i="1" a="1"/>
  <c r="AU993" i="1" s="1"/>
  <c r="AV993" i="1" a="1"/>
  <c r="AV993" i="1" s="1"/>
  <c r="AW993" i="1" a="1"/>
  <c r="AW993" i="1" s="1"/>
  <c r="AX993" i="1" a="1"/>
  <c r="AX993" i="1" s="1"/>
  <c r="AY993" i="1" a="1"/>
  <c r="AY993" i="1" s="1"/>
  <c r="AZ993" i="1" a="1"/>
  <c r="AZ993" i="1" s="1"/>
  <c r="BA993" i="1" a="1"/>
  <c r="BA993" i="1" s="1"/>
  <c r="BB993" i="1" a="1"/>
  <c r="BB993" i="1" s="1"/>
  <c r="AL994" i="1" a="1"/>
  <c r="AL994" i="1" s="1"/>
  <c r="AM994" i="1" a="1"/>
  <c r="AM994" i="1" s="1"/>
  <c r="AN994" i="1" a="1"/>
  <c r="AN994" i="1" s="1"/>
  <c r="AO994" i="1" a="1"/>
  <c r="AO994" i="1" s="1"/>
  <c r="AP994" i="1" a="1"/>
  <c r="AP994" i="1" s="1"/>
  <c r="AQ994" i="1" a="1"/>
  <c r="AQ994" i="1" s="1"/>
  <c r="AR994" i="1" a="1"/>
  <c r="AR994" i="1" s="1"/>
  <c r="AS994" i="1" a="1"/>
  <c r="AS994" i="1" s="1"/>
  <c r="AT994" i="1" a="1"/>
  <c r="AT994" i="1" s="1"/>
  <c r="AU994" i="1" a="1"/>
  <c r="AU994" i="1" s="1"/>
  <c r="AV994" i="1" a="1"/>
  <c r="AV994" i="1" s="1"/>
  <c r="AW994" i="1" a="1"/>
  <c r="AW994" i="1" s="1"/>
  <c r="AX994" i="1" a="1"/>
  <c r="AX994" i="1" s="1"/>
  <c r="AY994" i="1" a="1"/>
  <c r="AY994" i="1" s="1"/>
  <c r="AZ994" i="1" a="1"/>
  <c r="AZ994" i="1" s="1"/>
  <c r="BA994" i="1" a="1"/>
  <c r="BA994" i="1" s="1"/>
  <c r="BB994" i="1" a="1"/>
  <c r="BB994" i="1" s="1"/>
  <c r="AL995" i="1" a="1"/>
  <c r="AL995" i="1" s="1"/>
  <c r="AM995" i="1" a="1"/>
  <c r="AM995" i="1" s="1"/>
  <c r="AN995" i="1" a="1"/>
  <c r="AN995" i="1" s="1"/>
  <c r="AO995" i="1" a="1"/>
  <c r="AO995" i="1" s="1"/>
  <c r="AP995" i="1" a="1"/>
  <c r="AP995" i="1" s="1"/>
  <c r="AQ995" i="1" a="1"/>
  <c r="AQ995" i="1" s="1"/>
  <c r="AR995" i="1" a="1"/>
  <c r="AR995" i="1" s="1"/>
  <c r="AS995" i="1" a="1"/>
  <c r="AS995" i="1" s="1"/>
  <c r="AT995" i="1" a="1"/>
  <c r="AT995" i="1" s="1"/>
  <c r="AU995" i="1" a="1"/>
  <c r="AU995" i="1" s="1"/>
  <c r="AV995" i="1" a="1"/>
  <c r="AV995" i="1" s="1"/>
  <c r="AW995" i="1" a="1"/>
  <c r="AW995" i="1" s="1"/>
  <c r="AX995" i="1" a="1"/>
  <c r="AX995" i="1" s="1"/>
  <c r="AY995" i="1" a="1"/>
  <c r="AY995" i="1" s="1"/>
  <c r="AZ995" i="1" a="1"/>
  <c r="AZ995" i="1" s="1"/>
  <c r="BA995" i="1" a="1"/>
  <c r="BA995" i="1" s="1"/>
  <c r="BB995" i="1" a="1"/>
  <c r="BB995" i="1" s="1"/>
  <c r="AL996" i="1" a="1"/>
  <c r="AL996" i="1" s="1"/>
  <c r="AM996" i="1" a="1"/>
  <c r="AM996" i="1" s="1"/>
  <c r="AN996" i="1" a="1"/>
  <c r="AN996" i="1" s="1"/>
  <c r="AO996" i="1" a="1"/>
  <c r="AO996" i="1" s="1"/>
  <c r="AP996" i="1" a="1"/>
  <c r="AP996" i="1" s="1"/>
  <c r="AQ996" i="1" a="1"/>
  <c r="AQ996" i="1" s="1"/>
  <c r="AR996" i="1" a="1"/>
  <c r="AR996" i="1" s="1"/>
  <c r="AS996" i="1" a="1"/>
  <c r="AS996" i="1" s="1"/>
  <c r="AT996" i="1" a="1"/>
  <c r="AT996" i="1" s="1"/>
  <c r="AU996" i="1" a="1"/>
  <c r="AU996" i="1" s="1"/>
  <c r="AV996" i="1" a="1"/>
  <c r="AV996" i="1" s="1"/>
  <c r="AW996" i="1" a="1"/>
  <c r="AW996" i="1" s="1"/>
  <c r="AX996" i="1" a="1"/>
  <c r="AX996" i="1" s="1"/>
  <c r="AY996" i="1" a="1"/>
  <c r="AY996" i="1" s="1"/>
  <c r="AZ996" i="1" a="1"/>
  <c r="AZ996" i="1" s="1"/>
  <c r="BA996" i="1" a="1"/>
  <c r="BA996" i="1" s="1"/>
  <c r="BB996" i="1" a="1"/>
  <c r="BB996" i="1" s="1"/>
  <c r="AL997" i="1" a="1"/>
  <c r="AL997" i="1" s="1"/>
  <c r="AM997" i="1" a="1"/>
  <c r="AM997" i="1" s="1"/>
  <c r="AN997" i="1" a="1"/>
  <c r="AN997" i="1" s="1"/>
  <c r="AO997" i="1" a="1"/>
  <c r="AO997" i="1" s="1"/>
  <c r="AP997" i="1" a="1"/>
  <c r="AP997" i="1" s="1"/>
  <c r="AQ997" i="1" a="1"/>
  <c r="AQ997" i="1" s="1"/>
  <c r="AR997" i="1" a="1"/>
  <c r="AR997" i="1" s="1"/>
  <c r="AS997" i="1" a="1"/>
  <c r="AS997" i="1" s="1"/>
  <c r="AT997" i="1" a="1"/>
  <c r="AT997" i="1" s="1"/>
  <c r="AU997" i="1" a="1"/>
  <c r="AU997" i="1" s="1"/>
  <c r="AV997" i="1" a="1"/>
  <c r="AV997" i="1" s="1"/>
  <c r="AW997" i="1" a="1"/>
  <c r="AW997" i="1" s="1"/>
  <c r="AX997" i="1" a="1"/>
  <c r="AX997" i="1" s="1"/>
  <c r="AY997" i="1" a="1"/>
  <c r="AY997" i="1" s="1"/>
  <c r="AZ997" i="1" a="1"/>
  <c r="AZ997" i="1" s="1"/>
  <c r="BA997" i="1" a="1"/>
  <c r="BA997" i="1" s="1"/>
  <c r="BB997" i="1" a="1"/>
  <c r="BB997" i="1" s="1"/>
  <c r="AL998" i="1" a="1"/>
  <c r="AL998" i="1" s="1"/>
  <c r="AM998" i="1" a="1"/>
  <c r="AM998" i="1" s="1"/>
  <c r="AN998" i="1" a="1"/>
  <c r="AN998" i="1" s="1"/>
  <c r="AO998" i="1" a="1"/>
  <c r="AO998" i="1" s="1"/>
  <c r="AP998" i="1" a="1"/>
  <c r="AP998" i="1" s="1"/>
  <c r="AQ998" i="1" a="1"/>
  <c r="AQ998" i="1" s="1"/>
  <c r="AR998" i="1" a="1"/>
  <c r="AR998" i="1" s="1"/>
  <c r="AS998" i="1" a="1"/>
  <c r="AS998" i="1" s="1"/>
  <c r="AT998" i="1" a="1"/>
  <c r="AT998" i="1" s="1"/>
  <c r="AU998" i="1" a="1"/>
  <c r="AU998" i="1" s="1"/>
  <c r="AV998" i="1" a="1"/>
  <c r="AV998" i="1" s="1"/>
  <c r="AW998" i="1" a="1"/>
  <c r="AW998" i="1" s="1"/>
  <c r="AX998" i="1" a="1"/>
  <c r="AX998" i="1" s="1"/>
  <c r="AY998" i="1" a="1"/>
  <c r="AY998" i="1" s="1"/>
  <c r="AZ998" i="1" a="1"/>
  <c r="AZ998" i="1" s="1"/>
  <c r="BA998" i="1" a="1"/>
  <c r="BA998" i="1" s="1"/>
  <c r="BB998" i="1" a="1"/>
  <c r="BB998" i="1" s="1"/>
  <c r="AL999" i="1" a="1"/>
  <c r="AL999" i="1" s="1"/>
  <c r="AM999" i="1" a="1"/>
  <c r="AM999" i="1" s="1"/>
  <c r="AN999" i="1" a="1"/>
  <c r="AN999" i="1" s="1"/>
  <c r="AO999" i="1" a="1"/>
  <c r="AO999" i="1" s="1"/>
  <c r="AP999" i="1" a="1"/>
  <c r="AP999" i="1" s="1"/>
  <c r="AQ999" i="1" a="1"/>
  <c r="AQ999" i="1" s="1"/>
  <c r="AR999" i="1" a="1"/>
  <c r="AR999" i="1" s="1"/>
  <c r="AS999" i="1" a="1"/>
  <c r="AS999" i="1" s="1"/>
  <c r="AT999" i="1" a="1"/>
  <c r="AT999" i="1" s="1"/>
  <c r="AU999" i="1" a="1"/>
  <c r="AU999" i="1" s="1"/>
  <c r="AV999" i="1" a="1"/>
  <c r="AV999" i="1" s="1"/>
  <c r="AW999" i="1" a="1"/>
  <c r="AW999" i="1" s="1"/>
  <c r="AX999" i="1" a="1"/>
  <c r="AX999" i="1" s="1"/>
  <c r="AY999" i="1" a="1"/>
  <c r="AY999" i="1" s="1"/>
  <c r="AZ999" i="1" a="1"/>
  <c r="AZ999" i="1" s="1"/>
  <c r="BA999" i="1" a="1"/>
  <c r="BA999" i="1" s="1"/>
  <c r="BB999" i="1" a="1"/>
  <c r="BB999" i="1" s="1"/>
  <c r="AL1000" i="1" a="1"/>
  <c r="AL1000" i="1" s="1"/>
  <c r="AM1000" i="1" a="1"/>
  <c r="AM1000" i="1" s="1"/>
  <c r="AN1000" i="1" a="1"/>
  <c r="AN1000" i="1" s="1"/>
  <c r="AO1000" i="1" a="1"/>
  <c r="AO1000" i="1" s="1"/>
  <c r="AP1000" i="1" a="1"/>
  <c r="AP1000" i="1" s="1"/>
  <c r="AQ1000" i="1" a="1"/>
  <c r="AQ1000" i="1" s="1"/>
  <c r="AR1000" i="1" a="1"/>
  <c r="AR1000" i="1" s="1"/>
  <c r="AS1000" i="1" a="1"/>
  <c r="AS1000" i="1" s="1"/>
  <c r="AT1000" i="1" a="1"/>
  <c r="AT1000" i="1" s="1"/>
  <c r="AU1000" i="1" a="1"/>
  <c r="AU1000" i="1" s="1"/>
  <c r="AV1000" i="1" a="1"/>
  <c r="AV1000" i="1" s="1"/>
  <c r="AW1000" i="1" a="1"/>
  <c r="AW1000" i="1" s="1"/>
  <c r="AX1000" i="1" a="1"/>
  <c r="AX1000" i="1" s="1"/>
  <c r="AY1000" i="1" a="1"/>
  <c r="AY1000" i="1" s="1"/>
  <c r="AZ1000" i="1" a="1"/>
  <c r="AZ1000" i="1" s="1"/>
  <c r="BA1000" i="1" a="1"/>
  <c r="BA1000" i="1" s="1"/>
  <c r="BB1000" i="1" a="1"/>
  <c r="BB1000" i="1" s="1"/>
  <c r="AL1001" i="1" a="1"/>
  <c r="AL1001" i="1" s="1"/>
  <c r="AM1001" i="1" a="1"/>
  <c r="AM1001" i="1" s="1"/>
  <c r="AN1001" i="1" a="1"/>
  <c r="AN1001" i="1" s="1"/>
  <c r="AO1001" i="1" a="1"/>
  <c r="AO1001" i="1" s="1"/>
  <c r="AP1001" i="1" a="1"/>
  <c r="AP1001" i="1" s="1"/>
  <c r="AQ1001" i="1" a="1"/>
  <c r="AQ1001" i="1" s="1"/>
  <c r="AR1001" i="1" a="1"/>
  <c r="AR1001" i="1" s="1"/>
  <c r="AS1001" i="1" a="1"/>
  <c r="AS1001" i="1" s="1"/>
  <c r="AT1001" i="1" a="1"/>
  <c r="AT1001" i="1" s="1"/>
  <c r="AU1001" i="1" a="1"/>
  <c r="AU1001" i="1" s="1"/>
  <c r="AV1001" i="1" a="1"/>
  <c r="AV1001" i="1" s="1"/>
  <c r="AW1001" i="1" a="1"/>
  <c r="AW1001" i="1" s="1"/>
  <c r="AX1001" i="1" a="1"/>
  <c r="AX1001" i="1" s="1"/>
  <c r="AY1001" i="1" a="1"/>
  <c r="AY1001" i="1" s="1"/>
  <c r="AZ1001" i="1" a="1"/>
  <c r="AZ1001" i="1" s="1"/>
  <c r="BA1001" i="1" a="1"/>
  <c r="BA1001" i="1" s="1"/>
  <c r="BB1001" i="1" a="1"/>
  <c r="BB1001" i="1" s="1"/>
  <c r="AL1002" i="1" a="1"/>
  <c r="AL1002" i="1" s="1"/>
  <c r="AM1002" i="1" a="1"/>
  <c r="AM1002" i="1" s="1"/>
  <c r="AN1002" i="1" a="1"/>
  <c r="AN1002" i="1" s="1"/>
  <c r="AO1002" i="1" a="1"/>
  <c r="AO1002" i="1" s="1"/>
  <c r="AP1002" i="1" a="1"/>
  <c r="AP1002" i="1" s="1"/>
  <c r="AQ1002" i="1" a="1"/>
  <c r="AQ1002" i="1" s="1"/>
  <c r="AR1002" i="1" a="1"/>
  <c r="AR1002" i="1" s="1"/>
  <c r="AS1002" i="1" a="1"/>
  <c r="AS1002" i="1" s="1"/>
  <c r="AT1002" i="1" a="1"/>
  <c r="AT1002" i="1" s="1"/>
  <c r="AU1002" i="1" a="1"/>
  <c r="AU1002" i="1" s="1"/>
  <c r="AV1002" i="1" a="1"/>
  <c r="AV1002" i="1" s="1"/>
  <c r="AW1002" i="1" a="1"/>
  <c r="AW1002" i="1" s="1"/>
  <c r="AX1002" i="1" a="1"/>
  <c r="AX1002" i="1" s="1"/>
  <c r="AY1002" i="1" a="1"/>
  <c r="AY1002" i="1" s="1"/>
  <c r="AZ1002" i="1" a="1"/>
  <c r="AZ1002" i="1" s="1"/>
  <c r="BA1002" i="1" a="1"/>
  <c r="BA1002" i="1" s="1"/>
  <c r="BB1002" i="1" a="1"/>
  <c r="BB1002" i="1" s="1"/>
  <c r="AL1003" i="1" a="1"/>
  <c r="AL1003" i="1" s="1"/>
  <c r="AM1003" i="1" a="1"/>
  <c r="AM1003" i="1" s="1"/>
  <c r="AN1003" i="1" a="1"/>
  <c r="AN1003" i="1" s="1"/>
  <c r="AO1003" i="1" a="1"/>
  <c r="AO1003" i="1" s="1"/>
  <c r="AP1003" i="1" a="1"/>
  <c r="AP1003" i="1" s="1"/>
  <c r="AQ1003" i="1" a="1"/>
  <c r="AQ1003" i="1" s="1"/>
  <c r="AR1003" i="1" a="1"/>
  <c r="AR1003" i="1" s="1"/>
  <c r="AS1003" i="1" a="1"/>
  <c r="AS1003" i="1" s="1"/>
  <c r="AT1003" i="1" a="1"/>
  <c r="AT1003" i="1" s="1"/>
  <c r="AU1003" i="1" a="1"/>
  <c r="AU1003" i="1" s="1"/>
  <c r="AV1003" i="1" a="1"/>
  <c r="AV1003" i="1" s="1"/>
  <c r="AW1003" i="1" a="1"/>
  <c r="AW1003" i="1" s="1"/>
  <c r="AX1003" i="1" a="1"/>
  <c r="AX1003" i="1" s="1"/>
  <c r="AY1003" i="1" a="1"/>
  <c r="AY1003" i="1" s="1"/>
  <c r="AZ1003" i="1" a="1"/>
  <c r="AZ1003" i="1" s="1"/>
  <c r="BA1003" i="1" a="1"/>
  <c r="BA1003" i="1" s="1"/>
  <c r="BB1003" i="1" a="1"/>
  <c r="BB1003" i="1" s="1"/>
  <c r="AL1004" i="1" a="1"/>
  <c r="AL1004" i="1" s="1"/>
  <c r="AM1004" i="1" a="1"/>
  <c r="AM1004" i="1" s="1"/>
  <c r="AN1004" i="1" a="1"/>
  <c r="AN1004" i="1" s="1"/>
  <c r="AO1004" i="1" a="1"/>
  <c r="AO1004" i="1" s="1"/>
  <c r="AP1004" i="1" a="1"/>
  <c r="AP1004" i="1" s="1"/>
  <c r="AQ1004" i="1" a="1"/>
  <c r="AQ1004" i="1" s="1"/>
  <c r="AR1004" i="1" a="1"/>
  <c r="AR1004" i="1" s="1"/>
  <c r="AS1004" i="1" a="1"/>
  <c r="AS1004" i="1" s="1"/>
  <c r="AT1004" i="1" a="1"/>
  <c r="AT1004" i="1" s="1"/>
  <c r="AU1004" i="1" a="1"/>
  <c r="AU1004" i="1" s="1"/>
  <c r="AV1004" i="1" a="1"/>
  <c r="AV1004" i="1" s="1"/>
  <c r="AW1004" i="1" a="1"/>
  <c r="AW1004" i="1" s="1"/>
  <c r="AX1004" i="1" a="1"/>
  <c r="AX1004" i="1" s="1"/>
  <c r="AY1004" i="1" a="1"/>
  <c r="AY1004" i="1" s="1"/>
  <c r="AZ1004" i="1" a="1"/>
  <c r="AZ1004" i="1" s="1"/>
  <c r="BA1004" i="1" a="1"/>
  <c r="BA1004" i="1" s="1"/>
  <c r="BB1004" i="1" a="1"/>
  <c r="BB1004" i="1" s="1"/>
  <c r="AL1005" i="1" a="1"/>
  <c r="AL1005" i="1" s="1"/>
  <c r="AM1005" i="1" a="1"/>
  <c r="AM1005" i="1" s="1"/>
  <c r="AN1005" i="1" a="1"/>
  <c r="AN1005" i="1" s="1"/>
  <c r="AO1005" i="1" a="1"/>
  <c r="AO1005" i="1" s="1"/>
  <c r="AP1005" i="1" a="1"/>
  <c r="AP1005" i="1" s="1"/>
  <c r="AQ1005" i="1" a="1"/>
  <c r="AQ1005" i="1" s="1"/>
  <c r="AR1005" i="1" a="1"/>
  <c r="AR1005" i="1" s="1"/>
  <c r="AS1005" i="1" a="1"/>
  <c r="AS1005" i="1" s="1"/>
  <c r="AT1005" i="1" a="1"/>
  <c r="AT1005" i="1" s="1"/>
  <c r="AU1005" i="1" a="1"/>
  <c r="AU1005" i="1" s="1"/>
  <c r="AV1005" i="1" a="1"/>
  <c r="AV1005" i="1" s="1"/>
  <c r="AW1005" i="1" a="1"/>
  <c r="AW1005" i="1" s="1"/>
  <c r="AX1005" i="1" a="1"/>
  <c r="AX1005" i="1" s="1"/>
  <c r="AY1005" i="1" a="1"/>
  <c r="AY1005" i="1" s="1"/>
  <c r="AZ1005" i="1" a="1"/>
  <c r="AZ1005" i="1" s="1"/>
  <c r="BA1005" i="1" a="1"/>
  <c r="BA1005" i="1" s="1"/>
  <c r="BB1005" i="1" a="1"/>
  <c r="BB1005" i="1" s="1"/>
  <c r="AL1006" i="1" a="1"/>
  <c r="AL1006" i="1" s="1"/>
  <c r="AM1006" i="1" a="1"/>
  <c r="AM1006" i="1" s="1"/>
  <c r="AN1006" i="1" a="1"/>
  <c r="AN1006" i="1" s="1"/>
  <c r="AO1006" i="1" a="1"/>
  <c r="AO1006" i="1" s="1"/>
  <c r="AP1006" i="1" a="1"/>
  <c r="AP1006" i="1" s="1"/>
  <c r="AQ1006" i="1" a="1"/>
  <c r="AQ1006" i="1" s="1"/>
  <c r="AR1006" i="1" a="1"/>
  <c r="AR1006" i="1" s="1"/>
  <c r="AS1006" i="1" a="1"/>
  <c r="AS1006" i="1" s="1"/>
  <c r="AT1006" i="1" a="1"/>
  <c r="AT1006" i="1" s="1"/>
  <c r="AU1006" i="1" a="1"/>
  <c r="AU1006" i="1" s="1"/>
  <c r="AV1006" i="1" a="1"/>
  <c r="AV1006" i="1" s="1"/>
  <c r="AW1006" i="1" a="1"/>
  <c r="AW1006" i="1" s="1"/>
  <c r="AX1006" i="1" a="1"/>
  <c r="AX1006" i="1" s="1"/>
  <c r="AY1006" i="1" a="1"/>
  <c r="AY1006" i="1" s="1"/>
  <c r="AZ1006" i="1" a="1"/>
  <c r="AZ1006" i="1" s="1"/>
  <c r="BA1006" i="1" a="1"/>
  <c r="BA1006" i="1" s="1"/>
  <c r="BB1006" i="1" a="1"/>
  <c r="BB1006" i="1" s="1"/>
  <c r="AL1007" i="1" a="1"/>
  <c r="AL1007" i="1" s="1"/>
  <c r="AM1007" i="1" a="1"/>
  <c r="AM1007" i="1" s="1"/>
  <c r="AN1007" i="1" a="1"/>
  <c r="AN1007" i="1" s="1"/>
  <c r="AO1007" i="1" a="1"/>
  <c r="AO1007" i="1" s="1"/>
  <c r="AP1007" i="1" a="1"/>
  <c r="AP1007" i="1" s="1"/>
  <c r="AQ1007" i="1" a="1"/>
  <c r="AQ1007" i="1" s="1"/>
  <c r="AR1007" i="1" a="1"/>
  <c r="AR1007" i="1" s="1"/>
  <c r="AS1007" i="1" a="1"/>
  <c r="AS1007" i="1" s="1"/>
  <c r="AT1007" i="1" a="1"/>
  <c r="AT1007" i="1" s="1"/>
  <c r="AU1007" i="1" a="1"/>
  <c r="AU1007" i="1" s="1"/>
  <c r="AV1007" i="1" a="1"/>
  <c r="AV1007" i="1" s="1"/>
  <c r="AW1007" i="1" a="1"/>
  <c r="AW1007" i="1" s="1"/>
  <c r="AX1007" i="1" a="1"/>
  <c r="AX1007" i="1" s="1"/>
  <c r="AY1007" i="1" a="1"/>
  <c r="AY1007" i="1" s="1"/>
  <c r="AZ1007" i="1" a="1"/>
  <c r="AZ1007" i="1" s="1"/>
  <c r="BA1007" i="1" a="1"/>
  <c r="BA1007" i="1" s="1"/>
  <c r="BB1007" i="1" a="1"/>
  <c r="BB1007" i="1" s="1"/>
  <c r="AL1008" i="1" a="1"/>
  <c r="AL1008" i="1" s="1"/>
  <c r="AM1008" i="1" a="1"/>
  <c r="AM1008" i="1" s="1"/>
  <c r="AN1008" i="1" a="1"/>
  <c r="AN1008" i="1" s="1"/>
  <c r="AO1008" i="1" a="1"/>
  <c r="AO1008" i="1" s="1"/>
  <c r="AP1008" i="1" a="1"/>
  <c r="AP1008" i="1" s="1"/>
  <c r="AQ1008" i="1" a="1"/>
  <c r="AQ1008" i="1" s="1"/>
  <c r="AR1008" i="1" a="1"/>
  <c r="AR1008" i="1" s="1"/>
  <c r="AS1008" i="1" a="1"/>
  <c r="AS1008" i="1" s="1"/>
  <c r="AT1008" i="1" a="1"/>
  <c r="AT1008" i="1" s="1"/>
  <c r="AU1008" i="1" a="1"/>
  <c r="AU1008" i="1" s="1"/>
  <c r="AV1008" i="1" a="1"/>
  <c r="AV1008" i="1" s="1"/>
  <c r="AW1008" i="1" a="1"/>
  <c r="AW1008" i="1" s="1"/>
  <c r="AX1008" i="1" a="1"/>
  <c r="AX1008" i="1" s="1"/>
  <c r="AY1008" i="1" a="1"/>
  <c r="AY1008" i="1" s="1"/>
  <c r="AZ1008" i="1" a="1"/>
  <c r="AZ1008" i="1" s="1"/>
  <c r="BA1008" i="1" a="1"/>
  <c r="BA1008" i="1" s="1"/>
  <c r="BB1008" i="1" a="1"/>
  <c r="BB1008" i="1" s="1"/>
  <c r="AL1009" i="1" a="1"/>
  <c r="AL1009" i="1" s="1"/>
  <c r="AM1009" i="1" a="1"/>
  <c r="AM1009" i="1" s="1"/>
  <c r="AN1009" i="1" a="1"/>
  <c r="AN1009" i="1" s="1"/>
  <c r="AO1009" i="1" a="1"/>
  <c r="AO1009" i="1" s="1"/>
  <c r="AP1009" i="1" a="1"/>
  <c r="AP1009" i="1" s="1"/>
  <c r="AQ1009" i="1" a="1"/>
  <c r="AQ1009" i="1" s="1"/>
  <c r="AR1009" i="1" a="1"/>
  <c r="AR1009" i="1" s="1"/>
  <c r="AS1009" i="1" a="1"/>
  <c r="AS1009" i="1" s="1"/>
  <c r="AT1009" i="1" a="1"/>
  <c r="AT1009" i="1" s="1"/>
  <c r="AU1009" i="1" a="1"/>
  <c r="AU1009" i="1" s="1"/>
  <c r="AV1009" i="1" a="1"/>
  <c r="AV1009" i="1" s="1"/>
  <c r="AW1009" i="1" a="1"/>
  <c r="AW1009" i="1" s="1"/>
  <c r="AX1009" i="1" a="1"/>
  <c r="AX1009" i="1" s="1"/>
  <c r="AY1009" i="1" a="1"/>
  <c r="AY1009" i="1" s="1"/>
  <c r="AZ1009" i="1" a="1"/>
  <c r="AZ1009" i="1" s="1"/>
  <c r="BA1009" i="1" a="1"/>
  <c r="BA1009" i="1" s="1"/>
  <c r="BB1009" i="1" a="1"/>
  <c r="BB1009" i="1" s="1"/>
  <c r="AL1010" i="1" a="1"/>
  <c r="AL1010" i="1" s="1"/>
  <c r="AM1010" i="1" a="1"/>
  <c r="AM1010" i="1" s="1"/>
  <c r="AN1010" i="1" a="1"/>
  <c r="AN1010" i="1" s="1"/>
  <c r="AO1010" i="1" a="1"/>
  <c r="AO1010" i="1" s="1"/>
  <c r="AP1010" i="1" a="1"/>
  <c r="AP1010" i="1" s="1"/>
  <c r="AQ1010" i="1" a="1"/>
  <c r="AQ1010" i="1" s="1"/>
  <c r="AR1010" i="1" a="1"/>
  <c r="AR1010" i="1" s="1"/>
  <c r="AS1010" i="1" a="1"/>
  <c r="AS1010" i="1" s="1"/>
  <c r="AT1010" i="1" a="1"/>
  <c r="AT1010" i="1" s="1"/>
  <c r="AU1010" i="1" a="1"/>
  <c r="AU1010" i="1" s="1"/>
  <c r="AV1010" i="1" a="1"/>
  <c r="AV1010" i="1" s="1"/>
  <c r="AW1010" i="1" a="1"/>
  <c r="AW1010" i="1" s="1"/>
  <c r="AX1010" i="1" a="1"/>
  <c r="AX1010" i="1" s="1"/>
  <c r="AY1010" i="1" a="1"/>
  <c r="AY1010" i="1" s="1"/>
  <c r="AZ1010" i="1" a="1"/>
  <c r="AZ1010" i="1" s="1"/>
  <c r="BA1010" i="1" a="1"/>
  <c r="BA1010" i="1" s="1"/>
  <c r="BB1010" i="1" a="1"/>
  <c r="BB1010" i="1" s="1"/>
  <c r="AL1011" i="1" a="1"/>
  <c r="AL1011" i="1" s="1"/>
  <c r="AM1011" i="1" a="1"/>
  <c r="AM1011" i="1" s="1"/>
  <c r="AN1011" i="1" a="1"/>
  <c r="AN1011" i="1" s="1"/>
  <c r="AO1011" i="1" a="1"/>
  <c r="AO1011" i="1" s="1"/>
  <c r="AP1011" i="1" a="1"/>
  <c r="AP1011" i="1" s="1"/>
  <c r="AQ1011" i="1" a="1"/>
  <c r="AQ1011" i="1" s="1"/>
  <c r="AR1011" i="1" a="1"/>
  <c r="AR1011" i="1" s="1"/>
  <c r="AS1011" i="1" a="1"/>
  <c r="AS1011" i="1" s="1"/>
  <c r="AT1011" i="1" a="1"/>
  <c r="AT1011" i="1" s="1"/>
  <c r="AU1011" i="1" a="1"/>
  <c r="AU1011" i="1" s="1"/>
  <c r="AV1011" i="1" a="1"/>
  <c r="AV1011" i="1" s="1"/>
  <c r="AW1011" i="1" a="1"/>
  <c r="AW1011" i="1" s="1"/>
  <c r="AX1011" i="1" a="1"/>
  <c r="AX1011" i="1" s="1"/>
  <c r="AY1011" i="1" a="1"/>
  <c r="AY1011" i="1" s="1"/>
  <c r="AZ1011" i="1" a="1"/>
  <c r="AZ1011" i="1" s="1"/>
  <c r="BA1011" i="1" a="1"/>
  <c r="BA1011" i="1" s="1"/>
  <c r="BB1011" i="1" a="1"/>
  <c r="BB1011" i="1" s="1"/>
  <c r="AL1012" i="1" a="1"/>
  <c r="AL1012" i="1" s="1"/>
  <c r="AM1012" i="1" a="1"/>
  <c r="AM1012" i="1" s="1"/>
  <c r="AN1012" i="1" a="1"/>
  <c r="AN1012" i="1" s="1"/>
  <c r="AO1012" i="1" a="1"/>
  <c r="AO1012" i="1" s="1"/>
  <c r="AP1012" i="1" a="1"/>
  <c r="AP1012" i="1" s="1"/>
  <c r="AQ1012" i="1" a="1"/>
  <c r="AQ1012" i="1" s="1"/>
  <c r="AR1012" i="1" a="1"/>
  <c r="AR1012" i="1" s="1"/>
  <c r="AS1012" i="1" a="1"/>
  <c r="AS1012" i="1" s="1"/>
  <c r="AT1012" i="1" a="1"/>
  <c r="AT1012" i="1" s="1"/>
  <c r="AU1012" i="1" a="1"/>
  <c r="AU1012" i="1" s="1"/>
  <c r="AV1012" i="1" a="1"/>
  <c r="AV1012" i="1" s="1"/>
  <c r="AW1012" i="1" a="1"/>
  <c r="AW1012" i="1" s="1"/>
  <c r="AX1012" i="1" a="1"/>
  <c r="AX1012" i="1" s="1"/>
  <c r="AY1012" i="1" a="1"/>
  <c r="AY1012" i="1" s="1"/>
  <c r="AZ1012" i="1" a="1"/>
  <c r="AZ1012" i="1" s="1"/>
  <c r="BA1012" i="1" a="1"/>
  <c r="BA1012" i="1" s="1"/>
  <c r="BB1012" i="1" a="1"/>
  <c r="BB1012" i="1" s="1"/>
  <c r="AL1013" i="1" a="1"/>
  <c r="AL1013" i="1" s="1"/>
  <c r="AM1013" i="1" a="1"/>
  <c r="AM1013" i="1" s="1"/>
  <c r="AN1013" i="1" a="1"/>
  <c r="AN1013" i="1" s="1"/>
  <c r="AO1013" i="1" a="1"/>
  <c r="AO1013" i="1" s="1"/>
  <c r="AP1013" i="1" a="1"/>
  <c r="AP1013" i="1" s="1"/>
  <c r="AQ1013" i="1" a="1"/>
  <c r="AQ1013" i="1" s="1"/>
  <c r="AR1013" i="1" a="1"/>
  <c r="AR1013" i="1" s="1"/>
  <c r="AS1013" i="1" a="1"/>
  <c r="AS1013" i="1" s="1"/>
  <c r="AT1013" i="1" a="1"/>
  <c r="AT1013" i="1" s="1"/>
  <c r="AU1013" i="1" a="1"/>
  <c r="AU1013" i="1" s="1"/>
  <c r="AV1013" i="1" a="1"/>
  <c r="AV1013" i="1" s="1"/>
  <c r="AW1013" i="1" a="1"/>
  <c r="AW1013" i="1" s="1"/>
  <c r="AX1013" i="1" a="1"/>
  <c r="AX1013" i="1" s="1"/>
  <c r="AY1013" i="1" a="1"/>
  <c r="AY1013" i="1" s="1"/>
  <c r="AZ1013" i="1" a="1"/>
  <c r="AZ1013" i="1" s="1"/>
  <c r="BA1013" i="1" a="1"/>
  <c r="BA1013" i="1" s="1"/>
  <c r="BB1013" i="1" a="1"/>
  <c r="BB1013" i="1" s="1"/>
  <c r="AL1014" i="1" a="1"/>
  <c r="AL1014" i="1" s="1"/>
  <c r="AM1014" i="1" a="1"/>
  <c r="AM1014" i="1" s="1"/>
  <c r="AN1014" i="1" a="1"/>
  <c r="AN1014" i="1" s="1"/>
  <c r="AO1014" i="1" a="1"/>
  <c r="AO1014" i="1" s="1"/>
  <c r="AP1014" i="1" a="1"/>
  <c r="AP1014" i="1" s="1"/>
  <c r="AQ1014" i="1" a="1"/>
  <c r="AQ1014" i="1" s="1"/>
  <c r="AR1014" i="1" a="1"/>
  <c r="AR1014" i="1" s="1"/>
  <c r="AS1014" i="1" a="1"/>
  <c r="AS1014" i="1" s="1"/>
  <c r="AT1014" i="1" a="1"/>
  <c r="AT1014" i="1" s="1"/>
  <c r="AU1014" i="1" a="1"/>
  <c r="AU1014" i="1" s="1"/>
  <c r="AV1014" i="1" a="1"/>
  <c r="AV1014" i="1" s="1"/>
  <c r="AW1014" i="1" a="1"/>
  <c r="AW1014" i="1" s="1"/>
  <c r="AX1014" i="1" a="1"/>
  <c r="AX1014" i="1" s="1"/>
  <c r="AY1014" i="1" a="1"/>
  <c r="AY1014" i="1" s="1"/>
  <c r="AZ1014" i="1" a="1"/>
  <c r="AZ1014" i="1" s="1"/>
  <c r="BA1014" i="1" a="1"/>
  <c r="BA1014" i="1" s="1"/>
  <c r="BB1014" i="1" a="1"/>
  <c r="BB1014" i="1" s="1"/>
  <c r="AL1015" i="1" a="1"/>
  <c r="AL1015" i="1" s="1"/>
  <c r="AM1015" i="1" a="1"/>
  <c r="AM1015" i="1" s="1"/>
  <c r="AN1015" i="1" a="1"/>
  <c r="AN1015" i="1" s="1"/>
  <c r="AO1015" i="1" a="1"/>
  <c r="AO1015" i="1" s="1"/>
  <c r="AP1015" i="1" a="1"/>
  <c r="AP1015" i="1" s="1"/>
  <c r="AQ1015" i="1" a="1"/>
  <c r="AQ1015" i="1" s="1"/>
  <c r="AR1015" i="1" a="1"/>
  <c r="AR1015" i="1" s="1"/>
  <c r="AS1015" i="1" a="1"/>
  <c r="AS1015" i="1" s="1"/>
  <c r="AT1015" i="1" a="1"/>
  <c r="AT1015" i="1" s="1"/>
  <c r="AU1015" i="1" a="1"/>
  <c r="AU1015" i="1" s="1"/>
  <c r="AV1015" i="1" a="1"/>
  <c r="AV1015" i="1" s="1"/>
  <c r="AW1015" i="1" a="1"/>
  <c r="AW1015" i="1" s="1"/>
  <c r="AX1015" i="1" a="1"/>
  <c r="AX1015" i="1" s="1"/>
  <c r="AY1015" i="1" a="1"/>
  <c r="AY1015" i="1" s="1"/>
  <c r="AZ1015" i="1" a="1"/>
  <c r="AZ1015" i="1" s="1"/>
  <c r="BA1015" i="1" a="1"/>
  <c r="BA1015" i="1" s="1"/>
  <c r="BB1015" i="1" a="1"/>
  <c r="BB1015" i="1" s="1"/>
  <c r="AL1016" i="1" a="1"/>
  <c r="AL1016" i="1" s="1"/>
  <c r="AM1016" i="1" a="1"/>
  <c r="AM1016" i="1" s="1"/>
  <c r="AN1016" i="1" a="1"/>
  <c r="AN1016" i="1" s="1"/>
  <c r="AO1016" i="1" a="1"/>
  <c r="AO1016" i="1" s="1"/>
  <c r="AP1016" i="1" a="1"/>
  <c r="AP1016" i="1" s="1"/>
  <c r="AQ1016" i="1" a="1"/>
  <c r="AQ1016" i="1" s="1"/>
  <c r="AR1016" i="1" a="1"/>
  <c r="AR1016" i="1" s="1"/>
  <c r="AS1016" i="1" a="1"/>
  <c r="AS1016" i="1" s="1"/>
  <c r="AT1016" i="1" a="1"/>
  <c r="AT1016" i="1" s="1"/>
  <c r="AU1016" i="1" a="1"/>
  <c r="AU1016" i="1" s="1"/>
  <c r="AV1016" i="1" a="1"/>
  <c r="AV1016" i="1" s="1"/>
  <c r="AW1016" i="1" a="1"/>
  <c r="AW1016" i="1" s="1"/>
  <c r="AX1016" i="1" a="1"/>
  <c r="AX1016" i="1" s="1"/>
  <c r="AY1016" i="1" a="1"/>
  <c r="AY1016" i="1" s="1"/>
  <c r="AZ1016" i="1" a="1"/>
  <c r="AZ1016" i="1" s="1"/>
  <c r="BA1016" i="1" a="1"/>
  <c r="BA1016" i="1" s="1"/>
  <c r="BB1016" i="1" a="1"/>
  <c r="BB1016" i="1" s="1"/>
  <c r="AL1017" i="1" a="1"/>
  <c r="AL1017" i="1" s="1"/>
  <c r="AM1017" i="1" a="1"/>
  <c r="AM1017" i="1" s="1"/>
  <c r="AN1017" i="1" a="1"/>
  <c r="AN1017" i="1" s="1"/>
  <c r="AO1017" i="1" a="1"/>
  <c r="AO1017" i="1" s="1"/>
  <c r="AP1017" i="1" a="1"/>
  <c r="AP1017" i="1" s="1"/>
  <c r="AQ1017" i="1" a="1"/>
  <c r="AQ1017" i="1" s="1"/>
  <c r="AR1017" i="1" a="1"/>
  <c r="AR1017" i="1" s="1"/>
  <c r="AS1017" i="1" a="1"/>
  <c r="AS1017" i="1" s="1"/>
  <c r="AT1017" i="1" a="1"/>
  <c r="AT1017" i="1" s="1"/>
  <c r="AU1017" i="1" a="1"/>
  <c r="AU1017" i="1" s="1"/>
  <c r="AV1017" i="1" a="1"/>
  <c r="AV1017" i="1" s="1"/>
  <c r="AW1017" i="1" a="1"/>
  <c r="AW1017" i="1" s="1"/>
  <c r="AX1017" i="1" a="1"/>
  <c r="AX1017" i="1" s="1"/>
  <c r="AY1017" i="1" a="1"/>
  <c r="AY1017" i="1" s="1"/>
  <c r="AZ1017" i="1" a="1"/>
  <c r="AZ1017" i="1" s="1"/>
  <c r="BA1017" i="1" a="1"/>
  <c r="BA1017" i="1" s="1"/>
  <c r="BB1017" i="1" a="1"/>
  <c r="BB1017" i="1" s="1"/>
  <c r="AL1018" i="1" a="1"/>
  <c r="AL1018" i="1" s="1"/>
  <c r="AM1018" i="1" a="1"/>
  <c r="AM1018" i="1" s="1"/>
  <c r="AN1018" i="1" a="1"/>
  <c r="AN1018" i="1" s="1"/>
  <c r="AO1018" i="1" a="1"/>
  <c r="AO1018" i="1" s="1"/>
  <c r="AP1018" i="1" a="1"/>
  <c r="AP1018" i="1" s="1"/>
  <c r="AQ1018" i="1" a="1"/>
  <c r="AQ1018" i="1" s="1"/>
  <c r="AR1018" i="1" a="1"/>
  <c r="AR1018" i="1" s="1"/>
  <c r="AS1018" i="1" a="1"/>
  <c r="AS1018" i="1" s="1"/>
  <c r="AT1018" i="1" a="1"/>
  <c r="AT1018" i="1" s="1"/>
  <c r="AU1018" i="1" a="1"/>
  <c r="AU1018" i="1" s="1"/>
  <c r="AV1018" i="1" a="1"/>
  <c r="AV1018" i="1" s="1"/>
  <c r="AW1018" i="1" a="1"/>
  <c r="AW1018" i="1" s="1"/>
  <c r="AX1018" i="1" a="1"/>
  <c r="AX1018" i="1" s="1"/>
  <c r="AY1018" i="1" a="1"/>
  <c r="AY1018" i="1" s="1"/>
  <c r="AZ1018" i="1" a="1"/>
  <c r="AZ1018" i="1" s="1"/>
  <c r="BA1018" i="1" a="1"/>
  <c r="BA1018" i="1" s="1"/>
  <c r="BB1018" i="1" a="1"/>
  <c r="BB1018" i="1" s="1"/>
  <c r="AL1019" i="1" a="1"/>
  <c r="AL1019" i="1" s="1"/>
  <c r="AM1019" i="1" a="1"/>
  <c r="AM1019" i="1" s="1"/>
  <c r="AN1019" i="1" a="1"/>
  <c r="AN1019" i="1" s="1"/>
  <c r="AO1019" i="1" a="1"/>
  <c r="AO1019" i="1" s="1"/>
  <c r="AP1019" i="1" a="1"/>
  <c r="AP1019" i="1" s="1"/>
  <c r="AQ1019" i="1" a="1"/>
  <c r="AQ1019" i="1" s="1"/>
  <c r="AR1019" i="1" a="1"/>
  <c r="AR1019" i="1" s="1"/>
  <c r="AS1019" i="1" a="1"/>
  <c r="AS1019" i="1" s="1"/>
  <c r="AT1019" i="1" a="1"/>
  <c r="AT1019" i="1" s="1"/>
  <c r="AU1019" i="1" a="1"/>
  <c r="AU1019" i="1" s="1"/>
  <c r="AV1019" i="1" a="1"/>
  <c r="AV1019" i="1" s="1"/>
  <c r="AW1019" i="1" a="1"/>
  <c r="AW1019" i="1" s="1"/>
  <c r="AX1019" i="1" a="1"/>
  <c r="AX1019" i="1" s="1"/>
  <c r="AY1019" i="1" a="1"/>
  <c r="AY1019" i="1" s="1"/>
  <c r="AZ1019" i="1" a="1"/>
  <c r="AZ1019" i="1" s="1"/>
  <c r="BA1019" i="1" a="1"/>
  <c r="BA1019" i="1" s="1"/>
  <c r="BB1019" i="1" a="1"/>
  <c r="BB1019" i="1" s="1"/>
  <c r="AL1020" i="1" a="1"/>
  <c r="AL1020" i="1" s="1"/>
  <c r="AM1020" i="1" a="1"/>
  <c r="AM1020" i="1" s="1"/>
  <c r="AN1020" i="1" a="1"/>
  <c r="AN1020" i="1" s="1"/>
  <c r="AO1020" i="1" a="1"/>
  <c r="AO1020" i="1" s="1"/>
  <c r="AP1020" i="1" a="1"/>
  <c r="AP1020" i="1" s="1"/>
  <c r="AQ1020" i="1" a="1"/>
  <c r="AQ1020" i="1" s="1"/>
  <c r="AR1020" i="1" a="1"/>
  <c r="AR1020" i="1" s="1"/>
  <c r="AS1020" i="1" a="1"/>
  <c r="AS1020" i="1" s="1"/>
  <c r="AT1020" i="1" a="1"/>
  <c r="AT1020" i="1" s="1"/>
  <c r="AU1020" i="1" a="1"/>
  <c r="AU1020" i="1" s="1"/>
  <c r="AV1020" i="1" a="1"/>
  <c r="AV1020" i="1" s="1"/>
  <c r="AW1020" i="1" a="1"/>
  <c r="AW1020" i="1" s="1"/>
  <c r="AX1020" i="1" a="1"/>
  <c r="AX1020" i="1" s="1"/>
  <c r="AY1020" i="1" a="1"/>
  <c r="AY1020" i="1" s="1"/>
  <c r="AZ1020" i="1" a="1"/>
  <c r="AZ1020" i="1" s="1"/>
  <c r="BA1020" i="1" a="1"/>
  <c r="BA1020" i="1" s="1"/>
  <c r="BB1020" i="1" a="1"/>
  <c r="BB1020" i="1" s="1"/>
  <c r="AL1021" i="1" a="1"/>
  <c r="AL1021" i="1" s="1"/>
  <c r="AM1021" i="1" a="1"/>
  <c r="AM1021" i="1" s="1"/>
  <c r="AN1021" i="1" a="1"/>
  <c r="AN1021" i="1" s="1"/>
  <c r="AO1021" i="1" a="1"/>
  <c r="AO1021" i="1" s="1"/>
  <c r="AP1021" i="1" a="1"/>
  <c r="AP1021" i="1" s="1"/>
  <c r="AQ1021" i="1" a="1"/>
  <c r="AQ1021" i="1" s="1"/>
  <c r="AR1021" i="1" a="1"/>
  <c r="AR1021" i="1" s="1"/>
  <c r="AS1021" i="1" a="1"/>
  <c r="AS1021" i="1" s="1"/>
  <c r="AT1021" i="1" a="1"/>
  <c r="AT1021" i="1" s="1"/>
  <c r="AU1021" i="1" a="1"/>
  <c r="AU1021" i="1" s="1"/>
  <c r="AV1021" i="1" a="1"/>
  <c r="AV1021" i="1" s="1"/>
  <c r="AW1021" i="1" a="1"/>
  <c r="AW1021" i="1" s="1"/>
  <c r="AX1021" i="1" a="1"/>
  <c r="AX1021" i="1" s="1"/>
  <c r="AY1021" i="1" a="1"/>
  <c r="AY1021" i="1" s="1"/>
  <c r="AZ1021" i="1" a="1"/>
  <c r="AZ1021" i="1" s="1"/>
  <c r="BA1021" i="1" a="1"/>
  <c r="BA1021" i="1" s="1"/>
  <c r="BB1021" i="1" a="1"/>
  <c r="BB1021" i="1" s="1"/>
  <c r="AL1022" i="1" a="1"/>
  <c r="AL1022" i="1" s="1"/>
  <c r="AM1022" i="1" a="1"/>
  <c r="AM1022" i="1" s="1"/>
  <c r="AN1022" i="1" a="1"/>
  <c r="AN1022" i="1" s="1"/>
  <c r="AO1022" i="1" a="1"/>
  <c r="AO1022" i="1" s="1"/>
  <c r="AP1022" i="1" a="1"/>
  <c r="AP1022" i="1" s="1"/>
  <c r="AQ1022" i="1" a="1"/>
  <c r="AQ1022" i="1" s="1"/>
  <c r="AR1022" i="1" a="1"/>
  <c r="AR1022" i="1" s="1"/>
  <c r="AS1022" i="1" a="1"/>
  <c r="AS1022" i="1" s="1"/>
  <c r="AT1022" i="1" a="1"/>
  <c r="AT1022" i="1" s="1"/>
  <c r="AU1022" i="1" a="1"/>
  <c r="AU1022" i="1" s="1"/>
  <c r="AV1022" i="1" a="1"/>
  <c r="AV1022" i="1" s="1"/>
  <c r="AW1022" i="1" a="1"/>
  <c r="AW1022" i="1" s="1"/>
  <c r="AX1022" i="1" a="1"/>
  <c r="AX1022" i="1" s="1"/>
  <c r="AY1022" i="1" a="1"/>
  <c r="AY1022" i="1" s="1"/>
  <c r="AZ1022" i="1" a="1"/>
  <c r="AZ1022" i="1" s="1"/>
  <c r="BA1022" i="1" a="1"/>
  <c r="BA1022" i="1" s="1"/>
  <c r="BB1022" i="1" a="1"/>
  <c r="BB1022" i="1" s="1"/>
  <c r="AL1023" i="1" a="1"/>
  <c r="AL1023" i="1" s="1"/>
  <c r="AM1023" i="1" a="1"/>
  <c r="AM1023" i="1" s="1"/>
  <c r="AN1023" i="1" a="1"/>
  <c r="AN1023" i="1" s="1"/>
  <c r="AO1023" i="1" a="1"/>
  <c r="AO1023" i="1" s="1"/>
  <c r="AP1023" i="1" a="1"/>
  <c r="AP1023" i="1" s="1"/>
  <c r="AQ1023" i="1" a="1"/>
  <c r="AQ1023" i="1" s="1"/>
  <c r="AR1023" i="1" a="1"/>
  <c r="AR1023" i="1" s="1"/>
  <c r="AS1023" i="1" a="1"/>
  <c r="AS1023" i="1" s="1"/>
  <c r="AT1023" i="1" a="1"/>
  <c r="AT1023" i="1" s="1"/>
  <c r="AU1023" i="1" a="1"/>
  <c r="AU1023" i="1" s="1"/>
  <c r="AV1023" i="1" a="1"/>
  <c r="AV1023" i="1" s="1"/>
  <c r="AW1023" i="1" a="1"/>
  <c r="AW1023" i="1" s="1"/>
  <c r="AX1023" i="1" a="1"/>
  <c r="AX1023" i="1" s="1"/>
  <c r="AY1023" i="1" a="1"/>
  <c r="AY1023" i="1" s="1"/>
  <c r="AZ1023" i="1" a="1"/>
  <c r="AZ1023" i="1" s="1"/>
  <c r="BA1023" i="1" a="1"/>
  <c r="BA1023" i="1" s="1"/>
  <c r="BB1023" i="1" a="1"/>
  <c r="BB1023" i="1" s="1"/>
  <c r="AL1024" i="1" a="1"/>
  <c r="AL1024" i="1" s="1"/>
  <c r="AM1024" i="1" a="1"/>
  <c r="AM1024" i="1" s="1"/>
  <c r="AN1024" i="1" a="1"/>
  <c r="AN1024" i="1" s="1"/>
  <c r="AO1024" i="1" a="1"/>
  <c r="AO1024" i="1" s="1"/>
  <c r="AP1024" i="1" a="1"/>
  <c r="AP1024" i="1" s="1"/>
  <c r="AQ1024" i="1" a="1"/>
  <c r="AQ1024" i="1" s="1"/>
  <c r="AR1024" i="1" a="1"/>
  <c r="AR1024" i="1" s="1"/>
  <c r="AS1024" i="1" a="1"/>
  <c r="AS1024" i="1" s="1"/>
  <c r="AT1024" i="1" a="1"/>
  <c r="AT1024" i="1" s="1"/>
  <c r="AU1024" i="1" a="1"/>
  <c r="AU1024" i="1" s="1"/>
  <c r="AV1024" i="1" a="1"/>
  <c r="AV1024" i="1" s="1"/>
  <c r="AW1024" i="1" a="1"/>
  <c r="AW1024" i="1" s="1"/>
  <c r="AX1024" i="1" a="1"/>
  <c r="AX1024" i="1" s="1"/>
  <c r="AY1024" i="1" a="1"/>
  <c r="AY1024" i="1" s="1"/>
  <c r="AZ1024" i="1" a="1"/>
  <c r="AZ1024" i="1" s="1"/>
  <c r="BA1024" i="1" a="1"/>
  <c r="BA1024" i="1" s="1"/>
  <c r="BB1024" i="1" a="1"/>
  <c r="BB1024" i="1" s="1"/>
  <c r="AL1025" i="1" a="1"/>
  <c r="AL1025" i="1" s="1"/>
  <c r="AM1025" i="1" a="1"/>
  <c r="AM1025" i="1" s="1"/>
  <c r="AN1025" i="1" a="1"/>
  <c r="AN1025" i="1" s="1"/>
  <c r="AO1025" i="1" a="1"/>
  <c r="AO1025" i="1" s="1"/>
  <c r="AP1025" i="1" a="1"/>
  <c r="AP1025" i="1" s="1"/>
  <c r="AQ1025" i="1" a="1"/>
  <c r="AQ1025" i="1" s="1"/>
  <c r="AR1025" i="1" a="1"/>
  <c r="AR1025" i="1" s="1"/>
  <c r="AS1025" i="1" a="1"/>
  <c r="AS1025" i="1" s="1"/>
  <c r="AT1025" i="1" a="1"/>
  <c r="AT1025" i="1" s="1"/>
  <c r="AU1025" i="1" a="1"/>
  <c r="AU1025" i="1" s="1"/>
  <c r="AV1025" i="1" a="1"/>
  <c r="AV1025" i="1" s="1"/>
  <c r="AW1025" i="1" a="1"/>
  <c r="AW1025" i="1" s="1"/>
  <c r="AX1025" i="1" a="1"/>
  <c r="AX1025" i="1" s="1"/>
  <c r="AY1025" i="1" a="1"/>
  <c r="AY1025" i="1" s="1"/>
  <c r="AZ1025" i="1" a="1"/>
  <c r="AZ1025" i="1" s="1"/>
  <c r="BA1025" i="1" a="1"/>
  <c r="BA1025" i="1" s="1"/>
  <c r="BB1025" i="1" a="1"/>
  <c r="BB1025" i="1" s="1"/>
  <c r="AL1026" i="1" a="1"/>
  <c r="AL1026" i="1" s="1"/>
  <c r="AM1026" i="1" a="1"/>
  <c r="AM1026" i="1" s="1"/>
  <c r="AN1026" i="1" a="1"/>
  <c r="AN1026" i="1" s="1"/>
  <c r="AO1026" i="1" a="1"/>
  <c r="AO1026" i="1" s="1"/>
  <c r="AP1026" i="1" a="1"/>
  <c r="AP1026" i="1" s="1"/>
  <c r="AQ1026" i="1" a="1"/>
  <c r="AQ1026" i="1" s="1"/>
  <c r="AR1026" i="1" a="1"/>
  <c r="AR1026" i="1" s="1"/>
  <c r="AS1026" i="1" a="1"/>
  <c r="AS1026" i="1" s="1"/>
  <c r="AT1026" i="1" a="1"/>
  <c r="AT1026" i="1" s="1"/>
  <c r="AU1026" i="1" a="1"/>
  <c r="AU1026" i="1" s="1"/>
  <c r="AV1026" i="1" a="1"/>
  <c r="AV1026" i="1" s="1"/>
  <c r="AW1026" i="1" a="1"/>
  <c r="AW1026" i="1" s="1"/>
  <c r="AX1026" i="1" a="1"/>
  <c r="AX1026" i="1" s="1"/>
  <c r="AY1026" i="1" a="1"/>
  <c r="AY1026" i="1" s="1"/>
  <c r="AZ1026" i="1" a="1"/>
  <c r="AZ1026" i="1" s="1"/>
  <c r="BA1026" i="1" a="1"/>
  <c r="BA1026" i="1" s="1"/>
  <c r="BB1026" i="1" a="1"/>
  <c r="BB1026" i="1" s="1"/>
  <c r="AL1027" i="1" a="1"/>
  <c r="AL1027" i="1" s="1"/>
  <c r="AM1027" i="1" a="1"/>
  <c r="AM1027" i="1" s="1"/>
  <c r="AN1027" i="1" a="1"/>
  <c r="AN1027" i="1" s="1"/>
  <c r="AO1027" i="1" a="1"/>
  <c r="AO1027" i="1" s="1"/>
  <c r="AP1027" i="1" a="1"/>
  <c r="AP1027" i="1" s="1"/>
  <c r="AQ1027" i="1" a="1"/>
  <c r="AQ1027" i="1" s="1"/>
  <c r="AR1027" i="1" a="1"/>
  <c r="AR1027" i="1" s="1"/>
  <c r="AS1027" i="1" a="1"/>
  <c r="AS1027" i="1" s="1"/>
  <c r="AT1027" i="1" a="1"/>
  <c r="AT1027" i="1" s="1"/>
  <c r="AU1027" i="1" a="1"/>
  <c r="AU1027" i="1" s="1"/>
  <c r="AV1027" i="1" a="1"/>
  <c r="AV1027" i="1" s="1"/>
  <c r="AW1027" i="1" a="1"/>
  <c r="AW1027" i="1" s="1"/>
  <c r="AX1027" i="1" a="1"/>
  <c r="AX1027" i="1" s="1"/>
  <c r="AY1027" i="1" a="1"/>
  <c r="AY1027" i="1" s="1"/>
  <c r="AZ1027" i="1" a="1"/>
  <c r="AZ1027" i="1" s="1"/>
  <c r="BA1027" i="1" a="1"/>
  <c r="BA1027" i="1" s="1"/>
  <c r="BB1027" i="1" a="1"/>
  <c r="BB1027" i="1" s="1"/>
  <c r="AL1028" i="1" a="1"/>
  <c r="AL1028" i="1" s="1"/>
  <c r="AM1028" i="1" a="1"/>
  <c r="AM1028" i="1" s="1"/>
  <c r="AN1028" i="1" a="1"/>
  <c r="AN1028" i="1" s="1"/>
  <c r="AO1028" i="1" a="1"/>
  <c r="AO1028" i="1" s="1"/>
  <c r="AP1028" i="1" a="1"/>
  <c r="AP1028" i="1" s="1"/>
  <c r="AQ1028" i="1" a="1"/>
  <c r="AQ1028" i="1" s="1"/>
  <c r="AR1028" i="1" a="1"/>
  <c r="AR1028" i="1" s="1"/>
  <c r="AS1028" i="1" a="1"/>
  <c r="AS1028" i="1" s="1"/>
  <c r="AT1028" i="1" a="1"/>
  <c r="AT1028" i="1" s="1"/>
  <c r="AU1028" i="1" a="1"/>
  <c r="AU1028" i="1" s="1"/>
  <c r="AV1028" i="1" a="1"/>
  <c r="AV1028" i="1" s="1"/>
  <c r="AW1028" i="1" a="1"/>
  <c r="AW1028" i="1" s="1"/>
  <c r="AX1028" i="1" a="1"/>
  <c r="AX1028" i="1" s="1"/>
  <c r="AY1028" i="1" a="1"/>
  <c r="AY1028" i="1" s="1"/>
  <c r="AZ1028" i="1" a="1"/>
  <c r="AZ1028" i="1" s="1"/>
  <c r="BA1028" i="1" a="1"/>
  <c r="BA1028" i="1" s="1"/>
  <c r="BB1028" i="1" a="1"/>
  <c r="BB1028" i="1" s="1"/>
  <c r="AL1029" i="1" a="1"/>
  <c r="AL1029" i="1" s="1"/>
  <c r="AM1029" i="1" a="1"/>
  <c r="AM1029" i="1" s="1"/>
  <c r="AN1029" i="1" a="1"/>
  <c r="AN1029" i="1" s="1"/>
  <c r="AO1029" i="1" a="1"/>
  <c r="AO1029" i="1" s="1"/>
  <c r="AP1029" i="1" a="1"/>
  <c r="AP1029" i="1" s="1"/>
  <c r="AQ1029" i="1" a="1"/>
  <c r="AQ1029" i="1" s="1"/>
  <c r="AR1029" i="1" a="1"/>
  <c r="AR1029" i="1" s="1"/>
  <c r="AS1029" i="1" a="1"/>
  <c r="AS1029" i="1" s="1"/>
  <c r="AT1029" i="1" a="1"/>
  <c r="AT1029" i="1" s="1"/>
  <c r="AU1029" i="1" a="1"/>
  <c r="AU1029" i="1" s="1"/>
  <c r="AV1029" i="1" a="1"/>
  <c r="AV1029" i="1" s="1"/>
  <c r="AW1029" i="1" a="1"/>
  <c r="AW1029" i="1" s="1"/>
  <c r="AX1029" i="1" a="1"/>
  <c r="AX1029" i="1" s="1"/>
  <c r="AY1029" i="1" a="1"/>
  <c r="AY1029" i="1" s="1"/>
  <c r="AZ1029" i="1" a="1"/>
  <c r="AZ1029" i="1" s="1"/>
  <c r="BA1029" i="1" a="1"/>
  <c r="BA1029" i="1" s="1"/>
  <c r="BB1029" i="1" a="1"/>
  <c r="BB1029" i="1" s="1"/>
  <c r="AL1030" i="1" a="1"/>
  <c r="AL1030" i="1" s="1"/>
  <c r="AM1030" i="1" a="1"/>
  <c r="AM1030" i="1" s="1"/>
  <c r="AN1030" i="1" a="1"/>
  <c r="AN1030" i="1" s="1"/>
  <c r="AO1030" i="1" a="1"/>
  <c r="AO1030" i="1" s="1"/>
  <c r="AP1030" i="1" a="1"/>
  <c r="AP1030" i="1" s="1"/>
  <c r="AQ1030" i="1" a="1"/>
  <c r="AQ1030" i="1" s="1"/>
  <c r="AR1030" i="1" a="1"/>
  <c r="AR1030" i="1" s="1"/>
  <c r="AS1030" i="1" a="1"/>
  <c r="AS1030" i="1" s="1"/>
  <c r="AT1030" i="1" a="1"/>
  <c r="AT1030" i="1" s="1"/>
  <c r="AU1030" i="1" a="1"/>
  <c r="AU1030" i="1" s="1"/>
  <c r="AV1030" i="1" a="1"/>
  <c r="AV1030" i="1" s="1"/>
  <c r="AW1030" i="1" a="1"/>
  <c r="AW1030" i="1" s="1"/>
  <c r="AX1030" i="1" a="1"/>
  <c r="AX1030" i="1" s="1"/>
  <c r="AY1030" i="1" a="1"/>
  <c r="AY1030" i="1" s="1"/>
  <c r="AZ1030" i="1" a="1"/>
  <c r="AZ1030" i="1" s="1"/>
  <c r="BA1030" i="1" a="1"/>
  <c r="BA1030" i="1" s="1"/>
  <c r="BB1030" i="1" a="1"/>
  <c r="BB1030" i="1" s="1"/>
  <c r="AL1031" i="1" a="1"/>
  <c r="AL1031" i="1" s="1"/>
  <c r="AM1031" i="1" a="1"/>
  <c r="AM1031" i="1" s="1"/>
  <c r="AN1031" i="1" a="1"/>
  <c r="AN1031" i="1" s="1"/>
  <c r="AO1031" i="1" a="1"/>
  <c r="AO1031" i="1" s="1"/>
  <c r="AP1031" i="1" a="1"/>
  <c r="AP1031" i="1" s="1"/>
  <c r="AQ1031" i="1" a="1"/>
  <c r="AQ1031" i="1" s="1"/>
  <c r="AR1031" i="1" a="1"/>
  <c r="AR1031" i="1" s="1"/>
  <c r="AS1031" i="1" a="1"/>
  <c r="AS1031" i="1" s="1"/>
  <c r="AT1031" i="1" a="1"/>
  <c r="AT1031" i="1" s="1"/>
  <c r="AU1031" i="1" a="1"/>
  <c r="AU1031" i="1" s="1"/>
  <c r="AV1031" i="1" a="1"/>
  <c r="AV1031" i="1" s="1"/>
  <c r="AW1031" i="1" a="1"/>
  <c r="AW1031" i="1" s="1"/>
  <c r="AX1031" i="1" a="1"/>
  <c r="AX1031" i="1" s="1"/>
  <c r="AY1031" i="1" a="1"/>
  <c r="AY1031" i="1" s="1"/>
  <c r="AZ1031" i="1" a="1"/>
  <c r="AZ1031" i="1" s="1"/>
  <c r="BA1031" i="1" a="1"/>
  <c r="BA1031" i="1" s="1"/>
  <c r="BB1031" i="1" a="1"/>
  <c r="BB1031" i="1" s="1"/>
  <c r="AL1032" i="1" a="1"/>
  <c r="AL1032" i="1" s="1"/>
  <c r="AM1032" i="1" a="1"/>
  <c r="AM1032" i="1" s="1"/>
  <c r="AN1032" i="1" a="1"/>
  <c r="AN1032" i="1" s="1"/>
  <c r="AO1032" i="1" a="1"/>
  <c r="AO1032" i="1" s="1"/>
  <c r="AP1032" i="1" a="1"/>
  <c r="AP1032" i="1" s="1"/>
  <c r="AQ1032" i="1" a="1"/>
  <c r="AQ1032" i="1" s="1"/>
  <c r="AR1032" i="1" a="1"/>
  <c r="AR1032" i="1" s="1"/>
  <c r="AS1032" i="1" a="1"/>
  <c r="AS1032" i="1" s="1"/>
  <c r="AT1032" i="1" a="1"/>
  <c r="AT1032" i="1" s="1"/>
  <c r="AU1032" i="1" a="1"/>
  <c r="AU1032" i="1" s="1"/>
  <c r="AV1032" i="1" a="1"/>
  <c r="AV1032" i="1" s="1"/>
  <c r="AW1032" i="1" a="1"/>
  <c r="AW1032" i="1" s="1"/>
  <c r="AX1032" i="1" a="1"/>
  <c r="AX1032" i="1" s="1"/>
  <c r="AY1032" i="1" a="1"/>
  <c r="AY1032" i="1" s="1"/>
  <c r="AZ1032" i="1" a="1"/>
  <c r="AZ1032" i="1" s="1"/>
  <c r="BA1032" i="1" a="1"/>
  <c r="BA1032" i="1" s="1"/>
  <c r="BB1032" i="1" a="1"/>
  <c r="BB1032" i="1" s="1"/>
  <c r="AL1033" i="1" a="1"/>
  <c r="AL1033" i="1" s="1"/>
  <c r="AM1033" i="1" a="1"/>
  <c r="AM1033" i="1" s="1"/>
  <c r="AN1033" i="1" a="1"/>
  <c r="AN1033" i="1" s="1"/>
  <c r="AO1033" i="1" a="1"/>
  <c r="AO1033" i="1" s="1"/>
  <c r="AP1033" i="1" a="1"/>
  <c r="AP1033" i="1" s="1"/>
  <c r="AQ1033" i="1" a="1"/>
  <c r="AQ1033" i="1" s="1"/>
  <c r="AR1033" i="1" a="1"/>
  <c r="AR1033" i="1" s="1"/>
  <c r="AS1033" i="1" a="1"/>
  <c r="AS1033" i="1" s="1"/>
  <c r="AT1033" i="1" a="1"/>
  <c r="AT1033" i="1" s="1"/>
  <c r="AU1033" i="1" a="1"/>
  <c r="AU1033" i="1" s="1"/>
  <c r="AV1033" i="1" a="1"/>
  <c r="AV1033" i="1" s="1"/>
  <c r="AW1033" i="1" a="1"/>
  <c r="AW1033" i="1" s="1"/>
  <c r="AX1033" i="1" a="1"/>
  <c r="AX1033" i="1" s="1"/>
  <c r="AY1033" i="1" a="1"/>
  <c r="AY1033" i="1" s="1"/>
  <c r="AZ1033" i="1" a="1"/>
  <c r="AZ1033" i="1" s="1"/>
  <c r="BA1033" i="1" a="1"/>
  <c r="BA1033" i="1" s="1"/>
  <c r="BB1033" i="1" a="1"/>
  <c r="BB1033" i="1" s="1"/>
  <c r="AL1034" i="1" a="1"/>
  <c r="AL1034" i="1" s="1"/>
  <c r="AM1034" i="1" a="1"/>
  <c r="AM1034" i="1" s="1"/>
  <c r="AN1034" i="1" a="1"/>
  <c r="AN1034" i="1" s="1"/>
  <c r="AO1034" i="1" a="1"/>
  <c r="AO1034" i="1" s="1"/>
  <c r="AP1034" i="1" a="1"/>
  <c r="AP1034" i="1" s="1"/>
  <c r="AQ1034" i="1" a="1"/>
  <c r="AQ1034" i="1" s="1"/>
  <c r="AR1034" i="1" a="1"/>
  <c r="AR1034" i="1" s="1"/>
  <c r="AS1034" i="1" a="1"/>
  <c r="AS1034" i="1" s="1"/>
  <c r="AT1034" i="1" a="1"/>
  <c r="AT1034" i="1" s="1"/>
  <c r="AU1034" i="1" a="1"/>
  <c r="AU1034" i="1" s="1"/>
  <c r="AV1034" i="1" a="1"/>
  <c r="AV1034" i="1" s="1"/>
  <c r="AW1034" i="1" a="1"/>
  <c r="AW1034" i="1" s="1"/>
  <c r="AX1034" i="1" a="1"/>
  <c r="AX1034" i="1" s="1"/>
  <c r="AY1034" i="1" a="1"/>
  <c r="AY1034" i="1" s="1"/>
  <c r="AZ1034" i="1" a="1"/>
  <c r="AZ1034" i="1" s="1"/>
  <c r="BA1034" i="1" a="1"/>
  <c r="BA1034" i="1" s="1"/>
  <c r="BB1034" i="1" a="1"/>
  <c r="BB1034" i="1" s="1"/>
  <c r="AL1035" i="1" a="1"/>
  <c r="AL1035" i="1" s="1"/>
  <c r="AM1035" i="1" a="1"/>
  <c r="AM1035" i="1" s="1"/>
  <c r="AN1035" i="1" a="1"/>
  <c r="AN1035" i="1" s="1"/>
  <c r="AO1035" i="1" a="1"/>
  <c r="AO1035" i="1" s="1"/>
  <c r="AP1035" i="1" a="1"/>
  <c r="AP1035" i="1" s="1"/>
  <c r="AQ1035" i="1" a="1"/>
  <c r="AQ1035" i="1" s="1"/>
  <c r="AR1035" i="1" a="1"/>
  <c r="AR1035" i="1" s="1"/>
  <c r="AS1035" i="1" a="1"/>
  <c r="AS1035" i="1" s="1"/>
  <c r="AT1035" i="1" a="1"/>
  <c r="AT1035" i="1" s="1"/>
  <c r="AU1035" i="1" a="1"/>
  <c r="AU1035" i="1" s="1"/>
  <c r="AV1035" i="1" a="1"/>
  <c r="AV1035" i="1" s="1"/>
  <c r="AW1035" i="1" a="1"/>
  <c r="AW1035" i="1" s="1"/>
  <c r="AX1035" i="1" a="1"/>
  <c r="AX1035" i="1" s="1"/>
  <c r="AY1035" i="1" a="1"/>
  <c r="AY1035" i="1" s="1"/>
  <c r="AZ1035" i="1" a="1"/>
  <c r="AZ1035" i="1" s="1"/>
  <c r="BA1035" i="1" a="1"/>
  <c r="BA1035" i="1" s="1"/>
  <c r="BB1035" i="1" a="1"/>
  <c r="BB1035" i="1" s="1"/>
  <c r="AL1036" i="1" a="1"/>
  <c r="AL1036" i="1" s="1"/>
  <c r="AM1036" i="1" a="1"/>
  <c r="AM1036" i="1" s="1"/>
  <c r="AN1036" i="1" a="1"/>
  <c r="AN1036" i="1" s="1"/>
  <c r="AO1036" i="1" a="1"/>
  <c r="AO1036" i="1" s="1"/>
  <c r="AP1036" i="1" a="1"/>
  <c r="AP1036" i="1" s="1"/>
  <c r="AQ1036" i="1" a="1"/>
  <c r="AQ1036" i="1" s="1"/>
  <c r="AR1036" i="1" a="1"/>
  <c r="AR1036" i="1" s="1"/>
  <c r="AS1036" i="1" a="1"/>
  <c r="AS1036" i="1" s="1"/>
  <c r="AT1036" i="1" a="1"/>
  <c r="AT1036" i="1" s="1"/>
  <c r="AU1036" i="1" a="1"/>
  <c r="AU1036" i="1" s="1"/>
  <c r="AV1036" i="1" a="1"/>
  <c r="AV1036" i="1" s="1"/>
  <c r="AW1036" i="1" a="1"/>
  <c r="AW1036" i="1" s="1"/>
  <c r="AX1036" i="1" a="1"/>
  <c r="AX1036" i="1" s="1"/>
  <c r="AY1036" i="1" a="1"/>
  <c r="AY1036" i="1" s="1"/>
  <c r="AZ1036" i="1" a="1"/>
  <c r="AZ1036" i="1" s="1"/>
  <c r="BA1036" i="1" a="1"/>
  <c r="BA1036" i="1" s="1"/>
  <c r="BB1036" i="1" a="1"/>
  <c r="BB1036" i="1" s="1"/>
  <c r="AL1037" i="1" a="1"/>
  <c r="AL1037" i="1" s="1"/>
  <c r="AM1037" i="1" a="1"/>
  <c r="AM1037" i="1" s="1"/>
  <c r="AN1037" i="1" a="1"/>
  <c r="AN1037" i="1" s="1"/>
  <c r="AO1037" i="1" a="1"/>
  <c r="AO1037" i="1" s="1"/>
  <c r="AP1037" i="1" a="1"/>
  <c r="AP1037" i="1" s="1"/>
  <c r="AQ1037" i="1" a="1"/>
  <c r="AQ1037" i="1" s="1"/>
  <c r="AR1037" i="1" a="1"/>
  <c r="AR1037" i="1" s="1"/>
  <c r="AS1037" i="1" a="1"/>
  <c r="AS1037" i="1" s="1"/>
  <c r="AT1037" i="1" a="1"/>
  <c r="AT1037" i="1" s="1"/>
  <c r="AU1037" i="1" a="1"/>
  <c r="AU1037" i="1" s="1"/>
  <c r="AV1037" i="1" a="1"/>
  <c r="AV1037" i="1" s="1"/>
  <c r="AW1037" i="1" a="1"/>
  <c r="AW1037" i="1" s="1"/>
  <c r="AX1037" i="1" a="1"/>
  <c r="AX1037" i="1" s="1"/>
  <c r="AY1037" i="1" a="1"/>
  <c r="AY1037" i="1" s="1"/>
  <c r="AZ1037" i="1" a="1"/>
  <c r="AZ1037" i="1" s="1"/>
  <c r="BA1037" i="1" a="1"/>
  <c r="BA1037" i="1" s="1"/>
  <c r="BB1037" i="1" a="1"/>
  <c r="BB1037" i="1" s="1"/>
  <c r="AL1038" i="1" a="1"/>
  <c r="AL1038" i="1" s="1"/>
  <c r="AM1038" i="1" a="1"/>
  <c r="AM1038" i="1" s="1"/>
  <c r="AN1038" i="1" a="1"/>
  <c r="AN1038" i="1" s="1"/>
  <c r="AO1038" i="1" a="1"/>
  <c r="AO1038" i="1" s="1"/>
  <c r="AP1038" i="1" a="1"/>
  <c r="AP1038" i="1" s="1"/>
  <c r="AQ1038" i="1" a="1"/>
  <c r="AQ1038" i="1" s="1"/>
  <c r="AR1038" i="1" a="1"/>
  <c r="AR1038" i="1" s="1"/>
  <c r="AS1038" i="1" a="1"/>
  <c r="AS1038" i="1" s="1"/>
  <c r="AT1038" i="1" a="1"/>
  <c r="AT1038" i="1" s="1"/>
  <c r="AU1038" i="1" a="1"/>
  <c r="AU1038" i="1" s="1"/>
  <c r="AV1038" i="1" a="1"/>
  <c r="AV1038" i="1" s="1"/>
  <c r="AW1038" i="1" a="1"/>
  <c r="AW1038" i="1" s="1"/>
  <c r="AX1038" i="1" a="1"/>
  <c r="AX1038" i="1" s="1"/>
  <c r="AY1038" i="1" a="1"/>
  <c r="AY1038" i="1" s="1"/>
  <c r="AZ1038" i="1" a="1"/>
  <c r="AZ1038" i="1" s="1"/>
  <c r="BA1038" i="1" a="1"/>
  <c r="BA1038" i="1" s="1"/>
  <c r="BB1038" i="1" a="1"/>
  <c r="BB1038" i="1" s="1"/>
  <c r="AL1039" i="1" a="1"/>
  <c r="AL1039" i="1" s="1"/>
  <c r="AM1039" i="1" a="1"/>
  <c r="AM1039" i="1" s="1"/>
  <c r="AN1039" i="1" a="1"/>
  <c r="AN1039" i="1" s="1"/>
  <c r="AO1039" i="1" a="1"/>
  <c r="AO1039" i="1" s="1"/>
  <c r="AP1039" i="1" a="1"/>
  <c r="AP1039" i="1" s="1"/>
  <c r="AQ1039" i="1" a="1"/>
  <c r="AQ1039" i="1" s="1"/>
  <c r="AR1039" i="1" a="1"/>
  <c r="AR1039" i="1" s="1"/>
  <c r="AS1039" i="1" a="1"/>
  <c r="AS1039" i="1" s="1"/>
  <c r="AT1039" i="1" a="1"/>
  <c r="AT1039" i="1" s="1"/>
  <c r="AU1039" i="1" a="1"/>
  <c r="AU1039" i="1" s="1"/>
  <c r="AV1039" i="1" a="1"/>
  <c r="AV1039" i="1" s="1"/>
  <c r="AW1039" i="1" a="1"/>
  <c r="AW1039" i="1" s="1"/>
  <c r="AX1039" i="1" a="1"/>
  <c r="AX1039" i="1" s="1"/>
  <c r="AY1039" i="1" a="1"/>
  <c r="AY1039" i="1" s="1"/>
  <c r="AZ1039" i="1" a="1"/>
  <c r="AZ1039" i="1" s="1"/>
  <c r="BA1039" i="1" a="1"/>
  <c r="BA1039" i="1" s="1"/>
  <c r="BB1039" i="1" a="1"/>
  <c r="BB1039" i="1" s="1"/>
  <c r="AL1040" i="1" a="1"/>
  <c r="AL1040" i="1" s="1"/>
  <c r="AM1040" i="1" a="1"/>
  <c r="AM1040" i="1" s="1"/>
  <c r="AN1040" i="1" a="1"/>
  <c r="AN1040" i="1" s="1"/>
  <c r="AO1040" i="1" a="1"/>
  <c r="AO1040" i="1" s="1"/>
  <c r="AP1040" i="1" a="1"/>
  <c r="AP1040" i="1" s="1"/>
  <c r="AQ1040" i="1" a="1"/>
  <c r="AQ1040" i="1" s="1"/>
  <c r="AR1040" i="1" a="1"/>
  <c r="AR1040" i="1" s="1"/>
  <c r="AS1040" i="1" a="1"/>
  <c r="AS1040" i="1" s="1"/>
  <c r="AT1040" i="1" a="1"/>
  <c r="AT1040" i="1" s="1"/>
  <c r="AU1040" i="1" a="1"/>
  <c r="AU1040" i="1" s="1"/>
  <c r="AV1040" i="1" a="1"/>
  <c r="AV1040" i="1" s="1"/>
  <c r="AW1040" i="1" a="1"/>
  <c r="AW1040" i="1" s="1"/>
  <c r="AX1040" i="1" a="1"/>
  <c r="AX1040" i="1" s="1"/>
  <c r="AY1040" i="1" a="1"/>
  <c r="AY1040" i="1" s="1"/>
  <c r="AZ1040" i="1" a="1"/>
  <c r="AZ1040" i="1" s="1"/>
  <c r="BA1040" i="1" a="1"/>
  <c r="BA1040" i="1" s="1"/>
  <c r="BB1040" i="1" a="1"/>
  <c r="BB1040" i="1" s="1"/>
  <c r="AL1041" i="1" a="1"/>
  <c r="AL1041" i="1" s="1"/>
  <c r="AM1041" i="1" a="1"/>
  <c r="AM1041" i="1" s="1"/>
  <c r="AN1041" i="1" a="1"/>
  <c r="AN1041" i="1" s="1"/>
  <c r="AO1041" i="1" a="1"/>
  <c r="AO1041" i="1" s="1"/>
  <c r="AP1041" i="1" a="1"/>
  <c r="AP1041" i="1" s="1"/>
  <c r="AQ1041" i="1" a="1"/>
  <c r="AQ1041" i="1" s="1"/>
  <c r="AR1041" i="1" a="1"/>
  <c r="AR1041" i="1" s="1"/>
  <c r="AS1041" i="1" a="1"/>
  <c r="AS1041" i="1" s="1"/>
  <c r="AT1041" i="1" a="1"/>
  <c r="AT1041" i="1" s="1"/>
  <c r="AU1041" i="1" a="1"/>
  <c r="AU1041" i="1" s="1"/>
  <c r="AV1041" i="1" a="1"/>
  <c r="AV1041" i="1" s="1"/>
  <c r="AW1041" i="1" a="1"/>
  <c r="AW1041" i="1" s="1"/>
  <c r="AX1041" i="1" a="1"/>
  <c r="AX1041" i="1" s="1"/>
  <c r="AY1041" i="1" a="1"/>
  <c r="AY1041" i="1" s="1"/>
  <c r="AZ1041" i="1" a="1"/>
  <c r="AZ1041" i="1" s="1"/>
  <c r="BA1041" i="1" a="1"/>
  <c r="BA1041" i="1" s="1"/>
  <c r="BB1041" i="1" a="1"/>
  <c r="BB1041" i="1" s="1"/>
  <c r="AL1042" i="1" a="1"/>
  <c r="AL1042" i="1" s="1"/>
  <c r="AM1042" i="1" a="1"/>
  <c r="AM1042" i="1" s="1"/>
  <c r="AN1042" i="1" a="1"/>
  <c r="AN1042" i="1" s="1"/>
  <c r="AO1042" i="1" a="1"/>
  <c r="AO1042" i="1" s="1"/>
  <c r="AP1042" i="1" a="1"/>
  <c r="AP1042" i="1" s="1"/>
  <c r="AQ1042" i="1" a="1"/>
  <c r="AQ1042" i="1" s="1"/>
  <c r="AR1042" i="1" a="1"/>
  <c r="AR1042" i="1" s="1"/>
  <c r="AS1042" i="1" a="1"/>
  <c r="AS1042" i="1" s="1"/>
  <c r="AT1042" i="1" a="1"/>
  <c r="AT1042" i="1" s="1"/>
  <c r="AU1042" i="1" a="1"/>
  <c r="AU1042" i="1" s="1"/>
  <c r="AV1042" i="1" a="1"/>
  <c r="AV1042" i="1" s="1"/>
  <c r="AW1042" i="1" a="1"/>
  <c r="AW1042" i="1" s="1"/>
  <c r="AX1042" i="1" a="1"/>
  <c r="AX1042" i="1" s="1"/>
  <c r="AY1042" i="1" a="1"/>
  <c r="AY1042" i="1" s="1"/>
  <c r="AZ1042" i="1" a="1"/>
  <c r="AZ1042" i="1" s="1"/>
  <c r="BA1042" i="1" a="1"/>
  <c r="BA1042" i="1" s="1"/>
  <c r="BB1042" i="1" a="1"/>
  <c r="BB1042" i="1" s="1"/>
  <c r="AL1043" i="1" a="1"/>
  <c r="AL1043" i="1" s="1"/>
  <c r="AM1043" i="1" a="1"/>
  <c r="AM1043" i="1" s="1"/>
  <c r="AN1043" i="1" a="1"/>
  <c r="AN1043" i="1" s="1"/>
  <c r="AO1043" i="1" a="1"/>
  <c r="AO1043" i="1" s="1"/>
  <c r="AP1043" i="1" a="1"/>
  <c r="AP1043" i="1" s="1"/>
  <c r="AQ1043" i="1" a="1"/>
  <c r="AQ1043" i="1" s="1"/>
  <c r="AR1043" i="1" a="1"/>
  <c r="AR1043" i="1" s="1"/>
  <c r="AS1043" i="1" a="1"/>
  <c r="AS1043" i="1" s="1"/>
  <c r="AT1043" i="1" a="1"/>
  <c r="AT1043" i="1" s="1"/>
  <c r="AU1043" i="1" a="1"/>
  <c r="AU1043" i="1" s="1"/>
  <c r="AV1043" i="1" a="1"/>
  <c r="AV1043" i="1" s="1"/>
  <c r="AW1043" i="1" a="1"/>
  <c r="AW1043" i="1" s="1"/>
  <c r="AX1043" i="1" a="1"/>
  <c r="AX1043" i="1" s="1"/>
  <c r="AY1043" i="1" a="1"/>
  <c r="AY1043" i="1" s="1"/>
  <c r="AZ1043" i="1" a="1"/>
  <c r="AZ1043" i="1" s="1"/>
  <c r="BA1043" i="1" a="1"/>
  <c r="BA1043" i="1" s="1"/>
  <c r="BB1043" i="1" a="1"/>
  <c r="BB1043" i="1" s="1"/>
  <c r="AL1044" i="1" a="1"/>
  <c r="AL1044" i="1" s="1"/>
  <c r="AM1044" i="1" a="1"/>
  <c r="AM1044" i="1" s="1"/>
  <c r="AN1044" i="1" a="1"/>
  <c r="AN1044" i="1" s="1"/>
  <c r="AO1044" i="1" a="1"/>
  <c r="AO1044" i="1" s="1"/>
  <c r="AP1044" i="1" a="1"/>
  <c r="AP1044" i="1" s="1"/>
  <c r="AQ1044" i="1" a="1"/>
  <c r="AQ1044" i="1" s="1"/>
  <c r="AR1044" i="1" a="1"/>
  <c r="AR1044" i="1" s="1"/>
  <c r="AS1044" i="1" a="1"/>
  <c r="AS1044" i="1" s="1"/>
  <c r="AT1044" i="1" a="1"/>
  <c r="AT1044" i="1" s="1"/>
  <c r="AU1044" i="1" a="1"/>
  <c r="AU1044" i="1" s="1"/>
  <c r="AV1044" i="1" a="1"/>
  <c r="AV1044" i="1" s="1"/>
  <c r="AW1044" i="1" a="1"/>
  <c r="AW1044" i="1" s="1"/>
  <c r="AX1044" i="1" a="1"/>
  <c r="AX1044" i="1" s="1"/>
  <c r="AY1044" i="1" a="1"/>
  <c r="AY1044" i="1" s="1"/>
  <c r="AZ1044" i="1" a="1"/>
  <c r="AZ1044" i="1" s="1"/>
  <c r="BA1044" i="1" a="1"/>
  <c r="BA1044" i="1" s="1"/>
  <c r="BB1044" i="1" a="1"/>
  <c r="BB1044" i="1" s="1"/>
  <c r="AL1045" i="1" a="1"/>
  <c r="AL1045" i="1" s="1"/>
  <c r="AM1045" i="1" a="1"/>
  <c r="AM1045" i="1" s="1"/>
  <c r="AN1045" i="1" a="1"/>
  <c r="AN1045" i="1" s="1"/>
  <c r="AO1045" i="1" a="1"/>
  <c r="AO1045" i="1" s="1"/>
  <c r="AP1045" i="1" a="1"/>
  <c r="AP1045" i="1" s="1"/>
  <c r="AQ1045" i="1" a="1"/>
  <c r="AQ1045" i="1" s="1"/>
  <c r="AR1045" i="1" a="1"/>
  <c r="AR1045" i="1" s="1"/>
  <c r="AS1045" i="1" a="1"/>
  <c r="AS1045" i="1" s="1"/>
  <c r="AT1045" i="1" a="1"/>
  <c r="AT1045" i="1" s="1"/>
  <c r="AU1045" i="1" a="1"/>
  <c r="AU1045" i="1" s="1"/>
  <c r="AV1045" i="1" a="1"/>
  <c r="AV1045" i="1" s="1"/>
  <c r="AW1045" i="1" a="1"/>
  <c r="AW1045" i="1" s="1"/>
  <c r="AX1045" i="1" a="1"/>
  <c r="AX1045" i="1" s="1"/>
  <c r="AY1045" i="1" a="1"/>
  <c r="AY1045" i="1" s="1"/>
  <c r="AZ1045" i="1" a="1"/>
  <c r="AZ1045" i="1" s="1"/>
  <c r="BA1045" i="1" a="1"/>
  <c r="BA1045" i="1" s="1"/>
  <c r="BB1045" i="1" a="1"/>
  <c r="BB1045" i="1" s="1"/>
  <c r="AL1046" i="1" a="1"/>
  <c r="AL1046" i="1" s="1"/>
  <c r="AM1046" i="1" a="1"/>
  <c r="AM1046" i="1" s="1"/>
  <c r="AN1046" i="1" a="1"/>
  <c r="AN1046" i="1" s="1"/>
  <c r="AO1046" i="1" a="1"/>
  <c r="AO1046" i="1" s="1"/>
  <c r="AP1046" i="1" a="1"/>
  <c r="AP1046" i="1" s="1"/>
  <c r="AQ1046" i="1" a="1"/>
  <c r="AQ1046" i="1" s="1"/>
  <c r="AR1046" i="1" a="1"/>
  <c r="AR1046" i="1" s="1"/>
  <c r="AS1046" i="1" a="1"/>
  <c r="AS1046" i="1" s="1"/>
  <c r="AT1046" i="1" a="1"/>
  <c r="AT1046" i="1" s="1"/>
  <c r="AU1046" i="1" a="1"/>
  <c r="AU1046" i="1" s="1"/>
  <c r="AV1046" i="1" a="1"/>
  <c r="AV1046" i="1" s="1"/>
  <c r="AW1046" i="1" a="1"/>
  <c r="AW1046" i="1" s="1"/>
  <c r="AX1046" i="1" a="1"/>
  <c r="AX1046" i="1" s="1"/>
  <c r="AY1046" i="1" a="1"/>
  <c r="AY1046" i="1" s="1"/>
  <c r="AZ1046" i="1" a="1"/>
  <c r="AZ1046" i="1" s="1"/>
  <c r="BA1046" i="1" a="1"/>
  <c r="BA1046" i="1" s="1"/>
  <c r="BB1046" i="1" a="1"/>
  <c r="BB1046" i="1" s="1"/>
  <c r="AL1047" i="1" a="1"/>
  <c r="AL1047" i="1" s="1"/>
  <c r="AM1047" i="1" a="1"/>
  <c r="AM1047" i="1" s="1"/>
  <c r="AN1047" i="1" a="1"/>
  <c r="AN1047" i="1" s="1"/>
  <c r="AO1047" i="1" a="1"/>
  <c r="AO1047" i="1" s="1"/>
  <c r="AP1047" i="1" a="1"/>
  <c r="AP1047" i="1" s="1"/>
  <c r="AQ1047" i="1" a="1"/>
  <c r="AQ1047" i="1" s="1"/>
  <c r="AR1047" i="1" a="1"/>
  <c r="AR1047" i="1" s="1"/>
  <c r="AS1047" i="1" a="1"/>
  <c r="AS1047" i="1" s="1"/>
  <c r="AT1047" i="1" a="1"/>
  <c r="AT1047" i="1" s="1"/>
  <c r="AU1047" i="1" a="1"/>
  <c r="AU1047" i="1" s="1"/>
  <c r="AV1047" i="1" a="1"/>
  <c r="AV1047" i="1" s="1"/>
  <c r="AW1047" i="1" a="1"/>
  <c r="AW1047" i="1" s="1"/>
  <c r="AX1047" i="1" a="1"/>
  <c r="AX1047" i="1" s="1"/>
  <c r="AY1047" i="1" a="1"/>
  <c r="AY1047" i="1" s="1"/>
  <c r="AZ1047" i="1" a="1"/>
  <c r="AZ1047" i="1" s="1"/>
  <c r="BA1047" i="1" a="1"/>
  <c r="BA1047" i="1" s="1"/>
  <c r="BB1047" i="1" a="1"/>
  <c r="BB1047" i="1" s="1"/>
  <c r="AL1048" i="1" a="1"/>
  <c r="AL1048" i="1" s="1"/>
  <c r="AM1048" i="1" a="1"/>
  <c r="AM1048" i="1" s="1"/>
  <c r="AN1048" i="1" a="1"/>
  <c r="AN1048" i="1" s="1"/>
  <c r="AO1048" i="1" a="1"/>
  <c r="AO1048" i="1" s="1"/>
  <c r="AP1048" i="1" a="1"/>
  <c r="AP1048" i="1" s="1"/>
  <c r="AQ1048" i="1" a="1"/>
  <c r="AQ1048" i="1" s="1"/>
  <c r="AR1048" i="1" a="1"/>
  <c r="AR1048" i="1" s="1"/>
  <c r="AS1048" i="1" a="1"/>
  <c r="AS1048" i="1" s="1"/>
  <c r="AT1048" i="1" a="1"/>
  <c r="AT1048" i="1" s="1"/>
  <c r="AU1048" i="1" a="1"/>
  <c r="AU1048" i="1" s="1"/>
  <c r="AV1048" i="1" a="1"/>
  <c r="AV1048" i="1" s="1"/>
  <c r="AW1048" i="1" a="1"/>
  <c r="AW1048" i="1" s="1"/>
  <c r="AX1048" i="1" a="1"/>
  <c r="AX1048" i="1" s="1"/>
  <c r="AY1048" i="1" a="1"/>
  <c r="AY1048" i="1" s="1"/>
  <c r="AZ1048" i="1" a="1"/>
  <c r="AZ1048" i="1" s="1"/>
  <c r="BA1048" i="1" a="1"/>
  <c r="BA1048" i="1" s="1"/>
  <c r="BB1048" i="1" a="1"/>
  <c r="BB1048" i="1" s="1"/>
  <c r="AL1049" i="1" a="1"/>
  <c r="AL1049" i="1" s="1"/>
  <c r="AM1049" i="1" a="1"/>
  <c r="AM1049" i="1" s="1"/>
  <c r="AN1049" i="1" a="1"/>
  <c r="AN1049" i="1" s="1"/>
  <c r="AO1049" i="1" a="1"/>
  <c r="AO1049" i="1" s="1"/>
  <c r="AP1049" i="1" a="1"/>
  <c r="AP1049" i="1" s="1"/>
  <c r="AQ1049" i="1" a="1"/>
  <c r="AQ1049" i="1" s="1"/>
  <c r="AR1049" i="1" a="1"/>
  <c r="AR1049" i="1" s="1"/>
  <c r="AS1049" i="1" a="1"/>
  <c r="AS1049" i="1" s="1"/>
  <c r="AT1049" i="1" a="1"/>
  <c r="AT1049" i="1" s="1"/>
  <c r="AU1049" i="1" a="1"/>
  <c r="AU1049" i="1" s="1"/>
  <c r="AV1049" i="1" a="1"/>
  <c r="AV1049" i="1" s="1"/>
  <c r="AW1049" i="1" a="1"/>
  <c r="AW1049" i="1" s="1"/>
  <c r="AX1049" i="1" a="1"/>
  <c r="AX1049" i="1" s="1"/>
  <c r="AY1049" i="1" a="1"/>
  <c r="AY1049" i="1" s="1"/>
  <c r="AZ1049" i="1" a="1"/>
  <c r="AZ1049" i="1" s="1"/>
  <c r="BA1049" i="1" a="1"/>
  <c r="BA1049" i="1" s="1"/>
  <c r="BB1049" i="1" a="1"/>
  <c r="BB1049" i="1" s="1"/>
  <c r="AL1050" i="1" a="1"/>
  <c r="AL1050" i="1" s="1"/>
  <c r="AM1050" i="1" a="1"/>
  <c r="AM1050" i="1" s="1"/>
  <c r="AN1050" i="1" a="1"/>
  <c r="AN1050" i="1" s="1"/>
  <c r="AO1050" i="1" a="1"/>
  <c r="AO1050" i="1" s="1"/>
  <c r="AP1050" i="1" a="1"/>
  <c r="AP1050" i="1" s="1"/>
  <c r="AQ1050" i="1" a="1"/>
  <c r="AQ1050" i="1" s="1"/>
  <c r="AR1050" i="1" a="1"/>
  <c r="AR1050" i="1" s="1"/>
  <c r="AS1050" i="1" a="1"/>
  <c r="AS1050" i="1" s="1"/>
  <c r="AT1050" i="1" a="1"/>
  <c r="AT1050" i="1" s="1"/>
  <c r="AU1050" i="1" a="1"/>
  <c r="AU1050" i="1" s="1"/>
  <c r="AV1050" i="1" a="1"/>
  <c r="AV1050" i="1" s="1"/>
  <c r="AW1050" i="1" a="1"/>
  <c r="AW1050" i="1" s="1"/>
  <c r="AX1050" i="1" a="1"/>
  <c r="AX1050" i="1" s="1"/>
  <c r="AY1050" i="1" a="1"/>
  <c r="AY1050" i="1" s="1"/>
  <c r="AZ1050" i="1" a="1"/>
  <c r="AZ1050" i="1" s="1"/>
  <c r="BA1050" i="1" a="1"/>
  <c r="BA1050" i="1" s="1"/>
  <c r="BB1050" i="1" a="1"/>
  <c r="BB1050" i="1" s="1"/>
  <c r="AL1051" i="1" a="1"/>
  <c r="AL1051" i="1" s="1"/>
  <c r="AM1051" i="1" a="1"/>
  <c r="AM1051" i="1" s="1"/>
  <c r="AN1051" i="1" a="1"/>
  <c r="AN1051" i="1" s="1"/>
  <c r="AO1051" i="1" a="1"/>
  <c r="AO1051" i="1" s="1"/>
  <c r="AP1051" i="1" a="1"/>
  <c r="AP1051" i="1" s="1"/>
  <c r="AQ1051" i="1" a="1"/>
  <c r="AQ1051" i="1" s="1"/>
  <c r="AR1051" i="1" a="1"/>
  <c r="AR1051" i="1" s="1"/>
  <c r="AS1051" i="1" a="1"/>
  <c r="AS1051" i="1" s="1"/>
  <c r="AT1051" i="1" a="1"/>
  <c r="AT1051" i="1" s="1"/>
  <c r="AU1051" i="1" a="1"/>
  <c r="AU1051" i="1" s="1"/>
  <c r="AV1051" i="1" a="1"/>
  <c r="AV1051" i="1" s="1"/>
  <c r="AW1051" i="1" a="1"/>
  <c r="AW1051" i="1" s="1"/>
  <c r="AX1051" i="1" a="1"/>
  <c r="AX1051" i="1" s="1"/>
  <c r="AY1051" i="1" a="1"/>
  <c r="AY1051" i="1" s="1"/>
  <c r="AZ1051" i="1" a="1"/>
  <c r="AZ1051" i="1" s="1"/>
  <c r="BA1051" i="1" a="1"/>
  <c r="BA1051" i="1" s="1"/>
  <c r="BB1051" i="1" a="1"/>
  <c r="BB1051" i="1" s="1"/>
  <c r="AL1052" i="1" a="1"/>
  <c r="AL1052" i="1" s="1"/>
  <c r="AM1052" i="1" a="1"/>
  <c r="AM1052" i="1" s="1"/>
  <c r="AN1052" i="1" a="1"/>
  <c r="AN1052" i="1" s="1"/>
  <c r="AO1052" i="1" a="1"/>
  <c r="AO1052" i="1" s="1"/>
  <c r="AP1052" i="1" a="1"/>
  <c r="AP1052" i="1" s="1"/>
  <c r="AQ1052" i="1" a="1"/>
  <c r="AQ1052" i="1" s="1"/>
  <c r="AR1052" i="1" a="1"/>
  <c r="AR1052" i="1" s="1"/>
  <c r="AS1052" i="1" a="1"/>
  <c r="AS1052" i="1" s="1"/>
  <c r="AT1052" i="1" a="1"/>
  <c r="AT1052" i="1" s="1"/>
  <c r="AU1052" i="1" a="1"/>
  <c r="AU1052" i="1" s="1"/>
  <c r="AV1052" i="1" a="1"/>
  <c r="AV1052" i="1" s="1"/>
  <c r="AW1052" i="1" a="1"/>
  <c r="AW1052" i="1" s="1"/>
  <c r="AX1052" i="1" a="1"/>
  <c r="AX1052" i="1" s="1"/>
  <c r="AY1052" i="1" a="1"/>
  <c r="AY1052" i="1" s="1"/>
  <c r="AZ1052" i="1" a="1"/>
  <c r="AZ1052" i="1" s="1"/>
  <c r="BA1052" i="1" a="1"/>
  <c r="BA1052" i="1" s="1"/>
  <c r="BB1052" i="1" a="1"/>
  <c r="BB1052" i="1" s="1"/>
  <c r="AL1053" i="1" a="1"/>
  <c r="AL1053" i="1" s="1"/>
  <c r="AM1053" i="1" a="1"/>
  <c r="AM1053" i="1" s="1"/>
  <c r="AN1053" i="1" a="1"/>
  <c r="AN1053" i="1" s="1"/>
  <c r="AO1053" i="1" a="1"/>
  <c r="AO1053" i="1" s="1"/>
  <c r="AP1053" i="1" a="1"/>
  <c r="AP1053" i="1" s="1"/>
  <c r="AQ1053" i="1" a="1"/>
  <c r="AQ1053" i="1" s="1"/>
  <c r="AR1053" i="1" a="1"/>
  <c r="AR1053" i="1" s="1"/>
  <c r="AS1053" i="1" a="1"/>
  <c r="AS1053" i="1" s="1"/>
  <c r="AT1053" i="1" a="1"/>
  <c r="AT1053" i="1" s="1"/>
  <c r="AU1053" i="1" a="1"/>
  <c r="AU1053" i="1" s="1"/>
  <c r="AV1053" i="1" a="1"/>
  <c r="AV1053" i="1" s="1"/>
  <c r="AW1053" i="1" a="1"/>
  <c r="AW1053" i="1" s="1"/>
  <c r="AX1053" i="1" a="1"/>
  <c r="AX1053" i="1" s="1"/>
  <c r="AY1053" i="1" a="1"/>
  <c r="AY1053" i="1" s="1"/>
  <c r="AZ1053" i="1" a="1"/>
  <c r="AZ1053" i="1" s="1"/>
  <c r="BA1053" i="1" a="1"/>
  <c r="BA1053" i="1" s="1"/>
  <c r="BB1053" i="1" a="1"/>
  <c r="BB1053" i="1" s="1"/>
  <c r="AL1054" i="1" a="1"/>
  <c r="AL1054" i="1" s="1"/>
  <c r="AM1054" i="1" a="1"/>
  <c r="AM1054" i="1" s="1"/>
  <c r="AN1054" i="1" a="1"/>
  <c r="AN1054" i="1" s="1"/>
  <c r="AO1054" i="1" a="1"/>
  <c r="AO1054" i="1" s="1"/>
  <c r="AP1054" i="1" a="1"/>
  <c r="AP1054" i="1" s="1"/>
  <c r="AQ1054" i="1" a="1"/>
  <c r="AQ1054" i="1" s="1"/>
  <c r="AR1054" i="1" a="1"/>
  <c r="AR1054" i="1" s="1"/>
  <c r="AS1054" i="1" a="1"/>
  <c r="AS1054" i="1" s="1"/>
  <c r="AT1054" i="1" a="1"/>
  <c r="AT1054" i="1" s="1"/>
  <c r="AU1054" i="1" a="1"/>
  <c r="AU1054" i="1" s="1"/>
  <c r="AV1054" i="1" a="1"/>
  <c r="AV1054" i="1" s="1"/>
  <c r="AW1054" i="1" a="1"/>
  <c r="AW1054" i="1" s="1"/>
  <c r="AX1054" i="1" a="1"/>
  <c r="AX1054" i="1" s="1"/>
  <c r="AY1054" i="1" a="1"/>
  <c r="AY1054" i="1" s="1"/>
  <c r="AZ1054" i="1" a="1"/>
  <c r="AZ1054" i="1" s="1"/>
  <c r="BA1054" i="1" a="1"/>
  <c r="BA1054" i="1" s="1"/>
  <c r="BB1054" i="1" a="1"/>
  <c r="BB1054" i="1" s="1"/>
  <c r="AL1055" i="1" a="1"/>
  <c r="AL1055" i="1" s="1"/>
  <c r="AM1055" i="1" a="1"/>
  <c r="AM1055" i="1" s="1"/>
  <c r="AN1055" i="1" a="1"/>
  <c r="AN1055" i="1" s="1"/>
  <c r="AO1055" i="1" a="1"/>
  <c r="AO1055" i="1" s="1"/>
  <c r="AP1055" i="1" a="1"/>
  <c r="AP1055" i="1" s="1"/>
  <c r="AQ1055" i="1" a="1"/>
  <c r="AQ1055" i="1" s="1"/>
  <c r="AR1055" i="1" a="1"/>
  <c r="AR1055" i="1" s="1"/>
  <c r="AS1055" i="1" a="1"/>
  <c r="AS1055" i="1" s="1"/>
  <c r="AT1055" i="1" a="1"/>
  <c r="AT1055" i="1" s="1"/>
  <c r="AU1055" i="1" a="1"/>
  <c r="AU1055" i="1" s="1"/>
  <c r="AV1055" i="1" a="1"/>
  <c r="AV1055" i="1" s="1"/>
  <c r="AW1055" i="1" a="1"/>
  <c r="AW1055" i="1" s="1"/>
  <c r="AX1055" i="1" a="1"/>
  <c r="AX1055" i="1" s="1"/>
  <c r="AY1055" i="1" a="1"/>
  <c r="AY1055" i="1" s="1"/>
  <c r="AZ1055" i="1" a="1"/>
  <c r="AZ1055" i="1" s="1"/>
  <c r="BA1055" i="1" a="1"/>
  <c r="BA1055" i="1" s="1"/>
  <c r="BB1055" i="1" a="1"/>
  <c r="BB1055" i="1" s="1"/>
  <c r="AL1056" i="1" a="1"/>
  <c r="AL1056" i="1" s="1"/>
  <c r="AM1056" i="1" a="1"/>
  <c r="AM1056" i="1" s="1"/>
  <c r="AN1056" i="1" a="1"/>
  <c r="AN1056" i="1" s="1"/>
  <c r="AO1056" i="1" a="1"/>
  <c r="AO1056" i="1" s="1"/>
  <c r="AP1056" i="1" a="1"/>
  <c r="AP1056" i="1" s="1"/>
  <c r="AQ1056" i="1" a="1"/>
  <c r="AQ1056" i="1" s="1"/>
  <c r="AR1056" i="1" a="1"/>
  <c r="AR1056" i="1" s="1"/>
  <c r="AS1056" i="1" a="1"/>
  <c r="AS1056" i="1" s="1"/>
  <c r="AT1056" i="1" a="1"/>
  <c r="AT1056" i="1" s="1"/>
  <c r="AU1056" i="1" a="1"/>
  <c r="AU1056" i="1" s="1"/>
  <c r="AV1056" i="1" a="1"/>
  <c r="AV1056" i="1" s="1"/>
  <c r="AW1056" i="1" a="1"/>
  <c r="AW1056" i="1" s="1"/>
  <c r="AX1056" i="1" a="1"/>
  <c r="AX1056" i="1" s="1"/>
  <c r="AY1056" i="1" a="1"/>
  <c r="AY1056" i="1" s="1"/>
  <c r="AZ1056" i="1" a="1"/>
  <c r="AZ1056" i="1" s="1"/>
  <c r="BA1056" i="1" a="1"/>
  <c r="BA1056" i="1" s="1"/>
  <c r="BB1056" i="1" a="1"/>
  <c r="BB1056" i="1" s="1"/>
  <c r="AL1057" i="1" a="1"/>
  <c r="AL1057" i="1" s="1"/>
  <c r="AM1057" i="1" a="1"/>
  <c r="AM1057" i="1" s="1"/>
  <c r="AN1057" i="1" a="1"/>
  <c r="AN1057" i="1" s="1"/>
  <c r="AO1057" i="1" a="1"/>
  <c r="AO1057" i="1" s="1"/>
  <c r="AP1057" i="1" a="1"/>
  <c r="AP1057" i="1" s="1"/>
  <c r="AQ1057" i="1" a="1"/>
  <c r="AQ1057" i="1" s="1"/>
  <c r="AR1057" i="1" a="1"/>
  <c r="AR1057" i="1" s="1"/>
  <c r="AS1057" i="1" a="1"/>
  <c r="AS1057" i="1" s="1"/>
  <c r="AT1057" i="1" a="1"/>
  <c r="AT1057" i="1" s="1"/>
  <c r="AU1057" i="1" a="1"/>
  <c r="AU1057" i="1" s="1"/>
  <c r="AV1057" i="1" a="1"/>
  <c r="AV1057" i="1" s="1"/>
  <c r="AW1057" i="1" a="1"/>
  <c r="AW1057" i="1" s="1"/>
  <c r="AX1057" i="1" a="1"/>
  <c r="AX1057" i="1" s="1"/>
  <c r="AY1057" i="1" a="1"/>
  <c r="AY1057" i="1" s="1"/>
  <c r="AZ1057" i="1" a="1"/>
  <c r="AZ1057" i="1" s="1"/>
  <c r="BA1057" i="1" a="1"/>
  <c r="BA1057" i="1" s="1"/>
  <c r="BB1057" i="1" a="1"/>
  <c r="BB1057" i="1" s="1"/>
  <c r="AL1058" i="1" a="1"/>
  <c r="AL1058" i="1" s="1"/>
  <c r="AM1058" i="1" a="1"/>
  <c r="AM1058" i="1" s="1"/>
  <c r="AN1058" i="1" a="1"/>
  <c r="AN1058" i="1" s="1"/>
  <c r="AO1058" i="1" a="1"/>
  <c r="AO1058" i="1" s="1"/>
  <c r="AP1058" i="1" a="1"/>
  <c r="AP1058" i="1" s="1"/>
  <c r="AQ1058" i="1" a="1"/>
  <c r="AQ1058" i="1" s="1"/>
  <c r="AR1058" i="1" a="1"/>
  <c r="AR1058" i="1" s="1"/>
  <c r="AS1058" i="1" a="1"/>
  <c r="AS1058" i="1" s="1"/>
  <c r="AT1058" i="1" a="1"/>
  <c r="AT1058" i="1" s="1"/>
  <c r="AU1058" i="1" a="1"/>
  <c r="AU1058" i="1" s="1"/>
  <c r="AV1058" i="1" a="1"/>
  <c r="AV1058" i="1" s="1"/>
  <c r="AW1058" i="1" a="1"/>
  <c r="AW1058" i="1" s="1"/>
  <c r="AX1058" i="1" a="1"/>
  <c r="AX1058" i="1" s="1"/>
  <c r="AY1058" i="1" a="1"/>
  <c r="AY1058" i="1" s="1"/>
  <c r="AZ1058" i="1" a="1"/>
  <c r="AZ1058" i="1" s="1"/>
  <c r="BA1058" i="1" a="1"/>
  <c r="BA1058" i="1" s="1"/>
  <c r="BB1058" i="1" a="1"/>
  <c r="BB1058" i="1" s="1"/>
  <c r="AL1059" i="1" a="1"/>
  <c r="AL1059" i="1" s="1"/>
  <c r="AM1059" i="1" a="1"/>
  <c r="AM1059" i="1" s="1"/>
  <c r="AN1059" i="1" a="1"/>
  <c r="AN1059" i="1" s="1"/>
  <c r="AO1059" i="1" a="1"/>
  <c r="AO1059" i="1" s="1"/>
  <c r="AP1059" i="1" a="1"/>
  <c r="AP1059" i="1" s="1"/>
  <c r="AQ1059" i="1" a="1"/>
  <c r="AQ1059" i="1" s="1"/>
  <c r="AR1059" i="1" a="1"/>
  <c r="AR1059" i="1" s="1"/>
  <c r="AS1059" i="1" a="1"/>
  <c r="AS1059" i="1" s="1"/>
  <c r="AT1059" i="1" a="1"/>
  <c r="AT1059" i="1" s="1"/>
  <c r="AU1059" i="1" a="1"/>
  <c r="AU1059" i="1" s="1"/>
  <c r="AV1059" i="1" a="1"/>
  <c r="AV1059" i="1" s="1"/>
  <c r="AW1059" i="1" a="1"/>
  <c r="AW1059" i="1" s="1"/>
  <c r="AX1059" i="1" a="1"/>
  <c r="AX1059" i="1" s="1"/>
  <c r="AY1059" i="1" a="1"/>
  <c r="AY1059" i="1" s="1"/>
  <c r="AZ1059" i="1" a="1"/>
  <c r="AZ1059" i="1" s="1"/>
  <c r="BA1059" i="1" a="1"/>
  <c r="BA1059" i="1" s="1"/>
  <c r="BB1059" i="1" a="1"/>
  <c r="BB1059" i="1" s="1"/>
  <c r="AL1060" i="1" a="1"/>
  <c r="AL1060" i="1" s="1"/>
  <c r="AM1060" i="1" a="1"/>
  <c r="AM1060" i="1" s="1"/>
  <c r="AN1060" i="1" a="1"/>
  <c r="AN1060" i="1" s="1"/>
  <c r="AO1060" i="1" a="1"/>
  <c r="AO1060" i="1" s="1"/>
  <c r="AP1060" i="1" a="1"/>
  <c r="AP1060" i="1" s="1"/>
  <c r="AQ1060" i="1" a="1"/>
  <c r="AQ1060" i="1" s="1"/>
  <c r="AR1060" i="1" a="1"/>
  <c r="AR1060" i="1" s="1"/>
  <c r="AS1060" i="1" a="1"/>
  <c r="AS1060" i="1" s="1"/>
  <c r="AT1060" i="1" a="1"/>
  <c r="AT1060" i="1" s="1"/>
  <c r="AU1060" i="1" a="1"/>
  <c r="AU1060" i="1" s="1"/>
  <c r="AV1060" i="1" a="1"/>
  <c r="AV1060" i="1" s="1"/>
  <c r="AW1060" i="1" a="1"/>
  <c r="AW1060" i="1" s="1"/>
  <c r="AX1060" i="1" a="1"/>
  <c r="AX1060" i="1" s="1"/>
  <c r="AY1060" i="1" a="1"/>
  <c r="AY1060" i="1" s="1"/>
  <c r="AZ1060" i="1" a="1"/>
  <c r="AZ1060" i="1" s="1"/>
  <c r="BA1060" i="1" a="1"/>
  <c r="BA1060" i="1" s="1"/>
  <c r="BB1060" i="1" a="1"/>
  <c r="BB1060" i="1" s="1"/>
  <c r="AL1061" i="1" a="1"/>
  <c r="AL1061" i="1" s="1"/>
  <c r="AM1061" i="1" a="1"/>
  <c r="AM1061" i="1" s="1"/>
  <c r="AN1061" i="1" a="1"/>
  <c r="AN1061" i="1" s="1"/>
  <c r="AO1061" i="1" a="1"/>
  <c r="AO1061" i="1" s="1"/>
  <c r="AP1061" i="1" a="1"/>
  <c r="AP1061" i="1" s="1"/>
  <c r="AQ1061" i="1" a="1"/>
  <c r="AQ1061" i="1" s="1"/>
  <c r="AR1061" i="1" a="1"/>
  <c r="AR1061" i="1" s="1"/>
  <c r="AS1061" i="1" a="1"/>
  <c r="AS1061" i="1" s="1"/>
  <c r="AT1061" i="1" a="1"/>
  <c r="AT1061" i="1" s="1"/>
  <c r="AU1061" i="1" a="1"/>
  <c r="AU1061" i="1" s="1"/>
  <c r="AV1061" i="1" a="1"/>
  <c r="AV1061" i="1" s="1"/>
  <c r="AW1061" i="1" a="1"/>
  <c r="AW1061" i="1" s="1"/>
  <c r="AX1061" i="1" a="1"/>
  <c r="AX1061" i="1" s="1"/>
  <c r="AY1061" i="1" a="1"/>
  <c r="AY1061" i="1" s="1"/>
  <c r="AZ1061" i="1" a="1"/>
  <c r="AZ1061" i="1" s="1"/>
  <c r="BA1061" i="1" a="1"/>
  <c r="BA1061" i="1" s="1"/>
  <c r="BB1061" i="1" a="1"/>
  <c r="BB1061" i="1" s="1"/>
  <c r="AL1062" i="1" a="1"/>
  <c r="AL1062" i="1" s="1"/>
  <c r="AM1062" i="1" a="1"/>
  <c r="AM1062" i="1" s="1"/>
  <c r="AN1062" i="1" a="1"/>
  <c r="AN1062" i="1" s="1"/>
  <c r="AO1062" i="1" a="1"/>
  <c r="AO1062" i="1" s="1"/>
  <c r="AP1062" i="1" a="1"/>
  <c r="AP1062" i="1" s="1"/>
  <c r="AQ1062" i="1" a="1"/>
  <c r="AQ1062" i="1" s="1"/>
  <c r="AR1062" i="1" a="1"/>
  <c r="AR1062" i="1" s="1"/>
  <c r="AS1062" i="1" a="1"/>
  <c r="AS1062" i="1" s="1"/>
  <c r="AT1062" i="1" a="1"/>
  <c r="AT1062" i="1" s="1"/>
  <c r="AU1062" i="1" a="1"/>
  <c r="AU1062" i="1" s="1"/>
  <c r="AV1062" i="1" a="1"/>
  <c r="AV1062" i="1" s="1"/>
  <c r="AW1062" i="1" a="1"/>
  <c r="AW1062" i="1" s="1"/>
  <c r="AX1062" i="1" a="1"/>
  <c r="AX1062" i="1" s="1"/>
  <c r="AY1062" i="1" a="1"/>
  <c r="AY1062" i="1" s="1"/>
  <c r="AZ1062" i="1" a="1"/>
  <c r="AZ1062" i="1" s="1"/>
  <c r="BA1062" i="1" a="1"/>
  <c r="BA1062" i="1" s="1"/>
  <c r="BB1062" i="1" a="1"/>
  <c r="BB1062" i="1" s="1"/>
  <c r="AL1063" i="1" a="1"/>
  <c r="AL1063" i="1" s="1"/>
  <c r="AM1063" i="1" a="1"/>
  <c r="AM1063" i="1" s="1"/>
  <c r="AN1063" i="1" a="1"/>
  <c r="AN1063" i="1" s="1"/>
  <c r="AO1063" i="1" a="1"/>
  <c r="AO1063" i="1" s="1"/>
  <c r="AP1063" i="1" a="1"/>
  <c r="AP1063" i="1" s="1"/>
  <c r="AQ1063" i="1" a="1"/>
  <c r="AQ1063" i="1" s="1"/>
  <c r="AR1063" i="1" a="1"/>
  <c r="AR1063" i="1" s="1"/>
  <c r="AS1063" i="1" a="1"/>
  <c r="AS1063" i="1" s="1"/>
  <c r="AT1063" i="1" a="1"/>
  <c r="AT1063" i="1" s="1"/>
  <c r="AU1063" i="1" a="1"/>
  <c r="AU1063" i="1" s="1"/>
  <c r="AV1063" i="1" a="1"/>
  <c r="AV1063" i="1" s="1"/>
  <c r="AW1063" i="1" a="1"/>
  <c r="AW1063" i="1" s="1"/>
  <c r="AX1063" i="1" a="1"/>
  <c r="AX1063" i="1" s="1"/>
  <c r="AY1063" i="1" a="1"/>
  <c r="AY1063" i="1" s="1"/>
  <c r="AZ1063" i="1" a="1"/>
  <c r="AZ1063" i="1" s="1"/>
  <c r="BA1063" i="1" a="1"/>
  <c r="BA1063" i="1" s="1"/>
  <c r="BB1063" i="1" a="1"/>
  <c r="BB1063" i="1" s="1"/>
  <c r="AL1064" i="1" a="1"/>
  <c r="AL1064" i="1" s="1"/>
  <c r="AM1064" i="1" a="1"/>
  <c r="AM1064" i="1" s="1"/>
  <c r="AN1064" i="1" a="1"/>
  <c r="AN1064" i="1" s="1"/>
  <c r="AO1064" i="1" a="1"/>
  <c r="AO1064" i="1" s="1"/>
  <c r="AP1064" i="1" a="1"/>
  <c r="AP1064" i="1" s="1"/>
  <c r="AQ1064" i="1" a="1"/>
  <c r="AQ1064" i="1" s="1"/>
  <c r="AR1064" i="1" a="1"/>
  <c r="AR1064" i="1" s="1"/>
  <c r="AS1064" i="1" a="1"/>
  <c r="AS1064" i="1" s="1"/>
  <c r="AT1064" i="1" a="1"/>
  <c r="AT1064" i="1" s="1"/>
  <c r="AU1064" i="1" a="1"/>
  <c r="AU1064" i="1" s="1"/>
  <c r="AV1064" i="1" a="1"/>
  <c r="AV1064" i="1" s="1"/>
  <c r="AW1064" i="1" a="1"/>
  <c r="AW1064" i="1" s="1"/>
  <c r="AX1064" i="1" a="1"/>
  <c r="AX1064" i="1" s="1"/>
  <c r="AY1064" i="1" a="1"/>
  <c r="AY1064" i="1" s="1"/>
  <c r="AZ1064" i="1" a="1"/>
  <c r="AZ1064" i="1" s="1"/>
  <c r="BA1064" i="1" a="1"/>
  <c r="BA1064" i="1" s="1"/>
  <c r="BB1064" i="1" a="1"/>
  <c r="BB1064" i="1" s="1"/>
  <c r="AL1065" i="1" a="1"/>
  <c r="AL1065" i="1" s="1"/>
  <c r="AM1065" i="1" a="1"/>
  <c r="AM1065" i="1" s="1"/>
  <c r="AN1065" i="1" a="1"/>
  <c r="AN1065" i="1" s="1"/>
  <c r="AO1065" i="1" a="1"/>
  <c r="AO1065" i="1" s="1"/>
  <c r="AP1065" i="1" a="1"/>
  <c r="AP1065" i="1" s="1"/>
  <c r="AQ1065" i="1" a="1"/>
  <c r="AQ1065" i="1" s="1"/>
  <c r="AR1065" i="1" a="1"/>
  <c r="AR1065" i="1" s="1"/>
  <c r="AS1065" i="1" a="1"/>
  <c r="AS1065" i="1" s="1"/>
  <c r="AT1065" i="1" a="1"/>
  <c r="AT1065" i="1" s="1"/>
  <c r="AU1065" i="1" a="1"/>
  <c r="AU1065" i="1" s="1"/>
  <c r="AV1065" i="1" a="1"/>
  <c r="AV1065" i="1" s="1"/>
  <c r="AW1065" i="1" a="1"/>
  <c r="AW1065" i="1" s="1"/>
  <c r="AX1065" i="1" a="1"/>
  <c r="AX1065" i="1" s="1"/>
  <c r="AY1065" i="1" a="1"/>
  <c r="AY1065" i="1" s="1"/>
  <c r="AZ1065" i="1" a="1"/>
  <c r="AZ1065" i="1" s="1"/>
  <c r="BA1065" i="1" a="1"/>
  <c r="BA1065" i="1" s="1"/>
  <c r="BB1065" i="1" a="1"/>
  <c r="BB1065" i="1" s="1"/>
  <c r="AL1066" i="1" a="1"/>
  <c r="AL1066" i="1" s="1"/>
  <c r="AM1066" i="1" a="1"/>
  <c r="AM1066" i="1" s="1"/>
  <c r="AN1066" i="1" a="1"/>
  <c r="AN1066" i="1" s="1"/>
  <c r="AO1066" i="1" a="1"/>
  <c r="AO1066" i="1" s="1"/>
  <c r="AP1066" i="1" a="1"/>
  <c r="AP1066" i="1" s="1"/>
  <c r="AQ1066" i="1" a="1"/>
  <c r="AQ1066" i="1" s="1"/>
  <c r="AR1066" i="1" a="1"/>
  <c r="AR1066" i="1" s="1"/>
  <c r="AS1066" i="1" a="1"/>
  <c r="AS1066" i="1" s="1"/>
  <c r="AT1066" i="1" a="1"/>
  <c r="AT1066" i="1" s="1"/>
  <c r="AU1066" i="1" a="1"/>
  <c r="AU1066" i="1" s="1"/>
  <c r="AV1066" i="1" a="1"/>
  <c r="AV1066" i="1" s="1"/>
  <c r="AW1066" i="1" a="1"/>
  <c r="AW1066" i="1" s="1"/>
  <c r="AX1066" i="1" a="1"/>
  <c r="AX1066" i="1" s="1"/>
  <c r="AY1066" i="1" a="1"/>
  <c r="AY1066" i="1" s="1"/>
  <c r="AZ1066" i="1" a="1"/>
  <c r="AZ1066" i="1" s="1"/>
  <c r="BA1066" i="1" a="1"/>
  <c r="BA1066" i="1" s="1"/>
  <c r="BB1066" i="1" a="1"/>
  <c r="BB1066" i="1" s="1"/>
  <c r="AL1067" i="1" a="1"/>
  <c r="AL1067" i="1" s="1"/>
  <c r="AM1067" i="1" a="1"/>
  <c r="AM1067" i="1" s="1"/>
  <c r="AN1067" i="1" a="1"/>
  <c r="AN1067" i="1" s="1"/>
  <c r="AO1067" i="1" a="1"/>
  <c r="AO1067" i="1" s="1"/>
  <c r="AP1067" i="1" a="1"/>
  <c r="AP1067" i="1" s="1"/>
  <c r="AQ1067" i="1" a="1"/>
  <c r="AQ1067" i="1" s="1"/>
  <c r="AR1067" i="1" a="1"/>
  <c r="AR1067" i="1" s="1"/>
  <c r="AS1067" i="1" a="1"/>
  <c r="AS1067" i="1" s="1"/>
  <c r="AT1067" i="1" a="1"/>
  <c r="AT1067" i="1" s="1"/>
  <c r="AU1067" i="1" a="1"/>
  <c r="AU1067" i="1" s="1"/>
  <c r="AV1067" i="1" a="1"/>
  <c r="AV1067" i="1" s="1"/>
  <c r="AW1067" i="1" a="1"/>
  <c r="AW1067" i="1" s="1"/>
  <c r="AX1067" i="1" a="1"/>
  <c r="AX1067" i="1" s="1"/>
  <c r="AY1067" i="1" a="1"/>
  <c r="AY1067" i="1" s="1"/>
  <c r="AZ1067" i="1" a="1"/>
  <c r="AZ1067" i="1" s="1"/>
  <c r="BA1067" i="1" a="1"/>
  <c r="BA1067" i="1" s="1"/>
  <c r="BB1067" i="1" a="1"/>
  <c r="BB1067" i="1" s="1"/>
  <c r="AL1068" i="1" a="1"/>
  <c r="AL1068" i="1" s="1"/>
  <c r="AM1068" i="1" a="1"/>
  <c r="AM1068" i="1" s="1"/>
  <c r="AN1068" i="1" a="1"/>
  <c r="AN1068" i="1" s="1"/>
  <c r="AO1068" i="1" a="1"/>
  <c r="AO1068" i="1" s="1"/>
  <c r="AP1068" i="1" a="1"/>
  <c r="AP1068" i="1" s="1"/>
  <c r="AQ1068" i="1" a="1"/>
  <c r="AQ1068" i="1" s="1"/>
  <c r="AR1068" i="1" a="1"/>
  <c r="AR1068" i="1" s="1"/>
  <c r="AS1068" i="1" a="1"/>
  <c r="AS1068" i="1" s="1"/>
  <c r="AT1068" i="1" a="1"/>
  <c r="AT1068" i="1" s="1"/>
  <c r="AU1068" i="1" a="1"/>
  <c r="AU1068" i="1" s="1"/>
  <c r="AV1068" i="1" a="1"/>
  <c r="AV1068" i="1" s="1"/>
  <c r="AW1068" i="1" a="1"/>
  <c r="AW1068" i="1" s="1"/>
  <c r="AX1068" i="1" a="1"/>
  <c r="AX1068" i="1" s="1"/>
  <c r="AY1068" i="1" a="1"/>
  <c r="AY1068" i="1" s="1"/>
  <c r="AZ1068" i="1" a="1"/>
  <c r="AZ1068" i="1" s="1"/>
  <c r="BA1068" i="1" a="1"/>
  <c r="BA1068" i="1" s="1"/>
  <c r="BB1068" i="1" a="1"/>
  <c r="BB1068" i="1" s="1"/>
  <c r="AL1069" i="1" a="1"/>
  <c r="AL1069" i="1" s="1"/>
  <c r="AM1069" i="1" a="1"/>
  <c r="AM1069" i="1" s="1"/>
  <c r="AN1069" i="1" a="1"/>
  <c r="AN1069" i="1" s="1"/>
  <c r="AO1069" i="1" a="1"/>
  <c r="AO1069" i="1" s="1"/>
  <c r="AP1069" i="1" a="1"/>
  <c r="AP1069" i="1" s="1"/>
  <c r="AQ1069" i="1" a="1"/>
  <c r="AQ1069" i="1" s="1"/>
  <c r="AR1069" i="1" a="1"/>
  <c r="AR1069" i="1" s="1"/>
  <c r="AS1069" i="1" a="1"/>
  <c r="AS1069" i="1" s="1"/>
  <c r="AT1069" i="1" a="1"/>
  <c r="AT1069" i="1" s="1"/>
  <c r="AU1069" i="1" a="1"/>
  <c r="AU1069" i="1" s="1"/>
  <c r="AV1069" i="1" a="1"/>
  <c r="AV1069" i="1" s="1"/>
  <c r="AW1069" i="1" a="1"/>
  <c r="AW1069" i="1" s="1"/>
  <c r="AX1069" i="1" a="1"/>
  <c r="AX1069" i="1" s="1"/>
  <c r="AY1069" i="1" a="1"/>
  <c r="AY1069" i="1" s="1"/>
  <c r="AZ1069" i="1" a="1"/>
  <c r="AZ1069" i="1" s="1"/>
  <c r="BA1069" i="1" a="1"/>
  <c r="BA1069" i="1" s="1"/>
  <c r="BB1069" i="1" a="1"/>
  <c r="BB1069" i="1" s="1"/>
  <c r="AL1070" i="1" a="1"/>
  <c r="AL1070" i="1" s="1"/>
  <c r="AM1070" i="1" a="1"/>
  <c r="AM1070" i="1" s="1"/>
  <c r="AN1070" i="1" a="1"/>
  <c r="AN1070" i="1" s="1"/>
  <c r="AO1070" i="1" a="1"/>
  <c r="AO1070" i="1" s="1"/>
  <c r="AP1070" i="1" a="1"/>
  <c r="AP1070" i="1" s="1"/>
  <c r="AQ1070" i="1" a="1"/>
  <c r="AQ1070" i="1" s="1"/>
  <c r="AR1070" i="1" a="1"/>
  <c r="AR1070" i="1" s="1"/>
  <c r="AS1070" i="1" a="1"/>
  <c r="AS1070" i="1" s="1"/>
  <c r="AT1070" i="1" a="1"/>
  <c r="AT1070" i="1" s="1"/>
  <c r="AU1070" i="1" a="1"/>
  <c r="AU1070" i="1" s="1"/>
  <c r="AV1070" i="1" a="1"/>
  <c r="AV1070" i="1" s="1"/>
  <c r="AW1070" i="1" a="1"/>
  <c r="AW1070" i="1" s="1"/>
  <c r="AX1070" i="1" a="1"/>
  <c r="AX1070" i="1" s="1"/>
  <c r="AY1070" i="1" a="1"/>
  <c r="AY1070" i="1" s="1"/>
  <c r="AZ1070" i="1" a="1"/>
  <c r="AZ1070" i="1" s="1"/>
  <c r="BA1070" i="1" a="1"/>
  <c r="BA1070" i="1" s="1"/>
  <c r="BB1070" i="1" a="1"/>
  <c r="BB1070" i="1" s="1"/>
  <c r="AL1071" i="1" a="1"/>
  <c r="AL1071" i="1" s="1"/>
  <c r="AM1071" i="1" a="1"/>
  <c r="AM1071" i="1" s="1"/>
  <c r="AN1071" i="1" a="1"/>
  <c r="AN1071" i="1" s="1"/>
  <c r="AO1071" i="1" a="1"/>
  <c r="AO1071" i="1" s="1"/>
  <c r="AP1071" i="1" a="1"/>
  <c r="AP1071" i="1" s="1"/>
  <c r="AQ1071" i="1" a="1"/>
  <c r="AQ1071" i="1" s="1"/>
  <c r="AR1071" i="1" a="1"/>
  <c r="AR1071" i="1" s="1"/>
  <c r="AS1071" i="1" a="1"/>
  <c r="AS1071" i="1" s="1"/>
  <c r="AT1071" i="1" a="1"/>
  <c r="AT1071" i="1" s="1"/>
  <c r="AU1071" i="1" a="1"/>
  <c r="AU1071" i="1" s="1"/>
  <c r="AV1071" i="1" a="1"/>
  <c r="AV1071" i="1" s="1"/>
  <c r="AW1071" i="1" a="1"/>
  <c r="AW1071" i="1" s="1"/>
  <c r="AX1071" i="1" a="1"/>
  <c r="AX1071" i="1" s="1"/>
  <c r="AY1071" i="1" a="1"/>
  <c r="AY1071" i="1" s="1"/>
  <c r="AZ1071" i="1" a="1"/>
  <c r="AZ1071" i="1" s="1"/>
  <c r="BA1071" i="1" a="1"/>
  <c r="BA1071" i="1" s="1"/>
  <c r="BB1071" i="1" a="1"/>
  <c r="BB1071" i="1" s="1"/>
  <c r="AL1072" i="1" a="1"/>
  <c r="AL1072" i="1" s="1"/>
  <c r="AM1072" i="1" a="1"/>
  <c r="AM1072" i="1" s="1"/>
  <c r="AN1072" i="1" a="1"/>
  <c r="AN1072" i="1" s="1"/>
  <c r="AO1072" i="1" a="1"/>
  <c r="AO1072" i="1" s="1"/>
  <c r="AP1072" i="1" a="1"/>
  <c r="AP1072" i="1" s="1"/>
  <c r="AQ1072" i="1" a="1"/>
  <c r="AQ1072" i="1" s="1"/>
  <c r="AR1072" i="1" a="1"/>
  <c r="AR1072" i="1" s="1"/>
  <c r="AS1072" i="1" a="1"/>
  <c r="AS1072" i="1" s="1"/>
  <c r="AT1072" i="1" a="1"/>
  <c r="AT1072" i="1" s="1"/>
  <c r="AU1072" i="1" a="1"/>
  <c r="AU1072" i="1" s="1"/>
  <c r="AV1072" i="1" a="1"/>
  <c r="AV1072" i="1" s="1"/>
  <c r="AW1072" i="1" a="1"/>
  <c r="AW1072" i="1" s="1"/>
  <c r="AX1072" i="1" a="1"/>
  <c r="AX1072" i="1" s="1"/>
  <c r="AY1072" i="1" a="1"/>
  <c r="AY1072" i="1" s="1"/>
  <c r="AZ1072" i="1" a="1"/>
  <c r="AZ1072" i="1" s="1"/>
  <c r="BA1072" i="1" a="1"/>
  <c r="BA1072" i="1" s="1"/>
  <c r="BB1072" i="1" a="1"/>
  <c r="BB1072" i="1" s="1"/>
  <c r="AL1073" i="1" a="1"/>
  <c r="AL1073" i="1" s="1"/>
  <c r="AM1073" i="1" a="1"/>
  <c r="AM1073" i="1" s="1"/>
  <c r="AN1073" i="1" a="1"/>
  <c r="AN1073" i="1" s="1"/>
  <c r="AO1073" i="1" a="1"/>
  <c r="AO1073" i="1" s="1"/>
  <c r="AP1073" i="1" a="1"/>
  <c r="AP1073" i="1" s="1"/>
  <c r="AQ1073" i="1" a="1"/>
  <c r="AQ1073" i="1" s="1"/>
  <c r="AR1073" i="1" a="1"/>
  <c r="AR1073" i="1" s="1"/>
  <c r="AS1073" i="1" a="1"/>
  <c r="AS1073" i="1" s="1"/>
  <c r="AT1073" i="1" a="1"/>
  <c r="AT1073" i="1" s="1"/>
  <c r="AU1073" i="1" a="1"/>
  <c r="AU1073" i="1" s="1"/>
  <c r="AV1073" i="1" a="1"/>
  <c r="AV1073" i="1" s="1"/>
  <c r="AW1073" i="1" a="1"/>
  <c r="AW1073" i="1" s="1"/>
  <c r="AX1073" i="1" a="1"/>
  <c r="AX1073" i="1" s="1"/>
  <c r="AY1073" i="1" a="1"/>
  <c r="AY1073" i="1" s="1"/>
  <c r="AZ1073" i="1" a="1"/>
  <c r="AZ1073" i="1" s="1"/>
  <c r="BA1073" i="1" a="1"/>
  <c r="BA1073" i="1" s="1"/>
  <c r="BB1073" i="1" a="1"/>
  <c r="BB1073" i="1" s="1"/>
  <c r="AL1074" i="1" a="1"/>
  <c r="AL1074" i="1" s="1"/>
  <c r="AM1074" i="1" a="1"/>
  <c r="AM1074" i="1" s="1"/>
  <c r="AN1074" i="1" a="1"/>
  <c r="AN1074" i="1" s="1"/>
  <c r="AO1074" i="1" a="1"/>
  <c r="AO1074" i="1" s="1"/>
  <c r="AP1074" i="1" a="1"/>
  <c r="AP1074" i="1" s="1"/>
  <c r="AQ1074" i="1" a="1"/>
  <c r="AQ1074" i="1" s="1"/>
  <c r="AR1074" i="1" a="1"/>
  <c r="AR1074" i="1" s="1"/>
  <c r="AS1074" i="1" a="1"/>
  <c r="AS1074" i="1" s="1"/>
  <c r="AT1074" i="1" a="1"/>
  <c r="AT1074" i="1" s="1"/>
  <c r="AU1074" i="1" a="1"/>
  <c r="AU1074" i="1" s="1"/>
  <c r="AV1074" i="1" a="1"/>
  <c r="AV1074" i="1" s="1"/>
  <c r="AW1074" i="1" a="1"/>
  <c r="AW1074" i="1" s="1"/>
  <c r="AX1074" i="1" a="1"/>
  <c r="AX1074" i="1" s="1"/>
  <c r="AY1074" i="1" a="1"/>
  <c r="AY1074" i="1" s="1"/>
  <c r="AZ1074" i="1" a="1"/>
  <c r="AZ1074" i="1" s="1"/>
  <c r="BA1074" i="1" a="1"/>
  <c r="BA1074" i="1" s="1"/>
  <c r="BB1074" i="1" a="1"/>
  <c r="BB1074" i="1" s="1"/>
  <c r="AL1075" i="1" a="1"/>
  <c r="AL1075" i="1" s="1"/>
  <c r="AM1075" i="1" a="1"/>
  <c r="AM1075" i="1" s="1"/>
  <c r="AN1075" i="1" a="1"/>
  <c r="AN1075" i="1" s="1"/>
  <c r="AO1075" i="1" a="1"/>
  <c r="AO1075" i="1" s="1"/>
  <c r="AP1075" i="1" a="1"/>
  <c r="AP1075" i="1" s="1"/>
  <c r="AQ1075" i="1" a="1"/>
  <c r="AQ1075" i="1" s="1"/>
  <c r="AR1075" i="1" a="1"/>
  <c r="AR1075" i="1" s="1"/>
  <c r="AS1075" i="1" a="1"/>
  <c r="AS1075" i="1" s="1"/>
  <c r="AT1075" i="1" a="1"/>
  <c r="AT1075" i="1" s="1"/>
  <c r="AU1075" i="1" a="1"/>
  <c r="AU1075" i="1" s="1"/>
  <c r="AV1075" i="1" a="1"/>
  <c r="AV1075" i="1" s="1"/>
  <c r="AW1075" i="1" a="1"/>
  <c r="AW1075" i="1" s="1"/>
  <c r="AX1075" i="1" a="1"/>
  <c r="AX1075" i="1" s="1"/>
  <c r="AY1075" i="1" a="1"/>
  <c r="AY1075" i="1" s="1"/>
  <c r="AZ1075" i="1" a="1"/>
  <c r="AZ1075" i="1" s="1"/>
  <c r="BA1075" i="1" a="1"/>
  <c r="BA1075" i="1" s="1"/>
  <c r="BB1075" i="1" a="1"/>
  <c r="BB1075" i="1" s="1"/>
  <c r="AL1076" i="1" a="1"/>
  <c r="AL1076" i="1" s="1"/>
  <c r="AM1076" i="1" a="1"/>
  <c r="AM1076" i="1" s="1"/>
  <c r="AN1076" i="1" a="1"/>
  <c r="AN1076" i="1" s="1"/>
  <c r="AO1076" i="1" a="1"/>
  <c r="AO1076" i="1" s="1"/>
  <c r="AP1076" i="1" a="1"/>
  <c r="AP1076" i="1" s="1"/>
  <c r="AQ1076" i="1" a="1"/>
  <c r="AQ1076" i="1" s="1"/>
  <c r="AR1076" i="1" a="1"/>
  <c r="AR1076" i="1" s="1"/>
  <c r="AS1076" i="1" a="1"/>
  <c r="AS1076" i="1" s="1"/>
  <c r="AT1076" i="1" a="1"/>
  <c r="AT1076" i="1" s="1"/>
  <c r="AU1076" i="1" a="1"/>
  <c r="AU1076" i="1" s="1"/>
  <c r="AV1076" i="1" a="1"/>
  <c r="AV1076" i="1" s="1"/>
  <c r="AW1076" i="1" a="1"/>
  <c r="AW1076" i="1" s="1"/>
  <c r="AX1076" i="1" a="1"/>
  <c r="AX1076" i="1" s="1"/>
  <c r="AY1076" i="1" a="1"/>
  <c r="AY1076" i="1" s="1"/>
  <c r="AZ1076" i="1" a="1"/>
  <c r="AZ1076" i="1" s="1"/>
  <c r="BA1076" i="1" a="1"/>
  <c r="BA1076" i="1" s="1"/>
  <c r="BB1076" i="1" a="1"/>
  <c r="BB1076" i="1" s="1"/>
  <c r="AL1077" i="1" a="1"/>
  <c r="AL1077" i="1" s="1"/>
  <c r="AM1077" i="1" a="1"/>
  <c r="AM1077" i="1" s="1"/>
  <c r="AN1077" i="1" a="1"/>
  <c r="AN1077" i="1" s="1"/>
  <c r="AO1077" i="1" a="1"/>
  <c r="AO1077" i="1" s="1"/>
  <c r="AP1077" i="1" a="1"/>
  <c r="AP1077" i="1" s="1"/>
  <c r="AQ1077" i="1" a="1"/>
  <c r="AQ1077" i="1" s="1"/>
  <c r="AR1077" i="1" a="1"/>
  <c r="AR1077" i="1" s="1"/>
  <c r="AS1077" i="1" a="1"/>
  <c r="AS1077" i="1" s="1"/>
  <c r="AT1077" i="1" a="1"/>
  <c r="AT1077" i="1" s="1"/>
  <c r="AU1077" i="1" a="1"/>
  <c r="AU1077" i="1" s="1"/>
  <c r="AV1077" i="1" a="1"/>
  <c r="AV1077" i="1" s="1"/>
  <c r="AW1077" i="1" a="1"/>
  <c r="AW1077" i="1" s="1"/>
  <c r="AX1077" i="1" a="1"/>
  <c r="AX1077" i="1" s="1"/>
  <c r="AY1077" i="1" a="1"/>
  <c r="AY1077" i="1" s="1"/>
  <c r="AZ1077" i="1" a="1"/>
  <c r="AZ1077" i="1" s="1"/>
  <c r="BA1077" i="1" a="1"/>
  <c r="BA1077" i="1" s="1"/>
  <c r="BB1077" i="1" a="1"/>
  <c r="BB1077" i="1" s="1"/>
  <c r="AL1078" i="1" a="1"/>
  <c r="AL1078" i="1" s="1"/>
  <c r="AM1078" i="1" a="1"/>
  <c r="AM1078" i="1" s="1"/>
  <c r="AN1078" i="1" a="1"/>
  <c r="AN1078" i="1" s="1"/>
  <c r="AO1078" i="1" a="1"/>
  <c r="AO1078" i="1" s="1"/>
  <c r="AP1078" i="1" a="1"/>
  <c r="AP1078" i="1" s="1"/>
  <c r="AQ1078" i="1" a="1"/>
  <c r="AQ1078" i="1" s="1"/>
  <c r="AR1078" i="1" a="1"/>
  <c r="AR1078" i="1" s="1"/>
  <c r="AS1078" i="1" a="1"/>
  <c r="AS1078" i="1" s="1"/>
  <c r="AT1078" i="1" a="1"/>
  <c r="AT1078" i="1" s="1"/>
  <c r="AU1078" i="1" a="1"/>
  <c r="AU1078" i="1" s="1"/>
  <c r="AV1078" i="1" a="1"/>
  <c r="AV1078" i="1" s="1"/>
  <c r="AW1078" i="1" a="1"/>
  <c r="AW1078" i="1" s="1"/>
  <c r="AX1078" i="1" a="1"/>
  <c r="AX1078" i="1" s="1"/>
  <c r="AY1078" i="1" a="1"/>
  <c r="AY1078" i="1" s="1"/>
  <c r="AZ1078" i="1" a="1"/>
  <c r="AZ1078" i="1" s="1"/>
  <c r="BA1078" i="1" a="1"/>
  <c r="BA1078" i="1" s="1"/>
  <c r="BB1078" i="1" a="1"/>
  <c r="BB1078" i="1" s="1"/>
  <c r="AL1079" i="1" a="1"/>
  <c r="AL1079" i="1" s="1"/>
  <c r="AM1079" i="1" a="1"/>
  <c r="AM1079" i="1" s="1"/>
  <c r="AN1079" i="1" a="1"/>
  <c r="AN1079" i="1" s="1"/>
  <c r="AO1079" i="1" a="1"/>
  <c r="AO1079" i="1" s="1"/>
  <c r="AP1079" i="1" a="1"/>
  <c r="AP1079" i="1" s="1"/>
  <c r="AQ1079" i="1" a="1"/>
  <c r="AQ1079" i="1" s="1"/>
  <c r="AR1079" i="1" a="1"/>
  <c r="AR1079" i="1" s="1"/>
  <c r="AS1079" i="1" a="1"/>
  <c r="AS1079" i="1" s="1"/>
  <c r="AT1079" i="1" a="1"/>
  <c r="AT1079" i="1" s="1"/>
  <c r="AU1079" i="1" a="1"/>
  <c r="AU1079" i="1" s="1"/>
  <c r="AV1079" i="1" a="1"/>
  <c r="AV1079" i="1" s="1"/>
  <c r="AW1079" i="1" a="1"/>
  <c r="AW1079" i="1" s="1"/>
  <c r="AX1079" i="1" a="1"/>
  <c r="AX1079" i="1" s="1"/>
  <c r="AY1079" i="1" a="1"/>
  <c r="AY1079" i="1" s="1"/>
  <c r="AZ1079" i="1" a="1"/>
  <c r="AZ1079" i="1" s="1"/>
  <c r="BA1079" i="1" a="1"/>
  <c r="BA1079" i="1" s="1"/>
  <c r="BB1079" i="1" a="1"/>
  <c r="BB1079" i="1" s="1"/>
  <c r="AL1080" i="1" a="1"/>
  <c r="AL1080" i="1" s="1"/>
  <c r="AM1080" i="1" a="1"/>
  <c r="AM1080" i="1" s="1"/>
  <c r="AN1080" i="1" a="1"/>
  <c r="AN1080" i="1" s="1"/>
  <c r="AO1080" i="1" a="1"/>
  <c r="AO1080" i="1" s="1"/>
  <c r="AP1080" i="1" a="1"/>
  <c r="AP1080" i="1" s="1"/>
  <c r="AQ1080" i="1" a="1"/>
  <c r="AQ1080" i="1" s="1"/>
  <c r="AR1080" i="1" a="1"/>
  <c r="AR1080" i="1" s="1"/>
  <c r="AS1080" i="1" a="1"/>
  <c r="AS1080" i="1" s="1"/>
  <c r="AT1080" i="1" a="1"/>
  <c r="AT1080" i="1" s="1"/>
  <c r="AU1080" i="1" a="1"/>
  <c r="AU1080" i="1" s="1"/>
  <c r="AV1080" i="1" a="1"/>
  <c r="AV1080" i="1" s="1"/>
  <c r="AW1080" i="1" a="1"/>
  <c r="AW1080" i="1" s="1"/>
  <c r="AX1080" i="1" a="1"/>
  <c r="AX1080" i="1" s="1"/>
  <c r="AY1080" i="1" a="1"/>
  <c r="AY1080" i="1" s="1"/>
  <c r="AZ1080" i="1" a="1"/>
  <c r="AZ1080" i="1" s="1"/>
  <c r="BA1080" i="1" a="1"/>
  <c r="BA1080" i="1" s="1"/>
  <c r="BB1080" i="1" a="1"/>
  <c r="BB1080" i="1" s="1"/>
  <c r="AL1081" i="1" a="1"/>
  <c r="AL1081" i="1" s="1"/>
  <c r="AM1081" i="1" a="1"/>
  <c r="AM1081" i="1" s="1"/>
  <c r="AN1081" i="1" a="1"/>
  <c r="AN1081" i="1" s="1"/>
  <c r="AO1081" i="1" a="1"/>
  <c r="AO1081" i="1" s="1"/>
  <c r="AP1081" i="1" a="1"/>
  <c r="AP1081" i="1" s="1"/>
  <c r="AQ1081" i="1" a="1"/>
  <c r="AQ1081" i="1" s="1"/>
  <c r="AR1081" i="1" a="1"/>
  <c r="AR1081" i="1" s="1"/>
  <c r="AS1081" i="1" a="1"/>
  <c r="AS1081" i="1" s="1"/>
  <c r="AT1081" i="1" a="1"/>
  <c r="AT1081" i="1" s="1"/>
  <c r="AU1081" i="1" a="1"/>
  <c r="AU1081" i="1" s="1"/>
  <c r="AV1081" i="1" a="1"/>
  <c r="AV1081" i="1" s="1"/>
  <c r="AW1081" i="1" a="1"/>
  <c r="AW1081" i="1" s="1"/>
  <c r="AX1081" i="1" a="1"/>
  <c r="AX1081" i="1" s="1"/>
  <c r="AY1081" i="1" a="1"/>
  <c r="AY1081" i="1" s="1"/>
  <c r="AZ1081" i="1" a="1"/>
  <c r="AZ1081" i="1" s="1"/>
  <c r="BA1081" i="1" a="1"/>
  <c r="BA1081" i="1" s="1"/>
  <c r="BB1081" i="1" a="1"/>
  <c r="BB1081" i="1" s="1"/>
  <c r="AL1082" i="1" a="1"/>
  <c r="AL1082" i="1" s="1"/>
  <c r="AM1082" i="1" a="1"/>
  <c r="AM1082" i="1" s="1"/>
  <c r="AN1082" i="1" a="1"/>
  <c r="AN1082" i="1" s="1"/>
  <c r="AO1082" i="1" a="1"/>
  <c r="AO1082" i="1" s="1"/>
  <c r="AP1082" i="1" a="1"/>
  <c r="AP1082" i="1" s="1"/>
  <c r="AQ1082" i="1" a="1"/>
  <c r="AQ1082" i="1" s="1"/>
  <c r="AR1082" i="1" a="1"/>
  <c r="AR1082" i="1" s="1"/>
  <c r="AS1082" i="1" a="1"/>
  <c r="AS1082" i="1" s="1"/>
  <c r="AT1082" i="1" a="1"/>
  <c r="AT1082" i="1" s="1"/>
  <c r="AU1082" i="1" a="1"/>
  <c r="AU1082" i="1" s="1"/>
  <c r="AV1082" i="1" a="1"/>
  <c r="AV1082" i="1" s="1"/>
  <c r="AW1082" i="1" a="1"/>
  <c r="AW1082" i="1" s="1"/>
  <c r="AX1082" i="1" a="1"/>
  <c r="AX1082" i="1" s="1"/>
  <c r="AY1082" i="1" a="1"/>
  <c r="AY1082" i="1" s="1"/>
  <c r="AZ1082" i="1" a="1"/>
  <c r="AZ1082" i="1" s="1"/>
  <c r="BA1082" i="1" a="1"/>
  <c r="BA1082" i="1" s="1"/>
  <c r="BB1082" i="1" a="1"/>
  <c r="BB1082" i="1" s="1"/>
  <c r="AL1083" i="1" a="1"/>
  <c r="AL1083" i="1" s="1"/>
  <c r="AM1083" i="1" a="1"/>
  <c r="AM1083" i="1" s="1"/>
  <c r="AN1083" i="1" a="1"/>
  <c r="AN1083" i="1" s="1"/>
  <c r="AO1083" i="1" a="1"/>
  <c r="AO1083" i="1" s="1"/>
  <c r="AP1083" i="1" a="1"/>
  <c r="AP1083" i="1" s="1"/>
  <c r="AQ1083" i="1" a="1"/>
  <c r="AQ1083" i="1" s="1"/>
  <c r="AR1083" i="1" a="1"/>
  <c r="AR1083" i="1" s="1"/>
  <c r="AS1083" i="1" a="1"/>
  <c r="AS1083" i="1" s="1"/>
  <c r="AT1083" i="1" a="1"/>
  <c r="AT1083" i="1" s="1"/>
  <c r="AU1083" i="1" a="1"/>
  <c r="AU1083" i="1" s="1"/>
  <c r="AV1083" i="1" a="1"/>
  <c r="AV1083" i="1" s="1"/>
  <c r="AW1083" i="1" a="1"/>
  <c r="AW1083" i="1" s="1"/>
  <c r="AX1083" i="1" a="1"/>
  <c r="AX1083" i="1" s="1"/>
  <c r="AY1083" i="1" a="1"/>
  <c r="AY1083" i="1" s="1"/>
  <c r="AZ1083" i="1" a="1"/>
  <c r="AZ1083" i="1" s="1"/>
  <c r="BA1083" i="1" a="1"/>
  <c r="BA1083" i="1" s="1"/>
  <c r="BB1083" i="1" a="1"/>
  <c r="BB1083" i="1" s="1"/>
  <c r="AL1084" i="1" a="1"/>
  <c r="AL1084" i="1" s="1"/>
  <c r="AM1084" i="1" a="1"/>
  <c r="AM1084" i="1" s="1"/>
  <c r="AN1084" i="1" a="1"/>
  <c r="AN1084" i="1" s="1"/>
  <c r="AO1084" i="1" a="1"/>
  <c r="AO1084" i="1" s="1"/>
  <c r="AP1084" i="1" a="1"/>
  <c r="AP1084" i="1" s="1"/>
  <c r="AQ1084" i="1" a="1"/>
  <c r="AQ1084" i="1" s="1"/>
  <c r="AR1084" i="1" a="1"/>
  <c r="AR1084" i="1" s="1"/>
  <c r="AS1084" i="1" a="1"/>
  <c r="AS1084" i="1" s="1"/>
  <c r="AT1084" i="1" a="1"/>
  <c r="AT1084" i="1" s="1"/>
  <c r="AU1084" i="1" a="1"/>
  <c r="AU1084" i="1" s="1"/>
  <c r="AV1084" i="1" a="1"/>
  <c r="AV1084" i="1" s="1"/>
  <c r="AW1084" i="1" a="1"/>
  <c r="AW1084" i="1" s="1"/>
  <c r="AX1084" i="1" a="1"/>
  <c r="AX1084" i="1" s="1"/>
  <c r="AY1084" i="1" a="1"/>
  <c r="AY1084" i="1" s="1"/>
  <c r="AZ1084" i="1" a="1"/>
  <c r="AZ1084" i="1" s="1"/>
  <c r="BA1084" i="1" a="1"/>
  <c r="BA1084" i="1" s="1"/>
  <c r="BB1084" i="1" a="1"/>
  <c r="BB1084" i="1" s="1"/>
  <c r="AL1085" i="1" a="1"/>
  <c r="AL1085" i="1" s="1"/>
  <c r="AM1085" i="1" a="1"/>
  <c r="AM1085" i="1" s="1"/>
  <c r="AN1085" i="1" a="1"/>
  <c r="AN1085" i="1" s="1"/>
  <c r="AO1085" i="1" a="1"/>
  <c r="AO1085" i="1" s="1"/>
  <c r="AP1085" i="1" a="1"/>
  <c r="AP1085" i="1" s="1"/>
  <c r="AQ1085" i="1" a="1"/>
  <c r="AQ1085" i="1" s="1"/>
  <c r="AR1085" i="1" a="1"/>
  <c r="AR1085" i="1" s="1"/>
  <c r="AS1085" i="1" a="1"/>
  <c r="AS1085" i="1" s="1"/>
  <c r="AT1085" i="1" a="1"/>
  <c r="AT1085" i="1" s="1"/>
  <c r="AU1085" i="1" a="1"/>
  <c r="AU1085" i="1" s="1"/>
  <c r="AV1085" i="1" a="1"/>
  <c r="AV1085" i="1" s="1"/>
  <c r="AW1085" i="1" a="1"/>
  <c r="AW1085" i="1" s="1"/>
  <c r="AX1085" i="1" a="1"/>
  <c r="AX1085" i="1" s="1"/>
  <c r="AY1085" i="1" a="1"/>
  <c r="AY1085" i="1" s="1"/>
  <c r="AZ1085" i="1" a="1"/>
  <c r="AZ1085" i="1" s="1"/>
  <c r="BA1085" i="1" a="1"/>
  <c r="BA1085" i="1" s="1"/>
  <c r="BB1085" i="1" a="1"/>
  <c r="BB1085" i="1" s="1"/>
  <c r="AL1086" i="1" a="1"/>
  <c r="AL1086" i="1" s="1"/>
  <c r="AM1086" i="1" a="1"/>
  <c r="AM1086" i="1" s="1"/>
  <c r="AN1086" i="1" a="1"/>
  <c r="AN1086" i="1" s="1"/>
  <c r="AO1086" i="1" a="1"/>
  <c r="AO1086" i="1" s="1"/>
  <c r="AP1086" i="1" a="1"/>
  <c r="AP1086" i="1" s="1"/>
  <c r="AQ1086" i="1" a="1"/>
  <c r="AQ1086" i="1" s="1"/>
  <c r="AR1086" i="1" a="1"/>
  <c r="AR1086" i="1" s="1"/>
  <c r="AS1086" i="1" a="1"/>
  <c r="AS1086" i="1" s="1"/>
  <c r="AT1086" i="1" a="1"/>
  <c r="AT1086" i="1" s="1"/>
  <c r="AU1086" i="1" a="1"/>
  <c r="AU1086" i="1" s="1"/>
  <c r="AV1086" i="1" a="1"/>
  <c r="AV1086" i="1" s="1"/>
  <c r="AW1086" i="1" a="1"/>
  <c r="AW1086" i="1" s="1"/>
  <c r="AX1086" i="1" a="1"/>
  <c r="AX1086" i="1" s="1"/>
  <c r="AY1086" i="1" a="1"/>
  <c r="AY1086" i="1" s="1"/>
  <c r="AZ1086" i="1" a="1"/>
  <c r="AZ1086" i="1" s="1"/>
  <c r="BA1086" i="1" a="1"/>
  <c r="BA1086" i="1" s="1"/>
  <c r="BB1086" i="1" a="1"/>
  <c r="BB1086" i="1" s="1"/>
  <c r="AL1087" i="1" a="1"/>
  <c r="AL1087" i="1" s="1"/>
  <c r="AM1087" i="1" a="1"/>
  <c r="AM1087" i="1" s="1"/>
  <c r="AN1087" i="1" a="1"/>
  <c r="AN1087" i="1" s="1"/>
  <c r="AO1087" i="1" a="1"/>
  <c r="AO1087" i="1" s="1"/>
  <c r="AP1087" i="1" a="1"/>
  <c r="AP1087" i="1" s="1"/>
  <c r="AQ1087" i="1" a="1"/>
  <c r="AQ1087" i="1" s="1"/>
  <c r="AR1087" i="1" a="1"/>
  <c r="AR1087" i="1" s="1"/>
  <c r="AS1087" i="1" a="1"/>
  <c r="AS1087" i="1" s="1"/>
  <c r="AT1087" i="1" a="1"/>
  <c r="AT1087" i="1" s="1"/>
  <c r="AU1087" i="1" a="1"/>
  <c r="AU1087" i="1" s="1"/>
  <c r="AV1087" i="1" a="1"/>
  <c r="AV1087" i="1" s="1"/>
  <c r="AW1087" i="1" a="1"/>
  <c r="AW1087" i="1" s="1"/>
  <c r="AX1087" i="1" a="1"/>
  <c r="AX1087" i="1" s="1"/>
  <c r="AY1087" i="1" a="1"/>
  <c r="AY1087" i="1" s="1"/>
  <c r="AZ1087" i="1" a="1"/>
  <c r="AZ1087" i="1" s="1"/>
  <c r="BA1087" i="1" a="1"/>
  <c r="BA1087" i="1" s="1"/>
  <c r="BB1087" i="1" a="1"/>
  <c r="BB1087" i="1" s="1"/>
  <c r="AL1088" i="1" a="1"/>
  <c r="AL1088" i="1" s="1"/>
  <c r="AM1088" i="1" a="1"/>
  <c r="AM1088" i="1" s="1"/>
  <c r="AN1088" i="1" a="1"/>
  <c r="AN1088" i="1" s="1"/>
  <c r="AO1088" i="1" a="1"/>
  <c r="AO1088" i="1" s="1"/>
  <c r="AP1088" i="1" a="1"/>
  <c r="AP1088" i="1" s="1"/>
  <c r="AQ1088" i="1" a="1"/>
  <c r="AQ1088" i="1" s="1"/>
  <c r="AR1088" i="1" a="1"/>
  <c r="AR1088" i="1" s="1"/>
  <c r="AS1088" i="1" a="1"/>
  <c r="AS1088" i="1" s="1"/>
  <c r="AT1088" i="1" a="1"/>
  <c r="AT1088" i="1" s="1"/>
  <c r="AU1088" i="1" a="1"/>
  <c r="AU1088" i="1" s="1"/>
  <c r="AV1088" i="1" a="1"/>
  <c r="AV1088" i="1" s="1"/>
  <c r="AW1088" i="1" a="1"/>
  <c r="AW1088" i="1" s="1"/>
  <c r="AX1088" i="1" a="1"/>
  <c r="AX1088" i="1" s="1"/>
  <c r="AY1088" i="1" a="1"/>
  <c r="AY1088" i="1" s="1"/>
  <c r="AZ1088" i="1" a="1"/>
  <c r="AZ1088" i="1" s="1"/>
  <c r="BA1088" i="1" a="1"/>
  <c r="BA1088" i="1" s="1"/>
  <c r="BB1088" i="1" a="1"/>
  <c r="BB1088" i="1" s="1"/>
  <c r="AL1089" i="1" a="1"/>
  <c r="AL1089" i="1" s="1"/>
  <c r="AM1089" i="1" a="1"/>
  <c r="AM1089" i="1" s="1"/>
  <c r="AN1089" i="1" a="1"/>
  <c r="AN1089" i="1" s="1"/>
  <c r="AO1089" i="1" a="1"/>
  <c r="AO1089" i="1" s="1"/>
  <c r="AP1089" i="1" a="1"/>
  <c r="AP1089" i="1" s="1"/>
  <c r="AQ1089" i="1" a="1"/>
  <c r="AQ1089" i="1" s="1"/>
  <c r="AR1089" i="1" a="1"/>
  <c r="AR1089" i="1" s="1"/>
  <c r="AS1089" i="1" a="1"/>
  <c r="AS1089" i="1" s="1"/>
  <c r="AT1089" i="1" a="1"/>
  <c r="AT1089" i="1" s="1"/>
  <c r="AU1089" i="1" a="1"/>
  <c r="AU1089" i="1" s="1"/>
  <c r="AV1089" i="1" a="1"/>
  <c r="AV1089" i="1" s="1"/>
  <c r="AW1089" i="1" a="1"/>
  <c r="AW1089" i="1" s="1"/>
  <c r="AX1089" i="1" a="1"/>
  <c r="AX1089" i="1" s="1"/>
  <c r="AY1089" i="1" a="1"/>
  <c r="AY1089" i="1" s="1"/>
  <c r="AZ1089" i="1" a="1"/>
  <c r="AZ1089" i="1" s="1"/>
  <c r="BA1089" i="1" a="1"/>
  <c r="BA1089" i="1" s="1"/>
  <c r="BB1089" i="1" a="1"/>
  <c r="BB1089" i="1" s="1"/>
  <c r="AL1090" i="1" a="1"/>
  <c r="AL1090" i="1" s="1"/>
  <c r="AM1090" i="1" a="1"/>
  <c r="AM1090" i="1" s="1"/>
  <c r="AN1090" i="1" a="1"/>
  <c r="AN1090" i="1" s="1"/>
  <c r="AO1090" i="1" a="1"/>
  <c r="AO1090" i="1" s="1"/>
  <c r="AP1090" i="1" a="1"/>
  <c r="AP1090" i="1" s="1"/>
  <c r="AQ1090" i="1" a="1"/>
  <c r="AQ1090" i="1" s="1"/>
  <c r="AR1090" i="1" a="1"/>
  <c r="AR1090" i="1" s="1"/>
  <c r="AS1090" i="1" a="1"/>
  <c r="AS1090" i="1" s="1"/>
  <c r="AT1090" i="1" a="1"/>
  <c r="AT1090" i="1" s="1"/>
  <c r="AU1090" i="1" a="1"/>
  <c r="AU1090" i="1" s="1"/>
  <c r="AV1090" i="1" a="1"/>
  <c r="AV1090" i="1" s="1"/>
  <c r="AW1090" i="1" a="1"/>
  <c r="AW1090" i="1" s="1"/>
  <c r="AX1090" i="1" a="1"/>
  <c r="AX1090" i="1" s="1"/>
  <c r="AY1090" i="1" a="1"/>
  <c r="AY1090" i="1" s="1"/>
  <c r="AZ1090" i="1" a="1"/>
  <c r="AZ1090" i="1" s="1"/>
  <c r="BA1090" i="1" a="1"/>
  <c r="BA1090" i="1" s="1"/>
  <c r="BB1090" i="1" a="1"/>
  <c r="BB1090" i="1" s="1"/>
  <c r="AL1091" i="1" a="1"/>
  <c r="AL1091" i="1" s="1"/>
  <c r="AM1091" i="1" a="1"/>
  <c r="AM1091" i="1" s="1"/>
  <c r="AN1091" i="1" a="1"/>
  <c r="AN1091" i="1" s="1"/>
  <c r="AO1091" i="1" a="1"/>
  <c r="AO1091" i="1" s="1"/>
  <c r="AP1091" i="1" a="1"/>
  <c r="AP1091" i="1" s="1"/>
  <c r="AQ1091" i="1" a="1"/>
  <c r="AQ1091" i="1" s="1"/>
  <c r="AR1091" i="1" a="1"/>
  <c r="AR1091" i="1" s="1"/>
  <c r="AS1091" i="1" a="1"/>
  <c r="AS1091" i="1" s="1"/>
  <c r="AT1091" i="1" a="1"/>
  <c r="AT1091" i="1" s="1"/>
  <c r="AU1091" i="1" a="1"/>
  <c r="AU1091" i="1" s="1"/>
  <c r="AV1091" i="1" a="1"/>
  <c r="AV1091" i="1" s="1"/>
  <c r="AW1091" i="1" a="1"/>
  <c r="AW1091" i="1" s="1"/>
  <c r="AX1091" i="1" a="1"/>
  <c r="AX1091" i="1" s="1"/>
  <c r="AY1091" i="1" a="1"/>
  <c r="AY1091" i="1" s="1"/>
  <c r="AZ1091" i="1" a="1"/>
  <c r="AZ1091" i="1" s="1"/>
  <c r="BA1091" i="1" a="1"/>
  <c r="BA1091" i="1" s="1"/>
  <c r="BB1091" i="1" a="1"/>
  <c r="BB1091" i="1" s="1"/>
  <c r="AL1092" i="1" a="1"/>
  <c r="AL1092" i="1" s="1"/>
  <c r="AM1092" i="1" a="1"/>
  <c r="AM1092" i="1" s="1"/>
  <c r="AN1092" i="1" a="1"/>
  <c r="AN1092" i="1" s="1"/>
  <c r="AO1092" i="1" a="1"/>
  <c r="AO1092" i="1" s="1"/>
  <c r="AP1092" i="1" a="1"/>
  <c r="AP1092" i="1" s="1"/>
  <c r="AQ1092" i="1" a="1"/>
  <c r="AQ1092" i="1" s="1"/>
  <c r="AR1092" i="1" a="1"/>
  <c r="AR1092" i="1" s="1"/>
  <c r="AS1092" i="1" a="1"/>
  <c r="AS1092" i="1" s="1"/>
  <c r="AT1092" i="1" a="1"/>
  <c r="AT1092" i="1" s="1"/>
  <c r="AU1092" i="1" a="1"/>
  <c r="AU1092" i="1" s="1"/>
  <c r="AV1092" i="1" a="1"/>
  <c r="AV1092" i="1" s="1"/>
  <c r="AW1092" i="1" a="1"/>
  <c r="AW1092" i="1" s="1"/>
  <c r="AX1092" i="1" a="1"/>
  <c r="AX1092" i="1" s="1"/>
  <c r="AY1092" i="1" a="1"/>
  <c r="AY1092" i="1" s="1"/>
  <c r="AZ1092" i="1" a="1"/>
  <c r="AZ1092" i="1" s="1"/>
  <c r="BA1092" i="1" a="1"/>
  <c r="BA1092" i="1" s="1"/>
  <c r="BB1092" i="1" a="1"/>
  <c r="BB1092" i="1" s="1"/>
  <c r="AL1093" i="1" a="1"/>
  <c r="AL1093" i="1" s="1"/>
  <c r="AM1093" i="1" a="1"/>
  <c r="AM1093" i="1" s="1"/>
  <c r="AN1093" i="1" a="1"/>
  <c r="AN1093" i="1" s="1"/>
  <c r="AO1093" i="1" a="1"/>
  <c r="AO1093" i="1" s="1"/>
  <c r="AP1093" i="1" a="1"/>
  <c r="AP1093" i="1" s="1"/>
  <c r="AQ1093" i="1" a="1"/>
  <c r="AQ1093" i="1" s="1"/>
  <c r="AR1093" i="1" a="1"/>
  <c r="AR1093" i="1" s="1"/>
  <c r="AS1093" i="1" a="1"/>
  <c r="AS1093" i="1" s="1"/>
  <c r="AT1093" i="1" a="1"/>
  <c r="AT1093" i="1" s="1"/>
  <c r="AU1093" i="1" a="1"/>
  <c r="AU1093" i="1" s="1"/>
  <c r="AV1093" i="1" a="1"/>
  <c r="AV1093" i="1" s="1"/>
  <c r="AW1093" i="1" a="1"/>
  <c r="AW1093" i="1" s="1"/>
  <c r="AX1093" i="1" a="1"/>
  <c r="AX1093" i="1" s="1"/>
  <c r="AY1093" i="1" a="1"/>
  <c r="AY1093" i="1" s="1"/>
  <c r="AZ1093" i="1" a="1"/>
  <c r="AZ1093" i="1" s="1"/>
  <c r="BA1093" i="1" a="1"/>
  <c r="BA1093" i="1" s="1"/>
  <c r="BB1093" i="1" a="1"/>
  <c r="BB1093" i="1" s="1"/>
  <c r="AL1094" i="1" a="1"/>
  <c r="AL1094" i="1" s="1"/>
  <c r="AM1094" i="1" a="1"/>
  <c r="AM1094" i="1" s="1"/>
  <c r="AN1094" i="1" a="1"/>
  <c r="AN1094" i="1" s="1"/>
  <c r="AO1094" i="1" a="1"/>
  <c r="AO1094" i="1" s="1"/>
  <c r="AP1094" i="1" a="1"/>
  <c r="AP1094" i="1" s="1"/>
  <c r="AQ1094" i="1" a="1"/>
  <c r="AQ1094" i="1" s="1"/>
  <c r="AR1094" i="1" a="1"/>
  <c r="AR1094" i="1" s="1"/>
  <c r="AS1094" i="1" a="1"/>
  <c r="AS1094" i="1" s="1"/>
  <c r="AT1094" i="1" a="1"/>
  <c r="AT1094" i="1" s="1"/>
  <c r="AU1094" i="1" a="1"/>
  <c r="AU1094" i="1" s="1"/>
  <c r="AV1094" i="1" a="1"/>
  <c r="AV1094" i="1" s="1"/>
  <c r="AW1094" i="1" a="1"/>
  <c r="AW1094" i="1" s="1"/>
  <c r="AX1094" i="1" a="1"/>
  <c r="AX1094" i="1" s="1"/>
  <c r="AY1094" i="1" a="1"/>
  <c r="AY1094" i="1" s="1"/>
  <c r="AZ1094" i="1" a="1"/>
  <c r="AZ1094" i="1" s="1"/>
  <c r="BA1094" i="1" a="1"/>
  <c r="BA1094" i="1" s="1"/>
  <c r="BB1094" i="1" a="1"/>
  <c r="BB1094" i="1" s="1"/>
  <c r="AL1095" i="1" a="1"/>
  <c r="AL1095" i="1" s="1"/>
  <c r="AM1095" i="1" a="1"/>
  <c r="AM1095" i="1" s="1"/>
  <c r="AN1095" i="1" a="1"/>
  <c r="AN1095" i="1" s="1"/>
  <c r="AO1095" i="1" a="1"/>
  <c r="AO1095" i="1" s="1"/>
  <c r="AP1095" i="1" a="1"/>
  <c r="AP1095" i="1" s="1"/>
  <c r="AQ1095" i="1" a="1"/>
  <c r="AQ1095" i="1" s="1"/>
  <c r="AR1095" i="1" a="1"/>
  <c r="AR1095" i="1" s="1"/>
  <c r="AS1095" i="1" a="1"/>
  <c r="AS1095" i="1" s="1"/>
  <c r="AT1095" i="1" a="1"/>
  <c r="AT1095" i="1" s="1"/>
  <c r="AU1095" i="1" a="1"/>
  <c r="AU1095" i="1" s="1"/>
  <c r="AV1095" i="1" a="1"/>
  <c r="AV1095" i="1" s="1"/>
  <c r="AW1095" i="1" a="1"/>
  <c r="AW1095" i="1" s="1"/>
  <c r="AX1095" i="1" a="1"/>
  <c r="AX1095" i="1" s="1"/>
  <c r="AY1095" i="1" a="1"/>
  <c r="AY1095" i="1" s="1"/>
  <c r="AZ1095" i="1" a="1"/>
  <c r="AZ1095" i="1" s="1"/>
  <c r="BA1095" i="1" a="1"/>
  <c r="BA1095" i="1" s="1"/>
  <c r="BB1095" i="1" a="1"/>
  <c r="BB1095" i="1" s="1"/>
  <c r="AL1096" i="1" a="1"/>
  <c r="AL1096" i="1" s="1"/>
  <c r="AM1096" i="1" a="1"/>
  <c r="AM1096" i="1" s="1"/>
  <c r="AN1096" i="1" a="1"/>
  <c r="AN1096" i="1" s="1"/>
  <c r="AO1096" i="1" a="1"/>
  <c r="AO1096" i="1" s="1"/>
  <c r="AP1096" i="1" a="1"/>
  <c r="AP1096" i="1" s="1"/>
  <c r="AQ1096" i="1" a="1"/>
  <c r="AQ1096" i="1" s="1"/>
  <c r="AR1096" i="1" a="1"/>
  <c r="AR1096" i="1" s="1"/>
  <c r="AS1096" i="1" a="1"/>
  <c r="AS1096" i="1" s="1"/>
  <c r="AT1096" i="1" a="1"/>
  <c r="AT1096" i="1" s="1"/>
  <c r="AU1096" i="1" a="1"/>
  <c r="AU1096" i="1" s="1"/>
  <c r="AV1096" i="1" a="1"/>
  <c r="AV1096" i="1" s="1"/>
  <c r="AW1096" i="1" a="1"/>
  <c r="AW1096" i="1" s="1"/>
  <c r="AX1096" i="1" a="1"/>
  <c r="AX1096" i="1" s="1"/>
  <c r="AY1096" i="1" a="1"/>
  <c r="AY1096" i="1" s="1"/>
  <c r="AZ1096" i="1" a="1"/>
  <c r="AZ1096" i="1" s="1"/>
  <c r="BA1096" i="1" a="1"/>
  <c r="BA1096" i="1" s="1"/>
  <c r="BB1096" i="1" a="1"/>
  <c r="BB1096" i="1" s="1"/>
  <c r="AL1097" i="1" a="1"/>
  <c r="AL1097" i="1" s="1"/>
  <c r="AM1097" i="1" a="1"/>
  <c r="AM1097" i="1" s="1"/>
  <c r="AN1097" i="1" a="1"/>
  <c r="AN1097" i="1" s="1"/>
  <c r="AO1097" i="1" a="1"/>
  <c r="AO1097" i="1" s="1"/>
  <c r="AP1097" i="1" a="1"/>
  <c r="AP1097" i="1" s="1"/>
  <c r="AQ1097" i="1" a="1"/>
  <c r="AQ1097" i="1" s="1"/>
  <c r="AR1097" i="1" a="1"/>
  <c r="AR1097" i="1" s="1"/>
  <c r="AS1097" i="1" a="1"/>
  <c r="AS1097" i="1" s="1"/>
  <c r="AT1097" i="1" a="1"/>
  <c r="AT1097" i="1" s="1"/>
  <c r="AU1097" i="1" a="1"/>
  <c r="AU1097" i="1" s="1"/>
  <c r="AV1097" i="1" a="1"/>
  <c r="AV1097" i="1" s="1"/>
  <c r="AW1097" i="1" a="1"/>
  <c r="AW1097" i="1" s="1"/>
  <c r="AX1097" i="1" a="1"/>
  <c r="AX1097" i="1" s="1"/>
  <c r="AY1097" i="1" a="1"/>
  <c r="AY1097" i="1" s="1"/>
  <c r="AZ1097" i="1" a="1"/>
  <c r="AZ1097" i="1" s="1"/>
  <c r="BA1097" i="1" a="1"/>
  <c r="BA1097" i="1" s="1"/>
  <c r="BB1097" i="1" a="1"/>
  <c r="BB1097" i="1" s="1"/>
  <c r="AL1098" i="1" a="1"/>
  <c r="AL1098" i="1" s="1"/>
  <c r="AM1098" i="1" a="1"/>
  <c r="AM1098" i="1" s="1"/>
  <c r="AN1098" i="1" a="1"/>
  <c r="AN1098" i="1" s="1"/>
  <c r="AO1098" i="1" a="1"/>
  <c r="AO1098" i="1" s="1"/>
  <c r="AP1098" i="1" a="1"/>
  <c r="AP1098" i="1" s="1"/>
  <c r="AQ1098" i="1" a="1"/>
  <c r="AQ1098" i="1" s="1"/>
  <c r="AR1098" i="1" a="1"/>
  <c r="AR1098" i="1" s="1"/>
  <c r="AS1098" i="1" a="1"/>
  <c r="AS1098" i="1" s="1"/>
  <c r="AT1098" i="1" a="1"/>
  <c r="AT1098" i="1" s="1"/>
  <c r="AU1098" i="1" a="1"/>
  <c r="AU1098" i="1" s="1"/>
  <c r="AV1098" i="1" a="1"/>
  <c r="AV1098" i="1" s="1"/>
  <c r="AW1098" i="1" a="1"/>
  <c r="AW1098" i="1" s="1"/>
  <c r="AX1098" i="1" a="1"/>
  <c r="AX1098" i="1" s="1"/>
  <c r="AY1098" i="1" a="1"/>
  <c r="AY1098" i="1" s="1"/>
  <c r="AZ1098" i="1" a="1"/>
  <c r="AZ1098" i="1" s="1"/>
  <c r="BA1098" i="1" a="1"/>
  <c r="BA1098" i="1" s="1"/>
  <c r="BB1098" i="1" a="1"/>
  <c r="BB1098" i="1" s="1"/>
  <c r="AL1099" i="1" a="1"/>
  <c r="AL1099" i="1" s="1"/>
  <c r="AM1099" i="1" a="1"/>
  <c r="AM1099" i="1" s="1"/>
  <c r="AN1099" i="1" a="1"/>
  <c r="AN1099" i="1" s="1"/>
  <c r="AO1099" i="1" a="1"/>
  <c r="AO1099" i="1" s="1"/>
  <c r="AP1099" i="1" a="1"/>
  <c r="AP1099" i="1" s="1"/>
  <c r="AQ1099" i="1" a="1"/>
  <c r="AQ1099" i="1" s="1"/>
  <c r="AR1099" i="1" a="1"/>
  <c r="AR1099" i="1" s="1"/>
  <c r="AS1099" i="1" a="1"/>
  <c r="AS1099" i="1" s="1"/>
  <c r="AT1099" i="1" a="1"/>
  <c r="AT1099" i="1" s="1"/>
  <c r="AU1099" i="1" a="1"/>
  <c r="AU1099" i="1" s="1"/>
  <c r="AV1099" i="1" a="1"/>
  <c r="AV1099" i="1" s="1"/>
  <c r="AW1099" i="1" a="1"/>
  <c r="AW1099" i="1" s="1"/>
  <c r="AX1099" i="1" a="1"/>
  <c r="AX1099" i="1" s="1"/>
  <c r="AY1099" i="1" a="1"/>
  <c r="AY1099" i="1" s="1"/>
  <c r="AZ1099" i="1" a="1"/>
  <c r="AZ1099" i="1" s="1"/>
  <c r="BA1099" i="1" a="1"/>
  <c r="BA1099" i="1" s="1"/>
  <c r="BB1099" i="1" a="1"/>
  <c r="BB1099" i="1" s="1"/>
  <c r="AL1100" i="1" a="1"/>
  <c r="AL1100" i="1" s="1"/>
  <c r="AM1100" i="1" a="1"/>
  <c r="AM1100" i="1" s="1"/>
  <c r="AN1100" i="1" a="1"/>
  <c r="AN1100" i="1" s="1"/>
  <c r="AO1100" i="1" a="1"/>
  <c r="AO1100" i="1" s="1"/>
  <c r="AP1100" i="1" a="1"/>
  <c r="AP1100" i="1" s="1"/>
  <c r="AQ1100" i="1" a="1"/>
  <c r="AQ1100" i="1" s="1"/>
  <c r="AR1100" i="1" a="1"/>
  <c r="AR1100" i="1" s="1"/>
  <c r="AS1100" i="1" a="1"/>
  <c r="AS1100" i="1" s="1"/>
  <c r="AT1100" i="1" a="1"/>
  <c r="AT1100" i="1" s="1"/>
  <c r="AU1100" i="1" a="1"/>
  <c r="AU1100" i="1" s="1"/>
  <c r="AV1100" i="1" a="1"/>
  <c r="AV1100" i="1" s="1"/>
  <c r="AW1100" i="1" a="1"/>
  <c r="AW1100" i="1" s="1"/>
  <c r="AX1100" i="1" a="1"/>
  <c r="AX1100" i="1" s="1"/>
  <c r="AY1100" i="1" a="1"/>
  <c r="AY1100" i="1" s="1"/>
  <c r="AZ1100" i="1" a="1"/>
  <c r="AZ1100" i="1" s="1"/>
  <c r="BA1100" i="1" a="1"/>
  <c r="BA1100" i="1" s="1"/>
  <c r="BB1100" i="1" a="1"/>
  <c r="BB1100" i="1" s="1"/>
  <c r="AL1101" i="1" a="1"/>
  <c r="AL1101" i="1" s="1"/>
  <c r="AM1101" i="1" a="1"/>
  <c r="AM1101" i="1" s="1"/>
  <c r="AN1101" i="1" a="1"/>
  <c r="AN1101" i="1" s="1"/>
  <c r="AO1101" i="1" a="1"/>
  <c r="AO1101" i="1" s="1"/>
  <c r="AP1101" i="1" a="1"/>
  <c r="AP1101" i="1" s="1"/>
  <c r="AQ1101" i="1" a="1"/>
  <c r="AQ1101" i="1" s="1"/>
  <c r="AR1101" i="1" a="1"/>
  <c r="AR1101" i="1" s="1"/>
  <c r="AS1101" i="1" a="1"/>
  <c r="AS1101" i="1" s="1"/>
  <c r="AT1101" i="1" a="1"/>
  <c r="AT1101" i="1" s="1"/>
  <c r="AU1101" i="1" a="1"/>
  <c r="AU1101" i="1" s="1"/>
  <c r="AV1101" i="1" a="1"/>
  <c r="AV1101" i="1" s="1"/>
  <c r="AW1101" i="1" a="1"/>
  <c r="AW1101" i="1" s="1"/>
  <c r="AX1101" i="1" a="1"/>
  <c r="AX1101" i="1" s="1"/>
  <c r="AY1101" i="1" a="1"/>
  <c r="AY1101" i="1" s="1"/>
  <c r="AZ1101" i="1" a="1"/>
  <c r="AZ1101" i="1" s="1"/>
  <c r="BA1101" i="1" a="1"/>
  <c r="BA1101" i="1" s="1"/>
  <c r="BB1101" i="1" a="1"/>
  <c r="BB1101" i="1" s="1"/>
  <c r="AL1102" i="1" a="1"/>
  <c r="AL1102" i="1" s="1"/>
  <c r="AM1102" i="1" a="1"/>
  <c r="AM1102" i="1" s="1"/>
  <c r="AN1102" i="1" a="1"/>
  <c r="AN1102" i="1" s="1"/>
  <c r="AO1102" i="1" a="1"/>
  <c r="AO1102" i="1" s="1"/>
  <c r="AP1102" i="1" a="1"/>
  <c r="AP1102" i="1" s="1"/>
  <c r="AQ1102" i="1" a="1"/>
  <c r="AQ1102" i="1" s="1"/>
  <c r="AR1102" i="1" a="1"/>
  <c r="AR1102" i="1" s="1"/>
  <c r="AS1102" i="1" a="1"/>
  <c r="AS1102" i="1" s="1"/>
  <c r="AT1102" i="1" a="1"/>
  <c r="AT1102" i="1" s="1"/>
  <c r="AU1102" i="1" a="1"/>
  <c r="AU1102" i="1" s="1"/>
  <c r="AV1102" i="1" a="1"/>
  <c r="AV1102" i="1" s="1"/>
  <c r="AW1102" i="1" a="1"/>
  <c r="AW1102" i="1" s="1"/>
  <c r="AX1102" i="1" a="1"/>
  <c r="AX1102" i="1" s="1"/>
  <c r="AY1102" i="1" a="1"/>
  <c r="AY1102" i="1" s="1"/>
  <c r="AZ1102" i="1" a="1"/>
  <c r="AZ1102" i="1" s="1"/>
  <c r="BA1102" i="1" a="1"/>
  <c r="BA1102" i="1" s="1"/>
  <c r="BB1102" i="1" a="1"/>
  <c r="BB1102" i="1" s="1"/>
  <c r="AL1103" i="1" a="1"/>
  <c r="AL1103" i="1" s="1"/>
  <c r="AM1103" i="1" a="1"/>
  <c r="AM1103" i="1" s="1"/>
  <c r="AN1103" i="1" a="1"/>
  <c r="AN1103" i="1" s="1"/>
  <c r="AO1103" i="1" a="1"/>
  <c r="AO1103" i="1" s="1"/>
  <c r="AP1103" i="1" a="1"/>
  <c r="AP1103" i="1" s="1"/>
  <c r="AQ1103" i="1" a="1"/>
  <c r="AQ1103" i="1" s="1"/>
  <c r="AR1103" i="1" a="1"/>
  <c r="AR1103" i="1" s="1"/>
  <c r="AS1103" i="1" a="1"/>
  <c r="AS1103" i="1" s="1"/>
  <c r="AT1103" i="1" a="1"/>
  <c r="AT1103" i="1" s="1"/>
  <c r="AU1103" i="1" a="1"/>
  <c r="AU1103" i="1" s="1"/>
  <c r="AV1103" i="1" a="1"/>
  <c r="AV1103" i="1" s="1"/>
  <c r="AW1103" i="1" a="1"/>
  <c r="AW1103" i="1" s="1"/>
  <c r="AX1103" i="1" a="1"/>
  <c r="AX1103" i="1" s="1"/>
  <c r="AY1103" i="1" a="1"/>
  <c r="AY1103" i="1" s="1"/>
  <c r="AZ1103" i="1" a="1"/>
  <c r="AZ1103" i="1" s="1"/>
  <c r="BA1103" i="1" a="1"/>
  <c r="BA1103" i="1" s="1"/>
  <c r="BB1103" i="1" a="1"/>
  <c r="BB1103" i="1" s="1"/>
  <c r="AL1104" i="1" a="1"/>
  <c r="AL1104" i="1" s="1"/>
  <c r="AM1104" i="1" a="1"/>
  <c r="AM1104" i="1" s="1"/>
  <c r="AN1104" i="1" a="1"/>
  <c r="AN1104" i="1" s="1"/>
  <c r="AO1104" i="1" a="1"/>
  <c r="AO1104" i="1" s="1"/>
  <c r="AP1104" i="1" a="1"/>
  <c r="AP1104" i="1" s="1"/>
  <c r="AQ1104" i="1" a="1"/>
  <c r="AQ1104" i="1" s="1"/>
  <c r="AR1104" i="1" a="1"/>
  <c r="AR1104" i="1" s="1"/>
  <c r="AS1104" i="1" a="1"/>
  <c r="AS1104" i="1" s="1"/>
  <c r="AT1104" i="1" a="1"/>
  <c r="AT1104" i="1" s="1"/>
  <c r="AU1104" i="1" a="1"/>
  <c r="AU1104" i="1" s="1"/>
  <c r="AV1104" i="1" a="1"/>
  <c r="AV1104" i="1" s="1"/>
  <c r="AW1104" i="1" a="1"/>
  <c r="AW1104" i="1" s="1"/>
  <c r="AX1104" i="1" a="1"/>
  <c r="AX1104" i="1" s="1"/>
  <c r="AY1104" i="1" a="1"/>
  <c r="AY1104" i="1" s="1"/>
  <c r="AZ1104" i="1" a="1"/>
  <c r="AZ1104" i="1" s="1"/>
  <c r="BA1104" i="1" a="1"/>
  <c r="BA1104" i="1" s="1"/>
  <c r="BB1104" i="1" a="1"/>
  <c r="BB1104" i="1" s="1"/>
  <c r="AL1105" i="1" a="1"/>
  <c r="AL1105" i="1" s="1"/>
  <c r="AM1105" i="1" a="1"/>
  <c r="AM1105" i="1" s="1"/>
  <c r="AN1105" i="1" a="1"/>
  <c r="AN1105" i="1" s="1"/>
  <c r="AO1105" i="1" a="1"/>
  <c r="AO1105" i="1" s="1"/>
  <c r="AP1105" i="1" a="1"/>
  <c r="AP1105" i="1" s="1"/>
  <c r="AQ1105" i="1" a="1"/>
  <c r="AQ1105" i="1" s="1"/>
  <c r="AR1105" i="1" a="1"/>
  <c r="AR1105" i="1" s="1"/>
  <c r="AS1105" i="1" a="1"/>
  <c r="AS1105" i="1" s="1"/>
  <c r="AT1105" i="1" a="1"/>
  <c r="AT1105" i="1" s="1"/>
  <c r="AU1105" i="1" a="1"/>
  <c r="AU1105" i="1" s="1"/>
  <c r="AV1105" i="1" a="1"/>
  <c r="AV1105" i="1" s="1"/>
  <c r="AW1105" i="1" a="1"/>
  <c r="AW1105" i="1" s="1"/>
  <c r="AX1105" i="1" a="1"/>
  <c r="AX1105" i="1" s="1"/>
  <c r="AY1105" i="1" a="1"/>
  <c r="AY1105" i="1" s="1"/>
  <c r="AZ1105" i="1" a="1"/>
  <c r="AZ1105" i="1" s="1"/>
  <c r="BA1105" i="1" a="1"/>
  <c r="BA1105" i="1" s="1"/>
  <c r="BB1105" i="1" a="1"/>
  <c r="BB1105" i="1" s="1"/>
  <c r="AL1106" i="1" a="1"/>
  <c r="AL1106" i="1" s="1"/>
  <c r="AM1106" i="1" a="1"/>
  <c r="AM1106" i="1" s="1"/>
  <c r="AN1106" i="1" a="1"/>
  <c r="AN1106" i="1" s="1"/>
  <c r="AO1106" i="1" a="1"/>
  <c r="AO1106" i="1" s="1"/>
  <c r="AP1106" i="1" a="1"/>
  <c r="AP1106" i="1" s="1"/>
  <c r="AQ1106" i="1" a="1"/>
  <c r="AQ1106" i="1" s="1"/>
  <c r="AR1106" i="1" a="1"/>
  <c r="AR1106" i="1" s="1"/>
  <c r="AS1106" i="1" a="1"/>
  <c r="AS1106" i="1" s="1"/>
  <c r="AT1106" i="1" a="1"/>
  <c r="AT1106" i="1" s="1"/>
  <c r="AU1106" i="1" a="1"/>
  <c r="AU1106" i="1" s="1"/>
  <c r="AV1106" i="1" a="1"/>
  <c r="AV1106" i="1" s="1"/>
  <c r="AW1106" i="1" a="1"/>
  <c r="AW1106" i="1" s="1"/>
  <c r="AX1106" i="1" a="1"/>
  <c r="AX1106" i="1" s="1"/>
  <c r="AY1106" i="1" a="1"/>
  <c r="AY1106" i="1" s="1"/>
  <c r="AZ1106" i="1" a="1"/>
  <c r="AZ1106" i="1" s="1"/>
  <c r="BA1106" i="1" a="1"/>
  <c r="BA1106" i="1" s="1"/>
  <c r="BB1106" i="1" a="1"/>
  <c r="BB1106" i="1" s="1"/>
  <c r="AL1107" i="1" a="1"/>
  <c r="AL1107" i="1" s="1"/>
  <c r="AM1107" i="1" a="1"/>
  <c r="AM1107" i="1" s="1"/>
  <c r="AN1107" i="1" a="1"/>
  <c r="AN1107" i="1" s="1"/>
  <c r="AO1107" i="1" a="1"/>
  <c r="AO1107" i="1" s="1"/>
  <c r="AP1107" i="1" a="1"/>
  <c r="AP1107" i="1" s="1"/>
  <c r="AQ1107" i="1" a="1"/>
  <c r="AQ1107" i="1" s="1"/>
  <c r="AR1107" i="1" a="1"/>
  <c r="AR1107" i="1" s="1"/>
  <c r="AS1107" i="1" a="1"/>
  <c r="AS1107" i="1" s="1"/>
  <c r="AT1107" i="1" a="1"/>
  <c r="AT1107" i="1" s="1"/>
  <c r="AU1107" i="1" a="1"/>
  <c r="AU1107" i="1" s="1"/>
  <c r="AV1107" i="1" a="1"/>
  <c r="AV1107" i="1" s="1"/>
  <c r="AW1107" i="1" a="1"/>
  <c r="AW1107" i="1" s="1"/>
  <c r="AX1107" i="1" a="1"/>
  <c r="AX1107" i="1" s="1"/>
  <c r="AY1107" i="1" a="1"/>
  <c r="AY1107" i="1" s="1"/>
  <c r="AZ1107" i="1" a="1"/>
  <c r="AZ1107" i="1" s="1"/>
  <c r="BA1107" i="1" a="1"/>
  <c r="BA1107" i="1" s="1"/>
  <c r="BB1107" i="1" a="1"/>
  <c r="BB1107" i="1" s="1"/>
  <c r="AL1108" i="1" a="1"/>
  <c r="AL1108" i="1" s="1"/>
  <c r="AM1108" i="1" a="1"/>
  <c r="AM1108" i="1" s="1"/>
  <c r="AN1108" i="1" a="1"/>
  <c r="AN1108" i="1" s="1"/>
  <c r="AO1108" i="1" a="1"/>
  <c r="AO1108" i="1" s="1"/>
  <c r="AP1108" i="1" a="1"/>
  <c r="AP1108" i="1" s="1"/>
  <c r="AQ1108" i="1" a="1"/>
  <c r="AQ1108" i="1" s="1"/>
  <c r="AR1108" i="1" a="1"/>
  <c r="AR1108" i="1" s="1"/>
  <c r="AS1108" i="1" a="1"/>
  <c r="AS1108" i="1" s="1"/>
  <c r="AT1108" i="1" a="1"/>
  <c r="AT1108" i="1" s="1"/>
  <c r="AU1108" i="1" a="1"/>
  <c r="AU1108" i="1" s="1"/>
  <c r="AV1108" i="1" a="1"/>
  <c r="AV1108" i="1" s="1"/>
  <c r="AW1108" i="1" a="1"/>
  <c r="AW1108" i="1" s="1"/>
  <c r="AX1108" i="1" a="1"/>
  <c r="AX1108" i="1" s="1"/>
  <c r="AY1108" i="1" a="1"/>
  <c r="AY1108" i="1" s="1"/>
  <c r="AZ1108" i="1" a="1"/>
  <c r="AZ1108" i="1" s="1"/>
  <c r="BA1108" i="1" a="1"/>
  <c r="BA1108" i="1" s="1"/>
  <c r="BB1108" i="1" a="1"/>
  <c r="BB1108" i="1" s="1"/>
  <c r="AL1109" i="1" a="1"/>
  <c r="AL1109" i="1" s="1"/>
  <c r="AM1109" i="1" a="1"/>
  <c r="AM1109" i="1" s="1"/>
  <c r="AN1109" i="1" a="1"/>
  <c r="AN1109" i="1" s="1"/>
  <c r="AO1109" i="1" a="1"/>
  <c r="AO1109" i="1" s="1"/>
  <c r="AP1109" i="1" a="1"/>
  <c r="AP1109" i="1" s="1"/>
  <c r="AQ1109" i="1" a="1"/>
  <c r="AQ1109" i="1" s="1"/>
  <c r="AR1109" i="1" a="1"/>
  <c r="AR1109" i="1" s="1"/>
  <c r="AS1109" i="1" a="1"/>
  <c r="AS1109" i="1" s="1"/>
  <c r="AT1109" i="1" a="1"/>
  <c r="AT1109" i="1" s="1"/>
  <c r="AU1109" i="1" a="1"/>
  <c r="AU1109" i="1" s="1"/>
  <c r="AV1109" i="1" a="1"/>
  <c r="AV1109" i="1" s="1"/>
  <c r="AW1109" i="1" a="1"/>
  <c r="AW1109" i="1" s="1"/>
  <c r="AX1109" i="1" a="1"/>
  <c r="AX1109" i="1" s="1"/>
  <c r="AY1109" i="1" a="1"/>
  <c r="AY1109" i="1" s="1"/>
  <c r="AZ1109" i="1" a="1"/>
  <c r="AZ1109" i="1" s="1"/>
  <c r="BA1109" i="1" a="1"/>
  <c r="BA1109" i="1" s="1"/>
  <c r="BB1109" i="1" a="1"/>
  <c r="BB1109" i="1" s="1"/>
  <c r="AL1110" i="1" a="1"/>
  <c r="AL1110" i="1" s="1"/>
  <c r="AM1110" i="1" a="1"/>
  <c r="AM1110" i="1" s="1"/>
  <c r="AN1110" i="1" a="1"/>
  <c r="AN1110" i="1" s="1"/>
  <c r="AO1110" i="1" a="1"/>
  <c r="AO1110" i="1" s="1"/>
  <c r="AP1110" i="1" a="1"/>
  <c r="AP1110" i="1" s="1"/>
  <c r="AQ1110" i="1" a="1"/>
  <c r="AQ1110" i="1" s="1"/>
  <c r="AR1110" i="1" a="1"/>
  <c r="AR1110" i="1" s="1"/>
  <c r="AS1110" i="1" a="1"/>
  <c r="AS1110" i="1" s="1"/>
  <c r="AT1110" i="1" a="1"/>
  <c r="AT1110" i="1" s="1"/>
  <c r="AU1110" i="1" a="1"/>
  <c r="AU1110" i="1" s="1"/>
  <c r="AV1110" i="1" a="1"/>
  <c r="AV1110" i="1" s="1"/>
  <c r="AW1110" i="1" a="1"/>
  <c r="AW1110" i="1" s="1"/>
  <c r="AX1110" i="1" a="1"/>
  <c r="AX1110" i="1" s="1"/>
  <c r="AY1110" i="1" a="1"/>
  <c r="AY1110" i="1" s="1"/>
  <c r="AZ1110" i="1" a="1"/>
  <c r="AZ1110" i="1" s="1"/>
  <c r="BA1110" i="1" a="1"/>
  <c r="BA1110" i="1" s="1"/>
  <c r="BB1110" i="1" a="1"/>
  <c r="BB1110" i="1" s="1"/>
  <c r="AL1111" i="1" a="1"/>
  <c r="AL1111" i="1" s="1"/>
  <c r="AM1111" i="1" a="1"/>
  <c r="AM1111" i="1" s="1"/>
  <c r="AN1111" i="1" a="1"/>
  <c r="AN1111" i="1" s="1"/>
  <c r="AO1111" i="1" a="1"/>
  <c r="AO1111" i="1" s="1"/>
  <c r="AP1111" i="1" a="1"/>
  <c r="AP1111" i="1" s="1"/>
  <c r="AQ1111" i="1" a="1"/>
  <c r="AQ1111" i="1" s="1"/>
  <c r="AR1111" i="1" a="1"/>
  <c r="AR1111" i="1" s="1"/>
  <c r="AS1111" i="1" a="1"/>
  <c r="AS1111" i="1" s="1"/>
  <c r="AT1111" i="1" a="1"/>
  <c r="AT1111" i="1" s="1"/>
  <c r="AU1111" i="1" a="1"/>
  <c r="AU1111" i="1" s="1"/>
  <c r="AV1111" i="1" a="1"/>
  <c r="AV1111" i="1" s="1"/>
  <c r="AW1111" i="1" a="1"/>
  <c r="AW1111" i="1" s="1"/>
  <c r="AX1111" i="1" a="1"/>
  <c r="AX1111" i="1" s="1"/>
  <c r="AY1111" i="1" a="1"/>
  <c r="AY1111" i="1" s="1"/>
  <c r="AZ1111" i="1" a="1"/>
  <c r="AZ1111" i="1" s="1"/>
  <c r="BA1111" i="1" a="1"/>
  <c r="BA1111" i="1" s="1"/>
  <c r="BB1111" i="1" a="1"/>
  <c r="BB1111" i="1" s="1"/>
  <c r="AL1112" i="1" a="1"/>
  <c r="AL1112" i="1" s="1"/>
  <c r="AM1112" i="1" a="1"/>
  <c r="AM1112" i="1" s="1"/>
  <c r="AN1112" i="1" a="1"/>
  <c r="AN1112" i="1" s="1"/>
  <c r="AO1112" i="1" a="1"/>
  <c r="AO1112" i="1" s="1"/>
  <c r="AP1112" i="1" a="1"/>
  <c r="AP1112" i="1" s="1"/>
  <c r="AQ1112" i="1" a="1"/>
  <c r="AQ1112" i="1" s="1"/>
  <c r="AR1112" i="1" a="1"/>
  <c r="AR1112" i="1" s="1"/>
  <c r="AS1112" i="1" a="1"/>
  <c r="AS1112" i="1" s="1"/>
  <c r="AT1112" i="1" a="1"/>
  <c r="AT1112" i="1" s="1"/>
  <c r="AU1112" i="1" a="1"/>
  <c r="AU1112" i="1" s="1"/>
  <c r="AV1112" i="1" a="1"/>
  <c r="AV1112" i="1" s="1"/>
  <c r="AW1112" i="1" a="1"/>
  <c r="AW1112" i="1" s="1"/>
  <c r="AX1112" i="1" a="1"/>
  <c r="AX1112" i="1" s="1"/>
  <c r="AY1112" i="1" a="1"/>
  <c r="AY1112" i="1" s="1"/>
  <c r="AZ1112" i="1" a="1"/>
  <c r="AZ1112" i="1" s="1"/>
  <c r="BA1112" i="1" a="1"/>
  <c r="BA1112" i="1" s="1"/>
  <c r="BB1112" i="1" a="1"/>
  <c r="BB1112" i="1" s="1"/>
  <c r="AL1113" i="1" a="1"/>
  <c r="AL1113" i="1" s="1"/>
  <c r="AM1113" i="1" a="1"/>
  <c r="AM1113" i="1" s="1"/>
  <c r="AN1113" i="1" a="1"/>
  <c r="AN1113" i="1" s="1"/>
  <c r="AO1113" i="1" a="1"/>
  <c r="AO1113" i="1" s="1"/>
  <c r="AP1113" i="1" a="1"/>
  <c r="AP1113" i="1" s="1"/>
  <c r="AQ1113" i="1" a="1"/>
  <c r="AQ1113" i="1" s="1"/>
  <c r="AR1113" i="1" a="1"/>
  <c r="AR1113" i="1" s="1"/>
  <c r="AS1113" i="1" a="1"/>
  <c r="AS1113" i="1" s="1"/>
  <c r="AT1113" i="1" a="1"/>
  <c r="AT1113" i="1" s="1"/>
  <c r="AU1113" i="1" a="1"/>
  <c r="AU1113" i="1" s="1"/>
  <c r="AV1113" i="1" a="1"/>
  <c r="AV1113" i="1" s="1"/>
  <c r="AW1113" i="1" a="1"/>
  <c r="AW1113" i="1" s="1"/>
  <c r="AX1113" i="1" a="1"/>
  <c r="AX1113" i="1" s="1"/>
  <c r="AY1113" i="1" a="1"/>
  <c r="AY1113" i="1" s="1"/>
  <c r="AZ1113" i="1" a="1"/>
  <c r="AZ1113" i="1" s="1"/>
  <c r="BA1113" i="1" a="1"/>
  <c r="BA1113" i="1" s="1"/>
  <c r="BB1113" i="1" a="1"/>
  <c r="BB1113" i="1" s="1"/>
  <c r="AL1114" i="1" a="1"/>
  <c r="AL1114" i="1" s="1"/>
  <c r="AM1114" i="1" a="1"/>
  <c r="AM1114" i="1" s="1"/>
  <c r="AN1114" i="1" a="1"/>
  <c r="AN1114" i="1" s="1"/>
  <c r="AO1114" i="1" a="1"/>
  <c r="AO1114" i="1" s="1"/>
  <c r="AP1114" i="1" a="1"/>
  <c r="AP1114" i="1" s="1"/>
  <c r="AQ1114" i="1" a="1"/>
  <c r="AQ1114" i="1" s="1"/>
  <c r="AR1114" i="1" a="1"/>
  <c r="AR1114" i="1" s="1"/>
  <c r="AS1114" i="1" a="1"/>
  <c r="AS1114" i="1" s="1"/>
  <c r="AT1114" i="1" a="1"/>
  <c r="AT1114" i="1" s="1"/>
  <c r="AU1114" i="1" a="1"/>
  <c r="AU1114" i="1" s="1"/>
  <c r="AV1114" i="1" a="1"/>
  <c r="AV1114" i="1" s="1"/>
  <c r="AW1114" i="1" a="1"/>
  <c r="AW1114" i="1" s="1"/>
  <c r="AX1114" i="1" a="1"/>
  <c r="AX1114" i="1" s="1"/>
  <c r="AY1114" i="1" a="1"/>
  <c r="AY1114" i="1" s="1"/>
  <c r="AZ1114" i="1" a="1"/>
  <c r="AZ1114" i="1" s="1"/>
  <c r="BA1114" i="1" a="1"/>
  <c r="BA1114" i="1" s="1"/>
  <c r="BB1114" i="1" a="1"/>
  <c r="BB1114" i="1" s="1"/>
  <c r="AL1115" i="1" a="1"/>
  <c r="AL1115" i="1" s="1"/>
  <c r="AM1115" i="1" a="1"/>
  <c r="AM1115" i="1" s="1"/>
  <c r="AN1115" i="1" a="1"/>
  <c r="AN1115" i="1" s="1"/>
  <c r="AO1115" i="1" a="1"/>
  <c r="AO1115" i="1" s="1"/>
  <c r="AP1115" i="1" a="1"/>
  <c r="AP1115" i="1" s="1"/>
  <c r="AQ1115" i="1" a="1"/>
  <c r="AQ1115" i="1" s="1"/>
  <c r="AR1115" i="1" a="1"/>
  <c r="AR1115" i="1" s="1"/>
  <c r="AS1115" i="1" a="1"/>
  <c r="AS1115" i="1" s="1"/>
  <c r="AT1115" i="1" a="1"/>
  <c r="AT1115" i="1" s="1"/>
  <c r="AU1115" i="1" a="1"/>
  <c r="AU1115" i="1" s="1"/>
  <c r="AV1115" i="1" a="1"/>
  <c r="AV1115" i="1" s="1"/>
  <c r="AW1115" i="1" a="1"/>
  <c r="AW1115" i="1" s="1"/>
  <c r="AX1115" i="1" a="1"/>
  <c r="AX1115" i="1" s="1"/>
  <c r="AY1115" i="1" a="1"/>
  <c r="AY1115" i="1" s="1"/>
  <c r="AZ1115" i="1" a="1"/>
  <c r="AZ1115" i="1" s="1"/>
  <c r="BA1115" i="1" a="1"/>
  <c r="BA1115" i="1" s="1"/>
  <c r="BB1115" i="1" a="1"/>
  <c r="BB1115" i="1" s="1"/>
  <c r="AL1116" i="1" a="1"/>
  <c r="AL1116" i="1" s="1"/>
  <c r="AM1116" i="1" a="1"/>
  <c r="AM1116" i="1" s="1"/>
  <c r="AN1116" i="1" a="1"/>
  <c r="AN1116" i="1" s="1"/>
  <c r="AO1116" i="1" a="1"/>
  <c r="AO1116" i="1" s="1"/>
  <c r="AP1116" i="1" a="1"/>
  <c r="AP1116" i="1" s="1"/>
  <c r="AQ1116" i="1" a="1"/>
  <c r="AQ1116" i="1" s="1"/>
  <c r="AR1116" i="1" a="1"/>
  <c r="AR1116" i="1" s="1"/>
  <c r="AS1116" i="1" a="1"/>
  <c r="AS1116" i="1" s="1"/>
  <c r="AT1116" i="1" a="1"/>
  <c r="AT1116" i="1" s="1"/>
  <c r="AU1116" i="1" a="1"/>
  <c r="AU1116" i="1" s="1"/>
  <c r="AV1116" i="1" a="1"/>
  <c r="AV1116" i="1" s="1"/>
  <c r="AW1116" i="1" a="1"/>
  <c r="AW1116" i="1" s="1"/>
  <c r="AX1116" i="1" a="1"/>
  <c r="AX1116" i="1" s="1"/>
  <c r="AY1116" i="1" a="1"/>
  <c r="AY1116" i="1" s="1"/>
  <c r="AZ1116" i="1" a="1"/>
  <c r="AZ1116" i="1" s="1"/>
  <c r="BA1116" i="1" a="1"/>
  <c r="BA1116" i="1" s="1"/>
  <c r="BB1116" i="1" a="1"/>
  <c r="BB1116" i="1" s="1"/>
  <c r="AL1117" i="1" a="1"/>
  <c r="AL1117" i="1" s="1"/>
  <c r="AM1117" i="1" a="1"/>
  <c r="AM1117" i="1" s="1"/>
  <c r="AN1117" i="1" a="1"/>
  <c r="AN1117" i="1" s="1"/>
  <c r="AO1117" i="1" a="1"/>
  <c r="AO1117" i="1" s="1"/>
  <c r="AP1117" i="1" a="1"/>
  <c r="AP1117" i="1" s="1"/>
  <c r="AQ1117" i="1" a="1"/>
  <c r="AQ1117" i="1" s="1"/>
  <c r="AR1117" i="1" a="1"/>
  <c r="AR1117" i="1" s="1"/>
  <c r="AS1117" i="1" a="1"/>
  <c r="AS1117" i="1" s="1"/>
  <c r="AT1117" i="1" a="1"/>
  <c r="AT1117" i="1" s="1"/>
  <c r="AU1117" i="1" a="1"/>
  <c r="AU1117" i="1" s="1"/>
  <c r="AV1117" i="1" a="1"/>
  <c r="AV1117" i="1" s="1"/>
  <c r="AW1117" i="1" a="1"/>
  <c r="AW1117" i="1" s="1"/>
  <c r="AX1117" i="1" a="1"/>
  <c r="AX1117" i="1" s="1"/>
  <c r="AY1117" i="1" a="1"/>
  <c r="AY1117" i="1" s="1"/>
  <c r="AZ1117" i="1" a="1"/>
  <c r="AZ1117" i="1" s="1"/>
  <c r="BA1117" i="1" a="1"/>
  <c r="BA1117" i="1" s="1"/>
  <c r="BB1117" i="1" a="1"/>
  <c r="BB1117" i="1" s="1"/>
  <c r="AL1118" i="1" a="1"/>
  <c r="AL1118" i="1" s="1"/>
  <c r="AM1118" i="1" a="1"/>
  <c r="AM1118" i="1" s="1"/>
  <c r="AN1118" i="1" a="1"/>
  <c r="AN1118" i="1" s="1"/>
  <c r="AO1118" i="1" a="1"/>
  <c r="AO1118" i="1" s="1"/>
  <c r="AP1118" i="1" a="1"/>
  <c r="AP1118" i="1" s="1"/>
  <c r="AQ1118" i="1" a="1"/>
  <c r="AQ1118" i="1" s="1"/>
  <c r="AR1118" i="1" a="1"/>
  <c r="AR1118" i="1" s="1"/>
  <c r="AS1118" i="1" a="1"/>
  <c r="AS1118" i="1" s="1"/>
  <c r="AT1118" i="1" a="1"/>
  <c r="AT1118" i="1" s="1"/>
  <c r="AU1118" i="1" a="1"/>
  <c r="AU1118" i="1" s="1"/>
  <c r="AV1118" i="1" a="1"/>
  <c r="AV1118" i="1" s="1"/>
  <c r="AW1118" i="1" a="1"/>
  <c r="AW1118" i="1" s="1"/>
  <c r="AX1118" i="1" a="1"/>
  <c r="AX1118" i="1" s="1"/>
  <c r="AY1118" i="1" a="1"/>
  <c r="AY1118" i="1" s="1"/>
  <c r="AZ1118" i="1" a="1"/>
  <c r="AZ1118" i="1" s="1"/>
  <c r="BA1118" i="1" a="1"/>
  <c r="BA1118" i="1" s="1"/>
  <c r="BB1118" i="1" a="1"/>
  <c r="BB1118" i="1" s="1"/>
  <c r="AL1119" i="1" a="1"/>
  <c r="AL1119" i="1" s="1"/>
  <c r="AM1119" i="1" a="1"/>
  <c r="AM1119" i="1" s="1"/>
  <c r="AN1119" i="1" a="1"/>
  <c r="AN1119" i="1" s="1"/>
  <c r="AO1119" i="1" a="1"/>
  <c r="AO1119" i="1" s="1"/>
  <c r="AP1119" i="1" a="1"/>
  <c r="AP1119" i="1" s="1"/>
  <c r="AQ1119" i="1" a="1"/>
  <c r="AQ1119" i="1" s="1"/>
  <c r="AR1119" i="1" a="1"/>
  <c r="AR1119" i="1" s="1"/>
  <c r="AS1119" i="1" a="1"/>
  <c r="AS1119" i="1" s="1"/>
  <c r="AT1119" i="1" a="1"/>
  <c r="AT1119" i="1" s="1"/>
  <c r="AU1119" i="1" a="1"/>
  <c r="AU1119" i="1" s="1"/>
  <c r="AV1119" i="1" a="1"/>
  <c r="AV1119" i="1" s="1"/>
  <c r="AW1119" i="1" a="1"/>
  <c r="AW1119" i="1" s="1"/>
  <c r="AX1119" i="1" a="1"/>
  <c r="AX1119" i="1" s="1"/>
  <c r="AY1119" i="1" a="1"/>
  <c r="AY1119" i="1" s="1"/>
  <c r="AZ1119" i="1" a="1"/>
  <c r="AZ1119" i="1" s="1"/>
  <c r="BA1119" i="1" a="1"/>
  <c r="BA1119" i="1" s="1"/>
  <c r="BB1119" i="1" a="1"/>
  <c r="BB1119" i="1" s="1"/>
  <c r="AL1120" i="1" a="1"/>
  <c r="AL1120" i="1" s="1"/>
  <c r="AM1120" i="1" a="1"/>
  <c r="AM1120" i="1" s="1"/>
  <c r="AN1120" i="1" a="1"/>
  <c r="AN1120" i="1" s="1"/>
  <c r="AO1120" i="1" a="1"/>
  <c r="AO1120" i="1" s="1"/>
  <c r="AP1120" i="1" a="1"/>
  <c r="AP1120" i="1" s="1"/>
  <c r="AQ1120" i="1" a="1"/>
  <c r="AQ1120" i="1" s="1"/>
  <c r="AR1120" i="1" a="1"/>
  <c r="AR1120" i="1" s="1"/>
  <c r="AS1120" i="1" a="1"/>
  <c r="AS1120" i="1" s="1"/>
  <c r="AT1120" i="1" a="1"/>
  <c r="AT1120" i="1" s="1"/>
  <c r="AU1120" i="1" a="1"/>
  <c r="AU1120" i="1" s="1"/>
  <c r="AV1120" i="1" a="1"/>
  <c r="AV1120" i="1" s="1"/>
  <c r="AW1120" i="1" a="1"/>
  <c r="AW1120" i="1" s="1"/>
  <c r="AX1120" i="1" a="1"/>
  <c r="AX1120" i="1" s="1"/>
  <c r="AY1120" i="1" a="1"/>
  <c r="AY1120" i="1" s="1"/>
  <c r="AZ1120" i="1" a="1"/>
  <c r="AZ1120" i="1" s="1"/>
  <c r="BA1120" i="1" a="1"/>
  <c r="BA1120" i="1" s="1"/>
  <c r="BB1120" i="1" a="1"/>
  <c r="BB1120" i="1" s="1"/>
  <c r="AL1121" i="1" a="1"/>
  <c r="AL1121" i="1" s="1"/>
  <c r="AM1121" i="1" a="1"/>
  <c r="AM1121" i="1" s="1"/>
  <c r="AN1121" i="1" a="1"/>
  <c r="AN1121" i="1" s="1"/>
  <c r="AO1121" i="1" a="1"/>
  <c r="AO1121" i="1" s="1"/>
  <c r="AP1121" i="1" a="1"/>
  <c r="AP1121" i="1" s="1"/>
  <c r="AQ1121" i="1" a="1"/>
  <c r="AQ1121" i="1" s="1"/>
  <c r="AR1121" i="1" a="1"/>
  <c r="AR1121" i="1" s="1"/>
  <c r="AS1121" i="1" a="1"/>
  <c r="AS1121" i="1" s="1"/>
  <c r="AT1121" i="1" a="1"/>
  <c r="AT1121" i="1" s="1"/>
  <c r="AU1121" i="1" a="1"/>
  <c r="AU1121" i="1" s="1"/>
  <c r="AV1121" i="1" a="1"/>
  <c r="AV1121" i="1" s="1"/>
  <c r="AW1121" i="1" a="1"/>
  <c r="AW1121" i="1" s="1"/>
  <c r="AX1121" i="1" a="1"/>
  <c r="AX1121" i="1" s="1"/>
  <c r="AY1121" i="1" a="1"/>
  <c r="AY1121" i="1" s="1"/>
  <c r="AZ1121" i="1" a="1"/>
  <c r="AZ1121" i="1" s="1"/>
  <c r="BA1121" i="1" a="1"/>
  <c r="BA1121" i="1" s="1"/>
  <c r="BB1121" i="1" a="1"/>
  <c r="BB1121" i="1" s="1"/>
  <c r="AL1122" i="1" a="1"/>
  <c r="AL1122" i="1" s="1"/>
  <c r="AM1122" i="1" a="1"/>
  <c r="AM1122" i="1" s="1"/>
  <c r="AN1122" i="1" a="1"/>
  <c r="AN1122" i="1" s="1"/>
  <c r="AO1122" i="1" a="1"/>
  <c r="AO1122" i="1" s="1"/>
  <c r="AP1122" i="1" a="1"/>
  <c r="AP1122" i="1" s="1"/>
  <c r="AQ1122" i="1" a="1"/>
  <c r="AQ1122" i="1" s="1"/>
  <c r="AR1122" i="1" a="1"/>
  <c r="AR1122" i="1" s="1"/>
  <c r="AS1122" i="1" a="1"/>
  <c r="AS1122" i="1" s="1"/>
  <c r="AT1122" i="1" a="1"/>
  <c r="AT1122" i="1" s="1"/>
  <c r="AU1122" i="1" a="1"/>
  <c r="AU1122" i="1" s="1"/>
  <c r="AV1122" i="1" a="1"/>
  <c r="AV1122" i="1" s="1"/>
  <c r="AW1122" i="1" a="1"/>
  <c r="AW1122" i="1" s="1"/>
  <c r="AX1122" i="1" a="1"/>
  <c r="AX1122" i="1" s="1"/>
  <c r="AY1122" i="1" a="1"/>
  <c r="AY1122" i="1" s="1"/>
  <c r="AZ1122" i="1" a="1"/>
  <c r="AZ1122" i="1" s="1"/>
  <c r="BA1122" i="1" a="1"/>
  <c r="BA1122" i="1" s="1"/>
  <c r="BB1122" i="1" a="1"/>
  <c r="BB1122" i="1" s="1"/>
  <c r="AL1123" i="1" a="1"/>
  <c r="AL1123" i="1" s="1"/>
  <c r="AM1123" i="1" a="1"/>
  <c r="AM1123" i="1" s="1"/>
  <c r="AN1123" i="1" a="1"/>
  <c r="AN1123" i="1" s="1"/>
  <c r="AO1123" i="1" a="1"/>
  <c r="AO1123" i="1" s="1"/>
  <c r="AP1123" i="1" a="1"/>
  <c r="AP1123" i="1" s="1"/>
  <c r="AQ1123" i="1" a="1"/>
  <c r="AQ1123" i="1" s="1"/>
  <c r="AR1123" i="1" a="1"/>
  <c r="AR1123" i="1" s="1"/>
  <c r="AS1123" i="1" a="1"/>
  <c r="AS1123" i="1" s="1"/>
  <c r="AT1123" i="1" a="1"/>
  <c r="AT1123" i="1" s="1"/>
  <c r="AU1123" i="1" a="1"/>
  <c r="AU1123" i="1" s="1"/>
  <c r="AV1123" i="1" a="1"/>
  <c r="AV1123" i="1" s="1"/>
  <c r="AW1123" i="1" a="1"/>
  <c r="AW1123" i="1" s="1"/>
  <c r="AX1123" i="1" a="1"/>
  <c r="AX1123" i="1" s="1"/>
  <c r="AY1123" i="1" a="1"/>
  <c r="AY1123" i="1" s="1"/>
  <c r="AZ1123" i="1" a="1"/>
  <c r="AZ1123" i="1" s="1"/>
  <c r="BA1123" i="1" a="1"/>
  <c r="BA1123" i="1" s="1"/>
  <c r="BB1123" i="1" a="1"/>
  <c r="BB1123" i="1" s="1"/>
  <c r="AL1124" i="1" a="1"/>
  <c r="AL1124" i="1" s="1"/>
  <c r="AM1124" i="1" a="1"/>
  <c r="AM1124" i="1" s="1"/>
  <c r="AN1124" i="1" a="1"/>
  <c r="AN1124" i="1" s="1"/>
  <c r="AO1124" i="1" a="1"/>
  <c r="AO1124" i="1" s="1"/>
  <c r="AP1124" i="1" a="1"/>
  <c r="AP1124" i="1" s="1"/>
  <c r="AQ1124" i="1" a="1"/>
  <c r="AQ1124" i="1" s="1"/>
  <c r="AR1124" i="1" a="1"/>
  <c r="AR1124" i="1" s="1"/>
  <c r="AS1124" i="1" a="1"/>
  <c r="AS1124" i="1" s="1"/>
  <c r="AT1124" i="1" a="1"/>
  <c r="AT1124" i="1" s="1"/>
  <c r="AU1124" i="1" a="1"/>
  <c r="AU1124" i="1" s="1"/>
  <c r="AV1124" i="1" a="1"/>
  <c r="AV1124" i="1" s="1"/>
  <c r="AW1124" i="1" a="1"/>
  <c r="AW1124" i="1" s="1"/>
  <c r="AX1124" i="1" a="1"/>
  <c r="AX1124" i="1" s="1"/>
  <c r="AY1124" i="1" a="1"/>
  <c r="AY1124" i="1" s="1"/>
  <c r="AZ1124" i="1" a="1"/>
  <c r="AZ1124" i="1" s="1"/>
  <c r="BA1124" i="1" a="1"/>
  <c r="BA1124" i="1" s="1"/>
  <c r="BB1124" i="1" a="1"/>
  <c r="BB1124" i="1" s="1"/>
  <c r="AL1125" i="1" a="1"/>
  <c r="AL1125" i="1" s="1"/>
  <c r="AM1125" i="1" a="1"/>
  <c r="AM1125" i="1" s="1"/>
  <c r="AN1125" i="1" a="1"/>
  <c r="AN1125" i="1" s="1"/>
  <c r="AO1125" i="1" a="1"/>
  <c r="AO1125" i="1" s="1"/>
  <c r="AP1125" i="1" a="1"/>
  <c r="AP1125" i="1" s="1"/>
  <c r="AQ1125" i="1" a="1"/>
  <c r="AQ1125" i="1" s="1"/>
  <c r="AR1125" i="1" a="1"/>
  <c r="AR1125" i="1" s="1"/>
  <c r="AS1125" i="1" a="1"/>
  <c r="AS1125" i="1" s="1"/>
  <c r="AT1125" i="1" a="1"/>
  <c r="AT1125" i="1" s="1"/>
  <c r="AU1125" i="1" a="1"/>
  <c r="AU1125" i="1" s="1"/>
  <c r="AV1125" i="1" a="1"/>
  <c r="AV1125" i="1" s="1"/>
  <c r="AW1125" i="1" a="1"/>
  <c r="AW1125" i="1" s="1"/>
  <c r="AX1125" i="1" a="1"/>
  <c r="AX1125" i="1" s="1"/>
  <c r="AY1125" i="1" a="1"/>
  <c r="AY1125" i="1" s="1"/>
  <c r="AZ1125" i="1" a="1"/>
  <c r="AZ1125" i="1" s="1"/>
  <c r="BA1125" i="1" a="1"/>
  <c r="BA1125" i="1" s="1"/>
  <c r="BB1125" i="1" a="1"/>
  <c r="BB1125" i="1" s="1"/>
  <c r="AL1126" i="1" a="1"/>
  <c r="AL1126" i="1" s="1"/>
  <c r="AM1126" i="1" a="1"/>
  <c r="AM1126" i="1" s="1"/>
  <c r="AN1126" i="1" a="1"/>
  <c r="AN1126" i="1" s="1"/>
  <c r="AO1126" i="1" a="1"/>
  <c r="AO1126" i="1" s="1"/>
  <c r="AP1126" i="1" a="1"/>
  <c r="AP1126" i="1" s="1"/>
  <c r="AQ1126" i="1" a="1"/>
  <c r="AQ1126" i="1" s="1"/>
  <c r="AR1126" i="1" a="1"/>
  <c r="AR1126" i="1" s="1"/>
  <c r="AS1126" i="1" a="1"/>
  <c r="AS1126" i="1" s="1"/>
  <c r="AT1126" i="1" a="1"/>
  <c r="AT1126" i="1" s="1"/>
  <c r="AU1126" i="1" a="1"/>
  <c r="AU1126" i="1" s="1"/>
  <c r="AV1126" i="1" a="1"/>
  <c r="AV1126" i="1" s="1"/>
  <c r="AW1126" i="1" a="1"/>
  <c r="AW1126" i="1" s="1"/>
  <c r="AX1126" i="1" a="1"/>
  <c r="AX1126" i="1" s="1"/>
  <c r="AY1126" i="1" a="1"/>
  <c r="AY1126" i="1" s="1"/>
  <c r="AZ1126" i="1" a="1"/>
  <c r="AZ1126" i="1" s="1"/>
  <c r="BA1126" i="1" a="1"/>
  <c r="BA1126" i="1" s="1"/>
  <c r="BB1126" i="1" a="1"/>
  <c r="BB1126" i="1" s="1"/>
  <c r="AL1127" i="1" a="1"/>
  <c r="AL1127" i="1" s="1"/>
  <c r="AM1127" i="1" a="1"/>
  <c r="AM1127" i="1" s="1"/>
  <c r="AN1127" i="1" a="1"/>
  <c r="AN1127" i="1" s="1"/>
  <c r="AO1127" i="1" a="1"/>
  <c r="AO1127" i="1" s="1"/>
  <c r="AP1127" i="1" a="1"/>
  <c r="AP1127" i="1" s="1"/>
  <c r="AQ1127" i="1" a="1"/>
  <c r="AQ1127" i="1" s="1"/>
  <c r="AR1127" i="1" a="1"/>
  <c r="AR1127" i="1" s="1"/>
  <c r="AS1127" i="1" a="1"/>
  <c r="AS1127" i="1" s="1"/>
  <c r="AT1127" i="1" a="1"/>
  <c r="AT1127" i="1" s="1"/>
  <c r="AU1127" i="1" a="1"/>
  <c r="AU1127" i="1" s="1"/>
  <c r="AV1127" i="1" a="1"/>
  <c r="AV1127" i="1" s="1"/>
  <c r="AW1127" i="1" a="1"/>
  <c r="AW1127" i="1" s="1"/>
  <c r="AX1127" i="1" a="1"/>
  <c r="AX1127" i="1" s="1"/>
  <c r="AY1127" i="1" a="1"/>
  <c r="AY1127" i="1" s="1"/>
  <c r="AZ1127" i="1" a="1"/>
  <c r="AZ1127" i="1" s="1"/>
  <c r="BA1127" i="1" a="1"/>
  <c r="BA1127" i="1" s="1"/>
  <c r="BB1127" i="1" a="1"/>
  <c r="BB1127" i="1" s="1"/>
  <c r="AL1128" i="1" a="1"/>
  <c r="AL1128" i="1" s="1"/>
  <c r="AM1128" i="1" a="1"/>
  <c r="AM1128" i="1" s="1"/>
  <c r="AN1128" i="1" a="1"/>
  <c r="AN1128" i="1" s="1"/>
  <c r="AO1128" i="1" a="1"/>
  <c r="AO1128" i="1" s="1"/>
  <c r="AP1128" i="1" a="1"/>
  <c r="AP1128" i="1" s="1"/>
  <c r="AQ1128" i="1" a="1"/>
  <c r="AQ1128" i="1" s="1"/>
  <c r="AR1128" i="1" a="1"/>
  <c r="AR1128" i="1" s="1"/>
  <c r="AS1128" i="1" a="1"/>
  <c r="AS1128" i="1" s="1"/>
  <c r="AT1128" i="1" a="1"/>
  <c r="AT1128" i="1" s="1"/>
  <c r="AU1128" i="1" a="1"/>
  <c r="AU1128" i="1" s="1"/>
  <c r="AV1128" i="1" a="1"/>
  <c r="AV1128" i="1" s="1"/>
  <c r="AW1128" i="1" a="1"/>
  <c r="AW1128" i="1" s="1"/>
  <c r="AX1128" i="1" a="1"/>
  <c r="AX1128" i="1" s="1"/>
  <c r="AY1128" i="1" a="1"/>
  <c r="AY1128" i="1" s="1"/>
  <c r="AZ1128" i="1" a="1"/>
  <c r="AZ1128" i="1" s="1"/>
  <c r="BA1128" i="1" a="1"/>
  <c r="BA1128" i="1" s="1"/>
  <c r="BB1128" i="1" a="1"/>
  <c r="BB1128" i="1" s="1"/>
  <c r="AL1129" i="1" a="1"/>
  <c r="AL1129" i="1" s="1"/>
  <c r="AM1129" i="1" a="1"/>
  <c r="AM1129" i="1" s="1"/>
  <c r="AN1129" i="1" a="1"/>
  <c r="AN1129" i="1" s="1"/>
  <c r="AO1129" i="1" a="1"/>
  <c r="AO1129" i="1" s="1"/>
  <c r="AP1129" i="1" a="1"/>
  <c r="AP1129" i="1" s="1"/>
  <c r="AQ1129" i="1" a="1"/>
  <c r="AQ1129" i="1" s="1"/>
  <c r="AR1129" i="1" a="1"/>
  <c r="AR1129" i="1" s="1"/>
  <c r="AS1129" i="1" a="1"/>
  <c r="AS1129" i="1" s="1"/>
  <c r="AT1129" i="1" a="1"/>
  <c r="AT1129" i="1" s="1"/>
  <c r="AU1129" i="1" a="1"/>
  <c r="AU1129" i="1" s="1"/>
  <c r="AV1129" i="1" a="1"/>
  <c r="AV1129" i="1" s="1"/>
  <c r="AW1129" i="1" a="1"/>
  <c r="AW1129" i="1" s="1"/>
  <c r="AX1129" i="1" a="1"/>
  <c r="AX1129" i="1" s="1"/>
  <c r="AY1129" i="1" a="1"/>
  <c r="AY1129" i="1" s="1"/>
  <c r="AZ1129" i="1" a="1"/>
  <c r="AZ1129" i="1" s="1"/>
  <c r="BA1129" i="1" a="1"/>
  <c r="BA1129" i="1" s="1"/>
  <c r="BB1129" i="1" a="1"/>
  <c r="BB1129" i="1" s="1"/>
  <c r="AL1130" i="1" a="1"/>
  <c r="AL1130" i="1" s="1"/>
  <c r="AM1130" i="1" a="1"/>
  <c r="AM1130" i="1" s="1"/>
  <c r="AN1130" i="1" a="1"/>
  <c r="AN1130" i="1" s="1"/>
  <c r="AO1130" i="1" a="1"/>
  <c r="AO1130" i="1" s="1"/>
  <c r="AP1130" i="1" a="1"/>
  <c r="AP1130" i="1" s="1"/>
  <c r="AQ1130" i="1" a="1"/>
  <c r="AQ1130" i="1" s="1"/>
  <c r="AR1130" i="1" a="1"/>
  <c r="AR1130" i="1" s="1"/>
  <c r="AS1130" i="1" a="1"/>
  <c r="AS1130" i="1" s="1"/>
  <c r="AT1130" i="1" a="1"/>
  <c r="AT1130" i="1" s="1"/>
  <c r="AU1130" i="1" a="1"/>
  <c r="AU1130" i="1" s="1"/>
  <c r="AV1130" i="1" a="1"/>
  <c r="AV1130" i="1" s="1"/>
  <c r="AW1130" i="1" a="1"/>
  <c r="AW1130" i="1" s="1"/>
  <c r="AX1130" i="1" a="1"/>
  <c r="AX1130" i="1" s="1"/>
  <c r="AY1130" i="1" a="1"/>
  <c r="AY1130" i="1" s="1"/>
  <c r="AZ1130" i="1" a="1"/>
  <c r="AZ1130" i="1" s="1"/>
  <c r="BA1130" i="1" a="1"/>
  <c r="BA1130" i="1" s="1"/>
  <c r="BB1130" i="1" a="1"/>
  <c r="BB1130" i="1" s="1"/>
  <c r="AL1131" i="1" a="1"/>
  <c r="AL1131" i="1" s="1"/>
  <c r="AM1131" i="1" a="1"/>
  <c r="AM1131" i="1" s="1"/>
  <c r="AN1131" i="1" a="1"/>
  <c r="AN1131" i="1" s="1"/>
  <c r="AO1131" i="1" a="1"/>
  <c r="AO1131" i="1" s="1"/>
  <c r="AP1131" i="1" a="1"/>
  <c r="AP1131" i="1" s="1"/>
  <c r="AQ1131" i="1" a="1"/>
  <c r="AQ1131" i="1" s="1"/>
  <c r="AR1131" i="1" a="1"/>
  <c r="AR1131" i="1" s="1"/>
  <c r="AS1131" i="1" a="1"/>
  <c r="AS1131" i="1" s="1"/>
  <c r="AT1131" i="1" a="1"/>
  <c r="AT1131" i="1" s="1"/>
  <c r="AU1131" i="1" a="1"/>
  <c r="AU1131" i="1" s="1"/>
  <c r="AV1131" i="1" a="1"/>
  <c r="AV1131" i="1" s="1"/>
  <c r="AW1131" i="1" a="1"/>
  <c r="AW1131" i="1" s="1"/>
  <c r="AX1131" i="1" a="1"/>
  <c r="AX1131" i="1" s="1"/>
  <c r="AY1131" i="1" a="1"/>
  <c r="AY1131" i="1" s="1"/>
  <c r="AZ1131" i="1" a="1"/>
  <c r="AZ1131" i="1" s="1"/>
  <c r="BA1131" i="1" a="1"/>
  <c r="BA1131" i="1" s="1"/>
  <c r="BB1131" i="1" a="1"/>
  <c r="BB1131" i="1" s="1"/>
  <c r="AL1132" i="1" a="1"/>
  <c r="AL1132" i="1" s="1"/>
  <c r="AM1132" i="1" a="1"/>
  <c r="AM1132" i="1" s="1"/>
  <c r="AN1132" i="1" a="1"/>
  <c r="AN1132" i="1" s="1"/>
  <c r="AO1132" i="1" a="1"/>
  <c r="AO1132" i="1" s="1"/>
  <c r="AP1132" i="1" a="1"/>
  <c r="AP1132" i="1" s="1"/>
  <c r="AQ1132" i="1" a="1"/>
  <c r="AQ1132" i="1" s="1"/>
  <c r="AR1132" i="1" a="1"/>
  <c r="AR1132" i="1" s="1"/>
  <c r="AS1132" i="1" a="1"/>
  <c r="AS1132" i="1" s="1"/>
  <c r="AT1132" i="1" a="1"/>
  <c r="AT1132" i="1" s="1"/>
  <c r="AU1132" i="1" a="1"/>
  <c r="AU1132" i="1" s="1"/>
  <c r="AV1132" i="1" a="1"/>
  <c r="AV1132" i="1" s="1"/>
  <c r="AW1132" i="1" a="1"/>
  <c r="AW1132" i="1" s="1"/>
  <c r="AX1132" i="1" a="1"/>
  <c r="AX1132" i="1" s="1"/>
  <c r="AY1132" i="1" a="1"/>
  <c r="AY1132" i="1" s="1"/>
  <c r="AZ1132" i="1" a="1"/>
  <c r="AZ1132" i="1" s="1"/>
  <c r="BA1132" i="1" a="1"/>
  <c r="BA1132" i="1" s="1"/>
  <c r="BB1132" i="1" a="1"/>
  <c r="BB1132" i="1" s="1"/>
  <c r="AL1133" i="1" a="1"/>
  <c r="AL1133" i="1" s="1"/>
  <c r="AM1133" i="1" a="1"/>
  <c r="AM1133" i="1" s="1"/>
  <c r="AN1133" i="1" a="1"/>
  <c r="AN1133" i="1" s="1"/>
  <c r="AO1133" i="1" a="1"/>
  <c r="AO1133" i="1" s="1"/>
  <c r="AP1133" i="1" a="1"/>
  <c r="AP1133" i="1" s="1"/>
  <c r="AQ1133" i="1" a="1"/>
  <c r="AQ1133" i="1" s="1"/>
  <c r="AR1133" i="1" a="1"/>
  <c r="AR1133" i="1" s="1"/>
  <c r="AS1133" i="1" a="1"/>
  <c r="AS1133" i="1" s="1"/>
  <c r="AT1133" i="1" a="1"/>
  <c r="AT1133" i="1" s="1"/>
  <c r="AU1133" i="1" a="1"/>
  <c r="AU1133" i="1" s="1"/>
  <c r="AV1133" i="1" a="1"/>
  <c r="AV1133" i="1" s="1"/>
  <c r="AW1133" i="1" a="1"/>
  <c r="AW1133" i="1" s="1"/>
  <c r="AX1133" i="1" a="1"/>
  <c r="AX1133" i="1" s="1"/>
  <c r="AY1133" i="1" a="1"/>
  <c r="AY1133" i="1" s="1"/>
  <c r="AZ1133" i="1" a="1"/>
  <c r="AZ1133" i="1" s="1"/>
  <c r="BA1133" i="1" a="1"/>
  <c r="BA1133" i="1" s="1"/>
  <c r="BB1133" i="1" a="1"/>
  <c r="BB1133" i="1" s="1"/>
  <c r="AL1134" i="1" a="1"/>
  <c r="AL1134" i="1" s="1"/>
  <c r="AM1134" i="1" a="1"/>
  <c r="AM1134" i="1" s="1"/>
  <c r="AN1134" i="1" a="1"/>
  <c r="AN1134" i="1" s="1"/>
  <c r="AO1134" i="1" a="1"/>
  <c r="AO1134" i="1" s="1"/>
  <c r="AP1134" i="1" a="1"/>
  <c r="AP1134" i="1" s="1"/>
  <c r="AQ1134" i="1" a="1"/>
  <c r="AQ1134" i="1" s="1"/>
  <c r="AR1134" i="1" a="1"/>
  <c r="AR1134" i="1" s="1"/>
  <c r="AS1134" i="1" a="1"/>
  <c r="AS1134" i="1" s="1"/>
  <c r="AT1134" i="1" a="1"/>
  <c r="AT1134" i="1" s="1"/>
  <c r="AU1134" i="1" a="1"/>
  <c r="AU1134" i="1" s="1"/>
  <c r="AV1134" i="1" a="1"/>
  <c r="AV1134" i="1" s="1"/>
  <c r="AW1134" i="1" a="1"/>
  <c r="AW1134" i="1" s="1"/>
  <c r="AX1134" i="1" a="1"/>
  <c r="AX1134" i="1" s="1"/>
  <c r="AY1134" i="1" a="1"/>
  <c r="AY1134" i="1" s="1"/>
  <c r="AZ1134" i="1" a="1"/>
  <c r="AZ1134" i="1" s="1"/>
  <c r="BA1134" i="1" a="1"/>
  <c r="BA1134" i="1" s="1"/>
  <c r="BB1134" i="1" a="1"/>
  <c r="BB1134" i="1" s="1"/>
  <c r="AL1135" i="1" a="1"/>
  <c r="AL1135" i="1" s="1"/>
  <c r="AM1135" i="1" a="1"/>
  <c r="AM1135" i="1" s="1"/>
  <c r="AN1135" i="1" a="1"/>
  <c r="AN1135" i="1" s="1"/>
  <c r="AO1135" i="1" a="1"/>
  <c r="AO1135" i="1" s="1"/>
  <c r="AP1135" i="1" a="1"/>
  <c r="AP1135" i="1" s="1"/>
  <c r="AQ1135" i="1" a="1"/>
  <c r="AQ1135" i="1" s="1"/>
  <c r="AR1135" i="1" a="1"/>
  <c r="AR1135" i="1" s="1"/>
  <c r="AS1135" i="1" a="1"/>
  <c r="AS1135" i="1" s="1"/>
  <c r="AT1135" i="1" a="1"/>
  <c r="AT1135" i="1" s="1"/>
  <c r="AU1135" i="1" a="1"/>
  <c r="AU1135" i="1" s="1"/>
  <c r="AV1135" i="1" a="1"/>
  <c r="AV1135" i="1" s="1"/>
  <c r="AW1135" i="1" a="1"/>
  <c r="AW1135" i="1" s="1"/>
  <c r="AX1135" i="1" a="1"/>
  <c r="AX1135" i="1" s="1"/>
  <c r="AY1135" i="1" a="1"/>
  <c r="AY1135" i="1" s="1"/>
  <c r="AZ1135" i="1" a="1"/>
  <c r="AZ1135" i="1" s="1"/>
  <c r="BA1135" i="1" a="1"/>
  <c r="BA1135" i="1" s="1"/>
  <c r="BB1135" i="1" a="1"/>
  <c r="BB1135" i="1" s="1"/>
  <c r="AL1136" i="1" a="1"/>
  <c r="AL1136" i="1" s="1"/>
  <c r="AM1136" i="1" a="1"/>
  <c r="AM1136" i="1" s="1"/>
  <c r="AN1136" i="1" a="1"/>
  <c r="AN1136" i="1" s="1"/>
  <c r="AO1136" i="1" a="1"/>
  <c r="AO1136" i="1" s="1"/>
  <c r="AP1136" i="1" a="1"/>
  <c r="AP1136" i="1" s="1"/>
  <c r="AQ1136" i="1" a="1"/>
  <c r="AQ1136" i="1" s="1"/>
  <c r="AR1136" i="1" a="1"/>
  <c r="AR1136" i="1" s="1"/>
  <c r="AS1136" i="1" a="1"/>
  <c r="AS1136" i="1" s="1"/>
  <c r="AT1136" i="1" a="1"/>
  <c r="AT1136" i="1" s="1"/>
  <c r="AU1136" i="1" a="1"/>
  <c r="AU1136" i="1" s="1"/>
  <c r="AV1136" i="1" a="1"/>
  <c r="AV1136" i="1" s="1"/>
  <c r="AW1136" i="1" a="1"/>
  <c r="AW1136" i="1" s="1"/>
  <c r="AX1136" i="1" a="1"/>
  <c r="AX1136" i="1" s="1"/>
  <c r="AY1136" i="1" a="1"/>
  <c r="AY1136" i="1" s="1"/>
  <c r="AZ1136" i="1" a="1"/>
  <c r="AZ1136" i="1" s="1"/>
  <c r="BA1136" i="1" a="1"/>
  <c r="BA1136" i="1" s="1"/>
  <c r="BB1136" i="1" a="1"/>
  <c r="BB1136" i="1" s="1"/>
  <c r="AL1137" i="1" a="1"/>
  <c r="AL1137" i="1" s="1"/>
  <c r="AM1137" i="1" a="1"/>
  <c r="AM1137" i="1" s="1"/>
  <c r="AN1137" i="1" a="1"/>
  <c r="AN1137" i="1" s="1"/>
  <c r="AO1137" i="1" a="1"/>
  <c r="AO1137" i="1" s="1"/>
  <c r="AP1137" i="1" a="1"/>
  <c r="AP1137" i="1" s="1"/>
  <c r="AQ1137" i="1" a="1"/>
  <c r="AQ1137" i="1" s="1"/>
  <c r="AR1137" i="1" a="1"/>
  <c r="AR1137" i="1" s="1"/>
  <c r="AS1137" i="1" a="1"/>
  <c r="AS1137" i="1" s="1"/>
  <c r="AT1137" i="1" a="1"/>
  <c r="AT1137" i="1" s="1"/>
  <c r="AU1137" i="1" a="1"/>
  <c r="AU1137" i="1" s="1"/>
  <c r="AV1137" i="1" a="1"/>
  <c r="AV1137" i="1" s="1"/>
  <c r="AW1137" i="1" a="1"/>
  <c r="AW1137" i="1" s="1"/>
  <c r="AX1137" i="1" a="1"/>
  <c r="AX1137" i="1" s="1"/>
  <c r="AY1137" i="1" a="1"/>
  <c r="AY1137" i="1" s="1"/>
  <c r="AZ1137" i="1" a="1"/>
  <c r="AZ1137" i="1" s="1"/>
  <c r="BA1137" i="1" a="1"/>
  <c r="BA1137" i="1" s="1"/>
  <c r="BB1137" i="1" a="1"/>
  <c r="BB1137" i="1" s="1"/>
  <c r="AL1138" i="1" a="1"/>
  <c r="AL1138" i="1" s="1"/>
  <c r="AM1138" i="1" a="1"/>
  <c r="AM1138" i="1" s="1"/>
  <c r="AN1138" i="1" a="1"/>
  <c r="AN1138" i="1" s="1"/>
  <c r="AO1138" i="1" a="1"/>
  <c r="AO1138" i="1" s="1"/>
  <c r="AP1138" i="1" a="1"/>
  <c r="AP1138" i="1" s="1"/>
  <c r="AQ1138" i="1" a="1"/>
  <c r="AQ1138" i="1" s="1"/>
  <c r="AR1138" i="1" a="1"/>
  <c r="AR1138" i="1" s="1"/>
  <c r="AS1138" i="1" a="1"/>
  <c r="AS1138" i="1" s="1"/>
  <c r="AT1138" i="1" a="1"/>
  <c r="AT1138" i="1" s="1"/>
  <c r="AU1138" i="1" a="1"/>
  <c r="AU1138" i="1" s="1"/>
  <c r="AV1138" i="1" a="1"/>
  <c r="AV1138" i="1" s="1"/>
  <c r="AW1138" i="1" a="1"/>
  <c r="AW1138" i="1" s="1"/>
  <c r="AX1138" i="1" a="1"/>
  <c r="AX1138" i="1" s="1"/>
  <c r="AY1138" i="1" a="1"/>
  <c r="AY1138" i="1" s="1"/>
  <c r="AZ1138" i="1" a="1"/>
  <c r="AZ1138" i="1" s="1"/>
  <c r="BA1138" i="1" a="1"/>
  <c r="BA1138" i="1" s="1"/>
  <c r="BB1138" i="1" a="1"/>
  <c r="BB1138" i="1" s="1"/>
  <c r="AL1139" i="1" a="1"/>
  <c r="AL1139" i="1" s="1"/>
  <c r="AM1139" i="1" a="1"/>
  <c r="AM1139" i="1" s="1"/>
  <c r="AN1139" i="1" a="1"/>
  <c r="AN1139" i="1" s="1"/>
  <c r="AO1139" i="1" a="1"/>
  <c r="AO1139" i="1" s="1"/>
  <c r="AP1139" i="1" a="1"/>
  <c r="AP1139" i="1" s="1"/>
  <c r="AQ1139" i="1" a="1"/>
  <c r="AQ1139" i="1" s="1"/>
  <c r="AR1139" i="1" a="1"/>
  <c r="AR1139" i="1" s="1"/>
  <c r="AS1139" i="1" a="1"/>
  <c r="AS1139" i="1" s="1"/>
  <c r="AT1139" i="1" a="1"/>
  <c r="AT1139" i="1" s="1"/>
  <c r="AU1139" i="1" a="1"/>
  <c r="AU1139" i="1" s="1"/>
  <c r="AV1139" i="1" a="1"/>
  <c r="AV1139" i="1" s="1"/>
  <c r="AW1139" i="1" a="1"/>
  <c r="AW1139" i="1" s="1"/>
  <c r="AX1139" i="1" a="1"/>
  <c r="AX1139" i="1" s="1"/>
  <c r="AY1139" i="1" a="1"/>
  <c r="AY1139" i="1" s="1"/>
  <c r="AZ1139" i="1" a="1"/>
  <c r="AZ1139" i="1" s="1"/>
  <c r="BA1139" i="1" a="1"/>
  <c r="BA1139" i="1" s="1"/>
  <c r="BB1139" i="1" a="1"/>
  <c r="BB1139" i="1" s="1"/>
  <c r="AL1140" i="1" a="1"/>
  <c r="AL1140" i="1" s="1"/>
  <c r="AM1140" i="1" a="1"/>
  <c r="AM1140" i="1" s="1"/>
  <c r="AN1140" i="1" a="1"/>
  <c r="AN1140" i="1" s="1"/>
  <c r="AO1140" i="1" a="1"/>
  <c r="AO1140" i="1" s="1"/>
  <c r="AP1140" i="1" a="1"/>
  <c r="AP1140" i="1" s="1"/>
  <c r="AQ1140" i="1" a="1"/>
  <c r="AQ1140" i="1" s="1"/>
  <c r="AR1140" i="1" a="1"/>
  <c r="AR1140" i="1" s="1"/>
  <c r="AS1140" i="1" a="1"/>
  <c r="AS1140" i="1" s="1"/>
  <c r="AT1140" i="1" a="1"/>
  <c r="AT1140" i="1" s="1"/>
  <c r="AU1140" i="1" a="1"/>
  <c r="AU1140" i="1" s="1"/>
  <c r="AV1140" i="1" a="1"/>
  <c r="AV1140" i="1" s="1"/>
  <c r="AW1140" i="1" a="1"/>
  <c r="AW1140" i="1" s="1"/>
  <c r="AX1140" i="1" a="1"/>
  <c r="AX1140" i="1" s="1"/>
  <c r="AY1140" i="1" a="1"/>
  <c r="AY1140" i="1" s="1"/>
  <c r="AZ1140" i="1" a="1"/>
  <c r="AZ1140" i="1" s="1"/>
  <c r="BA1140" i="1" a="1"/>
  <c r="BA1140" i="1" s="1"/>
  <c r="BB1140" i="1" a="1"/>
  <c r="BB1140" i="1" s="1"/>
  <c r="AL1141" i="1" a="1"/>
  <c r="AL1141" i="1" s="1"/>
  <c r="AM1141" i="1" a="1"/>
  <c r="AM1141" i="1" s="1"/>
  <c r="AN1141" i="1" a="1"/>
  <c r="AN1141" i="1" s="1"/>
  <c r="AO1141" i="1" a="1"/>
  <c r="AO1141" i="1" s="1"/>
  <c r="AP1141" i="1" a="1"/>
  <c r="AP1141" i="1" s="1"/>
  <c r="AQ1141" i="1" a="1"/>
  <c r="AQ1141" i="1" s="1"/>
  <c r="AR1141" i="1" a="1"/>
  <c r="AR1141" i="1" s="1"/>
  <c r="AS1141" i="1" a="1"/>
  <c r="AS1141" i="1" s="1"/>
  <c r="AT1141" i="1" a="1"/>
  <c r="AT1141" i="1" s="1"/>
  <c r="AU1141" i="1" a="1"/>
  <c r="AU1141" i="1" s="1"/>
  <c r="AV1141" i="1" a="1"/>
  <c r="AV1141" i="1" s="1"/>
  <c r="AW1141" i="1" a="1"/>
  <c r="AW1141" i="1" s="1"/>
  <c r="AX1141" i="1" a="1"/>
  <c r="AX1141" i="1" s="1"/>
  <c r="AY1141" i="1" a="1"/>
  <c r="AY1141" i="1" s="1"/>
  <c r="AZ1141" i="1" a="1"/>
  <c r="AZ1141" i="1" s="1"/>
  <c r="BA1141" i="1" a="1"/>
  <c r="BA1141" i="1" s="1"/>
  <c r="BB1141" i="1" a="1"/>
  <c r="BB1141" i="1" s="1"/>
  <c r="AL1142" i="1" a="1"/>
  <c r="AL1142" i="1" s="1"/>
  <c r="AM1142" i="1" a="1"/>
  <c r="AM1142" i="1" s="1"/>
  <c r="AN1142" i="1" a="1"/>
  <c r="AN1142" i="1" s="1"/>
  <c r="AO1142" i="1" a="1"/>
  <c r="AO1142" i="1" s="1"/>
  <c r="AP1142" i="1" a="1"/>
  <c r="AP1142" i="1" s="1"/>
  <c r="AQ1142" i="1" a="1"/>
  <c r="AQ1142" i="1" s="1"/>
  <c r="AR1142" i="1" a="1"/>
  <c r="AR1142" i="1" s="1"/>
  <c r="AS1142" i="1" a="1"/>
  <c r="AS1142" i="1" s="1"/>
  <c r="AT1142" i="1" a="1"/>
  <c r="AT1142" i="1" s="1"/>
  <c r="AU1142" i="1" a="1"/>
  <c r="AU1142" i="1" s="1"/>
  <c r="AV1142" i="1" a="1"/>
  <c r="AV1142" i="1" s="1"/>
  <c r="AW1142" i="1" a="1"/>
  <c r="AW1142" i="1" s="1"/>
  <c r="AX1142" i="1" a="1"/>
  <c r="AX1142" i="1" s="1"/>
  <c r="AY1142" i="1" a="1"/>
  <c r="AY1142" i="1" s="1"/>
  <c r="AZ1142" i="1" a="1"/>
  <c r="AZ1142" i="1" s="1"/>
  <c r="BA1142" i="1" a="1"/>
  <c r="BA1142" i="1" s="1"/>
  <c r="BB1142" i="1" a="1"/>
  <c r="BB1142" i="1" s="1"/>
  <c r="AL1143" i="1" a="1"/>
  <c r="AL1143" i="1" s="1"/>
  <c r="AM1143" i="1" a="1"/>
  <c r="AM1143" i="1" s="1"/>
  <c r="AN1143" i="1" a="1"/>
  <c r="AN1143" i="1" s="1"/>
  <c r="AO1143" i="1" a="1"/>
  <c r="AO1143" i="1" s="1"/>
  <c r="AP1143" i="1" a="1"/>
  <c r="AP1143" i="1" s="1"/>
  <c r="AQ1143" i="1" a="1"/>
  <c r="AQ1143" i="1" s="1"/>
  <c r="AR1143" i="1" a="1"/>
  <c r="AR1143" i="1" s="1"/>
  <c r="AS1143" i="1" a="1"/>
  <c r="AS1143" i="1" s="1"/>
  <c r="AT1143" i="1" a="1"/>
  <c r="AT1143" i="1" s="1"/>
  <c r="AU1143" i="1" a="1"/>
  <c r="AU1143" i="1" s="1"/>
  <c r="AV1143" i="1" a="1"/>
  <c r="AV1143" i="1" s="1"/>
  <c r="AW1143" i="1" a="1"/>
  <c r="AW1143" i="1" s="1"/>
  <c r="AX1143" i="1" a="1"/>
  <c r="AX1143" i="1" s="1"/>
  <c r="AY1143" i="1" a="1"/>
  <c r="AY1143" i="1" s="1"/>
  <c r="AZ1143" i="1" a="1"/>
  <c r="AZ1143" i="1" s="1"/>
  <c r="BA1143" i="1" a="1"/>
  <c r="BA1143" i="1" s="1"/>
  <c r="BB1143" i="1" a="1"/>
  <c r="BB1143" i="1" s="1"/>
  <c r="AL1144" i="1" a="1"/>
  <c r="AL1144" i="1" s="1"/>
  <c r="AM1144" i="1" a="1"/>
  <c r="AM1144" i="1" s="1"/>
  <c r="AN1144" i="1" a="1"/>
  <c r="AN1144" i="1" s="1"/>
  <c r="AO1144" i="1" a="1"/>
  <c r="AO1144" i="1" s="1"/>
  <c r="AP1144" i="1" a="1"/>
  <c r="AP1144" i="1" s="1"/>
  <c r="AQ1144" i="1" a="1"/>
  <c r="AQ1144" i="1" s="1"/>
  <c r="AR1144" i="1" a="1"/>
  <c r="AR1144" i="1" s="1"/>
  <c r="AS1144" i="1" a="1"/>
  <c r="AS1144" i="1" s="1"/>
  <c r="AT1144" i="1" a="1"/>
  <c r="AT1144" i="1" s="1"/>
  <c r="AU1144" i="1" a="1"/>
  <c r="AU1144" i="1" s="1"/>
  <c r="AV1144" i="1" a="1"/>
  <c r="AV1144" i="1" s="1"/>
  <c r="AW1144" i="1" a="1"/>
  <c r="AW1144" i="1" s="1"/>
  <c r="AX1144" i="1" a="1"/>
  <c r="AX1144" i="1" s="1"/>
  <c r="AY1144" i="1" a="1"/>
  <c r="AY1144" i="1" s="1"/>
  <c r="AZ1144" i="1" a="1"/>
  <c r="AZ1144" i="1" s="1"/>
  <c r="BA1144" i="1" a="1"/>
  <c r="BA1144" i="1" s="1"/>
  <c r="BB1144" i="1" a="1"/>
  <c r="BB1144" i="1" s="1"/>
  <c r="AL1145" i="1" a="1"/>
  <c r="AL1145" i="1" s="1"/>
  <c r="AM1145" i="1" a="1"/>
  <c r="AM1145" i="1" s="1"/>
  <c r="AN1145" i="1" a="1"/>
  <c r="AN1145" i="1" s="1"/>
  <c r="AO1145" i="1" a="1"/>
  <c r="AO1145" i="1" s="1"/>
  <c r="AP1145" i="1" a="1"/>
  <c r="AP1145" i="1" s="1"/>
  <c r="AQ1145" i="1" a="1"/>
  <c r="AQ1145" i="1" s="1"/>
  <c r="AR1145" i="1" a="1"/>
  <c r="AR1145" i="1" s="1"/>
  <c r="AS1145" i="1" a="1"/>
  <c r="AS1145" i="1" s="1"/>
  <c r="AT1145" i="1" a="1"/>
  <c r="AT1145" i="1" s="1"/>
  <c r="AU1145" i="1" a="1"/>
  <c r="AU1145" i="1" s="1"/>
  <c r="AV1145" i="1" a="1"/>
  <c r="AV1145" i="1" s="1"/>
  <c r="AW1145" i="1" a="1"/>
  <c r="AW1145" i="1" s="1"/>
  <c r="AX1145" i="1" a="1"/>
  <c r="AX1145" i="1" s="1"/>
  <c r="AY1145" i="1" a="1"/>
  <c r="AY1145" i="1" s="1"/>
  <c r="AZ1145" i="1" a="1"/>
  <c r="AZ1145" i="1" s="1"/>
  <c r="BA1145" i="1" a="1"/>
  <c r="BA1145" i="1" s="1"/>
  <c r="BB1145" i="1" a="1"/>
  <c r="BB1145" i="1" s="1"/>
  <c r="AL1146" i="1" a="1"/>
  <c r="AL1146" i="1" s="1"/>
  <c r="AM1146" i="1" a="1"/>
  <c r="AM1146" i="1" s="1"/>
  <c r="AN1146" i="1" a="1"/>
  <c r="AN1146" i="1" s="1"/>
  <c r="AO1146" i="1" a="1"/>
  <c r="AO1146" i="1" s="1"/>
  <c r="AP1146" i="1" a="1"/>
  <c r="AP1146" i="1" s="1"/>
  <c r="AQ1146" i="1" a="1"/>
  <c r="AQ1146" i="1" s="1"/>
  <c r="AR1146" i="1" a="1"/>
  <c r="AR1146" i="1" s="1"/>
  <c r="AS1146" i="1" a="1"/>
  <c r="AS1146" i="1" s="1"/>
  <c r="AT1146" i="1" a="1"/>
  <c r="AT1146" i="1" s="1"/>
  <c r="AU1146" i="1" a="1"/>
  <c r="AU1146" i="1" s="1"/>
  <c r="AV1146" i="1" a="1"/>
  <c r="AV1146" i="1" s="1"/>
  <c r="AW1146" i="1" a="1"/>
  <c r="AW1146" i="1" s="1"/>
  <c r="AX1146" i="1" a="1"/>
  <c r="AX1146" i="1" s="1"/>
  <c r="AY1146" i="1" a="1"/>
  <c r="AY1146" i="1" s="1"/>
  <c r="AZ1146" i="1" a="1"/>
  <c r="AZ1146" i="1" s="1"/>
  <c r="BA1146" i="1" a="1"/>
  <c r="BA1146" i="1" s="1"/>
  <c r="BB1146" i="1" a="1"/>
  <c r="BB1146" i="1" s="1"/>
  <c r="AL1147" i="1" a="1"/>
  <c r="AL1147" i="1" s="1"/>
  <c r="AM1147" i="1" a="1"/>
  <c r="AM1147" i="1" s="1"/>
  <c r="AN1147" i="1" a="1"/>
  <c r="AN1147" i="1" s="1"/>
  <c r="AO1147" i="1" a="1"/>
  <c r="AO1147" i="1" s="1"/>
  <c r="AP1147" i="1" a="1"/>
  <c r="AP1147" i="1" s="1"/>
  <c r="AQ1147" i="1" a="1"/>
  <c r="AQ1147" i="1" s="1"/>
  <c r="AR1147" i="1" a="1"/>
  <c r="AR1147" i="1" s="1"/>
  <c r="AS1147" i="1" a="1"/>
  <c r="AS1147" i="1" s="1"/>
  <c r="AT1147" i="1" a="1"/>
  <c r="AT1147" i="1" s="1"/>
  <c r="AU1147" i="1" a="1"/>
  <c r="AU1147" i="1" s="1"/>
  <c r="AV1147" i="1" a="1"/>
  <c r="AV1147" i="1" s="1"/>
  <c r="AW1147" i="1" a="1"/>
  <c r="AW1147" i="1" s="1"/>
  <c r="AX1147" i="1" a="1"/>
  <c r="AX1147" i="1" s="1"/>
  <c r="AY1147" i="1" a="1"/>
  <c r="AY1147" i="1" s="1"/>
  <c r="AZ1147" i="1" a="1"/>
  <c r="AZ1147" i="1" s="1"/>
  <c r="BA1147" i="1" a="1"/>
  <c r="BA1147" i="1" s="1"/>
  <c r="BB1147" i="1" a="1"/>
  <c r="BB1147" i="1" s="1"/>
  <c r="AL1148" i="1" a="1"/>
  <c r="AL1148" i="1" s="1"/>
  <c r="AM1148" i="1" a="1"/>
  <c r="AM1148" i="1" s="1"/>
  <c r="AN1148" i="1" a="1"/>
  <c r="AN1148" i="1" s="1"/>
  <c r="AO1148" i="1" a="1"/>
  <c r="AO1148" i="1" s="1"/>
  <c r="AP1148" i="1" a="1"/>
  <c r="AP1148" i="1" s="1"/>
  <c r="AQ1148" i="1" a="1"/>
  <c r="AQ1148" i="1" s="1"/>
  <c r="AR1148" i="1" a="1"/>
  <c r="AR1148" i="1" s="1"/>
  <c r="AS1148" i="1" a="1"/>
  <c r="AS1148" i="1" s="1"/>
  <c r="AT1148" i="1" a="1"/>
  <c r="AT1148" i="1" s="1"/>
  <c r="AU1148" i="1" a="1"/>
  <c r="AU1148" i="1" s="1"/>
  <c r="AV1148" i="1" a="1"/>
  <c r="AV1148" i="1" s="1"/>
  <c r="AW1148" i="1" a="1"/>
  <c r="AW1148" i="1" s="1"/>
  <c r="AX1148" i="1" a="1"/>
  <c r="AX1148" i="1" s="1"/>
  <c r="AY1148" i="1" a="1"/>
  <c r="AY1148" i="1" s="1"/>
  <c r="AZ1148" i="1" a="1"/>
  <c r="AZ1148" i="1" s="1"/>
  <c r="BA1148" i="1" a="1"/>
  <c r="BA1148" i="1" s="1"/>
  <c r="BB1148" i="1" a="1"/>
  <c r="BB1148" i="1" s="1"/>
  <c r="AL1149" i="1" a="1"/>
  <c r="AL1149" i="1" s="1"/>
  <c r="AM1149" i="1" a="1"/>
  <c r="AM1149" i="1" s="1"/>
  <c r="AN1149" i="1" a="1"/>
  <c r="AN1149" i="1" s="1"/>
  <c r="AO1149" i="1" a="1"/>
  <c r="AO1149" i="1" s="1"/>
  <c r="AP1149" i="1" a="1"/>
  <c r="AP1149" i="1" s="1"/>
  <c r="AQ1149" i="1" a="1"/>
  <c r="AQ1149" i="1" s="1"/>
  <c r="AR1149" i="1" a="1"/>
  <c r="AR1149" i="1" s="1"/>
  <c r="AS1149" i="1" a="1"/>
  <c r="AS1149" i="1" s="1"/>
  <c r="AT1149" i="1" a="1"/>
  <c r="AT1149" i="1" s="1"/>
  <c r="AU1149" i="1" a="1"/>
  <c r="AU1149" i="1" s="1"/>
  <c r="AV1149" i="1" a="1"/>
  <c r="AV1149" i="1" s="1"/>
  <c r="AW1149" i="1" a="1"/>
  <c r="AW1149" i="1" s="1"/>
  <c r="AX1149" i="1" a="1"/>
  <c r="AX1149" i="1" s="1"/>
  <c r="AY1149" i="1" a="1"/>
  <c r="AY1149" i="1" s="1"/>
  <c r="AZ1149" i="1" a="1"/>
  <c r="AZ1149" i="1" s="1"/>
  <c r="BA1149" i="1" a="1"/>
  <c r="BA1149" i="1" s="1"/>
  <c r="BB1149" i="1" a="1"/>
  <c r="BB1149" i="1" s="1"/>
  <c r="AL1150" i="1" a="1"/>
  <c r="AL1150" i="1" s="1"/>
  <c r="AM1150" i="1" a="1"/>
  <c r="AM1150" i="1" s="1"/>
  <c r="AN1150" i="1" a="1"/>
  <c r="AN1150" i="1" s="1"/>
  <c r="AO1150" i="1" a="1"/>
  <c r="AO1150" i="1" s="1"/>
  <c r="AP1150" i="1" a="1"/>
  <c r="AP1150" i="1" s="1"/>
  <c r="AQ1150" i="1" a="1"/>
  <c r="AQ1150" i="1" s="1"/>
  <c r="AR1150" i="1" a="1"/>
  <c r="AR1150" i="1" s="1"/>
  <c r="AS1150" i="1" a="1"/>
  <c r="AS1150" i="1" s="1"/>
  <c r="AT1150" i="1" a="1"/>
  <c r="AT1150" i="1" s="1"/>
  <c r="AU1150" i="1" a="1"/>
  <c r="AU1150" i="1" s="1"/>
  <c r="AV1150" i="1" a="1"/>
  <c r="AV1150" i="1" s="1"/>
  <c r="AW1150" i="1" a="1"/>
  <c r="AW1150" i="1" s="1"/>
  <c r="AX1150" i="1" a="1"/>
  <c r="AX1150" i="1" s="1"/>
  <c r="AY1150" i="1" a="1"/>
  <c r="AY1150" i="1" s="1"/>
  <c r="AZ1150" i="1" a="1"/>
  <c r="AZ1150" i="1" s="1"/>
  <c r="BA1150" i="1" a="1"/>
  <c r="BA1150" i="1" s="1"/>
  <c r="BB1150" i="1" a="1"/>
  <c r="BB1150" i="1" s="1"/>
  <c r="AL1292" i="1" a="1"/>
  <c r="AL1292" i="1" s="1"/>
  <c r="AM1292" i="1" a="1"/>
  <c r="AM1292" i="1" s="1"/>
  <c r="AN1292" i="1" a="1"/>
  <c r="AN1292" i="1" s="1"/>
  <c r="AO1292" i="1" a="1"/>
  <c r="AO1292" i="1" s="1"/>
  <c r="AP1292" i="1" a="1"/>
  <c r="AP1292" i="1" s="1"/>
  <c r="AQ1292" i="1" a="1"/>
  <c r="AQ1292" i="1" s="1"/>
  <c r="AR1292" i="1" a="1"/>
  <c r="AR1292" i="1" s="1"/>
  <c r="AS1292" i="1" a="1"/>
  <c r="AS1292" i="1" s="1"/>
  <c r="AT1292" i="1" a="1"/>
  <c r="AT1292" i="1" s="1"/>
  <c r="AU1292" i="1" a="1"/>
  <c r="AU1292" i="1" s="1"/>
  <c r="AV1292" i="1" a="1"/>
  <c r="AV1292" i="1" s="1"/>
  <c r="AW1292" i="1" a="1"/>
  <c r="AW1292" i="1" s="1"/>
  <c r="AX1292" i="1" a="1"/>
  <c r="AX1292" i="1" s="1"/>
  <c r="AY1292" i="1" a="1"/>
  <c r="AY1292" i="1" s="1"/>
  <c r="AZ1292" i="1" a="1"/>
  <c r="AZ1292" i="1" s="1"/>
  <c r="BA1292" i="1" a="1"/>
  <c r="BA1292" i="1" s="1"/>
  <c r="BB1292" i="1" a="1"/>
  <c r="BB1292" i="1" s="1"/>
  <c r="AL1151" i="1" a="1"/>
  <c r="AL1151" i="1" s="1"/>
  <c r="AM1151" i="1" a="1"/>
  <c r="AM1151" i="1" s="1"/>
  <c r="AN1151" i="1" a="1"/>
  <c r="AN1151" i="1" s="1"/>
  <c r="AO1151" i="1" a="1"/>
  <c r="AO1151" i="1" s="1"/>
  <c r="AP1151" i="1" a="1"/>
  <c r="AP1151" i="1" s="1"/>
  <c r="AQ1151" i="1" a="1"/>
  <c r="AQ1151" i="1" s="1"/>
  <c r="AR1151" i="1" a="1"/>
  <c r="AR1151" i="1" s="1"/>
  <c r="AS1151" i="1" a="1"/>
  <c r="AS1151" i="1" s="1"/>
  <c r="AT1151" i="1" a="1"/>
  <c r="AT1151" i="1" s="1"/>
  <c r="AU1151" i="1" a="1"/>
  <c r="AU1151" i="1" s="1"/>
  <c r="AV1151" i="1" a="1"/>
  <c r="AV1151" i="1" s="1"/>
  <c r="AW1151" i="1" a="1"/>
  <c r="AW1151" i="1" s="1"/>
  <c r="AX1151" i="1" a="1"/>
  <c r="AX1151" i="1" s="1"/>
  <c r="AY1151" i="1" a="1"/>
  <c r="AY1151" i="1" s="1"/>
  <c r="AZ1151" i="1" a="1"/>
  <c r="AZ1151" i="1" s="1"/>
  <c r="BA1151" i="1" a="1"/>
  <c r="BA1151" i="1" s="1"/>
  <c r="BB1151" i="1" a="1"/>
  <c r="BB1151" i="1" s="1"/>
  <c r="AL1152" i="1" a="1"/>
  <c r="AL1152" i="1" s="1"/>
  <c r="AM1152" i="1" a="1"/>
  <c r="AM1152" i="1" s="1"/>
  <c r="AN1152" i="1" a="1"/>
  <c r="AN1152" i="1" s="1"/>
  <c r="AO1152" i="1" a="1"/>
  <c r="AO1152" i="1" s="1"/>
  <c r="AP1152" i="1" a="1"/>
  <c r="AP1152" i="1" s="1"/>
  <c r="AQ1152" i="1" a="1"/>
  <c r="AQ1152" i="1" s="1"/>
  <c r="AR1152" i="1" a="1"/>
  <c r="AR1152" i="1" s="1"/>
  <c r="AS1152" i="1" a="1"/>
  <c r="AS1152" i="1" s="1"/>
  <c r="AT1152" i="1" a="1"/>
  <c r="AT1152" i="1" s="1"/>
  <c r="AU1152" i="1" a="1"/>
  <c r="AU1152" i="1" s="1"/>
  <c r="AV1152" i="1" a="1"/>
  <c r="AV1152" i="1" s="1"/>
  <c r="AW1152" i="1" a="1"/>
  <c r="AW1152" i="1" s="1"/>
  <c r="AX1152" i="1" a="1"/>
  <c r="AX1152" i="1" s="1"/>
  <c r="AY1152" i="1" a="1"/>
  <c r="AY1152" i="1" s="1"/>
  <c r="AZ1152" i="1" a="1"/>
  <c r="AZ1152" i="1" s="1"/>
  <c r="BA1152" i="1" a="1"/>
  <c r="BA1152" i="1" s="1"/>
  <c r="BB1152" i="1" a="1"/>
  <c r="BB1152" i="1" s="1"/>
  <c r="AL1154" i="1" a="1"/>
  <c r="AL1154" i="1" s="1"/>
  <c r="AM1154" i="1" a="1"/>
  <c r="AM1154" i="1" s="1"/>
  <c r="AN1154" i="1" a="1"/>
  <c r="AN1154" i="1" s="1"/>
  <c r="AO1154" i="1" a="1"/>
  <c r="AO1154" i="1" s="1"/>
  <c r="AP1154" i="1" a="1"/>
  <c r="AP1154" i="1" s="1"/>
  <c r="AQ1154" i="1" a="1"/>
  <c r="AQ1154" i="1" s="1"/>
  <c r="AR1154" i="1" a="1"/>
  <c r="AR1154" i="1" s="1"/>
  <c r="AS1154" i="1" a="1"/>
  <c r="AS1154" i="1" s="1"/>
  <c r="AT1154" i="1" a="1"/>
  <c r="AT1154" i="1" s="1"/>
  <c r="AU1154" i="1" a="1"/>
  <c r="AU1154" i="1" s="1"/>
  <c r="AV1154" i="1" a="1"/>
  <c r="AV1154" i="1" s="1"/>
  <c r="AW1154" i="1" a="1"/>
  <c r="AW1154" i="1" s="1"/>
  <c r="AX1154" i="1" a="1"/>
  <c r="AX1154" i="1" s="1"/>
  <c r="AY1154" i="1" a="1"/>
  <c r="AY1154" i="1" s="1"/>
  <c r="AZ1154" i="1" a="1"/>
  <c r="AZ1154" i="1" s="1"/>
  <c r="BA1154" i="1" a="1"/>
  <c r="BA1154" i="1" s="1"/>
  <c r="BB1154" i="1" a="1"/>
  <c r="BB1154" i="1" s="1"/>
  <c r="AL1153" i="1" a="1"/>
  <c r="AL1153" i="1" s="1"/>
  <c r="AM1153" i="1" a="1"/>
  <c r="AM1153" i="1" s="1"/>
  <c r="AN1153" i="1" a="1"/>
  <c r="AN1153" i="1" s="1"/>
  <c r="AO1153" i="1" a="1"/>
  <c r="AO1153" i="1" s="1"/>
  <c r="AP1153" i="1" a="1"/>
  <c r="AP1153" i="1" s="1"/>
  <c r="AQ1153" i="1" a="1"/>
  <c r="AQ1153" i="1" s="1"/>
  <c r="AR1153" i="1" a="1"/>
  <c r="AR1153" i="1" s="1"/>
  <c r="AS1153" i="1" a="1"/>
  <c r="AS1153" i="1" s="1"/>
  <c r="AT1153" i="1" a="1"/>
  <c r="AT1153" i="1" s="1"/>
  <c r="AU1153" i="1" a="1"/>
  <c r="AU1153" i="1" s="1"/>
  <c r="AV1153" i="1" a="1"/>
  <c r="AV1153" i="1" s="1"/>
  <c r="AW1153" i="1" a="1"/>
  <c r="AW1153" i="1" s="1"/>
  <c r="AX1153" i="1" a="1"/>
  <c r="AX1153" i="1" s="1"/>
  <c r="AY1153" i="1" a="1"/>
  <c r="AY1153" i="1" s="1"/>
  <c r="AZ1153" i="1" a="1"/>
  <c r="AZ1153" i="1" s="1"/>
  <c r="BA1153" i="1" a="1"/>
  <c r="BA1153" i="1" s="1"/>
  <c r="BB1153" i="1" a="1"/>
  <c r="BB1153" i="1" s="1"/>
  <c r="AL1156" i="1" a="1"/>
  <c r="AL1156" i="1" s="1"/>
  <c r="AM1156" i="1" a="1"/>
  <c r="AM1156" i="1" s="1"/>
  <c r="AN1156" i="1" a="1"/>
  <c r="AN1156" i="1" s="1"/>
  <c r="AO1156" i="1" a="1"/>
  <c r="AO1156" i="1" s="1"/>
  <c r="AP1156" i="1" a="1"/>
  <c r="AP1156" i="1" s="1"/>
  <c r="AQ1156" i="1" a="1"/>
  <c r="AQ1156" i="1" s="1"/>
  <c r="AR1156" i="1" a="1"/>
  <c r="AR1156" i="1" s="1"/>
  <c r="AS1156" i="1" a="1"/>
  <c r="AS1156" i="1" s="1"/>
  <c r="AT1156" i="1" a="1"/>
  <c r="AT1156" i="1" s="1"/>
  <c r="AU1156" i="1" a="1"/>
  <c r="AU1156" i="1" s="1"/>
  <c r="AV1156" i="1" a="1"/>
  <c r="AV1156" i="1" s="1"/>
  <c r="AW1156" i="1" a="1"/>
  <c r="AW1156" i="1" s="1"/>
  <c r="AX1156" i="1" a="1"/>
  <c r="AX1156" i="1" s="1"/>
  <c r="AY1156" i="1" a="1"/>
  <c r="AY1156" i="1" s="1"/>
  <c r="AZ1156" i="1" a="1"/>
  <c r="AZ1156" i="1" s="1"/>
  <c r="BA1156" i="1" a="1"/>
  <c r="BA1156" i="1" s="1"/>
  <c r="BB1156" i="1" a="1"/>
  <c r="BB1156" i="1" s="1"/>
  <c r="AL1157" i="1" a="1"/>
  <c r="AL1157" i="1" s="1"/>
  <c r="AM1157" i="1" a="1"/>
  <c r="AM1157" i="1" s="1"/>
  <c r="AN1157" i="1" a="1"/>
  <c r="AN1157" i="1" s="1"/>
  <c r="AO1157" i="1" a="1"/>
  <c r="AO1157" i="1" s="1"/>
  <c r="AP1157" i="1" a="1"/>
  <c r="AP1157" i="1" s="1"/>
  <c r="AQ1157" i="1" a="1"/>
  <c r="AQ1157" i="1" s="1"/>
  <c r="AR1157" i="1" a="1"/>
  <c r="AR1157" i="1" s="1"/>
  <c r="AS1157" i="1" a="1"/>
  <c r="AS1157" i="1" s="1"/>
  <c r="AT1157" i="1" a="1"/>
  <c r="AT1157" i="1" s="1"/>
  <c r="AU1157" i="1" a="1"/>
  <c r="AU1157" i="1" s="1"/>
  <c r="AV1157" i="1" a="1"/>
  <c r="AV1157" i="1" s="1"/>
  <c r="AW1157" i="1" a="1"/>
  <c r="AW1157" i="1" s="1"/>
  <c r="AX1157" i="1" a="1"/>
  <c r="AX1157" i="1" s="1"/>
  <c r="AY1157" i="1" a="1"/>
  <c r="AY1157" i="1" s="1"/>
  <c r="AZ1157" i="1" a="1"/>
  <c r="AZ1157" i="1" s="1"/>
  <c r="BA1157" i="1" a="1"/>
  <c r="BA1157" i="1" s="1"/>
  <c r="BB1157" i="1" a="1"/>
  <c r="BB1157" i="1" s="1"/>
  <c r="AL1158" i="1" a="1"/>
  <c r="AL1158" i="1" s="1"/>
  <c r="AM1158" i="1" a="1"/>
  <c r="AM1158" i="1" s="1"/>
  <c r="AN1158" i="1" a="1"/>
  <c r="AN1158" i="1" s="1"/>
  <c r="AO1158" i="1" a="1"/>
  <c r="AO1158" i="1" s="1"/>
  <c r="AP1158" i="1" a="1"/>
  <c r="AP1158" i="1" s="1"/>
  <c r="AQ1158" i="1" a="1"/>
  <c r="AQ1158" i="1" s="1"/>
  <c r="AR1158" i="1" a="1"/>
  <c r="AR1158" i="1" s="1"/>
  <c r="AS1158" i="1" a="1"/>
  <c r="AS1158" i="1" s="1"/>
  <c r="AT1158" i="1" a="1"/>
  <c r="AT1158" i="1" s="1"/>
  <c r="AU1158" i="1" a="1"/>
  <c r="AU1158" i="1" s="1"/>
  <c r="AV1158" i="1" a="1"/>
  <c r="AV1158" i="1" s="1"/>
  <c r="AW1158" i="1" a="1"/>
  <c r="AW1158" i="1" s="1"/>
  <c r="AX1158" i="1" a="1"/>
  <c r="AX1158" i="1" s="1"/>
  <c r="AY1158" i="1" a="1"/>
  <c r="AY1158" i="1" s="1"/>
  <c r="AZ1158" i="1" a="1"/>
  <c r="AZ1158" i="1" s="1"/>
  <c r="BA1158" i="1" a="1"/>
  <c r="BA1158" i="1" s="1"/>
  <c r="BB1158" i="1" a="1"/>
  <c r="BB1158" i="1" s="1"/>
  <c r="AL1159" i="1" a="1"/>
  <c r="AL1159" i="1" s="1"/>
  <c r="AM1159" i="1" a="1"/>
  <c r="AM1159" i="1" s="1"/>
  <c r="AN1159" i="1" a="1"/>
  <c r="AN1159" i="1" s="1"/>
  <c r="AO1159" i="1" a="1"/>
  <c r="AO1159" i="1" s="1"/>
  <c r="AP1159" i="1" a="1"/>
  <c r="AP1159" i="1" s="1"/>
  <c r="AQ1159" i="1" a="1"/>
  <c r="AQ1159" i="1" s="1"/>
  <c r="AR1159" i="1" a="1"/>
  <c r="AR1159" i="1" s="1"/>
  <c r="AS1159" i="1" a="1"/>
  <c r="AS1159" i="1" s="1"/>
  <c r="AT1159" i="1" a="1"/>
  <c r="AT1159" i="1" s="1"/>
  <c r="AU1159" i="1" a="1"/>
  <c r="AU1159" i="1" s="1"/>
  <c r="AV1159" i="1" a="1"/>
  <c r="AV1159" i="1" s="1"/>
  <c r="AW1159" i="1" a="1"/>
  <c r="AW1159" i="1" s="1"/>
  <c r="AX1159" i="1" a="1"/>
  <c r="AX1159" i="1" s="1"/>
  <c r="AY1159" i="1" a="1"/>
  <c r="AY1159" i="1" s="1"/>
  <c r="AZ1159" i="1" a="1"/>
  <c r="AZ1159" i="1" s="1"/>
  <c r="BA1159" i="1" a="1"/>
  <c r="BA1159" i="1" s="1"/>
  <c r="BB1159" i="1" a="1"/>
  <c r="BB1159" i="1" s="1"/>
  <c r="AL1160" i="1" a="1"/>
  <c r="AL1160" i="1" s="1"/>
  <c r="AM1160" i="1" a="1"/>
  <c r="AM1160" i="1" s="1"/>
  <c r="AN1160" i="1" a="1"/>
  <c r="AN1160" i="1" s="1"/>
  <c r="AO1160" i="1" a="1"/>
  <c r="AO1160" i="1" s="1"/>
  <c r="AP1160" i="1" a="1"/>
  <c r="AP1160" i="1" s="1"/>
  <c r="AQ1160" i="1" a="1"/>
  <c r="AQ1160" i="1" s="1"/>
  <c r="AR1160" i="1" a="1"/>
  <c r="AR1160" i="1" s="1"/>
  <c r="AS1160" i="1" a="1"/>
  <c r="AS1160" i="1" s="1"/>
  <c r="AT1160" i="1" a="1"/>
  <c r="AT1160" i="1" s="1"/>
  <c r="AU1160" i="1" a="1"/>
  <c r="AU1160" i="1" s="1"/>
  <c r="AV1160" i="1" a="1"/>
  <c r="AV1160" i="1" s="1"/>
  <c r="AW1160" i="1" a="1"/>
  <c r="AW1160" i="1" s="1"/>
  <c r="AX1160" i="1" a="1"/>
  <c r="AX1160" i="1" s="1"/>
  <c r="AY1160" i="1" a="1"/>
  <c r="AY1160" i="1" s="1"/>
  <c r="AZ1160" i="1" a="1"/>
  <c r="AZ1160" i="1" s="1"/>
  <c r="BA1160" i="1" a="1"/>
  <c r="BA1160" i="1" s="1"/>
  <c r="BB1160" i="1" a="1"/>
  <c r="BB1160" i="1" s="1"/>
  <c r="AL1161" i="1" a="1"/>
  <c r="AL1161" i="1" s="1"/>
  <c r="AM1161" i="1" a="1"/>
  <c r="AM1161" i="1" s="1"/>
  <c r="AN1161" i="1" a="1"/>
  <c r="AN1161" i="1" s="1"/>
  <c r="AO1161" i="1" a="1"/>
  <c r="AO1161" i="1" s="1"/>
  <c r="AP1161" i="1" a="1"/>
  <c r="AP1161" i="1" s="1"/>
  <c r="AQ1161" i="1" a="1"/>
  <c r="AQ1161" i="1" s="1"/>
  <c r="AR1161" i="1" a="1"/>
  <c r="AR1161" i="1" s="1"/>
  <c r="AS1161" i="1" a="1"/>
  <c r="AS1161" i="1" s="1"/>
  <c r="AT1161" i="1" a="1"/>
  <c r="AT1161" i="1" s="1"/>
  <c r="AU1161" i="1" a="1"/>
  <c r="AU1161" i="1" s="1"/>
  <c r="AV1161" i="1" a="1"/>
  <c r="AV1161" i="1" s="1"/>
  <c r="AW1161" i="1" a="1"/>
  <c r="AW1161" i="1" s="1"/>
  <c r="AX1161" i="1" a="1"/>
  <c r="AX1161" i="1" s="1"/>
  <c r="AY1161" i="1" a="1"/>
  <c r="AY1161" i="1" s="1"/>
  <c r="AZ1161" i="1" a="1"/>
  <c r="AZ1161" i="1" s="1"/>
  <c r="BA1161" i="1" a="1"/>
  <c r="BA1161" i="1" s="1"/>
  <c r="BB1161" i="1" a="1"/>
  <c r="BB1161" i="1" s="1"/>
  <c r="AL1162" i="1" a="1"/>
  <c r="AL1162" i="1" s="1"/>
  <c r="AM1162" i="1" a="1"/>
  <c r="AM1162" i="1" s="1"/>
  <c r="AN1162" i="1" a="1"/>
  <c r="AN1162" i="1" s="1"/>
  <c r="AO1162" i="1" a="1"/>
  <c r="AO1162" i="1" s="1"/>
  <c r="AP1162" i="1" a="1"/>
  <c r="AP1162" i="1" s="1"/>
  <c r="AQ1162" i="1" a="1"/>
  <c r="AQ1162" i="1" s="1"/>
  <c r="AR1162" i="1" a="1"/>
  <c r="AR1162" i="1" s="1"/>
  <c r="AS1162" i="1" a="1"/>
  <c r="AS1162" i="1" s="1"/>
  <c r="AT1162" i="1" a="1"/>
  <c r="AT1162" i="1" s="1"/>
  <c r="AU1162" i="1" a="1"/>
  <c r="AU1162" i="1" s="1"/>
  <c r="AV1162" i="1" a="1"/>
  <c r="AV1162" i="1" s="1"/>
  <c r="AW1162" i="1" a="1"/>
  <c r="AW1162" i="1" s="1"/>
  <c r="AX1162" i="1" a="1"/>
  <c r="AX1162" i="1" s="1"/>
  <c r="AY1162" i="1" a="1"/>
  <c r="AY1162" i="1" s="1"/>
  <c r="AZ1162" i="1" a="1"/>
  <c r="AZ1162" i="1" s="1"/>
  <c r="BA1162" i="1" a="1"/>
  <c r="BA1162" i="1" s="1"/>
  <c r="BB1162" i="1" a="1"/>
  <c r="BB1162" i="1" s="1"/>
  <c r="AL1163" i="1" a="1"/>
  <c r="AL1163" i="1" s="1"/>
  <c r="AM1163" i="1" a="1"/>
  <c r="AM1163" i="1" s="1"/>
  <c r="AN1163" i="1" a="1"/>
  <c r="AN1163" i="1" s="1"/>
  <c r="AO1163" i="1" a="1"/>
  <c r="AO1163" i="1" s="1"/>
  <c r="AP1163" i="1" a="1"/>
  <c r="AP1163" i="1" s="1"/>
  <c r="AQ1163" i="1" a="1"/>
  <c r="AQ1163" i="1" s="1"/>
  <c r="AR1163" i="1" a="1"/>
  <c r="AR1163" i="1" s="1"/>
  <c r="AS1163" i="1" a="1"/>
  <c r="AS1163" i="1" s="1"/>
  <c r="AT1163" i="1" a="1"/>
  <c r="AT1163" i="1" s="1"/>
  <c r="AU1163" i="1" a="1"/>
  <c r="AU1163" i="1" s="1"/>
  <c r="AV1163" i="1" a="1"/>
  <c r="AV1163" i="1" s="1"/>
  <c r="AW1163" i="1" a="1"/>
  <c r="AW1163" i="1" s="1"/>
  <c r="AX1163" i="1" a="1"/>
  <c r="AX1163" i="1" s="1"/>
  <c r="AY1163" i="1" a="1"/>
  <c r="AY1163" i="1" s="1"/>
  <c r="AZ1163" i="1" a="1"/>
  <c r="AZ1163" i="1" s="1"/>
  <c r="BA1163" i="1" a="1"/>
  <c r="BA1163" i="1" s="1"/>
  <c r="BB1163" i="1" a="1"/>
  <c r="BB1163" i="1" s="1"/>
  <c r="AL1164" i="1" a="1"/>
  <c r="AL1164" i="1" s="1"/>
  <c r="AM1164" i="1" a="1"/>
  <c r="AM1164" i="1" s="1"/>
  <c r="AN1164" i="1" a="1"/>
  <c r="AN1164" i="1" s="1"/>
  <c r="AO1164" i="1" a="1"/>
  <c r="AO1164" i="1" s="1"/>
  <c r="AP1164" i="1" a="1"/>
  <c r="AP1164" i="1" s="1"/>
  <c r="AQ1164" i="1" a="1"/>
  <c r="AQ1164" i="1" s="1"/>
  <c r="AR1164" i="1" a="1"/>
  <c r="AR1164" i="1" s="1"/>
  <c r="AS1164" i="1" a="1"/>
  <c r="AS1164" i="1" s="1"/>
  <c r="AT1164" i="1" a="1"/>
  <c r="AT1164" i="1" s="1"/>
  <c r="AU1164" i="1" a="1"/>
  <c r="AU1164" i="1" s="1"/>
  <c r="AV1164" i="1" a="1"/>
  <c r="AV1164" i="1" s="1"/>
  <c r="AW1164" i="1" a="1"/>
  <c r="AW1164" i="1" s="1"/>
  <c r="AX1164" i="1" a="1"/>
  <c r="AX1164" i="1" s="1"/>
  <c r="AY1164" i="1" a="1"/>
  <c r="AY1164" i="1" s="1"/>
  <c r="AZ1164" i="1" a="1"/>
  <c r="AZ1164" i="1" s="1"/>
  <c r="BA1164" i="1" a="1"/>
  <c r="BA1164" i="1" s="1"/>
  <c r="BB1164" i="1" a="1"/>
  <c r="BB1164" i="1" s="1"/>
  <c r="AL1165" i="1" a="1"/>
  <c r="AL1165" i="1" s="1"/>
  <c r="AM1165" i="1" a="1"/>
  <c r="AM1165" i="1" s="1"/>
  <c r="AN1165" i="1" a="1"/>
  <c r="AN1165" i="1" s="1"/>
  <c r="AO1165" i="1" a="1"/>
  <c r="AO1165" i="1" s="1"/>
  <c r="AP1165" i="1" a="1"/>
  <c r="AP1165" i="1" s="1"/>
  <c r="AQ1165" i="1" a="1"/>
  <c r="AQ1165" i="1" s="1"/>
  <c r="AR1165" i="1" a="1"/>
  <c r="AR1165" i="1" s="1"/>
  <c r="AS1165" i="1" a="1"/>
  <c r="AS1165" i="1" s="1"/>
  <c r="AT1165" i="1" a="1"/>
  <c r="AT1165" i="1" s="1"/>
  <c r="AU1165" i="1" a="1"/>
  <c r="AU1165" i="1" s="1"/>
  <c r="AV1165" i="1" a="1"/>
  <c r="AV1165" i="1" s="1"/>
  <c r="AW1165" i="1" a="1"/>
  <c r="AW1165" i="1" s="1"/>
  <c r="AX1165" i="1" a="1"/>
  <c r="AX1165" i="1" s="1"/>
  <c r="AY1165" i="1" a="1"/>
  <c r="AY1165" i="1" s="1"/>
  <c r="AZ1165" i="1" a="1"/>
  <c r="AZ1165" i="1" s="1"/>
  <c r="BA1165" i="1" a="1"/>
  <c r="BA1165" i="1" s="1"/>
  <c r="BB1165" i="1" a="1"/>
  <c r="BB1165" i="1" s="1"/>
  <c r="AL1166" i="1" a="1"/>
  <c r="AL1166" i="1" s="1"/>
  <c r="AM1166" i="1" a="1"/>
  <c r="AM1166" i="1" s="1"/>
  <c r="AN1166" i="1" a="1"/>
  <c r="AN1166" i="1" s="1"/>
  <c r="AO1166" i="1" a="1"/>
  <c r="AO1166" i="1" s="1"/>
  <c r="AP1166" i="1" a="1"/>
  <c r="AP1166" i="1" s="1"/>
  <c r="AQ1166" i="1" a="1"/>
  <c r="AQ1166" i="1" s="1"/>
  <c r="AR1166" i="1" a="1"/>
  <c r="AR1166" i="1" s="1"/>
  <c r="AS1166" i="1" a="1"/>
  <c r="AS1166" i="1" s="1"/>
  <c r="AT1166" i="1" a="1"/>
  <c r="AT1166" i="1" s="1"/>
  <c r="AU1166" i="1" a="1"/>
  <c r="AU1166" i="1" s="1"/>
  <c r="AV1166" i="1" a="1"/>
  <c r="AV1166" i="1" s="1"/>
  <c r="AW1166" i="1" a="1"/>
  <c r="AW1166" i="1" s="1"/>
  <c r="AX1166" i="1" a="1"/>
  <c r="AX1166" i="1" s="1"/>
  <c r="AY1166" i="1" a="1"/>
  <c r="AY1166" i="1" s="1"/>
  <c r="AZ1166" i="1" a="1"/>
  <c r="AZ1166" i="1" s="1"/>
  <c r="BA1166" i="1" a="1"/>
  <c r="BA1166" i="1" s="1"/>
  <c r="BB1166" i="1" a="1"/>
  <c r="BB1166" i="1" s="1"/>
  <c r="AL1167" i="1" a="1"/>
  <c r="AL1167" i="1" s="1"/>
  <c r="AM1167" i="1" a="1"/>
  <c r="AM1167" i="1" s="1"/>
  <c r="AN1167" i="1" a="1"/>
  <c r="AN1167" i="1" s="1"/>
  <c r="AO1167" i="1" a="1"/>
  <c r="AO1167" i="1" s="1"/>
  <c r="AP1167" i="1" a="1"/>
  <c r="AP1167" i="1" s="1"/>
  <c r="AQ1167" i="1" a="1"/>
  <c r="AQ1167" i="1" s="1"/>
  <c r="AR1167" i="1" a="1"/>
  <c r="AR1167" i="1" s="1"/>
  <c r="AS1167" i="1" a="1"/>
  <c r="AS1167" i="1" s="1"/>
  <c r="AT1167" i="1" a="1"/>
  <c r="AT1167" i="1" s="1"/>
  <c r="AU1167" i="1" a="1"/>
  <c r="AU1167" i="1" s="1"/>
  <c r="AV1167" i="1" a="1"/>
  <c r="AV1167" i="1" s="1"/>
  <c r="AW1167" i="1" a="1"/>
  <c r="AW1167" i="1" s="1"/>
  <c r="AX1167" i="1" a="1"/>
  <c r="AX1167" i="1" s="1"/>
  <c r="AY1167" i="1" a="1"/>
  <c r="AY1167" i="1" s="1"/>
  <c r="AZ1167" i="1" a="1"/>
  <c r="AZ1167" i="1" s="1"/>
  <c r="BA1167" i="1" a="1"/>
  <c r="BA1167" i="1" s="1"/>
  <c r="BB1167" i="1" a="1"/>
  <c r="BB1167" i="1" s="1"/>
  <c r="AL1168" i="1" a="1"/>
  <c r="AL1168" i="1" s="1"/>
  <c r="AM1168" i="1" a="1"/>
  <c r="AM1168" i="1" s="1"/>
  <c r="AN1168" i="1" a="1"/>
  <c r="AN1168" i="1" s="1"/>
  <c r="AO1168" i="1" a="1"/>
  <c r="AO1168" i="1" s="1"/>
  <c r="AP1168" i="1" a="1"/>
  <c r="AP1168" i="1" s="1"/>
  <c r="AQ1168" i="1" a="1"/>
  <c r="AQ1168" i="1" s="1"/>
  <c r="AR1168" i="1" a="1"/>
  <c r="AR1168" i="1" s="1"/>
  <c r="AS1168" i="1" a="1"/>
  <c r="AS1168" i="1" s="1"/>
  <c r="AT1168" i="1" a="1"/>
  <c r="AT1168" i="1" s="1"/>
  <c r="AU1168" i="1" a="1"/>
  <c r="AU1168" i="1" s="1"/>
  <c r="AV1168" i="1" a="1"/>
  <c r="AV1168" i="1" s="1"/>
  <c r="AW1168" i="1" a="1"/>
  <c r="AW1168" i="1" s="1"/>
  <c r="AX1168" i="1" a="1"/>
  <c r="AX1168" i="1" s="1"/>
  <c r="AY1168" i="1" a="1"/>
  <c r="AY1168" i="1" s="1"/>
  <c r="AZ1168" i="1" a="1"/>
  <c r="AZ1168" i="1" s="1"/>
  <c r="BA1168" i="1" a="1"/>
  <c r="BA1168" i="1" s="1"/>
  <c r="BB1168" i="1" a="1"/>
  <c r="BB1168" i="1" s="1"/>
  <c r="AL1155" i="1" a="1"/>
  <c r="AL1155" i="1" s="1"/>
  <c r="AM1155" i="1" a="1"/>
  <c r="AM1155" i="1" s="1"/>
  <c r="AN1155" i="1" a="1"/>
  <c r="AN1155" i="1" s="1"/>
  <c r="AO1155" i="1" a="1"/>
  <c r="AO1155" i="1" s="1"/>
  <c r="AP1155" i="1" a="1"/>
  <c r="AP1155" i="1" s="1"/>
  <c r="AQ1155" i="1" a="1"/>
  <c r="AQ1155" i="1" s="1"/>
  <c r="AR1155" i="1" a="1"/>
  <c r="AR1155" i="1" s="1"/>
  <c r="AS1155" i="1" a="1"/>
  <c r="AS1155" i="1" s="1"/>
  <c r="AT1155" i="1" a="1"/>
  <c r="AT1155" i="1" s="1"/>
  <c r="AU1155" i="1" a="1"/>
  <c r="AU1155" i="1" s="1"/>
  <c r="AV1155" i="1" a="1"/>
  <c r="AV1155" i="1" s="1"/>
  <c r="AW1155" i="1" a="1"/>
  <c r="AW1155" i="1" s="1"/>
  <c r="AX1155" i="1" a="1"/>
  <c r="AX1155" i="1" s="1"/>
  <c r="AY1155" i="1" a="1"/>
  <c r="AY1155" i="1" s="1"/>
  <c r="AZ1155" i="1" a="1"/>
  <c r="AZ1155" i="1" s="1"/>
  <c r="BA1155" i="1" a="1"/>
  <c r="BA1155" i="1" s="1"/>
  <c r="BB1155" i="1" a="1"/>
  <c r="BB1155" i="1" s="1"/>
  <c r="AL1169" i="1" a="1"/>
  <c r="AL1169" i="1" s="1"/>
  <c r="AM1169" i="1" a="1"/>
  <c r="AM1169" i="1" s="1"/>
  <c r="AN1169" i="1" a="1"/>
  <c r="AN1169" i="1" s="1"/>
  <c r="AO1169" i="1" a="1"/>
  <c r="AO1169" i="1" s="1"/>
  <c r="AP1169" i="1" a="1"/>
  <c r="AP1169" i="1" s="1"/>
  <c r="AQ1169" i="1" a="1"/>
  <c r="AQ1169" i="1" s="1"/>
  <c r="AR1169" i="1" a="1"/>
  <c r="AR1169" i="1" s="1"/>
  <c r="AS1169" i="1" a="1"/>
  <c r="AS1169" i="1" s="1"/>
  <c r="AT1169" i="1" a="1"/>
  <c r="AT1169" i="1" s="1"/>
  <c r="AU1169" i="1" a="1"/>
  <c r="AU1169" i="1" s="1"/>
  <c r="AV1169" i="1" a="1"/>
  <c r="AV1169" i="1" s="1"/>
  <c r="AW1169" i="1" a="1"/>
  <c r="AW1169" i="1" s="1"/>
  <c r="AX1169" i="1" a="1"/>
  <c r="AX1169" i="1" s="1"/>
  <c r="AY1169" i="1" a="1"/>
  <c r="AY1169" i="1" s="1"/>
  <c r="AZ1169" i="1" a="1"/>
  <c r="AZ1169" i="1" s="1"/>
  <c r="BA1169" i="1" a="1"/>
  <c r="BA1169" i="1" s="1"/>
  <c r="BB1169" i="1" a="1"/>
  <c r="BB1169" i="1" s="1"/>
  <c r="AL1170" i="1" a="1"/>
  <c r="AL1170" i="1" s="1"/>
  <c r="AM1170" i="1" a="1"/>
  <c r="AM1170" i="1" s="1"/>
  <c r="AN1170" i="1" a="1"/>
  <c r="AN1170" i="1" s="1"/>
  <c r="AO1170" i="1" a="1"/>
  <c r="AO1170" i="1" s="1"/>
  <c r="AP1170" i="1" a="1"/>
  <c r="AP1170" i="1" s="1"/>
  <c r="AQ1170" i="1" a="1"/>
  <c r="AQ1170" i="1" s="1"/>
  <c r="AR1170" i="1" a="1"/>
  <c r="AR1170" i="1" s="1"/>
  <c r="AS1170" i="1" a="1"/>
  <c r="AS1170" i="1" s="1"/>
  <c r="AT1170" i="1" a="1"/>
  <c r="AT1170" i="1" s="1"/>
  <c r="AU1170" i="1" a="1"/>
  <c r="AU1170" i="1" s="1"/>
  <c r="AV1170" i="1" a="1"/>
  <c r="AV1170" i="1" s="1"/>
  <c r="AW1170" i="1" a="1"/>
  <c r="AW1170" i="1" s="1"/>
  <c r="AX1170" i="1" a="1"/>
  <c r="AX1170" i="1" s="1"/>
  <c r="AY1170" i="1" a="1"/>
  <c r="AY1170" i="1" s="1"/>
  <c r="AZ1170" i="1" a="1"/>
  <c r="AZ1170" i="1" s="1"/>
  <c r="BA1170" i="1" a="1"/>
  <c r="BA1170" i="1" s="1"/>
  <c r="BB1170" i="1" a="1"/>
  <c r="BB1170" i="1" s="1"/>
  <c r="AL1171" i="1" a="1"/>
  <c r="AL1171" i="1" s="1"/>
  <c r="AM1171" i="1" a="1"/>
  <c r="AM1171" i="1" s="1"/>
  <c r="AN1171" i="1" a="1"/>
  <c r="AN1171" i="1" s="1"/>
  <c r="AO1171" i="1" a="1"/>
  <c r="AO1171" i="1" s="1"/>
  <c r="AP1171" i="1" a="1"/>
  <c r="AP1171" i="1" s="1"/>
  <c r="AQ1171" i="1" a="1"/>
  <c r="AQ1171" i="1" s="1"/>
  <c r="AR1171" i="1" a="1"/>
  <c r="AR1171" i="1" s="1"/>
  <c r="AS1171" i="1" a="1"/>
  <c r="AS1171" i="1" s="1"/>
  <c r="AT1171" i="1" a="1"/>
  <c r="AT1171" i="1" s="1"/>
  <c r="AU1171" i="1" a="1"/>
  <c r="AU1171" i="1" s="1"/>
  <c r="AV1171" i="1" a="1"/>
  <c r="AV1171" i="1" s="1"/>
  <c r="AW1171" i="1" a="1"/>
  <c r="AW1171" i="1" s="1"/>
  <c r="AX1171" i="1" a="1"/>
  <c r="AX1171" i="1" s="1"/>
  <c r="AY1171" i="1" a="1"/>
  <c r="AY1171" i="1" s="1"/>
  <c r="AZ1171" i="1" a="1"/>
  <c r="AZ1171" i="1" s="1"/>
  <c r="BA1171" i="1" a="1"/>
  <c r="BA1171" i="1" s="1"/>
  <c r="BB1171" i="1" a="1"/>
  <c r="BB1171" i="1" s="1"/>
  <c r="AL1172" i="1" a="1"/>
  <c r="AL1172" i="1" s="1"/>
  <c r="AM1172" i="1" a="1"/>
  <c r="AM1172" i="1" s="1"/>
  <c r="AN1172" i="1" a="1"/>
  <c r="AN1172" i="1" s="1"/>
  <c r="AO1172" i="1" a="1"/>
  <c r="AO1172" i="1" s="1"/>
  <c r="AP1172" i="1" a="1"/>
  <c r="AP1172" i="1" s="1"/>
  <c r="AQ1172" i="1" a="1"/>
  <c r="AQ1172" i="1" s="1"/>
  <c r="AR1172" i="1" a="1"/>
  <c r="AR1172" i="1" s="1"/>
  <c r="AS1172" i="1" a="1"/>
  <c r="AS1172" i="1" s="1"/>
  <c r="AT1172" i="1" a="1"/>
  <c r="AT1172" i="1" s="1"/>
  <c r="AU1172" i="1" a="1"/>
  <c r="AU1172" i="1" s="1"/>
  <c r="AV1172" i="1" a="1"/>
  <c r="AV1172" i="1" s="1"/>
  <c r="AW1172" i="1" a="1"/>
  <c r="AW1172" i="1" s="1"/>
  <c r="AX1172" i="1" a="1"/>
  <c r="AX1172" i="1" s="1"/>
  <c r="AY1172" i="1" a="1"/>
  <c r="AY1172" i="1" s="1"/>
  <c r="AZ1172" i="1" a="1"/>
  <c r="AZ1172" i="1" s="1"/>
  <c r="BA1172" i="1" a="1"/>
  <c r="BA1172" i="1" s="1"/>
  <c r="BB1172" i="1" a="1"/>
  <c r="BB1172" i="1" s="1"/>
  <c r="AL1173" i="1" a="1"/>
  <c r="AL1173" i="1" s="1"/>
  <c r="AM1173" i="1" a="1"/>
  <c r="AM1173" i="1" s="1"/>
  <c r="AN1173" i="1" a="1"/>
  <c r="AN1173" i="1" s="1"/>
  <c r="AO1173" i="1" a="1"/>
  <c r="AO1173" i="1" s="1"/>
  <c r="AP1173" i="1" a="1"/>
  <c r="AP1173" i="1" s="1"/>
  <c r="AQ1173" i="1" a="1"/>
  <c r="AQ1173" i="1" s="1"/>
  <c r="AR1173" i="1" a="1"/>
  <c r="AR1173" i="1" s="1"/>
  <c r="AS1173" i="1" a="1"/>
  <c r="AS1173" i="1" s="1"/>
  <c r="AT1173" i="1" a="1"/>
  <c r="AT1173" i="1" s="1"/>
  <c r="AU1173" i="1" a="1"/>
  <c r="AU1173" i="1" s="1"/>
  <c r="AV1173" i="1" a="1"/>
  <c r="AV1173" i="1" s="1"/>
  <c r="AW1173" i="1" a="1"/>
  <c r="AW1173" i="1" s="1"/>
  <c r="AX1173" i="1" a="1"/>
  <c r="AX1173" i="1" s="1"/>
  <c r="AY1173" i="1" a="1"/>
  <c r="AY1173" i="1" s="1"/>
  <c r="AZ1173" i="1" a="1"/>
  <c r="AZ1173" i="1" s="1"/>
  <c r="BA1173" i="1" a="1"/>
  <c r="BA1173" i="1" s="1"/>
  <c r="BB1173" i="1" a="1"/>
  <c r="BB1173" i="1" s="1"/>
  <c r="AL1174" i="1" a="1"/>
  <c r="AL1174" i="1" s="1"/>
  <c r="AM1174" i="1" a="1"/>
  <c r="AM1174" i="1" s="1"/>
  <c r="AN1174" i="1" a="1"/>
  <c r="AN1174" i="1" s="1"/>
  <c r="AO1174" i="1" a="1"/>
  <c r="AO1174" i="1" s="1"/>
  <c r="AP1174" i="1" a="1"/>
  <c r="AP1174" i="1" s="1"/>
  <c r="AQ1174" i="1" a="1"/>
  <c r="AQ1174" i="1" s="1"/>
  <c r="AR1174" i="1" a="1"/>
  <c r="AR1174" i="1" s="1"/>
  <c r="AS1174" i="1" a="1"/>
  <c r="AS1174" i="1" s="1"/>
  <c r="AT1174" i="1" a="1"/>
  <c r="AT1174" i="1" s="1"/>
  <c r="AU1174" i="1" a="1"/>
  <c r="AU1174" i="1" s="1"/>
  <c r="AV1174" i="1" a="1"/>
  <c r="AV1174" i="1" s="1"/>
  <c r="AW1174" i="1" a="1"/>
  <c r="AW1174" i="1" s="1"/>
  <c r="AX1174" i="1" a="1"/>
  <c r="AX1174" i="1" s="1"/>
  <c r="AY1174" i="1" a="1"/>
  <c r="AY1174" i="1" s="1"/>
  <c r="AZ1174" i="1" a="1"/>
  <c r="AZ1174" i="1" s="1"/>
  <c r="BA1174" i="1" a="1"/>
  <c r="BA1174" i="1" s="1"/>
  <c r="BB1174" i="1" a="1"/>
  <c r="BB1174" i="1" s="1"/>
  <c r="AL1176" i="1" a="1"/>
  <c r="AL1176" i="1" s="1"/>
  <c r="AM1176" i="1" a="1"/>
  <c r="AM1176" i="1" s="1"/>
  <c r="AN1176" i="1" a="1"/>
  <c r="AN1176" i="1" s="1"/>
  <c r="AO1176" i="1" a="1"/>
  <c r="AO1176" i="1" s="1"/>
  <c r="AP1176" i="1" a="1"/>
  <c r="AP1176" i="1" s="1"/>
  <c r="AQ1176" i="1" a="1"/>
  <c r="AQ1176" i="1" s="1"/>
  <c r="AR1176" i="1" a="1"/>
  <c r="AR1176" i="1" s="1"/>
  <c r="AS1176" i="1" a="1"/>
  <c r="AS1176" i="1" s="1"/>
  <c r="AT1176" i="1" a="1"/>
  <c r="AT1176" i="1" s="1"/>
  <c r="AU1176" i="1" a="1"/>
  <c r="AU1176" i="1" s="1"/>
  <c r="AV1176" i="1" a="1"/>
  <c r="AV1176" i="1" s="1"/>
  <c r="AW1176" i="1" a="1"/>
  <c r="AW1176" i="1" s="1"/>
  <c r="AX1176" i="1" a="1"/>
  <c r="AX1176" i="1" s="1"/>
  <c r="AY1176" i="1" a="1"/>
  <c r="AY1176" i="1" s="1"/>
  <c r="AZ1176" i="1" a="1"/>
  <c r="AZ1176" i="1" s="1"/>
  <c r="BA1176" i="1" a="1"/>
  <c r="BA1176" i="1" s="1"/>
  <c r="BB1176" i="1" a="1"/>
  <c r="BB1176" i="1" s="1"/>
  <c r="AL1175" i="1" a="1"/>
  <c r="AL1175" i="1" s="1"/>
  <c r="AM1175" i="1" a="1"/>
  <c r="AM1175" i="1" s="1"/>
  <c r="AN1175" i="1" a="1"/>
  <c r="AN1175" i="1" s="1"/>
  <c r="AO1175" i="1" a="1"/>
  <c r="AO1175" i="1" s="1"/>
  <c r="AP1175" i="1" a="1"/>
  <c r="AP1175" i="1" s="1"/>
  <c r="AQ1175" i="1" a="1"/>
  <c r="AQ1175" i="1" s="1"/>
  <c r="AR1175" i="1" a="1"/>
  <c r="AR1175" i="1" s="1"/>
  <c r="AS1175" i="1" a="1"/>
  <c r="AS1175" i="1" s="1"/>
  <c r="AT1175" i="1" a="1"/>
  <c r="AT1175" i="1" s="1"/>
  <c r="AU1175" i="1" a="1"/>
  <c r="AU1175" i="1" s="1"/>
  <c r="AV1175" i="1" a="1"/>
  <c r="AV1175" i="1" s="1"/>
  <c r="AW1175" i="1" a="1"/>
  <c r="AW1175" i="1" s="1"/>
  <c r="AX1175" i="1" a="1"/>
  <c r="AX1175" i="1" s="1"/>
  <c r="AY1175" i="1" a="1"/>
  <c r="AY1175" i="1" s="1"/>
  <c r="AZ1175" i="1" a="1"/>
  <c r="AZ1175" i="1" s="1"/>
  <c r="BA1175" i="1" a="1"/>
  <c r="BA1175" i="1" s="1"/>
  <c r="BB1175" i="1" a="1"/>
  <c r="BB1175" i="1" s="1"/>
  <c r="AL1178" i="1" a="1"/>
  <c r="AL1178" i="1" s="1"/>
  <c r="AM1178" i="1" a="1"/>
  <c r="AM1178" i="1" s="1"/>
  <c r="AN1178" i="1" a="1"/>
  <c r="AN1178" i="1" s="1"/>
  <c r="AO1178" i="1" a="1"/>
  <c r="AO1178" i="1" s="1"/>
  <c r="AP1178" i="1" a="1"/>
  <c r="AP1178" i="1" s="1"/>
  <c r="AQ1178" i="1" a="1"/>
  <c r="AQ1178" i="1" s="1"/>
  <c r="AR1178" i="1" a="1"/>
  <c r="AR1178" i="1" s="1"/>
  <c r="AS1178" i="1" a="1"/>
  <c r="AS1178" i="1" s="1"/>
  <c r="AT1178" i="1" a="1"/>
  <c r="AT1178" i="1" s="1"/>
  <c r="AU1178" i="1" a="1"/>
  <c r="AU1178" i="1" s="1"/>
  <c r="AV1178" i="1" a="1"/>
  <c r="AV1178" i="1" s="1"/>
  <c r="AW1178" i="1" a="1"/>
  <c r="AW1178" i="1" s="1"/>
  <c r="AX1178" i="1" a="1"/>
  <c r="AX1178" i="1" s="1"/>
  <c r="AY1178" i="1" a="1"/>
  <c r="AY1178" i="1" s="1"/>
  <c r="AZ1178" i="1" a="1"/>
  <c r="AZ1178" i="1" s="1"/>
  <c r="BA1178" i="1" a="1"/>
  <c r="BA1178" i="1" s="1"/>
  <c r="BB1178" i="1" a="1"/>
  <c r="BB1178" i="1" s="1"/>
  <c r="AL1177" i="1" a="1"/>
  <c r="AL1177" i="1" s="1"/>
  <c r="AM1177" i="1" a="1"/>
  <c r="AM1177" i="1" s="1"/>
  <c r="AN1177" i="1" a="1"/>
  <c r="AN1177" i="1" s="1"/>
  <c r="AO1177" i="1" a="1"/>
  <c r="AO1177" i="1" s="1"/>
  <c r="AP1177" i="1" a="1"/>
  <c r="AP1177" i="1" s="1"/>
  <c r="AQ1177" i="1" a="1"/>
  <c r="AQ1177" i="1" s="1"/>
  <c r="AR1177" i="1" a="1"/>
  <c r="AR1177" i="1" s="1"/>
  <c r="AS1177" i="1" a="1"/>
  <c r="AS1177" i="1" s="1"/>
  <c r="AT1177" i="1" a="1"/>
  <c r="AT1177" i="1" s="1"/>
  <c r="AU1177" i="1" a="1"/>
  <c r="AU1177" i="1" s="1"/>
  <c r="AV1177" i="1" a="1"/>
  <c r="AV1177" i="1" s="1"/>
  <c r="AW1177" i="1" a="1"/>
  <c r="AW1177" i="1" s="1"/>
  <c r="AX1177" i="1" a="1"/>
  <c r="AX1177" i="1" s="1"/>
  <c r="AY1177" i="1" a="1"/>
  <c r="AY1177" i="1" s="1"/>
  <c r="AZ1177" i="1" a="1"/>
  <c r="AZ1177" i="1" s="1"/>
  <c r="BA1177" i="1" a="1"/>
  <c r="BA1177" i="1" s="1"/>
  <c r="BB1177" i="1" a="1"/>
  <c r="BB1177" i="1" s="1"/>
  <c r="AL1180" i="1" a="1"/>
  <c r="AL1180" i="1" s="1"/>
  <c r="AM1180" i="1" a="1"/>
  <c r="AM1180" i="1" s="1"/>
  <c r="AN1180" i="1" a="1"/>
  <c r="AN1180" i="1" s="1"/>
  <c r="AO1180" i="1" a="1"/>
  <c r="AO1180" i="1" s="1"/>
  <c r="AP1180" i="1" a="1"/>
  <c r="AP1180" i="1" s="1"/>
  <c r="AQ1180" i="1" a="1"/>
  <c r="AQ1180" i="1" s="1"/>
  <c r="AR1180" i="1" a="1"/>
  <c r="AR1180" i="1" s="1"/>
  <c r="AS1180" i="1" a="1"/>
  <c r="AS1180" i="1" s="1"/>
  <c r="AT1180" i="1" a="1"/>
  <c r="AT1180" i="1" s="1"/>
  <c r="AU1180" i="1" a="1"/>
  <c r="AU1180" i="1" s="1"/>
  <c r="AV1180" i="1" a="1"/>
  <c r="AV1180" i="1" s="1"/>
  <c r="AW1180" i="1" a="1"/>
  <c r="AW1180" i="1" s="1"/>
  <c r="AX1180" i="1" a="1"/>
  <c r="AX1180" i="1" s="1"/>
  <c r="AY1180" i="1" a="1"/>
  <c r="AY1180" i="1" s="1"/>
  <c r="AZ1180" i="1" a="1"/>
  <c r="AZ1180" i="1" s="1"/>
  <c r="BA1180" i="1" a="1"/>
  <c r="BA1180" i="1" s="1"/>
  <c r="BB1180" i="1" a="1"/>
  <c r="BB1180" i="1" s="1"/>
  <c r="AL1179" i="1" a="1"/>
  <c r="AL1179" i="1" s="1"/>
  <c r="AM1179" i="1" a="1"/>
  <c r="AM1179" i="1" s="1"/>
  <c r="AN1179" i="1" a="1"/>
  <c r="AN1179" i="1" s="1"/>
  <c r="AO1179" i="1" a="1"/>
  <c r="AO1179" i="1" s="1"/>
  <c r="AP1179" i="1" a="1"/>
  <c r="AP1179" i="1" s="1"/>
  <c r="AQ1179" i="1" a="1"/>
  <c r="AQ1179" i="1" s="1"/>
  <c r="AR1179" i="1" a="1"/>
  <c r="AR1179" i="1" s="1"/>
  <c r="AS1179" i="1" a="1"/>
  <c r="AS1179" i="1" s="1"/>
  <c r="AT1179" i="1" a="1"/>
  <c r="AT1179" i="1" s="1"/>
  <c r="AU1179" i="1" a="1"/>
  <c r="AU1179" i="1" s="1"/>
  <c r="AV1179" i="1" a="1"/>
  <c r="AV1179" i="1" s="1"/>
  <c r="AW1179" i="1" a="1"/>
  <c r="AW1179" i="1" s="1"/>
  <c r="AX1179" i="1" a="1"/>
  <c r="AX1179" i="1" s="1"/>
  <c r="AY1179" i="1" a="1"/>
  <c r="AY1179" i="1" s="1"/>
  <c r="AZ1179" i="1" a="1"/>
  <c r="AZ1179" i="1" s="1"/>
  <c r="BA1179" i="1" a="1"/>
  <c r="BA1179" i="1" s="1"/>
  <c r="BB1179" i="1" a="1"/>
  <c r="BB1179" i="1" s="1"/>
  <c r="AL1182" i="1" a="1"/>
  <c r="AL1182" i="1" s="1"/>
  <c r="AM1182" i="1" a="1"/>
  <c r="AM1182" i="1" s="1"/>
  <c r="AN1182" i="1" a="1"/>
  <c r="AN1182" i="1" s="1"/>
  <c r="AO1182" i="1" a="1"/>
  <c r="AO1182" i="1" s="1"/>
  <c r="AP1182" i="1" a="1"/>
  <c r="AP1182" i="1" s="1"/>
  <c r="AQ1182" i="1" a="1"/>
  <c r="AQ1182" i="1" s="1"/>
  <c r="AR1182" i="1" a="1"/>
  <c r="AR1182" i="1" s="1"/>
  <c r="AS1182" i="1" a="1"/>
  <c r="AS1182" i="1" s="1"/>
  <c r="AT1182" i="1" a="1"/>
  <c r="AT1182" i="1" s="1"/>
  <c r="AU1182" i="1" a="1"/>
  <c r="AU1182" i="1" s="1"/>
  <c r="AV1182" i="1" a="1"/>
  <c r="AV1182" i="1" s="1"/>
  <c r="AW1182" i="1" a="1"/>
  <c r="AW1182" i="1" s="1"/>
  <c r="AX1182" i="1" a="1"/>
  <c r="AX1182" i="1" s="1"/>
  <c r="AY1182" i="1" a="1"/>
  <c r="AY1182" i="1" s="1"/>
  <c r="AZ1182" i="1" a="1"/>
  <c r="AZ1182" i="1" s="1"/>
  <c r="BA1182" i="1" a="1"/>
  <c r="BA1182" i="1" s="1"/>
  <c r="BB1182" i="1" a="1"/>
  <c r="BB1182" i="1" s="1"/>
  <c r="AL1181" i="1" a="1"/>
  <c r="AL1181" i="1" s="1"/>
  <c r="AM1181" i="1" a="1"/>
  <c r="AM1181" i="1" s="1"/>
  <c r="AN1181" i="1" a="1"/>
  <c r="AN1181" i="1" s="1"/>
  <c r="AO1181" i="1" a="1"/>
  <c r="AO1181" i="1" s="1"/>
  <c r="AP1181" i="1" a="1"/>
  <c r="AP1181" i="1" s="1"/>
  <c r="AQ1181" i="1" a="1"/>
  <c r="AQ1181" i="1" s="1"/>
  <c r="AR1181" i="1" a="1"/>
  <c r="AR1181" i="1" s="1"/>
  <c r="AS1181" i="1" a="1"/>
  <c r="AS1181" i="1" s="1"/>
  <c r="AT1181" i="1" a="1"/>
  <c r="AT1181" i="1" s="1"/>
  <c r="AU1181" i="1" a="1"/>
  <c r="AU1181" i="1" s="1"/>
  <c r="AV1181" i="1" a="1"/>
  <c r="AV1181" i="1" s="1"/>
  <c r="AW1181" i="1" a="1"/>
  <c r="AW1181" i="1" s="1"/>
  <c r="AX1181" i="1" a="1"/>
  <c r="AX1181" i="1" s="1"/>
  <c r="AY1181" i="1" a="1"/>
  <c r="AY1181" i="1" s="1"/>
  <c r="AZ1181" i="1" a="1"/>
  <c r="AZ1181" i="1" s="1"/>
  <c r="BA1181" i="1" a="1"/>
  <c r="BA1181" i="1" s="1"/>
  <c r="BB1181" i="1" a="1"/>
  <c r="BB1181" i="1" s="1"/>
  <c r="AL1184" i="1" a="1"/>
  <c r="AL1184" i="1" s="1"/>
  <c r="AM1184" i="1" a="1"/>
  <c r="AM1184" i="1" s="1"/>
  <c r="AN1184" i="1" a="1"/>
  <c r="AN1184" i="1" s="1"/>
  <c r="AO1184" i="1" a="1"/>
  <c r="AO1184" i="1" s="1"/>
  <c r="AP1184" i="1" a="1"/>
  <c r="AP1184" i="1" s="1"/>
  <c r="AQ1184" i="1" a="1"/>
  <c r="AQ1184" i="1" s="1"/>
  <c r="AR1184" i="1" a="1"/>
  <c r="AR1184" i="1" s="1"/>
  <c r="AS1184" i="1" a="1"/>
  <c r="AS1184" i="1" s="1"/>
  <c r="AT1184" i="1" a="1"/>
  <c r="AT1184" i="1" s="1"/>
  <c r="AU1184" i="1" a="1"/>
  <c r="AU1184" i="1" s="1"/>
  <c r="AV1184" i="1" a="1"/>
  <c r="AV1184" i="1" s="1"/>
  <c r="AW1184" i="1" a="1"/>
  <c r="AW1184" i="1" s="1"/>
  <c r="AX1184" i="1" a="1"/>
  <c r="AX1184" i="1" s="1"/>
  <c r="AY1184" i="1" a="1"/>
  <c r="AY1184" i="1" s="1"/>
  <c r="AZ1184" i="1" a="1"/>
  <c r="AZ1184" i="1" s="1"/>
  <c r="BA1184" i="1" a="1"/>
  <c r="BA1184" i="1" s="1"/>
  <c r="BB1184" i="1" a="1"/>
  <c r="BB1184" i="1" s="1"/>
  <c r="AL1185" i="1" a="1"/>
  <c r="AL1185" i="1" s="1"/>
  <c r="AM1185" i="1" a="1"/>
  <c r="AM1185" i="1" s="1"/>
  <c r="AN1185" i="1" a="1"/>
  <c r="AN1185" i="1" s="1"/>
  <c r="AO1185" i="1" a="1"/>
  <c r="AO1185" i="1" s="1"/>
  <c r="AP1185" i="1" a="1"/>
  <c r="AP1185" i="1" s="1"/>
  <c r="AQ1185" i="1" a="1"/>
  <c r="AQ1185" i="1" s="1"/>
  <c r="AR1185" i="1" a="1"/>
  <c r="AR1185" i="1" s="1"/>
  <c r="AS1185" i="1" a="1"/>
  <c r="AS1185" i="1" s="1"/>
  <c r="AT1185" i="1" a="1"/>
  <c r="AT1185" i="1" s="1"/>
  <c r="AU1185" i="1" a="1"/>
  <c r="AU1185" i="1" s="1"/>
  <c r="AV1185" i="1" a="1"/>
  <c r="AV1185" i="1" s="1"/>
  <c r="AW1185" i="1" a="1"/>
  <c r="AW1185" i="1" s="1"/>
  <c r="AX1185" i="1" a="1"/>
  <c r="AX1185" i="1" s="1"/>
  <c r="AY1185" i="1" a="1"/>
  <c r="AY1185" i="1" s="1"/>
  <c r="AZ1185" i="1" a="1"/>
  <c r="AZ1185" i="1" s="1"/>
  <c r="BA1185" i="1" a="1"/>
  <c r="BA1185" i="1" s="1"/>
  <c r="BB1185" i="1" a="1"/>
  <c r="BB1185" i="1" s="1"/>
  <c r="AL1183" i="1" a="1"/>
  <c r="AL1183" i="1" s="1"/>
  <c r="AM1183" i="1" a="1"/>
  <c r="AM1183" i="1" s="1"/>
  <c r="AN1183" i="1" a="1"/>
  <c r="AN1183" i="1" s="1"/>
  <c r="AO1183" i="1" a="1"/>
  <c r="AO1183" i="1" s="1"/>
  <c r="AP1183" i="1" a="1"/>
  <c r="AP1183" i="1" s="1"/>
  <c r="AQ1183" i="1" a="1"/>
  <c r="AQ1183" i="1" s="1"/>
  <c r="AR1183" i="1" a="1"/>
  <c r="AR1183" i="1" s="1"/>
  <c r="AS1183" i="1" a="1"/>
  <c r="AS1183" i="1" s="1"/>
  <c r="AT1183" i="1" a="1"/>
  <c r="AT1183" i="1" s="1"/>
  <c r="AU1183" i="1" a="1"/>
  <c r="AU1183" i="1" s="1"/>
  <c r="AV1183" i="1" a="1"/>
  <c r="AV1183" i="1" s="1"/>
  <c r="AW1183" i="1" a="1"/>
  <c r="AW1183" i="1" s="1"/>
  <c r="AX1183" i="1" a="1"/>
  <c r="AX1183" i="1" s="1"/>
  <c r="AY1183" i="1" a="1"/>
  <c r="AY1183" i="1" s="1"/>
  <c r="AZ1183" i="1" a="1"/>
  <c r="AZ1183" i="1" s="1"/>
  <c r="BA1183" i="1" a="1"/>
  <c r="BA1183" i="1" s="1"/>
  <c r="BB1183" i="1" a="1"/>
  <c r="BB1183" i="1" s="1"/>
  <c r="AL1187" i="1" a="1"/>
  <c r="AL1187" i="1" s="1"/>
  <c r="AM1187" i="1" a="1"/>
  <c r="AM1187" i="1" s="1"/>
  <c r="AN1187" i="1" a="1"/>
  <c r="AN1187" i="1" s="1"/>
  <c r="AO1187" i="1" a="1"/>
  <c r="AO1187" i="1" s="1"/>
  <c r="AP1187" i="1" a="1"/>
  <c r="AP1187" i="1" s="1"/>
  <c r="AQ1187" i="1" a="1"/>
  <c r="AQ1187" i="1" s="1"/>
  <c r="AR1187" i="1" a="1"/>
  <c r="AR1187" i="1" s="1"/>
  <c r="AS1187" i="1" a="1"/>
  <c r="AS1187" i="1" s="1"/>
  <c r="AT1187" i="1" a="1"/>
  <c r="AT1187" i="1" s="1"/>
  <c r="AU1187" i="1" a="1"/>
  <c r="AU1187" i="1" s="1"/>
  <c r="AV1187" i="1" a="1"/>
  <c r="AV1187" i="1" s="1"/>
  <c r="AW1187" i="1" a="1"/>
  <c r="AW1187" i="1" s="1"/>
  <c r="AX1187" i="1" a="1"/>
  <c r="AX1187" i="1" s="1"/>
  <c r="AY1187" i="1" a="1"/>
  <c r="AY1187" i="1" s="1"/>
  <c r="AZ1187" i="1" a="1"/>
  <c r="AZ1187" i="1" s="1"/>
  <c r="BA1187" i="1" a="1"/>
  <c r="BA1187" i="1" s="1"/>
  <c r="BB1187" i="1" a="1"/>
  <c r="BB1187" i="1" s="1"/>
  <c r="AL1186" i="1" a="1"/>
  <c r="AL1186" i="1" s="1"/>
  <c r="AM1186" i="1" a="1"/>
  <c r="AM1186" i="1" s="1"/>
  <c r="AN1186" i="1" a="1"/>
  <c r="AN1186" i="1" s="1"/>
  <c r="AO1186" i="1" a="1"/>
  <c r="AO1186" i="1" s="1"/>
  <c r="AP1186" i="1" a="1"/>
  <c r="AP1186" i="1" s="1"/>
  <c r="AQ1186" i="1" a="1"/>
  <c r="AQ1186" i="1" s="1"/>
  <c r="AR1186" i="1" a="1"/>
  <c r="AR1186" i="1" s="1"/>
  <c r="AS1186" i="1" a="1"/>
  <c r="AS1186" i="1" s="1"/>
  <c r="AT1186" i="1" a="1"/>
  <c r="AT1186" i="1" s="1"/>
  <c r="AU1186" i="1" a="1"/>
  <c r="AU1186" i="1" s="1"/>
  <c r="AV1186" i="1" a="1"/>
  <c r="AV1186" i="1" s="1"/>
  <c r="AW1186" i="1" a="1"/>
  <c r="AW1186" i="1" s="1"/>
  <c r="AX1186" i="1" a="1"/>
  <c r="AX1186" i="1" s="1"/>
  <c r="AY1186" i="1" a="1"/>
  <c r="AY1186" i="1" s="1"/>
  <c r="AZ1186" i="1" a="1"/>
  <c r="AZ1186" i="1" s="1"/>
  <c r="BA1186" i="1" a="1"/>
  <c r="BA1186" i="1" s="1"/>
  <c r="BB1186" i="1" a="1"/>
  <c r="BB1186" i="1" s="1"/>
  <c r="AL1189" i="1" a="1"/>
  <c r="AL1189" i="1" s="1"/>
  <c r="AM1189" i="1" a="1"/>
  <c r="AM1189" i="1" s="1"/>
  <c r="AN1189" i="1" a="1"/>
  <c r="AN1189" i="1" s="1"/>
  <c r="AO1189" i="1" a="1"/>
  <c r="AO1189" i="1" s="1"/>
  <c r="AP1189" i="1" a="1"/>
  <c r="AP1189" i="1" s="1"/>
  <c r="AQ1189" i="1" a="1"/>
  <c r="AQ1189" i="1" s="1"/>
  <c r="AR1189" i="1" a="1"/>
  <c r="AR1189" i="1" s="1"/>
  <c r="AS1189" i="1" a="1"/>
  <c r="AS1189" i="1" s="1"/>
  <c r="AT1189" i="1" a="1"/>
  <c r="AT1189" i="1" s="1"/>
  <c r="AU1189" i="1" a="1"/>
  <c r="AU1189" i="1" s="1"/>
  <c r="AV1189" i="1" a="1"/>
  <c r="AV1189" i="1" s="1"/>
  <c r="AW1189" i="1" a="1"/>
  <c r="AW1189" i="1" s="1"/>
  <c r="AX1189" i="1" a="1"/>
  <c r="AX1189" i="1" s="1"/>
  <c r="AY1189" i="1" a="1"/>
  <c r="AY1189" i="1" s="1"/>
  <c r="AZ1189" i="1" a="1"/>
  <c r="AZ1189" i="1" s="1"/>
  <c r="BA1189" i="1" a="1"/>
  <c r="BA1189" i="1" s="1"/>
  <c r="BB1189" i="1" a="1"/>
  <c r="BB1189" i="1" s="1"/>
  <c r="AL1188" i="1" a="1"/>
  <c r="AL1188" i="1" s="1"/>
  <c r="AM1188" i="1" a="1"/>
  <c r="AM1188" i="1" s="1"/>
  <c r="AN1188" i="1" a="1"/>
  <c r="AN1188" i="1" s="1"/>
  <c r="AO1188" i="1" a="1"/>
  <c r="AO1188" i="1" s="1"/>
  <c r="AP1188" i="1" a="1"/>
  <c r="AP1188" i="1" s="1"/>
  <c r="AQ1188" i="1" a="1"/>
  <c r="AQ1188" i="1" s="1"/>
  <c r="AR1188" i="1" a="1"/>
  <c r="AR1188" i="1" s="1"/>
  <c r="AS1188" i="1" a="1"/>
  <c r="AS1188" i="1" s="1"/>
  <c r="AT1188" i="1" a="1"/>
  <c r="AT1188" i="1" s="1"/>
  <c r="AU1188" i="1" a="1"/>
  <c r="AU1188" i="1" s="1"/>
  <c r="AV1188" i="1" a="1"/>
  <c r="AV1188" i="1" s="1"/>
  <c r="AW1188" i="1" a="1"/>
  <c r="AW1188" i="1" s="1"/>
  <c r="AX1188" i="1" a="1"/>
  <c r="AX1188" i="1" s="1"/>
  <c r="AY1188" i="1" a="1"/>
  <c r="AY1188" i="1" s="1"/>
  <c r="AZ1188" i="1" a="1"/>
  <c r="AZ1188" i="1" s="1"/>
  <c r="BA1188" i="1" a="1"/>
  <c r="BA1188" i="1" s="1"/>
  <c r="BB1188" i="1" a="1"/>
  <c r="BB1188" i="1" s="1"/>
  <c r="AL1190" i="1" a="1"/>
  <c r="AL1190" i="1" s="1"/>
  <c r="AM1190" i="1" a="1"/>
  <c r="AM1190" i="1" s="1"/>
  <c r="AN1190" i="1" a="1"/>
  <c r="AN1190" i="1" s="1"/>
  <c r="AO1190" i="1" a="1"/>
  <c r="AO1190" i="1" s="1"/>
  <c r="AP1190" i="1" a="1"/>
  <c r="AP1190" i="1" s="1"/>
  <c r="AQ1190" i="1" a="1"/>
  <c r="AQ1190" i="1" s="1"/>
  <c r="AR1190" i="1" a="1"/>
  <c r="AR1190" i="1" s="1"/>
  <c r="AS1190" i="1" a="1"/>
  <c r="AS1190" i="1" s="1"/>
  <c r="AT1190" i="1" a="1"/>
  <c r="AT1190" i="1" s="1"/>
  <c r="AU1190" i="1" a="1"/>
  <c r="AU1190" i="1" s="1"/>
  <c r="AV1190" i="1" a="1"/>
  <c r="AV1190" i="1" s="1"/>
  <c r="AW1190" i="1" a="1"/>
  <c r="AW1190" i="1" s="1"/>
  <c r="AX1190" i="1" a="1"/>
  <c r="AX1190" i="1" s="1"/>
  <c r="AY1190" i="1" a="1"/>
  <c r="AY1190" i="1" s="1"/>
  <c r="AZ1190" i="1" a="1"/>
  <c r="AZ1190" i="1" s="1"/>
  <c r="BA1190" i="1" a="1"/>
  <c r="BA1190" i="1" s="1"/>
  <c r="BB1190" i="1" a="1"/>
  <c r="BB1190" i="1" s="1"/>
  <c r="AL1191" i="1" a="1"/>
  <c r="AL1191" i="1" s="1"/>
  <c r="AM1191" i="1" a="1"/>
  <c r="AM1191" i="1" s="1"/>
  <c r="AN1191" i="1" a="1"/>
  <c r="AN1191" i="1" s="1"/>
  <c r="AO1191" i="1" a="1"/>
  <c r="AO1191" i="1" s="1"/>
  <c r="AP1191" i="1" a="1"/>
  <c r="AP1191" i="1" s="1"/>
  <c r="AQ1191" i="1" a="1"/>
  <c r="AQ1191" i="1" s="1"/>
  <c r="AR1191" i="1" a="1"/>
  <c r="AR1191" i="1" s="1"/>
  <c r="AS1191" i="1" a="1"/>
  <c r="AS1191" i="1" s="1"/>
  <c r="AT1191" i="1" a="1"/>
  <c r="AT1191" i="1" s="1"/>
  <c r="AU1191" i="1" a="1"/>
  <c r="AU1191" i="1" s="1"/>
  <c r="AV1191" i="1" a="1"/>
  <c r="AV1191" i="1" s="1"/>
  <c r="AW1191" i="1" a="1"/>
  <c r="AW1191" i="1" s="1"/>
  <c r="AX1191" i="1" a="1"/>
  <c r="AX1191" i="1" s="1"/>
  <c r="AY1191" i="1" a="1"/>
  <c r="AY1191" i="1" s="1"/>
  <c r="AZ1191" i="1" a="1"/>
  <c r="AZ1191" i="1" s="1"/>
  <c r="BA1191" i="1" a="1"/>
  <c r="BA1191" i="1" s="1"/>
  <c r="BB1191" i="1" a="1"/>
  <c r="BB1191" i="1" s="1"/>
  <c r="AL1192" i="1" a="1"/>
  <c r="AL1192" i="1" s="1"/>
  <c r="AM1192" i="1" a="1"/>
  <c r="AM1192" i="1" s="1"/>
  <c r="AN1192" i="1" a="1"/>
  <c r="AN1192" i="1" s="1"/>
  <c r="AO1192" i="1" a="1"/>
  <c r="AO1192" i="1" s="1"/>
  <c r="AP1192" i="1" a="1"/>
  <c r="AP1192" i="1" s="1"/>
  <c r="AQ1192" i="1" a="1"/>
  <c r="AQ1192" i="1" s="1"/>
  <c r="AR1192" i="1" a="1"/>
  <c r="AR1192" i="1" s="1"/>
  <c r="AS1192" i="1" a="1"/>
  <c r="AS1192" i="1" s="1"/>
  <c r="AT1192" i="1" a="1"/>
  <c r="AT1192" i="1" s="1"/>
  <c r="AU1192" i="1" a="1"/>
  <c r="AU1192" i="1" s="1"/>
  <c r="AV1192" i="1" a="1"/>
  <c r="AV1192" i="1" s="1"/>
  <c r="AW1192" i="1" a="1"/>
  <c r="AW1192" i="1" s="1"/>
  <c r="AX1192" i="1" a="1"/>
  <c r="AX1192" i="1" s="1"/>
  <c r="AY1192" i="1" a="1"/>
  <c r="AY1192" i="1" s="1"/>
  <c r="AZ1192" i="1" a="1"/>
  <c r="AZ1192" i="1" s="1"/>
  <c r="BA1192" i="1" a="1"/>
  <c r="BA1192" i="1" s="1"/>
  <c r="BB1192" i="1" a="1"/>
  <c r="BB1192" i="1" s="1"/>
  <c r="AL1193" i="1" a="1"/>
  <c r="AL1193" i="1" s="1"/>
  <c r="AM1193" i="1" a="1"/>
  <c r="AM1193" i="1" s="1"/>
  <c r="AN1193" i="1" a="1"/>
  <c r="AN1193" i="1" s="1"/>
  <c r="AO1193" i="1" a="1"/>
  <c r="AO1193" i="1" s="1"/>
  <c r="AP1193" i="1" a="1"/>
  <c r="AP1193" i="1" s="1"/>
  <c r="AQ1193" i="1" a="1"/>
  <c r="AQ1193" i="1" s="1"/>
  <c r="AR1193" i="1" a="1"/>
  <c r="AR1193" i="1" s="1"/>
  <c r="AS1193" i="1" a="1"/>
  <c r="AS1193" i="1" s="1"/>
  <c r="AT1193" i="1" a="1"/>
  <c r="AT1193" i="1" s="1"/>
  <c r="AU1193" i="1" a="1"/>
  <c r="AU1193" i="1" s="1"/>
  <c r="AV1193" i="1" a="1"/>
  <c r="AV1193" i="1" s="1"/>
  <c r="AW1193" i="1" a="1"/>
  <c r="AW1193" i="1" s="1"/>
  <c r="AX1193" i="1" a="1"/>
  <c r="AX1193" i="1" s="1"/>
  <c r="AY1193" i="1" a="1"/>
  <c r="AY1193" i="1" s="1"/>
  <c r="AZ1193" i="1" a="1"/>
  <c r="AZ1193" i="1" s="1"/>
  <c r="BA1193" i="1" a="1"/>
  <c r="BA1193" i="1" s="1"/>
  <c r="BB1193" i="1" a="1"/>
  <c r="BB1193" i="1" s="1"/>
  <c r="AL1195" i="1" a="1"/>
  <c r="AL1195" i="1" s="1"/>
  <c r="AM1195" i="1" a="1"/>
  <c r="AM1195" i="1" s="1"/>
  <c r="AN1195" i="1" a="1"/>
  <c r="AN1195" i="1" s="1"/>
  <c r="AO1195" i="1" a="1"/>
  <c r="AO1195" i="1" s="1"/>
  <c r="AP1195" i="1" a="1"/>
  <c r="AP1195" i="1" s="1"/>
  <c r="AQ1195" i="1" a="1"/>
  <c r="AQ1195" i="1" s="1"/>
  <c r="AR1195" i="1" a="1"/>
  <c r="AR1195" i="1" s="1"/>
  <c r="AS1195" i="1" a="1"/>
  <c r="AS1195" i="1" s="1"/>
  <c r="AT1195" i="1" a="1"/>
  <c r="AT1195" i="1" s="1"/>
  <c r="AU1195" i="1" a="1"/>
  <c r="AU1195" i="1" s="1"/>
  <c r="AV1195" i="1" a="1"/>
  <c r="AV1195" i="1" s="1"/>
  <c r="AW1195" i="1" a="1"/>
  <c r="AW1195" i="1" s="1"/>
  <c r="AX1195" i="1" a="1"/>
  <c r="AX1195" i="1" s="1"/>
  <c r="AY1195" i="1" a="1"/>
  <c r="AY1195" i="1" s="1"/>
  <c r="AZ1195" i="1" a="1"/>
  <c r="AZ1195" i="1" s="1"/>
  <c r="BA1195" i="1" a="1"/>
  <c r="BA1195" i="1" s="1"/>
  <c r="BB1195" i="1" a="1"/>
  <c r="BB1195" i="1" s="1"/>
  <c r="AL1194" i="1" a="1"/>
  <c r="AL1194" i="1" s="1"/>
  <c r="AM1194" i="1" a="1"/>
  <c r="AM1194" i="1" s="1"/>
  <c r="AN1194" i="1" a="1"/>
  <c r="AN1194" i="1" s="1"/>
  <c r="AO1194" i="1" a="1"/>
  <c r="AO1194" i="1" s="1"/>
  <c r="AP1194" i="1" a="1"/>
  <c r="AP1194" i="1" s="1"/>
  <c r="AQ1194" i="1" a="1"/>
  <c r="AQ1194" i="1" s="1"/>
  <c r="AR1194" i="1" a="1"/>
  <c r="AR1194" i="1" s="1"/>
  <c r="AS1194" i="1" a="1"/>
  <c r="AS1194" i="1" s="1"/>
  <c r="AT1194" i="1" a="1"/>
  <c r="AT1194" i="1" s="1"/>
  <c r="AU1194" i="1" a="1"/>
  <c r="AU1194" i="1" s="1"/>
  <c r="AV1194" i="1" a="1"/>
  <c r="AV1194" i="1" s="1"/>
  <c r="AW1194" i="1" a="1"/>
  <c r="AW1194" i="1" s="1"/>
  <c r="AX1194" i="1" a="1"/>
  <c r="AX1194" i="1" s="1"/>
  <c r="AY1194" i="1" a="1"/>
  <c r="AY1194" i="1" s="1"/>
  <c r="AZ1194" i="1" a="1"/>
  <c r="AZ1194" i="1" s="1"/>
  <c r="BA1194" i="1" a="1"/>
  <c r="BA1194" i="1" s="1"/>
  <c r="BB1194" i="1" a="1"/>
  <c r="BB1194" i="1" s="1"/>
  <c r="AL1196" i="1" a="1"/>
  <c r="AL1196" i="1" s="1"/>
  <c r="AM1196" i="1" a="1"/>
  <c r="AM1196" i="1" s="1"/>
  <c r="AN1196" i="1" a="1"/>
  <c r="AN1196" i="1" s="1"/>
  <c r="AO1196" i="1" a="1"/>
  <c r="AO1196" i="1" s="1"/>
  <c r="AP1196" i="1" a="1"/>
  <c r="AP1196" i="1" s="1"/>
  <c r="AQ1196" i="1" a="1"/>
  <c r="AQ1196" i="1" s="1"/>
  <c r="AR1196" i="1" a="1"/>
  <c r="AR1196" i="1" s="1"/>
  <c r="AS1196" i="1" a="1"/>
  <c r="AS1196" i="1" s="1"/>
  <c r="AT1196" i="1" a="1"/>
  <c r="AT1196" i="1" s="1"/>
  <c r="AU1196" i="1" a="1"/>
  <c r="AU1196" i="1" s="1"/>
  <c r="AV1196" i="1" a="1"/>
  <c r="AV1196" i="1" s="1"/>
  <c r="AW1196" i="1" a="1"/>
  <c r="AW1196" i="1" s="1"/>
  <c r="AX1196" i="1" a="1"/>
  <c r="AX1196" i="1" s="1"/>
  <c r="AY1196" i="1" a="1"/>
  <c r="AY1196" i="1" s="1"/>
  <c r="AZ1196" i="1" a="1"/>
  <c r="AZ1196" i="1" s="1"/>
  <c r="BA1196" i="1" a="1"/>
  <c r="BA1196" i="1" s="1"/>
  <c r="BB1196" i="1" a="1"/>
  <c r="BB1196" i="1" s="1"/>
  <c r="AL1197" i="1" a="1"/>
  <c r="AL1197" i="1" s="1"/>
  <c r="AM1197" i="1" a="1"/>
  <c r="AM1197" i="1" s="1"/>
  <c r="AN1197" i="1" a="1"/>
  <c r="AN1197" i="1" s="1"/>
  <c r="AO1197" i="1" a="1"/>
  <c r="AO1197" i="1" s="1"/>
  <c r="AP1197" i="1" a="1"/>
  <c r="AP1197" i="1" s="1"/>
  <c r="AQ1197" i="1" a="1"/>
  <c r="AQ1197" i="1" s="1"/>
  <c r="AR1197" i="1" a="1"/>
  <c r="AR1197" i="1" s="1"/>
  <c r="AS1197" i="1" a="1"/>
  <c r="AS1197" i="1" s="1"/>
  <c r="AT1197" i="1" a="1"/>
  <c r="AT1197" i="1" s="1"/>
  <c r="AU1197" i="1" a="1"/>
  <c r="AU1197" i="1" s="1"/>
  <c r="AV1197" i="1" a="1"/>
  <c r="AV1197" i="1" s="1"/>
  <c r="AW1197" i="1" a="1"/>
  <c r="AW1197" i="1" s="1"/>
  <c r="AX1197" i="1" a="1"/>
  <c r="AX1197" i="1" s="1"/>
  <c r="AY1197" i="1" a="1"/>
  <c r="AY1197" i="1" s="1"/>
  <c r="AZ1197" i="1" a="1"/>
  <c r="AZ1197" i="1" s="1"/>
  <c r="BA1197" i="1" a="1"/>
  <c r="BA1197" i="1" s="1"/>
  <c r="BB1197" i="1" a="1"/>
  <c r="BB1197" i="1" s="1"/>
  <c r="AL1199" i="1" a="1"/>
  <c r="AL1199" i="1" s="1"/>
  <c r="AM1199" i="1" a="1"/>
  <c r="AM1199" i="1" s="1"/>
  <c r="AN1199" i="1" a="1"/>
  <c r="AN1199" i="1" s="1"/>
  <c r="AO1199" i="1" a="1"/>
  <c r="AO1199" i="1" s="1"/>
  <c r="AP1199" i="1" a="1"/>
  <c r="AP1199" i="1" s="1"/>
  <c r="AQ1199" i="1" a="1"/>
  <c r="AQ1199" i="1" s="1"/>
  <c r="AR1199" i="1" a="1"/>
  <c r="AR1199" i="1" s="1"/>
  <c r="AS1199" i="1" a="1"/>
  <c r="AS1199" i="1" s="1"/>
  <c r="AT1199" i="1" a="1"/>
  <c r="AT1199" i="1" s="1"/>
  <c r="AU1199" i="1" a="1"/>
  <c r="AU1199" i="1" s="1"/>
  <c r="AV1199" i="1" a="1"/>
  <c r="AV1199" i="1" s="1"/>
  <c r="AW1199" i="1" a="1"/>
  <c r="AW1199" i="1" s="1"/>
  <c r="AX1199" i="1" a="1"/>
  <c r="AX1199" i="1" s="1"/>
  <c r="AY1199" i="1" a="1"/>
  <c r="AY1199" i="1" s="1"/>
  <c r="AZ1199" i="1" a="1"/>
  <c r="AZ1199" i="1" s="1"/>
  <c r="BA1199" i="1" a="1"/>
  <c r="BA1199" i="1" s="1"/>
  <c r="BB1199" i="1" a="1"/>
  <c r="BB1199" i="1" s="1"/>
  <c r="AL1200" i="1" a="1"/>
  <c r="AL1200" i="1" s="1"/>
  <c r="AM1200" i="1" a="1"/>
  <c r="AM1200" i="1" s="1"/>
  <c r="AN1200" i="1" a="1"/>
  <c r="AN1200" i="1" s="1"/>
  <c r="AO1200" i="1" a="1"/>
  <c r="AO1200" i="1" s="1"/>
  <c r="AP1200" i="1" a="1"/>
  <c r="AP1200" i="1" s="1"/>
  <c r="AQ1200" i="1" a="1"/>
  <c r="AQ1200" i="1" s="1"/>
  <c r="AR1200" i="1" a="1"/>
  <c r="AR1200" i="1" s="1"/>
  <c r="AS1200" i="1" a="1"/>
  <c r="AS1200" i="1" s="1"/>
  <c r="AT1200" i="1" a="1"/>
  <c r="AT1200" i="1" s="1"/>
  <c r="AU1200" i="1" a="1"/>
  <c r="AU1200" i="1" s="1"/>
  <c r="AV1200" i="1" a="1"/>
  <c r="AV1200" i="1" s="1"/>
  <c r="AW1200" i="1" a="1"/>
  <c r="AW1200" i="1" s="1"/>
  <c r="AX1200" i="1" a="1"/>
  <c r="AX1200" i="1" s="1"/>
  <c r="AY1200" i="1" a="1"/>
  <c r="AY1200" i="1" s="1"/>
  <c r="AZ1200" i="1" a="1"/>
  <c r="AZ1200" i="1" s="1"/>
  <c r="BA1200" i="1" a="1"/>
  <c r="BA1200" i="1" s="1"/>
  <c r="BB1200" i="1" a="1"/>
  <c r="BB1200" i="1" s="1"/>
  <c r="AL1201" i="1" a="1"/>
  <c r="AL1201" i="1" s="1"/>
  <c r="AM1201" i="1" a="1"/>
  <c r="AM1201" i="1" s="1"/>
  <c r="AN1201" i="1" a="1"/>
  <c r="AN1201" i="1" s="1"/>
  <c r="AO1201" i="1" a="1"/>
  <c r="AO1201" i="1" s="1"/>
  <c r="AP1201" i="1" a="1"/>
  <c r="AP1201" i="1" s="1"/>
  <c r="AQ1201" i="1" a="1"/>
  <c r="AQ1201" i="1" s="1"/>
  <c r="AR1201" i="1" a="1"/>
  <c r="AR1201" i="1" s="1"/>
  <c r="AS1201" i="1" a="1"/>
  <c r="AS1201" i="1" s="1"/>
  <c r="AT1201" i="1" a="1"/>
  <c r="AT1201" i="1" s="1"/>
  <c r="AU1201" i="1" a="1"/>
  <c r="AU1201" i="1" s="1"/>
  <c r="AV1201" i="1" a="1"/>
  <c r="AV1201" i="1" s="1"/>
  <c r="AW1201" i="1" a="1"/>
  <c r="AW1201" i="1" s="1"/>
  <c r="AX1201" i="1" a="1"/>
  <c r="AX1201" i="1" s="1"/>
  <c r="AY1201" i="1" a="1"/>
  <c r="AY1201" i="1" s="1"/>
  <c r="AZ1201" i="1" a="1"/>
  <c r="AZ1201" i="1" s="1"/>
  <c r="BA1201" i="1" a="1"/>
  <c r="BA1201" i="1" s="1"/>
  <c r="BB1201" i="1" a="1"/>
  <c r="BB1201" i="1" s="1"/>
  <c r="AL1198" i="1" a="1"/>
  <c r="AL1198" i="1" s="1"/>
  <c r="AM1198" i="1" a="1"/>
  <c r="AM1198" i="1" s="1"/>
  <c r="AN1198" i="1" a="1"/>
  <c r="AN1198" i="1" s="1"/>
  <c r="AO1198" i="1" a="1"/>
  <c r="AO1198" i="1" s="1"/>
  <c r="AP1198" i="1" a="1"/>
  <c r="AP1198" i="1" s="1"/>
  <c r="AQ1198" i="1" a="1"/>
  <c r="AQ1198" i="1" s="1"/>
  <c r="AR1198" i="1" a="1"/>
  <c r="AR1198" i="1" s="1"/>
  <c r="AS1198" i="1" a="1"/>
  <c r="AS1198" i="1" s="1"/>
  <c r="AT1198" i="1" a="1"/>
  <c r="AT1198" i="1" s="1"/>
  <c r="AU1198" i="1" a="1"/>
  <c r="AU1198" i="1" s="1"/>
  <c r="AV1198" i="1" a="1"/>
  <c r="AV1198" i="1" s="1"/>
  <c r="AW1198" i="1" a="1"/>
  <c r="AW1198" i="1" s="1"/>
  <c r="AX1198" i="1" a="1"/>
  <c r="AX1198" i="1" s="1"/>
  <c r="AY1198" i="1" a="1"/>
  <c r="AY1198" i="1" s="1"/>
  <c r="AZ1198" i="1" a="1"/>
  <c r="AZ1198" i="1" s="1"/>
  <c r="BA1198" i="1" a="1"/>
  <c r="BA1198" i="1" s="1"/>
  <c r="BB1198" i="1" a="1"/>
  <c r="BB1198" i="1" s="1"/>
  <c r="AL1203" i="1" a="1"/>
  <c r="AL1203" i="1" s="1"/>
  <c r="AM1203" i="1" a="1"/>
  <c r="AM1203" i="1" s="1"/>
  <c r="AN1203" i="1" a="1"/>
  <c r="AN1203" i="1" s="1"/>
  <c r="AO1203" i="1" a="1"/>
  <c r="AO1203" i="1" s="1"/>
  <c r="AP1203" i="1" a="1"/>
  <c r="AP1203" i="1" s="1"/>
  <c r="AQ1203" i="1" a="1"/>
  <c r="AQ1203" i="1" s="1"/>
  <c r="AR1203" i="1" a="1"/>
  <c r="AR1203" i="1" s="1"/>
  <c r="AS1203" i="1" a="1"/>
  <c r="AS1203" i="1" s="1"/>
  <c r="AT1203" i="1" a="1"/>
  <c r="AT1203" i="1" s="1"/>
  <c r="AU1203" i="1" a="1"/>
  <c r="AU1203" i="1" s="1"/>
  <c r="AV1203" i="1" a="1"/>
  <c r="AV1203" i="1" s="1"/>
  <c r="AW1203" i="1" a="1"/>
  <c r="AW1203" i="1" s="1"/>
  <c r="AX1203" i="1" a="1"/>
  <c r="AX1203" i="1" s="1"/>
  <c r="AY1203" i="1" a="1"/>
  <c r="AY1203" i="1" s="1"/>
  <c r="AZ1203" i="1" a="1"/>
  <c r="AZ1203" i="1" s="1"/>
  <c r="BA1203" i="1" a="1"/>
  <c r="BA1203" i="1" s="1"/>
  <c r="BB1203" i="1" a="1"/>
  <c r="BB1203" i="1" s="1"/>
  <c r="AL1204" i="1" a="1"/>
  <c r="AL1204" i="1" s="1"/>
  <c r="AM1204" i="1" a="1"/>
  <c r="AM1204" i="1" s="1"/>
  <c r="AN1204" i="1" a="1"/>
  <c r="AN1204" i="1" s="1"/>
  <c r="AO1204" i="1" a="1"/>
  <c r="AO1204" i="1" s="1"/>
  <c r="AP1204" i="1" a="1"/>
  <c r="AP1204" i="1" s="1"/>
  <c r="AQ1204" i="1" a="1"/>
  <c r="AQ1204" i="1" s="1"/>
  <c r="AR1204" i="1" a="1"/>
  <c r="AR1204" i="1" s="1"/>
  <c r="AS1204" i="1" a="1"/>
  <c r="AS1204" i="1" s="1"/>
  <c r="AT1204" i="1" a="1"/>
  <c r="AT1204" i="1" s="1"/>
  <c r="AU1204" i="1" a="1"/>
  <c r="AU1204" i="1" s="1"/>
  <c r="AV1204" i="1" a="1"/>
  <c r="AV1204" i="1" s="1"/>
  <c r="AW1204" i="1" a="1"/>
  <c r="AW1204" i="1" s="1"/>
  <c r="AX1204" i="1" a="1"/>
  <c r="AX1204" i="1" s="1"/>
  <c r="AY1204" i="1" a="1"/>
  <c r="AY1204" i="1" s="1"/>
  <c r="AZ1204" i="1" a="1"/>
  <c r="AZ1204" i="1" s="1"/>
  <c r="BA1204" i="1" a="1"/>
  <c r="BA1204" i="1" s="1"/>
  <c r="BB1204" i="1" a="1"/>
  <c r="BB1204" i="1" s="1"/>
  <c r="AL1202" i="1" a="1"/>
  <c r="AL1202" i="1" s="1"/>
  <c r="AM1202" i="1" a="1"/>
  <c r="AM1202" i="1" s="1"/>
  <c r="AN1202" i="1" a="1"/>
  <c r="AN1202" i="1" s="1"/>
  <c r="AO1202" i="1" a="1"/>
  <c r="AO1202" i="1" s="1"/>
  <c r="AP1202" i="1" a="1"/>
  <c r="AP1202" i="1" s="1"/>
  <c r="AQ1202" i="1" a="1"/>
  <c r="AQ1202" i="1" s="1"/>
  <c r="AR1202" i="1" a="1"/>
  <c r="AR1202" i="1" s="1"/>
  <c r="AS1202" i="1" a="1"/>
  <c r="AS1202" i="1" s="1"/>
  <c r="AT1202" i="1" a="1"/>
  <c r="AT1202" i="1" s="1"/>
  <c r="AU1202" i="1" a="1"/>
  <c r="AU1202" i="1" s="1"/>
  <c r="AV1202" i="1" a="1"/>
  <c r="AV1202" i="1" s="1"/>
  <c r="AW1202" i="1" a="1"/>
  <c r="AW1202" i="1" s="1"/>
  <c r="AX1202" i="1" a="1"/>
  <c r="AX1202" i="1" s="1"/>
  <c r="AY1202" i="1" a="1"/>
  <c r="AY1202" i="1" s="1"/>
  <c r="AZ1202" i="1" a="1"/>
  <c r="AZ1202" i="1" s="1"/>
  <c r="BA1202" i="1" a="1"/>
  <c r="BA1202" i="1" s="1"/>
  <c r="BB1202" i="1" a="1"/>
  <c r="BB1202" i="1" s="1"/>
  <c r="AL1206" i="1" a="1"/>
  <c r="AL1206" i="1" s="1"/>
  <c r="AM1206" i="1" a="1"/>
  <c r="AM1206" i="1" s="1"/>
  <c r="AN1206" i="1" a="1"/>
  <c r="AN1206" i="1" s="1"/>
  <c r="AO1206" i="1" a="1"/>
  <c r="AO1206" i="1" s="1"/>
  <c r="AP1206" i="1" a="1"/>
  <c r="AP1206" i="1" s="1"/>
  <c r="AQ1206" i="1" a="1"/>
  <c r="AQ1206" i="1" s="1"/>
  <c r="AR1206" i="1" a="1"/>
  <c r="AR1206" i="1" s="1"/>
  <c r="AS1206" i="1" a="1"/>
  <c r="AS1206" i="1" s="1"/>
  <c r="AT1206" i="1" a="1"/>
  <c r="AT1206" i="1" s="1"/>
  <c r="AU1206" i="1" a="1"/>
  <c r="AU1206" i="1" s="1"/>
  <c r="AV1206" i="1" a="1"/>
  <c r="AV1206" i="1" s="1"/>
  <c r="AW1206" i="1" a="1"/>
  <c r="AW1206" i="1" s="1"/>
  <c r="AX1206" i="1" a="1"/>
  <c r="AX1206" i="1" s="1"/>
  <c r="AY1206" i="1" a="1"/>
  <c r="AY1206" i="1" s="1"/>
  <c r="AZ1206" i="1" a="1"/>
  <c r="AZ1206" i="1" s="1"/>
  <c r="BA1206" i="1" a="1"/>
  <c r="BA1206" i="1" s="1"/>
  <c r="BB1206" i="1" a="1"/>
  <c r="BB1206" i="1" s="1"/>
  <c r="AL1207" i="1" a="1"/>
  <c r="AL1207" i="1" s="1"/>
  <c r="AM1207" i="1" a="1"/>
  <c r="AM1207" i="1" s="1"/>
  <c r="AN1207" i="1" a="1"/>
  <c r="AN1207" i="1" s="1"/>
  <c r="AO1207" i="1" a="1"/>
  <c r="AO1207" i="1" s="1"/>
  <c r="AP1207" i="1" a="1"/>
  <c r="AP1207" i="1" s="1"/>
  <c r="AQ1207" i="1" a="1"/>
  <c r="AQ1207" i="1" s="1"/>
  <c r="AR1207" i="1" a="1"/>
  <c r="AR1207" i="1" s="1"/>
  <c r="AS1207" i="1" a="1"/>
  <c r="AS1207" i="1" s="1"/>
  <c r="AT1207" i="1" a="1"/>
  <c r="AT1207" i="1" s="1"/>
  <c r="AU1207" i="1" a="1"/>
  <c r="AU1207" i="1" s="1"/>
  <c r="AV1207" i="1" a="1"/>
  <c r="AV1207" i="1" s="1"/>
  <c r="AW1207" i="1" a="1"/>
  <c r="AW1207" i="1" s="1"/>
  <c r="AX1207" i="1" a="1"/>
  <c r="AX1207" i="1" s="1"/>
  <c r="AY1207" i="1" a="1"/>
  <c r="AY1207" i="1" s="1"/>
  <c r="AZ1207" i="1" a="1"/>
  <c r="AZ1207" i="1" s="1"/>
  <c r="BA1207" i="1" a="1"/>
  <c r="BA1207" i="1" s="1"/>
  <c r="BB1207" i="1" a="1"/>
  <c r="BB1207" i="1" s="1"/>
  <c r="AL1208" i="1" a="1"/>
  <c r="AL1208" i="1" s="1"/>
  <c r="AM1208" i="1" a="1"/>
  <c r="AM1208" i="1" s="1"/>
  <c r="AN1208" i="1" a="1"/>
  <c r="AN1208" i="1" s="1"/>
  <c r="AO1208" i="1" a="1"/>
  <c r="AO1208" i="1" s="1"/>
  <c r="AP1208" i="1" a="1"/>
  <c r="AP1208" i="1" s="1"/>
  <c r="AQ1208" i="1" a="1"/>
  <c r="AQ1208" i="1" s="1"/>
  <c r="AR1208" i="1" a="1"/>
  <c r="AR1208" i="1" s="1"/>
  <c r="AS1208" i="1" a="1"/>
  <c r="AS1208" i="1" s="1"/>
  <c r="AT1208" i="1" a="1"/>
  <c r="AT1208" i="1" s="1"/>
  <c r="AU1208" i="1" a="1"/>
  <c r="AU1208" i="1" s="1"/>
  <c r="AV1208" i="1" a="1"/>
  <c r="AV1208" i="1" s="1"/>
  <c r="AW1208" i="1" a="1"/>
  <c r="AW1208" i="1" s="1"/>
  <c r="AX1208" i="1" a="1"/>
  <c r="AX1208" i="1" s="1"/>
  <c r="AY1208" i="1" a="1"/>
  <c r="AY1208" i="1" s="1"/>
  <c r="AZ1208" i="1" a="1"/>
  <c r="AZ1208" i="1" s="1"/>
  <c r="BA1208" i="1" a="1"/>
  <c r="BA1208" i="1" s="1"/>
  <c r="BB1208" i="1" a="1"/>
  <c r="BB1208" i="1" s="1"/>
  <c r="AL1209" i="1" a="1"/>
  <c r="AL1209" i="1" s="1"/>
  <c r="AM1209" i="1" a="1"/>
  <c r="AM1209" i="1" s="1"/>
  <c r="AN1209" i="1" a="1"/>
  <c r="AN1209" i="1" s="1"/>
  <c r="AO1209" i="1" a="1"/>
  <c r="AO1209" i="1" s="1"/>
  <c r="AP1209" i="1" a="1"/>
  <c r="AP1209" i="1" s="1"/>
  <c r="AQ1209" i="1" a="1"/>
  <c r="AQ1209" i="1" s="1"/>
  <c r="AR1209" i="1" a="1"/>
  <c r="AR1209" i="1" s="1"/>
  <c r="AS1209" i="1" a="1"/>
  <c r="AS1209" i="1" s="1"/>
  <c r="AT1209" i="1" a="1"/>
  <c r="AT1209" i="1" s="1"/>
  <c r="AU1209" i="1" a="1"/>
  <c r="AU1209" i="1" s="1"/>
  <c r="AV1209" i="1" a="1"/>
  <c r="AV1209" i="1" s="1"/>
  <c r="AW1209" i="1" a="1"/>
  <c r="AW1209" i="1" s="1"/>
  <c r="AX1209" i="1" a="1"/>
  <c r="AX1209" i="1" s="1"/>
  <c r="AY1209" i="1" a="1"/>
  <c r="AY1209" i="1" s="1"/>
  <c r="AZ1209" i="1" a="1"/>
  <c r="AZ1209" i="1" s="1"/>
  <c r="BA1209" i="1" a="1"/>
  <c r="BA1209" i="1" s="1"/>
  <c r="BB1209" i="1" a="1"/>
  <c r="BB1209" i="1" s="1"/>
  <c r="AL1210" i="1" a="1"/>
  <c r="AL1210" i="1" s="1"/>
  <c r="AM1210" i="1" a="1"/>
  <c r="AM1210" i="1" s="1"/>
  <c r="AN1210" i="1" a="1"/>
  <c r="AN1210" i="1" s="1"/>
  <c r="AO1210" i="1" a="1"/>
  <c r="AO1210" i="1" s="1"/>
  <c r="AP1210" i="1" a="1"/>
  <c r="AP1210" i="1" s="1"/>
  <c r="AQ1210" i="1" a="1"/>
  <c r="AQ1210" i="1" s="1"/>
  <c r="AR1210" i="1" a="1"/>
  <c r="AR1210" i="1" s="1"/>
  <c r="AS1210" i="1" a="1"/>
  <c r="AS1210" i="1" s="1"/>
  <c r="AT1210" i="1" a="1"/>
  <c r="AT1210" i="1" s="1"/>
  <c r="AU1210" i="1" a="1"/>
  <c r="AU1210" i="1" s="1"/>
  <c r="AV1210" i="1" a="1"/>
  <c r="AV1210" i="1" s="1"/>
  <c r="AW1210" i="1" a="1"/>
  <c r="AW1210" i="1" s="1"/>
  <c r="AX1210" i="1" a="1"/>
  <c r="AX1210" i="1" s="1"/>
  <c r="AY1210" i="1" a="1"/>
  <c r="AY1210" i="1" s="1"/>
  <c r="AZ1210" i="1" a="1"/>
  <c r="AZ1210" i="1" s="1"/>
  <c r="BA1210" i="1" a="1"/>
  <c r="BA1210" i="1" s="1"/>
  <c r="BB1210" i="1" a="1"/>
  <c r="BB1210" i="1" s="1"/>
  <c r="AL1205" i="1" a="1"/>
  <c r="AL1205" i="1" s="1"/>
  <c r="AM1205" i="1" a="1"/>
  <c r="AM1205" i="1" s="1"/>
  <c r="AN1205" i="1" a="1"/>
  <c r="AN1205" i="1" s="1"/>
  <c r="AO1205" i="1" a="1"/>
  <c r="AO1205" i="1" s="1"/>
  <c r="AP1205" i="1" a="1"/>
  <c r="AP1205" i="1" s="1"/>
  <c r="AQ1205" i="1" a="1"/>
  <c r="AQ1205" i="1" s="1"/>
  <c r="AR1205" i="1" a="1"/>
  <c r="AR1205" i="1" s="1"/>
  <c r="AS1205" i="1" a="1"/>
  <c r="AS1205" i="1" s="1"/>
  <c r="AT1205" i="1" a="1"/>
  <c r="AT1205" i="1" s="1"/>
  <c r="AU1205" i="1" a="1"/>
  <c r="AU1205" i="1" s="1"/>
  <c r="AV1205" i="1" a="1"/>
  <c r="AV1205" i="1" s="1"/>
  <c r="AW1205" i="1" a="1"/>
  <c r="AW1205" i="1" s="1"/>
  <c r="AX1205" i="1" a="1"/>
  <c r="AX1205" i="1" s="1"/>
  <c r="AY1205" i="1" a="1"/>
  <c r="AY1205" i="1" s="1"/>
  <c r="AZ1205" i="1" a="1"/>
  <c r="AZ1205" i="1" s="1"/>
  <c r="BA1205" i="1" a="1"/>
  <c r="BA1205" i="1" s="1"/>
  <c r="BB1205" i="1" a="1"/>
  <c r="BB1205" i="1" s="1"/>
  <c r="AL1212" i="1" a="1"/>
  <c r="AL1212" i="1" s="1"/>
  <c r="AM1212" i="1" a="1"/>
  <c r="AM1212" i="1" s="1"/>
  <c r="AN1212" i="1" a="1"/>
  <c r="AN1212" i="1" s="1"/>
  <c r="AO1212" i="1" a="1"/>
  <c r="AO1212" i="1" s="1"/>
  <c r="AP1212" i="1" a="1"/>
  <c r="AP1212" i="1" s="1"/>
  <c r="AQ1212" i="1" a="1"/>
  <c r="AQ1212" i="1" s="1"/>
  <c r="AR1212" i="1" a="1"/>
  <c r="AR1212" i="1" s="1"/>
  <c r="AS1212" i="1" a="1"/>
  <c r="AS1212" i="1" s="1"/>
  <c r="AT1212" i="1" a="1"/>
  <c r="AT1212" i="1" s="1"/>
  <c r="AU1212" i="1" a="1"/>
  <c r="AU1212" i="1" s="1"/>
  <c r="AV1212" i="1" a="1"/>
  <c r="AV1212" i="1" s="1"/>
  <c r="AW1212" i="1" a="1"/>
  <c r="AW1212" i="1" s="1"/>
  <c r="AX1212" i="1" a="1"/>
  <c r="AX1212" i="1" s="1"/>
  <c r="AY1212" i="1" a="1"/>
  <c r="AY1212" i="1" s="1"/>
  <c r="AZ1212" i="1" a="1"/>
  <c r="AZ1212" i="1" s="1"/>
  <c r="BA1212" i="1" a="1"/>
  <c r="BA1212" i="1" s="1"/>
  <c r="BB1212" i="1" a="1"/>
  <c r="BB1212" i="1" s="1"/>
  <c r="AL1211" i="1" a="1"/>
  <c r="AL1211" i="1" s="1"/>
  <c r="AM1211" i="1" a="1"/>
  <c r="AM1211" i="1" s="1"/>
  <c r="AN1211" i="1" a="1"/>
  <c r="AN1211" i="1" s="1"/>
  <c r="AO1211" i="1" a="1"/>
  <c r="AO1211" i="1" s="1"/>
  <c r="AP1211" i="1" a="1"/>
  <c r="AP1211" i="1" s="1"/>
  <c r="AQ1211" i="1" a="1"/>
  <c r="AQ1211" i="1" s="1"/>
  <c r="AR1211" i="1" a="1"/>
  <c r="AR1211" i="1" s="1"/>
  <c r="AS1211" i="1" a="1"/>
  <c r="AS1211" i="1" s="1"/>
  <c r="AT1211" i="1" a="1"/>
  <c r="AT1211" i="1" s="1"/>
  <c r="AU1211" i="1" a="1"/>
  <c r="AU1211" i="1" s="1"/>
  <c r="AV1211" i="1" a="1"/>
  <c r="AV1211" i="1" s="1"/>
  <c r="AW1211" i="1" a="1"/>
  <c r="AW1211" i="1" s="1"/>
  <c r="AX1211" i="1" a="1"/>
  <c r="AX1211" i="1" s="1"/>
  <c r="AY1211" i="1" a="1"/>
  <c r="AY1211" i="1" s="1"/>
  <c r="AZ1211" i="1" a="1"/>
  <c r="AZ1211" i="1" s="1"/>
  <c r="BA1211" i="1" a="1"/>
  <c r="BA1211" i="1" s="1"/>
  <c r="BB1211" i="1" a="1"/>
  <c r="BB1211" i="1" s="1"/>
  <c r="AL1213" i="1" a="1"/>
  <c r="AL1213" i="1" s="1"/>
  <c r="AM1213" i="1" a="1"/>
  <c r="AM1213" i="1" s="1"/>
  <c r="AN1213" i="1" a="1"/>
  <c r="AN1213" i="1" s="1"/>
  <c r="AO1213" i="1" a="1"/>
  <c r="AO1213" i="1" s="1"/>
  <c r="AP1213" i="1" a="1"/>
  <c r="AP1213" i="1" s="1"/>
  <c r="AQ1213" i="1" a="1"/>
  <c r="AQ1213" i="1" s="1"/>
  <c r="AR1213" i="1" a="1"/>
  <c r="AR1213" i="1" s="1"/>
  <c r="AS1213" i="1" a="1"/>
  <c r="AS1213" i="1" s="1"/>
  <c r="AT1213" i="1" a="1"/>
  <c r="AT1213" i="1" s="1"/>
  <c r="AU1213" i="1" a="1"/>
  <c r="AU1213" i="1" s="1"/>
  <c r="AV1213" i="1" a="1"/>
  <c r="AV1213" i="1" s="1"/>
  <c r="AW1213" i="1" a="1"/>
  <c r="AW1213" i="1" s="1"/>
  <c r="AX1213" i="1" a="1"/>
  <c r="AX1213" i="1" s="1"/>
  <c r="AY1213" i="1" a="1"/>
  <c r="AY1213" i="1" s="1"/>
  <c r="AZ1213" i="1" a="1"/>
  <c r="AZ1213" i="1" s="1"/>
  <c r="BA1213" i="1" a="1"/>
  <c r="BA1213" i="1" s="1"/>
  <c r="BB1213" i="1" a="1"/>
  <c r="BB1213" i="1" s="1"/>
  <c r="AL1215" i="1" a="1"/>
  <c r="AL1215" i="1" s="1"/>
  <c r="AM1215" i="1" a="1"/>
  <c r="AM1215" i="1" s="1"/>
  <c r="AN1215" i="1" a="1"/>
  <c r="AN1215" i="1" s="1"/>
  <c r="AO1215" i="1" a="1"/>
  <c r="AO1215" i="1" s="1"/>
  <c r="AP1215" i="1" a="1"/>
  <c r="AP1215" i="1" s="1"/>
  <c r="AQ1215" i="1" a="1"/>
  <c r="AQ1215" i="1" s="1"/>
  <c r="AR1215" i="1" a="1"/>
  <c r="AR1215" i="1" s="1"/>
  <c r="AS1215" i="1" a="1"/>
  <c r="AS1215" i="1" s="1"/>
  <c r="AT1215" i="1" a="1"/>
  <c r="AT1215" i="1" s="1"/>
  <c r="AU1215" i="1" a="1"/>
  <c r="AU1215" i="1" s="1"/>
  <c r="AV1215" i="1" a="1"/>
  <c r="AV1215" i="1" s="1"/>
  <c r="AW1215" i="1" a="1"/>
  <c r="AW1215" i="1" s="1"/>
  <c r="AX1215" i="1" a="1"/>
  <c r="AX1215" i="1" s="1"/>
  <c r="AY1215" i="1" a="1"/>
  <c r="AY1215" i="1" s="1"/>
  <c r="AZ1215" i="1" a="1"/>
  <c r="AZ1215" i="1" s="1"/>
  <c r="BA1215" i="1" a="1"/>
  <c r="BA1215" i="1" s="1"/>
  <c r="BB1215" i="1" a="1"/>
  <c r="BB1215" i="1" s="1"/>
  <c r="AL1214" i="1" a="1"/>
  <c r="AL1214" i="1" s="1"/>
  <c r="AM1214" i="1" a="1"/>
  <c r="AM1214" i="1" s="1"/>
  <c r="AN1214" i="1" a="1"/>
  <c r="AN1214" i="1" s="1"/>
  <c r="AO1214" i="1" a="1"/>
  <c r="AO1214" i="1" s="1"/>
  <c r="AP1214" i="1" a="1"/>
  <c r="AP1214" i="1" s="1"/>
  <c r="AQ1214" i="1" a="1"/>
  <c r="AQ1214" i="1" s="1"/>
  <c r="AR1214" i="1" a="1"/>
  <c r="AR1214" i="1" s="1"/>
  <c r="AS1214" i="1" a="1"/>
  <c r="AS1214" i="1" s="1"/>
  <c r="AT1214" i="1" a="1"/>
  <c r="AT1214" i="1" s="1"/>
  <c r="AU1214" i="1" a="1"/>
  <c r="AU1214" i="1" s="1"/>
  <c r="AV1214" i="1" a="1"/>
  <c r="AV1214" i="1" s="1"/>
  <c r="AW1214" i="1" a="1"/>
  <c r="AW1214" i="1" s="1"/>
  <c r="AX1214" i="1" a="1"/>
  <c r="AX1214" i="1" s="1"/>
  <c r="AY1214" i="1" a="1"/>
  <c r="AY1214" i="1" s="1"/>
  <c r="AZ1214" i="1" a="1"/>
  <c r="AZ1214" i="1" s="1"/>
  <c r="BA1214" i="1" a="1"/>
  <c r="BA1214" i="1" s="1"/>
  <c r="BB1214" i="1" a="1"/>
  <c r="BB1214" i="1" s="1"/>
  <c r="AL1217" i="1" a="1"/>
  <c r="AL1217" i="1" s="1"/>
  <c r="AM1217" i="1" a="1"/>
  <c r="AM1217" i="1" s="1"/>
  <c r="AN1217" i="1" a="1"/>
  <c r="AN1217" i="1" s="1"/>
  <c r="AO1217" i="1" a="1"/>
  <c r="AO1217" i="1" s="1"/>
  <c r="AP1217" i="1" a="1"/>
  <c r="AP1217" i="1" s="1"/>
  <c r="AQ1217" i="1" a="1"/>
  <c r="AQ1217" i="1" s="1"/>
  <c r="AR1217" i="1" a="1"/>
  <c r="AR1217" i="1" s="1"/>
  <c r="AS1217" i="1" a="1"/>
  <c r="AS1217" i="1" s="1"/>
  <c r="AT1217" i="1" a="1"/>
  <c r="AT1217" i="1" s="1"/>
  <c r="AU1217" i="1" a="1"/>
  <c r="AU1217" i="1" s="1"/>
  <c r="AV1217" i="1" a="1"/>
  <c r="AV1217" i="1" s="1"/>
  <c r="AW1217" i="1" a="1"/>
  <c r="AW1217" i="1" s="1"/>
  <c r="AX1217" i="1" a="1"/>
  <c r="AX1217" i="1" s="1"/>
  <c r="AY1217" i="1" a="1"/>
  <c r="AY1217" i="1" s="1"/>
  <c r="AZ1217" i="1" a="1"/>
  <c r="AZ1217" i="1" s="1"/>
  <c r="BA1217" i="1" a="1"/>
  <c r="BA1217" i="1" s="1"/>
  <c r="BB1217" i="1" a="1"/>
  <c r="BB1217" i="1" s="1"/>
  <c r="AL1218" i="1" a="1"/>
  <c r="AL1218" i="1" s="1"/>
  <c r="AM1218" i="1" a="1"/>
  <c r="AM1218" i="1" s="1"/>
  <c r="AN1218" i="1" a="1"/>
  <c r="AN1218" i="1" s="1"/>
  <c r="AO1218" i="1" a="1"/>
  <c r="AO1218" i="1" s="1"/>
  <c r="AP1218" i="1" a="1"/>
  <c r="AP1218" i="1" s="1"/>
  <c r="AQ1218" i="1" a="1"/>
  <c r="AQ1218" i="1" s="1"/>
  <c r="AR1218" i="1" a="1"/>
  <c r="AR1218" i="1" s="1"/>
  <c r="AS1218" i="1" a="1"/>
  <c r="AS1218" i="1" s="1"/>
  <c r="AT1218" i="1" a="1"/>
  <c r="AT1218" i="1" s="1"/>
  <c r="AU1218" i="1" a="1"/>
  <c r="AU1218" i="1" s="1"/>
  <c r="AV1218" i="1" a="1"/>
  <c r="AV1218" i="1" s="1"/>
  <c r="AW1218" i="1" a="1"/>
  <c r="AW1218" i="1" s="1"/>
  <c r="AX1218" i="1" a="1"/>
  <c r="AX1218" i="1" s="1"/>
  <c r="AY1218" i="1" a="1"/>
  <c r="AY1218" i="1" s="1"/>
  <c r="AZ1218" i="1" a="1"/>
  <c r="AZ1218" i="1" s="1"/>
  <c r="BA1218" i="1" a="1"/>
  <c r="BA1218" i="1" s="1"/>
  <c r="BB1218" i="1" a="1"/>
  <c r="BB1218" i="1" s="1"/>
  <c r="AL1219" i="1" a="1"/>
  <c r="AL1219" i="1" s="1"/>
  <c r="AM1219" i="1" a="1"/>
  <c r="AM1219" i="1" s="1"/>
  <c r="AN1219" i="1" a="1"/>
  <c r="AN1219" i="1" s="1"/>
  <c r="AO1219" i="1" a="1"/>
  <c r="AO1219" i="1" s="1"/>
  <c r="AP1219" i="1" a="1"/>
  <c r="AP1219" i="1" s="1"/>
  <c r="AQ1219" i="1" a="1"/>
  <c r="AQ1219" i="1" s="1"/>
  <c r="AR1219" i="1" a="1"/>
  <c r="AR1219" i="1" s="1"/>
  <c r="AS1219" i="1" a="1"/>
  <c r="AS1219" i="1" s="1"/>
  <c r="AT1219" i="1" a="1"/>
  <c r="AT1219" i="1" s="1"/>
  <c r="AU1219" i="1" a="1"/>
  <c r="AU1219" i="1" s="1"/>
  <c r="AV1219" i="1" a="1"/>
  <c r="AV1219" i="1" s="1"/>
  <c r="AW1219" i="1" a="1"/>
  <c r="AW1219" i="1" s="1"/>
  <c r="AX1219" i="1" a="1"/>
  <c r="AX1219" i="1" s="1"/>
  <c r="AY1219" i="1" a="1"/>
  <c r="AY1219" i="1" s="1"/>
  <c r="AZ1219" i="1" a="1"/>
  <c r="AZ1219" i="1" s="1"/>
  <c r="BA1219" i="1" a="1"/>
  <c r="BA1219" i="1" s="1"/>
  <c r="BB1219" i="1" a="1"/>
  <c r="BB1219" i="1" s="1"/>
  <c r="AL1216" i="1" a="1"/>
  <c r="AL1216" i="1" s="1"/>
  <c r="AM1216" i="1" a="1"/>
  <c r="AM1216" i="1" s="1"/>
  <c r="AN1216" i="1" a="1"/>
  <c r="AN1216" i="1" s="1"/>
  <c r="AO1216" i="1" a="1"/>
  <c r="AO1216" i="1" s="1"/>
  <c r="AP1216" i="1" a="1"/>
  <c r="AP1216" i="1" s="1"/>
  <c r="AQ1216" i="1" a="1"/>
  <c r="AQ1216" i="1" s="1"/>
  <c r="AR1216" i="1" a="1"/>
  <c r="AR1216" i="1" s="1"/>
  <c r="AS1216" i="1" a="1"/>
  <c r="AS1216" i="1" s="1"/>
  <c r="AT1216" i="1" a="1"/>
  <c r="AT1216" i="1" s="1"/>
  <c r="AU1216" i="1" a="1"/>
  <c r="AU1216" i="1" s="1"/>
  <c r="AV1216" i="1" a="1"/>
  <c r="AV1216" i="1" s="1"/>
  <c r="AW1216" i="1" a="1"/>
  <c r="AW1216" i="1" s="1"/>
  <c r="AX1216" i="1" a="1"/>
  <c r="AX1216" i="1" s="1"/>
  <c r="AY1216" i="1" a="1"/>
  <c r="AY1216" i="1" s="1"/>
  <c r="AZ1216" i="1" a="1"/>
  <c r="AZ1216" i="1" s="1"/>
  <c r="BA1216" i="1" a="1"/>
  <c r="BA1216" i="1" s="1"/>
  <c r="BB1216" i="1" a="1"/>
  <c r="BB1216" i="1" s="1"/>
  <c r="AL1221" i="1" a="1"/>
  <c r="AL1221" i="1" s="1"/>
  <c r="AM1221" i="1" a="1"/>
  <c r="AM1221" i="1" s="1"/>
  <c r="AN1221" i="1" a="1"/>
  <c r="AN1221" i="1" s="1"/>
  <c r="AO1221" i="1" a="1"/>
  <c r="AO1221" i="1" s="1"/>
  <c r="AP1221" i="1" a="1"/>
  <c r="AP1221" i="1" s="1"/>
  <c r="AQ1221" i="1" a="1"/>
  <c r="AQ1221" i="1" s="1"/>
  <c r="AR1221" i="1" a="1"/>
  <c r="AR1221" i="1" s="1"/>
  <c r="AS1221" i="1" a="1"/>
  <c r="AS1221" i="1" s="1"/>
  <c r="AT1221" i="1" a="1"/>
  <c r="AT1221" i="1" s="1"/>
  <c r="AU1221" i="1" a="1"/>
  <c r="AU1221" i="1" s="1"/>
  <c r="AV1221" i="1" a="1"/>
  <c r="AV1221" i="1" s="1"/>
  <c r="AW1221" i="1" a="1"/>
  <c r="AW1221" i="1" s="1"/>
  <c r="AX1221" i="1" a="1"/>
  <c r="AX1221" i="1" s="1"/>
  <c r="AY1221" i="1" a="1"/>
  <c r="AY1221" i="1" s="1"/>
  <c r="AZ1221" i="1" a="1"/>
  <c r="AZ1221" i="1" s="1"/>
  <c r="BA1221" i="1" a="1"/>
  <c r="BA1221" i="1" s="1"/>
  <c r="BB1221" i="1" a="1"/>
  <c r="BB1221" i="1" s="1"/>
  <c r="AL1222" i="1" a="1"/>
  <c r="AL1222" i="1" s="1"/>
  <c r="AM1222" i="1" a="1"/>
  <c r="AM1222" i="1" s="1"/>
  <c r="AN1222" i="1" a="1"/>
  <c r="AN1222" i="1" s="1"/>
  <c r="AO1222" i="1" a="1"/>
  <c r="AO1222" i="1" s="1"/>
  <c r="AP1222" i="1" a="1"/>
  <c r="AP1222" i="1" s="1"/>
  <c r="AQ1222" i="1" a="1"/>
  <c r="AQ1222" i="1" s="1"/>
  <c r="AR1222" i="1" a="1"/>
  <c r="AR1222" i="1" s="1"/>
  <c r="AS1222" i="1" a="1"/>
  <c r="AS1222" i="1" s="1"/>
  <c r="AT1222" i="1" a="1"/>
  <c r="AT1222" i="1" s="1"/>
  <c r="AU1222" i="1" a="1"/>
  <c r="AU1222" i="1" s="1"/>
  <c r="AV1222" i="1" a="1"/>
  <c r="AV1222" i="1" s="1"/>
  <c r="AW1222" i="1" a="1"/>
  <c r="AW1222" i="1" s="1"/>
  <c r="AX1222" i="1" a="1"/>
  <c r="AX1222" i="1" s="1"/>
  <c r="AY1222" i="1" a="1"/>
  <c r="AY1222" i="1" s="1"/>
  <c r="AZ1222" i="1" a="1"/>
  <c r="AZ1222" i="1" s="1"/>
  <c r="BA1222" i="1" a="1"/>
  <c r="BA1222" i="1" s="1"/>
  <c r="BB1222" i="1" a="1"/>
  <c r="BB1222" i="1" s="1"/>
  <c r="AL1220" i="1" a="1"/>
  <c r="AL1220" i="1" s="1"/>
  <c r="AM1220" i="1" a="1"/>
  <c r="AM1220" i="1" s="1"/>
  <c r="AN1220" i="1" a="1"/>
  <c r="AN1220" i="1" s="1"/>
  <c r="AO1220" i="1" a="1"/>
  <c r="AO1220" i="1" s="1"/>
  <c r="AP1220" i="1" a="1"/>
  <c r="AP1220" i="1" s="1"/>
  <c r="AQ1220" i="1" a="1"/>
  <c r="AQ1220" i="1" s="1"/>
  <c r="AR1220" i="1" a="1"/>
  <c r="AR1220" i="1" s="1"/>
  <c r="AS1220" i="1" a="1"/>
  <c r="AS1220" i="1" s="1"/>
  <c r="AT1220" i="1" a="1"/>
  <c r="AT1220" i="1" s="1"/>
  <c r="AU1220" i="1" a="1"/>
  <c r="AU1220" i="1" s="1"/>
  <c r="AV1220" i="1" a="1"/>
  <c r="AV1220" i="1" s="1"/>
  <c r="AW1220" i="1" a="1"/>
  <c r="AW1220" i="1" s="1"/>
  <c r="AX1220" i="1" a="1"/>
  <c r="AX1220" i="1" s="1"/>
  <c r="AY1220" i="1" a="1"/>
  <c r="AY1220" i="1" s="1"/>
  <c r="AZ1220" i="1" a="1"/>
  <c r="AZ1220" i="1" s="1"/>
  <c r="BA1220" i="1" a="1"/>
  <c r="BA1220" i="1" s="1"/>
  <c r="BB1220" i="1" a="1"/>
  <c r="BB1220" i="1" s="1"/>
  <c r="AL1223" i="1" a="1"/>
  <c r="AL1223" i="1" s="1"/>
  <c r="AM1223" i="1" a="1"/>
  <c r="AM1223" i="1" s="1"/>
  <c r="AN1223" i="1" a="1"/>
  <c r="AN1223" i="1" s="1"/>
  <c r="AO1223" i="1" a="1"/>
  <c r="AO1223" i="1" s="1"/>
  <c r="AP1223" i="1" a="1"/>
  <c r="AP1223" i="1" s="1"/>
  <c r="AQ1223" i="1" a="1"/>
  <c r="AQ1223" i="1" s="1"/>
  <c r="AR1223" i="1" a="1"/>
  <c r="AR1223" i="1" s="1"/>
  <c r="AS1223" i="1" a="1"/>
  <c r="AS1223" i="1" s="1"/>
  <c r="AT1223" i="1" a="1"/>
  <c r="AT1223" i="1" s="1"/>
  <c r="AU1223" i="1" a="1"/>
  <c r="AU1223" i="1" s="1"/>
  <c r="AV1223" i="1" a="1"/>
  <c r="AV1223" i="1" s="1"/>
  <c r="AW1223" i="1" a="1"/>
  <c r="AW1223" i="1" s="1"/>
  <c r="AX1223" i="1" a="1"/>
  <c r="AX1223" i="1" s="1"/>
  <c r="AY1223" i="1" a="1"/>
  <c r="AY1223" i="1" s="1"/>
  <c r="AZ1223" i="1" a="1"/>
  <c r="AZ1223" i="1" s="1"/>
  <c r="BA1223" i="1" a="1"/>
  <c r="BA1223" i="1" s="1"/>
  <c r="BB1223" i="1" a="1"/>
  <c r="BB1223" i="1" s="1"/>
  <c r="AL1224" i="1" a="1"/>
  <c r="AL1224" i="1" s="1"/>
  <c r="AM1224" i="1" a="1"/>
  <c r="AM1224" i="1" s="1"/>
  <c r="AN1224" i="1" a="1"/>
  <c r="AN1224" i="1" s="1"/>
  <c r="AO1224" i="1" a="1"/>
  <c r="AO1224" i="1" s="1"/>
  <c r="AP1224" i="1" a="1"/>
  <c r="AP1224" i="1" s="1"/>
  <c r="AQ1224" i="1" a="1"/>
  <c r="AQ1224" i="1" s="1"/>
  <c r="AR1224" i="1" a="1"/>
  <c r="AR1224" i="1" s="1"/>
  <c r="AS1224" i="1" a="1"/>
  <c r="AS1224" i="1" s="1"/>
  <c r="AT1224" i="1" a="1"/>
  <c r="AT1224" i="1" s="1"/>
  <c r="AU1224" i="1" a="1"/>
  <c r="AU1224" i="1" s="1"/>
  <c r="AV1224" i="1" a="1"/>
  <c r="AV1224" i="1" s="1"/>
  <c r="AW1224" i="1" a="1"/>
  <c r="AW1224" i="1" s="1"/>
  <c r="AX1224" i="1" a="1"/>
  <c r="AX1224" i="1" s="1"/>
  <c r="AY1224" i="1" a="1"/>
  <c r="AY1224" i="1" s="1"/>
  <c r="AZ1224" i="1" a="1"/>
  <c r="AZ1224" i="1" s="1"/>
  <c r="BA1224" i="1" a="1"/>
  <c r="BA1224" i="1" s="1"/>
  <c r="BB1224" i="1" a="1"/>
  <c r="BB1224" i="1" s="1"/>
  <c r="AL1225" i="1" a="1"/>
  <c r="AL1225" i="1" s="1"/>
  <c r="AM1225" i="1" a="1"/>
  <c r="AM1225" i="1" s="1"/>
  <c r="AN1225" i="1" a="1"/>
  <c r="AN1225" i="1" s="1"/>
  <c r="AO1225" i="1" a="1"/>
  <c r="AO1225" i="1" s="1"/>
  <c r="AP1225" i="1" a="1"/>
  <c r="AP1225" i="1" s="1"/>
  <c r="AQ1225" i="1" a="1"/>
  <c r="AQ1225" i="1" s="1"/>
  <c r="AR1225" i="1" a="1"/>
  <c r="AR1225" i="1" s="1"/>
  <c r="AS1225" i="1" a="1"/>
  <c r="AS1225" i="1" s="1"/>
  <c r="AT1225" i="1" a="1"/>
  <c r="AT1225" i="1" s="1"/>
  <c r="AU1225" i="1" a="1"/>
  <c r="AU1225" i="1" s="1"/>
  <c r="AV1225" i="1" a="1"/>
  <c r="AV1225" i="1" s="1"/>
  <c r="AW1225" i="1" a="1"/>
  <c r="AW1225" i="1" s="1"/>
  <c r="AX1225" i="1" a="1"/>
  <c r="AX1225" i="1" s="1"/>
  <c r="AY1225" i="1" a="1"/>
  <c r="AY1225" i="1" s="1"/>
  <c r="AZ1225" i="1" a="1"/>
  <c r="AZ1225" i="1" s="1"/>
  <c r="BA1225" i="1" a="1"/>
  <c r="BA1225" i="1" s="1"/>
  <c r="BB1225" i="1" a="1"/>
  <c r="BB1225" i="1" s="1"/>
  <c r="AL1226" i="1" a="1"/>
  <c r="AL1226" i="1" s="1"/>
  <c r="AM1226" i="1" a="1"/>
  <c r="AM1226" i="1" s="1"/>
  <c r="AN1226" i="1" a="1"/>
  <c r="AN1226" i="1" s="1"/>
  <c r="AO1226" i="1" a="1"/>
  <c r="AO1226" i="1" s="1"/>
  <c r="AP1226" i="1" a="1"/>
  <c r="AP1226" i="1" s="1"/>
  <c r="AQ1226" i="1" a="1"/>
  <c r="AQ1226" i="1" s="1"/>
  <c r="AR1226" i="1" a="1"/>
  <c r="AR1226" i="1" s="1"/>
  <c r="AS1226" i="1" a="1"/>
  <c r="AS1226" i="1" s="1"/>
  <c r="AT1226" i="1" a="1"/>
  <c r="AT1226" i="1" s="1"/>
  <c r="AU1226" i="1" a="1"/>
  <c r="AU1226" i="1" s="1"/>
  <c r="AV1226" i="1" a="1"/>
  <c r="AV1226" i="1" s="1"/>
  <c r="AW1226" i="1" a="1"/>
  <c r="AW1226" i="1" s="1"/>
  <c r="AX1226" i="1" a="1"/>
  <c r="AX1226" i="1" s="1"/>
  <c r="AY1226" i="1" a="1"/>
  <c r="AY1226" i="1" s="1"/>
  <c r="AZ1226" i="1" a="1"/>
  <c r="AZ1226" i="1" s="1"/>
  <c r="BA1226" i="1" a="1"/>
  <c r="BA1226" i="1" s="1"/>
  <c r="BB1226" i="1" a="1"/>
  <c r="BB1226" i="1" s="1"/>
  <c r="AL1228" i="1" a="1"/>
  <c r="AL1228" i="1" s="1"/>
  <c r="AM1228" i="1" a="1"/>
  <c r="AM1228" i="1" s="1"/>
  <c r="AN1228" i="1" a="1"/>
  <c r="AN1228" i="1" s="1"/>
  <c r="AO1228" i="1" a="1"/>
  <c r="AO1228" i="1" s="1"/>
  <c r="AP1228" i="1" a="1"/>
  <c r="AP1228" i="1" s="1"/>
  <c r="AQ1228" i="1" a="1"/>
  <c r="AQ1228" i="1" s="1"/>
  <c r="AR1228" i="1" a="1"/>
  <c r="AR1228" i="1" s="1"/>
  <c r="AS1228" i="1" a="1"/>
  <c r="AS1228" i="1" s="1"/>
  <c r="AT1228" i="1" a="1"/>
  <c r="AT1228" i="1" s="1"/>
  <c r="AU1228" i="1" a="1"/>
  <c r="AU1228" i="1" s="1"/>
  <c r="AV1228" i="1" a="1"/>
  <c r="AV1228" i="1" s="1"/>
  <c r="AW1228" i="1" a="1"/>
  <c r="AW1228" i="1" s="1"/>
  <c r="AX1228" i="1" a="1"/>
  <c r="AX1228" i="1" s="1"/>
  <c r="AY1228" i="1" a="1"/>
  <c r="AY1228" i="1" s="1"/>
  <c r="AZ1228" i="1" a="1"/>
  <c r="AZ1228" i="1" s="1"/>
  <c r="BA1228" i="1" a="1"/>
  <c r="BA1228" i="1" s="1"/>
  <c r="BB1228" i="1" a="1"/>
  <c r="BB1228" i="1" s="1"/>
  <c r="AL1229" i="1" a="1"/>
  <c r="AL1229" i="1" s="1"/>
  <c r="AM1229" i="1" a="1"/>
  <c r="AM1229" i="1" s="1"/>
  <c r="AN1229" i="1" a="1"/>
  <c r="AN1229" i="1" s="1"/>
  <c r="AO1229" i="1" a="1"/>
  <c r="AO1229" i="1" s="1"/>
  <c r="AP1229" i="1" a="1"/>
  <c r="AP1229" i="1" s="1"/>
  <c r="AQ1229" i="1" a="1"/>
  <c r="AQ1229" i="1" s="1"/>
  <c r="AR1229" i="1" a="1"/>
  <c r="AR1229" i="1" s="1"/>
  <c r="AS1229" i="1" a="1"/>
  <c r="AS1229" i="1" s="1"/>
  <c r="AT1229" i="1" a="1"/>
  <c r="AT1229" i="1" s="1"/>
  <c r="AU1229" i="1" a="1"/>
  <c r="AU1229" i="1" s="1"/>
  <c r="AV1229" i="1" a="1"/>
  <c r="AV1229" i="1" s="1"/>
  <c r="AW1229" i="1" a="1"/>
  <c r="AW1229" i="1" s="1"/>
  <c r="AX1229" i="1" a="1"/>
  <c r="AX1229" i="1" s="1"/>
  <c r="AY1229" i="1" a="1"/>
  <c r="AY1229" i="1" s="1"/>
  <c r="AZ1229" i="1" a="1"/>
  <c r="AZ1229" i="1" s="1"/>
  <c r="BA1229" i="1" a="1"/>
  <c r="BA1229" i="1" s="1"/>
  <c r="BB1229" i="1" a="1"/>
  <c r="BB1229" i="1" s="1"/>
  <c r="AL1227" i="1" a="1"/>
  <c r="AL1227" i="1" s="1"/>
  <c r="AM1227" i="1" a="1"/>
  <c r="AM1227" i="1" s="1"/>
  <c r="AN1227" i="1" a="1"/>
  <c r="AN1227" i="1" s="1"/>
  <c r="AO1227" i="1" a="1"/>
  <c r="AO1227" i="1" s="1"/>
  <c r="AP1227" i="1" a="1"/>
  <c r="AP1227" i="1" s="1"/>
  <c r="AQ1227" i="1" a="1"/>
  <c r="AQ1227" i="1" s="1"/>
  <c r="AR1227" i="1" a="1"/>
  <c r="AR1227" i="1" s="1"/>
  <c r="AS1227" i="1" a="1"/>
  <c r="AS1227" i="1" s="1"/>
  <c r="AT1227" i="1" a="1"/>
  <c r="AT1227" i="1" s="1"/>
  <c r="AU1227" i="1" a="1"/>
  <c r="AU1227" i="1" s="1"/>
  <c r="AV1227" i="1" a="1"/>
  <c r="AV1227" i="1" s="1"/>
  <c r="AW1227" i="1" a="1"/>
  <c r="AW1227" i="1" s="1"/>
  <c r="AX1227" i="1" a="1"/>
  <c r="AX1227" i="1" s="1"/>
  <c r="AY1227" i="1" a="1"/>
  <c r="AY1227" i="1" s="1"/>
  <c r="AZ1227" i="1" a="1"/>
  <c r="AZ1227" i="1" s="1"/>
  <c r="BA1227" i="1" a="1"/>
  <c r="BA1227" i="1" s="1"/>
  <c r="BB1227" i="1" a="1"/>
  <c r="BB1227" i="1" s="1"/>
  <c r="AL1231" i="1" a="1"/>
  <c r="AL1231" i="1" s="1"/>
  <c r="AM1231" i="1" a="1"/>
  <c r="AM1231" i="1" s="1"/>
  <c r="AN1231" i="1" a="1"/>
  <c r="AN1231" i="1" s="1"/>
  <c r="AO1231" i="1" a="1"/>
  <c r="AO1231" i="1" s="1"/>
  <c r="AP1231" i="1" a="1"/>
  <c r="AP1231" i="1" s="1"/>
  <c r="AQ1231" i="1" a="1"/>
  <c r="AQ1231" i="1" s="1"/>
  <c r="AR1231" i="1" a="1"/>
  <c r="AR1231" i="1" s="1"/>
  <c r="AS1231" i="1" a="1"/>
  <c r="AS1231" i="1" s="1"/>
  <c r="AT1231" i="1" a="1"/>
  <c r="AT1231" i="1" s="1"/>
  <c r="AU1231" i="1" a="1"/>
  <c r="AU1231" i="1" s="1"/>
  <c r="AV1231" i="1" a="1"/>
  <c r="AV1231" i="1" s="1"/>
  <c r="AW1231" i="1" a="1"/>
  <c r="AW1231" i="1" s="1"/>
  <c r="AX1231" i="1" a="1"/>
  <c r="AX1231" i="1" s="1"/>
  <c r="AY1231" i="1" a="1"/>
  <c r="AY1231" i="1" s="1"/>
  <c r="AZ1231" i="1" a="1"/>
  <c r="AZ1231" i="1" s="1"/>
  <c r="BA1231" i="1" a="1"/>
  <c r="BA1231" i="1" s="1"/>
  <c r="BB1231" i="1" a="1"/>
  <c r="BB1231" i="1" s="1"/>
  <c r="AL1230" i="1" a="1"/>
  <c r="AL1230" i="1" s="1"/>
  <c r="AM1230" i="1" a="1"/>
  <c r="AM1230" i="1" s="1"/>
  <c r="AN1230" i="1" a="1"/>
  <c r="AN1230" i="1" s="1"/>
  <c r="AO1230" i="1" a="1"/>
  <c r="AO1230" i="1" s="1"/>
  <c r="AP1230" i="1" a="1"/>
  <c r="AP1230" i="1" s="1"/>
  <c r="AQ1230" i="1" a="1"/>
  <c r="AQ1230" i="1" s="1"/>
  <c r="AR1230" i="1" a="1"/>
  <c r="AR1230" i="1" s="1"/>
  <c r="AS1230" i="1" a="1"/>
  <c r="AS1230" i="1" s="1"/>
  <c r="AT1230" i="1" a="1"/>
  <c r="AT1230" i="1" s="1"/>
  <c r="AU1230" i="1" a="1"/>
  <c r="AU1230" i="1" s="1"/>
  <c r="AV1230" i="1" a="1"/>
  <c r="AV1230" i="1" s="1"/>
  <c r="AW1230" i="1" a="1"/>
  <c r="AW1230" i="1" s="1"/>
  <c r="AX1230" i="1" a="1"/>
  <c r="AX1230" i="1" s="1"/>
  <c r="AY1230" i="1" a="1"/>
  <c r="AY1230" i="1" s="1"/>
  <c r="AZ1230" i="1" a="1"/>
  <c r="AZ1230" i="1" s="1"/>
  <c r="BA1230" i="1" a="1"/>
  <c r="BA1230" i="1" s="1"/>
  <c r="BB1230" i="1" a="1"/>
  <c r="BB1230" i="1" s="1"/>
  <c r="AL1232" i="1" a="1"/>
  <c r="AL1232" i="1" s="1"/>
  <c r="AM1232" i="1" a="1"/>
  <c r="AM1232" i="1" s="1"/>
  <c r="AN1232" i="1" a="1"/>
  <c r="AN1232" i="1" s="1"/>
  <c r="AO1232" i="1" a="1"/>
  <c r="AO1232" i="1" s="1"/>
  <c r="AP1232" i="1" a="1"/>
  <c r="AP1232" i="1" s="1"/>
  <c r="AQ1232" i="1" a="1"/>
  <c r="AQ1232" i="1" s="1"/>
  <c r="AR1232" i="1" a="1"/>
  <c r="AR1232" i="1" s="1"/>
  <c r="AS1232" i="1" a="1"/>
  <c r="AS1232" i="1" s="1"/>
  <c r="AT1232" i="1" a="1"/>
  <c r="AT1232" i="1" s="1"/>
  <c r="AU1232" i="1" a="1"/>
  <c r="AU1232" i="1" s="1"/>
  <c r="AV1232" i="1" a="1"/>
  <c r="AV1232" i="1" s="1"/>
  <c r="AW1232" i="1" a="1"/>
  <c r="AW1232" i="1" s="1"/>
  <c r="AX1232" i="1" a="1"/>
  <c r="AX1232" i="1" s="1"/>
  <c r="AY1232" i="1" a="1"/>
  <c r="AY1232" i="1" s="1"/>
  <c r="AZ1232" i="1" a="1"/>
  <c r="AZ1232" i="1" s="1"/>
  <c r="BA1232" i="1" a="1"/>
  <c r="BA1232" i="1" s="1"/>
  <c r="BB1232" i="1" a="1"/>
  <c r="BB1232" i="1" s="1"/>
  <c r="AL1233" i="1" a="1"/>
  <c r="AL1233" i="1" s="1"/>
  <c r="AM1233" i="1" a="1"/>
  <c r="AM1233" i="1" s="1"/>
  <c r="AN1233" i="1" a="1"/>
  <c r="AN1233" i="1" s="1"/>
  <c r="AO1233" i="1" a="1"/>
  <c r="AO1233" i="1" s="1"/>
  <c r="AP1233" i="1" a="1"/>
  <c r="AP1233" i="1" s="1"/>
  <c r="AQ1233" i="1" a="1"/>
  <c r="AQ1233" i="1" s="1"/>
  <c r="AR1233" i="1" a="1"/>
  <c r="AR1233" i="1" s="1"/>
  <c r="AS1233" i="1" a="1"/>
  <c r="AS1233" i="1" s="1"/>
  <c r="AT1233" i="1" a="1"/>
  <c r="AT1233" i="1" s="1"/>
  <c r="AU1233" i="1" a="1"/>
  <c r="AU1233" i="1" s="1"/>
  <c r="AV1233" i="1" a="1"/>
  <c r="AV1233" i="1" s="1"/>
  <c r="AW1233" i="1" a="1"/>
  <c r="AW1233" i="1" s="1"/>
  <c r="AX1233" i="1" a="1"/>
  <c r="AX1233" i="1" s="1"/>
  <c r="AY1233" i="1" a="1"/>
  <c r="AY1233" i="1" s="1"/>
  <c r="AZ1233" i="1" a="1"/>
  <c r="AZ1233" i="1" s="1"/>
  <c r="BA1233" i="1" a="1"/>
  <c r="BA1233" i="1" s="1"/>
  <c r="BB1233" i="1" a="1"/>
  <c r="BB1233" i="1" s="1"/>
  <c r="AL1234" i="1" a="1"/>
  <c r="AL1234" i="1" s="1"/>
  <c r="AM1234" i="1" a="1"/>
  <c r="AM1234" i="1" s="1"/>
  <c r="AN1234" i="1" a="1"/>
  <c r="AN1234" i="1" s="1"/>
  <c r="AO1234" i="1" a="1"/>
  <c r="AO1234" i="1" s="1"/>
  <c r="AP1234" i="1" a="1"/>
  <c r="AP1234" i="1" s="1"/>
  <c r="AQ1234" i="1" a="1"/>
  <c r="AQ1234" i="1" s="1"/>
  <c r="AR1234" i="1" a="1"/>
  <c r="AR1234" i="1" s="1"/>
  <c r="AS1234" i="1" a="1"/>
  <c r="AS1234" i="1" s="1"/>
  <c r="AT1234" i="1" a="1"/>
  <c r="AT1234" i="1" s="1"/>
  <c r="AU1234" i="1" a="1"/>
  <c r="AU1234" i="1" s="1"/>
  <c r="AV1234" i="1" a="1"/>
  <c r="AV1234" i="1" s="1"/>
  <c r="AW1234" i="1" a="1"/>
  <c r="AW1234" i="1" s="1"/>
  <c r="AX1234" i="1" a="1"/>
  <c r="AX1234" i="1" s="1"/>
  <c r="AY1234" i="1" a="1"/>
  <c r="AY1234" i="1" s="1"/>
  <c r="AZ1234" i="1" a="1"/>
  <c r="AZ1234" i="1" s="1"/>
  <c r="BA1234" i="1" a="1"/>
  <c r="BA1234" i="1" s="1"/>
  <c r="BB1234" i="1" a="1"/>
  <c r="BB1234" i="1" s="1"/>
  <c r="AL1235" i="1" a="1"/>
  <c r="AL1235" i="1" s="1"/>
  <c r="AM1235" i="1" a="1"/>
  <c r="AM1235" i="1" s="1"/>
  <c r="AN1235" i="1" a="1"/>
  <c r="AN1235" i="1" s="1"/>
  <c r="AO1235" i="1" a="1"/>
  <c r="AO1235" i="1" s="1"/>
  <c r="AP1235" i="1" a="1"/>
  <c r="AP1235" i="1" s="1"/>
  <c r="AQ1235" i="1" a="1"/>
  <c r="AQ1235" i="1" s="1"/>
  <c r="AR1235" i="1" a="1"/>
  <c r="AR1235" i="1" s="1"/>
  <c r="AS1235" i="1" a="1"/>
  <c r="AS1235" i="1" s="1"/>
  <c r="AT1235" i="1" a="1"/>
  <c r="AT1235" i="1" s="1"/>
  <c r="AU1235" i="1" a="1"/>
  <c r="AU1235" i="1" s="1"/>
  <c r="AV1235" i="1" a="1"/>
  <c r="AV1235" i="1" s="1"/>
  <c r="AW1235" i="1" a="1"/>
  <c r="AW1235" i="1" s="1"/>
  <c r="AX1235" i="1" a="1"/>
  <c r="AX1235" i="1" s="1"/>
  <c r="AY1235" i="1" a="1"/>
  <c r="AY1235" i="1" s="1"/>
  <c r="AZ1235" i="1" a="1"/>
  <c r="AZ1235" i="1" s="1"/>
  <c r="BA1235" i="1" a="1"/>
  <c r="BA1235" i="1" s="1"/>
  <c r="BB1235" i="1" a="1"/>
  <c r="BB1235" i="1" s="1"/>
  <c r="AL1236" i="1" a="1"/>
  <c r="AL1236" i="1" s="1"/>
  <c r="AM1236" i="1" a="1"/>
  <c r="AM1236" i="1" s="1"/>
  <c r="AN1236" i="1" a="1"/>
  <c r="AN1236" i="1" s="1"/>
  <c r="AO1236" i="1" a="1"/>
  <c r="AO1236" i="1" s="1"/>
  <c r="AP1236" i="1" a="1"/>
  <c r="AP1236" i="1" s="1"/>
  <c r="AQ1236" i="1" a="1"/>
  <c r="AQ1236" i="1" s="1"/>
  <c r="AR1236" i="1" a="1"/>
  <c r="AR1236" i="1" s="1"/>
  <c r="AS1236" i="1" a="1"/>
  <c r="AS1236" i="1" s="1"/>
  <c r="AT1236" i="1" a="1"/>
  <c r="AT1236" i="1" s="1"/>
  <c r="AU1236" i="1" a="1"/>
  <c r="AU1236" i="1" s="1"/>
  <c r="AV1236" i="1" a="1"/>
  <c r="AV1236" i="1" s="1"/>
  <c r="AW1236" i="1" a="1"/>
  <c r="AW1236" i="1" s="1"/>
  <c r="AX1236" i="1" a="1"/>
  <c r="AX1236" i="1" s="1"/>
  <c r="AY1236" i="1" a="1"/>
  <c r="AY1236" i="1" s="1"/>
  <c r="AZ1236" i="1" a="1"/>
  <c r="AZ1236" i="1" s="1"/>
  <c r="BA1236" i="1" a="1"/>
  <c r="BA1236" i="1" s="1"/>
  <c r="BB1236" i="1" a="1"/>
  <c r="BB1236" i="1" s="1"/>
  <c r="AL1238" i="1" a="1"/>
  <c r="AL1238" i="1" s="1"/>
  <c r="AM1238" i="1" a="1"/>
  <c r="AM1238" i="1" s="1"/>
  <c r="AN1238" i="1" a="1"/>
  <c r="AN1238" i="1" s="1"/>
  <c r="AO1238" i="1" a="1"/>
  <c r="AO1238" i="1" s="1"/>
  <c r="AP1238" i="1" a="1"/>
  <c r="AP1238" i="1" s="1"/>
  <c r="AQ1238" i="1" a="1"/>
  <c r="AQ1238" i="1" s="1"/>
  <c r="AR1238" i="1" a="1"/>
  <c r="AR1238" i="1" s="1"/>
  <c r="AS1238" i="1" a="1"/>
  <c r="AS1238" i="1" s="1"/>
  <c r="AT1238" i="1" a="1"/>
  <c r="AT1238" i="1" s="1"/>
  <c r="AU1238" i="1" a="1"/>
  <c r="AU1238" i="1" s="1"/>
  <c r="AV1238" i="1" a="1"/>
  <c r="AV1238" i="1" s="1"/>
  <c r="AW1238" i="1" a="1"/>
  <c r="AW1238" i="1" s="1"/>
  <c r="AX1238" i="1" a="1"/>
  <c r="AX1238" i="1" s="1"/>
  <c r="AY1238" i="1" a="1"/>
  <c r="AY1238" i="1" s="1"/>
  <c r="AZ1238" i="1" a="1"/>
  <c r="AZ1238" i="1" s="1"/>
  <c r="BA1238" i="1" a="1"/>
  <c r="BA1238" i="1" s="1"/>
  <c r="BB1238" i="1" a="1"/>
  <c r="BB1238" i="1" s="1"/>
  <c r="AL1239" i="1" a="1"/>
  <c r="AL1239" i="1" s="1"/>
  <c r="AM1239" i="1" a="1"/>
  <c r="AM1239" i="1" s="1"/>
  <c r="AN1239" i="1" a="1"/>
  <c r="AN1239" i="1" s="1"/>
  <c r="AO1239" i="1" a="1"/>
  <c r="AO1239" i="1" s="1"/>
  <c r="AP1239" i="1" a="1"/>
  <c r="AP1239" i="1" s="1"/>
  <c r="AQ1239" i="1" a="1"/>
  <c r="AQ1239" i="1" s="1"/>
  <c r="AR1239" i="1" a="1"/>
  <c r="AR1239" i="1" s="1"/>
  <c r="AS1239" i="1" a="1"/>
  <c r="AS1239" i="1" s="1"/>
  <c r="AT1239" i="1" a="1"/>
  <c r="AT1239" i="1" s="1"/>
  <c r="AU1239" i="1" a="1"/>
  <c r="AU1239" i="1" s="1"/>
  <c r="AV1239" i="1" a="1"/>
  <c r="AV1239" i="1" s="1"/>
  <c r="AW1239" i="1" a="1"/>
  <c r="AW1239" i="1" s="1"/>
  <c r="AX1239" i="1" a="1"/>
  <c r="AX1239" i="1" s="1"/>
  <c r="AY1239" i="1" a="1"/>
  <c r="AY1239" i="1" s="1"/>
  <c r="AZ1239" i="1" a="1"/>
  <c r="AZ1239" i="1" s="1"/>
  <c r="BA1239" i="1" a="1"/>
  <c r="BA1239" i="1" s="1"/>
  <c r="BB1239" i="1" a="1"/>
  <c r="BB1239" i="1" s="1"/>
  <c r="AL1240" i="1" a="1"/>
  <c r="AL1240" i="1" s="1"/>
  <c r="AM1240" i="1" a="1"/>
  <c r="AM1240" i="1" s="1"/>
  <c r="AN1240" i="1" a="1"/>
  <c r="AN1240" i="1" s="1"/>
  <c r="AO1240" i="1" a="1"/>
  <c r="AO1240" i="1" s="1"/>
  <c r="AP1240" i="1" a="1"/>
  <c r="AP1240" i="1" s="1"/>
  <c r="AQ1240" i="1" a="1"/>
  <c r="AQ1240" i="1" s="1"/>
  <c r="AR1240" i="1" a="1"/>
  <c r="AR1240" i="1" s="1"/>
  <c r="AS1240" i="1" a="1"/>
  <c r="AS1240" i="1" s="1"/>
  <c r="AT1240" i="1" a="1"/>
  <c r="AT1240" i="1" s="1"/>
  <c r="AU1240" i="1" a="1"/>
  <c r="AU1240" i="1" s="1"/>
  <c r="AV1240" i="1" a="1"/>
  <c r="AV1240" i="1" s="1"/>
  <c r="AW1240" i="1" a="1"/>
  <c r="AW1240" i="1" s="1"/>
  <c r="AX1240" i="1" a="1"/>
  <c r="AX1240" i="1" s="1"/>
  <c r="AY1240" i="1" a="1"/>
  <c r="AY1240" i="1" s="1"/>
  <c r="AZ1240" i="1" a="1"/>
  <c r="AZ1240" i="1" s="1"/>
  <c r="BA1240" i="1" a="1"/>
  <c r="BA1240" i="1" s="1"/>
  <c r="BB1240" i="1" a="1"/>
  <c r="BB1240" i="1" s="1"/>
  <c r="AL1237" i="1" a="1"/>
  <c r="AL1237" i="1" s="1"/>
  <c r="AM1237" i="1" a="1"/>
  <c r="AM1237" i="1" s="1"/>
  <c r="AN1237" i="1" a="1"/>
  <c r="AN1237" i="1" s="1"/>
  <c r="AO1237" i="1" a="1"/>
  <c r="AO1237" i="1" s="1"/>
  <c r="AP1237" i="1" a="1"/>
  <c r="AP1237" i="1" s="1"/>
  <c r="AQ1237" i="1" a="1"/>
  <c r="AQ1237" i="1" s="1"/>
  <c r="AR1237" i="1" a="1"/>
  <c r="AR1237" i="1" s="1"/>
  <c r="AS1237" i="1" a="1"/>
  <c r="AS1237" i="1" s="1"/>
  <c r="AT1237" i="1" a="1"/>
  <c r="AT1237" i="1" s="1"/>
  <c r="AU1237" i="1" a="1"/>
  <c r="AU1237" i="1" s="1"/>
  <c r="AV1237" i="1" a="1"/>
  <c r="AV1237" i="1" s="1"/>
  <c r="AW1237" i="1" a="1"/>
  <c r="AW1237" i="1" s="1"/>
  <c r="AX1237" i="1" a="1"/>
  <c r="AX1237" i="1" s="1"/>
  <c r="AY1237" i="1" a="1"/>
  <c r="AY1237" i="1" s="1"/>
  <c r="AZ1237" i="1" a="1"/>
  <c r="AZ1237" i="1" s="1"/>
  <c r="BA1237" i="1" a="1"/>
  <c r="BA1237" i="1" s="1"/>
  <c r="BB1237" i="1" a="1"/>
  <c r="BB1237" i="1" s="1"/>
  <c r="AL1242" i="1" a="1"/>
  <c r="AL1242" i="1" s="1"/>
  <c r="AM1242" i="1" a="1"/>
  <c r="AM1242" i="1" s="1"/>
  <c r="AN1242" i="1" a="1"/>
  <c r="AN1242" i="1" s="1"/>
  <c r="AO1242" i="1" a="1"/>
  <c r="AO1242" i="1" s="1"/>
  <c r="AP1242" i="1" a="1"/>
  <c r="AP1242" i="1" s="1"/>
  <c r="AQ1242" i="1" a="1"/>
  <c r="AQ1242" i="1" s="1"/>
  <c r="AR1242" i="1" a="1"/>
  <c r="AR1242" i="1" s="1"/>
  <c r="AS1242" i="1" a="1"/>
  <c r="AS1242" i="1" s="1"/>
  <c r="AT1242" i="1" a="1"/>
  <c r="AT1242" i="1" s="1"/>
  <c r="AU1242" i="1" a="1"/>
  <c r="AU1242" i="1" s="1"/>
  <c r="AV1242" i="1" a="1"/>
  <c r="AV1242" i="1" s="1"/>
  <c r="AW1242" i="1" a="1"/>
  <c r="AW1242" i="1" s="1"/>
  <c r="AX1242" i="1" a="1"/>
  <c r="AX1242" i="1" s="1"/>
  <c r="AY1242" i="1" a="1"/>
  <c r="AY1242" i="1" s="1"/>
  <c r="AZ1242" i="1" a="1"/>
  <c r="AZ1242" i="1" s="1"/>
  <c r="BA1242" i="1" a="1"/>
  <c r="BA1242" i="1" s="1"/>
  <c r="BB1242" i="1" a="1"/>
  <c r="BB1242" i="1" s="1"/>
  <c r="AL1243" i="1" a="1"/>
  <c r="AL1243" i="1" s="1"/>
  <c r="AM1243" i="1" a="1"/>
  <c r="AM1243" i="1" s="1"/>
  <c r="AN1243" i="1" a="1"/>
  <c r="AN1243" i="1" s="1"/>
  <c r="AO1243" i="1" a="1"/>
  <c r="AO1243" i="1" s="1"/>
  <c r="AP1243" i="1" a="1"/>
  <c r="AP1243" i="1" s="1"/>
  <c r="AQ1243" i="1" a="1"/>
  <c r="AQ1243" i="1" s="1"/>
  <c r="AR1243" i="1" a="1"/>
  <c r="AR1243" i="1" s="1"/>
  <c r="AS1243" i="1" a="1"/>
  <c r="AS1243" i="1" s="1"/>
  <c r="AT1243" i="1" a="1"/>
  <c r="AT1243" i="1" s="1"/>
  <c r="AU1243" i="1" a="1"/>
  <c r="AU1243" i="1" s="1"/>
  <c r="AV1243" i="1" a="1"/>
  <c r="AV1243" i="1" s="1"/>
  <c r="AW1243" i="1" a="1"/>
  <c r="AW1243" i="1" s="1"/>
  <c r="AX1243" i="1" a="1"/>
  <c r="AX1243" i="1" s="1"/>
  <c r="AY1243" i="1" a="1"/>
  <c r="AY1243" i="1" s="1"/>
  <c r="AZ1243" i="1" a="1"/>
  <c r="AZ1243" i="1" s="1"/>
  <c r="BA1243" i="1" a="1"/>
  <c r="BA1243" i="1" s="1"/>
  <c r="BB1243" i="1" a="1"/>
  <c r="BB1243" i="1" s="1"/>
  <c r="AL1244" i="1" a="1"/>
  <c r="AL1244" i="1" s="1"/>
  <c r="AM1244" i="1" a="1"/>
  <c r="AM1244" i="1" s="1"/>
  <c r="AN1244" i="1" a="1"/>
  <c r="AN1244" i="1" s="1"/>
  <c r="AO1244" i="1" a="1"/>
  <c r="AO1244" i="1" s="1"/>
  <c r="AP1244" i="1" a="1"/>
  <c r="AP1244" i="1" s="1"/>
  <c r="AQ1244" i="1" a="1"/>
  <c r="AQ1244" i="1" s="1"/>
  <c r="AR1244" i="1" a="1"/>
  <c r="AR1244" i="1" s="1"/>
  <c r="AS1244" i="1" a="1"/>
  <c r="AS1244" i="1" s="1"/>
  <c r="AT1244" i="1" a="1"/>
  <c r="AT1244" i="1" s="1"/>
  <c r="AU1244" i="1" a="1"/>
  <c r="AU1244" i="1" s="1"/>
  <c r="AV1244" i="1" a="1"/>
  <c r="AV1244" i="1" s="1"/>
  <c r="AW1244" i="1" a="1"/>
  <c r="AW1244" i="1" s="1"/>
  <c r="AX1244" i="1" a="1"/>
  <c r="AX1244" i="1" s="1"/>
  <c r="AY1244" i="1" a="1"/>
  <c r="AY1244" i="1" s="1"/>
  <c r="AZ1244" i="1" a="1"/>
  <c r="AZ1244" i="1" s="1"/>
  <c r="BA1244" i="1" a="1"/>
  <c r="BA1244" i="1" s="1"/>
  <c r="BB1244" i="1" a="1"/>
  <c r="BB1244" i="1" s="1"/>
  <c r="AL1245" i="1" a="1"/>
  <c r="AL1245" i="1" s="1"/>
  <c r="AM1245" i="1" a="1"/>
  <c r="AM1245" i="1" s="1"/>
  <c r="AN1245" i="1" a="1"/>
  <c r="AN1245" i="1" s="1"/>
  <c r="AO1245" i="1" a="1"/>
  <c r="AO1245" i="1" s="1"/>
  <c r="AP1245" i="1" a="1"/>
  <c r="AP1245" i="1" s="1"/>
  <c r="AQ1245" i="1" a="1"/>
  <c r="AQ1245" i="1" s="1"/>
  <c r="AR1245" i="1" a="1"/>
  <c r="AR1245" i="1" s="1"/>
  <c r="AS1245" i="1" a="1"/>
  <c r="AS1245" i="1" s="1"/>
  <c r="AT1245" i="1" a="1"/>
  <c r="AT1245" i="1" s="1"/>
  <c r="AU1245" i="1" a="1"/>
  <c r="AU1245" i="1" s="1"/>
  <c r="AV1245" i="1" a="1"/>
  <c r="AV1245" i="1" s="1"/>
  <c r="AW1245" i="1" a="1"/>
  <c r="AW1245" i="1" s="1"/>
  <c r="AX1245" i="1" a="1"/>
  <c r="AX1245" i="1" s="1"/>
  <c r="AY1245" i="1" a="1"/>
  <c r="AY1245" i="1" s="1"/>
  <c r="AZ1245" i="1" a="1"/>
  <c r="AZ1245" i="1" s="1"/>
  <c r="BA1245" i="1" a="1"/>
  <c r="BA1245" i="1" s="1"/>
  <c r="BB1245" i="1" a="1"/>
  <c r="BB1245" i="1" s="1"/>
  <c r="AL1246" i="1" a="1"/>
  <c r="AL1246" i="1" s="1"/>
  <c r="AM1246" i="1" a="1"/>
  <c r="AM1246" i="1" s="1"/>
  <c r="AN1246" i="1" a="1"/>
  <c r="AN1246" i="1" s="1"/>
  <c r="AO1246" i="1" a="1"/>
  <c r="AO1246" i="1" s="1"/>
  <c r="AP1246" i="1" a="1"/>
  <c r="AP1246" i="1" s="1"/>
  <c r="AQ1246" i="1" a="1"/>
  <c r="AQ1246" i="1" s="1"/>
  <c r="AR1246" i="1" a="1"/>
  <c r="AR1246" i="1" s="1"/>
  <c r="AS1246" i="1" a="1"/>
  <c r="AS1246" i="1" s="1"/>
  <c r="AT1246" i="1" a="1"/>
  <c r="AT1246" i="1" s="1"/>
  <c r="AU1246" i="1" a="1"/>
  <c r="AU1246" i="1" s="1"/>
  <c r="AV1246" i="1" a="1"/>
  <c r="AV1246" i="1" s="1"/>
  <c r="AW1246" i="1" a="1"/>
  <c r="AW1246" i="1" s="1"/>
  <c r="AX1246" i="1" a="1"/>
  <c r="AX1246" i="1" s="1"/>
  <c r="AY1246" i="1" a="1"/>
  <c r="AY1246" i="1" s="1"/>
  <c r="AZ1246" i="1" a="1"/>
  <c r="AZ1246" i="1" s="1"/>
  <c r="BA1246" i="1" a="1"/>
  <c r="BA1246" i="1" s="1"/>
  <c r="BB1246" i="1" a="1"/>
  <c r="BB1246" i="1" s="1"/>
  <c r="AL1247" i="1" a="1"/>
  <c r="AL1247" i="1" s="1"/>
  <c r="AM1247" i="1" a="1"/>
  <c r="AM1247" i="1" s="1"/>
  <c r="AN1247" i="1" a="1"/>
  <c r="AN1247" i="1" s="1"/>
  <c r="AO1247" i="1" a="1"/>
  <c r="AO1247" i="1" s="1"/>
  <c r="AP1247" i="1" a="1"/>
  <c r="AP1247" i="1" s="1"/>
  <c r="AQ1247" i="1" a="1"/>
  <c r="AQ1247" i="1" s="1"/>
  <c r="AR1247" i="1" a="1"/>
  <c r="AR1247" i="1" s="1"/>
  <c r="AS1247" i="1" a="1"/>
  <c r="AS1247" i="1" s="1"/>
  <c r="AT1247" i="1" a="1"/>
  <c r="AT1247" i="1" s="1"/>
  <c r="AU1247" i="1" a="1"/>
  <c r="AU1247" i="1" s="1"/>
  <c r="AV1247" i="1" a="1"/>
  <c r="AV1247" i="1" s="1"/>
  <c r="AW1247" i="1" a="1"/>
  <c r="AW1247" i="1" s="1"/>
  <c r="AX1247" i="1" a="1"/>
  <c r="AX1247" i="1" s="1"/>
  <c r="AY1247" i="1" a="1"/>
  <c r="AY1247" i="1" s="1"/>
  <c r="AZ1247" i="1" a="1"/>
  <c r="AZ1247" i="1" s="1"/>
  <c r="BA1247" i="1" a="1"/>
  <c r="BA1247" i="1" s="1"/>
  <c r="BB1247" i="1" a="1"/>
  <c r="BB1247" i="1" s="1"/>
  <c r="AL1241" i="1" a="1"/>
  <c r="AL1241" i="1" s="1"/>
  <c r="AM1241" i="1" a="1"/>
  <c r="AM1241" i="1" s="1"/>
  <c r="AN1241" i="1" a="1"/>
  <c r="AN1241" i="1" s="1"/>
  <c r="AO1241" i="1" a="1"/>
  <c r="AO1241" i="1" s="1"/>
  <c r="AP1241" i="1" a="1"/>
  <c r="AP1241" i="1" s="1"/>
  <c r="AQ1241" i="1" a="1"/>
  <c r="AQ1241" i="1" s="1"/>
  <c r="AR1241" i="1" a="1"/>
  <c r="AR1241" i="1" s="1"/>
  <c r="AS1241" i="1" a="1"/>
  <c r="AS1241" i="1" s="1"/>
  <c r="AT1241" i="1" a="1"/>
  <c r="AT1241" i="1" s="1"/>
  <c r="AU1241" i="1" a="1"/>
  <c r="AU1241" i="1" s="1"/>
  <c r="AV1241" i="1" a="1"/>
  <c r="AV1241" i="1" s="1"/>
  <c r="AW1241" i="1" a="1"/>
  <c r="AW1241" i="1" s="1"/>
  <c r="AX1241" i="1" a="1"/>
  <c r="AX1241" i="1" s="1"/>
  <c r="AY1241" i="1" a="1"/>
  <c r="AY1241" i="1" s="1"/>
  <c r="AZ1241" i="1" a="1"/>
  <c r="AZ1241" i="1" s="1"/>
  <c r="BA1241" i="1" a="1"/>
  <c r="BA1241" i="1" s="1"/>
  <c r="BB1241" i="1" a="1"/>
  <c r="BB1241" i="1" s="1"/>
  <c r="AL1248" i="1" a="1"/>
  <c r="AL1248" i="1" s="1"/>
  <c r="AM1248" i="1" a="1"/>
  <c r="AM1248" i="1" s="1"/>
  <c r="AN1248" i="1" a="1"/>
  <c r="AN1248" i="1" s="1"/>
  <c r="AO1248" i="1" a="1"/>
  <c r="AO1248" i="1" s="1"/>
  <c r="AP1248" i="1" a="1"/>
  <c r="AP1248" i="1" s="1"/>
  <c r="AQ1248" i="1" a="1"/>
  <c r="AQ1248" i="1" s="1"/>
  <c r="AR1248" i="1" a="1"/>
  <c r="AR1248" i="1" s="1"/>
  <c r="AS1248" i="1" a="1"/>
  <c r="AS1248" i="1" s="1"/>
  <c r="AT1248" i="1" a="1"/>
  <c r="AT1248" i="1" s="1"/>
  <c r="AU1248" i="1" a="1"/>
  <c r="AU1248" i="1" s="1"/>
  <c r="AV1248" i="1" a="1"/>
  <c r="AV1248" i="1" s="1"/>
  <c r="AW1248" i="1" a="1"/>
  <c r="AW1248" i="1" s="1"/>
  <c r="AX1248" i="1" a="1"/>
  <c r="AX1248" i="1" s="1"/>
  <c r="AY1248" i="1" a="1"/>
  <c r="AY1248" i="1" s="1"/>
  <c r="AZ1248" i="1" a="1"/>
  <c r="AZ1248" i="1" s="1"/>
  <c r="BA1248" i="1" a="1"/>
  <c r="BA1248" i="1" s="1"/>
  <c r="BB1248" i="1" a="1"/>
  <c r="BB1248" i="1" s="1"/>
  <c r="AL1249" i="1" a="1"/>
  <c r="AL1249" i="1" s="1"/>
  <c r="AM1249" i="1" a="1"/>
  <c r="AM1249" i="1" s="1"/>
  <c r="AN1249" i="1" a="1"/>
  <c r="AN1249" i="1" s="1"/>
  <c r="AO1249" i="1" a="1"/>
  <c r="AO1249" i="1" s="1"/>
  <c r="AP1249" i="1" a="1"/>
  <c r="AP1249" i="1" s="1"/>
  <c r="AQ1249" i="1" a="1"/>
  <c r="AQ1249" i="1" s="1"/>
  <c r="AR1249" i="1" a="1"/>
  <c r="AR1249" i="1" s="1"/>
  <c r="AS1249" i="1" a="1"/>
  <c r="AS1249" i="1" s="1"/>
  <c r="AT1249" i="1" a="1"/>
  <c r="AT1249" i="1" s="1"/>
  <c r="AU1249" i="1" a="1"/>
  <c r="AU1249" i="1" s="1"/>
  <c r="AV1249" i="1" a="1"/>
  <c r="AV1249" i="1" s="1"/>
  <c r="AW1249" i="1" a="1"/>
  <c r="AW1249" i="1" s="1"/>
  <c r="AX1249" i="1" a="1"/>
  <c r="AX1249" i="1" s="1"/>
  <c r="AY1249" i="1" a="1"/>
  <c r="AY1249" i="1" s="1"/>
  <c r="AZ1249" i="1" a="1"/>
  <c r="AZ1249" i="1" s="1"/>
  <c r="BA1249" i="1" a="1"/>
  <c r="BA1249" i="1" s="1"/>
  <c r="BB1249" i="1" a="1"/>
  <c r="BB1249" i="1" s="1"/>
  <c r="AL1251" i="1" a="1"/>
  <c r="AL1251" i="1" s="1"/>
  <c r="AM1251" i="1" a="1"/>
  <c r="AM1251" i="1" s="1"/>
  <c r="AN1251" i="1" a="1"/>
  <c r="AN1251" i="1" s="1"/>
  <c r="AO1251" i="1" a="1"/>
  <c r="AO1251" i="1" s="1"/>
  <c r="AP1251" i="1" a="1"/>
  <c r="AP1251" i="1" s="1"/>
  <c r="AQ1251" i="1" a="1"/>
  <c r="AQ1251" i="1" s="1"/>
  <c r="AR1251" i="1" a="1"/>
  <c r="AR1251" i="1" s="1"/>
  <c r="AS1251" i="1" a="1"/>
  <c r="AS1251" i="1" s="1"/>
  <c r="AT1251" i="1" a="1"/>
  <c r="AT1251" i="1" s="1"/>
  <c r="AU1251" i="1" a="1"/>
  <c r="AU1251" i="1" s="1"/>
  <c r="AV1251" i="1" a="1"/>
  <c r="AV1251" i="1" s="1"/>
  <c r="AW1251" i="1" a="1"/>
  <c r="AW1251" i="1" s="1"/>
  <c r="AX1251" i="1" a="1"/>
  <c r="AX1251" i="1" s="1"/>
  <c r="AY1251" i="1" a="1"/>
  <c r="AY1251" i="1" s="1"/>
  <c r="AZ1251" i="1" a="1"/>
  <c r="AZ1251" i="1" s="1"/>
  <c r="BA1251" i="1" a="1"/>
  <c r="BA1251" i="1" s="1"/>
  <c r="BB1251" i="1" a="1"/>
  <c r="BB1251" i="1" s="1"/>
  <c r="AL1252" i="1" a="1"/>
  <c r="AL1252" i="1" s="1"/>
  <c r="AM1252" i="1" a="1"/>
  <c r="AM1252" i="1" s="1"/>
  <c r="AN1252" i="1" a="1"/>
  <c r="AN1252" i="1" s="1"/>
  <c r="AO1252" i="1" a="1"/>
  <c r="AO1252" i="1" s="1"/>
  <c r="AP1252" i="1" a="1"/>
  <c r="AP1252" i="1" s="1"/>
  <c r="AQ1252" i="1" a="1"/>
  <c r="AQ1252" i="1" s="1"/>
  <c r="AR1252" i="1" a="1"/>
  <c r="AR1252" i="1" s="1"/>
  <c r="AS1252" i="1" a="1"/>
  <c r="AS1252" i="1" s="1"/>
  <c r="AT1252" i="1" a="1"/>
  <c r="AT1252" i="1" s="1"/>
  <c r="AU1252" i="1" a="1"/>
  <c r="AU1252" i="1" s="1"/>
  <c r="AV1252" i="1" a="1"/>
  <c r="AV1252" i="1" s="1"/>
  <c r="AW1252" i="1" a="1"/>
  <c r="AW1252" i="1" s="1"/>
  <c r="AX1252" i="1" a="1"/>
  <c r="AX1252" i="1" s="1"/>
  <c r="AY1252" i="1" a="1"/>
  <c r="AY1252" i="1" s="1"/>
  <c r="AZ1252" i="1" a="1"/>
  <c r="AZ1252" i="1" s="1"/>
  <c r="BA1252" i="1" a="1"/>
  <c r="BA1252" i="1" s="1"/>
  <c r="BB1252" i="1" a="1"/>
  <c r="BB1252" i="1" s="1"/>
  <c r="AL1250" i="1" a="1"/>
  <c r="AL1250" i="1" s="1"/>
  <c r="AM1250" i="1" a="1"/>
  <c r="AM1250" i="1" s="1"/>
  <c r="AN1250" i="1" a="1"/>
  <c r="AN1250" i="1" s="1"/>
  <c r="AO1250" i="1" a="1"/>
  <c r="AO1250" i="1" s="1"/>
  <c r="AP1250" i="1" a="1"/>
  <c r="AP1250" i="1" s="1"/>
  <c r="AQ1250" i="1" a="1"/>
  <c r="AQ1250" i="1" s="1"/>
  <c r="AR1250" i="1" a="1"/>
  <c r="AR1250" i="1" s="1"/>
  <c r="AS1250" i="1" a="1"/>
  <c r="AS1250" i="1" s="1"/>
  <c r="AT1250" i="1" a="1"/>
  <c r="AT1250" i="1" s="1"/>
  <c r="AU1250" i="1" a="1"/>
  <c r="AU1250" i="1" s="1"/>
  <c r="AV1250" i="1" a="1"/>
  <c r="AV1250" i="1" s="1"/>
  <c r="AW1250" i="1" a="1"/>
  <c r="AW1250" i="1" s="1"/>
  <c r="AX1250" i="1" a="1"/>
  <c r="AX1250" i="1" s="1"/>
  <c r="AY1250" i="1" a="1"/>
  <c r="AY1250" i="1" s="1"/>
  <c r="AZ1250" i="1" a="1"/>
  <c r="AZ1250" i="1" s="1"/>
  <c r="BA1250" i="1" a="1"/>
  <c r="BA1250" i="1" s="1"/>
  <c r="BB1250" i="1" a="1"/>
  <c r="BB1250" i="1" s="1"/>
  <c r="AL1254" i="1" a="1"/>
  <c r="AL1254" i="1" s="1"/>
  <c r="AM1254" i="1" a="1"/>
  <c r="AM1254" i="1" s="1"/>
  <c r="AN1254" i="1" a="1"/>
  <c r="AN1254" i="1" s="1"/>
  <c r="AO1254" i="1" a="1"/>
  <c r="AO1254" i="1" s="1"/>
  <c r="AP1254" i="1" a="1"/>
  <c r="AP1254" i="1" s="1"/>
  <c r="AQ1254" i="1" a="1"/>
  <c r="AQ1254" i="1" s="1"/>
  <c r="AR1254" i="1" a="1"/>
  <c r="AR1254" i="1" s="1"/>
  <c r="AS1254" i="1" a="1"/>
  <c r="AS1254" i="1" s="1"/>
  <c r="AT1254" i="1" a="1"/>
  <c r="AT1254" i="1" s="1"/>
  <c r="AU1254" i="1" a="1"/>
  <c r="AU1254" i="1" s="1"/>
  <c r="AV1254" i="1" a="1"/>
  <c r="AV1254" i="1" s="1"/>
  <c r="AW1254" i="1" a="1"/>
  <c r="AW1254" i="1" s="1"/>
  <c r="AX1254" i="1" a="1"/>
  <c r="AX1254" i="1" s="1"/>
  <c r="AY1254" i="1" a="1"/>
  <c r="AY1254" i="1" s="1"/>
  <c r="AZ1254" i="1" a="1"/>
  <c r="AZ1254" i="1" s="1"/>
  <c r="BA1254" i="1" a="1"/>
  <c r="BA1254" i="1" s="1"/>
  <c r="BB1254" i="1" a="1"/>
  <c r="BB1254" i="1" s="1"/>
  <c r="AL1255" i="1" a="1"/>
  <c r="AL1255" i="1" s="1"/>
  <c r="AM1255" i="1" a="1"/>
  <c r="AM1255" i="1" s="1"/>
  <c r="AN1255" i="1" a="1"/>
  <c r="AN1255" i="1" s="1"/>
  <c r="AO1255" i="1" a="1"/>
  <c r="AO1255" i="1" s="1"/>
  <c r="AP1255" i="1" a="1"/>
  <c r="AP1255" i="1" s="1"/>
  <c r="AQ1255" i="1" a="1"/>
  <c r="AQ1255" i="1" s="1"/>
  <c r="AR1255" i="1" a="1"/>
  <c r="AR1255" i="1" s="1"/>
  <c r="AS1255" i="1" a="1"/>
  <c r="AS1255" i="1" s="1"/>
  <c r="AT1255" i="1" a="1"/>
  <c r="AT1255" i="1" s="1"/>
  <c r="AU1255" i="1" a="1"/>
  <c r="AU1255" i="1" s="1"/>
  <c r="AV1255" i="1" a="1"/>
  <c r="AV1255" i="1" s="1"/>
  <c r="AW1255" i="1" a="1"/>
  <c r="AW1255" i="1" s="1"/>
  <c r="AX1255" i="1" a="1"/>
  <c r="AX1255" i="1" s="1"/>
  <c r="AY1255" i="1" a="1"/>
  <c r="AY1255" i="1" s="1"/>
  <c r="AZ1255" i="1" a="1"/>
  <c r="AZ1255" i="1" s="1"/>
  <c r="BA1255" i="1" a="1"/>
  <c r="BA1255" i="1" s="1"/>
  <c r="BB1255" i="1" a="1"/>
  <c r="BB1255" i="1" s="1"/>
  <c r="AL1256" i="1" a="1"/>
  <c r="AL1256" i="1" s="1"/>
  <c r="AM1256" i="1" a="1"/>
  <c r="AM1256" i="1" s="1"/>
  <c r="AN1256" i="1" a="1"/>
  <c r="AN1256" i="1" s="1"/>
  <c r="AO1256" i="1" a="1"/>
  <c r="AO1256" i="1" s="1"/>
  <c r="AP1256" i="1" a="1"/>
  <c r="AP1256" i="1" s="1"/>
  <c r="AQ1256" i="1" a="1"/>
  <c r="AQ1256" i="1" s="1"/>
  <c r="AR1256" i="1" a="1"/>
  <c r="AR1256" i="1" s="1"/>
  <c r="AS1256" i="1" a="1"/>
  <c r="AS1256" i="1" s="1"/>
  <c r="AT1256" i="1" a="1"/>
  <c r="AT1256" i="1" s="1"/>
  <c r="AU1256" i="1" a="1"/>
  <c r="AU1256" i="1" s="1"/>
  <c r="AV1256" i="1" a="1"/>
  <c r="AV1256" i="1" s="1"/>
  <c r="AW1256" i="1" a="1"/>
  <c r="AW1256" i="1" s="1"/>
  <c r="AX1256" i="1" a="1"/>
  <c r="AX1256" i="1" s="1"/>
  <c r="AY1256" i="1" a="1"/>
  <c r="AY1256" i="1" s="1"/>
  <c r="AZ1256" i="1" a="1"/>
  <c r="AZ1256" i="1" s="1"/>
  <c r="BA1256" i="1" a="1"/>
  <c r="BA1256" i="1" s="1"/>
  <c r="BB1256" i="1" a="1"/>
  <c r="BB1256" i="1" s="1"/>
  <c r="AL1257" i="1" a="1"/>
  <c r="AL1257" i="1" s="1"/>
  <c r="AM1257" i="1" a="1"/>
  <c r="AM1257" i="1" s="1"/>
  <c r="AN1257" i="1" a="1"/>
  <c r="AN1257" i="1" s="1"/>
  <c r="AO1257" i="1" a="1"/>
  <c r="AO1257" i="1" s="1"/>
  <c r="AP1257" i="1" a="1"/>
  <c r="AP1257" i="1" s="1"/>
  <c r="AQ1257" i="1" a="1"/>
  <c r="AQ1257" i="1" s="1"/>
  <c r="AR1257" i="1" a="1"/>
  <c r="AR1257" i="1" s="1"/>
  <c r="AS1257" i="1" a="1"/>
  <c r="AS1257" i="1" s="1"/>
  <c r="AT1257" i="1" a="1"/>
  <c r="AT1257" i="1" s="1"/>
  <c r="AU1257" i="1" a="1"/>
  <c r="AU1257" i="1" s="1"/>
  <c r="AV1257" i="1" a="1"/>
  <c r="AV1257" i="1" s="1"/>
  <c r="AW1257" i="1" a="1"/>
  <c r="AW1257" i="1" s="1"/>
  <c r="AX1257" i="1" a="1"/>
  <c r="AX1257" i="1" s="1"/>
  <c r="AY1257" i="1" a="1"/>
  <c r="AY1257" i="1" s="1"/>
  <c r="AZ1257" i="1" a="1"/>
  <c r="AZ1257" i="1" s="1"/>
  <c r="BA1257" i="1" a="1"/>
  <c r="BA1257" i="1" s="1"/>
  <c r="BB1257" i="1" a="1"/>
  <c r="BB1257" i="1" s="1"/>
  <c r="AL1258" i="1" a="1"/>
  <c r="AL1258" i="1" s="1"/>
  <c r="AM1258" i="1" a="1"/>
  <c r="AM1258" i="1" s="1"/>
  <c r="AN1258" i="1" a="1"/>
  <c r="AN1258" i="1" s="1"/>
  <c r="AO1258" i="1" a="1"/>
  <c r="AO1258" i="1" s="1"/>
  <c r="AP1258" i="1" a="1"/>
  <c r="AP1258" i="1" s="1"/>
  <c r="AQ1258" i="1" a="1"/>
  <c r="AQ1258" i="1" s="1"/>
  <c r="AR1258" i="1" a="1"/>
  <c r="AR1258" i="1" s="1"/>
  <c r="AS1258" i="1" a="1"/>
  <c r="AS1258" i="1" s="1"/>
  <c r="AT1258" i="1" a="1"/>
  <c r="AT1258" i="1" s="1"/>
  <c r="AU1258" i="1" a="1"/>
  <c r="AU1258" i="1" s="1"/>
  <c r="AV1258" i="1" a="1"/>
  <c r="AV1258" i="1" s="1"/>
  <c r="AW1258" i="1" a="1"/>
  <c r="AW1258" i="1" s="1"/>
  <c r="AX1258" i="1" a="1"/>
  <c r="AX1258" i="1" s="1"/>
  <c r="AY1258" i="1" a="1"/>
  <c r="AY1258" i="1" s="1"/>
  <c r="AZ1258" i="1" a="1"/>
  <c r="AZ1258" i="1" s="1"/>
  <c r="BA1258" i="1" a="1"/>
  <c r="BA1258" i="1" s="1"/>
  <c r="BB1258" i="1" a="1"/>
  <c r="BB1258" i="1" s="1"/>
  <c r="AL1259" i="1" a="1"/>
  <c r="AL1259" i="1" s="1"/>
  <c r="AM1259" i="1" a="1"/>
  <c r="AM1259" i="1" s="1"/>
  <c r="AN1259" i="1" a="1"/>
  <c r="AN1259" i="1" s="1"/>
  <c r="AO1259" i="1" a="1"/>
  <c r="AO1259" i="1" s="1"/>
  <c r="AP1259" i="1" a="1"/>
  <c r="AP1259" i="1" s="1"/>
  <c r="AQ1259" i="1" a="1"/>
  <c r="AQ1259" i="1" s="1"/>
  <c r="AR1259" i="1" a="1"/>
  <c r="AR1259" i="1" s="1"/>
  <c r="AS1259" i="1" a="1"/>
  <c r="AS1259" i="1" s="1"/>
  <c r="AT1259" i="1" a="1"/>
  <c r="AT1259" i="1" s="1"/>
  <c r="AU1259" i="1" a="1"/>
  <c r="AU1259" i="1" s="1"/>
  <c r="AV1259" i="1" a="1"/>
  <c r="AV1259" i="1" s="1"/>
  <c r="AW1259" i="1" a="1"/>
  <c r="AW1259" i="1" s="1"/>
  <c r="AX1259" i="1" a="1"/>
  <c r="AX1259" i="1" s="1"/>
  <c r="AY1259" i="1" a="1"/>
  <c r="AY1259" i="1" s="1"/>
  <c r="AZ1259" i="1" a="1"/>
  <c r="AZ1259" i="1" s="1"/>
  <c r="BA1259" i="1" a="1"/>
  <c r="BA1259" i="1" s="1"/>
  <c r="BB1259" i="1" a="1"/>
  <c r="BB1259" i="1" s="1"/>
  <c r="AL1260" i="1" a="1"/>
  <c r="AL1260" i="1" s="1"/>
  <c r="AM1260" i="1" a="1"/>
  <c r="AM1260" i="1" s="1"/>
  <c r="AN1260" i="1" a="1"/>
  <c r="AN1260" i="1" s="1"/>
  <c r="AO1260" i="1" a="1"/>
  <c r="AO1260" i="1" s="1"/>
  <c r="AP1260" i="1" a="1"/>
  <c r="AP1260" i="1" s="1"/>
  <c r="AQ1260" i="1" a="1"/>
  <c r="AQ1260" i="1" s="1"/>
  <c r="AR1260" i="1" a="1"/>
  <c r="AR1260" i="1" s="1"/>
  <c r="AS1260" i="1" a="1"/>
  <c r="AS1260" i="1" s="1"/>
  <c r="AT1260" i="1" a="1"/>
  <c r="AT1260" i="1" s="1"/>
  <c r="AU1260" i="1" a="1"/>
  <c r="AU1260" i="1" s="1"/>
  <c r="AV1260" i="1" a="1"/>
  <c r="AV1260" i="1" s="1"/>
  <c r="AW1260" i="1" a="1"/>
  <c r="AW1260" i="1" s="1"/>
  <c r="AX1260" i="1" a="1"/>
  <c r="AX1260" i="1" s="1"/>
  <c r="AY1260" i="1" a="1"/>
  <c r="AY1260" i="1" s="1"/>
  <c r="AZ1260" i="1" a="1"/>
  <c r="AZ1260" i="1" s="1"/>
  <c r="BA1260" i="1" a="1"/>
  <c r="BA1260" i="1" s="1"/>
  <c r="BB1260" i="1" a="1"/>
  <c r="BB1260" i="1" s="1"/>
  <c r="AL1261" i="1" a="1"/>
  <c r="AL1261" i="1" s="1"/>
  <c r="AM1261" i="1" a="1"/>
  <c r="AM1261" i="1" s="1"/>
  <c r="AN1261" i="1" a="1"/>
  <c r="AN1261" i="1" s="1"/>
  <c r="AO1261" i="1" a="1"/>
  <c r="AO1261" i="1" s="1"/>
  <c r="AP1261" i="1" a="1"/>
  <c r="AP1261" i="1" s="1"/>
  <c r="AQ1261" i="1" a="1"/>
  <c r="AQ1261" i="1" s="1"/>
  <c r="AR1261" i="1" a="1"/>
  <c r="AR1261" i="1" s="1"/>
  <c r="AS1261" i="1" a="1"/>
  <c r="AS1261" i="1" s="1"/>
  <c r="AT1261" i="1" a="1"/>
  <c r="AT1261" i="1" s="1"/>
  <c r="AU1261" i="1" a="1"/>
  <c r="AU1261" i="1" s="1"/>
  <c r="AV1261" i="1" a="1"/>
  <c r="AV1261" i="1" s="1"/>
  <c r="AW1261" i="1" a="1"/>
  <c r="AW1261" i="1" s="1"/>
  <c r="AX1261" i="1" a="1"/>
  <c r="AX1261" i="1" s="1"/>
  <c r="AY1261" i="1" a="1"/>
  <c r="AY1261" i="1" s="1"/>
  <c r="AZ1261" i="1" a="1"/>
  <c r="AZ1261" i="1" s="1"/>
  <c r="BA1261" i="1" a="1"/>
  <c r="BA1261" i="1" s="1"/>
  <c r="BB1261" i="1" a="1"/>
  <c r="BB1261" i="1" s="1"/>
  <c r="AL1262" i="1" a="1"/>
  <c r="AL1262" i="1" s="1"/>
  <c r="AM1262" i="1" a="1"/>
  <c r="AM1262" i="1" s="1"/>
  <c r="AN1262" i="1" a="1"/>
  <c r="AN1262" i="1" s="1"/>
  <c r="AO1262" i="1" a="1"/>
  <c r="AO1262" i="1" s="1"/>
  <c r="AP1262" i="1" a="1"/>
  <c r="AP1262" i="1" s="1"/>
  <c r="AQ1262" i="1" a="1"/>
  <c r="AQ1262" i="1" s="1"/>
  <c r="AR1262" i="1" a="1"/>
  <c r="AR1262" i="1" s="1"/>
  <c r="AS1262" i="1" a="1"/>
  <c r="AS1262" i="1" s="1"/>
  <c r="AT1262" i="1" a="1"/>
  <c r="AT1262" i="1" s="1"/>
  <c r="AU1262" i="1" a="1"/>
  <c r="AU1262" i="1" s="1"/>
  <c r="AV1262" i="1" a="1"/>
  <c r="AV1262" i="1" s="1"/>
  <c r="AW1262" i="1" a="1"/>
  <c r="AW1262" i="1" s="1"/>
  <c r="AX1262" i="1" a="1"/>
  <c r="AX1262" i="1" s="1"/>
  <c r="AY1262" i="1" a="1"/>
  <c r="AY1262" i="1" s="1"/>
  <c r="AZ1262" i="1" a="1"/>
  <c r="AZ1262" i="1" s="1"/>
  <c r="BA1262" i="1" a="1"/>
  <c r="BA1262" i="1" s="1"/>
  <c r="BB1262" i="1" a="1"/>
  <c r="BB1262" i="1" s="1"/>
  <c r="AL1253" i="1" a="1"/>
  <c r="AL1253" i="1" s="1"/>
  <c r="AM1253" i="1" a="1"/>
  <c r="AM1253" i="1" s="1"/>
  <c r="AN1253" i="1" a="1"/>
  <c r="AN1253" i="1" s="1"/>
  <c r="AO1253" i="1" a="1"/>
  <c r="AO1253" i="1" s="1"/>
  <c r="AP1253" i="1" a="1"/>
  <c r="AP1253" i="1" s="1"/>
  <c r="AQ1253" i="1" a="1"/>
  <c r="AQ1253" i="1" s="1"/>
  <c r="AR1253" i="1" a="1"/>
  <c r="AR1253" i="1" s="1"/>
  <c r="AS1253" i="1" a="1"/>
  <c r="AS1253" i="1" s="1"/>
  <c r="AT1253" i="1" a="1"/>
  <c r="AT1253" i="1" s="1"/>
  <c r="AU1253" i="1" a="1"/>
  <c r="AU1253" i="1" s="1"/>
  <c r="AV1253" i="1" a="1"/>
  <c r="AV1253" i="1" s="1"/>
  <c r="AW1253" i="1" a="1"/>
  <c r="AW1253" i="1" s="1"/>
  <c r="AX1253" i="1" a="1"/>
  <c r="AX1253" i="1" s="1"/>
  <c r="AY1253" i="1" a="1"/>
  <c r="AY1253" i="1" s="1"/>
  <c r="AZ1253" i="1" a="1"/>
  <c r="AZ1253" i="1" s="1"/>
  <c r="BA1253" i="1" a="1"/>
  <c r="BA1253" i="1" s="1"/>
  <c r="BB1253" i="1" a="1"/>
  <c r="BB1253" i="1" s="1"/>
  <c r="AL1264" i="1" a="1"/>
  <c r="AL1264" i="1" s="1"/>
  <c r="AM1264" i="1" a="1"/>
  <c r="AM1264" i="1" s="1"/>
  <c r="AN1264" i="1" a="1"/>
  <c r="AN1264" i="1" s="1"/>
  <c r="AO1264" i="1" a="1"/>
  <c r="AO1264" i="1" s="1"/>
  <c r="AP1264" i="1" a="1"/>
  <c r="AP1264" i="1" s="1"/>
  <c r="AQ1264" i="1" a="1"/>
  <c r="AQ1264" i="1" s="1"/>
  <c r="AR1264" i="1" a="1"/>
  <c r="AR1264" i="1" s="1"/>
  <c r="AS1264" i="1" a="1"/>
  <c r="AS1264" i="1" s="1"/>
  <c r="AT1264" i="1" a="1"/>
  <c r="AT1264" i="1" s="1"/>
  <c r="AU1264" i="1" a="1"/>
  <c r="AU1264" i="1" s="1"/>
  <c r="AV1264" i="1" a="1"/>
  <c r="AV1264" i="1" s="1"/>
  <c r="AW1264" i="1" a="1"/>
  <c r="AW1264" i="1" s="1"/>
  <c r="AX1264" i="1" a="1"/>
  <c r="AX1264" i="1" s="1"/>
  <c r="AY1264" i="1" a="1"/>
  <c r="AY1264" i="1" s="1"/>
  <c r="AZ1264" i="1" a="1"/>
  <c r="AZ1264" i="1" s="1"/>
  <c r="BA1264" i="1" a="1"/>
  <c r="BA1264" i="1" s="1"/>
  <c r="BB1264" i="1" a="1"/>
  <c r="BB1264" i="1" s="1"/>
  <c r="AL1265" i="1" a="1"/>
  <c r="AL1265" i="1" s="1"/>
  <c r="AM1265" i="1" a="1"/>
  <c r="AM1265" i="1" s="1"/>
  <c r="AN1265" i="1" a="1"/>
  <c r="AN1265" i="1" s="1"/>
  <c r="AO1265" i="1" a="1"/>
  <c r="AO1265" i="1" s="1"/>
  <c r="AP1265" i="1" a="1"/>
  <c r="AP1265" i="1" s="1"/>
  <c r="AQ1265" i="1" a="1"/>
  <c r="AQ1265" i="1" s="1"/>
  <c r="AR1265" i="1" a="1"/>
  <c r="AR1265" i="1" s="1"/>
  <c r="AS1265" i="1" a="1"/>
  <c r="AS1265" i="1" s="1"/>
  <c r="AT1265" i="1" a="1"/>
  <c r="AT1265" i="1" s="1"/>
  <c r="AU1265" i="1" a="1"/>
  <c r="AU1265" i="1" s="1"/>
  <c r="AV1265" i="1" a="1"/>
  <c r="AV1265" i="1" s="1"/>
  <c r="AW1265" i="1" a="1"/>
  <c r="AW1265" i="1" s="1"/>
  <c r="AX1265" i="1" a="1"/>
  <c r="AX1265" i="1" s="1"/>
  <c r="AY1265" i="1" a="1"/>
  <c r="AY1265" i="1" s="1"/>
  <c r="AZ1265" i="1" a="1"/>
  <c r="AZ1265" i="1" s="1"/>
  <c r="BA1265" i="1" a="1"/>
  <c r="BA1265" i="1" s="1"/>
  <c r="BB1265" i="1" a="1"/>
  <c r="BB1265" i="1" s="1"/>
  <c r="AL1266" i="1" a="1"/>
  <c r="AL1266" i="1" s="1"/>
  <c r="AM1266" i="1" a="1"/>
  <c r="AM1266" i="1" s="1"/>
  <c r="AN1266" i="1" a="1"/>
  <c r="AN1266" i="1" s="1"/>
  <c r="AO1266" i="1" a="1"/>
  <c r="AO1266" i="1" s="1"/>
  <c r="AP1266" i="1" a="1"/>
  <c r="AP1266" i="1" s="1"/>
  <c r="AQ1266" i="1" a="1"/>
  <c r="AQ1266" i="1" s="1"/>
  <c r="AR1266" i="1" a="1"/>
  <c r="AR1266" i="1" s="1"/>
  <c r="AS1266" i="1" a="1"/>
  <c r="AS1266" i="1" s="1"/>
  <c r="AT1266" i="1" a="1"/>
  <c r="AT1266" i="1" s="1"/>
  <c r="AU1266" i="1" a="1"/>
  <c r="AU1266" i="1" s="1"/>
  <c r="AV1266" i="1" a="1"/>
  <c r="AV1266" i="1" s="1"/>
  <c r="AW1266" i="1" a="1"/>
  <c r="AW1266" i="1" s="1"/>
  <c r="AX1266" i="1" a="1"/>
  <c r="AX1266" i="1" s="1"/>
  <c r="AY1266" i="1" a="1"/>
  <c r="AY1266" i="1" s="1"/>
  <c r="AZ1266" i="1" a="1"/>
  <c r="AZ1266" i="1" s="1"/>
  <c r="BA1266" i="1" a="1"/>
  <c r="BA1266" i="1" s="1"/>
  <c r="BB1266" i="1" a="1"/>
  <c r="BB1266" i="1" s="1"/>
  <c r="AL1267" i="1" a="1"/>
  <c r="AL1267" i="1" s="1"/>
  <c r="AM1267" i="1" a="1"/>
  <c r="AM1267" i="1" s="1"/>
  <c r="AN1267" i="1" a="1"/>
  <c r="AN1267" i="1" s="1"/>
  <c r="AO1267" i="1" a="1"/>
  <c r="AO1267" i="1" s="1"/>
  <c r="AP1267" i="1" a="1"/>
  <c r="AP1267" i="1" s="1"/>
  <c r="AQ1267" i="1" a="1"/>
  <c r="AQ1267" i="1" s="1"/>
  <c r="AR1267" i="1" a="1"/>
  <c r="AR1267" i="1" s="1"/>
  <c r="AS1267" i="1" a="1"/>
  <c r="AS1267" i="1" s="1"/>
  <c r="AT1267" i="1" a="1"/>
  <c r="AT1267" i="1" s="1"/>
  <c r="AU1267" i="1" a="1"/>
  <c r="AU1267" i="1" s="1"/>
  <c r="AV1267" i="1" a="1"/>
  <c r="AV1267" i="1" s="1"/>
  <c r="AW1267" i="1" a="1"/>
  <c r="AW1267" i="1" s="1"/>
  <c r="AX1267" i="1" a="1"/>
  <c r="AX1267" i="1" s="1"/>
  <c r="AY1267" i="1" a="1"/>
  <c r="AY1267" i="1" s="1"/>
  <c r="AZ1267" i="1" a="1"/>
  <c r="AZ1267" i="1" s="1"/>
  <c r="BA1267" i="1" a="1"/>
  <c r="BA1267" i="1" s="1"/>
  <c r="BB1267" i="1" a="1"/>
  <c r="BB1267" i="1" s="1"/>
  <c r="AL1268" i="1" a="1"/>
  <c r="AL1268" i="1" s="1"/>
  <c r="AM1268" i="1" a="1"/>
  <c r="AM1268" i="1" s="1"/>
  <c r="AN1268" i="1" a="1"/>
  <c r="AN1268" i="1" s="1"/>
  <c r="AO1268" i="1" a="1"/>
  <c r="AO1268" i="1" s="1"/>
  <c r="AP1268" i="1" a="1"/>
  <c r="AP1268" i="1" s="1"/>
  <c r="AQ1268" i="1" a="1"/>
  <c r="AQ1268" i="1" s="1"/>
  <c r="AR1268" i="1" a="1"/>
  <c r="AR1268" i="1" s="1"/>
  <c r="AS1268" i="1" a="1"/>
  <c r="AS1268" i="1" s="1"/>
  <c r="AT1268" i="1" a="1"/>
  <c r="AT1268" i="1" s="1"/>
  <c r="AU1268" i="1" a="1"/>
  <c r="AU1268" i="1" s="1"/>
  <c r="AV1268" i="1" a="1"/>
  <c r="AV1268" i="1" s="1"/>
  <c r="AW1268" i="1" a="1"/>
  <c r="AW1268" i="1" s="1"/>
  <c r="AX1268" i="1" a="1"/>
  <c r="AX1268" i="1" s="1"/>
  <c r="AY1268" i="1" a="1"/>
  <c r="AY1268" i="1" s="1"/>
  <c r="AZ1268" i="1" a="1"/>
  <c r="AZ1268" i="1" s="1"/>
  <c r="BA1268" i="1" a="1"/>
  <c r="BA1268" i="1" s="1"/>
  <c r="BB1268" i="1" a="1"/>
  <c r="BB1268" i="1" s="1"/>
  <c r="AL1269" i="1" a="1"/>
  <c r="AL1269" i="1" s="1"/>
  <c r="AM1269" i="1" a="1"/>
  <c r="AM1269" i="1" s="1"/>
  <c r="AN1269" i="1" a="1"/>
  <c r="AN1269" i="1" s="1"/>
  <c r="AO1269" i="1" a="1"/>
  <c r="AO1269" i="1" s="1"/>
  <c r="AP1269" i="1" a="1"/>
  <c r="AP1269" i="1" s="1"/>
  <c r="AQ1269" i="1" a="1"/>
  <c r="AQ1269" i="1" s="1"/>
  <c r="AR1269" i="1" a="1"/>
  <c r="AR1269" i="1" s="1"/>
  <c r="AS1269" i="1" a="1"/>
  <c r="AS1269" i="1" s="1"/>
  <c r="AT1269" i="1" a="1"/>
  <c r="AT1269" i="1" s="1"/>
  <c r="AU1269" i="1" a="1"/>
  <c r="AU1269" i="1" s="1"/>
  <c r="AV1269" i="1" a="1"/>
  <c r="AV1269" i="1" s="1"/>
  <c r="AW1269" i="1" a="1"/>
  <c r="AW1269" i="1" s="1"/>
  <c r="AX1269" i="1" a="1"/>
  <c r="AX1269" i="1" s="1"/>
  <c r="AY1269" i="1" a="1"/>
  <c r="AY1269" i="1" s="1"/>
  <c r="AZ1269" i="1" a="1"/>
  <c r="AZ1269" i="1" s="1"/>
  <c r="BA1269" i="1" a="1"/>
  <c r="BA1269" i="1" s="1"/>
  <c r="BB1269" i="1" a="1"/>
  <c r="BB1269" i="1" s="1"/>
  <c r="AL1270" i="1" a="1"/>
  <c r="AL1270" i="1" s="1"/>
  <c r="AM1270" i="1" a="1"/>
  <c r="AM1270" i="1" s="1"/>
  <c r="AN1270" i="1" a="1"/>
  <c r="AN1270" i="1" s="1"/>
  <c r="AO1270" i="1" a="1"/>
  <c r="AO1270" i="1" s="1"/>
  <c r="AP1270" i="1" a="1"/>
  <c r="AP1270" i="1" s="1"/>
  <c r="AQ1270" i="1" a="1"/>
  <c r="AQ1270" i="1" s="1"/>
  <c r="AR1270" i="1" a="1"/>
  <c r="AR1270" i="1" s="1"/>
  <c r="AS1270" i="1" a="1"/>
  <c r="AS1270" i="1" s="1"/>
  <c r="AT1270" i="1" a="1"/>
  <c r="AT1270" i="1" s="1"/>
  <c r="AU1270" i="1" a="1"/>
  <c r="AU1270" i="1" s="1"/>
  <c r="AV1270" i="1" a="1"/>
  <c r="AV1270" i="1" s="1"/>
  <c r="AW1270" i="1" a="1"/>
  <c r="AW1270" i="1" s="1"/>
  <c r="AX1270" i="1" a="1"/>
  <c r="AX1270" i="1" s="1"/>
  <c r="AY1270" i="1" a="1"/>
  <c r="AY1270" i="1" s="1"/>
  <c r="AZ1270" i="1" a="1"/>
  <c r="AZ1270" i="1" s="1"/>
  <c r="BA1270" i="1" a="1"/>
  <c r="BA1270" i="1" s="1"/>
  <c r="BB1270" i="1" a="1"/>
  <c r="BB1270" i="1" s="1"/>
  <c r="AL1271" i="1" a="1"/>
  <c r="AL1271" i="1" s="1"/>
  <c r="AM1271" i="1" a="1"/>
  <c r="AM1271" i="1" s="1"/>
  <c r="AN1271" i="1" a="1"/>
  <c r="AN1271" i="1" s="1"/>
  <c r="AO1271" i="1" a="1"/>
  <c r="AO1271" i="1" s="1"/>
  <c r="AP1271" i="1" a="1"/>
  <c r="AP1271" i="1" s="1"/>
  <c r="AQ1271" i="1" a="1"/>
  <c r="AQ1271" i="1" s="1"/>
  <c r="AR1271" i="1" a="1"/>
  <c r="AR1271" i="1" s="1"/>
  <c r="AS1271" i="1" a="1"/>
  <c r="AS1271" i="1" s="1"/>
  <c r="AT1271" i="1" a="1"/>
  <c r="AT1271" i="1" s="1"/>
  <c r="AU1271" i="1" a="1"/>
  <c r="AU1271" i="1" s="1"/>
  <c r="AV1271" i="1" a="1"/>
  <c r="AV1271" i="1" s="1"/>
  <c r="AW1271" i="1" a="1"/>
  <c r="AW1271" i="1" s="1"/>
  <c r="AX1271" i="1" a="1"/>
  <c r="AX1271" i="1" s="1"/>
  <c r="AY1271" i="1" a="1"/>
  <c r="AY1271" i="1" s="1"/>
  <c r="AZ1271" i="1" a="1"/>
  <c r="AZ1271" i="1" s="1"/>
  <c r="BA1271" i="1" a="1"/>
  <c r="BA1271" i="1" s="1"/>
  <c r="BB1271" i="1" a="1"/>
  <c r="BB1271" i="1" s="1"/>
  <c r="AL1272" i="1" a="1"/>
  <c r="AL1272" i="1" s="1"/>
  <c r="AM1272" i="1" a="1"/>
  <c r="AM1272" i="1" s="1"/>
  <c r="AN1272" i="1" a="1"/>
  <c r="AN1272" i="1" s="1"/>
  <c r="AO1272" i="1" a="1"/>
  <c r="AO1272" i="1" s="1"/>
  <c r="AP1272" i="1" a="1"/>
  <c r="AP1272" i="1" s="1"/>
  <c r="AQ1272" i="1" a="1"/>
  <c r="AQ1272" i="1" s="1"/>
  <c r="AR1272" i="1" a="1"/>
  <c r="AR1272" i="1" s="1"/>
  <c r="AS1272" i="1" a="1"/>
  <c r="AS1272" i="1" s="1"/>
  <c r="AT1272" i="1" a="1"/>
  <c r="AT1272" i="1" s="1"/>
  <c r="AU1272" i="1" a="1"/>
  <c r="AU1272" i="1" s="1"/>
  <c r="AV1272" i="1" a="1"/>
  <c r="AV1272" i="1" s="1"/>
  <c r="AW1272" i="1" a="1"/>
  <c r="AW1272" i="1" s="1"/>
  <c r="AX1272" i="1" a="1"/>
  <c r="AX1272" i="1" s="1"/>
  <c r="AY1272" i="1" a="1"/>
  <c r="AY1272" i="1" s="1"/>
  <c r="AZ1272" i="1" a="1"/>
  <c r="AZ1272" i="1" s="1"/>
  <c r="BA1272" i="1" a="1"/>
  <c r="BA1272" i="1" s="1"/>
  <c r="BB1272" i="1" a="1"/>
  <c r="BB1272" i="1" s="1"/>
  <c r="AL1263" i="1" a="1"/>
  <c r="AL1263" i="1" s="1"/>
  <c r="AM1263" i="1" a="1"/>
  <c r="AM1263" i="1" s="1"/>
  <c r="AN1263" i="1" a="1"/>
  <c r="AN1263" i="1" s="1"/>
  <c r="AO1263" i="1" a="1"/>
  <c r="AO1263" i="1" s="1"/>
  <c r="AP1263" i="1" a="1"/>
  <c r="AP1263" i="1" s="1"/>
  <c r="AQ1263" i="1" a="1"/>
  <c r="AQ1263" i="1" s="1"/>
  <c r="AR1263" i="1" a="1"/>
  <c r="AR1263" i="1" s="1"/>
  <c r="AS1263" i="1" a="1"/>
  <c r="AS1263" i="1" s="1"/>
  <c r="AT1263" i="1" a="1"/>
  <c r="AT1263" i="1" s="1"/>
  <c r="AU1263" i="1" a="1"/>
  <c r="AU1263" i="1" s="1"/>
  <c r="AV1263" i="1" a="1"/>
  <c r="AV1263" i="1" s="1"/>
  <c r="AW1263" i="1" a="1"/>
  <c r="AW1263" i="1" s="1"/>
  <c r="AX1263" i="1" a="1"/>
  <c r="AX1263" i="1" s="1"/>
  <c r="AY1263" i="1" a="1"/>
  <c r="AY1263" i="1" s="1"/>
  <c r="AZ1263" i="1" a="1"/>
  <c r="AZ1263" i="1" s="1"/>
  <c r="BA1263" i="1" a="1"/>
  <c r="BA1263" i="1" s="1"/>
  <c r="BB1263" i="1" a="1"/>
  <c r="BB1263" i="1" s="1"/>
  <c r="AL1273" i="1" a="1"/>
  <c r="AL1273" i="1" s="1"/>
  <c r="AM1273" i="1" a="1"/>
  <c r="AM1273" i="1" s="1"/>
  <c r="AN1273" i="1" a="1"/>
  <c r="AN1273" i="1" s="1"/>
  <c r="AO1273" i="1" a="1"/>
  <c r="AO1273" i="1" s="1"/>
  <c r="AP1273" i="1" a="1"/>
  <c r="AP1273" i="1" s="1"/>
  <c r="AQ1273" i="1" a="1"/>
  <c r="AQ1273" i="1" s="1"/>
  <c r="AR1273" i="1" a="1"/>
  <c r="AR1273" i="1" s="1"/>
  <c r="AS1273" i="1" a="1"/>
  <c r="AS1273" i="1" s="1"/>
  <c r="AT1273" i="1" a="1"/>
  <c r="AT1273" i="1" s="1"/>
  <c r="AU1273" i="1" a="1"/>
  <c r="AU1273" i="1" s="1"/>
  <c r="AV1273" i="1" a="1"/>
  <c r="AV1273" i="1" s="1"/>
  <c r="AW1273" i="1" a="1"/>
  <c r="AW1273" i="1" s="1"/>
  <c r="AX1273" i="1" a="1"/>
  <c r="AX1273" i="1" s="1"/>
  <c r="AY1273" i="1" a="1"/>
  <c r="AY1273" i="1" s="1"/>
  <c r="AZ1273" i="1" a="1"/>
  <c r="AZ1273" i="1" s="1"/>
  <c r="BA1273" i="1" a="1"/>
  <c r="BA1273" i="1" s="1"/>
  <c r="BB1273" i="1" a="1"/>
  <c r="BB1273" i="1" s="1"/>
  <c r="AL1274" i="1" a="1"/>
  <c r="AL1274" i="1" s="1"/>
  <c r="AM1274" i="1" a="1"/>
  <c r="AM1274" i="1" s="1"/>
  <c r="AN1274" i="1" a="1"/>
  <c r="AN1274" i="1" s="1"/>
  <c r="AO1274" i="1" a="1"/>
  <c r="AO1274" i="1" s="1"/>
  <c r="AP1274" i="1" a="1"/>
  <c r="AP1274" i="1" s="1"/>
  <c r="AQ1274" i="1" a="1"/>
  <c r="AQ1274" i="1" s="1"/>
  <c r="AR1274" i="1" a="1"/>
  <c r="AR1274" i="1" s="1"/>
  <c r="AS1274" i="1" a="1"/>
  <c r="AS1274" i="1" s="1"/>
  <c r="AT1274" i="1" a="1"/>
  <c r="AT1274" i="1" s="1"/>
  <c r="AU1274" i="1" a="1"/>
  <c r="AU1274" i="1" s="1"/>
  <c r="AV1274" i="1" a="1"/>
  <c r="AV1274" i="1" s="1"/>
  <c r="AW1274" i="1" a="1"/>
  <c r="AW1274" i="1" s="1"/>
  <c r="AX1274" i="1" a="1"/>
  <c r="AX1274" i="1" s="1"/>
  <c r="AY1274" i="1" a="1"/>
  <c r="AY1274" i="1" s="1"/>
  <c r="AZ1274" i="1" a="1"/>
  <c r="AZ1274" i="1" s="1"/>
  <c r="BA1274" i="1" a="1"/>
  <c r="BA1274" i="1" s="1"/>
  <c r="BB1274" i="1" a="1"/>
  <c r="BB1274" i="1" s="1"/>
  <c r="AL1275" i="1" a="1"/>
  <c r="AL1275" i="1" s="1"/>
  <c r="AM1275" i="1" a="1"/>
  <c r="AM1275" i="1" s="1"/>
  <c r="AN1275" i="1" a="1"/>
  <c r="AN1275" i="1" s="1"/>
  <c r="AO1275" i="1" a="1"/>
  <c r="AO1275" i="1" s="1"/>
  <c r="AP1275" i="1" a="1"/>
  <c r="AP1275" i="1" s="1"/>
  <c r="AQ1275" i="1" a="1"/>
  <c r="AQ1275" i="1" s="1"/>
  <c r="AR1275" i="1" a="1"/>
  <c r="AR1275" i="1" s="1"/>
  <c r="AS1275" i="1" a="1"/>
  <c r="AS1275" i="1" s="1"/>
  <c r="AT1275" i="1" a="1"/>
  <c r="AT1275" i="1" s="1"/>
  <c r="AU1275" i="1" a="1"/>
  <c r="AU1275" i="1" s="1"/>
  <c r="AV1275" i="1" a="1"/>
  <c r="AV1275" i="1" s="1"/>
  <c r="AW1275" i="1" a="1"/>
  <c r="AW1275" i="1" s="1"/>
  <c r="AX1275" i="1" a="1"/>
  <c r="AX1275" i="1" s="1"/>
  <c r="AY1275" i="1" a="1"/>
  <c r="AY1275" i="1" s="1"/>
  <c r="AZ1275" i="1" a="1"/>
  <c r="AZ1275" i="1" s="1"/>
  <c r="BA1275" i="1" a="1"/>
  <c r="BA1275" i="1" s="1"/>
  <c r="BB1275" i="1" a="1"/>
  <c r="BB1275" i="1" s="1"/>
  <c r="AL1276" i="1" a="1"/>
  <c r="AL1276" i="1" s="1"/>
  <c r="AM1276" i="1" a="1"/>
  <c r="AM1276" i="1" s="1"/>
  <c r="AN1276" i="1" a="1"/>
  <c r="AN1276" i="1" s="1"/>
  <c r="AO1276" i="1" a="1"/>
  <c r="AO1276" i="1" s="1"/>
  <c r="AP1276" i="1" a="1"/>
  <c r="AP1276" i="1" s="1"/>
  <c r="AQ1276" i="1" a="1"/>
  <c r="AQ1276" i="1" s="1"/>
  <c r="AR1276" i="1" a="1"/>
  <c r="AR1276" i="1" s="1"/>
  <c r="AS1276" i="1" a="1"/>
  <c r="AS1276" i="1" s="1"/>
  <c r="AT1276" i="1" a="1"/>
  <c r="AT1276" i="1" s="1"/>
  <c r="AU1276" i="1" a="1"/>
  <c r="AU1276" i="1" s="1"/>
  <c r="AV1276" i="1" a="1"/>
  <c r="AV1276" i="1" s="1"/>
  <c r="AW1276" i="1" a="1"/>
  <c r="AW1276" i="1" s="1"/>
  <c r="AX1276" i="1" a="1"/>
  <c r="AX1276" i="1" s="1"/>
  <c r="AY1276" i="1" a="1"/>
  <c r="AY1276" i="1" s="1"/>
  <c r="AZ1276" i="1" a="1"/>
  <c r="AZ1276" i="1" s="1"/>
  <c r="BA1276" i="1" a="1"/>
  <c r="BA1276" i="1" s="1"/>
  <c r="BB1276" i="1" a="1"/>
  <c r="BB1276" i="1" s="1"/>
  <c r="AL1278" i="1" a="1"/>
  <c r="AL1278" i="1" s="1"/>
  <c r="AM1278" i="1" a="1"/>
  <c r="AM1278" i="1" s="1"/>
  <c r="AN1278" i="1" a="1"/>
  <c r="AN1278" i="1" s="1"/>
  <c r="AO1278" i="1" a="1"/>
  <c r="AO1278" i="1" s="1"/>
  <c r="AP1278" i="1" a="1"/>
  <c r="AP1278" i="1" s="1"/>
  <c r="AQ1278" i="1" a="1"/>
  <c r="AQ1278" i="1" s="1"/>
  <c r="AR1278" i="1" a="1"/>
  <c r="AR1278" i="1" s="1"/>
  <c r="AS1278" i="1" a="1"/>
  <c r="AS1278" i="1" s="1"/>
  <c r="AT1278" i="1" a="1"/>
  <c r="AT1278" i="1" s="1"/>
  <c r="AU1278" i="1" a="1"/>
  <c r="AU1278" i="1" s="1"/>
  <c r="AV1278" i="1" a="1"/>
  <c r="AV1278" i="1" s="1"/>
  <c r="AW1278" i="1" a="1"/>
  <c r="AW1278" i="1" s="1"/>
  <c r="AX1278" i="1" a="1"/>
  <c r="AX1278" i="1" s="1"/>
  <c r="AY1278" i="1" a="1"/>
  <c r="AY1278" i="1" s="1"/>
  <c r="AZ1278" i="1" a="1"/>
  <c r="AZ1278" i="1" s="1"/>
  <c r="BA1278" i="1" a="1"/>
  <c r="BA1278" i="1" s="1"/>
  <c r="BB1278" i="1" a="1"/>
  <c r="BB1278" i="1" s="1"/>
  <c r="AL1277" i="1" a="1"/>
  <c r="AL1277" i="1" s="1"/>
  <c r="AM1277" i="1" a="1"/>
  <c r="AM1277" i="1" s="1"/>
  <c r="AN1277" i="1" a="1"/>
  <c r="AN1277" i="1" s="1"/>
  <c r="AO1277" i="1" a="1"/>
  <c r="AO1277" i="1" s="1"/>
  <c r="AP1277" i="1" a="1"/>
  <c r="AP1277" i="1" s="1"/>
  <c r="AQ1277" i="1" a="1"/>
  <c r="AQ1277" i="1" s="1"/>
  <c r="AR1277" i="1" a="1"/>
  <c r="AR1277" i="1" s="1"/>
  <c r="AS1277" i="1" a="1"/>
  <c r="AS1277" i="1" s="1"/>
  <c r="AT1277" i="1" a="1"/>
  <c r="AT1277" i="1" s="1"/>
  <c r="AU1277" i="1" a="1"/>
  <c r="AU1277" i="1" s="1"/>
  <c r="AV1277" i="1" a="1"/>
  <c r="AV1277" i="1" s="1"/>
  <c r="AW1277" i="1" a="1"/>
  <c r="AW1277" i="1" s="1"/>
  <c r="AX1277" i="1" a="1"/>
  <c r="AX1277" i="1" s="1"/>
  <c r="AY1277" i="1" a="1"/>
  <c r="AY1277" i="1" s="1"/>
  <c r="AZ1277" i="1" a="1"/>
  <c r="AZ1277" i="1" s="1"/>
  <c r="BA1277" i="1" a="1"/>
  <c r="BA1277" i="1" s="1"/>
  <c r="BB1277" i="1" a="1"/>
  <c r="BB1277" i="1" s="1"/>
  <c r="AL1280" i="1" a="1"/>
  <c r="AL1280" i="1" s="1"/>
  <c r="AM1280" i="1" a="1"/>
  <c r="AM1280" i="1" s="1"/>
  <c r="AN1280" i="1" a="1"/>
  <c r="AN1280" i="1" s="1"/>
  <c r="AO1280" i="1" a="1"/>
  <c r="AO1280" i="1" s="1"/>
  <c r="AP1280" i="1" a="1"/>
  <c r="AP1280" i="1" s="1"/>
  <c r="AQ1280" i="1" a="1"/>
  <c r="AQ1280" i="1" s="1"/>
  <c r="AR1280" i="1" a="1"/>
  <c r="AR1280" i="1" s="1"/>
  <c r="AS1280" i="1" a="1"/>
  <c r="AS1280" i="1" s="1"/>
  <c r="AT1280" i="1" a="1"/>
  <c r="AT1280" i="1" s="1"/>
  <c r="AU1280" i="1" a="1"/>
  <c r="AU1280" i="1" s="1"/>
  <c r="AV1280" i="1" a="1"/>
  <c r="AV1280" i="1" s="1"/>
  <c r="AW1280" i="1" a="1"/>
  <c r="AW1280" i="1" s="1"/>
  <c r="AX1280" i="1" a="1"/>
  <c r="AX1280" i="1" s="1"/>
  <c r="AY1280" i="1" a="1"/>
  <c r="AY1280" i="1" s="1"/>
  <c r="AZ1280" i="1" a="1"/>
  <c r="AZ1280" i="1" s="1"/>
  <c r="BA1280" i="1" a="1"/>
  <c r="BA1280" i="1" s="1"/>
  <c r="BB1280" i="1" a="1"/>
  <c r="BB1280" i="1" s="1"/>
  <c r="AL1281" i="1" a="1"/>
  <c r="AL1281" i="1" s="1"/>
  <c r="AM1281" i="1" a="1"/>
  <c r="AM1281" i="1" s="1"/>
  <c r="AN1281" i="1" a="1"/>
  <c r="AN1281" i="1" s="1"/>
  <c r="AO1281" i="1" a="1"/>
  <c r="AO1281" i="1" s="1"/>
  <c r="AP1281" i="1" a="1"/>
  <c r="AP1281" i="1" s="1"/>
  <c r="AQ1281" i="1" a="1"/>
  <c r="AQ1281" i="1" s="1"/>
  <c r="AR1281" i="1" a="1"/>
  <c r="AR1281" i="1" s="1"/>
  <c r="AS1281" i="1" a="1"/>
  <c r="AS1281" i="1" s="1"/>
  <c r="AT1281" i="1" a="1"/>
  <c r="AT1281" i="1" s="1"/>
  <c r="AU1281" i="1" a="1"/>
  <c r="AU1281" i="1" s="1"/>
  <c r="AV1281" i="1" a="1"/>
  <c r="AV1281" i="1" s="1"/>
  <c r="AW1281" i="1" a="1"/>
  <c r="AW1281" i="1" s="1"/>
  <c r="AX1281" i="1" a="1"/>
  <c r="AX1281" i="1" s="1"/>
  <c r="AY1281" i="1" a="1"/>
  <c r="AY1281" i="1" s="1"/>
  <c r="AZ1281" i="1" a="1"/>
  <c r="AZ1281" i="1" s="1"/>
  <c r="BA1281" i="1" a="1"/>
  <c r="BA1281" i="1" s="1"/>
  <c r="BB1281" i="1" a="1"/>
  <c r="BB1281" i="1" s="1"/>
  <c r="AL1282" i="1" a="1"/>
  <c r="AL1282" i="1" s="1"/>
  <c r="AM1282" i="1" a="1"/>
  <c r="AM1282" i="1" s="1"/>
  <c r="AN1282" i="1" a="1"/>
  <c r="AN1282" i="1" s="1"/>
  <c r="AO1282" i="1" a="1"/>
  <c r="AO1282" i="1" s="1"/>
  <c r="AP1282" i="1" a="1"/>
  <c r="AP1282" i="1" s="1"/>
  <c r="AQ1282" i="1" a="1"/>
  <c r="AQ1282" i="1" s="1"/>
  <c r="AR1282" i="1" a="1"/>
  <c r="AR1282" i="1" s="1"/>
  <c r="AS1282" i="1" a="1"/>
  <c r="AS1282" i="1" s="1"/>
  <c r="AT1282" i="1" a="1"/>
  <c r="AT1282" i="1" s="1"/>
  <c r="AU1282" i="1" a="1"/>
  <c r="AU1282" i="1" s="1"/>
  <c r="AV1282" i="1" a="1"/>
  <c r="AV1282" i="1" s="1"/>
  <c r="AW1282" i="1" a="1"/>
  <c r="AW1282" i="1" s="1"/>
  <c r="AX1282" i="1" a="1"/>
  <c r="AX1282" i="1" s="1"/>
  <c r="AY1282" i="1" a="1"/>
  <c r="AY1282" i="1" s="1"/>
  <c r="AZ1282" i="1" a="1"/>
  <c r="AZ1282" i="1" s="1"/>
  <c r="BA1282" i="1" a="1"/>
  <c r="BA1282" i="1" s="1"/>
  <c r="BB1282" i="1" a="1"/>
  <c r="BB1282" i="1" s="1"/>
  <c r="AL1279" i="1" a="1"/>
  <c r="AL1279" i="1" s="1"/>
  <c r="AM1279" i="1" a="1"/>
  <c r="AM1279" i="1" s="1"/>
  <c r="AN1279" i="1" a="1"/>
  <c r="AN1279" i="1" s="1"/>
  <c r="AO1279" i="1" a="1"/>
  <c r="AO1279" i="1" s="1"/>
  <c r="AP1279" i="1" a="1"/>
  <c r="AP1279" i="1" s="1"/>
  <c r="AQ1279" i="1" a="1"/>
  <c r="AQ1279" i="1" s="1"/>
  <c r="AR1279" i="1" a="1"/>
  <c r="AR1279" i="1" s="1"/>
  <c r="AS1279" i="1" a="1"/>
  <c r="AS1279" i="1" s="1"/>
  <c r="AT1279" i="1" a="1"/>
  <c r="AT1279" i="1" s="1"/>
  <c r="AU1279" i="1" a="1"/>
  <c r="AU1279" i="1" s="1"/>
  <c r="AV1279" i="1" a="1"/>
  <c r="AV1279" i="1" s="1"/>
  <c r="AW1279" i="1" a="1"/>
  <c r="AW1279" i="1" s="1"/>
  <c r="AX1279" i="1" a="1"/>
  <c r="AX1279" i="1" s="1"/>
  <c r="AY1279" i="1" a="1"/>
  <c r="AY1279" i="1" s="1"/>
  <c r="AZ1279" i="1" a="1"/>
  <c r="AZ1279" i="1" s="1"/>
  <c r="BA1279" i="1" a="1"/>
  <c r="BA1279" i="1" s="1"/>
  <c r="BB1279" i="1" a="1"/>
  <c r="BB1279" i="1" s="1"/>
  <c r="AL1283" i="1" a="1"/>
  <c r="AL1283" i="1" s="1"/>
  <c r="AM1283" i="1" a="1"/>
  <c r="AM1283" i="1" s="1"/>
  <c r="AN1283" i="1" a="1"/>
  <c r="AN1283" i="1" s="1"/>
  <c r="AO1283" i="1" a="1"/>
  <c r="AO1283" i="1" s="1"/>
  <c r="AP1283" i="1" a="1"/>
  <c r="AP1283" i="1" s="1"/>
  <c r="AQ1283" i="1" a="1"/>
  <c r="AQ1283" i="1" s="1"/>
  <c r="AR1283" i="1" a="1"/>
  <c r="AR1283" i="1" s="1"/>
  <c r="AS1283" i="1" a="1"/>
  <c r="AS1283" i="1" s="1"/>
  <c r="AT1283" i="1" a="1"/>
  <c r="AT1283" i="1" s="1"/>
  <c r="AU1283" i="1" a="1"/>
  <c r="AU1283" i="1" s="1"/>
  <c r="AV1283" i="1" a="1"/>
  <c r="AV1283" i="1" s="1"/>
  <c r="AW1283" i="1" a="1"/>
  <c r="AW1283" i="1" s="1"/>
  <c r="AX1283" i="1" a="1"/>
  <c r="AX1283" i="1" s="1"/>
  <c r="AY1283" i="1" a="1"/>
  <c r="AY1283" i="1" s="1"/>
  <c r="AZ1283" i="1" a="1"/>
  <c r="AZ1283" i="1" s="1"/>
  <c r="BA1283" i="1" a="1"/>
  <c r="BA1283" i="1" s="1"/>
  <c r="BB1283" i="1" a="1"/>
  <c r="BB1283" i="1" s="1"/>
  <c r="AL1284" i="1" a="1"/>
  <c r="AL1284" i="1" s="1"/>
  <c r="AM1284" i="1" a="1"/>
  <c r="AM1284" i="1" s="1"/>
  <c r="AN1284" i="1" a="1"/>
  <c r="AN1284" i="1" s="1"/>
  <c r="AO1284" i="1" a="1"/>
  <c r="AO1284" i="1" s="1"/>
  <c r="AP1284" i="1" a="1"/>
  <c r="AP1284" i="1" s="1"/>
  <c r="AQ1284" i="1" a="1"/>
  <c r="AQ1284" i="1" s="1"/>
  <c r="AR1284" i="1" a="1"/>
  <c r="AR1284" i="1" s="1"/>
  <c r="AS1284" i="1" a="1"/>
  <c r="AS1284" i="1" s="1"/>
  <c r="AT1284" i="1" a="1"/>
  <c r="AT1284" i="1" s="1"/>
  <c r="AU1284" i="1" a="1"/>
  <c r="AU1284" i="1" s="1"/>
  <c r="AV1284" i="1" a="1"/>
  <c r="AV1284" i="1" s="1"/>
  <c r="AW1284" i="1" a="1"/>
  <c r="AW1284" i="1" s="1"/>
  <c r="AX1284" i="1" a="1"/>
  <c r="AX1284" i="1" s="1"/>
  <c r="AY1284" i="1" a="1"/>
  <c r="AY1284" i="1" s="1"/>
  <c r="AZ1284" i="1" a="1"/>
  <c r="AZ1284" i="1" s="1"/>
  <c r="BA1284" i="1" a="1"/>
  <c r="BA1284" i="1" s="1"/>
  <c r="BB1284" i="1" a="1"/>
  <c r="BB1284" i="1" s="1"/>
  <c r="AL1286" i="1" a="1"/>
  <c r="AL1286" i="1" s="1"/>
  <c r="AM1286" i="1" a="1"/>
  <c r="AM1286" i="1" s="1"/>
  <c r="AN1286" i="1" a="1"/>
  <c r="AN1286" i="1" s="1"/>
  <c r="AO1286" i="1" a="1"/>
  <c r="AO1286" i="1" s="1"/>
  <c r="AP1286" i="1" a="1"/>
  <c r="AP1286" i="1" s="1"/>
  <c r="AQ1286" i="1" a="1"/>
  <c r="AQ1286" i="1" s="1"/>
  <c r="AR1286" i="1" a="1"/>
  <c r="AR1286" i="1" s="1"/>
  <c r="AS1286" i="1" a="1"/>
  <c r="AS1286" i="1" s="1"/>
  <c r="AT1286" i="1" a="1"/>
  <c r="AT1286" i="1" s="1"/>
  <c r="AU1286" i="1" a="1"/>
  <c r="AU1286" i="1" s="1"/>
  <c r="AV1286" i="1" a="1"/>
  <c r="AV1286" i="1" s="1"/>
  <c r="AW1286" i="1" a="1"/>
  <c r="AW1286" i="1" s="1"/>
  <c r="AX1286" i="1" a="1"/>
  <c r="AX1286" i="1" s="1"/>
  <c r="AY1286" i="1" a="1"/>
  <c r="AY1286" i="1" s="1"/>
  <c r="AZ1286" i="1" a="1"/>
  <c r="AZ1286" i="1" s="1"/>
  <c r="BA1286" i="1" a="1"/>
  <c r="BA1286" i="1" s="1"/>
  <c r="BB1286" i="1" a="1"/>
  <c r="BB1286" i="1" s="1"/>
  <c r="AL1287" i="1" a="1"/>
  <c r="AL1287" i="1" s="1"/>
  <c r="AM1287" i="1" a="1"/>
  <c r="AM1287" i="1" s="1"/>
  <c r="AN1287" i="1" a="1"/>
  <c r="AN1287" i="1" s="1"/>
  <c r="AO1287" i="1" a="1"/>
  <c r="AO1287" i="1" s="1"/>
  <c r="AP1287" i="1" a="1"/>
  <c r="AP1287" i="1" s="1"/>
  <c r="AQ1287" i="1" a="1"/>
  <c r="AQ1287" i="1" s="1"/>
  <c r="AR1287" i="1" a="1"/>
  <c r="AR1287" i="1" s="1"/>
  <c r="AS1287" i="1" a="1"/>
  <c r="AS1287" i="1" s="1"/>
  <c r="AT1287" i="1" a="1"/>
  <c r="AT1287" i="1" s="1"/>
  <c r="AU1287" i="1" a="1"/>
  <c r="AU1287" i="1" s="1"/>
  <c r="AV1287" i="1" a="1"/>
  <c r="AV1287" i="1" s="1"/>
  <c r="AW1287" i="1" a="1"/>
  <c r="AW1287" i="1" s="1"/>
  <c r="AX1287" i="1" a="1"/>
  <c r="AX1287" i="1" s="1"/>
  <c r="AY1287" i="1" a="1"/>
  <c r="AY1287" i="1" s="1"/>
  <c r="AZ1287" i="1" a="1"/>
  <c r="AZ1287" i="1" s="1"/>
  <c r="BA1287" i="1" a="1"/>
  <c r="BA1287" i="1" s="1"/>
  <c r="BB1287" i="1" a="1"/>
  <c r="BB1287" i="1" s="1"/>
  <c r="AL1288" i="1" a="1"/>
  <c r="AL1288" i="1" s="1"/>
  <c r="AM1288" i="1" a="1"/>
  <c r="AM1288" i="1" s="1"/>
  <c r="AN1288" i="1" a="1"/>
  <c r="AN1288" i="1" s="1"/>
  <c r="AO1288" i="1" a="1"/>
  <c r="AO1288" i="1" s="1"/>
  <c r="AP1288" i="1" a="1"/>
  <c r="AP1288" i="1" s="1"/>
  <c r="AQ1288" i="1" a="1"/>
  <c r="AQ1288" i="1" s="1"/>
  <c r="AR1288" i="1" a="1"/>
  <c r="AR1288" i="1" s="1"/>
  <c r="AS1288" i="1" a="1"/>
  <c r="AS1288" i="1" s="1"/>
  <c r="AT1288" i="1" a="1"/>
  <c r="AT1288" i="1" s="1"/>
  <c r="AU1288" i="1" a="1"/>
  <c r="AU1288" i="1" s="1"/>
  <c r="AV1288" i="1" a="1"/>
  <c r="AV1288" i="1" s="1"/>
  <c r="AW1288" i="1" a="1"/>
  <c r="AW1288" i="1" s="1"/>
  <c r="AX1288" i="1" a="1"/>
  <c r="AX1288" i="1" s="1"/>
  <c r="AY1288" i="1" a="1"/>
  <c r="AY1288" i="1" s="1"/>
  <c r="AZ1288" i="1" a="1"/>
  <c r="AZ1288" i="1" s="1"/>
  <c r="BA1288" i="1" a="1"/>
  <c r="BA1288" i="1" s="1"/>
  <c r="BB1288" i="1" a="1"/>
  <c r="BB1288" i="1" s="1"/>
  <c r="AL1285" i="1" a="1"/>
  <c r="AL1285" i="1" s="1"/>
  <c r="AM1285" i="1" a="1"/>
  <c r="AM1285" i="1" s="1"/>
  <c r="AN1285" i="1" a="1"/>
  <c r="AN1285" i="1" s="1"/>
  <c r="AO1285" i="1" a="1"/>
  <c r="AO1285" i="1" s="1"/>
  <c r="AP1285" i="1" a="1"/>
  <c r="AP1285" i="1" s="1"/>
  <c r="AQ1285" i="1" a="1"/>
  <c r="AQ1285" i="1" s="1"/>
  <c r="AR1285" i="1" a="1"/>
  <c r="AR1285" i="1" s="1"/>
  <c r="AS1285" i="1" a="1"/>
  <c r="AS1285" i="1" s="1"/>
  <c r="AT1285" i="1" a="1"/>
  <c r="AT1285" i="1" s="1"/>
  <c r="AU1285" i="1" a="1"/>
  <c r="AU1285" i="1" s="1"/>
  <c r="AV1285" i="1" a="1"/>
  <c r="AV1285" i="1" s="1"/>
  <c r="AW1285" i="1" a="1"/>
  <c r="AW1285" i="1" s="1"/>
  <c r="AX1285" i="1" a="1"/>
  <c r="AX1285" i="1" s="1"/>
  <c r="AY1285" i="1" a="1"/>
  <c r="AY1285" i="1" s="1"/>
  <c r="AZ1285" i="1" a="1"/>
  <c r="AZ1285" i="1" s="1"/>
  <c r="BA1285" i="1" a="1"/>
  <c r="BA1285" i="1" s="1"/>
  <c r="BB1285" i="1" a="1"/>
  <c r="BB1285" i="1" s="1"/>
  <c r="AL1289" i="1" a="1"/>
  <c r="AL1289" i="1" s="1"/>
  <c r="AM1289" i="1" a="1"/>
  <c r="AM1289" i="1" s="1"/>
  <c r="AN1289" i="1" a="1"/>
  <c r="AN1289" i="1" s="1"/>
  <c r="AO1289" i="1" a="1"/>
  <c r="AO1289" i="1" s="1"/>
  <c r="AP1289" i="1" a="1"/>
  <c r="AP1289" i="1" s="1"/>
  <c r="AQ1289" i="1" a="1"/>
  <c r="AQ1289" i="1" s="1"/>
  <c r="AR1289" i="1" a="1"/>
  <c r="AR1289" i="1" s="1"/>
  <c r="AS1289" i="1" a="1"/>
  <c r="AS1289" i="1" s="1"/>
  <c r="AT1289" i="1" a="1"/>
  <c r="AT1289" i="1" s="1"/>
  <c r="AU1289" i="1" a="1"/>
  <c r="AU1289" i="1" s="1"/>
  <c r="AV1289" i="1" a="1"/>
  <c r="AV1289" i="1" s="1"/>
  <c r="AW1289" i="1" a="1"/>
  <c r="AW1289" i="1" s="1"/>
  <c r="AX1289" i="1" a="1"/>
  <c r="AX1289" i="1" s="1"/>
  <c r="AY1289" i="1" a="1"/>
  <c r="AY1289" i="1" s="1"/>
  <c r="AZ1289" i="1" a="1"/>
  <c r="AZ1289" i="1" s="1"/>
  <c r="BA1289" i="1" a="1"/>
  <c r="BA1289" i="1" s="1"/>
  <c r="BB1289" i="1" a="1"/>
  <c r="BB1289" i="1" s="1"/>
  <c r="AL1290" i="1" a="1"/>
  <c r="AL1290" i="1" s="1"/>
  <c r="AM1290" i="1" a="1"/>
  <c r="AM1290" i="1" s="1"/>
  <c r="AN1290" i="1" a="1"/>
  <c r="AN1290" i="1" s="1"/>
  <c r="AO1290" i="1" a="1"/>
  <c r="AO1290" i="1" s="1"/>
  <c r="AP1290" i="1" a="1"/>
  <c r="AP1290" i="1" s="1"/>
  <c r="AQ1290" i="1" a="1"/>
  <c r="AQ1290" i="1" s="1"/>
  <c r="AR1290" i="1" a="1"/>
  <c r="AR1290" i="1" s="1"/>
  <c r="AS1290" i="1" a="1"/>
  <c r="AS1290" i="1" s="1"/>
  <c r="AT1290" i="1" a="1"/>
  <c r="AT1290" i="1" s="1"/>
  <c r="AU1290" i="1" a="1"/>
  <c r="AU1290" i="1" s="1"/>
  <c r="AV1290" i="1" a="1"/>
  <c r="AV1290" i="1" s="1"/>
  <c r="AW1290" i="1" a="1"/>
  <c r="AW1290" i="1" s="1"/>
  <c r="AX1290" i="1" a="1"/>
  <c r="AX1290" i="1" s="1"/>
  <c r="AY1290" i="1" a="1"/>
  <c r="AY1290" i="1" s="1"/>
  <c r="AZ1290" i="1" a="1"/>
  <c r="AZ1290" i="1" s="1"/>
  <c r="BA1290" i="1" a="1"/>
  <c r="BA1290" i="1" s="1"/>
  <c r="BB1290" i="1" a="1"/>
  <c r="BB1290" i="1" s="1"/>
  <c r="AL1291" i="1" a="1"/>
  <c r="AL1291" i="1" s="1"/>
  <c r="AM1291" i="1" a="1"/>
  <c r="AM1291" i="1" s="1"/>
  <c r="AN1291" i="1" a="1"/>
  <c r="AN1291" i="1" s="1"/>
  <c r="AO1291" i="1" a="1"/>
  <c r="AO1291" i="1" s="1"/>
  <c r="AP1291" i="1" a="1"/>
  <c r="AP1291" i="1" s="1"/>
  <c r="AQ1291" i="1" a="1"/>
  <c r="AQ1291" i="1" s="1"/>
  <c r="AR1291" i="1" a="1"/>
  <c r="AR1291" i="1" s="1"/>
  <c r="AS1291" i="1" a="1"/>
  <c r="AS1291" i="1" s="1"/>
  <c r="AT1291" i="1" a="1"/>
  <c r="AT1291" i="1" s="1"/>
  <c r="AU1291" i="1" a="1"/>
  <c r="AU1291" i="1" s="1"/>
  <c r="AV1291" i="1" a="1"/>
  <c r="AV1291" i="1" s="1"/>
  <c r="AW1291" i="1" a="1"/>
  <c r="AW1291" i="1" s="1"/>
  <c r="AX1291" i="1" a="1"/>
  <c r="AX1291" i="1" s="1"/>
  <c r="AY1291" i="1" a="1"/>
  <c r="AY1291" i="1" s="1"/>
  <c r="AZ1291" i="1" a="1"/>
  <c r="AZ1291" i="1" s="1"/>
  <c r="BA1291" i="1" a="1"/>
  <c r="BA1291" i="1" s="1"/>
  <c r="BB1291" i="1" a="1"/>
  <c r="BB1291" i="1" s="1"/>
  <c r="AL1293" i="1" a="1"/>
  <c r="AL1293" i="1" s="1"/>
  <c r="AM1293" i="1" a="1"/>
  <c r="AM1293" i="1" s="1"/>
  <c r="AN1293" i="1" a="1"/>
  <c r="AN1293" i="1" s="1"/>
  <c r="AO1293" i="1" a="1"/>
  <c r="AO1293" i="1" s="1"/>
  <c r="AP1293" i="1" a="1"/>
  <c r="AP1293" i="1" s="1"/>
  <c r="AQ1293" i="1" a="1"/>
  <c r="AQ1293" i="1" s="1"/>
  <c r="AR1293" i="1" a="1"/>
  <c r="AR1293" i="1" s="1"/>
  <c r="AS1293" i="1" a="1"/>
  <c r="AS1293" i="1" s="1"/>
  <c r="AT1293" i="1" a="1"/>
  <c r="AT1293" i="1" s="1"/>
  <c r="AU1293" i="1" a="1"/>
  <c r="AU1293" i="1" s="1"/>
  <c r="AV1293" i="1" a="1"/>
  <c r="AV1293" i="1" s="1"/>
  <c r="AW1293" i="1" a="1"/>
  <c r="AW1293" i="1" s="1"/>
  <c r="AX1293" i="1" a="1"/>
  <c r="AX1293" i="1" s="1"/>
  <c r="AY1293" i="1" a="1"/>
  <c r="AY1293" i="1" s="1"/>
  <c r="AZ1293" i="1" a="1"/>
  <c r="AZ1293" i="1" s="1"/>
  <c r="BA1293" i="1" a="1"/>
  <c r="BA1293" i="1" s="1"/>
  <c r="BB1293" i="1" a="1"/>
  <c r="BB1293" i="1" s="1"/>
  <c r="AL1294" i="1" a="1"/>
  <c r="AL1294" i="1" s="1"/>
  <c r="AM1294" i="1" a="1"/>
  <c r="AM1294" i="1" s="1"/>
  <c r="AN1294" i="1" a="1"/>
  <c r="AN1294" i="1" s="1"/>
  <c r="AO1294" i="1" a="1"/>
  <c r="AO1294" i="1" s="1"/>
  <c r="AP1294" i="1" a="1"/>
  <c r="AP1294" i="1" s="1"/>
  <c r="AQ1294" i="1" a="1"/>
  <c r="AQ1294" i="1" s="1"/>
  <c r="AR1294" i="1" a="1"/>
  <c r="AR1294" i="1" s="1"/>
  <c r="AS1294" i="1" a="1"/>
  <c r="AS1294" i="1" s="1"/>
  <c r="AT1294" i="1" a="1"/>
  <c r="AT1294" i="1" s="1"/>
  <c r="AU1294" i="1" a="1"/>
  <c r="AU1294" i="1" s="1"/>
  <c r="AV1294" i="1" a="1"/>
  <c r="AV1294" i="1" s="1"/>
  <c r="AW1294" i="1" a="1"/>
  <c r="AW1294" i="1" s="1"/>
  <c r="AX1294" i="1" a="1"/>
  <c r="AX1294" i="1" s="1"/>
  <c r="AY1294" i="1" a="1"/>
  <c r="AY1294" i="1" s="1"/>
  <c r="AZ1294" i="1" a="1"/>
  <c r="AZ1294" i="1" s="1"/>
  <c r="BA1294" i="1" a="1"/>
  <c r="BA1294" i="1" s="1"/>
  <c r="BB1294" i="1" a="1"/>
  <c r="BB1294" i="1" s="1"/>
  <c r="AL1295" i="1" a="1"/>
  <c r="AL1295" i="1" s="1"/>
  <c r="AM1295" i="1" a="1"/>
  <c r="AM1295" i="1" s="1"/>
  <c r="AN1295" i="1" a="1"/>
  <c r="AN1295" i="1" s="1"/>
  <c r="AO1295" i="1" a="1"/>
  <c r="AO1295" i="1" s="1"/>
  <c r="AP1295" i="1" a="1"/>
  <c r="AP1295" i="1" s="1"/>
  <c r="AQ1295" i="1" a="1"/>
  <c r="AQ1295" i="1" s="1"/>
  <c r="AR1295" i="1" a="1"/>
  <c r="AR1295" i="1" s="1"/>
  <c r="AS1295" i="1" a="1"/>
  <c r="AS1295" i="1" s="1"/>
  <c r="AT1295" i="1" a="1"/>
  <c r="AT1295" i="1" s="1"/>
  <c r="AU1295" i="1" a="1"/>
  <c r="AU1295" i="1" s="1"/>
  <c r="AV1295" i="1" a="1"/>
  <c r="AV1295" i="1" s="1"/>
  <c r="AW1295" i="1" a="1"/>
  <c r="AW1295" i="1" s="1"/>
  <c r="AX1295" i="1" a="1"/>
  <c r="AX1295" i="1" s="1"/>
  <c r="AY1295" i="1" a="1"/>
  <c r="AY1295" i="1" s="1"/>
  <c r="AZ1295" i="1" a="1"/>
  <c r="AZ1295" i="1" s="1"/>
  <c r="BA1295" i="1" a="1"/>
  <c r="BA1295" i="1" s="1"/>
  <c r="BB1295" i="1" a="1"/>
  <c r="BB1295" i="1" s="1"/>
  <c r="AL1296" i="1" a="1"/>
  <c r="AL1296" i="1" s="1"/>
  <c r="AM1296" i="1" a="1"/>
  <c r="AM1296" i="1" s="1"/>
  <c r="AN1296" i="1" a="1"/>
  <c r="AN1296" i="1" s="1"/>
  <c r="AO1296" i="1" a="1"/>
  <c r="AO1296" i="1" s="1"/>
  <c r="AP1296" i="1" a="1"/>
  <c r="AP1296" i="1" s="1"/>
  <c r="AQ1296" i="1" a="1"/>
  <c r="AQ1296" i="1" s="1"/>
  <c r="AR1296" i="1" a="1"/>
  <c r="AR1296" i="1" s="1"/>
  <c r="AS1296" i="1" a="1"/>
  <c r="AS1296" i="1" s="1"/>
  <c r="AT1296" i="1" a="1"/>
  <c r="AT1296" i="1" s="1"/>
  <c r="AU1296" i="1" a="1"/>
  <c r="AU1296" i="1" s="1"/>
  <c r="AV1296" i="1" a="1"/>
  <c r="AV1296" i="1" s="1"/>
  <c r="AW1296" i="1" a="1"/>
  <c r="AW1296" i="1" s="1"/>
  <c r="AX1296" i="1" a="1"/>
  <c r="AX1296" i="1" s="1"/>
  <c r="AY1296" i="1" a="1"/>
  <c r="AY1296" i="1" s="1"/>
  <c r="AZ1296" i="1" a="1"/>
  <c r="AZ1296" i="1" s="1"/>
  <c r="BA1296" i="1" a="1"/>
  <c r="BA1296" i="1" s="1"/>
  <c r="BB1296" i="1" a="1"/>
  <c r="BB1296" i="1" s="1"/>
  <c r="AL1297" i="1" a="1"/>
  <c r="AL1297" i="1" s="1"/>
  <c r="AM1297" i="1" a="1"/>
  <c r="AM1297" i="1" s="1"/>
  <c r="AN1297" i="1" a="1"/>
  <c r="AN1297" i="1" s="1"/>
  <c r="AO1297" i="1" a="1"/>
  <c r="AO1297" i="1" s="1"/>
  <c r="AP1297" i="1" a="1"/>
  <c r="AP1297" i="1" s="1"/>
  <c r="AQ1297" i="1" a="1"/>
  <c r="AQ1297" i="1" s="1"/>
  <c r="AR1297" i="1" a="1"/>
  <c r="AR1297" i="1" s="1"/>
  <c r="AS1297" i="1" a="1"/>
  <c r="AS1297" i="1" s="1"/>
  <c r="AT1297" i="1" a="1"/>
  <c r="AT1297" i="1" s="1"/>
  <c r="AU1297" i="1" a="1"/>
  <c r="AU1297" i="1" s="1"/>
  <c r="AV1297" i="1" a="1"/>
  <c r="AV1297" i="1" s="1"/>
  <c r="AW1297" i="1" a="1"/>
  <c r="AW1297" i="1" s="1"/>
  <c r="AX1297" i="1" a="1"/>
  <c r="AX1297" i="1" s="1"/>
  <c r="AY1297" i="1" a="1"/>
  <c r="AY1297" i="1" s="1"/>
  <c r="AZ1297" i="1" a="1"/>
  <c r="AZ1297" i="1" s="1"/>
  <c r="BA1297" i="1" a="1"/>
  <c r="BA1297" i="1" s="1"/>
  <c r="BB1297" i="1" a="1"/>
  <c r="BB1297" i="1" s="1"/>
  <c r="AL1298" i="1" a="1"/>
  <c r="AL1298" i="1" s="1"/>
  <c r="AM1298" i="1" a="1"/>
  <c r="AM1298" i="1" s="1"/>
  <c r="AN1298" i="1" a="1"/>
  <c r="AN1298" i="1" s="1"/>
  <c r="AO1298" i="1" a="1"/>
  <c r="AO1298" i="1" s="1"/>
  <c r="AP1298" i="1" a="1"/>
  <c r="AP1298" i="1" s="1"/>
  <c r="AQ1298" i="1" a="1"/>
  <c r="AQ1298" i="1" s="1"/>
  <c r="AR1298" i="1" a="1"/>
  <c r="AR1298" i="1" s="1"/>
  <c r="AS1298" i="1" a="1"/>
  <c r="AS1298" i="1" s="1"/>
  <c r="AT1298" i="1" a="1"/>
  <c r="AT1298" i="1" s="1"/>
  <c r="AU1298" i="1" a="1"/>
  <c r="AU1298" i="1" s="1"/>
  <c r="AV1298" i="1" a="1"/>
  <c r="AV1298" i="1" s="1"/>
  <c r="AW1298" i="1" a="1"/>
  <c r="AW1298" i="1" s="1"/>
  <c r="AX1298" i="1" a="1"/>
  <c r="AX1298" i="1" s="1"/>
  <c r="AY1298" i="1" a="1"/>
  <c r="AY1298" i="1" s="1"/>
  <c r="AZ1298" i="1" a="1"/>
  <c r="AZ1298" i="1" s="1"/>
  <c r="BA1298" i="1" a="1"/>
  <c r="BA1298" i="1" s="1"/>
  <c r="BB1298" i="1" a="1"/>
  <c r="BB1298" i="1" s="1"/>
  <c r="AL1299" i="1" a="1"/>
  <c r="AL1299" i="1" s="1"/>
  <c r="AM1299" i="1" a="1"/>
  <c r="AM1299" i="1" s="1"/>
  <c r="AN1299" i="1" a="1"/>
  <c r="AN1299" i="1" s="1"/>
  <c r="AO1299" i="1" a="1"/>
  <c r="AO1299" i="1" s="1"/>
  <c r="AP1299" i="1" a="1"/>
  <c r="AP1299" i="1" s="1"/>
  <c r="AQ1299" i="1" a="1"/>
  <c r="AQ1299" i="1" s="1"/>
  <c r="AR1299" i="1" a="1"/>
  <c r="AR1299" i="1" s="1"/>
  <c r="AS1299" i="1" a="1"/>
  <c r="AS1299" i="1" s="1"/>
  <c r="AT1299" i="1" a="1"/>
  <c r="AT1299" i="1" s="1"/>
  <c r="AU1299" i="1" a="1"/>
  <c r="AU1299" i="1" s="1"/>
  <c r="AV1299" i="1" a="1"/>
  <c r="AV1299" i="1" s="1"/>
  <c r="AW1299" i="1" a="1"/>
  <c r="AW1299" i="1" s="1"/>
  <c r="AX1299" i="1" a="1"/>
  <c r="AX1299" i="1" s="1"/>
  <c r="AY1299" i="1" a="1"/>
  <c r="AY1299" i="1" s="1"/>
  <c r="AZ1299" i="1" a="1"/>
  <c r="AZ1299" i="1" s="1"/>
  <c r="BA1299" i="1" a="1"/>
  <c r="BA1299" i="1" s="1"/>
  <c r="BB1299" i="1" a="1"/>
  <c r="BB1299" i="1" s="1"/>
  <c r="AL1300" i="1" a="1"/>
  <c r="AL1300" i="1" s="1"/>
  <c r="AM1300" i="1" a="1"/>
  <c r="AM1300" i="1" s="1"/>
  <c r="AN1300" i="1" a="1"/>
  <c r="AN1300" i="1" s="1"/>
  <c r="AO1300" i="1" a="1"/>
  <c r="AO1300" i="1" s="1"/>
  <c r="AP1300" i="1" a="1"/>
  <c r="AP1300" i="1" s="1"/>
  <c r="AQ1300" i="1" a="1"/>
  <c r="AQ1300" i="1" s="1"/>
  <c r="AR1300" i="1" a="1"/>
  <c r="AR1300" i="1" s="1"/>
  <c r="AS1300" i="1" a="1"/>
  <c r="AS1300" i="1" s="1"/>
  <c r="AT1300" i="1" a="1"/>
  <c r="AT1300" i="1" s="1"/>
  <c r="AU1300" i="1" a="1"/>
  <c r="AU1300" i="1" s="1"/>
  <c r="AV1300" i="1" a="1"/>
  <c r="AV1300" i="1" s="1"/>
  <c r="AW1300" i="1" a="1"/>
  <c r="AW1300" i="1" s="1"/>
  <c r="AX1300" i="1" a="1"/>
  <c r="AX1300" i="1" s="1"/>
  <c r="AY1300" i="1" a="1"/>
  <c r="AY1300" i="1" s="1"/>
  <c r="AZ1300" i="1" a="1"/>
  <c r="AZ1300" i="1" s="1"/>
  <c r="BA1300" i="1" a="1"/>
  <c r="BA1300" i="1" s="1"/>
  <c r="BB1300" i="1" a="1"/>
  <c r="BB1300" i="1" s="1"/>
  <c r="AL1301" i="1" a="1"/>
  <c r="AL1301" i="1" s="1"/>
  <c r="AM1301" i="1" a="1"/>
  <c r="AM1301" i="1" s="1"/>
  <c r="AN1301" i="1" a="1"/>
  <c r="AN1301" i="1" s="1"/>
  <c r="AO1301" i="1" a="1"/>
  <c r="AO1301" i="1" s="1"/>
  <c r="AP1301" i="1" a="1"/>
  <c r="AP1301" i="1" s="1"/>
  <c r="AQ1301" i="1" a="1"/>
  <c r="AQ1301" i="1" s="1"/>
  <c r="AR1301" i="1" a="1"/>
  <c r="AR1301" i="1" s="1"/>
  <c r="AS1301" i="1" a="1"/>
  <c r="AS1301" i="1" s="1"/>
  <c r="AT1301" i="1" a="1"/>
  <c r="AT1301" i="1" s="1"/>
  <c r="AU1301" i="1" a="1"/>
  <c r="AU1301" i="1" s="1"/>
  <c r="AV1301" i="1" a="1"/>
  <c r="AV1301" i="1" s="1"/>
  <c r="AW1301" i="1" a="1"/>
  <c r="AW1301" i="1" s="1"/>
  <c r="AX1301" i="1" a="1"/>
  <c r="AX1301" i="1" s="1"/>
  <c r="AY1301" i="1" a="1"/>
  <c r="AY1301" i="1" s="1"/>
  <c r="AZ1301" i="1" a="1"/>
  <c r="AZ1301" i="1" s="1"/>
  <c r="BA1301" i="1" a="1"/>
  <c r="BA1301" i="1" s="1"/>
  <c r="BB1301" i="1" a="1"/>
  <c r="BB1301" i="1" s="1"/>
  <c r="AL1302" i="1" a="1"/>
  <c r="AL1302" i="1" s="1"/>
  <c r="AM1302" i="1" a="1"/>
  <c r="AM1302" i="1" s="1"/>
  <c r="AN1302" i="1" a="1"/>
  <c r="AN1302" i="1" s="1"/>
  <c r="AO1302" i="1" a="1"/>
  <c r="AO1302" i="1" s="1"/>
  <c r="AP1302" i="1" a="1"/>
  <c r="AP1302" i="1" s="1"/>
  <c r="AQ1302" i="1" a="1"/>
  <c r="AQ1302" i="1" s="1"/>
  <c r="AR1302" i="1" a="1"/>
  <c r="AR1302" i="1" s="1"/>
  <c r="AS1302" i="1" a="1"/>
  <c r="AS1302" i="1" s="1"/>
  <c r="AT1302" i="1" a="1"/>
  <c r="AT1302" i="1" s="1"/>
  <c r="AU1302" i="1" a="1"/>
  <c r="AU1302" i="1" s="1"/>
  <c r="AV1302" i="1" a="1"/>
  <c r="AV1302" i="1" s="1"/>
  <c r="AW1302" i="1" a="1"/>
  <c r="AW1302" i="1" s="1"/>
  <c r="AX1302" i="1" a="1"/>
  <c r="AX1302" i="1" s="1"/>
  <c r="AY1302" i="1" a="1"/>
  <c r="AY1302" i="1" s="1"/>
  <c r="AZ1302" i="1" a="1"/>
  <c r="AZ1302" i="1" s="1"/>
  <c r="BA1302" i="1" a="1"/>
  <c r="BA1302" i="1" s="1"/>
  <c r="BB1302" i="1" a="1"/>
  <c r="BB1302" i="1" s="1"/>
  <c r="AL1303" i="1" a="1"/>
  <c r="AL1303" i="1" s="1"/>
  <c r="AM1303" i="1" a="1"/>
  <c r="AM1303" i="1" s="1"/>
  <c r="AN1303" i="1" a="1"/>
  <c r="AN1303" i="1" s="1"/>
  <c r="AO1303" i="1" a="1"/>
  <c r="AO1303" i="1" s="1"/>
  <c r="AP1303" i="1" a="1"/>
  <c r="AP1303" i="1" s="1"/>
  <c r="AQ1303" i="1" a="1"/>
  <c r="AQ1303" i="1" s="1"/>
  <c r="AR1303" i="1" a="1"/>
  <c r="AR1303" i="1" s="1"/>
  <c r="AS1303" i="1" a="1"/>
  <c r="AS1303" i="1" s="1"/>
  <c r="AT1303" i="1" a="1"/>
  <c r="AT1303" i="1" s="1"/>
  <c r="AU1303" i="1" a="1"/>
  <c r="AU1303" i="1" s="1"/>
  <c r="AV1303" i="1" a="1"/>
  <c r="AV1303" i="1" s="1"/>
  <c r="AW1303" i="1" a="1"/>
  <c r="AW1303" i="1" s="1"/>
  <c r="AX1303" i="1" a="1"/>
  <c r="AX1303" i="1" s="1"/>
  <c r="AY1303" i="1" a="1"/>
  <c r="AY1303" i="1" s="1"/>
  <c r="AZ1303" i="1" a="1"/>
  <c r="AZ1303" i="1" s="1"/>
  <c r="BA1303" i="1" a="1"/>
  <c r="BA1303" i="1" s="1"/>
  <c r="BB1303" i="1" a="1"/>
  <c r="BB1303" i="1" s="1"/>
  <c r="AL1304" i="1" a="1"/>
  <c r="AL1304" i="1" s="1"/>
  <c r="AM1304" i="1" a="1"/>
  <c r="AM1304" i="1" s="1"/>
  <c r="AN1304" i="1" a="1"/>
  <c r="AN1304" i="1" s="1"/>
  <c r="AO1304" i="1" a="1"/>
  <c r="AO1304" i="1" s="1"/>
  <c r="AP1304" i="1" a="1"/>
  <c r="AP1304" i="1" s="1"/>
  <c r="AQ1304" i="1" a="1"/>
  <c r="AQ1304" i="1" s="1"/>
  <c r="AR1304" i="1" a="1"/>
  <c r="AR1304" i="1" s="1"/>
  <c r="AS1304" i="1" a="1"/>
  <c r="AS1304" i="1" s="1"/>
  <c r="AT1304" i="1" a="1"/>
  <c r="AT1304" i="1" s="1"/>
  <c r="AU1304" i="1" a="1"/>
  <c r="AU1304" i="1" s="1"/>
  <c r="AV1304" i="1" a="1"/>
  <c r="AV1304" i="1" s="1"/>
  <c r="AW1304" i="1" a="1"/>
  <c r="AW1304" i="1" s="1"/>
  <c r="AX1304" i="1" a="1"/>
  <c r="AX1304" i="1" s="1"/>
  <c r="AY1304" i="1" a="1"/>
  <c r="AY1304" i="1" s="1"/>
  <c r="AZ1304" i="1" a="1"/>
  <c r="AZ1304" i="1" s="1"/>
  <c r="BA1304" i="1" a="1"/>
  <c r="BA1304" i="1" s="1"/>
  <c r="BB1304" i="1" a="1"/>
  <c r="BB1304" i="1" s="1"/>
  <c r="AL1305" i="1" a="1"/>
  <c r="AL1305" i="1" s="1"/>
  <c r="AM1305" i="1" a="1"/>
  <c r="AM1305" i="1" s="1"/>
  <c r="AN1305" i="1" a="1"/>
  <c r="AN1305" i="1" s="1"/>
  <c r="AO1305" i="1" a="1"/>
  <c r="AO1305" i="1" s="1"/>
  <c r="AP1305" i="1" a="1"/>
  <c r="AP1305" i="1" s="1"/>
  <c r="AQ1305" i="1" a="1"/>
  <c r="AQ1305" i="1" s="1"/>
  <c r="AR1305" i="1" a="1"/>
  <c r="AR1305" i="1" s="1"/>
  <c r="AS1305" i="1" a="1"/>
  <c r="AS1305" i="1" s="1"/>
  <c r="AT1305" i="1" a="1"/>
  <c r="AT1305" i="1" s="1"/>
  <c r="AU1305" i="1" a="1"/>
  <c r="AU1305" i="1" s="1"/>
  <c r="AV1305" i="1" a="1"/>
  <c r="AV1305" i="1" s="1"/>
  <c r="AW1305" i="1" a="1"/>
  <c r="AW1305" i="1" s="1"/>
  <c r="AX1305" i="1" a="1"/>
  <c r="AX1305" i="1" s="1"/>
  <c r="AY1305" i="1" a="1"/>
  <c r="AY1305" i="1" s="1"/>
  <c r="AZ1305" i="1" a="1"/>
  <c r="AZ1305" i="1" s="1"/>
  <c r="BA1305" i="1" a="1"/>
  <c r="BA1305" i="1" s="1"/>
  <c r="BB1305" i="1" a="1"/>
  <c r="BB1305" i="1" s="1"/>
  <c r="AL1306" i="1" a="1"/>
  <c r="AL1306" i="1" s="1"/>
  <c r="AM1306" i="1" a="1"/>
  <c r="AM1306" i="1" s="1"/>
  <c r="AN1306" i="1" a="1"/>
  <c r="AN1306" i="1" s="1"/>
  <c r="AO1306" i="1" a="1"/>
  <c r="AO1306" i="1" s="1"/>
  <c r="AP1306" i="1" a="1"/>
  <c r="AP1306" i="1" s="1"/>
  <c r="AQ1306" i="1" a="1"/>
  <c r="AQ1306" i="1" s="1"/>
  <c r="AR1306" i="1" a="1"/>
  <c r="AR1306" i="1" s="1"/>
  <c r="AS1306" i="1" a="1"/>
  <c r="AS1306" i="1" s="1"/>
  <c r="AT1306" i="1" a="1"/>
  <c r="AT1306" i="1" s="1"/>
  <c r="AU1306" i="1" a="1"/>
  <c r="AU1306" i="1" s="1"/>
  <c r="AV1306" i="1" a="1"/>
  <c r="AV1306" i="1" s="1"/>
  <c r="AW1306" i="1" a="1"/>
  <c r="AW1306" i="1" s="1"/>
  <c r="AX1306" i="1" a="1"/>
  <c r="AX1306" i="1" s="1"/>
  <c r="AY1306" i="1" a="1"/>
  <c r="AY1306" i="1" s="1"/>
  <c r="AZ1306" i="1" a="1"/>
  <c r="AZ1306" i="1" s="1"/>
  <c r="BA1306" i="1" a="1"/>
  <c r="BA1306" i="1" s="1"/>
  <c r="BB1306" i="1" a="1"/>
  <c r="BB1306" i="1" s="1"/>
  <c r="AL1307" i="1" a="1"/>
  <c r="AL1307" i="1" s="1"/>
  <c r="AM1307" i="1" a="1"/>
  <c r="AM1307" i="1" s="1"/>
  <c r="AN1307" i="1" a="1"/>
  <c r="AN1307" i="1" s="1"/>
  <c r="AO1307" i="1" a="1"/>
  <c r="AO1307" i="1" s="1"/>
  <c r="AP1307" i="1" a="1"/>
  <c r="AP1307" i="1" s="1"/>
  <c r="AQ1307" i="1" a="1"/>
  <c r="AQ1307" i="1" s="1"/>
  <c r="AR1307" i="1" a="1"/>
  <c r="AR1307" i="1" s="1"/>
  <c r="AS1307" i="1" a="1"/>
  <c r="AS1307" i="1" s="1"/>
  <c r="AT1307" i="1" a="1"/>
  <c r="AT1307" i="1" s="1"/>
  <c r="AU1307" i="1" a="1"/>
  <c r="AU1307" i="1" s="1"/>
  <c r="AV1307" i="1" a="1"/>
  <c r="AV1307" i="1" s="1"/>
  <c r="AW1307" i="1" a="1"/>
  <c r="AW1307" i="1" s="1"/>
  <c r="AX1307" i="1" a="1"/>
  <c r="AX1307" i="1" s="1"/>
  <c r="AY1307" i="1" a="1"/>
  <c r="AY1307" i="1" s="1"/>
  <c r="AZ1307" i="1" a="1"/>
  <c r="AZ1307" i="1" s="1"/>
  <c r="BA1307" i="1" a="1"/>
  <c r="BA1307" i="1" s="1"/>
  <c r="BB1307" i="1" a="1"/>
  <c r="BB1307" i="1" s="1"/>
  <c r="AL1308" i="1" a="1"/>
  <c r="AL1308" i="1" s="1"/>
  <c r="AM1308" i="1" a="1"/>
  <c r="AM1308" i="1" s="1"/>
  <c r="AN1308" i="1" a="1"/>
  <c r="AN1308" i="1" s="1"/>
  <c r="AO1308" i="1" a="1"/>
  <c r="AO1308" i="1" s="1"/>
  <c r="AP1308" i="1" a="1"/>
  <c r="AP1308" i="1" s="1"/>
  <c r="AQ1308" i="1" a="1"/>
  <c r="AQ1308" i="1" s="1"/>
  <c r="AR1308" i="1" a="1"/>
  <c r="AR1308" i="1" s="1"/>
  <c r="AS1308" i="1" a="1"/>
  <c r="AS1308" i="1" s="1"/>
  <c r="AT1308" i="1" a="1"/>
  <c r="AT1308" i="1" s="1"/>
  <c r="AU1308" i="1" a="1"/>
  <c r="AU1308" i="1" s="1"/>
  <c r="AV1308" i="1" a="1"/>
  <c r="AV1308" i="1" s="1"/>
  <c r="AW1308" i="1" a="1"/>
  <c r="AW1308" i="1" s="1"/>
  <c r="AX1308" i="1" a="1"/>
  <c r="AX1308" i="1" s="1"/>
  <c r="AY1308" i="1" a="1"/>
  <c r="AY1308" i="1" s="1"/>
  <c r="AZ1308" i="1" a="1"/>
  <c r="AZ1308" i="1" s="1"/>
  <c r="BA1308" i="1" a="1"/>
  <c r="BA1308" i="1" s="1"/>
  <c r="BB1308" i="1" a="1"/>
  <c r="BB1308" i="1" s="1"/>
  <c r="AL1309" i="1" a="1"/>
  <c r="AL1309" i="1" s="1"/>
  <c r="AM1309" i="1" a="1"/>
  <c r="AM1309" i="1" s="1"/>
  <c r="AN1309" i="1" a="1"/>
  <c r="AN1309" i="1" s="1"/>
  <c r="AO1309" i="1" a="1"/>
  <c r="AO1309" i="1" s="1"/>
  <c r="AP1309" i="1" a="1"/>
  <c r="AP1309" i="1" s="1"/>
  <c r="AQ1309" i="1" a="1"/>
  <c r="AQ1309" i="1" s="1"/>
  <c r="AR1309" i="1" a="1"/>
  <c r="AR1309" i="1" s="1"/>
  <c r="AS1309" i="1" a="1"/>
  <c r="AS1309" i="1" s="1"/>
  <c r="AT1309" i="1" a="1"/>
  <c r="AT1309" i="1" s="1"/>
  <c r="AU1309" i="1" a="1"/>
  <c r="AU1309" i="1" s="1"/>
  <c r="AV1309" i="1" a="1"/>
  <c r="AV1309" i="1" s="1"/>
  <c r="AW1309" i="1" a="1"/>
  <c r="AW1309" i="1" s="1"/>
  <c r="AX1309" i="1" a="1"/>
  <c r="AX1309" i="1" s="1"/>
  <c r="AY1309" i="1" a="1"/>
  <c r="AY1309" i="1" s="1"/>
  <c r="AZ1309" i="1" a="1"/>
  <c r="AZ1309" i="1" s="1"/>
  <c r="BA1309" i="1" a="1"/>
  <c r="BA1309" i="1" s="1"/>
  <c r="BB1309" i="1" a="1"/>
  <c r="BB1309" i="1" s="1"/>
  <c r="AL1310" i="1" a="1"/>
  <c r="AL1310" i="1" s="1"/>
  <c r="AM1310" i="1" a="1"/>
  <c r="AM1310" i="1" s="1"/>
  <c r="AN1310" i="1" a="1"/>
  <c r="AN1310" i="1" s="1"/>
  <c r="AO1310" i="1" a="1"/>
  <c r="AO1310" i="1" s="1"/>
  <c r="AP1310" i="1" a="1"/>
  <c r="AP1310" i="1" s="1"/>
  <c r="AQ1310" i="1" a="1"/>
  <c r="AQ1310" i="1" s="1"/>
  <c r="AR1310" i="1" a="1"/>
  <c r="AR1310" i="1" s="1"/>
  <c r="AS1310" i="1" a="1"/>
  <c r="AS1310" i="1" s="1"/>
  <c r="AT1310" i="1" a="1"/>
  <c r="AT1310" i="1" s="1"/>
  <c r="AU1310" i="1" a="1"/>
  <c r="AU1310" i="1" s="1"/>
  <c r="AV1310" i="1" a="1"/>
  <c r="AV1310" i="1" s="1"/>
  <c r="AW1310" i="1" a="1"/>
  <c r="AW1310" i="1" s="1"/>
  <c r="AX1310" i="1" a="1"/>
  <c r="AX1310" i="1" s="1"/>
  <c r="AY1310" i="1" a="1"/>
  <c r="AY1310" i="1" s="1"/>
  <c r="AZ1310" i="1" a="1"/>
  <c r="AZ1310" i="1" s="1"/>
  <c r="BA1310" i="1" a="1"/>
  <c r="BA1310" i="1" s="1"/>
  <c r="BB1310" i="1" a="1"/>
  <c r="BB1310" i="1" s="1"/>
  <c r="AL1311" i="1" a="1"/>
  <c r="AL1311" i="1" s="1"/>
  <c r="AM1311" i="1" a="1"/>
  <c r="AM1311" i="1" s="1"/>
  <c r="AN1311" i="1" a="1"/>
  <c r="AN1311" i="1" s="1"/>
  <c r="AO1311" i="1" a="1"/>
  <c r="AO1311" i="1" s="1"/>
  <c r="AP1311" i="1" a="1"/>
  <c r="AP1311" i="1" s="1"/>
  <c r="AQ1311" i="1" a="1"/>
  <c r="AQ1311" i="1" s="1"/>
  <c r="AR1311" i="1" a="1"/>
  <c r="AR1311" i="1" s="1"/>
  <c r="AS1311" i="1" a="1"/>
  <c r="AS1311" i="1" s="1"/>
  <c r="AT1311" i="1" a="1"/>
  <c r="AT1311" i="1" s="1"/>
  <c r="AU1311" i="1" a="1"/>
  <c r="AU1311" i="1" s="1"/>
  <c r="AV1311" i="1" a="1"/>
  <c r="AV1311" i="1" s="1"/>
  <c r="AW1311" i="1" a="1"/>
  <c r="AW1311" i="1" s="1"/>
  <c r="AX1311" i="1" a="1"/>
  <c r="AX1311" i="1" s="1"/>
  <c r="AY1311" i="1" a="1"/>
  <c r="AY1311" i="1" s="1"/>
  <c r="AZ1311" i="1" a="1"/>
  <c r="AZ1311" i="1" s="1"/>
  <c r="BA1311" i="1" a="1"/>
  <c r="BA1311" i="1" s="1"/>
  <c r="BB1311" i="1" a="1"/>
  <c r="BB1311" i="1" s="1"/>
  <c r="AL1312" i="1" a="1"/>
  <c r="AL1312" i="1" s="1"/>
  <c r="AM1312" i="1" a="1"/>
  <c r="AM1312" i="1" s="1"/>
  <c r="AN1312" i="1" a="1"/>
  <c r="AN1312" i="1" s="1"/>
  <c r="AO1312" i="1" a="1"/>
  <c r="AO1312" i="1" s="1"/>
  <c r="AP1312" i="1" a="1"/>
  <c r="AP1312" i="1" s="1"/>
  <c r="AQ1312" i="1" a="1"/>
  <c r="AQ1312" i="1" s="1"/>
  <c r="AR1312" i="1" a="1"/>
  <c r="AR1312" i="1" s="1"/>
  <c r="AS1312" i="1" a="1"/>
  <c r="AS1312" i="1" s="1"/>
  <c r="AT1312" i="1" a="1"/>
  <c r="AT1312" i="1" s="1"/>
  <c r="AU1312" i="1" a="1"/>
  <c r="AU1312" i="1" s="1"/>
  <c r="AV1312" i="1" a="1"/>
  <c r="AV1312" i="1" s="1"/>
  <c r="AW1312" i="1" a="1"/>
  <c r="AW1312" i="1" s="1"/>
  <c r="AX1312" i="1" a="1"/>
  <c r="AX1312" i="1" s="1"/>
  <c r="AY1312" i="1" a="1"/>
  <c r="AY1312" i="1" s="1"/>
  <c r="AZ1312" i="1" a="1"/>
  <c r="AZ1312" i="1" s="1"/>
  <c r="BA1312" i="1" a="1"/>
  <c r="BA1312" i="1" s="1"/>
  <c r="BB1312" i="1" a="1"/>
  <c r="BB1312" i="1" s="1"/>
  <c r="AL1313" i="1" a="1"/>
  <c r="AL1313" i="1" s="1"/>
  <c r="AM1313" i="1" a="1"/>
  <c r="AM1313" i="1" s="1"/>
  <c r="AN1313" i="1" a="1"/>
  <c r="AN1313" i="1" s="1"/>
  <c r="AO1313" i="1" a="1"/>
  <c r="AO1313" i="1" s="1"/>
  <c r="AP1313" i="1" a="1"/>
  <c r="AP1313" i="1" s="1"/>
  <c r="AQ1313" i="1" a="1"/>
  <c r="AQ1313" i="1" s="1"/>
  <c r="AR1313" i="1" a="1"/>
  <c r="AR1313" i="1" s="1"/>
  <c r="AS1313" i="1" a="1"/>
  <c r="AS1313" i="1" s="1"/>
  <c r="AT1313" i="1" a="1"/>
  <c r="AT1313" i="1" s="1"/>
  <c r="AU1313" i="1" a="1"/>
  <c r="AU1313" i="1" s="1"/>
  <c r="AV1313" i="1" a="1"/>
  <c r="AV1313" i="1" s="1"/>
  <c r="AW1313" i="1" a="1"/>
  <c r="AW1313" i="1" s="1"/>
  <c r="AX1313" i="1" a="1"/>
  <c r="AX1313" i="1" s="1"/>
  <c r="AY1313" i="1" a="1"/>
  <c r="AY1313" i="1" s="1"/>
  <c r="AZ1313" i="1" a="1"/>
  <c r="AZ1313" i="1" s="1"/>
  <c r="BA1313" i="1" a="1"/>
  <c r="BA1313" i="1" s="1"/>
  <c r="BB1313" i="1" a="1"/>
  <c r="BB1313" i="1" s="1"/>
  <c r="AL1314" i="1" a="1"/>
  <c r="AL1314" i="1" s="1"/>
  <c r="AM1314" i="1" a="1"/>
  <c r="AM1314" i="1" s="1"/>
  <c r="AN1314" i="1" a="1"/>
  <c r="AN1314" i="1" s="1"/>
  <c r="AO1314" i="1" a="1"/>
  <c r="AO1314" i="1" s="1"/>
  <c r="AP1314" i="1" a="1"/>
  <c r="AP1314" i="1" s="1"/>
  <c r="AQ1314" i="1" a="1"/>
  <c r="AQ1314" i="1" s="1"/>
  <c r="AR1314" i="1" a="1"/>
  <c r="AR1314" i="1" s="1"/>
  <c r="AS1314" i="1" a="1"/>
  <c r="AS1314" i="1" s="1"/>
  <c r="AT1314" i="1" a="1"/>
  <c r="AT1314" i="1" s="1"/>
  <c r="AU1314" i="1" a="1"/>
  <c r="AU1314" i="1" s="1"/>
  <c r="AV1314" i="1" a="1"/>
  <c r="AV1314" i="1" s="1"/>
  <c r="AW1314" i="1" a="1"/>
  <c r="AW1314" i="1" s="1"/>
  <c r="AX1314" i="1" a="1"/>
  <c r="AX1314" i="1" s="1"/>
  <c r="AY1314" i="1" a="1"/>
  <c r="AY1314" i="1" s="1"/>
  <c r="AZ1314" i="1" a="1"/>
  <c r="AZ1314" i="1" s="1"/>
  <c r="BA1314" i="1" a="1"/>
  <c r="BA1314" i="1" s="1"/>
  <c r="BB1314" i="1" a="1"/>
  <c r="BB1314" i="1" s="1"/>
  <c r="AL1315" i="1" a="1"/>
  <c r="AL1315" i="1" s="1"/>
  <c r="AM1315" i="1" a="1"/>
  <c r="AM1315" i="1" s="1"/>
  <c r="AN1315" i="1" a="1"/>
  <c r="AN1315" i="1" s="1"/>
  <c r="AO1315" i="1" a="1"/>
  <c r="AO1315" i="1" s="1"/>
  <c r="AP1315" i="1" a="1"/>
  <c r="AP1315" i="1" s="1"/>
  <c r="AQ1315" i="1" a="1"/>
  <c r="AQ1315" i="1" s="1"/>
  <c r="AR1315" i="1" a="1"/>
  <c r="AR1315" i="1" s="1"/>
  <c r="AS1315" i="1" a="1"/>
  <c r="AS1315" i="1" s="1"/>
  <c r="AT1315" i="1" a="1"/>
  <c r="AT1315" i="1" s="1"/>
  <c r="AU1315" i="1" a="1"/>
  <c r="AU1315" i="1" s="1"/>
  <c r="AV1315" i="1" a="1"/>
  <c r="AV1315" i="1" s="1"/>
  <c r="AW1315" i="1" a="1"/>
  <c r="AW1315" i="1" s="1"/>
  <c r="AX1315" i="1" a="1"/>
  <c r="AX1315" i="1" s="1"/>
  <c r="AY1315" i="1" a="1"/>
  <c r="AY1315" i="1" s="1"/>
  <c r="AZ1315" i="1" a="1"/>
  <c r="AZ1315" i="1" s="1"/>
  <c r="BA1315" i="1" a="1"/>
  <c r="BA1315" i="1" s="1"/>
  <c r="BB1315" i="1" a="1"/>
  <c r="BB1315" i="1" s="1"/>
  <c r="AL1316" i="1" a="1"/>
  <c r="AL1316" i="1" s="1"/>
  <c r="AM1316" i="1" a="1"/>
  <c r="AM1316" i="1" s="1"/>
  <c r="AN1316" i="1" a="1"/>
  <c r="AN1316" i="1" s="1"/>
  <c r="AO1316" i="1" a="1"/>
  <c r="AO1316" i="1" s="1"/>
  <c r="AP1316" i="1" a="1"/>
  <c r="AP1316" i="1" s="1"/>
  <c r="AQ1316" i="1" a="1"/>
  <c r="AQ1316" i="1" s="1"/>
  <c r="AR1316" i="1" a="1"/>
  <c r="AR1316" i="1" s="1"/>
  <c r="AS1316" i="1" a="1"/>
  <c r="AS1316" i="1" s="1"/>
  <c r="AT1316" i="1" a="1"/>
  <c r="AT1316" i="1" s="1"/>
  <c r="AU1316" i="1" a="1"/>
  <c r="AU1316" i="1" s="1"/>
  <c r="AV1316" i="1" a="1"/>
  <c r="AV1316" i="1" s="1"/>
  <c r="AW1316" i="1" a="1"/>
  <c r="AW1316" i="1" s="1"/>
  <c r="AX1316" i="1" a="1"/>
  <c r="AX1316" i="1" s="1"/>
  <c r="AY1316" i="1" a="1"/>
  <c r="AY1316" i="1" s="1"/>
  <c r="AZ1316" i="1" a="1"/>
  <c r="AZ1316" i="1" s="1"/>
  <c r="BA1316" i="1" a="1"/>
  <c r="BA1316" i="1" s="1"/>
  <c r="BB1316" i="1" a="1"/>
  <c r="BB1316" i="1" s="1"/>
  <c r="AL1317" i="1" a="1"/>
  <c r="AL1317" i="1" s="1"/>
  <c r="AM1317" i="1" a="1"/>
  <c r="AM1317" i="1" s="1"/>
  <c r="AN1317" i="1" a="1"/>
  <c r="AN1317" i="1" s="1"/>
  <c r="AO1317" i="1" a="1"/>
  <c r="AO1317" i="1" s="1"/>
  <c r="AP1317" i="1" a="1"/>
  <c r="AP1317" i="1" s="1"/>
  <c r="AQ1317" i="1" a="1"/>
  <c r="AQ1317" i="1" s="1"/>
  <c r="AR1317" i="1" a="1"/>
  <c r="AR1317" i="1" s="1"/>
  <c r="AS1317" i="1" a="1"/>
  <c r="AS1317" i="1" s="1"/>
  <c r="AT1317" i="1" a="1"/>
  <c r="AT1317" i="1" s="1"/>
  <c r="AU1317" i="1" a="1"/>
  <c r="AU1317" i="1" s="1"/>
  <c r="AV1317" i="1" a="1"/>
  <c r="AV1317" i="1" s="1"/>
  <c r="AW1317" i="1" a="1"/>
  <c r="AW1317" i="1" s="1"/>
  <c r="AX1317" i="1" a="1"/>
  <c r="AX1317" i="1" s="1"/>
  <c r="AY1317" i="1" a="1"/>
  <c r="AY1317" i="1" s="1"/>
  <c r="AZ1317" i="1" a="1"/>
  <c r="AZ1317" i="1" s="1"/>
  <c r="BA1317" i="1" a="1"/>
  <c r="BA1317" i="1" s="1"/>
  <c r="BB1317" i="1" a="1"/>
  <c r="BB1317" i="1" s="1"/>
  <c r="AL1318" i="1" a="1"/>
  <c r="AL1318" i="1" s="1"/>
  <c r="AM1318" i="1" a="1"/>
  <c r="AM1318" i="1" s="1"/>
  <c r="AN1318" i="1" a="1"/>
  <c r="AN1318" i="1" s="1"/>
  <c r="AO1318" i="1" a="1"/>
  <c r="AO1318" i="1" s="1"/>
  <c r="AP1318" i="1" a="1"/>
  <c r="AP1318" i="1" s="1"/>
  <c r="AQ1318" i="1" a="1"/>
  <c r="AQ1318" i="1" s="1"/>
  <c r="AR1318" i="1" a="1"/>
  <c r="AR1318" i="1" s="1"/>
  <c r="AS1318" i="1" a="1"/>
  <c r="AS1318" i="1" s="1"/>
  <c r="AT1318" i="1" a="1"/>
  <c r="AT1318" i="1" s="1"/>
  <c r="AU1318" i="1" a="1"/>
  <c r="AU1318" i="1" s="1"/>
  <c r="AV1318" i="1" a="1"/>
  <c r="AV1318" i="1" s="1"/>
  <c r="AW1318" i="1" a="1"/>
  <c r="AW1318" i="1" s="1"/>
  <c r="AX1318" i="1" a="1"/>
  <c r="AX1318" i="1" s="1"/>
  <c r="AY1318" i="1" a="1"/>
  <c r="AY1318" i="1" s="1"/>
  <c r="AZ1318" i="1" a="1"/>
  <c r="AZ1318" i="1" s="1"/>
  <c r="BA1318" i="1" a="1"/>
  <c r="BA1318" i="1" s="1"/>
  <c r="BB1318" i="1" a="1"/>
  <c r="BB1318" i="1" s="1"/>
  <c r="AL1319" i="1" a="1"/>
  <c r="AL1319" i="1" s="1"/>
  <c r="AM1319" i="1" a="1"/>
  <c r="AM1319" i="1" s="1"/>
  <c r="AN1319" i="1" a="1"/>
  <c r="AN1319" i="1" s="1"/>
  <c r="AO1319" i="1" a="1"/>
  <c r="AO1319" i="1" s="1"/>
  <c r="AP1319" i="1" a="1"/>
  <c r="AP1319" i="1" s="1"/>
  <c r="AQ1319" i="1" a="1"/>
  <c r="AQ1319" i="1" s="1"/>
  <c r="AR1319" i="1" a="1"/>
  <c r="AR1319" i="1" s="1"/>
  <c r="AS1319" i="1" a="1"/>
  <c r="AS1319" i="1" s="1"/>
  <c r="AT1319" i="1" a="1"/>
  <c r="AT1319" i="1" s="1"/>
  <c r="AU1319" i="1" a="1"/>
  <c r="AU1319" i="1" s="1"/>
  <c r="AV1319" i="1" a="1"/>
  <c r="AV1319" i="1" s="1"/>
  <c r="AW1319" i="1" a="1"/>
  <c r="AW1319" i="1" s="1"/>
  <c r="AX1319" i="1" a="1"/>
  <c r="AX1319" i="1" s="1"/>
  <c r="AY1319" i="1" a="1"/>
  <c r="AY1319" i="1" s="1"/>
  <c r="AZ1319" i="1" a="1"/>
  <c r="AZ1319" i="1" s="1"/>
  <c r="BA1319" i="1" a="1"/>
  <c r="BA1319" i="1" s="1"/>
  <c r="BB1319" i="1" a="1"/>
  <c r="BB1319" i="1" s="1"/>
  <c r="AL1320" i="1" a="1"/>
  <c r="AL1320" i="1" s="1"/>
  <c r="AM1320" i="1" a="1"/>
  <c r="AM1320" i="1" s="1"/>
  <c r="AN1320" i="1" a="1"/>
  <c r="AN1320" i="1" s="1"/>
  <c r="AO1320" i="1" a="1"/>
  <c r="AO1320" i="1" s="1"/>
  <c r="AP1320" i="1" a="1"/>
  <c r="AP1320" i="1" s="1"/>
  <c r="AQ1320" i="1" a="1"/>
  <c r="AQ1320" i="1" s="1"/>
  <c r="AR1320" i="1" a="1"/>
  <c r="AR1320" i="1" s="1"/>
  <c r="AS1320" i="1" a="1"/>
  <c r="AS1320" i="1" s="1"/>
  <c r="AT1320" i="1" a="1"/>
  <c r="AT1320" i="1" s="1"/>
  <c r="AU1320" i="1" a="1"/>
  <c r="AU1320" i="1" s="1"/>
  <c r="AV1320" i="1" a="1"/>
  <c r="AV1320" i="1" s="1"/>
  <c r="AW1320" i="1" a="1"/>
  <c r="AW1320" i="1" s="1"/>
  <c r="AX1320" i="1" a="1"/>
  <c r="AX1320" i="1" s="1"/>
  <c r="AY1320" i="1" a="1"/>
  <c r="AY1320" i="1" s="1"/>
  <c r="AZ1320" i="1" a="1"/>
  <c r="AZ1320" i="1" s="1"/>
  <c r="BA1320" i="1" a="1"/>
  <c r="BA1320" i="1" s="1"/>
  <c r="BB1320" i="1" a="1"/>
  <c r="BB1320" i="1" s="1"/>
  <c r="AL1321" i="1" a="1"/>
  <c r="AL1321" i="1" s="1"/>
  <c r="AM1321" i="1" a="1"/>
  <c r="AM1321" i="1" s="1"/>
  <c r="AN1321" i="1" a="1"/>
  <c r="AN1321" i="1" s="1"/>
  <c r="AO1321" i="1" a="1"/>
  <c r="AO1321" i="1" s="1"/>
  <c r="AP1321" i="1" a="1"/>
  <c r="AP1321" i="1" s="1"/>
  <c r="AQ1321" i="1" a="1"/>
  <c r="AQ1321" i="1" s="1"/>
  <c r="AR1321" i="1" a="1"/>
  <c r="AR1321" i="1" s="1"/>
  <c r="AS1321" i="1" a="1"/>
  <c r="AS1321" i="1" s="1"/>
  <c r="AT1321" i="1" a="1"/>
  <c r="AT1321" i="1" s="1"/>
  <c r="AU1321" i="1" a="1"/>
  <c r="AU1321" i="1" s="1"/>
  <c r="AV1321" i="1" a="1"/>
  <c r="AV1321" i="1" s="1"/>
  <c r="AW1321" i="1" a="1"/>
  <c r="AW1321" i="1" s="1"/>
  <c r="AX1321" i="1" a="1"/>
  <c r="AX1321" i="1" s="1"/>
  <c r="AY1321" i="1" a="1"/>
  <c r="AY1321" i="1" s="1"/>
  <c r="AZ1321" i="1" a="1"/>
  <c r="AZ1321" i="1" s="1"/>
  <c r="BA1321" i="1" a="1"/>
  <c r="BA1321" i="1" s="1"/>
  <c r="BB1321" i="1" a="1"/>
  <c r="BB1321" i="1" s="1"/>
  <c r="AL1322" i="1" a="1"/>
  <c r="AL1322" i="1" s="1"/>
  <c r="AM1322" i="1" a="1"/>
  <c r="AM1322" i="1" s="1"/>
  <c r="AN1322" i="1" a="1"/>
  <c r="AN1322" i="1" s="1"/>
  <c r="AO1322" i="1" a="1"/>
  <c r="AO1322" i="1" s="1"/>
  <c r="AP1322" i="1" a="1"/>
  <c r="AP1322" i="1" s="1"/>
  <c r="AQ1322" i="1" a="1"/>
  <c r="AQ1322" i="1" s="1"/>
  <c r="AR1322" i="1" a="1"/>
  <c r="AR1322" i="1" s="1"/>
  <c r="AS1322" i="1" a="1"/>
  <c r="AS1322" i="1" s="1"/>
  <c r="AT1322" i="1" a="1"/>
  <c r="AT1322" i="1" s="1"/>
  <c r="AU1322" i="1" a="1"/>
  <c r="AU1322" i="1" s="1"/>
  <c r="AV1322" i="1" a="1"/>
  <c r="AV1322" i="1" s="1"/>
  <c r="AW1322" i="1" a="1"/>
  <c r="AW1322" i="1" s="1"/>
  <c r="AX1322" i="1" a="1"/>
  <c r="AX1322" i="1" s="1"/>
  <c r="AY1322" i="1" a="1"/>
  <c r="AY1322" i="1" s="1"/>
  <c r="AZ1322" i="1" a="1"/>
  <c r="AZ1322" i="1" s="1"/>
  <c r="BA1322" i="1" a="1"/>
  <c r="BA1322" i="1" s="1"/>
  <c r="BB1322" i="1" a="1"/>
  <c r="BB1322" i="1" s="1"/>
  <c r="AL1323" i="1" a="1"/>
  <c r="AL1323" i="1" s="1"/>
  <c r="AM1323" i="1" a="1"/>
  <c r="AM1323" i="1" s="1"/>
  <c r="AN1323" i="1" a="1"/>
  <c r="AN1323" i="1" s="1"/>
  <c r="AO1323" i="1" a="1"/>
  <c r="AO1323" i="1" s="1"/>
  <c r="AP1323" i="1" a="1"/>
  <c r="AP1323" i="1" s="1"/>
  <c r="AQ1323" i="1" a="1"/>
  <c r="AQ1323" i="1" s="1"/>
  <c r="AR1323" i="1" a="1"/>
  <c r="AR1323" i="1" s="1"/>
  <c r="AS1323" i="1" a="1"/>
  <c r="AS1323" i="1" s="1"/>
  <c r="AT1323" i="1" a="1"/>
  <c r="AT1323" i="1" s="1"/>
  <c r="AU1323" i="1" a="1"/>
  <c r="AU1323" i="1" s="1"/>
  <c r="AV1323" i="1" a="1"/>
  <c r="AV1323" i="1" s="1"/>
  <c r="AW1323" i="1" a="1"/>
  <c r="AW1323" i="1" s="1"/>
  <c r="AX1323" i="1" a="1"/>
  <c r="AX1323" i="1" s="1"/>
  <c r="AY1323" i="1" a="1"/>
  <c r="AY1323" i="1" s="1"/>
  <c r="AZ1323" i="1" a="1"/>
  <c r="AZ1323" i="1" s="1"/>
  <c r="BA1323" i="1" a="1"/>
  <c r="BA1323" i="1" s="1"/>
  <c r="BB1323" i="1" a="1"/>
  <c r="BB1323" i="1" s="1"/>
  <c r="AL1324" i="1" a="1"/>
  <c r="AL1324" i="1" s="1"/>
  <c r="AM1324" i="1" a="1"/>
  <c r="AM1324" i="1" s="1"/>
  <c r="AN1324" i="1" a="1"/>
  <c r="AN1324" i="1" s="1"/>
  <c r="AO1324" i="1" a="1"/>
  <c r="AO1324" i="1" s="1"/>
  <c r="AP1324" i="1" a="1"/>
  <c r="AP1324" i="1" s="1"/>
  <c r="AQ1324" i="1" a="1"/>
  <c r="AQ1324" i="1" s="1"/>
  <c r="AR1324" i="1" a="1"/>
  <c r="AR1324" i="1" s="1"/>
  <c r="AS1324" i="1" a="1"/>
  <c r="AS1324" i="1" s="1"/>
  <c r="AT1324" i="1" a="1"/>
  <c r="AT1324" i="1" s="1"/>
  <c r="AU1324" i="1" a="1"/>
  <c r="AU1324" i="1" s="1"/>
  <c r="AV1324" i="1" a="1"/>
  <c r="AV1324" i="1" s="1"/>
  <c r="AW1324" i="1" a="1"/>
  <c r="AW1324" i="1" s="1"/>
  <c r="AX1324" i="1" a="1"/>
  <c r="AX1324" i="1" s="1"/>
  <c r="AY1324" i="1" a="1"/>
  <c r="AY1324" i="1" s="1"/>
  <c r="AZ1324" i="1" a="1"/>
  <c r="AZ1324" i="1" s="1"/>
  <c r="BA1324" i="1" a="1"/>
  <c r="BA1324" i="1" s="1"/>
  <c r="BB1324" i="1" a="1"/>
  <c r="BB1324" i="1" s="1"/>
  <c r="AL1325" i="1" a="1"/>
  <c r="AL1325" i="1" s="1"/>
  <c r="AM1325" i="1" a="1"/>
  <c r="AM1325" i="1" s="1"/>
  <c r="AN1325" i="1" a="1"/>
  <c r="AN1325" i="1" s="1"/>
  <c r="AO1325" i="1" a="1"/>
  <c r="AO1325" i="1" s="1"/>
  <c r="AP1325" i="1" a="1"/>
  <c r="AP1325" i="1" s="1"/>
  <c r="AQ1325" i="1" a="1"/>
  <c r="AQ1325" i="1" s="1"/>
  <c r="AR1325" i="1" a="1"/>
  <c r="AR1325" i="1" s="1"/>
  <c r="AS1325" i="1" a="1"/>
  <c r="AS1325" i="1" s="1"/>
  <c r="AT1325" i="1" a="1"/>
  <c r="AT1325" i="1" s="1"/>
  <c r="AU1325" i="1" a="1"/>
  <c r="AU1325" i="1" s="1"/>
  <c r="AV1325" i="1" a="1"/>
  <c r="AV1325" i="1" s="1"/>
  <c r="AW1325" i="1" a="1"/>
  <c r="AW1325" i="1" s="1"/>
  <c r="AX1325" i="1" a="1"/>
  <c r="AX1325" i="1" s="1"/>
  <c r="AY1325" i="1" a="1"/>
  <c r="AY1325" i="1" s="1"/>
  <c r="AZ1325" i="1" a="1"/>
  <c r="AZ1325" i="1" s="1"/>
  <c r="BA1325" i="1" a="1"/>
  <c r="BA1325" i="1" s="1"/>
  <c r="BB1325" i="1" a="1"/>
  <c r="BB1325" i="1" s="1"/>
  <c r="AL1326" i="1" a="1"/>
  <c r="AL1326" i="1" s="1"/>
  <c r="AM1326" i="1" a="1"/>
  <c r="AM1326" i="1" s="1"/>
  <c r="AN1326" i="1" a="1"/>
  <c r="AN1326" i="1" s="1"/>
  <c r="AO1326" i="1" a="1"/>
  <c r="AO1326" i="1" s="1"/>
  <c r="AP1326" i="1" a="1"/>
  <c r="AP1326" i="1" s="1"/>
  <c r="AQ1326" i="1" a="1"/>
  <c r="AQ1326" i="1" s="1"/>
  <c r="AR1326" i="1" a="1"/>
  <c r="AR1326" i="1" s="1"/>
  <c r="AS1326" i="1" a="1"/>
  <c r="AS1326" i="1" s="1"/>
  <c r="AT1326" i="1" a="1"/>
  <c r="AT1326" i="1" s="1"/>
  <c r="AU1326" i="1" a="1"/>
  <c r="AU1326" i="1" s="1"/>
  <c r="AV1326" i="1" a="1"/>
  <c r="AV1326" i="1" s="1"/>
  <c r="AW1326" i="1" a="1"/>
  <c r="AW1326" i="1" s="1"/>
  <c r="AX1326" i="1" a="1"/>
  <c r="AX1326" i="1" s="1"/>
  <c r="AY1326" i="1" a="1"/>
  <c r="AY1326" i="1" s="1"/>
  <c r="AZ1326" i="1" a="1"/>
  <c r="AZ1326" i="1" s="1"/>
  <c r="BA1326" i="1" a="1"/>
  <c r="BA1326" i="1" s="1"/>
  <c r="BB1326" i="1" a="1"/>
  <c r="BB1326" i="1" s="1"/>
  <c r="AL1327" i="1" a="1"/>
  <c r="AL1327" i="1" s="1"/>
  <c r="AM1327" i="1" a="1"/>
  <c r="AM1327" i="1" s="1"/>
  <c r="AN1327" i="1" a="1"/>
  <c r="AN1327" i="1" s="1"/>
  <c r="AO1327" i="1" a="1"/>
  <c r="AO1327" i="1" s="1"/>
  <c r="AP1327" i="1" a="1"/>
  <c r="AP1327" i="1" s="1"/>
  <c r="AQ1327" i="1" a="1"/>
  <c r="AQ1327" i="1" s="1"/>
  <c r="AR1327" i="1" a="1"/>
  <c r="AR1327" i="1" s="1"/>
  <c r="AS1327" i="1" a="1"/>
  <c r="AS1327" i="1" s="1"/>
  <c r="AT1327" i="1" a="1"/>
  <c r="AT1327" i="1" s="1"/>
  <c r="AU1327" i="1" a="1"/>
  <c r="AU1327" i="1" s="1"/>
  <c r="AV1327" i="1" a="1"/>
  <c r="AV1327" i="1" s="1"/>
  <c r="AW1327" i="1" a="1"/>
  <c r="AW1327" i="1" s="1"/>
  <c r="AX1327" i="1" a="1"/>
  <c r="AX1327" i="1" s="1"/>
  <c r="AY1327" i="1" a="1"/>
  <c r="AY1327" i="1" s="1"/>
  <c r="AZ1327" i="1" a="1"/>
  <c r="AZ1327" i="1" s="1"/>
  <c r="BA1327" i="1" a="1"/>
  <c r="BA1327" i="1" s="1"/>
  <c r="BB1327" i="1" a="1"/>
  <c r="BB1327" i="1" s="1"/>
  <c r="AL1328" i="1" a="1"/>
  <c r="AL1328" i="1" s="1"/>
  <c r="AM1328" i="1" a="1"/>
  <c r="AM1328" i="1" s="1"/>
  <c r="AN1328" i="1" a="1"/>
  <c r="AN1328" i="1" s="1"/>
  <c r="AO1328" i="1" a="1"/>
  <c r="AO1328" i="1" s="1"/>
  <c r="AP1328" i="1" a="1"/>
  <c r="AP1328" i="1" s="1"/>
  <c r="AQ1328" i="1" a="1"/>
  <c r="AQ1328" i="1" s="1"/>
  <c r="AR1328" i="1" a="1"/>
  <c r="AR1328" i="1" s="1"/>
  <c r="AS1328" i="1" a="1"/>
  <c r="AS1328" i="1" s="1"/>
  <c r="AT1328" i="1" a="1"/>
  <c r="AT1328" i="1" s="1"/>
  <c r="AU1328" i="1" a="1"/>
  <c r="AU1328" i="1" s="1"/>
  <c r="AV1328" i="1" a="1"/>
  <c r="AV1328" i="1" s="1"/>
  <c r="AW1328" i="1" a="1"/>
  <c r="AW1328" i="1" s="1"/>
  <c r="AX1328" i="1" a="1"/>
  <c r="AX1328" i="1" s="1"/>
  <c r="AY1328" i="1" a="1"/>
  <c r="AY1328" i="1" s="1"/>
  <c r="AZ1328" i="1" a="1"/>
  <c r="AZ1328" i="1" s="1"/>
  <c r="BA1328" i="1" a="1"/>
  <c r="BA1328" i="1" s="1"/>
  <c r="BB1328" i="1" a="1"/>
  <c r="BB1328" i="1" s="1"/>
  <c r="AL1329" i="1" a="1"/>
  <c r="AL1329" i="1" s="1"/>
  <c r="AM1329" i="1" a="1"/>
  <c r="AM1329" i="1" s="1"/>
  <c r="AN1329" i="1" a="1"/>
  <c r="AN1329" i="1" s="1"/>
  <c r="AO1329" i="1" a="1"/>
  <c r="AO1329" i="1" s="1"/>
  <c r="AP1329" i="1" a="1"/>
  <c r="AP1329" i="1" s="1"/>
  <c r="AQ1329" i="1" a="1"/>
  <c r="AQ1329" i="1" s="1"/>
  <c r="AR1329" i="1" a="1"/>
  <c r="AR1329" i="1" s="1"/>
  <c r="AS1329" i="1" a="1"/>
  <c r="AS1329" i="1" s="1"/>
  <c r="AT1329" i="1" a="1"/>
  <c r="AT1329" i="1" s="1"/>
  <c r="AU1329" i="1" a="1"/>
  <c r="AU1329" i="1" s="1"/>
  <c r="AV1329" i="1" a="1"/>
  <c r="AV1329" i="1" s="1"/>
  <c r="AW1329" i="1" a="1"/>
  <c r="AW1329" i="1" s="1"/>
  <c r="AX1329" i="1" a="1"/>
  <c r="AX1329" i="1" s="1"/>
  <c r="AY1329" i="1" a="1"/>
  <c r="AY1329" i="1" s="1"/>
  <c r="AZ1329" i="1" a="1"/>
  <c r="AZ1329" i="1" s="1"/>
  <c r="BA1329" i="1" a="1"/>
  <c r="BA1329" i="1" s="1"/>
  <c r="BB1329" i="1" a="1"/>
  <c r="BB1329" i="1" s="1"/>
  <c r="AL1330" i="1" a="1"/>
  <c r="AL1330" i="1" s="1"/>
  <c r="AM1330" i="1" a="1"/>
  <c r="AM1330" i="1" s="1"/>
  <c r="AN1330" i="1" a="1"/>
  <c r="AN1330" i="1" s="1"/>
  <c r="AO1330" i="1" a="1"/>
  <c r="AO1330" i="1" s="1"/>
  <c r="AP1330" i="1" a="1"/>
  <c r="AP1330" i="1" s="1"/>
  <c r="AQ1330" i="1" a="1"/>
  <c r="AQ1330" i="1" s="1"/>
  <c r="AR1330" i="1" a="1"/>
  <c r="AR1330" i="1" s="1"/>
  <c r="AS1330" i="1" a="1"/>
  <c r="AS1330" i="1" s="1"/>
  <c r="AT1330" i="1" a="1"/>
  <c r="AT1330" i="1" s="1"/>
  <c r="AU1330" i="1" a="1"/>
  <c r="AU1330" i="1" s="1"/>
  <c r="AV1330" i="1" a="1"/>
  <c r="AV1330" i="1" s="1"/>
  <c r="AW1330" i="1" a="1"/>
  <c r="AW1330" i="1" s="1"/>
  <c r="AX1330" i="1" a="1"/>
  <c r="AX1330" i="1" s="1"/>
  <c r="AY1330" i="1" a="1"/>
  <c r="AY1330" i="1" s="1"/>
  <c r="AZ1330" i="1" a="1"/>
  <c r="AZ1330" i="1" s="1"/>
  <c r="BA1330" i="1" a="1"/>
  <c r="BA1330" i="1" s="1"/>
  <c r="BB1330" i="1" a="1"/>
  <c r="BB1330" i="1" s="1"/>
  <c r="AL1331" i="1" a="1"/>
  <c r="AL1331" i="1" s="1"/>
  <c r="AM1331" i="1" a="1"/>
  <c r="AM1331" i="1" s="1"/>
  <c r="AN1331" i="1" a="1"/>
  <c r="AN1331" i="1" s="1"/>
  <c r="AO1331" i="1" a="1"/>
  <c r="AO1331" i="1" s="1"/>
  <c r="AP1331" i="1" a="1"/>
  <c r="AP1331" i="1" s="1"/>
  <c r="AQ1331" i="1" a="1"/>
  <c r="AQ1331" i="1" s="1"/>
  <c r="AR1331" i="1" a="1"/>
  <c r="AR1331" i="1" s="1"/>
  <c r="AS1331" i="1" a="1"/>
  <c r="AS1331" i="1" s="1"/>
  <c r="AT1331" i="1" a="1"/>
  <c r="AT1331" i="1" s="1"/>
  <c r="AU1331" i="1" a="1"/>
  <c r="AU1331" i="1" s="1"/>
  <c r="AV1331" i="1" a="1"/>
  <c r="AV1331" i="1" s="1"/>
  <c r="AW1331" i="1" a="1"/>
  <c r="AW1331" i="1" s="1"/>
  <c r="AX1331" i="1" a="1"/>
  <c r="AX1331" i="1" s="1"/>
  <c r="AY1331" i="1" a="1"/>
  <c r="AY1331" i="1" s="1"/>
  <c r="AZ1331" i="1" a="1"/>
  <c r="AZ1331" i="1" s="1"/>
  <c r="BA1331" i="1" a="1"/>
  <c r="BA1331" i="1" s="1"/>
  <c r="BB1331" i="1" a="1"/>
  <c r="BB1331" i="1" s="1"/>
  <c r="AL1332" i="1" a="1"/>
  <c r="AL1332" i="1" s="1"/>
  <c r="AM1332" i="1" a="1"/>
  <c r="AM1332" i="1" s="1"/>
  <c r="AN1332" i="1" a="1"/>
  <c r="AN1332" i="1" s="1"/>
  <c r="AO1332" i="1" a="1"/>
  <c r="AO1332" i="1" s="1"/>
  <c r="AP1332" i="1" a="1"/>
  <c r="AP1332" i="1" s="1"/>
  <c r="AQ1332" i="1" a="1"/>
  <c r="AQ1332" i="1" s="1"/>
  <c r="AR1332" i="1" a="1"/>
  <c r="AR1332" i="1" s="1"/>
  <c r="AS1332" i="1" a="1"/>
  <c r="AS1332" i="1" s="1"/>
  <c r="AT1332" i="1" a="1"/>
  <c r="AT1332" i="1" s="1"/>
  <c r="AU1332" i="1" a="1"/>
  <c r="AU1332" i="1" s="1"/>
  <c r="AV1332" i="1" a="1"/>
  <c r="AV1332" i="1" s="1"/>
  <c r="AW1332" i="1" a="1"/>
  <c r="AW1332" i="1" s="1"/>
  <c r="AX1332" i="1" a="1"/>
  <c r="AX1332" i="1" s="1"/>
  <c r="AY1332" i="1" a="1"/>
  <c r="AY1332" i="1" s="1"/>
  <c r="AZ1332" i="1" a="1"/>
  <c r="AZ1332" i="1" s="1"/>
  <c r="BA1332" i="1" a="1"/>
  <c r="BA1332" i="1" s="1"/>
  <c r="BB1332" i="1" a="1"/>
  <c r="BB1332" i="1" s="1"/>
  <c r="AL1333" i="1" a="1"/>
  <c r="AL1333" i="1" s="1"/>
  <c r="AM1333" i="1" a="1"/>
  <c r="AM1333" i="1" s="1"/>
  <c r="AN1333" i="1" a="1"/>
  <c r="AN1333" i="1" s="1"/>
  <c r="AO1333" i="1" a="1"/>
  <c r="AO1333" i="1" s="1"/>
  <c r="AP1333" i="1" a="1"/>
  <c r="AP1333" i="1" s="1"/>
  <c r="AQ1333" i="1" a="1"/>
  <c r="AQ1333" i="1" s="1"/>
  <c r="AR1333" i="1" a="1"/>
  <c r="AR1333" i="1" s="1"/>
  <c r="AS1333" i="1" a="1"/>
  <c r="AS1333" i="1" s="1"/>
  <c r="AT1333" i="1" a="1"/>
  <c r="AT1333" i="1" s="1"/>
  <c r="AU1333" i="1" a="1"/>
  <c r="AU1333" i="1" s="1"/>
  <c r="AV1333" i="1" a="1"/>
  <c r="AV1333" i="1" s="1"/>
  <c r="AW1333" i="1" a="1"/>
  <c r="AW1333" i="1" s="1"/>
  <c r="AX1333" i="1" a="1"/>
  <c r="AX1333" i="1" s="1"/>
  <c r="AY1333" i="1" a="1"/>
  <c r="AY1333" i="1" s="1"/>
  <c r="AZ1333" i="1" a="1"/>
  <c r="AZ1333" i="1" s="1"/>
  <c r="BA1333" i="1" a="1"/>
  <c r="BA1333" i="1" s="1"/>
  <c r="BB1333" i="1" a="1"/>
  <c r="BB1333" i="1" s="1"/>
  <c r="AL1334" i="1" a="1"/>
  <c r="AL1334" i="1" s="1"/>
  <c r="AM1334" i="1" a="1"/>
  <c r="AM1334" i="1" s="1"/>
  <c r="AN1334" i="1" a="1"/>
  <c r="AN1334" i="1" s="1"/>
  <c r="AO1334" i="1" a="1"/>
  <c r="AO1334" i="1" s="1"/>
  <c r="AP1334" i="1" a="1"/>
  <c r="AP1334" i="1" s="1"/>
  <c r="AQ1334" i="1" a="1"/>
  <c r="AQ1334" i="1" s="1"/>
  <c r="AR1334" i="1" a="1"/>
  <c r="AR1334" i="1" s="1"/>
  <c r="AS1334" i="1" a="1"/>
  <c r="AS1334" i="1" s="1"/>
  <c r="AT1334" i="1" a="1"/>
  <c r="AT1334" i="1" s="1"/>
  <c r="AU1334" i="1" a="1"/>
  <c r="AU1334" i="1" s="1"/>
  <c r="AV1334" i="1" a="1"/>
  <c r="AV1334" i="1" s="1"/>
  <c r="AW1334" i="1" a="1"/>
  <c r="AW1334" i="1" s="1"/>
  <c r="AX1334" i="1" a="1"/>
  <c r="AX1334" i="1" s="1"/>
  <c r="AY1334" i="1" a="1"/>
  <c r="AY1334" i="1" s="1"/>
  <c r="AZ1334" i="1" a="1"/>
  <c r="AZ1334" i="1" s="1"/>
  <c r="BA1334" i="1" a="1"/>
  <c r="BA1334" i="1" s="1"/>
  <c r="BB1334" i="1" a="1"/>
  <c r="BB1334" i="1" s="1"/>
  <c r="AL1335" i="1" a="1"/>
  <c r="AL1335" i="1" s="1"/>
  <c r="AM1335" i="1" a="1"/>
  <c r="AM1335" i="1" s="1"/>
  <c r="AN1335" i="1" a="1"/>
  <c r="AN1335" i="1" s="1"/>
  <c r="AO1335" i="1" a="1"/>
  <c r="AO1335" i="1" s="1"/>
  <c r="AP1335" i="1" a="1"/>
  <c r="AP1335" i="1" s="1"/>
  <c r="AQ1335" i="1" a="1"/>
  <c r="AQ1335" i="1" s="1"/>
  <c r="AR1335" i="1" a="1"/>
  <c r="AR1335" i="1" s="1"/>
  <c r="AS1335" i="1" a="1"/>
  <c r="AS1335" i="1" s="1"/>
  <c r="AT1335" i="1" a="1"/>
  <c r="AT1335" i="1" s="1"/>
  <c r="AU1335" i="1" a="1"/>
  <c r="AU1335" i="1" s="1"/>
  <c r="AV1335" i="1" a="1"/>
  <c r="AV1335" i="1" s="1"/>
  <c r="AW1335" i="1" a="1"/>
  <c r="AW1335" i="1" s="1"/>
  <c r="AX1335" i="1" a="1"/>
  <c r="AX1335" i="1" s="1"/>
  <c r="AY1335" i="1" a="1"/>
  <c r="AY1335" i="1" s="1"/>
  <c r="AZ1335" i="1" a="1"/>
  <c r="AZ1335" i="1" s="1"/>
  <c r="BA1335" i="1" a="1"/>
  <c r="BA1335" i="1" s="1"/>
  <c r="BB1335" i="1" a="1"/>
  <c r="BB1335" i="1" s="1"/>
  <c r="AL1336" i="1" a="1"/>
  <c r="AL1336" i="1" s="1"/>
  <c r="AM1336" i="1" a="1"/>
  <c r="AM1336" i="1" s="1"/>
  <c r="AN1336" i="1" a="1"/>
  <c r="AN1336" i="1" s="1"/>
  <c r="AO1336" i="1" a="1"/>
  <c r="AO1336" i="1" s="1"/>
  <c r="AP1336" i="1" a="1"/>
  <c r="AP1336" i="1" s="1"/>
  <c r="AQ1336" i="1" a="1"/>
  <c r="AQ1336" i="1" s="1"/>
  <c r="AR1336" i="1" a="1"/>
  <c r="AR1336" i="1" s="1"/>
  <c r="AS1336" i="1" a="1"/>
  <c r="AS1336" i="1" s="1"/>
  <c r="AT1336" i="1" a="1"/>
  <c r="AT1336" i="1" s="1"/>
  <c r="AU1336" i="1" a="1"/>
  <c r="AU1336" i="1" s="1"/>
  <c r="AV1336" i="1" a="1"/>
  <c r="AV1336" i="1" s="1"/>
  <c r="AW1336" i="1" a="1"/>
  <c r="AW1336" i="1" s="1"/>
  <c r="AX1336" i="1" a="1"/>
  <c r="AX1336" i="1" s="1"/>
  <c r="AY1336" i="1" a="1"/>
  <c r="AY1336" i="1" s="1"/>
  <c r="AZ1336" i="1" a="1"/>
  <c r="AZ1336" i="1" s="1"/>
  <c r="BA1336" i="1" a="1"/>
  <c r="BA1336" i="1" s="1"/>
  <c r="BB1336" i="1" a="1"/>
  <c r="BB1336" i="1" s="1"/>
  <c r="AL1337" i="1" a="1"/>
  <c r="AL1337" i="1" s="1"/>
  <c r="AM1337" i="1" a="1"/>
  <c r="AM1337" i="1" s="1"/>
  <c r="AN1337" i="1" a="1"/>
  <c r="AN1337" i="1" s="1"/>
  <c r="AO1337" i="1" a="1"/>
  <c r="AO1337" i="1" s="1"/>
  <c r="AP1337" i="1" a="1"/>
  <c r="AP1337" i="1" s="1"/>
  <c r="AQ1337" i="1" a="1"/>
  <c r="AQ1337" i="1" s="1"/>
  <c r="AR1337" i="1" a="1"/>
  <c r="AR1337" i="1" s="1"/>
  <c r="AS1337" i="1" a="1"/>
  <c r="AS1337" i="1" s="1"/>
  <c r="AT1337" i="1" a="1"/>
  <c r="AT1337" i="1" s="1"/>
  <c r="AU1337" i="1" a="1"/>
  <c r="AU1337" i="1" s="1"/>
  <c r="AV1337" i="1" a="1"/>
  <c r="AV1337" i="1" s="1"/>
  <c r="AW1337" i="1" a="1"/>
  <c r="AW1337" i="1" s="1"/>
  <c r="AX1337" i="1" a="1"/>
  <c r="AX1337" i="1" s="1"/>
  <c r="AY1337" i="1" a="1"/>
  <c r="AY1337" i="1" s="1"/>
  <c r="AZ1337" i="1" a="1"/>
  <c r="AZ1337" i="1" s="1"/>
  <c r="BA1337" i="1" a="1"/>
  <c r="BA1337" i="1" s="1"/>
  <c r="BB1337" i="1" a="1"/>
  <c r="BB1337" i="1" s="1"/>
  <c r="AL1338" i="1" a="1"/>
  <c r="AL1338" i="1" s="1"/>
  <c r="AM1338" i="1" a="1"/>
  <c r="AM1338" i="1" s="1"/>
  <c r="AN1338" i="1" a="1"/>
  <c r="AN1338" i="1" s="1"/>
  <c r="AO1338" i="1" a="1"/>
  <c r="AO1338" i="1" s="1"/>
  <c r="AP1338" i="1" a="1"/>
  <c r="AP1338" i="1" s="1"/>
  <c r="AQ1338" i="1" a="1"/>
  <c r="AQ1338" i="1" s="1"/>
  <c r="AR1338" i="1" a="1"/>
  <c r="AR1338" i="1" s="1"/>
  <c r="AS1338" i="1" a="1"/>
  <c r="AS1338" i="1" s="1"/>
  <c r="AT1338" i="1" a="1"/>
  <c r="AT1338" i="1" s="1"/>
  <c r="AU1338" i="1" a="1"/>
  <c r="AU1338" i="1" s="1"/>
  <c r="AV1338" i="1" a="1"/>
  <c r="AV1338" i="1" s="1"/>
  <c r="AW1338" i="1" a="1"/>
  <c r="AW1338" i="1" s="1"/>
  <c r="AX1338" i="1" a="1"/>
  <c r="AX1338" i="1" s="1"/>
  <c r="AY1338" i="1" a="1"/>
  <c r="AY1338" i="1" s="1"/>
  <c r="AZ1338" i="1" a="1"/>
  <c r="AZ1338" i="1" s="1"/>
  <c r="BA1338" i="1" a="1"/>
  <c r="BA1338" i="1" s="1"/>
  <c r="BB1338" i="1" a="1"/>
  <c r="BB1338" i="1" s="1"/>
  <c r="AL1339" i="1" a="1"/>
  <c r="AL1339" i="1" s="1"/>
  <c r="AM1339" i="1" a="1"/>
  <c r="AM1339" i="1" s="1"/>
  <c r="AN1339" i="1" a="1"/>
  <c r="AN1339" i="1" s="1"/>
  <c r="AO1339" i="1" a="1"/>
  <c r="AO1339" i="1" s="1"/>
  <c r="AP1339" i="1" a="1"/>
  <c r="AP1339" i="1" s="1"/>
  <c r="AQ1339" i="1" a="1"/>
  <c r="AQ1339" i="1" s="1"/>
  <c r="AR1339" i="1" a="1"/>
  <c r="AR1339" i="1" s="1"/>
  <c r="AS1339" i="1" a="1"/>
  <c r="AS1339" i="1" s="1"/>
  <c r="AT1339" i="1" a="1"/>
  <c r="AT1339" i="1" s="1"/>
  <c r="AU1339" i="1" a="1"/>
  <c r="AU1339" i="1" s="1"/>
  <c r="AV1339" i="1" a="1"/>
  <c r="AV1339" i="1" s="1"/>
  <c r="AW1339" i="1" a="1"/>
  <c r="AW1339" i="1" s="1"/>
  <c r="AX1339" i="1" a="1"/>
  <c r="AX1339" i="1" s="1"/>
  <c r="AY1339" i="1" a="1"/>
  <c r="AY1339" i="1" s="1"/>
  <c r="AZ1339" i="1" a="1"/>
  <c r="AZ1339" i="1" s="1"/>
  <c r="BA1339" i="1" a="1"/>
  <c r="BA1339" i="1" s="1"/>
  <c r="BB1339" i="1" a="1"/>
  <c r="BB1339" i="1" s="1"/>
  <c r="AL1340" i="1" a="1"/>
  <c r="AL1340" i="1" s="1"/>
  <c r="AM1340" i="1" a="1"/>
  <c r="AM1340" i="1" s="1"/>
  <c r="AN1340" i="1" a="1"/>
  <c r="AN1340" i="1" s="1"/>
  <c r="AO1340" i="1" a="1"/>
  <c r="AO1340" i="1" s="1"/>
  <c r="AP1340" i="1" a="1"/>
  <c r="AP1340" i="1" s="1"/>
  <c r="AQ1340" i="1" a="1"/>
  <c r="AQ1340" i="1" s="1"/>
  <c r="AR1340" i="1" a="1"/>
  <c r="AR1340" i="1" s="1"/>
  <c r="AS1340" i="1" a="1"/>
  <c r="AS1340" i="1" s="1"/>
  <c r="AT1340" i="1" a="1"/>
  <c r="AT1340" i="1" s="1"/>
  <c r="AU1340" i="1" a="1"/>
  <c r="AU1340" i="1" s="1"/>
  <c r="AV1340" i="1" a="1"/>
  <c r="AV1340" i="1" s="1"/>
  <c r="AW1340" i="1" a="1"/>
  <c r="AW1340" i="1" s="1"/>
  <c r="AX1340" i="1" a="1"/>
  <c r="AX1340" i="1" s="1"/>
  <c r="AY1340" i="1" a="1"/>
  <c r="AY1340" i="1" s="1"/>
  <c r="AZ1340" i="1" a="1"/>
  <c r="AZ1340" i="1" s="1"/>
  <c r="BA1340" i="1" a="1"/>
  <c r="BA1340" i="1" s="1"/>
  <c r="BB1340" i="1" a="1"/>
  <c r="BB1340" i="1" s="1"/>
  <c r="AL1341" i="1" a="1"/>
  <c r="AL1341" i="1" s="1"/>
  <c r="AM1341" i="1" a="1"/>
  <c r="AM1341" i="1" s="1"/>
  <c r="AN1341" i="1" a="1"/>
  <c r="AN1341" i="1" s="1"/>
  <c r="AO1341" i="1" a="1"/>
  <c r="AO1341" i="1" s="1"/>
  <c r="AP1341" i="1" a="1"/>
  <c r="AP1341" i="1" s="1"/>
  <c r="AQ1341" i="1" a="1"/>
  <c r="AQ1341" i="1" s="1"/>
  <c r="AR1341" i="1" a="1"/>
  <c r="AR1341" i="1" s="1"/>
  <c r="AS1341" i="1" a="1"/>
  <c r="AS1341" i="1" s="1"/>
  <c r="AT1341" i="1" a="1"/>
  <c r="AT1341" i="1" s="1"/>
  <c r="AU1341" i="1" a="1"/>
  <c r="AU1341" i="1" s="1"/>
  <c r="AV1341" i="1" a="1"/>
  <c r="AV1341" i="1" s="1"/>
  <c r="AW1341" i="1" a="1"/>
  <c r="AW1341" i="1" s="1"/>
  <c r="AX1341" i="1" a="1"/>
  <c r="AX1341" i="1" s="1"/>
  <c r="AY1341" i="1" a="1"/>
  <c r="AY1341" i="1" s="1"/>
  <c r="AZ1341" i="1" a="1"/>
  <c r="AZ1341" i="1" s="1"/>
  <c r="BA1341" i="1" a="1"/>
  <c r="BA1341" i="1" s="1"/>
  <c r="BB1341" i="1" a="1"/>
  <c r="BB1341" i="1" s="1"/>
  <c r="AL1342" i="1" a="1"/>
  <c r="AL1342" i="1" s="1"/>
  <c r="AM1342" i="1" a="1"/>
  <c r="AM1342" i="1" s="1"/>
  <c r="AN1342" i="1" a="1"/>
  <c r="AN1342" i="1" s="1"/>
  <c r="AO1342" i="1" a="1"/>
  <c r="AO1342" i="1" s="1"/>
  <c r="AP1342" i="1" a="1"/>
  <c r="AP1342" i="1" s="1"/>
  <c r="AQ1342" i="1" a="1"/>
  <c r="AQ1342" i="1" s="1"/>
  <c r="AR1342" i="1" a="1"/>
  <c r="AR1342" i="1" s="1"/>
  <c r="AS1342" i="1" a="1"/>
  <c r="AS1342" i="1" s="1"/>
  <c r="AT1342" i="1" a="1"/>
  <c r="AT1342" i="1" s="1"/>
  <c r="AU1342" i="1" a="1"/>
  <c r="AU1342" i="1" s="1"/>
  <c r="AV1342" i="1" a="1"/>
  <c r="AV1342" i="1" s="1"/>
  <c r="AW1342" i="1" a="1"/>
  <c r="AW1342" i="1" s="1"/>
  <c r="AX1342" i="1" a="1"/>
  <c r="AX1342" i="1" s="1"/>
  <c r="AY1342" i="1" a="1"/>
  <c r="AY1342" i="1" s="1"/>
  <c r="AZ1342" i="1" a="1"/>
  <c r="AZ1342" i="1" s="1"/>
  <c r="BA1342" i="1" a="1"/>
  <c r="BA1342" i="1" s="1"/>
  <c r="BB1342" i="1" a="1"/>
  <c r="BB1342" i="1" s="1"/>
  <c r="AL1343" i="1" a="1"/>
  <c r="AL1343" i="1" s="1"/>
  <c r="AM1343" i="1" a="1"/>
  <c r="AM1343" i="1" s="1"/>
  <c r="AN1343" i="1" a="1"/>
  <c r="AN1343" i="1" s="1"/>
  <c r="AO1343" i="1" a="1"/>
  <c r="AO1343" i="1" s="1"/>
  <c r="AP1343" i="1" a="1"/>
  <c r="AP1343" i="1" s="1"/>
  <c r="AQ1343" i="1" a="1"/>
  <c r="AQ1343" i="1" s="1"/>
  <c r="AR1343" i="1" a="1"/>
  <c r="AR1343" i="1" s="1"/>
  <c r="AS1343" i="1" a="1"/>
  <c r="AS1343" i="1" s="1"/>
  <c r="AT1343" i="1" a="1"/>
  <c r="AT1343" i="1" s="1"/>
  <c r="AU1343" i="1" a="1"/>
  <c r="AU1343" i="1" s="1"/>
  <c r="AV1343" i="1" a="1"/>
  <c r="AV1343" i="1" s="1"/>
  <c r="AW1343" i="1" a="1"/>
  <c r="AW1343" i="1" s="1"/>
  <c r="AX1343" i="1" a="1"/>
  <c r="AX1343" i="1" s="1"/>
  <c r="AY1343" i="1" a="1"/>
  <c r="AY1343" i="1" s="1"/>
  <c r="AZ1343" i="1" a="1"/>
  <c r="AZ1343" i="1" s="1"/>
  <c r="BA1343" i="1" a="1"/>
  <c r="BA1343" i="1" s="1"/>
  <c r="BB1343" i="1" a="1"/>
  <c r="BB1343" i="1" s="1"/>
  <c r="AL1344" i="1" a="1"/>
  <c r="AL1344" i="1" s="1"/>
  <c r="AM1344" i="1" a="1"/>
  <c r="AM1344" i="1" s="1"/>
  <c r="AN1344" i="1" a="1"/>
  <c r="AN1344" i="1" s="1"/>
  <c r="AO1344" i="1" a="1"/>
  <c r="AO1344" i="1" s="1"/>
  <c r="AP1344" i="1" a="1"/>
  <c r="AP1344" i="1" s="1"/>
  <c r="AQ1344" i="1" a="1"/>
  <c r="AQ1344" i="1" s="1"/>
  <c r="AR1344" i="1" a="1"/>
  <c r="AR1344" i="1" s="1"/>
  <c r="AS1344" i="1" a="1"/>
  <c r="AS1344" i="1" s="1"/>
  <c r="AT1344" i="1" a="1"/>
  <c r="AT1344" i="1" s="1"/>
  <c r="AU1344" i="1" a="1"/>
  <c r="AU1344" i="1" s="1"/>
  <c r="AV1344" i="1" a="1"/>
  <c r="AV1344" i="1" s="1"/>
  <c r="AW1344" i="1" a="1"/>
  <c r="AW1344" i="1" s="1"/>
  <c r="AX1344" i="1" a="1"/>
  <c r="AX1344" i="1" s="1"/>
  <c r="AY1344" i="1" a="1"/>
  <c r="AY1344" i="1" s="1"/>
  <c r="AZ1344" i="1" a="1"/>
  <c r="AZ1344" i="1" s="1"/>
  <c r="BA1344" i="1" a="1"/>
  <c r="BA1344" i="1" s="1"/>
  <c r="BB1344" i="1" a="1"/>
  <c r="BB1344" i="1" s="1"/>
  <c r="AL1345" i="1" a="1"/>
  <c r="AL1345" i="1" s="1"/>
  <c r="AM1345" i="1" a="1"/>
  <c r="AM1345" i="1" s="1"/>
  <c r="AN1345" i="1" a="1"/>
  <c r="AN1345" i="1" s="1"/>
  <c r="AO1345" i="1" a="1"/>
  <c r="AO1345" i="1" s="1"/>
  <c r="AP1345" i="1" a="1"/>
  <c r="AP1345" i="1" s="1"/>
  <c r="AQ1345" i="1" a="1"/>
  <c r="AQ1345" i="1" s="1"/>
  <c r="AR1345" i="1" a="1"/>
  <c r="AR1345" i="1" s="1"/>
  <c r="AS1345" i="1" a="1"/>
  <c r="AS1345" i="1" s="1"/>
  <c r="AT1345" i="1" a="1"/>
  <c r="AT1345" i="1" s="1"/>
  <c r="AU1345" i="1" a="1"/>
  <c r="AU1345" i="1" s="1"/>
  <c r="AV1345" i="1" a="1"/>
  <c r="AV1345" i="1" s="1"/>
  <c r="AW1345" i="1" a="1"/>
  <c r="AW1345" i="1" s="1"/>
  <c r="AX1345" i="1" a="1"/>
  <c r="AX1345" i="1" s="1"/>
  <c r="AY1345" i="1" a="1"/>
  <c r="AY1345" i="1" s="1"/>
  <c r="AZ1345" i="1" a="1"/>
  <c r="AZ1345" i="1" s="1"/>
  <c r="BA1345" i="1" a="1"/>
  <c r="BA1345" i="1" s="1"/>
  <c r="BB1345" i="1" a="1"/>
  <c r="BB1345" i="1" s="1"/>
  <c r="AL1346" i="1" a="1"/>
  <c r="AL1346" i="1" s="1"/>
  <c r="AM1346" i="1" a="1"/>
  <c r="AM1346" i="1" s="1"/>
  <c r="AN1346" i="1" a="1"/>
  <c r="AN1346" i="1" s="1"/>
  <c r="AO1346" i="1" a="1"/>
  <c r="AO1346" i="1" s="1"/>
  <c r="AP1346" i="1" a="1"/>
  <c r="AP1346" i="1" s="1"/>
  <c r="AQ1346" i="1" a="1"/>
  <c r="AQ1346" i="1" s="1"/>
  <c r="AR1346" i="1" a="1"/>
  <c r="AR1346" i="1" s="1"/>
  <c r="AS1346" i="1" a="1"/>
  <c r="AS1346" i="1" s="1"/>
  <c r="AT1346" i="1" a="1"/>
  <c r="AT1346" i="1" s="1"/>
  <c r="AU1346" i="1" a="1"/>
  <c r="AU1346" i="1" s="1"/>
  <c r="AV1346" i="1" a="1"/>
  <c r="AV1346" i="1" s="1"/>
  <c r="AW1346" i="1" a="1"/>
  <c r="AW1346" i="1" s="1"/>
  <c r="AX1346" i="1" a="1"/>
  <c r="AX1346" i="1" s="1"/>
  <c r="AY1346" i="1" a="1"/>
  <c r="AY1346" i="1" s="1"/>
  <c r="AZ1346" i="1" a="1"/>
  <c r="AZ1346" i="1" s="1"/>
  <c r="BA1346" i="1" a="1"/>
  <c r="BA1346" i="1" s="1"/>
  <c r="BB1346" i="1" a="1"/>
  <c r="BB1346" i="1" s="1"/>
  <c r="AL1347" i="1" a="1"/>
  <c r="AL1347" i="1" s="1"/>
  <c r="AM1347" i="1" a="1"/>
  <c r="AM1347" i="1" s="1"/>
  <c r="AN1347" i="1" a="1"/>
  <c r="AN1347" i="1" s="1"/>
  <c r="AO1347" i="1" a="1"/>
  <c r="AO1347" i="1" s="1"/>
  <c r="AP1347" i="1" a="1"/>
  <c r="AP1347" i="1" s="1"/>
  <c r="AQ1347" i="1" a="1"/>
  <c r="AQ1347" i="1" s="1"/>
  <c r="AR1347" i="1" a="1"/>
  <c r="AR1347" i="1" s="1"/>
  <c r="AS1347" i="1" a="1"/>
  <c r="AS1347" i="1" s="1"/>
  <c r="AT1347" i="1" a="1"/>
  <c r="AT1347" i="1" s="1"/>
  <c r="AU1347" i="1" a="1"/>
  <c r="AU1347" i="1" s="1"/>
  <c r="AV1347" i="1" a="1"/>
  <c r="AV1347" i="1" s="1"/>
  <c r="AW1347" i="1" a="1"/>
  <c r="AW1347" i="1" s="1"/>
  <c r="AX1347" i="1" a="1"/>
  <c r="AX1347" i="1" s="1"/>
  <c r="AY1347" i="1" a="1"/>
  <c r="AY1347" i="1" s="1"/>
  <c r="AZ1347" i="1" a="1"/>
  <c r="AZ1347" i="1" s="1"/>
  <c r="BA1347" i="1" a="1"/>
  <c r="BA1347" i="1" s="1"/>
  <c r="BB1347" i="1" a="1"/>
  <c r="BB1347" i="1" s="1"/>
  <c r="AL1348" i="1" a="1"/>
  <c r="AL1348" i="1" s="1"/>
  <c r="AM1348" i="1" a="1"/>
  <c r="AM1348" i="1" s="1"/>
  <c r="AN1348" i="1" a="1"/>
  <c r="AN1348" i="1" s="1"/>
  <c r="AO1348" i="1" a="1"/>
  <c r="AO1348" i="1" s="1"/>
  <c r="AP1348" i="1" a="1"/>
  <c r="AP1348" i="1" s="1"/>
  <c r="AQ1348" i="1" a="1"/>
  <c r="AQ1348" i="1" s="1"/>
  <c r="AR1348" i="1" a="1"/>
  <c r="AR1348" i="1" s="1"/>
  <c r="AS1348" i="1" a="1"/>
  <c r="AS1348" i="1" s="1"/>
  <c r="AT1348" i="1" a="1"/>
  <c r="AT1348" i="1" s="1"/>
  <c r="AU1348" i="1" a="1"/>
  <c r="AU1348" i="1" s="1"/>
  <c r="AV1348" i="1" a="1"/>
  <c r="AV1348" i="1" s="1"/>
  <c r="AW1348" i="1" a="1"/>
  <c r="AW1348" i="1" s="1"/>
  <c r="AX1348" i="1" a="1"/>
  <c r="AX1348" i="1" s="1"/>
  <c r="AY1348" i="1" a="1"/>
  <c r="AY1348" i="1" s="1"/>
  <c r="AZ1348" i="1" a="1"/>
  <c r="AZ1348" i="1" s="1"/>
  <c r="BA1348" i="1" a="1"/>
  <c r="BA1348" i="1" s="1"/>
  <c r="BB1348" i="1" a="1"/>
  <c r="BB1348" i="1" s="1"/>
  <c r="AL1349" i="1" a="1"/>
  <c r="AL1349" i="1" s="1"/>
  <c r="AM1349" i="1" a="1"/>
  <c r="AM1349" i="1" s="1"/>
  <c r="AN1349" i="1" a="1"/>
  <c r="AN1349" i="1" s="1"/>
  <c r="AO1349" i="1" a="1"/>
  <c r="AO1349" i="1" s="1"/>
  <c r="AP1349" i="1" a="1"/>
  <c r="AP1349" i="1" s="1"/>
  <c r="AQ1349" i="1" a="1"/>
  <c r="AQ1349" i="1" s="1"/>
  <c r="AR1349" i="1" a="1"/>
  <c r="AR1349" i="1" s="1"/>
  <c r="AS1349" i="1" a="1"/>
  <c r="AS1349" i="1" s="1"/>
  <c r="AT1349" i="1" a="1"/>
  <c r="AT1349" i="1" s="1"/>
  <c r="AU1349" i="1" a="1"/>
  <c r="AU1349" i="1" s="1"/>
  <c r="AV1349" i="1" a="1"/>
  <c r="AV1349" i="1" s="1"/>
  <c r="AW1349" i="1" a="1"/>
  <c r="AW1349" i="1" s="1"/>
  <c r="AX1349" i="1" a="1"/>
  <c r="AX1349" i="1" s="1"/>
  <c r="AY1349" i="1" a="1"/>
  <c r="AY1349" i="1" s="1"/>
  <c r="AZ1349" i="1" a="1"/>
  <c r="AZ1349" i="1" s="1"/>
  <c r="BA1349" i="1" a="1"/>
  <c r="BA1349" i="1" s="1"/>
  <c r="BB1349" i="1" a="1"/>
  <c r="BB1349" i="1" s="1"/>
  <c r="AL1350" i="1" a="1"/>
  <c r="AL1350" i="1" s="1"/>
  <c r="AM1350" i="1" a="1"/>
  <c r="AM1350" i="1" s="1"/>
  <c r="AN1350" i="1" a="1"/>
  <c r="AN1350" i="1" s="1"/>
  <c r="AO1350" i="1" a="1"/>
  <c r="AO1350" i="1" s="1"/>
  <c r="AP1350" i="1" a="1"/>
  <c r="AP1350" i="1" s="1"/>
  <c r="AQ1350" i="1" a="1"/>
  <c r="AQ1350" i="1" s="1"/>
  <c r="AR1350" i="1" a="1"/>
  <c r="AR1350" i="1" s="1"/>
  <c r="AS1350" i="1" a="1"/>
  <c r="AS1350" i="1" s="1"/>
  <c r="AT1350" i="1" a="1"/>
  <c r="AT1350" i="1" s="1"/>
  <c r="AU1350" i="1" a="1"/>
  <c r="AU1350" i="1" s="1"/>
  <c r="AV1350" i="1" a="1"/>
  <c r="AV1350" i="1" s="1"/>
  <c r="AW1350" i="1" a="1"/>
  <c r="AW1350" i="1" s="1"/>
  <c r="AX1350" i="1" a="1"/>
  <c r="AX1350" i="1" s="1"/>
  <c r="AY1350" i="1" a="1"/>
  <c r="AY1350" i="1" s="1"/>
  <c r="AZ1350" i="1" a="1"/>
  <c r="AZ1350" i="1" s="1"/>
  <c r="BA1350" i="1" a="1"/>
  <c r="BA1350" i="1" s="1"/>
  <c r="BB1350" i="1" a="1"/>
  <c r="BB1350" i="1" s="1"/>
  <c r="AL1351" i="1" a="1"/>
  <c r="AL1351" i="1" s="1"/>
  <c r="AM1351" i="1" a="1"/>
  <c r="AM1351" i="1" s="1"/>
  <c r="AN1351" i="1" a="1"/>
  <c r="AN1351" i="1" s="1"/>
  <c r="AO1351" i="1" a="1"/>
  <c r="AO1351" i="1" s="1"/>
  <c r="AP1351" i="1" a="1"/>
  <c r="AP1351" i="1" s="1"/>
  <c r="AQ1351" i="1" a="1"/>
  <c r="AQ1351" i="1" s="1"/>
  <c r="AR1351" i="1" a="1"/>
  <c r="AR1351" i="1" s="1"/>
  <c r="AS1351" i="1" a="1"/>
  <c r="AS1351" i="1" s="1"/>
  <c r="AT1351" i="1" a="1"/>
  <c r="AT1351" i="1" s="1"/>
  <c r="AU1351" i="1" a="1"/>
  <c r="AU1351" i="1" s="1"/>
  <c r="AV1351" i="1" a="1"/>
  <c r="AV1351" i="1" s="1"/>
  <c r="AW1351" i="1" a="1"/>
  <c r="AW1351" i="1" s="1"/>
  <c r="AX1351" i="1" a="1"/>
  <c r="AX1351" i="1" s="1"/>
  <c r="AY1351" i="1" a="1"/>
  <c r="AY1351" i="1" s="1"/>
  <c r="AZ1351" i="1" a="1"/>
  <c r="AZ1351" i="1" s="1"/>
  <c r="BA1351" i="1" a="1"/>
  <c r="BA1351" i="1" s="1"/>
  <c r="BB1351" i="1" a="1"/>
  <c r="BB1351" i="1" s="1"/>
  <c r="AL1352" i="1" a="1"/>
  <c r="AL1352" i="1" s="1"/>
  <c r="AM1352" i="1" a="1"/>
  <c r="AM1352" i="1" s="1"/>
  <c r="AN1352" i="1" a="1"/>
  <c r="AN1352" i="1" s="1"/>
  <c r="AO1352" i="1" a="1"/>
  <c r="AO1352" i="1" s="1"/>
  <c r="AP1352" i="1" a="1"/>
  <c r="AP1352" i="1" s="1"/>
  <c r="AQ1352" i="1" a="1"/>
  <c r="AQ1352" i="1" s="1"/>
  <c r="AR1352" i="1" a="1"/>
  <c r="AR1352" i="1" s="1"/>
  <c r="AS1352" i="1" a="1"/>
  <c r="AS1352" i="1" s="1"/>
  <c r="AT1352" i="1" a="1"/>
  <c r="AT1352" i="1" s="1"/>
  <c r="AU1352" i="1" a="1"/>
  <c r="AU1352" i="1" s="1"/>
  <c r="AV1352" i="1" a="1"/>
  <c r="AV1352" i="1" s="1"/>
  <c r="AW1352" i="1" a="1"/>
  <c r="AW1352" i="1" s="1"/>
  <c r="AX1352" i="1" a="1"/>
  <c r="AX1352" i="1" s="1"/>
  <c r="AY1352" i="1" a="1"/>
  <c r="AY1352" i="1" s="1"/>
  <c r="AZ1352" i="1" a="1"/>
  <c r="AZ1352" i="1" s="1"/>
  <c r="BA1352" i="1" a="1"/>
  <c r="BA1352" i="1" s="1"/>
  <c r="BB1352" i="1" a="1"/>
  <c r="BB1352" i="1" s="1"/>
  <c r="AL1353" i="1" a="1"/>
  <c r="AL1353" i="1" s="1"/>
  <c r="AM1353" i="1" a="1"/>
  <c r="AM1353" i="1" s="1"/>
  <c r="AN1353" i="1" a="1"/>
  <c r="AN1353" i="1" s="1"/>
  <c r="AO1353" i="1" a="1"/>
  <c r="AO1353" i="1" s="1"/>
  <c r="AP1353" i="1" a="1"/>
  <c r="AP1353" i="1" s="1"/>
  <c r="AQ1353" i="1" a="1"/>
  <c r="AQ1353" i="1" s="1"/>
  <c r="AR1353" i="1" a="1"/>
  <c r="AR1353" i="1" s="1"/>
  <c r="AS1353" i="1" a="1"/>
  <c r="AS1353" i="1" s="1"/>
  <c r="AT1353" i="1" a="1"/>
  <c r="AT1353" i="1" s="1"/>
  <c r="AU1353" i="1" a="1"/>
  <c r="AU1353" i="1" s="1"/>
  <c r="AV1353" i="1" a="1"/>
  <c r="AV1353" i="1" s="1"/>
  <c r="AW1353" i="1" a="1"/>
  <c r="AW1353" i="1" s="1"/>
  <c r="AX1353" i="1" a="1"/>
  <c r="AX1353" i="1" s="1"/>
  <c r="AY1353" i="1" a="1"/>
  <c r="AY1353" i="1" s="1"/>
  <c r="AZ1353" i="1" a="1"/>
  <c r="AZ1353" i="1" s="1"/>
  <c r="BA1353" i="1" a="1"/>
  <c r="BA1353" i="1" s="1"/>
  <c r="BB1353" i="1" a="1"/>
  <c r="BB1353" i="1" s="1"/>
  <c r="AL1354" i="1" a="1"/>
  <c r="AL1354" i="1" s="1"/>
  <c r="AM1354" i="1" a="1"/>
  <c r="AM1354" i="1" s="1"/>
  <c r="AN1354" i="1" a="1"/>
  <c r="AN1354" i="1" s="1"/>
  <c r="AO1354" i="1" a="1"/>
  <c r="AO1354" i="1" s="1"/>
  <c r="AP1354" i="1" a="1"/>
  <c r="AP1354" i="1" s="1"/>
  <c r="AQ1354" i="1" a="1"/>
  <c r="AQ1354" i="1" s="1"/>
  <c r="AR1354" i="1" a="1"/>
  <c r="AR1354" i="1" s="1"/>
  <c r="AS1354" i="1" a="1"/>
  <c r="AS1354" i="1" s="1"/>
  <c r="AT1354" i="1" a="1"/>
  <c r="AT1354" i="1" s="1"/>
  <c r="AU1354" i="1" a="1"/>
  <c r="AU1354" i="1" s="1"/>
  <c r="AV1354" i="1" a="1"/>
  <c r="AV1354" i="1" s="1"/>
  <c r="AW1354" i="1" a="1"/>
  <c r="AW1354" i="1" s="1"/>
  <c r="AX1354" i="1" a="1"/>
  <c r="AX1354" i="1" s="1"/>
  <c r="AY1354" i="1" a="1"/>
  <c r="AY1354" i="1" s="1"/>
  <c r="AZ1354" i="1" a="1"/>
  <c r="AZ1354" i="1" s="1"/>
  <c r="BA1354" i="1" a="1"/>
  <c r="BA1354" i="1" s="1"/>
  <c r="BB1354" i="1" a="1"/>
  <c r="BB1354" i="1" s="1"/>
  <c r="AL1355" i="1" a="1"/>
  <c r="AL1355" i="1" s="1"/>
  <c r="AM1355" i="1" a="1"/>
  <c r="AM1355" i="1" s="1"/>
  <c r="AN1355" i="1" a="1"/>
  <c r="AN1355" i="1" s="1"/>
  <c r="AO1355" i="1" a="1"/>
  <c r="AO1355" i="1" s="1"/>
  <c r="AP1355" i="1" a="1"/>
  <c r="AP1355" i="1" s="1"/>
  <c r="AQ1355" i="1" a="1"/>
  <c r="AQ1355" i="1" s="1"/>
  <c r="AR1355" i="1" a="1"/>
  <c r="AR1355" i="1" s="1"/>
  <c r="AS1355" i="1" a="1"/>
  <c r="AS1355" i="1" s="1"/>
  <c r="AT1355" i="1" a="1"/>
  <c r="AT1355" i="1" s="1"/>
  <c r="AU1355" i="1" a="1"/>
  <c r="AU1355" i="1" s="1"/>
  <c r="AV1355" i="1" a="1"/>
  <c r="AV1355" i="1" s="1"/>
  <c r="AW1355" i="1" a="1"/>
  <c r="AW1355" i="1" s="1"/>
  <c r="AX1355" i="1" a="1"/>
  <c r="AX1355" i="1" s="1"/>
  <c r="AY1355" i="1" a="1"/>
  <c r="AY1355" i="1" s="1"/>
  <c r="AZ1355" i="1" a="1"/>
  <c r="AZ1355" i="1" s="1"/>
  <c r="BA1355" i="1" a="1"/>
  <c r="BA1355" i="1" s="1"/>
  <c r="BB1355" i="1" a="1"/>
  <c r="BB1355" i="1" s="1"/>
  <c r="AL1356" i="1" a="1"/>
  <c r="AL1356" i="1" s="1"/>
  <c r="AM1356" i="1" a="1"/>
  <c r="AM1356" i="1" s="1"/>
  <c r="AN1356" i="1" a="1"/>
  <c r="AN1356" i="1" s="1"/>
  <c r="AO1356" i="1" a="1"/>
  <c r="AO1356" i="1" s="1"/>
  <c r="AP1356" i="1" a="1"/>
  <c r="AP1356" i="1" s="1"/>
  <c r="AQ1356" i="1" a="1"/>
  <c r="AQ1356" i="1" s="1"/>
  <c r="AR1356" i="1" a="1"/>
  <c r="AR1356" i="1" s="1"/>
  <c r="AS1356" i="1" a="1"/>
  <c r="AS1356" i="1" s="1"/>
  <c r="AT1356" i="1" a="1"/>
  <c r="AT1356" i="1" s="1"/>
  <c r="AU1356" i="1" a="1"/>
  <c r="AU1356" i="1" s="1"/>
  <c r="AV1356" i="1" a="1"/>
  <c r="AV1356" i="1" s="1"/>
  <c r="AW1356" i="1" a="1"/>
  <c r="AW1356" i="1" s="1"/>
  <c r="AX1356" i="1" a="1"/>
  <c r="AX1356" i="1" s="1"/>
  <c r="AY1356" i="1" a="1"/>
  <c r="AY1356" i="1" s="1"/>
  <c r="AZ1356" i="1" a="1"/>
  <c r="AZ1356" i="1" s="1"/>
  <c r="BA1356" i="1" a="1"/>
  <c r="BA1356" i="1" s="1"/>
  <c r="BB1356" i="1" a="1"/>
  <c r="BB1356" i="1" s="1"/>
  <c r="AL1357" i="1" a="1"/>
  <c r="AL1357" i="1" s="1"/>
  <c r="AM1357" i="1" a="1"/>
  <c r="AM1357" i="1" s="1"/>
  <c r="AN1357" i="1" a="1"/>
  <c r="AN1357" i="1" s="1"/>
  <c r="AO1357" i="1" a="1"/>
  <c r="AO1357" i="1" s="1"/>
  <c r="AP1357" i="1" a="1"/>
  <c r="AP1357" i="1" s="1"/>
  <c r="AQ1357" i="1" a="1"/>
  <c r="AQ1357" i="1" s="1"/>
  <c r="AR1357" i="1" a="1"/>
  <c r="AR1357" i="1" s="1"/>
  <c r="AS1357" i="1" a="1"/>
  <c r="AS1357" i="1" s="1"/>
  <c r="AT1357" i="1" a="1"/>
  <c r="AT1357" i="1" s="1"/>
  <c r="AU1357" i="1" a="1"/>
  <c r="AU1357" i="1" s="1"/>
  <c r="AV1357" i="1" a="1"/>
  <c r="AV1357" i="1" s="1"/>
  <c r="AW1357" i="1" a="1"/>
  <c r="AW1357" i="1" s="1"/>
  <c r="AX1357" i="1" a="1"/>
  <c r="AX1357" i="1" s="1"/>
  <c r="AY1357" i="1" a="1"/>
  <c r="AY1357" i="1" s="1"/>
  <c r="AZ1357" i="1" a="1"/>
  <c r="AZ1357" i="1" s="1"/>
  <c r="BA1357" i="1" a="1"/>
  <c r="BA1357" i="1" s="1"/>
  <c r="BB1357" i="1" a="1"/>
  <c r="BB1357" i="1" s="1"/>
  <c r="AL1358" i="1" a="1"/>
  <c r="AL1358" i="1" s="1"/>
  <c r="AM1358" i="1" a="1"/>
  <c r="AM1358" i="1" s="1"/>
  <c r="AN1358" i="1" a="1"/>
  <c r="AN1358" i="1" s="1"/>
  <c r="AO1358" i="1" a="1"/>
  <c r="AO1358" i="1" s="1"/>
  <c r="AP1358" i="1" a="1"/>
  <c r="AP1358" i="1" s="1"/>
  <c r="AQ1358" i="1" a="1"/>
  <c r="AQ1358" i="1" s="1"/>
  <c r="AR1358" i="1" a="1"/>
  <c r="AR1358" i="1" s="1"/>
  <c r="AS1358" i="1" a="1"/>
  <c r="AS1358" i="1" s="1"/>
  <c r="AT1358" i="1" a="1"/>
  <c r="AT1358" i="1" s="1"/>
  <c r="AU1358" i="1" a="1"/>
  <c r="AU1358" i="1" s="1"/>
  <c r="AV1358" i="1" a="1"/>
  <c r="AV1358" i="1" s="1"/>
  <c r="AW1358" i="1" a="1"/>
  <c r="AW1358" i="1" s="1"/>
  <c r="AX1358" i="1" a="1"/>
  <c r="AX1358" i="1" s="1"/>
  <c r="AY1358" i="1" a="1"/>
  <c r="AY1358" i="1" s="1"/>
  <c r="AZ1358" i="1" a="1"/>
  <c r="AZ1358" i="1" s="1"/>
  <c r="BA1358" i="1" a="1"/>
  <c r="BA1358" i="1" s="1"/>
  <c r="BB1358" i="1" a="1"/>
  <c r="BB1358" i="1" s="1"/>
  <c r="AL1360" i="1" a="1"/>
  <c r="AL1360" i="1" s="1"/>
  <c r="AM1360" i="1" a="1"/>
  <c r="AM1360" i="1" s="1"/>
  <c r="AN1360" i="1" a="1"/>
  <c r="AN1360" i="1" s="1"/>
  <c r="AO1360" i="1" a="1"/>
  <c r="AO1360" i="1" s="1"/>
  <c r="AP1360" i="1" a="1"/>
  <c r="AP1360" i="1" s="1"/>
  <c r="AQ1360" i="1" a="1"/>
  <c r="AQ1360" i="1" s="1"/>
  <c r="AR1360" i="1" a="1"/>
  <c r="AR1360" i="1" s="1"/>
  <c r="AS1360" i="1" a="1"/>
  <c r="AS1360" i="1" s="1"/>
  <c r="AT1360" i="1" a="1"/>
  <c r="AT1360" i="1" s="1"/>
  <c r="AU1360" i="1" a="1"/>
  <c r="AU1360" i="1" s="1"/>
  <c r="AV1360" i="1" a="1"/>
  <c r="AV1360" i="1" s="1"/>
  <c r="AW1360" i="1" a="1"/>
  <c r="AW1360" i="1" s="1"/>
  <c r="AX1360" i="1" a="1"/>
  <c r="AX1360" i="1" s="1"/>
  <c r="AY1360" i="1" a="1"/>
  <c r="AY1360" i="1" s="1"/>
  <c r="AZ1360" i="1" a="1"/>
  <c r="AZ1360" i="1" s="1"/>
  <c r="BA1360" i="1" a="1"/>
  <c r="BA1360" i="1" s="1"/>
  <c r="BB1360" i="1" a="1"/>
  <c r="BB1360" i="1" s="1"/>
  <c r="AL1359" i="1" a="1"/>
  <c r="AL1359" i="1" s="1"/>
  <c r="AM1359" i="1" a="1"/>
  <c r="AM1359" i="1" s="1"/>
  <c r="AN1359" i="1" a="1"/>
  <c r="AN1359" i="1" s="1"/>
  <c r="AO1359" i="1" a="1"/>
  <c r="AO1359" i="1" s="1"/>
  <c r="AP1359" i="1" a="1"/>
  <c r="AP1359" i="1" s="1"/>
  <c r="AQ1359" i="1" a="1"/>
  <c r="AQ1359" i="1" s="1"/>
  <c r="AR1359" i="1" a="1"/>
  <c r="AR1359" i="1" s="1"/>
  <c r="AS1359" i="1" a="1"/>
  <c r="AS1359" i="1" s="1"/>
  <c r="AT1359" i="1" a="1"/>
  <c r="AT1359" i="1" s="1"/>
  <c r="AU1359" i="1" a="1"/>
  <c r="AU1359" i="1" s="1"/>
  <c r="AV1359" i="1" a="1"/>
  <c r="AV1359" i="1" s="1"/>
  <c r="AW1359" i="1" a="1"/>
  <c r="AW1359" i="1" s="1"/>
  <c r="AX1359" i="1" a="1"/>
  <c r="AX1359" i="1" s="1"/>
  <c r="AY1359" i="1" a="1"/>
  <c r="AY1359" i="1" s="1"/>
  <c r="AZ1359" i="1" a="1"/>
  <c r="AZ1359" i="1" s="1"/>
  <c r="BA1359" i="1" a="1"/>
  <c r="BA1359" i="1" s="1"/>
  <c r="BB1359" i="1" a="1"/>
  <c r="BB1359" i="1" s="1"/>
  <c r="AL1361" i="1" a="1"/>
  <c r="AL1361" i="1" s="1"/>
  <c r="AM1361" i="1" a="1"/>
  <c r="AM1361" i="1" s="1"/>
  <c r="AN1361" i="1" a="1"/>
  <c r="AN1361" i="1" s="1"/>
  <c r="AO1361" i="1" a="1"/>
  <c r="AO1361" i="1" s="1"/>
  <c r="AP1361" i="1" a="1"/>
  <c r="AP1361" i="1" s="1"/>
  <c r="AQ1361" i="1" a="1"/>
  <c r="AQ1361" i="1" s="1"/>
  <c r="AR1361" i="1" a="1"/>
  <c r="AR1361" i="1" s="1"/>
  <c r="AS1361" i="1" a="1"/>
  <c r="AS1361" i="1" s="1"/>
  <c r="AT1361" i="1" a="1"/>
  <c r="AT1361" i="1" s="1"/>
  <c r="AU1361" i="1" a="1"/>
  <c r="AU1361" i="1" s="1"/>
  <c r="AV1361" i="1" a="1"/>
  <c r="AV1361" i="1" s="1"/>
  <c r="AW1361" i="1" a="1"/>
  <c r="AW1361" i="1" s="1"/>
  <c r="AX1361" i="1" a="1"/>
  <c r="AX1361" i="1" s="1"/>
  <c r="AY1361" i="1" a="1"/>
  <c r="AY1361" i="1" s="1"/>
  <c r="AZ1361" i="1" a="1"/>
  <c r="AZ1361" i="1" s="1"/>
  <c r="BA1361" i="1" a="1"/>
  <c r="BA1361" i="1" s="1"/>
  <c r="BB1361" i="1" a="1"/>
  <c r="BB1361" i="1" s="1"/>
  <c r="AL1362" i="1" a="1"/>
  <c r="AL1362" i="1" s="1"/>
  <c r="AM1362" i="1" a="1"/>
  <c r="AM1362" i="1" s="1"/>
  <c r="AN1362" i="1" a="1"/>
  <c r="AN1362" i="1" s="1"/>
  <c r="AO1362" i="1" a="1"/>
  <c r="AO1362" i="1" s="1"/>
  <c r="AP1362" i="1" a="1"/>
  <c r="AP1362" i="1" s="1"/>
  <c r="AQ1362" i="1" a="1"/>
  <c r="AQ1362" i="1" s="1"/>
  <c r="AR1362" i="1" a="1"/>
  <c r="AR1362" i="1" s="1"/>
  <c r="AS1362" i="1" a="1"/>
  <c r="AS1362" i="1" s="1"/>
  <c r="AT1362" i="1" a="1"/>
  <c r="AT1362" i="1" s="1"/>
  <c r="AU1362" i="1" a="1"/>
  <c r="AU1362" i="1" s="1"/>
  <c r="AV1362" i="1" a="1"/>
  <c r="AV1362" i="1" s="1"/>
  <c r="AW1362" i="1" a="1"/>
  <c r="AW1362" i="1" s="1"/>
  <c r="AX1362" i="1" a="1"/>
  <c r="AX1362" i="1" s="1"/>
  <c r="AY1362" i="1" a="1"/>
  <c r="AY1362" i="1" s="1"/>
  <c r="AZ1362" i="1" a="1"/>
  <c r="AZ1362" i="1" s="1"/>
  <c r="BA1362" i="1" a="1"/>
  <c r="BA1362" i="1" s="1"/>
  <c r="BB1362" i="1" a="1"/>
  <c r="BB1362" i="1" s="1"/>
  <c r="AL1363" i="1" a="1"/>
  <c r="AL1363" i="1" s="1"/>
  <c r="AM1363" i="1" a="1"/>
  <c r="AM1363" i="1" s="1"/>
  <c r="AN1363" i="1" a="1"/>
  <c r="AN1363" i="1" s="1"/>
  <c r="AO1363" i="1" a="1"/>
  <c r="AO1363" i="1" s="1"/>
  <c r="AP1363" i="1" a="1"/>
  <c r="AP1363" i="1" s="1"/>
  <c r="AQ1363" i="1" a="1"/>
  <c r="AQ1363" i="1" s="1"/>
  <c r="AR1363" i="1" a="1"/>
  <c r="AR1363" i="1" s="1"/>
  <c r="AS1363" i="1" a="1"/>
  <c r="AS1363" i="1" s="1"/>
  <c r="AT1363" i="1" a="1"/>
  <c r="AT1363" i="1" s="1"/>
  <c r="AU1363" i="1" a="1"/>
  <c r="AU1363" i="1" s="1"/>
  <c r="AV1363" i="1" a="1"/>
  <c r="AV1363" i="1" s="1"/>
  <c r="AW1363" i="1" a="1"/>
  <c r="AW1363" i="1" s="1"/>
  <c r="AX1363" i="1" a="1"/>
  <c r="AX1363" i="1" s="1"/>
  <c r="AY1363" i="1" a="1"/>
  <c r="AY1363" i="1" s="1"/>
  <c r="AZ1363" i="1" a="1"/>
  <c r="AZ1363" i="1" s="1"/>
  <c r="BA1363" i="1" a="1"/>
  <c r="BA1363" i="1" s="1"/>
  <c r="BB1363" i="1" a="1"/>
  <c r="BB1363" i="1" s="1"/>
  <c r="AL1364" i="1" a="1"/>
  <c r="AL1364" i="1" s="1"/>
  <c r="AM1364" i="1" a="1"/>
  <c r="AM1364" i="1" s="1"/>
  <c r="AN1364" i="1" a="1"/>
  <c r="AN1364" i="1" s="1"/>
  <c r="AO1364" i="1" a="1"/>
  <c r="AO1364" i="1" s="1"/>
  <c r="AP1364" i="1" a="1"/>
  <c r="AP1364" i="1" s="1"/>
  <c r="AQ1364" i="1" a="1"/>
  <c r="AQ1364" i="1" s="1"/>
  <c r="AR1364" i="1" a="1"/>
  <c r="AR1364" i="1" s="1"/>
  <c r="AS1364" i="1" a="1"/>
  <c r="AS1364" i="1" s="1"/>
  <c r="AT1364" i="1" a="1"/>
  <c r="AT1364" i="1" s="1"/>
  <c r="AU1364" i="1" a="1"/>
  <c r="AU1364" i="1" s="1"/>
  <c r="AV1364" i="1" a="1"/>
  <c r="AV1364" i="1" s="1"/>
  <c r="AW1364" i="1" a="1"/>
  <c r="AW1364" i="1" s="1"/>
  <c r="AX1364" i="1" a="1"/>
  <c r="AX1364" i="1" s="1"/>
  <c r="AY1364" i="1" a="1"/>
  <c r="AY1364" i="1" s="1"/>
  <c r="AZ1364" i="1" a="1"/>
  <c r="AZ1364" i="1" s="1"/>
  <c r="BA1364" i="1" a="1"/>
  <c r="BA1364" i="1" s="1"/>
  <c r="BB1364" i="1" a="1"/>
  <c r="BB1364" i="1" s="1"/>
  <c r="AL1365" i="1" a="1"/>
  <c r="AL1365" i="1" s="1"/>
  <c r="AM1365" i="1" a="1"/>
  <c r="AM1365" i="1" s="1"/>
  <c r="AN1365" i="1" a="1"/>
  <c r="AN1365" i="1" s="1"/>
  <c r="AO1365" i="1" a="1"/>
  <c r="AO1365" i="1" s="1"/>
  <c r="AP1365" i="1" a="1"/>
  <c r="AP1365" i="1" s="1"/>
  <c r="AQ1365" i="1" a="1"/>
  <c r="AQ1365" i="1" s="1"/>
  <c r="AR1365" i="1" a="1"/>
  <c r="AR1365" i="1" s="1"/>
  <c r="AS1365" i="1" a="1"/>
  <c r="AS1365" i="1" s="1"/>
  <c r="AT1365" i="1" a="1"/>
  <c r="AT1365" i="1" s="1"/>
  <c r="AU1365" i="1" a="1"/>
  <c r="AU1365" i="1" s="1"/>
  <c r="AV1365" i="1" a="1"/>
  <c r="AV1365" i="1" s="1"/>
  <c r="AW1365" i="1" a="1"/>
  <c r="AW1365" i="1" s="1"/>
  <c r="AX1365" i="1" a="1"/>
  <c r="AX1365" i="1" s="1"/>
  <c r="AY1365" i="1" a="1"/>
  <c r="AY1365" i="1" s="1"/>
  <c r="AZ1365" i="1" a="1"/>
  <c r="AZ1365" i="1" s="1"/>
  <c r="BA1365" i="1" a="1"/>
  <c r="BA1365" i="1" s="1"/>
  <c r="BB1365" i="1" a="1"/>
  <c r="BB1365" i="1" s="1"/>
  <c r="AL1366" i="1" a="1"/>
  <c r="AL1366" i="1" s="1"/>
  <c r="AM1366" i="1" a="1"/>
  <c r="AM1366" i="1" s="1"/>
  <c r="AN1366" i="1" a="1"/>
  <c r="AN1366" i="1" s="1"/>
  <c r="AO1366" i="1" a="1"/>
  <c r="AO1366" i="1" s="1"/>
  <c r="AP1366" i="1" a="1"/>
  <c r="AP1366" i="1" s="1"/>
  <c r="AQ1366" i="1" a="1"/>
  <c r="AQ1366" i="1" s="1"/>
  <c r="AR1366" i="1" a="1"/>
  <c r="AR1366" i="1" s="1"/>
  <c r="AS1366" i="1" a="1"/>
  <c r="AS1366" i="1" s="1"/>
  <c r="AT1366" i="1" a="1"/>
  <c r="AT1366" i="1" s="1"/>
  <c r="AU1366" i="1" a="1"/>
  <c r="AU1366" i="1" s="1"/>
  <c r="AV1366" i="1" a="1"/>
  <c r="AV1366" i="1" s="1"/>
  <c r="AW1366" i="1" a="1"/>
  <c r="AW1366" i="1" s="1"/>
  <c r="AX1366" i="1" a="1"/>
  <c r="AX1366" i="1" s="1"/>
  <c r="AY1366" i="1" a="1"/>
  <c r="AY1366" i="1" s="1"/>
  <c r="AZ1366" i="1" a="1"/>
  <c r="AZ1366" i="1" s="1"/>
  <c r="BA1366" i="1" a="1"/>
  <c r="BA1366" i="1" s="1"/>
  <c r="BB1366" i="1" a="1"/>
  <c r="BB1366" i="1" s="1"/>
  <c r="AL1367" i="1" a="1"/>
  <c r="AL1367" i="1" s="1"/>
  <c r="AM1367" i="1" a="1"/>
  <c r="AM1367" i="1" s="1"/>
  <c r="AN1367" i="1" a="1"/>
  <c r="AN1367" i="1" s="1"/>
  <c r="AO1367" i="1" a="1"/>
  <c r="AO1367" i="1" s="1"/>
  <c r="AP1367" i="1" a="1"/>
  <c r="AP1367" i="1" s="1"/>
  <c r="AQ1367" i="1" a="1"/>
  <c r="AQ1367" i="1" s="1"/>
  <c r="AR1367" i="1" a="1"/>
  <c r="AR1367" i="1" s="1"/>
  <c r="AS1367" i="1" a="1"/>
  <c r="AS1367" i="1" s="1"/>
  <c r="AT1367" i="1" a="1"/>
  <c r="AT1367" i="1" s="1"/>
  <c r="AU1367" i="1" a="1"/>
  <c r="AU1367" i="1" s="1"/>
  <c r="AV1367" i="1" a="1"/>
  <c r="AV1367" i="1" s="1"/>
  <c r="AW1367" i="1" a="1"/>
  <c r="AW1367" i="1" s="1"/>
  <c r="AX1367" i="1" a="1"/>
  <c r="AX1367" i="1" s="1"/>
  <c r="AY1367" i="1" a="1"/>
  <c r="AY1367" i="1" s="1"/>
  <c r="AZ1367" i="1" a="1"/>
  <c r="AZ1367" i="1" s="1"/>
  <c r="BA1367" i="1" a="1"/>
  <c r="BA1367" i="1" s="1"/>
  <c r="BB1367" i="1" a="1"/>
  <c r="BB1367" i="1" s="1"/>
  <c r="AL1368" i="1" a="1"/>
  <c r="AL1368" i="1" s="1"/>
  <c r="AM1368" i="1" a="1"/>
  <c r="AM1368" i="1" s="1"/>
  <c r="AN1368" i="1" a="1"/>
  <c r="AN1368" i="1" s="1"/>
  <c r="AO1368" i="1" a="1"/>
  <c r="AO1368" i="1" s="1"/>
  <c r="AP1368" i="1" a="1"/>
  <c r="AP1368" i="1" s="1"/>
  <c r="AQ1368" i="1" a="1"/>
  <c r="AQ1368" i="1" s="1"/>
  <c r="AR1368" i="1" a="1"/>
  <c r="AR1368" i="1" s="1"/>
  <c r="AS1368" i="1" a="1"/>
  <c r="AS1368" i="1" s="1"/>
  <c r="AT1368" i="1" a="1"/>
  <c r="AT1368" i="1" s="1"/>
  <c r="AU1368" i="1" a="1"/>
  <c r="AU1368" i="1" s="1"/>
  <c r="AV1368" i="1" a="1"/>
  <c r="AV1368" i="1" s="1"/>
  <c r="AW1368" i="1" a="1"/>
  <c r="AW1368" i="1" s="1"/>
  <c r="AX1368" i="1" a="1"/>
  <c r="AX1368" i="1" s="1"/>
  <c r="AY1368" i="1" a="1"/>
  <c r="AY1368" i="1" s="1"/>
  <c r="AZ1368" i="1" a="1"/>
  <c r="AZ1368" i="1" s="1"/>
  <c r="BA1368" i="1" a="1"/>
  <c r="BA1368" i="1" s="1"/>
  <c r="BB1368" i="1" a="1"/>
  <c r="BB1368" i="1" s="1"/>
  <c r="AL1369" i="1" a="1"/>
  <c r="AL1369" i="1" s="1"/>
  <c r="AM1369" i="1" a="1"/>
  <c r="AM1369" i="1" s="1"/>
  <c r="AN1369" i="1" a="1"/>
  <c r="AN1369" i="1" s="1"/>
  <c r="AO1369" i="1" a="1"/>
  <c r="AO1369" i="1" s="1"/>
  <c r="AP1369" i="1" a="1"/>
  <c r="AP1369" i="1" s="1"/>
  <c r="AQ1369" i="1" a="1"/>
  <c r="AQ1369" i="1" s="1"/>
  <c r="AR1369" i="1" a="1"/>
  <c r="AR1369" i="1" s="1"/>
  <c r="AS1369" i="1" a="1"/>
  <c r="AS1369" i="1" s="1"/>
  <c r="AT1369" i="1" a="1"/>
  <c r="AT1369" i="1" s="1"/>
  <c r="AU1369" i="1" a="1"/>
  <c r="AU1369" i="1" s="1"/>
  <c r="AV1369" i="1" a="1"/>
  <c r="AV1369" i="1" s="1"/>
  <c r="AW1369" i="1" a="1"/>
  <c r="AW1369" i="1" s="1"/>
  <c r="AX1369" i="1" a="1"/>
  <c r="AX1369" i="1" s="1"/>
  <c r="AY1369" i="1" a="1"/>
  <c r="AY1369" i="1" s="1"/>
  <c r="AZ1369" i="1" a="1"/>
  <c r="AZ1369" i="1" s="1"/>
  <c r="BA1369" i="1" a="1"/>
  <c r="BA1369" i="1" s="1"/>
  <c r="BB1369" i="1" a="1"/>
  <c r="BB1369" i="1" s="1"/>
  <c r="AL1370" i="1" a="1"/>
  <c r="AL1370" i="1" s="1"/>
  <c r="AM1370" i="1" a="1"/>
  <c r="AM1370" i="1" s="1"/>
  <c r="AN1370" i="1" a="1"/>
  <c r="AN1370" i="1" s="1"/>
  <c r="AO1370" i="1" a="1"/>
  <c r="AO1370" i="1" s="1"/>
  <c r="AP1370" i="1" a="1"/>
  <c r="AP1370" i="1" s="1"/>
  <c r="AQ1370" i="1" a="1"/>
  <c r="AQ1370" i="1" s="1"/>
  <c r="AR1370" i="1" a="1"/>
  <c r="AR1370" i="1" s="1"/>
  <c r="AS1370" i="1" a="1"/>
  <c r="AS1370" i="1" s="1"/>
  <c r="AT1370" i="1" a="1"/>
  <c r="AT1370" i="1" s="1"/>
  <c r="AU1370" i="1" a="1"/>
  <c r="AU1370" i="1" s="1"/>
  <c r="AV1370" i="1" a="1"/>
  <c r="AV1370" i="1" s="1"/>
  <c r="AW1370" i="1" a="1"/>
  <c r="AW1370" i="1" s="1"/>
  <c r="AX1370" i="1" a="1"/>
  <c r="AX1370" i="1" s="1"/>
  <c r="AY1370" i="1" a="1"/>
  <c r="AY1370" i="1" s="1"/>
  <c r="AZ1370" i="1" a="1"/>
  <c r="AZ1370" i="1" s="1"/>
  <c r="BA1370" i="1" a="1"/>
  <c r="BA1370" i="1" s="1"/>
  <c r="BB1370" i="1" a="1"/>
  <c r="BB1370" i="1" s="1"/>
  <c r="AL1371" i="1" a="1"/>
  <c r="AL1371" i="1" s="1"/>
  <c r="AM1371" i="1" a="1"/>
  <c r="AM1371" i="1" s="1"/>
  <c r="AN1371" i="1" a="1"/>
  <c r="AN1371" i="1" s="1"/>
  <c r="AO1371" i="1" a="1"/>
  <c r="AO1371" i="1" s="1"/>
  <c r="AP1371" i="1" a="1"/>
  <c r="AP1371" i="1" s="1"/>
  <c r="AQ1371" i="1" a="1"/>
  <c r="AQ1371" i="1" s="1"/>
  <c r="AR1371" i="1" a="1"/>
  <c r="AR1371" i="1" s="1"/>
  <c r="AS1371" i="1" a="1"/>
  <c r="AS1371" i="1" s="1"/>
  <c r="AT1371" i="1" a="1"/>
  <c r="AT1371" i="1" s="1"/>
  <c r="AU1371" i="1" a="1"/>
  <c r="AU1371" i="1" s="1"/>
  <c r="AV1371" i="1" a="1"/>
  <c r="AV1371" i="1" s="1"/>
  <c r="AW1371" i="1" a="1"/>
  <c r="AW1371" i="1" s="1"/>
  <c r="AX1371" i="1" a="1"/>
  <c r="AX1371" i="1" s="1"/>
  <c r="AY1371" i="1" a="1"/>
  <c r="AY1371" i="1" s="1"/>
  <c r="AZ1371" i="1" a="1"/>
  <c r="AZ1371" i="1" s="1"/>
  <c r="BA1371" i="1" a="1"/>
  <c r="BA1371" i="1" s="1"/>
  <c r="BB1371" i="1" a="1"/>
  <c r="BB1371" i="1" s="1"/>
  <c r="AL1372" i="1" a="1"/>
  <c r="AL1372" i="1" s="1"/>
  <c r="AM1372" i="1" a="1"/>
  <c r="AM1372" i="1" s="1"/>
  <c r="AN1372" i="1" a="1"/>
  <c r="AN1372" i="1" s="1"/>
  <c r="AO1372" i="1" a="1"/>
  <c r="AO1372" i="1" s="1"/>
  <c r="AP1372" i="1" a="1"/>
  <c r="AP1372" i="1" s="1"/>
  <c r="AQ1372" i="1" a="1"/>
  <c r="AQ1372" i="1" s="1"/>
  <c r="AR1372" i="1" a="1"/>
  <c r="AR1372" i="1" s="1"/>
  <c r="AS1372" i="1" a="1"/>
  <c r="AS1372" i="1" s="1"/>
  <c r="AT1372" i="1" a="1"/>
  <c r="AT1372" i="1" s="1"/>
  <c r="AU1372" i="1" a="1"/>
  <c r="AU1372" i="1" s="1"/>
  <c r="AV1372" i="1" a="1"/>
  <c r="AV1372" i="1" s="1"/>
  <c r="AW1372" i="1" a="1"/>
  <c r="AW1372" i="1" s="1"/>
  <c r="AX1372" i="1" a="1"/>
  <c r="AX1372" i="1" s="1"/>
  <c r="AY1372" i="1" a="1"/>
  <c r="AY1372" i="1" s="1"/>
  <c r="AZ1372" i="1" a="1"/>
  <c r="AZ1372" i="1" s="1"/>
  <c r="BA1372" i="1" a="1"/>
  <c r="BA1372" i="1" s="1"/>
  <c r="BB1372" i="1" a="1"/>
  <c r="BB1372" i="1" s="1"/>
  <c r="AL1373" i="1" a="1"/>
  <c r="AL1373" i="1" s="1"/>
  <c r="AM1373" i="1" a="1"/>
  <c r="AM1373" i="1" s="1"/>
  <c r="AN1373" i="1" a="1"/>
  <c r="AN1373" i="1" s="1"/>
  <c r="AO1373" i="1" a="1"/>
  <c r="AO1373" i="1" s="1"/>
  <c r="AP1373" i="1" a="1"/>
  <c r="AP1373" i="1" s="1"/>
  <c r="AQ1373" i="1" a="1"/>
  <c r="AQ1373" i="1" s="1"/>
  <c r="AR1373" i="1" a="1"/>
  <c r="AR1373" i="1" s="1"/>
  <c r="AS1373" i="1" a="1"/>
  <c r="AS1373" i="1" s="1"/>
  <c r="AT1373" i="1" a="1"/>
  <c r="AT1373" i="1" s="1"/>
  <c r="AU1373" i="1" a="1"/>
  <c r="AU1373" i="1" s="1"/>
  <c r="AV1373" i="1" a="1"/>
  <c r="AV1373" i="1" s="1"/>
  <c r="AW1373" i="1" a="1"/>
  <c r="AW1373" i="1" s="1"/>
  <c r="AX1373" i="1" a="1"/>
  <c r="AX1373" i="1" s="1"/>
  <c r="AY1373" i="1" a="1"/>
  <c r="AY1373" i="1" s="1"/>
  <c r="AZ1373" i="1" a="1"/>
  <c r="AZ1373" i="1" s="1"/>
  <c r="BA1373" i="1" a="1"/>
  <c r="BA1373" i="1" s="1"/>
  <c r="BB1373" i="1" a="1"/>
  <c r="BB1373" i="1" s="1"/>
  <c r="AL1374" i="1" a="1"/>
  <c r="AL1374" i="1" s="1"/>
  <c r="AM1374" i="1" a="1"/>
  <c r="AM1374" i="1" s="1"/>
  <c r="AN1374" i="1" a="1"/>
  <c r="AN1374" i="1" s="1"/>
  <c r="AO1374" i="1" a="1"/>
  <c r="AO1374" i="1" s="1"/>
  <c r="AP1374" i="1" a="1"/>
  <c r="AP1374" i="1" s="1"/>
  <c r="AQ1374" i="1" a="1"/>
  <c r="AQ1374" i="1" s="1"/>
  <c r="AR1374" i="1" a="1"/>
  <c r="AR1374" i="1" s="1"/>
  <c r="AS1374" i="1" a="1"/>
  <c r="AS1374" i="1" s="1"/>
  <c r="AT1374" i="1" a="1"/>
  <c r="AT1374" i="1" s="1"/>
  <c r="AU1374" i="1" a="1"/>
  <c r="AU1374" i="1" s="1"/>
  <c r="AV1374" i="1" a="1"/>
  <c r="AV1374" i="1" s="1"/>
  <c r="AW1374" i="1" a="1"/>
  <c r="AW1374" i="1" s="1"/>
  <c r="AX1374" i="1" a="1"/>
  <c r="AX1374" i="1" s="1"/>
  <c r="AY1374" i="1" a="1"/>
  <c r="AY1374" i="1" s="1"/>
  <c r="AZ1374" i="1" a="1"/>
  <c r="AZ1374" i="1" s="1"/>
  <c r="BA1374" i="1" a="1"/>
  <c r="BA1374" i="1" s="1"/>
  <c r="BB1374" i="1" a="1"/>
  <c r="BB1374" i="1" s="1"/>
  <c r="AL1375" i="1" a="1"/>
  <c r="AL1375" i="1" s="1"/>
  <c r="AM1375" i="1" a="1"/>
  <c r="AM1375" i="1" s="1"/>
  <c r="AN1375" i="1" a="1"/>
  <c r="AN1375" i="1" s="1"/>
  <c r="AO1375" i="1" a="1"/>
  <c r="AO1375" i="1" s="1"/>
  <c r="AP1375" i="1" a="1"/>
  <c r="AP1375" i="1" s="1"/>
  <c r="AQ1375" i="1" a="1"/>
  <c r="AQ1375" i="1" s="1"/>
  <c r="AR1375" i="1" a="1"/>
  <c r="AR1375" i="1" s="1"/>
  <c r="AS1375" i="1" a="1"/>
  <c r="AS1375" i="1" s="1"/>
  <c r="AT1375" i="1" a="1"/>
  <c r="AT1375" i="1" s="1"/>
  <c r="AU1375" i="1" a="1"/>
  <c r="AU1375" i="1" s="1"/>
  <c r="AV1375" i="1" a="1"/>
  <c r="AV1375" i="1" s="1"/>
  <c r="AW1375" i="1" a="1"/>
  <c r="AW1375" i="1" s="1"/>
  <c r="AX1375" i="1" a="1"/>
  <c r="AX1375" i="1" s="1"/>
  <c r="AY1375" i="1" a="1"/>
  <c r="AY1375" i="1" s="1"/>
  <c r="AZ1375" i="1" a="1"/>
  <c r="AZ1375" i="1" s="1"/>
  <c r="BA1375" i="1" a="1"/>
  <c r="BA1375" i="1" s="1"/>
  <c r="BB1375" i="1" a="1"/>
  <c r="BB1375" i="1" s="1"/>
  <c r="AL1376" i="1" a="1"/>
  <c r="AL1376" i="1" s="1"/>
  <c r="AM1376" i="1" a="1"/>
  <c r="AM1376" i="1" s="1"/>
  <c r="AN1376" i="1" a="1"/>
  <c r="AN1376" i="1" s="1"/>
  <c r="AO1376" i="1" a="1"/>
  <c r="AO1376" i="1" s="1"/>
  <c r="AP1376" i="1" a="1"/>
  <c r="AP1376" i="1" s="1"/>
  <c r="AQ1376" i="1" a="1"/>
  <c r="AQ1376" i="1" s="1"/>
  <c r="AR1376" i="1" a="1"/>
  <c r="AR1376" i="1" s="1"/>
  <c r="AS1376" i="1" a="1"/>
  <c r="AS1376" i="1" s="1"/>
  <c r="AT1376" i="1" a="1"/>
  <c r="AT1376" i="1" s="1"/>
  <c r="AU1376" i="1" a="1"/>
  <c r="AU1376" i="1" s="1"/>
  <c r="AV1376" i="1" a="1"/>
  <c r="AV1376" i="1" s="1"/>
  <c r="AW1376" i="1" a="1"/>
  <c r="AW1376" i="1" s="1"/>
  <c r="AX1376" i="1" a="1"/>
  <c r="AX1376" i="1" s="1"/>
  <c r="AY1376" i="1" a="1"/>
  <c r="AY1376" i="1" s="1"/>
  <c r="AZ1376" i="1" a="1"/>
  <c r="AZ1376" i="1" s="1"/>
  <c r="BA1376" i="1" a="1"/>
  <c r="BA1376" i="1" s="1"/>
  <c r="BB1376" i="1" a="1"/>
  <c r="BB1376" i="1" s="1"/>
  <c r="AL1377" i="1" a="1"/>
  <c r="AL1377" i="1" s="1"/>
  <c r="AM1377" i="1" a="1"/>
  <c r="AM1377" i="1" s="1"/>
  <c r="AN1377" i="1" a="1"/>
  <c r="AN1377" i="1" s="1"/>
  <c r="AO1377" i="1" a="1"/>
  <c r="AO1377" i="1" s="1"/>
  <c r="AP1377" i="1" a="1"/>
  <c r="AP1377" i="1" s="1"/>
  <c r="AQ1377" i="1" a="1"/>
  <c r="AQ1377" i="1" s="1"/>
  <c r="AR1377" i="1" a="1"/>
  <c r="AR1377" i="1" s="1"/>
  <c r="AS1377" i="1" a="1"/>
  <c r="AS1377" i="1" s="1"/>
  <c r="AT1377" i="1" a="1"/>
  <c r="AT1377" i="1" s="1"/>
  <c r="AU1377" i="1" a="1"/>
  <c r="AU1377" i="1" s="1"/>
  <c r="AV1377" i="1" a="1"/>
  <c r="AV1377" i="1" s="1"/>
  <c r="AW1377" i="1" a="1"/>
  <c r="AW1377" i="1" s="1"/>
  <c r="AX1377" i="1" a="1"/>
  <c r="AX1377" i="1" s="1"/>
  <c r="AY1377" i="1" a="1"/>
  <c r="AY1377" i="1" s="1"/>
  <c r="AZ1377" i="1" a="1"/>
  <c r="AZ1377" i="1" s="1"/>
  <c r="BA1377" i="1" a="1"/>
  <c r="BA1377" i="1" s="1"/>
  <c r="BB1377" i="1" a="1"/>
  <c r="BB1377" i="1" s="1"/>
  <c r="AL1378" i="1" a="1"/>
  <c r="AL1378" i="1" s="1"/>
  <c r="AM1378" i="1" a="1"/>
  <c r="AM1378" i="1" s="1"/>
  <c r="AN1378" i="1" a="1"/>
  <c r="AN1378" i="1" s="1"/>
  <c r="AO1378" i="1" a="1"/>
  <c r="AO1378" i="1" s="1"/>
  <c r="AP1378" i="1" a="1"/>
  <c r="AP1378" i="1" s="1"/>
  <c r="AQ1378" i="1" a="1"/>
  <c r="AQ1378" i="1" s="1"/>
  <c r="AR1378" i="1" a="1"/>
  <c r="AR1378" i="1" s="1"/>
  <c r="AS1378" i="1" a="1"/>
  <c r="AS1378" i="1" s="1"/>
  <c r="AT1378" i="1" a="1"/>
  <c r="AT1378" i="1" s="1"/>
  <c r="AU1378" i="1" a="1"/>
  <c r="AU1378" i="1" s="1"/>
  <c r="AV1378" i="1" a="1"/>
  <c r="AV1378" i="1" s="1"/>
  <c r="AW1378" i="1" a="1"/>
  <c r="AW1378" i="1" s="1"/>
  <c r="AX1378" i="1" a="1"/>
  <c r="AX1378" i="1" s="1"/>
  <c r="AY1378" i="1" a="1"/>
  <c r="AY1378" i="1" s="1"/>
  <c r="AZ1378" i="1" a="1"/>
  <c r="AZ1378" i="1" s="1"/>
  <c r="BA1378" i="1" a="1"/>
  <c r="BA1378" i="1" s="1"/>
  <c r="BB1378" i="1" a="1"/>
  <c r="BB1378" i="1" s="1"/>
  <c r="AL1379" i="1" a="1"/>
  <c r="AL1379" i="1" s="1"/>
  <c r="AM1379" i="1" a="1"/>
  <c r="AM1379" i="1" s="1"/>
  <c r="AN1379" i="1" a="1"/>
  <c r="AN1379" i="1" s="1"/>
  <c r="AO1379" i="1" a="1"/>
  <c r="AO1379" i="1" s="1"/>
  <c r="AP1379" i="1" a="1"/>
  <c r="AP1379" i="1" s="1"/>
  <c r="AQ1379" i="1" a="1"/>
  <c r="AQ1379" i="1" s="1"/>
  <c r="AR1379" i="1" a="1"/>
  <c r="AR1379" i="1" s="1"/>
  <c r="AS1379" i="1" a="1"/>
  <c r="AS1379" i="1" s="1"/>
  <c r="AT1379" i="1" a="1"/>
  <c r="AT1379" i="1" s="1"/>
  <c r="AU1379" i="1" a="1"/>
  <c r="AU1379" i="1" s="1"/>
  <c r="AV1379" i="1" a="1"/>
  <c r="AV1379" i="1" s="1"/>
  <c r="AW1379" i="1" a="1"/>
  <c r="AW1379" i="1" s="1"/>
  <c r="AX1379" i="1" a="1"/>
  <c r="AX1379" i="1" s="1"/>
  <c r="AY1379" i="1" a="1"/>
  <c r="AY1379" i="1" s="1"/>
  <c r="AZ1379" i="1" a="1"/>
  <c r="AZ1379" i="1" s="1"/>
  <c r="BA1379" i="1" a="1"/>
  <c r="BA1379" i="1" s="1"/>
  <c r="BB1379" i="1" a="1"/>
  <c r="BB1379" i="1" s="1"/>
  <c r="AL1380" i="1" a="1"/>
  <c r="AL1380" i="1" s="1"/>
  <c r="AM1380" i="1" a="1"/>
  <c r="AM1380" i="1" s="1"/>
  <c r="AN1380" i="1" a="1"/>
  <c r="AN1380" i="1" s="1"/>
  <c r="AO1380" i="1" a="1"/>
  <c r="AO1380" i="1" s="1"/>
  <c r="AP1380" i="1" a="1"/>
  <c r="AP1380" i="1" s="1"/>
  <c r="AQ1380" i="1" a="1"/>
  <c r="AQ1380" i="1" s="1"/>
  <c r="AR1380" i="1" a="1"/>
  <c r="AR1380" i="1" s="1"/>
  <c r="AS1380" i="1" a="1"/>
  <c r="AS1380" i="1" s="1"/>
  <c r="AT1380" i="1" a="1"/>
  <c r="AT1380" i="1" s="1"/>
  <c r="AU1380" i="1" a="1"/>
  <c r="AU1380" i="1" s="1"/>
  <c r="AV1380" i="1" a="1"/>
  <c r="AV1380" i="1" s="1"/>
  <c r="AW1380" i="1" a="1"/>
  <c r="AW1380" i="1" s="1"/>
  <c r="AX1380" i="1" a="1"/>
  <c r="AX1380" i="1" s="1"/>
  <c r="AY1380" i="1" a="1"/>
  <c r="AY1380" i="1" s="1"/>
  <c r="AZ1380" i="1" a="1"/>
  <c r="AZ1380" i="1" s="1"/>
  <c r="BA1380" i="1" a="1"/>
  <c r="BA1380" i="1" s="1"/>
  <c r="BB1380" i="1" a="1"/>
  <c r="BB1380" i="1" s="1"/>
  <c r="AL1381" i="1" a="1"/>
  <c r="AL1381" i="1" s="1"/>
  <c r="AM1381" i="1" a="1"/>
  <c r="AM1381" i="1" s="1"/>
  <c r="AN1381" i="1" a="1"/>
  <c r="AN1381" i="1" s="1"/>
  <c r="AO1381" i="1" a="1"/>
  <c r="AO1381" i="1" s="1"/>
  <c r="AP1381" i="1" a="1"/>
  <c r="AP1381" i="1" s="1"/>
  <c r="AQ1381" i="1" a="1"/>
  <c r="AQ1381" i="1" s="1"/>
  <c r="AR1381" i="1" a="1"/>
  <c r="AR1381" i="1" s="1"/>
  <c r="AS1381" i="1" a="1"/>
  <c r="AS1381" i="1" s="1"/>
  <c r="AT1381" i="1" a="1"/>
  <c r="AT1381" i="1" s="1"/>
  <c r="AU1381" i="1" a="1"/>
  <c r="AU1381" i="1" s="1"/>
  <c r="AV1381" i="1" a="1"/>
  <c r="AV1381" i="1" s="1"/>
  <c r="AW1381" i="1" a="1"/>
  <c r="AW1381" i="1" s="1"/>
  <c r="AX1381" i="1" a="1"/>
  <c r="AX1381" i="1" s="1"/>
  <c r="AY1381" i="1" a="1"/>
  <c r="AY1381" i="1" s="1"/>
  <c r="AZ1381" i="1" a="1"/>
  <c r="AZ1381" i="1" s="1"/>
  <c r="BA1381" i="1" a="1"/>
  <c r="BA1381" i="1" s="1"/>
  <c r="BB1381" i="1" a="1"/>
  <c r="BB1381" i="1" s="1"/>
  <c r="AL1382" i="1" a="1"/>
  <c r="AL1382" i="1" s="1"/>
  <c r="AM1382" i="1" a="1"/>
  <c r="AM1382" i="1" s="1"/>
  <c r="AN1382" i="1" a="1"/>
  <c r="AN1382" i="1" s="1"/>
  <c r="AO1382" i="1" a="1"/>
  <c r="AO1382" i="1" s="1"/>
  <c r="AP1382" i="1" a="1"/>
  <c r="AP1382" i="1" s="1"/>
  <c r="AQ1382" i="1" a="1"/>
  <c r="AQ1382" i="1" s="1"/>
  <c r="AR1382" i="1" a="1"/>
  <c r="AR1382" i="1" s="1"/>
  <c r="AS1382" i="1" a="1"/>
  <c r="AS1382" i="1" s="1"/>
  <c r="AT1382" i="1" a="1"/>
  <c r="AT1382" i="1" s="1"/>
  <c r="AU1382" i="1" a="1"/>
  <c r="AU1382" i="1" s="1"/>
  <c r="AV1382" i="1" a="1"/>
  <c r="AV1382" i="1" s="1"/>
  <c r="AW1382" i="1" a="1"/>
  <c r="AW1382" i="1" s="1"/>
  <c r="AX1382" i="1" a="1"/>
  <c r="AX1382" i="1" s="1"/>
  <c r="AY1382" i="1" a="1"/>
  <c r="AY1382" i="1" s="1"/>
  <c r="AZ1382" i="1" a="1"/>
  <c r="AZ1382" i="1" s="1"/>
  <c r="BA1382" i="1" a="1"/>
  <c r="BA1382" i="1" s="1"/>
  <c r="BB1382" i="1" a="1"/>
  <c r="BB1382" i="1" s="1"/>
  <c r="AL1383" i="1" a="1"/>
  <c r="AL1383" i="1" s="1"/>
  <c r="AM1383" i="1" a="1"/>
  <c r="AM1383" i="1" s="1"/>
  <c r="AN1383" i="1" a="1"/>
  <c r="AN1383" i="1" s="1"/>
  <c r="AO1383" i="1" a="1"/>
  <c r="AO1383" i="1" s="1"/>
  <c r="AP1383" i="1" a="1"/>
  <c r="AP1383" i="1" s="1"/>
  <c r="AQ1383" i="1" a="1"/>
  <c r="AQ1383" i="1" s="1"/>
  <c r="AR1383" i="1" a="1"/>
  <c r="AR1383" i="1" s="1"/>
  <c r="AS1383" i="1" a="1"/>
  <c r="AS1383" i="1" s="1"/>
  <c r="AT1383" i="1" a="1"/>
  <c r="AT1383" i="1" s="1"/>
  <c r="AU1383" i="1" a="1"/>
  <c r="AU1383" i="1" s="1"/>
  <c r="AV1383" i="1" a="1"/>
  <c r="AV1383" i="1" s="1"/>
  <c r="AW1383" i="1" a="1"/>
  <c r="AW1383" i="1" s="1"/>
  <c r="AX1383" i="1" a="1"/>
  <c r="AX1383" i="1" s="1"/>
  <c r="AY1383" i="1" a="1"/>
  <c r="AY1383" i="1" s="1"/>
  <c r="AZ1383" i="1" a="1"/>
  <c r="AZ1383" i="1" s="1"/>
  <c r="BA1383" i="1" a="1"/>
  <c r="BA1383" i="1" s="1"/>
  <c r="BB1383" i="1" a="1"/>
  <c r="BB1383" i="1" s="1"/>
  <c r="AL1384" i="1" a="1"/>
  <c r="AL1384" i="1" s="1"/>
  <c r="AM1384" i="1" a="1"/>
  <c r="AM1384" i="1" s="1"/>
  <c r="AN1384" i="1" a="1"/>
  <c r="AN1384" i="1" s="1"/>
  <c r="AO1384" i="1" a="1"/>
  <c r="AO1384" i="1" s="1"/>
  <c r="AP1384" i="1" a="1"/>
  <c r="AP1384" i="1" s="1"/>
  <c r="AQ1384" i="1" a="1"/>
  <c r="AQ1384" i="1" s="1"/>
  <c r="AR1384" i="1" a="1"/>
  <c r="AR1384" i="1" s="1"/>
  <c r="AS1384" i="1" a="1"/>
  <c r="AS1384" i="1" s="1"/>
  <c r="AT1384" i="1" a="1"/>
  <c r="AT1384" i="1" s="1"/>
  <c r="AU1384" i="1" a="1"/>
  <c r="AU1384" i="1" s="1"/>
  <c r="AV1384" i="1" a="1"/>
  <c r="AV1384" i="1" s="1"/>
  <c r="AW1384" i="1" a="1"/>
  <c r="AW1384" i="1" s="1"/>
  <c r="AX1384" i="1" a="1"/>
  <c r="AX1384" i="1" s="1"/>
  <c r="AY1384" i="1" a="1"/>
  <c r="AY1384" i="1" s="1"/>
  <c r="AZ1384" i="1" a="1"/>
  <c r="AZ1384" i="1" s="1"/>
  <c r="BA1384" i="1" a="1"/>
  <c r="BA1384" i="1" s="1"/>
  <c r="BB1384" i="1" a="1"/>
  <c r="BB1384" i="1" s="1"/>
  <c r="AL1385" i="1" a="1"/>
  <c r="AL1385" i="1" s="1"/>
  <c r="AM1385" i="1" a="1"/>
  <c r="AM1385" i="1" s="1"/>
  <c r="AN1385" i="1" a="1"/>
  <c r="AN1385" i="1" s="1"/>
  <c r="AO1385" i="1" a="1"/>
  <c r="AO1385" i="1" s="1"/>
  <c r="AP1385" i="1" a="1"/>
  <c r="AP1385" i="1" s="1"/>
  <c r="AQ1385" i="1" a="1"/>
  <c r="AQ1385" i="1" s="1"/>
  <c r="AR1385" i="1" a="1"/>
  <c r="AR1385" i="1" s="1"/>
  <c r="AS1385" i="1" a="1"/>
  <c r="AS1385" i="1" s="1"/>
  <c r="AT1385" i="1" a="1"/>
  <c r="AT1385" i="1" s="1"/>
  <c r="AU1385" i="1" a="1"/>
  <c r="AU1385" i="1" s="1"/>
  <c r="AV1385" i="1" a="1"/>
  <c r="AV1385" i="1" s="1"/>
  <c r="AW1385" i="1" a="1"/>
  <c r="AW1385" i="1" s="1"/>
  <c r="AX1385" i="1" a="1"/>
  <c r="AX1385" i="1" s="1"/>
  <c r="AY1385" i="1" a="1"/>
  <c r="AY1385" i="1" s="1"/>
  <c r="AZ1385" i="1" a="1"/>
  <c r="AZ1385" i="1" s="1"/>
  <c r="BA1385" i="1" a="1"/>
  <c r="BA1385" i="1" s="1"/>
  <c r="BB1385" i="1" a="1"/>
  <c r="BB1385" i="1" s="1"/>
  <c r="AL1386" i="1" a="1"/>
  <c r="AL1386" i="1" s="1"/>
  <c r="AM1386" i="1" a="1"/>
  <c r="AM1386" i="1" s="1"/>
  <c r="AN1386" i="1" a="1"/>
  <c r="AN1386" i="1" s="1"/>
  <c r="AO1386" i="1" a="1"/>
  <c r="AO1386" i="1" s="1"/>
  <c r="AP1386" i="1" a="1"/>
  <c r="AP1386" i="1" s="1"/>
  <c r="AQ1386" i="1" a="1"/>
  <c r="AQ1386" i="1" s="1"/>
  <c r="AR1386" i="1" a="1"/>
  <c r="AR1386" i="1" s="1"/>
  <c r="AS1386" i="1" a="1"/>
  <c r="AS1386" i="1" s="1"/>
  <c r="AT1386" i="1" a="1"/>
  <c r="AT1386" i="1" s="1"/>
  <c r="AU1386" i="1" a="1"/>
  <c r="AU1386" i="1" s="1"/>
  <c r="AV1386" i="1" a="1"/>
  <c r="AV1386" i="1" s="1"/>
  <c r="AW1386" i="1" a="1"/>
  <c r="AW1386" i="1" s="1"/>
  <c r="AX1386" i="1" a="1"/>
  <c r="AX1386" i="1" s="1"/>
  <c r="AY1386" i="1" a="1"/>
  <c r="AY1386" i="1" s="1"/>
  <c r="AZ1386" i="1" a="1"/>
  <c r="AZ1386" i="1" s="1"/>
  <c r="BA1386" i="1" a="1"/>
  <c r="BA1386" i="1" s="1"/>
  <c r="BB1386" i="1" a="1"/>
  <c r="BB1386" i="1" s="1"/>
  <c r="AL1387" i="1" a="1"/>
  <c r="AL1387" i="1" s="1"/>
  <c r="AM1387" i="1" a="1"/>
  <c r="AM1387" i="1" s="1"/>
  <c r="AN1387" i="1" a="1"/>
  <c r="AN1387" i="1" s="1"/>
  <c r="AO1387" i="1" a="1"/>
  <c r="AO1387" i="1" s="1"/>
  <c r="AP1387" i="1" a="1"/>
  <c r="AP1387" i="1" s="1"/>
  <c r="AQ1387" i="1" a="1"/>
  <c r="AQ1387" i="1" s="1"/>
  <c r="AR1387" i="1" a="1"/>
  <c r="AR1387" i="1" s="1"/>
  <c r="AS1387" i="1" a="1"/>
  <c r="AS1387" i="1" s="1"/>
  <c r="AT1387" i="1" a="1"/>
  <c r="AT1387" i="1" s="1"/>
  <c r="AU1387" i="1" a="1"/>
  <c r="AU1387" i="1" s="1"/>
  <c r="AV1387" i="1" a="1"/>
  <c r="AV1387" i="1" s="1"/>
  <c r="AW1387" i="1" a="1"/>
  <c r="AW1387" i="1" s="1"/>
  <c r="AX1387" i="1" a="1"/>
  <c r="AX1387" i="1" s="1"/>
  <c r="AY1387" i="1" a="1"/>
  <c r="AY1387" i="1" s="1"/>
  <c r="AZ1387" i="1" a="1"/>
  <c r="AZ1387" i="1" s="1"/>
  <c r="BA1387" i="1" a="1"/>
  <c r="BA1387" i="1" s="1"/>
  <c r="BB1387" i="1" a="1"/>
  <c r="BB1387" i="1" s="1"/>
  <c r="AL1388" i="1" a="1"/>
  <c r="AL1388" i="1" s="1"/>
  <c r="AM1388" i="1" a="1"/>
  <c r="AM1388" i="1" s="1"/>
  <c r="AN1388" i="1" a="1"/>
  <c r="AN1388" i="1" s="1"/>
  <c r="AO1388" i="1" a="1"/>
  <c r="AO1388" i="1" s="1"/>
  <c r="AP1388" i="1" a="1"/>
  <c r="AP1388" i="1" s="1"/>
  <c r="AQ1388" i="1" a="1"/>
  <c r="AQ1388" i="1" s="1"/>
  <c r="AR1388" i="1" a="1"/>
  <c r="AR1388" i="1" s="1"/>
  <c r="AS1388" i="1" a="1"/>
  <c r="AS1388" i="1" s="1"/>
  <c r="AT1388" i="1" a="1"/>
  <c r="AT1388" i="1" s="1"/>
  <c r="AU1388" i="1" a="1"/>
  <c r="AU1388" i="1" s="1"/>
  <c r="AV1388" i="1" a="1"/>
  <c r="AV1388" i="1" s="1"/>
  <c r="AW1388" i="1" a="1"/>
  <c r="AW1388" i="1" s="1"/>
  <c r="AX1388" i="1" a="1"/>
  <c r="AX1388" i="1" s="1"/>
  <c r="AY1388" i="1" a="1"/>
  <c r="AY1388" i="1" s="1"/>
  <c r="AZ1388" i="1" a="1"/>
  <c r="AZ1388" i="1" s="1"/>
  <c r="BA1388" i="1" a="1"/>
  <c r="BA1388" i="1" s="1"/>
  <c r="BB1388" i="1" a="1"/>
  <c r="BB1388" i="1" s="1"/>
  <c r="AL1389" i="1" a="1"/>
  <c r="AL1389" i="1" s="1"/>
  <c r="AM1389" i="1" a="1"/>
  <c r="AM1389" i="1" s="1"/>
  <c r="AN1389" i="1" a="1"/>
  <c r="AN1389" i="1" s="1"/>
  <c r="AO1389" i="1" a="1"/>
  <c r="AO1389" i="1" s="1"/>
  <c r="AP1389" i="1" a="1"/>
  <c r="AP1389" i="1" s="1"/>
  <c r="AQ1389" i="1" a="1"/>
  <c r="AQ1389" i="1" s="1"/>
  <c r="AR1389" i="1" a="1"/>
  <c r="AR1389" i="1" s="1"/>
  <c r="AS1389" i="1" a="1"/>
  <c r="AS1389" i="1" s="1"/>
  <c r="AT1389" i="1" a="1"/>
  <c r="AT1389" i="1" s="1"/>
  <c r="AU1389" i="1" a="1"/>
  <c r="AU1389" i="1" s="1"/>
  <c r="AV1389" i="1" a="1"/>
  <c r="AV1389" i="1" s="1"/>
  <c r="AW1389" i="1" a="1"/>
  <c r="AW1389" i="1" s="1"/>
  <c r="AX1389" i="1" a="1"/>
  <c r="AX1389" i="1" s="1"/>
  <c r="AY1389" i="1" a="1"/>
  <c r="AY1389" i="1" s="1"/>
  <c r="AZ1389" i="1" a="1"/>
  <c r="AZ1389" i="1" s="1"/>
  <c r="BA1389" i="1" a="1"/>
  <c r="BA1389" i="1" s="1"/>
  <c r="BB1389" i="1" a="1"/>
  <c r="BB1389" i="1" s="1"/>
  <c r="AL1390" i="1" a="1"/>
  <c r="AL1390" i="1" s="1"/>
  <c r="AM1390" i="1" a="1"/>
  <c r="AM1390" i="1" s="1"/>
  <c r="AN1390" i="1" a="1"/>
  <c r="AN1390" i="1" s="1"/>
  <c r="AO1390" i="1" a="1"/>
  <c r="AO1390" i="1" s="1"/>
  <c r="AP1390" i="1" a="1"/>
  <c r="AP1390" i="1" s="1"/>
  <c r="AQ1390" i="1" a="1"/>
  <c r="AQ1390" i="1" s="1"/>
  <c r="AR1390" i="1" a="1"/>
  <c r="AR1390" i="1" s="1"/>
  <c r="AS1390" i="1" a="1"/>
  <c r="AS1390" i="1" s="1"/>
  <c r="AT1390" i="1" a="1"/>
  <c r="AT1390" i="1" s="1"/>
  <c r="AU1390" i="1" a="1"/>
  <c r="AU1390" i="1" s="1"/>
  <c r="AV1390" i="1" a="1"/>
  <c r="AV1390" i="1" s="1"/>
  <c r="AW1390" i="1" a="1"/>
  <c r="AW1390" i="1" s="1"/>
  <c r="AX1390" i="1" a="1"/>
  <c r="AX1390" i="1" s="1"/>
  <c r="AY1390" i="1" a="1"/>
  <c r="AY1390" i="1" s="1"/>
  <c r="AZ1390" i="1" a="1"/>
  <c r="AZ1390" i="1" s="1"/>
  <c r="BA1390" i="1" a="1"/>
  <c r="BA1390" i="1" s="1"/>
  <c r="BB1390" i="1" a="1"/>
  <c r="BB1390" i="1" s="1"/>
  <c r="AL1391" i="1" a="1"/>
  <c r="AL1391" i="1" s="1"/>
  <c r="AM1391" i="1" a="1"/>
  <c r="AM1391" i="1" s="1"/>
  <c r="AN1391" i="1" a="1"/>
  <c r="AN1391" i="1" s="1"/>
  <c r="AO1391" i="1" a="1"/>
  <c r="AO1391" i="1" s="1"/>
  <c r="AP1391" i="1" a="1"/>
  <c r="AP1391" i="1" s="1"/>
  <c r="AQ1391" i="1" a="1"/>
  <c r="AQ1391" i="1" s="1"/>
  <c r="AR1391" i="1" a="1"/>
  <c r="AR1391" i="1" s="1"/>
  <c r="AS1391" i="1" a="1"/>
  <c r="AS1391" i="1" s="1"/>
  <c r="AT1391" i="1" a="1"/>
  <c r="AT1391" i="1" s="1"/>
  <c r="AU1391" i="1" a="1"/>
  <c r="AU1391" i="1" s="1"/>
  <c r="AV1391" i="1" a="1"/>
  <c r="AV1391" i="1" s="1"/>
  <c r="AW1391" i="1" a="1"/>
  <c r="AW1391" i="1" s="1"/>
  <c r="AX1391" i="1" a="1"/>
  <c r="AX1391" i="1" s="1"/>
  <c r="AY1391" i="1" a="1"/>
  <c r="AY1391" i="1" s="1"/>
  <c r="AZ1391" i="1" a="1"/>
  <c r="AZ1391" i="1" s="1"/>
  <c r="BA1391" i="1" a="1"/>
  <c r="BA1391" i="1" s="1"/>
  <c r="BB1391" i="1" a="1"/>
  <c r="BB1391" i="1" s="1"/>
  <c r="AL1392" i="1" a="1"/>
  <c r="AL1392" i="1" s="1"/>
  <c r="AM1392" i="1" a="1"/>
  <c r="AM1392" i="1" s="1"/>
  <c r="AN1392" i="1" a="1"/>
  <c r="AN1392" i="1" s="1"/>
  <c r="AO1392" i="1" a="1"/>
  <c r="AO1392" i="1" s="1"/>
  <c r="AP1392" i="1" a="1"/>
  <c r="AP1392" i="1" s="1"/>
  <c r="AQ1392" i="1" a="1"/>
  <c r="AQ1392" i="1" s="1"/>
  <c r="AR1392" i="1" a="1"/>
  <c r="AR1392" i="1" s="1"/>
  <c r="AS1392" i="1" a="1"/>
  <c r="AS1392" i="1" s="1"/>
  <c r="AT1392" i="1" a="1"/>
  <c r="AT1392" i="1" s="1"/>
  <c r="AU1392" i="1" a="1"/>
  <c r="AU1392" i="1" s="1"/>
  <c r="AV1392" i="1" a="1"/>
  <c r="AV1392" i="1" s="1"/>
  <c r="AW1392" i="1" a="1"/>
  <c r="AW1392" i="1" s="1"/>
  <c r="AX1392" i="1" a="1"/>
  <c r="AX1392" i="1" s="1"/>
  <c r="AY1392" i="1" a="1"/>
  <c r="AY1392" i="1" s="1"/>
  <c r="AZ1392" i="1" a="1"/>
  <c r="AZ1392" i="1" s="1"/>
  <c r="BA1392" i="1" a="1"/>
  <c r="BA1392" i="1" s="1"/>
  <c r="BB1392" i="1" a="1"/>
  <c r="BB1392" i="1" s="1"/>
  <c r="AL1393" i="1" a="1"/>
  <c r="AL1393" i="1" s="1"/>
  <c r="AM1393" i="1" a="1"/>
  <c r="AM1393" i="1" s="1"/>
  <c r="AN1393" i="1" a="1"/>
  <c r="AN1393" i="1" s="1"/>
  <c r="AO1393" i="1" a="1"/>
  <c r="AO1393" i="1" s="1"/>
  <c r="AP1393" i="1" a="1"/>
  <c r="AP1393" i="1" s="1"/>
  <c r="AQ1393" i="1" a="1"/>
  <c r="AQ1393" i="1" s="1"/>
  <c r="AR1393" i="1" a="1"/>
  <c r="AR1393" i="1" s="1"/>
  <c r="AS1393" i="1" a="1"/>
  <c r="AS1393" i="1" s="1"/>
  <c r="AT1393" i="1" a="1"/>
  <c r="AT1393" i="1" s="1"/>
  <c r="AU1393" i="1" a="1"/>
  <c r="AU1393" i="1" s="1"/>
  <c r="AV1393" i="1" a="1"/>
  <c r="AV1393" i="1" s="1"/>
  <c r="AW1393" i="1" a="1"/>
  <c r="AW1393" i="1" s="1"/>
  <c r="AX1393" i="1" a="1"/>
  <c r="AX1393" i="1" s="1"/>
  <c r="AY1393" i="1" a="1"/>
  <c r="AY1393" i="1" s="1"/>
  <c r="AZ1393" i="1" a="1"/>
  <c r="AZ1393" i="1" s="1"/>
  <c r="BA1393" i="1" a="1"/>
  <c r="BA1393" i="1" s="1"/>
  <c r="BB1393" i="1" a="1"/>
  <c r="BB1393" i="1" s="1"/>
  <c r="AL1394" i="1" a="1"/>
  <c r="AL1394" i="1" s="1"/>
  <c r="AM1394" i="1" a="1"/>
  <c r="AM1394" i="1" s="1"/>
  <c r="AN1394" i="1" a="1"/>
  <c r="AN1394" i="1" s="1"/>
  <c r="AO1394" i="1" a="1"/>
  <c r="AO1394" i="1" s="1"/>
  <c r="AP1394" i="1" a="1"/>
  <c r="AP1394" i="1" s="1"/>
  <c r="AQ1394" i="1" a="1"/>
  <c r="AQ1394" i="1" s="1"/>
  <c r="AR1394" i="1" a="1"/>
  <c r="AR1394" i="1" s="1"/>
  <c r="AS1394" i="1" a="1"/>
  <c r="AS1394" i="1" s="1"/>
  <c r="AT1394" i="1" a="1"/>
  <c r="AT1394" i="1" s="1"/>
  <c r="AU1394" i="1" a="1"/>
  <c r="AU1394" i="1" s="1"/>
  <c r="AV1394" i="1" a="1"/>
  <c r="AV1394" i="1" s="1"/>
  <c r="AW1394" i="1" a="1"/>
  <c r="AW1394" i="1" s="1"/>
  <c r="AX1394" i="1" a="1"/>
  <c r="AX1394" i="1" s="1"/>
  <c r="AY1394" i="1" a="1"/>
  <c r="AY1394" i="1" s="1"/>
  <c r="AZ1394" i="1" a="1"/>
  <c r="AZ1394" i="1" s="1"/>
  <c r="BA1394" i="1" a="1"/>
  <c r="BA1394" i="1" s="1"/>
  <c r="BB1394" i="1" a="1"/>
  <c r="BB1394" i="1" s="1"/>
  <c r="AL1395" i="1" a="1"/>
  <c r="AL1395" i="1" s="1"/>
  <c r="AM1395" i="1" a="1"/>
  <c r="AM1395" i="1" s="1"/>
  <c r="AN1395" i="1" a="1"/>
  <c r="AN1395" i="1" s="1"/>
  <c r="AO1395" i="1" a="1"/>
  <c r="AO1395" i="1" s="1"/>
  <c r="AP1395" i="1" a="1"/>
  <c r="AP1395" i="1" s="1"/>
  <c r="AQ1395" i="1" a="1"/>
  <c r="AQ1395" i="1" s="1"/>
  <c r="AR1395" i="1" a="1"/>
  <c r="AR1395" i="1" s="1"/>
  <c r="AS1395" i="1" a="1"/>
  <c r="AS1395" i="1" s="1"/>
  <c r="AT1395" i="1" a="1"/>
  <c r="AT1395" i="1" s="1"/>
  <c r="AU1395" i="1" a="1"/>
  <c r="AU1395" i="1" s="1"/>
  <c r="AV1395" i="1" a="1"/>
  <c r="AV1395" i="1" s="1"/>
  <c r="AW1395" i="1" a="1"/>
  <c r="AW1395" i="1" s="1"/>
  <c r="AX1395" i="1" a="1"/>
  <c r="AX1395" i="1" s="1"/>
  <c r="AY1395" i="1" a="1"/>
  <c r="AY1395" i="1" s="1"/>
  <c r="AZ1395" i="1" a="1"/>
  <c r="AZ1395" i="1" s="1"/>
  <c r="BA1395" i="1" a="1"/>
  <c r="BA1395" i="1" s="1"/>
  <c r="BB1395" i="1" a="1"/>
  <c r="BB1395" i="1" s="1"/>
  <c r="AL1396" i="1" a="1"/>
  <c r="AL1396" i="1" s="1"/>
  <c r="AM1396" i="1" a="1"/>
  <c r="AM1396" i="1" s="1"/>
  <c r="AN1396" i="1" a="1"/>
  <c r="AN1396" i="1" s="1"/>
  <c r="AO1396" i="1" a="1"/>
  <c r="AO1396" i="1" s="1"/>
  <c r="AP1396" i="1" a="1"/>
  <c r="AP1396" i="1" s="1"/>
  <c r="AQ1396" i="1" a="1"/>
  <c r="AQ1396" i="1" s="1"/>
  <c r="AR1396" i="1" a="1"/>
  <c r="AR1396" i="1" s="1"/>
  <c r="AS1396" i="1" a="1"/>
  <c r="AS1396" i="1" s="1"/>
  <c r="AT1396" i="1" a="1"/>
  <c r="AT1396" i="1" s="1"/>
  <c r="AU1396" i="1" a="1"/>
  <c r="AU1396" i="1" s="1"/>
  <c r="AV1396" i="1" a="1"/>
  <c r="AV1396" i="1" s="1"/>
  <c r="AW1396" i="1" a="1"/>
  <c r="AW1396" i="1" s="1"/>
  <c r="AX1396" i="1" a="1"/>
  <c r="AX1396" i="1" s="1"/>
  <c r="AY1396" i="1" a="1"/>
  <c r="AY1396" i="1" s="1"/>
  <c r="AZ1396" i="1" a="1"/>
  <c r="AZ1396" i="1" s="1"/>
  <c r="BA1396" i="1" a="1"/>
  <c r="BA1396" i="1" s="1"/>
  <c r="BB1396" i="1" a="1"/>
  <c r="BB1396" i="1" s="1"/>
  <c r="AL1397" i="1" a="1"/>
  <c r="AL1397" i="1" s="1"/>
  <c r="AM1397" i="1" a="1"/>
  <c r="AM1397" i="1" s="1"/>
  <c r="AN1397" i="1" a="1"/>
  <c r="AN1397" i="1" s="1"/>
  <c r="AO1397" i="1" a="1"/>
  <c r="AO1397" i="1" s="1"/>
  <c r="AP1397" i="1" a="1"/>
  <c r="AP1397" i="1" s="1"/>
  <c r="AQ1397" i="1" a="1"/>
  <c r="AQ1397" i="1" s="1"/>
  <c r="AR1397" i="1" a="1"/>
  <c r="AR1397" i="1" s="1"/>
  <c r="AS1397" i="1" a="1"/>
  <c r="AS1397" i="1" s="1"/>
  <c r="AT1397" i="1" a="1"/>
  <c r="AT1397" i="1" s="1"/>
  <c r="AU1397" i="1" a="1"/>
  <c r="AU1397" i="1" s="1"/>
  <c r="AV1397" i="1" a="1"/>
  <c r="AV1397" i="1" s="1"/>
  <c r="AW1397" i="1" a="1"/>
  <c r="AW1397" i="1" s="1"/>
  <c r="AX1397" i="1" a="1"/>
  <c r="AX1397" i="1" s="1"/>
  <c r="AY1397" i="1" a="1"/>
  <c r="AY1397" i="1" s="1"/>
  <c r="AZ1397" i="1" a="1"/>
  <c r="AZ1397" i="1" s="1"/>
  <c r="BA1397" i="1" a="1"/>
  <c r="BA1397" i="1" s="1"/>
  <c r="BB1397" i="1" a="1"/>
  <c r="BB1397" i="1" s="1"/>
  <c r="AL1398" i="1" a="1"/>
  <c r="AL1398" i="1" s="1"/>
  <c r="AM1398" i="1" a="1"/>
  <c r="AM1398" i="1" s="1"/>
  <c r="AN1398" i="1" a="1"/>
  <c r="AN1398" i="1" s="1"/>
  <c r="AO1398" i="1" a="1"/>
  <c r="AO1398" i="1" s="1"/>
  <c r="AP1398" i="1" a="1"/>
  <c r="AP1398" i="1" s="1"/>
  <c r="AQ1398" i="1" a="1"/>
  <c r="AQ1398" i="1" s="1"/>
  <c r="AR1398" i="1" a="1"/>
  <c r="AR1398" i="1" s="1"/>
  <c r="AS1398" i="1" a="1"/>
  <c r="AS1398" i="1" s="1"/>
  <c r="AT1398" i="1" a="1"/>
  <c r="AT1398" i="1" s="1"/>
  <c r="AU1398" i="1" a="1"/>
  <c r="AU1398" i="1" s="1"/>
  <c r="AV1398" i="1" a="1"/>
  <c r="AV1398" i="1" s="1"/>
  <c r="AW1398" i="1" a="1"/>
  <c r="AW1398" i="1" s="1"/>
  <c r="AX1398" i="1" a="1"/>
  <c r="AX1398" i="1" s="1"/>
  <c r="AY1398" i="1" a="1"/>
  <c r="AY1398" i="1" s="1"/>
  <c r="AZ1398" i="1" a="1"/>
  <c r="AZ1398" i="1" s="1"/>
  <c r="BA1398" i="1" a="1"/>
  <c r="BA1398" i="1" s="1"/>
  <c r="BB1398" i="1" a="1"/>
  <c r="BB1398" i="1" s="1"/>
  <c r="AL1399" i="1" a="1"/>
  <c r="AL1399" i="1" s="1"/>
  <c r="AM1399" i="1" a="1"/>
  <c r="AM1399" i="1" s="1"/>
  <c r="AN1399" i="1" a="1"/>
  <c r="AN1399" i="1" s="1"/>
  <c r="AO1399" i="1" a="1"/>
  <c r="AO1399" i="1" s="1"/>
  <c r="AP1399" i="1" a="1"/>
  <c r="AP1399" i="1" s="1"/>
  <c r="AQ1399" i="1" a="1"/>
  <c r="AQ1399" i="1" s="1"/>
  <c r="AR1399" i="1" a="1"/>
  <c r="AR1399" i="1" s="1"/>
  <c r="AS1399" i="1" a="1"/>
  <c r="AS1399" i="1" s="1"/>
  <c r="AT1399" i="1" a="1"/>
  <c r="AT1399" i="1" s="1"/>
  <c r="AU1399" i="1" a="1"/>
  <c r="AU1399" i="1" s="1"/>
  <c r="AV1399" i="1" a="1"/>
  <c r="AV1399" i="1" s="1"/>
  <c r="AW1399" i="1" a="1"/>
  <c r="AW1399" i="1" s="1"/>
  <c r="AX1399" i="1" a="1"/>
  <c r="AX1399" i="1" s="1"/>
  <c r="AY1399" i="1" a="1"/>
  <c r="AY1399" i="1" s="1"/>
  <c r="AZ1399" i="1" a="1"/>
  <c r="AZ1399" i="1" s="1"/>
  <c r="BA1399" i="1" a="1"/>
  <c r="BA1399" i="1" s="1"/>
  <c r="BB1399" i="1" a="1"/>
  <c r="BB1399" i="1" s="1"/>
  <c r="AL1400" i="1" a="1"/>
  <c r="AL1400" i="1" s="1"/>
  <c r="AM1400" i="1" a="1"/>
  <c r="AM1400" i="1" s="1"/>
  <c r="AN1400" i="1" a="1"/>
  <c r="AN1400" i="1" s="1"/>
  <c r="AO1400" i="1" a="1"/>
  <c r="AO1400" i="1" s="1"/>
  <c r="AP1400" i="1" a="1"/>
  <c r="AP1400" i="1" s="1"/>
  <c r="AQ1400" i="1" a="1"/>
  <c r="AQ1400" i="1" s="1"/>
  <c r="AR1400" i="1" a="1"/>
  <c r="AR1400" i="1" s="1"/>
  <c r="AS1400" i="1" a="1"/>
  <c r="AS1400" i="1" s="1"/>
  <c r="AT1400" i="1" a="1"/>
  <c r="AT1400" i="1" s="1"/>
  <c r="AU1400" i="1" a="1"/>
  <c r="AU1400" i="1" s="1"/>
  <c r="AV1400" i="1" a="1"/>
  <c r="AV1400" i="1" s="1"/>
  <c r="AW1400" i="1" a="1"/>
  <c r="AW1400" i="1" s="1"/>
  <c r="AX1400" i="1" a="1"/>
  <c r="AX1400" i="1" s="1"/>
  <c r="AY1400" i="1" a="1"/>
  <c r="AY1400" i="1" s="1"/>
  <c r="AZ1400" i="1" a="1"/>
  <c r="AZ1400" i="1" s="1"/>
  <c r="BA1400" i="1" a="1"/>
  <c r="BA1400" i="1" s="1"/>
  <c r="BB1400" i="1" a="1"/>
  <c r="BB1400" i="1" s="1"/>
  <c r="AL1401" i="1" a="1"/>
  <c r="AL1401" i="1" s="1"/>
  <c r="AM1401" i="1" a="1"/>
  <c r="AM1401" i="1" s="1"/>
  <c r="AN1401" i="1" a="1"/>
  <c r="AN1401" i="1" s="1"/>
  <c r="AO1401" i="1" a="1"/>
  <c r="AO1401" i="1" s="1"/>
  <c r="AP1401" i="1" a="1"/>
  <c r="AP1401" i="1" s="1"/>
  <c r="AQ1401" i="1" a="1"/>
  <c r="AQ1401" i="1" s="1"/>
  <c r="AR1401" i="1" a="1"/>
  <c r="AR1401" i="1" s="1"/>
  <c r="AS1401" i="1" a="1"/>
  <c r="AS1401" i="1" s="1"/>
  <c r="AT1401" i="1" a="1"/>
  <c r="AT1401" i="1" s="1"/>
  <c r="AU1401" i="1" a="1"/>
  <c r="AU1401" i="1" s="1"/>
  <c r="AV1401" i="1" a="1"/>
  <c r="AV1401" i="1" s="1"/>
  <c r="AW1401" i="1" a="1"/>
  <c r="AW1401" i="1" s="1"/>
  <c r="AX1401" i="1" a="1"/>
  <c r="AX1401" i="1" s="1"/>
  <c r="AY1401" i="1" a="1"/>
  <c r="AY1401" i="1" s="1"/>
  <c r="AZ1401" i="1" a="1"/>
  <c r="AZ1401" i="1" s="1"/>
  <c r="BA1401" i="1" a="1"/>
  <c r="BA1401" i="1" s="1"/>
  <c r="BB1401" i="1" a="1"/>
  <c r="BB1401" i="1" s="1"/>
  <c r="AL1402" i="1" a="1"/>
  <c r="AL1402" i="1" s="1"/>
  <c r="AM1402" i="1" a="1"/>
  <c r="AM1402" i="1" s="1"/>
  <c r="AN1402" i="1" a="1"/>
  <c r="AN1402" i="1" s="1"/>
  <c r="AO1402" i="1" a="1"/>
  <c r="AO1402" i="1" s="1"/>
  <c r="AP1402" i="1" a="1"/>
  <c r="AP1402" i="1" s="1"/>
  <c r="AQ1402" i="1" a="1"/>
  <c r="AQ1402" i="1" s="1"/>
  <c r="AR1402" i="1" a="1"/>
  <c r="AR1402" i="1" s="1"/>
  <c r="AS1402" i="1" a="1"/>
  <c r="AS1402" i="1" s="1"/>
  <c r="AT1402" i="1" a="1"/>
  <c r="AT1402" i="1" s="1"/>
  <c r="AU1402" i="1" a="1"/>
  <c r="AU1402" i="1" s="1"/>
  <c r="AV1402" i="1" a="1"/>
  <c r="AV1402" i="1" s="1"/>
  <c r="AW1402" i="1" a="1"/>
  <c r="AW1402" i="1" s="1"/>
  <c r="AX1402" i="1" a="1"/>
  <c r="AX1402" i="1" s="1"/>
  <c r="AY1402" i="1" a="1"/>
  <c r="AY1402" i="1" s="1"/>
  <c r="AZ1402" i="1" a="1"/>
  <c r="AZ1402" i="1" s="1"/>
  <c r="BA1402" i="1" a="1"/>
  <c r="BA1402" i="1" s="1"/>
  <c r="BB1402" i="1" a="1"/>
  <c r="BB1402" i="1" s="1"/>
  <c r="AL1403" i="1" a="1"/>
  <c r="AL1403" i="1" s="1"/>
  <c r="AM1403" i="1" a="1"/>
  <c r="AM1403" i="1" s="1"/>
  <c r="AN1403" i="1" a="1"/>
  <c r="AN1403" i="1" s="1"/>
  <c r="AO1403" i="1" a="1"/>
  <c r="AO1403" i="1" s="1"/>
  <c r="AP1403" i="1" a="1"/>
  <c r="AP1403" i="1" s="1"/>
  <c r="AQ1403" i="1" a="1"/>
  <c r="AQ1403" i="1" s="1"/>
  <c r="AR1403" i="1" a="1"/>
  <c r="AR1403" i="1" s="1"/>
  <c r="AS1403" i="1" a="1"/>
  <c r="AS1403" i="1" s="1"/>
  <c r="AT1403" i="1" a="1"/>
  <c r="AT1403" i="1" s="1"/>
  <c r="AU1403" i="1" a="1"/>
  <c r="AU1403" i="1" s="1"/>
  <c r="AV1403" i="1" a="1"/>
  <c r="AV1403" i="1" s="1"/>
  <c r="AW1403" i="1" a="1"/>
  <c r="AW1403" i="1" s="1"/>
  <c r="AX1403" i="1" a="1"/>
  <c r="AX1403" i="1" s="1"/>
  <c r="AY1403" i="1" a="1"/>
  <c r="AY1403" i="1" s="1"/>
  <c r="AZ1403" i="1" a="1"/>
  <c r="AZ1403" i="1" s="1"/>
  <c r="BA1403" i="1" a="1"/>
  <c r="BA1403" i="1" s="1"/>
  <c r="BB1403" i="1" a="1"/>
  <c r="BB1403" i="1" s="1"/>
  <c r="AL1404" i="1" a="1"/>
  <c r="AL1404" i="1" s="1"/>
  <c r="AM1404" i="1" a="1"/>
  <c r="AM1404" i="1" s="1"/>
  <c r="AN1404" i="1" a="1"/>
  <c r="AN1404" i="1" s="1"/>
  <c r="AO1404" i="1" a="1"/>
  <c r="AO1404" i="1" s="1"/>
  <c r="AP1404" i="1" a="1"/>
  <c r="AP1404" i="1" s="1"/>
  <c r="AQ1404" i="1" a="1"/>
  <c r="AQ1404" i="1" s="1"/>
  <c r="AR1404" i="1" a="1"/>
  <c r="AR1404" i="1" s="1"/>
  <c r="AS1404" i="1" a="1"/>
  <c r="AS1404" i="1" s="1"/>
  <c r="AT1404" i="1" a="1"/>
  <c r="AT1404" i="1" s="1"/>
  <c r="AU1404" i="1" a="1"/>
  <c r="AU1404" i="1" s="1"/>
  <c r="AV1404" i="1" a="1"/>
  <c r="AV1404" i="1" s="1"/>
  <c r="AW1404" i="1" a="1"/>
  <c r="AW1404" i="1" s="1"/>
  <c r="AX1404" i="1" a="1"/>
  <c r="AX1404" i="1" s="1"/>
  <c r="AY1404" i="1" a="1"/>
  <c r="AY1404" i="1" s="1"/>
  <c r="AZ1404" i="1" a="1"/>
  <c r="AZ1404" i="1" s="1"/>
  <c r="BA1404" i="1" a="1"/>
  <c r="BA1404" i="1" s="1"/>
  <c r="BB1404" i="1" a="1"/>
  <c r="BB1404" i="1" s="1"/>
  <c r="AL1405" i="1" a="1"/>
  <c r="AL1405" i="1" s="1"/>
  <c r="AM1405" i="1" a="1"/>
  <c r="AM1405" i="1" s="1"/>
  <c r="AN1405" i="1" a="1"/>
  <c r="AN1405" i="1" s="1"/>
  <c r="AO1405" i="1" a="1"/>
  <c r="AO1405" i="1" s="1"/>
  <c r="AP1405" i="1" a="1"/>
  <c r="AP1405" i="1" s="1"/>
  <c r="AQ1405" i="1" a="1"/>
  <c r="AQ1405" i="1" s="1"/>
  <c r="AR1405" i="1" a="1"/>
  <c r="AR1405" i="1" s="1"/>
  <c r="AS1405" i="1" a="1"/>
  <c r="AS1405" i="1" s="1"/>
  <c r="AT1405" i="1" a="1"/>
  <c r="AT1405" i="1" s="1"/>
  <c r="AU1405" i="1" a="1"/>
  <c r="AU1405" i="1" s="1"/>
  <c r="AV1405" i="1" a="1"/>
  <c r="AV1405" i="1" s="1"/>
  <c r="AW1405" i="1" a="1"/>
  <c r="AW1405" i="1" s="1"/>
  <c r="AX1405" i="1" a="1"/>
  <c r="AX1405" i="1" s="1"/>
  <c r="AY1405" i="1" a="1"/>
  <c r="AY1405" i="1" s="1"/>
  <c r="AZ1405" i="1" a="1"/>
  <c r="AZ1405" i="1" s="1"/>
  <c r="BA1405" i="1" a="1"/>
  <c r="BA1405" i="1" s="1"/>
  <c r="BB1405" i="1" a="1"/>
  <c r="BB1405" i="1" s="1"/>
  <c r="AL1406" i="1" a="1"/>
  <c r="AL1406" i="1" s="1"/>
  <c r="AM1406" i="1" a="1"/>
  <c r="AM1406" i="1" s="1"/>
  <c r="AN1406" i="1" a="1"/>
  <c r="AN1406" i="1" s="1"/>
  <c r="AO1406" i="1" a="1"/>
  <c r="AO1406" i="1" s="1"/>
  <c r="AP1406" i="1" a="1"/>
  <c r="AP1406" i="1" s="1"/>
  <c r="AQ1406" i="1" a="1"/>
  <c r="AQ1406" i="1" s="1"/>
  <c r="AR1406" i="1" a="1"/>
  <c r="AR1406" i="1" s="1"/>
  <c r="AS1406" i="1" a="1"/>
  <c r="AS1406" i="1" s="1"/>
  <c r="AT1406" i="1" a="1"/>
  <c r="AT1406" i="1" s="1"/>
  <c r="AU1406" i="1" a="1"/>
  <c r="AU1406" i="1" s="1"/>
  <c r="AV1406" i="1" a="1"/>
  <c r="AV1406" i="1" s="1"/>
  <c r="AW1406" i="1" a="1"/>
  <c r="AW1406" i="1" s="1"/>
  <c r="AX1406" i="1" a="1"/>
  <c r="AX1406" i="1" s="1"/>
  <c r="AY1406" i="1" a="1"/>
  <c r="AY1406" i="1" s="1"/>
  <c r="AZ1406" i="1" a="1"/>
  <c r="AZ1406" i="1" s="1"/>
  <c r="BA1406" i="1" a="1"/>
  <c r="BA1406" i="1" s="1"/>
  <c r="BB1406" i="1" a="1"/>
  <c r="BB1406" i="1" s="1"/>
  <c r="AL1407" i="1" a="1"/>
  <c r="AL1407" i="1" s="1"/>
  <c r="AM1407" i="1" a="1"/>
  <c r="AM1407" i="1" s="1"/>
  <c r="AN1407" i="1" a="1"/>
  <c r="AN1407" i="1" s="1"/>
  <c r="AO1407" i="1" a="1"/>
  <c r="AO1407" i="1" s="1"/>
  <c r="AP1407" i="1" a="1"/>
  <c r="AP1407" i="1" s="1"/>
  <c r="AQ1407" i="1" a="1"/>
  <c r="AQ1407" i="1" s="1"/>
  <c r="AR1407" i="1" a="1"/>
  <c r="AR1407" i="1" s="1"/>
  <c r="AS1407" i="1" a="1"/>
  <c r="AS1407" i="1" s="1"/>
  <c r="AT1407" i="1" a="1"/>
  <c r="AT1407" i="1" s="1"/>
  <c r="AU1407" i="1" a="1"/>
  <c r="AU1407" i="1" s="1"/>
  <c r="AV1407" i="1" a="1"/>
  <c r="AV1407" i="1" s="1"/>
  <c r="AW1407" i="1" a="1"/>
  <c r="AW1407" i="1" s="1"/>
  <c r="AX1407" i="1" a="1"/>
  <c r="AX1407" i="1" s="1"/>
  <c r="AY1407" i="1" a="1"/>
  <c r="AY1407" i="1" s="1"/>
  <c r="AZ1407" i="1" a="1"/>
  <c r="AZ1407" i="1" s="1"/>
  <c r="BA1407" i="1" a="1"/>
  <c r="BA1407" i="1" s="1"/>
  <c r="BB1407" i="1" a="1"/>
  <c r="BB1407" i="1" s="1"/>
  <c r="AL1408" i="1" a="1"/>
  <c r="AL1408" i="1" s="1"/>
  <c r="AM1408" i="1" a="1"/>
  <c r="AM1408" i="1" s="1"/>
  <c r="AN1408" i="1" a="1"/>
  <c r="AN1408" i="1" s="1"/>
  <c r="AO1408" i="1" a="1"/>
  <c r="AO1408" i="1" s="1"/>
  <c r="AP1408" i="1" a="1"/>
  <c r="AP1408" i="1" s="1"/>
  <c r="AQ1408" i="1" a="1"/>
  <c r="AQ1408" i="1" s="1"/>
  <c r="AR1408" i="1" a="1"/>
  <c r="AR1408" i="1" s="1"/>
  <c r="AS1408" i="1" a="1"/>
  <c r="AS1408" i="1" s="1"/>
  <c r="AT1408" i="1" a="1"/>
  <c r="AT1408" i="1" s="1"/>
  <c r="AU1408" i="1" a="1"/>
  <c r="AU1408" i="1" s="1"/>
  <c r="AV1408" i="1" a="1"/>
  <c r="AV1408" i="1" s="1"/>
  <c r="AW1408" i="1" a="1"/>
  <c r="AW1408" i="1" s="1"/>
  <c r="AX1408" i="1" a="1"/>
  <c r="AX1408" i="1" s="1"/>
  <c r="AY1408" i="1" a="1"/>
  <c r="AY1408" i="1" s="1"/>
  <c r="AZ1408" i="1" a="1"/>
  <c r="AZ1408" i="1" s="1"/>
  <c r="BA1408" i="1" a="1"/>
  <c r="BA1408" i="1" s="1"/>
  <c r="BB1408" i="1" a="1"/>
  <c r="BB1408" i="1" s="1"/>
  <c r="AL1409" i="1" a="1"/>
  <c r="AL1409" i="1" s="1"/>
  <c r="AM1409" i="1" a="1"/>
  <c r="AM1409" i="1" s="1"/>
  <c r="AN1409" i="1" a="1"/>
  <c r="AN1409" i="1" s="1"/>
  <c r="AO1409" i="1" a="1"/>
  <c r="AO1409" i="1" s="1"/>
  <c r="AP1409" i="1" a="1"/>
  <c r="AP1409" i="1" s="1"/>
  <c r="AQ1409" i="1" a="1"/>
  <c r="AQ1409" i="1" s="1"/>
  <c r="AR1409" i="1" a="1"/>
  <c r="AR1409" i="1" s="1"/>
  <c r="AS1409" i="1" a="1"/>
  <c r="AS1409" i="1" s="1"/>
  <c r="AT1409" i="1" a="1"/>
  <c r="AT1409" i="1" s="1"/>
  <c r="AU1409" i="1" a="1"/>
  <c r="AU1409" i="1" s="1"/>
  <c r="AV1409" i="1" a="1"/>
  <c r="AV1409" i="1" s="1"/>
  <c r="AW1409" i="1" a="1"/>
  <c r="AW1409" i="1" s="1"/>
  <c r="AX1409" i="1" a="1"/>
  <c r="AX1409" i="1" s="1"/>
  <c r="AY1409" i="1" a="1"/>
  <c r="AY1409" i="1" s="1"/>
  <c r="AZ1409" i="1" a="1"/>
  <c r="AZ1409" i="1" s="1"/>
  <c r="BA1409" i="1" a="1"/>
  <c r="BA1409" i="1" s="1"/>
  <c r="BB1409" i="1" a="1"/>
  <c r="BB1409" i="1" s="1"/>
  <c r="AL1410" i="1" a="1"/>
  <c r="AL1410" i="1" s="1"/>
  <c r="AM1410" i="1" a="1"/>
  <c r="AM1410" i="1" s="1"/>
  <c r="AN1410" i="1" a="1"/>
  <c r="AN1410" i="1" s="1"/>
  <c r="AO1410" i="1" a="1"/>
  <c r="AO1410" i="1" s="1"/>
  <c r="AP1410" i="1" a="1"/>
  <c r="AP1410" i="1" s="1"/>
  <c r="AQ1410" i="1" a="1"/>
  <c r="AQ1410" i="1" s="1"/>
  <c r="AR1410" i="1" a="1"/>
  <c r="AR1410" i="1" s="1"/>
  <c r="AS1410" i="1" a="1"/>
  <c r="AS1410" i="1" s="1"/>
  <c r="AT1410" i="1" a="1"/>
  <c r="AT1410" i="1" s="1"/>
  <c r="AU1410" i="1" a="1"/>
  <c r="AU1410" i="1" s="1"/>
  <c r="AV1410" i="1" a="1"/>
  <c r="AV1410" i="1" s="1"/>
  <c r="AW1410" i="1" a="1"/>
  <c r="AW1410" i="1" s="1"/>
  <c r="AX1410" i="1" a="1"/>
  <c r="AX1410" i="1" s="1"/>
  <c r="AY1410" i="1" a="1"/>
  <c r="AY1410" i="1" s="1"/>
  <c r="AZ1410" i="1" a="1"/>
  <c r="AZ1410" i="1" s="1"/>
  <c r="BA1410" i="1" a="1"/>
  <c r="BA1410" i="1" s="1"/>
  <c r="BB1410" i="1" a="1"/>
  <c r="BB1410" i="1" s="1"/>
  <c r="AL1411" i="1" a="1"/>
  <c r="AL1411" i="1" s="1"/>
  <c r="AM1411" i="1" a="1"/>
  <c r="AM1411" i="1" s="1"/>
  <c r="AN1411" i="1" a="1"/>
  <c r="AN1411" i="1" s="1"/>
  <c r="AO1411" i="1" a="1"/>
  <c r="AO1411" i="1" s="1"/>
  <c r="AP1411" i="1" a="1"/>
  <c r="AP1411" i="1" s="1"/>
  <c r="AQ1411" i="1" a="1"/>
  <c r="AQ1411" i="1" s="1"/>
  <c r="AR1411" i="1" a="1"/>
  <c r="AR1411" i="1" s="1"/>
  <c r="AS1411" i="1" a="1"/>
  <c r="AS1411" i="1" s="1"/>
  <c r="AT1411" i="1" a="1"/>
  <c r="AT1411" i="1" s="1"/>
  <c r="AU1411" i="1" a="1"/>
  <c r="AU1411" i="1" s="1"/>
  <c r="AV1411" i="1" a="1"/>
  <c r="AV1411" i="1" s="1"/>
  <c r="AW1411" i="1" a="1"/>
  <c r="AW1411" i="1" s="1"/>
  <c r="AX1411" i="1" a="1"/>
  <c r="AX1411" i="1" s="1"/>
  <c r="AY1411" i="1" a="1"/>
  <c r="AY1411" i="1" s="1"/>
  <c r="AZ1411" i="1" a="1"/>
  <c r="AZ1411" i="1" s="1"/>
  <c r="BA1411" i="1" a="1"/>
  <c r="BA1411" i="1" s="1"/>
  <c r="BB1411" i="1" a="1"/>
  <c r="BB1411" i="1" s="1"/>
  <c r="AL1412" i="1" a="1"/>
  <c r="AL1412" i="1" s="1"/>
  <c r="AM1412" i="1" a="1"/>
  <c r="AM1412" i="1" s="1"/>
  <c r="AN1412" i="1" a="1"/>
  <c r="AN1412" i="1" s="1"/>
  <c r="AO1412" i="1" a="1"/>
  <c r="AO1412" i="1" s="1"/>
  <c r="AP1412" i="1" a="1"/>
  <c r="AP1412" i="1" s="1"/>
  <c r="AQ1412" i="1" a="1"/>
  <c r="AQ1412" i="1" s="1"/>
  <c r="AR1412" i="1" a="1"/>
  <c r="AR1412" i="1" s="1"/>
  <c r="AS1412" i="1" a="1"/>
  <c r="AS1412" i="1" s="1"/>
  <c r="AT1412" i="1" a="1"/>
  <c r="AT1412" i="1" s="1"/>
  <c r="AU1412" i="1" a="1"/>
  <c r="AU1412" i="1" s="1"/>
  <c r="AV1412" i="1" a="1"/>
  <c r="AV1412" i="1" s="1"/>
  <c r="AW1412" i="1" a="1"/>
  <c r="AW1412" i="1" s="1"/>
  <c r="AX1412" i="1" a="1"/>
  <c r="AX1412" i="1" s="1"/>
  <c r="AY1412" i="1" a="1"/>
  <c r="AY1412" i="1" s="1"/>
  <c r="AZ1412" i="1" a="1"/>
  <c r="AZ1412" i="1" s="1"/>
  <c r="BA1412" i="1" a="1"/>
  <c r="BA1412" i="1" s="1"/>
  <c r="BB1412" i="1" a="1"/>
  <c r="BB1412" i="1" s="1"/>
  <c r="AL1413" i="1" a="1"/>
  <c r="AL1413" i="1" s="1"/>
  <c r="AM1413" i="1" a="1"/>
  <c r="AM1413" i="1" s="1"/>
  <c r="AN1413" i="1" a="1"/>
  <c r="AN1413" i="1" s="1"/>
  <c r="AO1413" i="1" a="1"/>
  <c r="AO1413" i="1" s="1"/>
  <c r="AP1413" i="1" a="1"/>
  <c r="AP1413" i="1" s="1"/>
  <c r="AQ1413" i="1" a="1"/>
  <c r="AQ1413" i="1" s="1"/>
  <c r="AR1413" i="1" a="1"/>
  <c r="AR1413" i="1" s="1"/>
  <c r="AS1413" i="1" a="1"/>
  <c r="AS1413" i="1" s="1"/>
  <c r="AT1413" i="1" a="1"/>
  <c r="AT1413" i="1" s="1"/>
  <c r="AU1413" i="1" a="1"/>
  <c r="AU1413" i="1" s="1"/>
  <c r="AV1413" i="1" a="1"/>
  <c r="AV1413" i="1" s="1"/>
  <c r="AW1413" i="1" a="1"/>
  <c r="AW1413" i="1" s="1"/>
  <c r="AX1413" i="1" a="1"/>
  <c r="AX1413" i="1" s="1"/>
  <c r="AY1413" i="1" a="1"/>
  <c r="AY1413" i="1" s="1"/>
  <c r="AZ1413" i="1" a="1"/>
  <c r="AZ1413" i="1" s="1"/>
  <c r="BA1413" i="1" a="1"/>
  <c r="BA1413" i="1" s="1"/>
  <c r="BB1413" i="1" a="1"/>
  <c r="BB1413" i="1" s="1"/>
  <c r="AL1414" i="1" a="1"/>
  <c r="AL1414" i="1" s="1"/>
  <c r="AM1414" i="1" a="1"/>
  <c r="AM1414" i="1" s="1"/>
  <c r="AN1414" i="1" a="1"/>
  <c r="AN1414" i="1" s="1"/>
  <c r="AO1414" i="1" a="1"/>
  <c r="AO1414" i="1" s="1"/>
  <c r="AP1414" i="1" a="1"/>
  <c r="AP1414" i="1" s="1"/>
  <c r="AQ1414" i="1" a="1"/>
  <c r="AQ1414" i="1" s="1"/>
  <c r="AR1414" i="1" a="1"/>
  <c r="AR1414" i="1" s="1"/>
  <c r="AS1414" i="1" a="1"/>
  <c r="AS1414" i="1" s="1"/>
  <c r="AT1414" i="1" a="1"/>
  <c r="AT1414" i="1" s="1"/>
  <c r="AU1414" i="1" a="1"/>
  <c r="AU1414" i="1" s="1"/>
  <c r="AV1414" i="1" a="1"/>
  <c r="AV1414" i="1" s="1"/>
  <c r="AW1414" i="1" a="1"/>
  <c r="AW1414" i="1" s="1"/>
  <c r="AX1414" i="1" a="1"/>
  <c r="AX1414" i="1" s="1"/>
  <c r="AY1414" i="1" a="1"/>
  <c r="AY1414" i="1" s="1"/>
  <c r="AZ1414" i="1" a="1"/>
  <c r="AZ1414" i="1" s="1"/>
  <c r="BA1414" i="1" a="1"/>
  <c r="BA1414" i="1" s="1"/>
  <c r="BB1414" i="1" a="1"/>
  <c r="BB1414" i="1" s="1"/>
  <c r="AL1415" i="1" a="1"/>
  <c r="AL1415" i="1" s="1"/>
  <c r="AM1415" i="1" a="1"/>
  <c r="AM1415" i="1" s="1"/>
  <c r="AN1415" i="1" a="1"/>
  <c r="AN1415" i="1" s="1"/>
  <c r="AO1415" i="1" a="1"/>
  <c r="AO1415" i="1" s="1"/>
  <c r="AP1415" i="1" a="1"/>
  <c r="AP1415" i="1" s="1"/>
  <c r="AQ1415" i="1" a="1"/>
  <c r="AQ1415" i="1" s="1"/>
  <c r="AR1415" i="1" a="1"/>
  <c r="AR1415" i="1" s="1"/>
  <c r="AS1415" i="1" a="1"/>
  <c r="AS1415" i="1" s="1"/>
  <c r="AT1415" i="1" a="1"/>
  <c r="AT1415" i="1" s="1"/>
  <c r="AU1415" i="1" a="1"/>
  <c r="AU1415" i="1" s="1"/>
  <c r="AV1415" i="1" a="1"/>
  <c r="AV1415" i="1" s="1"/>
  <c r="AW1415" i="1" a="1"/>
  <c r="AW1415" i="1" s="1"/>
  <c r="AX1415" i="1" a="1"/>
  <c r="AX1415" i="1" s="1"/>
  <c r="AY1415" i="1" a="1"/>
  <c r="AY1415" i="1" s="1"/>
  <c r="AZ1415" i="1" a="1"/>
  <c r="AZ1415" i="1" s="1"/>
  <c r="BA1415" i="1" a="1"/>
  <c r="BA1415" i="1" s="1"/>
  <c r="BB1415" i="1" a="1"/>
  <c r="BB1415" i="1" s="1"/>
  <c r="AL1416" i="1" a="1"/>
  <c r="AL1416" i="1" s="1"/>
  <c r="AM1416" i="1" a="1"/>
  <c r="AM1416" i="1" s="1"/>
  <c r="AN1416" i="1" a="1"/>
  <c r="AN1416" i="1" s="1"/>
  <c r="AO1416" i="1" a="1"/>
  <c r="AO1416" i="1" s="1"/>
  <c r="AP1416" i="1" a="1"/>
  <c r="AP1416" i="1" s="1"/>
  <c r="AQ1416" i="1" a="1"/>
  <c r="AQ1416" i="1" s="1"/>
  <c r="AR1416" i="1" a="1"/>
  <c r="AR1416" i="1" s="1"/>
  <c r="AS1416" i="1" a="1"/>
  <c r="AS1416" i="1" s="1"/>
  <c r="AT1416" i="1" a="1"/>
  <c r="AT1416" i="1" s="1"/>
  <c r="AU1416" i="1" a="1"/>
  <c r="AU1416" i="1" s="1"/>
  <c r="AV1416" i="1" a="1"/>
  <c r="AV1416" i="1" s="1"/>
  <c r="AW1416" i="1" a="1"/>
  <c r="AW1416" i="1" s="1"/>
  <c r="AX1416" i="1" a="1"/>
  <c r="AX1416" i="1" s="1"/>
  <c r="AY1416" i="1" a="1"/>
  <c r="AY1416" i="1" s="1"/>
  <c r="AZ1416" i="1" a="1"/>
  <c r="AZ1416" i="1" s="1"/>
  <c r="BA1416" i="1" a="1"/>
  <c r="BA1416" i="1" s="1"/>
  <c r="BB1416" i="1" a="1"/>
  <c r="BB1416" i="1" s="1"/>
  <c r="AL1417" i="1" a="1"/>
  <c r="AL1417" i="1" s="1"/>
  <c r="AM1417" i="1" a="1"/>
  <c r="AM1417" i="1" s="1"/>
  <c r="AN1417" i="1" a="1"/>
  <c r="AN1417" i="1" s="1"/>
  <c r="AO1417" i="1" a="1"/>
  <c r="AO1417" i="1" s="1"/>
  <c r="AP1417" i="1" a="1"/>
  <c r="AP1417" i="1" s="1"/>
  <c r="AQ1417" i="1" a="1"/>
  <c r="AQ1417" i="1" s="1"/>
  <c r="AR1417" i="1" a="1"/>
  <c r="AR1417" i="1" s="1"/>
  <c r="AS1417" i="1" a="1"/>
  <c r="AS1417" i="1" s="1"/>
  <c r="AT1417" i="1" a="1"/>
  <c r="AT1417" i="1" s="1"/>
  <c r="AU1417" i="1" a="1"/>
  <c r="AU1417" i="1" s="1"/>
  <c r="AV1417" i="1" a="1"/>
  <c r="AV1417" i="1" s="1"/>
  <c r="AW1417" i="1" a="1"/>
  <c r="AW1417" i="1" s="1"/>
  <c r="AX1417" i="1" a="1"/>
  <c r="AX1417" i="1" s="1"/>
  <c r="AY1417" i="1" a="1"/>
  <c r="AY1417" i="1" s="1"/>
  <c r="AZ1417" i="1" a="1"/>
  <c r="AZ1417" i="1" s="1"/>
  <c r="BA1417" i="1" a="1"/>
  <c r="BA1417" i="1" s="1"/>
  <c r="BB1417" i="1" a="1"/>
  <c r="BB1417" i="1" s="1"/>
  <c r="AL1418" i="1" a="1"/>
  <c r="AL1418" i="1" s="1"/>
  <c r="AM1418" i="1" a="1"/>
  <c r="AM1418" i="1" s="1"/>
  <c r="AN1418" i="1" a="1"/>
  <c r="AN1418" i="1" s="1"/>
  <c r="AO1418" i="1" a="1"/>
  <c r="AO1418" i="1" s="1"/>
  <c r="AP1418" i="1" a="1"/>
  <c r="AP1418" i="1" s="1"/>
  <c r="AQ1418" i="1" a="1"/>
  <c r="AQ1418" i="1" s="1"/>
  <c r="AR1418" i="1" a="1"/>
  <c r="AR1418" i="1" s="1"/>
  <c r="AS1418" i="1" a="1"/>
  <c r="AS1418" i="1" s="1"/>
  <c r="AT1418" i="1" a="1"/>
  <c r="AT1418" i="1" s="1"/>
  <c r="AU1418" i="1" a="1"/>
  <c r="AU1418" i="1" s="1"/>
  <c r="AV1418" i="1" a="1"/>
  <c r="AV1418" i="1" s="1"/>
  <c r="AW1418" i="1" a="1"/>
  <c r="AW1418" i="1" s="1"/>
  <c r="AX1418" i="1" a="1"/>
  <c r="AX1418" i="1" s="1"/>
  <c r="AY1418" i="1" a="1"/>
  <c r="AY1418" i="1" s="1"/>
  <c r="AZ1418" i="1" a="1"/>
  <c r="AZ1418" i="1" s="1"/>
  <c r="BA1418" i="1" a="1"/>
  <c r="BA1418" i="1" s="1"/>
  <c r="BB1418" i="1" a="1"/>
  <c r="BB1418" i="1" s="1"/>
  <c r="AL1419" i="1" a="1"/>
  <c r="AL1419" i="1" s="1"/>
  <c r="AM1419" i="1" a="1"/>
  <c r="AM1419" i="1" s="1"/>
  <c r="AN1419" i="1" a="1"/>
  <c r="AN1419" i="1" s="1"/>
  <c r="AO1419" i="1" a="1"/>
  <c r="AO1419" i="1" s="1"/>
  <c r="AP1419" i="1" a="1"/>
  <c r="AP1419" i="1" s="1"/>
  <c r="AQ1419" i="1" a="1"/>
  <c r="AQ1419" i="1" s="1"/>
  <c r="AR1419" i="1" a="1"/>
  <c r="AR1419" i="1" s="1"/>
  <c r="AS1419" i="1" a="1"/>
  <c r="AS1419" i="1" s="1"/>
  <c r="AT1419" i="1" a="1"/>
  <c r="AT1419" i="1" s="1"/>
  <c r="AU1419" i="1" a="1"/>
  <c r="AU1419" i="1" s="1"/>
  <c r="AV1419" i="1" a="1"/>
  <c r="AV1419" i="1" s="1"/>
  <c r="AW1419" i="1" a="1"/>
  <c r="AW1419" i="1" s="1"/>
  <c r="AX1419" i="1" a="1"/>
  <c r="AX1419" i="1" s="1"/>
  <c r="AY1419" i="1" a="1"/>
  <c r="AY1419" i="1" s="1"/>
  <c r="AZ1419" i="1" a="1"/>
  <c r="AZ1419" i="1" s="1"/>
  <c r="BA1419" i="1" a="1"/>
  <c r="BA1419" i="1" s="1"/>
  <c r="BB1419" i="1" a="1"/>
  <c r="BB1419" i="1" s="1"/>
  <c r="AL1420" i="1" a="1"/>
  <c r="AL1420" i="1" s="1"/>
  <c r="AM1420" i="1" a="1"/>
  <c r="AM1420" i="1" s="1"/>
  <c r="AN1420" i="1" a="1"/>
  <c r="AN1420" i="1" s="1"/>
  <c r="AO1420" i="1" a="1"/>
  <c r="AO1420" i="1" s="1"/>
  <c r="AP1420" i="1" a="1"/>
  <c r="AP1420" i="1" s="1"/>
  <c r="AQ1420" i="1" a="1"/>
  <c r="AQ1420" i="1" s="1"/>
  <c r="AR1420" i="1" a="1"/>
  <c r="AR1420" i="1" s="1"/>
  <c r="AS1420" i="1" a="1"/>
  <c r="AS1420" i="1" s="1"/>
  <c r="AT1420" i="1" a="1"/>
  <c r="AT1420" i="1" s="1"/>
  <c r="AU1420" i="1" a="1"/>
  <c r="AU1420" i="1" s="1"/>
  <c r="AV1420" i="1" a="1"/>
  <c r="AV1420" i="1" s="1"/>
  <c r="AW1420" i="1" a="1"/>
  <c r="AW1420" i="1" s="1"/>
  <c r="AX1420" i="1" a="1"/>
  <c r="AX1420" i="1" s="1"/>
  <c r="AY1420" i="1" a="1"/>
  <c r="AY1420" i="1" s="1"/>
  <c r="AZ1420" i="1" a="1"/>
  <c r="AZ1420" i="1" s="1"/>
  <c r="BA1420" i="1" a="1"/>
  <c r="BA1420" i="1" s="1"/>
  <c r="BB1420" i="1" a="1"/>
  <c r="BB1420" i="1" s="1"/>
  <c r="AL1421" i="1" a="1"/>
  <c r="AL1421" i="1" s="1"/>
  <c r="AM1421" i="1" a="1"/>
  <c r="AM1421" i="1" s="1"/>
  <c r="AN1421" i="1" a="1"/>
  <c r="AN1421" i="1" s="1"/>
  <c r="AO1421" i="1" a="1"/>
  <c r="AO1421" i="1" s="1"/>
  <c r="AP1421" i="1" a="1"/>
  <c r="AP1421" i="1" s="1"/>
  <c r="AQ1421" i="1" a="1"/>
  <c r="AQ1421" i="1" s="1"/>
  <c r="AR1421" i="1" a="1"/>
  <c r="AR1421" i="1" s="1"/>
  <c r="AS1421" i="1" a="1"/>
  <c r="AS1421" i="1" s="1"/>
  <c r="AT1421" i="1" a="1"/>
  <c r="AT1421" i="1" s="1"/>
  <c r="AU1421" i="1" a="1"/>
  <c r="AU1421" i="1" s="1"/>
  <c r="AV1421" i="1" a="1"/>
  <c r="AV1421" i="1" s="1"/>
  <c r="AW1421" i="1" a="1"/>
  <c r="AW1421" i="1" s="1"/>
  <c r="AX1421" i="1" a="1"/>
  <c r="AX1421" i="1" s="1"/>
  <c r="AY1421" i="1" a="1"/>
  <c r="AY1421" i="1" s="1"/>
  <c r="AZ1421" i="1" a="1"/>
  <c r="AZ1421" i="1" s="1"/>
  <c r="BA1421" i="1" a="1"/>
  <c r="BA1421" i="1" s="1"/>
  <c r="BB1421" i="1" a="1"/>
  <c r="BB1421" i="1" s="1"/>
  <c r="AL1422" i="1" a="1"/>
  <c r="AL1422" i="1" s="1"/>
  <c r="AM1422" i="1" a="1"/>
  <c r="AM1422" i="1" s="1"/>
  <c r="AN1422" i="1" a="1"/>
  <c r="AN1422" i="1" s="1"/>
  <c r="AO1422" i="1" a="1"/>
  <c r="AO1422" i="1" s="1"/>
  <c r="AP1422" i="1" a="1"/>
  <c r="AP1422" i="1" s="1"/>
  <c r="AQ1422" i="1" a="1"/>
  <c r="AQ1422" i="1" s="1"/>
  <c r="AR1422" i="1" a="1"/>
  <c r="AR1422" i="1" s="1"/>
  <c r="AS1422" i="1" a="1"/>
  <c r="AS1422" i="1" s="1"/>
  <c r="AT1422" i="1" a="1"/>
  <c r="AT1422" i="1" s="1"/>
  <c r="AU1422" i="1" a="1"/>
  <c r="AU1422" i="1" s="1"/>
  <c r="AV1422" i="1" a="1"/>
  <c r="AV1422" i="1" s="1"/>
  <c r="AW1422" i="1" a="1"/>
  <c r="AW1422" i="1" s="1"/>
  <c r="AX1422" i="1" a="1"/>
  <c r="AX1422" i="1" s="1"/>
  <c r="AY1422" i="1" a="1"/>
  <c r="AY1422" i="1" s="1"/>
  <c r="AZ1422" i="1" a="1"/>
  <c r="AZ1422" i="1" s="1"/>
  <c r="BA1422" i="1" a="1"/>
  <c r="BA1422" i="1" s="1"/>
  <c r="BB1422" i="1" a="1"/>
  <c r="BB1422" i="1" s="1"/>
  <c r="AL1423" i="1" a="1"/>
  <c r="AL1423" i="1" s="1"/>
  <c r="AM1423" i="1" a="1"/>
  <c r="AM1423" i="1" s="1"/>
  <c r="AN1423" i="1" a="1"/>
  <c r="AN1423" i="1" s="1"/>
  <c r="AO1423" i="1" a="1"/>
  <c r="AO1423" i="1" s="1"/>
  <c r="AP1423" i="1" a="1"/>
  <c r="AP1423" i="1" s="1"/>
  <c r="AQ1423" i="1" a="1"/>
  <c r="AQ1423" i="1" s="1"/>
  <c r="AR1423" i="1" a="1"/>
  <c r="AR1423" i="1" s="1"/>
  <c r="AS1423" i="1" a="1"/>
  <c r="AS1423" i="1" s="1"/>
  <c r="AT1423" i="1" a="1"/>
  <c r="AT1423" i="1" s="1"/>
  <c r="AU1423" i="1" a="1"/>
  <c r="AU1423" i="1" s="1"/>
  <c r="AV1423" i="1" a="1"/>
  <c r="AV1423" i="1" s="1"/>
  <c r="AW1423" i="1" a="1"/>
  <c r="AW1423" i="1" s="1"/>
  <c r="AX1423" i="1" a="1"/>
  <c r="AX1423" i="1" s="1"/>
  <c r="AY1423" i="1" a="1"/>
  <c r="AY1423" i="1" s="1"/>
  <c r="AZ1423" i="1" a="1"/>
  <c r="AZ1423" i="1" s="1"/>
  <c r="BA1423" i="1" a="1"/>
  <c r="BA1423" i="1" s="1"/>
  <c r="BB1423" i="1" a="1"/>
  <c r="BB1423" i="1" s="1"/>
  <c r="AL1424" i="1" a="1"/>
  <c r="AL1424" i="1" s="1"/>
  <c r="AM1424" i="1" a="1"/>
  <c r="AM1424" i="1" s="1"/>
  <c r="AN1424" i="1" a="1"/>
  <c r="AN1424" i="1" s="1"/>
  <c r="AO1424" i="1" a="1"/>
  <c r="AO1424" i="1" s="1"/>
  <c r="AP1424" i="1" a="1"/>
  <c r="AP1424" i="1" s="1"/>
  <c r="AQ1424" i="1" a="1"/>
  <c r="AQ1424" i="1" s="1"/>
  <c r="AR1424" i="1" a="1"/>
  <c r="AR1424" i="1" s="1"/>
  <c r="AS1424" i="1" a="1"/>
  <c r="AS1424" i="1" s="1"/>
  <c r="AT1424" i="1" a="1"/>
  <c r="AT1424" i="1" s="1"/>
  <c r="AU1424" i="1" a="1"/>
  <c r="AU1424" i="1" s="1"/>
  <c r="AV1424" i="1" a="1"/>
  <c r="AV1424" i="1" s="1"/>
  <c r="AW1424" i="1" a="1"/>
  <c r="AW1424" i="1" s="1"/>
  <c r="AX1424" i="1" a="1"/>
  <c r="AX1424" i="1" s="1"/>
  <c r="AY1424" i="1" a="1"/>
  <c r="AY1424" i="1" s="1"/>
  <c r="AZ1424" i="1" a="1"/>
  <c r="AZ1424" i="1" s="1"/>
  <c r="BA1424" i="1" a="1"/>
  <c r="BA1424" i="1" s="1"/>
  <c r="BB1424" i="1" a="1"/>
  <c r="BB1424" i="1" s="1"/>
  <c r="AL1425" i="1" a="1"/>
  <c r="AL1425" i="1" s="1"/>
  <c r="AM1425" i="1" a="1"/>
  <c r="AM1425" i="1" s="1"/>
  <c r="AN1425" i="1" a="1"/>
  <c r="AN1425" i="1" s="1"/>
  <c r="AO1425" i="1" a="1"/>
  <c r="AO1425" i="1" s="1"/>
  <c r="AP1425" i="1" a="1"/>
  <c r="AP1425" i="1" s="1"/>
  <c r="AQ1425" i="1" a="1"/>
  <c r="AQ1425" i="1" s="1"/>
  <c r="AR1425" i="1" a="1"/>
  <c r="AR1425" i="1" s="1"/>
  <c r="AS1425" i="1" a="1"/>
  <c r="AS1425" i="1" s="1"/>
  <c r="AT1425" i="1" a="1"/>
  <c r="AT1425" i="1" s="1"/>
  <c r="AU1425" i="1" a="1"/>
  <c r="AU1425" i="1" s="1"/>
  <c r="AV1425" i="1" a="1"/>
  <c r="AV1425" i="1" s="1"/>
  <c r="AW1425" i="1" a="1"/>
  <c r="AW1425" i="1" s="1"/>
  <c r="AX1425" i="1" a="1"/>
  <c r="AX1425" i="1" s="1"/>
  <c r="AY1425" i="1" a="1"/>
  <c r="AY1425" i="1" s="1"/>
  <c r="AZ1425" i="1" a="1"/>
  <c r="AZ1425" i="1" s="1"/>
  <c r="BA1425" i="1" a="1"/>
  <c r="BA1425" i="1" s="1"/>
  <c r="BB1425" i="1" a="1"/>
  <c r="BB1425" i="1" s="1"/>
  <c r="AL1426" i="1" a="1"/>
  <c r="AL1426" i="1" s="1"/>
  <c r="AM1426" i="1" a="1"/>
  <c r="AM1426" i="1" s="1"/>
  <c r="AN1426" i="1" a="1"/>
  <c r="AN1426" i="1" s="1"/>
  <c r="AO1426" i="1" a="1"/>
  <c r="AO1426" i="1" s="1"/>
  <c r="AP1426" i="1" a="1"/>
  <c r="AP1426" i="1" s="1"/>
  <c r="AQ1426" i="1" a="1"/>
  <c r="AQ1426" i="1" s="1"/>
  <c r="AR1426" i="1" a="1"/>
  <c r="AR1426" i="1" s="1"/>
  <c r="AS1426" i="1" a="1"/>
  <c r="AS1426" i="1" s="1"/>
  <c r="AT1426" i="1" a="1"/>
  <c r="AT1426" i="1" s="1"/>
  <c r="AU1426" i="1" a="1"/>
  <c r="AU1426" i="1" s="1"/>
  <c r="AV1426" i="1" a="1"/>
  <c r="AV1426" i="1" s="1"/>
  <c r="AW1426" i="1" a="1"/>
  <c r="AW1426" i="1" s="1"/>
  <c r="AX1426" i="1" a="1"/>
  <c r="AX1426" i="1" s="1"/>
  <c r="AY1426" i="1" a="1"/>
  <c r="AY1426" i="1" s="1"/>
  <c r="AZ1426" i="1" a="1"/>
  <c r="AZ1426" i="1" s="1"/>
  <c r="BA1426" i="1" a="1"/>
  <c r="BA1426" i="1" s="1"/>
  <c r="BB1426" i="1" a="1"/>
  <c r="BB1426" i="1" s="1"/>
  <c r="AL1427" i="1" a="1"/>
  <c r="AL1427" i="1" s="1"/>
  <c r="AM1427" i="1" a="1"/>
  <c r="AM1427" i="1" s="1"/>
  <c r="AN1427" i="1" a="1"/>
  <c r="AN1427" i="1" s="1"/>
  <c r="AO1427" i="1" a="1"/>
  <c r="AO1427" i="1" s="1"/>
  <c r="AP1427" i="1" a="1"/>
  <c r="AP1427" i="1" s="1"/>
  <c r="AQ1427" i="1" a="1"/>
  <c r="AQ1427" i="1" s="1"/>
  <c r="AR1427" i="1" a="1"/>
  <c r="AR1427" i="1" s="1"/>
  <c r="AS1427" i="1" a="1"/>
  <c r="AS1427" i="1" s="1"/>
  <c r="AT1427" i="1" a="1"/>
  <c r="AT1427" i="1" s="1"/>
  <c r="AU1427" i="1" a="1"/>
  <c r="AU1427" i="1" s="1"/>
  <c r="AV1427" i="1" a="1"/>
  <c r="AV1427" i="1" s="1"/>
  <c r="AW1427" i="1" a="1"/>
  <c r="AW1427" i="1" s="1"/>
  <c r="AX1427" i="1" a="1"/>
  <c r="AX1427" i="1" s="1"/>
  <c r="AY1427" i="1" a="1"/>
  <c r="AY1427" i="1" s="1"/>
  <c r="AZ1427" i="1" a="1"/>
  <c r="AZ1427" i="1" s="1"/>
  <c r="BA1427" i="1" a="1"/>
  <c r="BA1427" i="1" s="1"/>
  <c r="BB1427" i="1" a="1"/>
  <c r="BB1427" i="1" s="1"/>
  <c r="AL1428" i="1" a="1"/>
  <c r="AL1428" i="1" s="1"/>
  <c r="AM1428" i="1" a="1"/>
  <c r="AM1428" i="1" s="1"/>
  <c r="AN1428" i="1" a="1"/>
  <c r="AN1428" i="1" s="1"/>
  <c r="AO1428" i="1" a="1"/>
  <c r="AO1428" i="1" s="1"/>
  <c r="AP1428" i="1" a="1"/>
  <c r="AP1428" i="1" s="1"/>
  <c r="AQ1428" i="1" a="1"/>
  <c r="AQ1428" i="1" s="1"/>
  <c r="AR1428" i="1" a="1"/>
  <c r="AR1428" i="1" s="1"/>
  <c r="AS1428" i="1" a="1"/>
  <c r="AS1428" i="1" s="1"/>
  <c r="AT1428" i="1" a="1"/>
  <c r="AT1428" i="1" s="1"/>
  <c r="AU1428" i="1" a="1"/>
  <c r="AU1428" i="1" s="1"/>
  <c r="AV1428" i="1" a="1"/>
  <c r="AV1428" i="1" s="1"/>
  <c r="AW1428" i="1" a="1"/>
  <c r="AW1428" i="1" s="1"/>
  <c r="AX1428" i="1" a="1"/>
  <c r="AX1428" i="1" s="1"/>
  <c r="AY1428" i="1" a="1"/>
  <c r="AY1428" i="1" s="1"/>
  <c r="AZ1428" i="1" a="1"/>
  <c r="AZ1428" i="1" s="1"/>
  <c r="BA1428" i="1" a="1"/>
  <c r="BA1428" i="1" s="1"/>
  <c r="BB1428" i="1" a="1"/>
  <c r="BB1428" i="1" s="1"/>
  <c r="AL1429" i="1" a="1"/>
  <c r="AL1429" i="1" s="1"/>
  <c r="AM1429" i="1" a="1"/>
  <c r="AM1429" i="1" s="1"/>
  <c r="AN1429" i="1" a="1"/>
  <c r="AN1429" i="1" s="1"/>
  <c r="AO1429" i="1" a="1"/>
  <c r="AO1429" i="1" s="1"/>
  <c r="AP1429" i="1" a="1"/>
  <c r="AP1429" i="1" s="1"/>
  <c r="AQ1429" i="1" a="1"/>
  <c r="AQ1429" i="1" s="1"/>
  <c r="AR1429" i="1" a="1"/>
  <c r="AR1429" i="1" s="1"/>
  <c r="AS1429" i="1" a="1"/>
  <c r="AS1429" i="1" s="1"/>
  <c r="AT1429" i="1" a="1"/>
  <c r="AT1429" i="1" s="1"/>
  <c r="AU1429" i="1" a="1"/>
  <c r="AU1429" i="1" s="1"/>
  <c r="AV1429" i="1" a="1"/>
  <c r="AV1429" i="1" s="1"/>
  <c r="AW1429" i="1" a="1"/>
  <c r="AW1429" i="1" s="1"/>
  <c r="AX1429" i="1" a="1"/>
  <c r="AX1429" i="1" s="1"/>
  <c r="AY1429" i="1" a="1"/>
  <c r="AY1429" i="1" s="1"/>
  <c r="AZ1429" i="1" a="1"/>
  <c r="AZ1429" i="1" s="1"/>
  <c r="BA1429" i="1" a="1"/>
  <c r="BA1429" i="1" s="1"/>
  <c r="BB1429" i="1" a="1"/>
  <c r="BB1429" i="1" s="1"/>
  <c r="AL1430" i="1" a="1"/>
  <c r="AL1430" i="1" s="1"/>
  <c r="AM1430" i="1" a="1"/>
  <c r="AM1430" i="1" s="1"/>
  <c r="AN1430" i="1" a="1"/>
  <c r="AN1430" i="1" s="1"/>
  <c r="AO1430" i="1" a="1"/>
  <c r="AO1430" i="1" s="1"/>
  <c r="AP1430" i="1" a="1"/>
  <c r="AP1430" i="1" s="1"/>
  <c r="AQ1430" i="1" a="1"/>
  <c r="AQ1430" i="1" s="1"/>
  <c r="AR1430" i="1" a="1"/>
  <c r="AR1430" i="1" s="1"/>
  <c r="AS1430" i="1" a="1"/>
  <c r="AS1430" i="1" s="1"/>
  <c r="AT1430" i="1" a="1"/>
  <c r="AT1430" i="1" s="1"/>
  <c r="AU1430" i="1" a="1"/>
  <c r="AU1430" i="1" s="1"/>
  <c r="AV1430" i="1" a="1"/>
  <c r="AV1430" i="1" s="1"/>
  <c r="AW1430" i="1" a="1"/>
  <c r="AW1430" i="1" s="1"/>
  <c r="AX1430" i="1" a="1"/>
  <c r="AX1430" i="1" s="1"/>
  <c r="AY1430" i="1" a="1"/>
  <c r="AY1430" i="1" s="1"/>
  <c r="AZ1430" i="1" a="1"/>
  <c r="AZ1430" i="1" s="1"/>
  <c r="BA1430" i="1" a="1"/>
  <c r="BA1430" i="1" s="1"/>
  <c r="BB1430" i="1" a="1"/>
  <c r="BB1430" i="1" s="1"/>
  <c r="AL1431" i="1" a="1"/>
  <c r="AL1431" i="1" s="1"/>
  <c r="AM1431" i="1" a="1"/>
  <c r="AM1431" i="1" s="1"/>
  <c r="AN1431" i="1" a="1"/>
  <c r="AN1431" i="1" s="1"/>
  <c r="AO1431" i="1" a="1"/>
  <c r="AO1431" i="1" s="1"/>
  <c r="AP1431" i="1" a="1"/>
  <c r="AP1431" i="1" s="1"/>
  <c r="AQ1431" i="1" a="1"/>
  <c r="AQ1431" i="1" s="1"/>
  <c r="AR1431" i="1" a="1"/>
  <c r="AR1431" i="1" s="1"/>
  <c r="AS1431" i="1" a="1"/>
  <c r="AS1431" i="1" s="1"/>
  <c r="AT1431" i="1" a="1"/>
  <c r="AT1431" i="1" s="1"/>
  <c r="AU1431" i="1" a="1"/>
  <c r="AU1431" i="1" s="1"/>
  <c r="AV1431" i="1" a="1"/>
  <c r="AV1431" i="1" s="1"/>
  <c r="AW1431" i="1" a="1"/>
  <c r="AW1431" i="1" s="1"/>
  <c r="AX1431" i="1" a="1"/>
  <c r="AX1431" i="1" s="1"/>
  <c r="AY1431" i="1" a="1"/>
  <c r="AY1431" i="1" s="1"/>
  <c r="AZ1431" i="1" a="1"/>
  <c r="AZ1431" i="1" s="1"/>
  <c r="BA1431" i="1" a="1"/>
  <c r="BA1431" i="1" s="1"/>
  <c r="BB1431" i="1" a="1"/>
  <c r="BB1431" i="1" s="1"/>
  <c r="AL1432" i="1" a="1"/>
  <c r="AL1432" i="1" s="1"/>
  <c r="AM1432" i="1" a="1"/>
  <c r="AM1432" i="1" s="1"/>
  <c r="AN1432" i="1" a="1"/>
  <c r="AN1432" i="1" s="1"/>
  <c r="AO1432" i="1" a="1"/>
  <c r="AO1432" i="1" s="1"/>
  <c r="AP1432" i="1" a="1"/>
  <c r="AP1432" i="1" s="1"/>
  <c r="AQ1432" i="1" a="1"/>
  <c r="AQ1432" i="1" s="1"/>
  <c r="AR1432" i="1" a="1"/>
  <c r="AR1432" i="1" s="1"/>
  <c r="AS1432" i="1" a="1"/>
  <c r="AS1432" i="1" s="1"/>
  <c r="AT1432" i="1" a="1"/>
  <c r="AT1432" i="1" s="1"/>
  <c r="AU1432" i="1" a="1"/>
  <c r="AU1432" i="1" s="1"/>
  <c r="AV1432" i="1" a="1"/>
  <c r="AV1432" i="1" s="1"/>
  <c r="AW1432" i="1" a="1"/>
  <c r="AW1432" i="1" s="1"/>
  <c r="AX1432" i="1" a="1"/>
  <c r="AX1432" i="1" s="1"/>
  <c r="AY1432" i="1" a="1"/>
  <c r="AY1432" i="1" s="1"/>
  <c r="AZ1432" i="1" a="1"/>
  <c r="AZ1432" i="1" s="1"/>
  <c r="BA1432" i="1" a="1"/>
  <c r="BA1432" i="1" s="1"/>
  <c r="BB1432" i="1" a="1"/>
  <c r="BB1432" i="1" s="1"/>
  <c r="AL1433" i="1" a="1"/>
  <c r="AL1433" i="1" s="1"/>
  <c r="AM1433" i="1" a="1"/>
  <c r="AM1433" i="1" s="1"/>
  <c r="AN1433" i="1" a="1"/>
  <c r="AN1433" i="1" s="1"/>
  <c r="AO1433" i="1" a="1"/>
  <c r="AO1433" i="1" s="1"/>
  <c r="AP1433" i="1" a="1"/>
  <c r="AP1433" i="1" s="1"/>
  <c r="AQ1433" i="1" a="1"/>
  <c r="AQ1433" i="1" s="1"/>
  <c r="AR1433" i="1" a="1"/>
  <c r="AR1433" i="1" s="1"/>
  <c r="AS1433" i="1" a="1"/>
  <c r="AS1433" i="1" s="1"/>
  <c r="AT1433" i="1" a="1"/>
  <c r="AT1433" i="1" s="1"/>
  <c r="AU1433" i="1" a="1"/>
  <c r="AU1433" i="1" s="1"/>
  <c r="AV1433" i="1" a="1"/>
  <c r="AV1433" i="1" s="1"/>
  <c r="AW1433" i="1" a="1"/>
  <c r="AW1433" i="1" s="1"/>
  <c r="AX1433" i="1" a="1"/>
  <c r="AX1433" i="1" s="1"/>
  <c r="AY1433" i="1" a="1"/>
  <c r="AY1433" i="1" s="1"/>
  <c r="AZ1433" i="1" a="1"/>
  <c r="AZ1433" i="1" s="1"/>
  <c r="BA1433" i="1" a="1"/>
  <c r="BA1433" i="1" s="1"/>
  <c r="BB1433" i="1" a="1"/>
  <c r="BB1433" i="1" s="1"/>
  <c r="AL1434" i="1" a="1"/>
  <c r="AL1434" i="1" s="1"/>
  <c r="AM1434" i="1" a="1"/>
  <c r="AM1434" i="1" s="1"/>
  <c r="AN1434" i="1" a="1"/>
  <c r="AN1434" i="1" s="1"/>
  <c r="AO1434" i="1" a="1"/>
  <c r="AO1434" i="1" s="1"/>
  <c r="AP1434" i="1" a="1"/>
  <c r="AP1434" i="1" s="1"/>
  <c r="AQ1434" i="1" a="1"/>
  <c r="AQ1434" i="1" s="1"/>
  <c r="AR1434" i="1" a="1"/>
  <c r="AR1434" i="1" s="1"/>
  <c r="AS1434" i="1" a="1"/>
  <c r="AS1434" i="1" s="1"/>
  <c r="AT1434" i="1" a="1"/>
  <c r="AT1434" i="1" s="1"/>
  <c r="AU1434" i="1" a="1"/>
  <c r="AU1434" i="1" s="1"/>
  <c r="AV1434" i="1" a="1"/>
  <c r="AV1434" i="1" s="1"/>
  <c r="AW1434" i="1" a="1"/>
  <c r="AW1434" i="1" s="1"/>
  <c r="AX1434" i="1" a="1"/>
  <c r="AX1434" i="1" s="1"/>
  <c r="AY1434" i="1" a="1"/>
  <c r="AY1434" i="1" s="1"/>
  <c r="AZ1434" i="1" a="1"/>
  <c r="AZ1434" i="1" s="1"/>
  <c r="BA1434" i="1" a="1"/>
  <c r="BA1434" i="1" s="1"/>
  <c r="BB1434" i="1" a="1"/>
  <c r="BB1434" i="1" s="1"/>
  <c r="AL1435" i="1" a="1"/>
  <c r="AL1435" i="1" s="1"/>
  <c r="AM1435" i="1" a="1"/>
  <c r="AM1435" i="1" s="1"/>
  <c r="AN1435" i="1" a="1"/>
  <c r="AN1435" i="1" s="1"/>
  <c r="AO1435" i="1" a="1"/>
  <c r="AO1435" i="1" s="1"/>
  <c r="AP1435" i="1" a="1"/>
  <c r="AP1435" i="1" s="1"/>
  <c r="AQ1435" i="1" a="1"/>
  <c r="AQ1435" i="1" s="1"/>
  <c r="AR1435" i="1" a="1"/>
  <c r="AR1435" i="1" s="1"/>
  <c r="AS1435" i="1" a="1"/>
  <c r="AS1435" i="1" s="1"/>
  <c r="AT1435" i="1" a="1"/>
  <c r="AT1435" i="1" s="1"/>
  <c r="AU1435" i="1" a="1"/>
  <c r="AU1435" i="1" s="1"/>
  <c r="AV1435" i="1" a="1"/>
  <c r="AV1435" i="1" s="1"/>
  <c r="AW1435" i="1" a="1"/>
  <c r="AW1435" i="1" s="1"/>
  <c r="AX1435" i="1" a="1"/>
  <c r="AX1435" i="1" s="1"/>
  <c r="AY1435" i="1" a="1"/>
  <c r="AY1435" i="1" s="1"/>
  <c r="AZ1435" i="1" a="1"/>
  <c r="AZ1435" i="1" s="1"/>
  <c r="BA1435" i="1" a="1"/>
  <c r="BA1435" i="1" s="1"/>
  <c r="BB1435" i="1" a="1"/>
  <c r="BB1435" i="1" s="1"/>
  <c r="AL1436" i="1" a="1"/>
  <c r="AL1436" i="1" s="1"/>
  <c r="AM1436" i="1" a="1"/>
  <c r="AM1436" i="1" s="1"/>
  <c r="AN1436" i="1" a="1"/>
  <c r="AN1436" i="1" s="1"/>
  <c r="AO1436" i="1" a="1"/>
  <c r="AO1436" i="1" s="1"/>
  <c r="AP1436" i="1" a="1"/>
  <c r="AP1436" i="1" s="1"/>
  <c r="AQ1436" i="1" a="1"/>
  <c r="AQ1436" i="1" s="1"/>
  <c r="AR1436" i="1" a="1"/>
  <c r="AR1436" i="1" s="1"/>
  <c r="AS1436" i="1" a="1"/>
  <c r="AS1436" i="1" s="1"/>
  <c r="AT1436" i="1" a="1"/>
  <c r="AT1436" i="1" s="1"/>
  <c r="AU1436" i="1" a="1"/>
  <c r="AU1436" i="1" s="1"/>
  <c r="AV1436" i="1" a="1"/>
  <c r="AV1436" i="1" s="1"/>
  <c r="AW1436" i="1" a="1"/>
  <c r="AW1436" i="1" s="1"/>
  <c r="AX1436" i="1" a="1"/>
  <c r="AX1436" i="1" s="1"/>
  <c r="AY1436" i="1" a="1"/>
  <c r="AY1436" i="1" s="1"/>
  <c r="AZ1436" i="1" a="1"/>
  <c r="AZ1436" i="1" s="1"/>
  <c r="BA1436" i="1" a="1"/>
  <c r="BA1436" i="1" s="1"/>
  <c r="BB1436" i="1" a="1"/>
  <c r="BB1436" i="1" s="1"/>
  <c r="AL1437" i="1" a="1"/>
  <c r="AL1437" i="1" s="1"/>
  <c r="AM1437" i="1" a="1"/>
  <c r="AM1437" i="1" s="1"/>
  <c r="AN1437" i="1" a="1"/>
  <c r="AN1437" i="1" s="1"/>
  <c r="AO1437" i="1" a="1"/>
  <c r="AO1437" i="1" s="1"/>
  <c r="AP1437" i="1" a="1"/>
  <c r="AP1437" i="1" s="1"/>
  <c r="AQ1437" i="1" a="1"/>
  <c r="AQ1437" i="1" s="1"/>
  <c r="AR1437" i="1" a="1"/>
  <c r="AR1437" i="1" s="1"/>
  <c r="AS1437" i="1" a="1"/>
  <c r="AS1437" i="1" s="1"/>
  <c r="AT1437" i="1" a="1"/>
  <c r="AT1437" i="1" s="1"/>
  <c r="AU1437" i="1" a="1"/>
  <c r="AU1437" i="1" s="1"/>
  <c r="AV1437" i="1" a="1"/>
  <c r="AV1437" i="1" s="1"/>
  <c r="AW1437" i="1" a="1"/>
  <c r="AW1437" i="1" s="1"/>
  <c r="AX1437" i="1" a="1"/>
  <c r="AX1437" i="1" s="1"/>
  <c r="AY1437" i="1" a="1"/>
  <c r="AY1437" i="1" s="1"/>
  <c r="AZ1437" i="1" a="1"/>
  <c r="AZ1437" i="1" s="1"/>
  <c r="BA1437" i="1" a="1"/>
  <c r="BA1437" i="1" s="1"/>
  <c r="BB1437" i="1" a="1"/>
  <c r="BB1437" i="1" s="1"/>
  <c r="AL1438" i="1" a="1"/>
  <c r="AL1438" i="1" s="1"/>
  <c r="AM1438" i="1" a="1"/>
  <c r="AM1438" i="1" s="1"/>
  <c r="AN1438" i="1" a="1"/>
  <c r="AN1438" i="1" s="1"/>
  <c r="AO1438" i="1" a="1"/>
  <c r="AO1438" i="1" s="1"/>
  <c r="AP1438" i="1" a="1"/>
  <c r="AP1438" i="1" s="1"/>
  <c r="AQ1438" i="1" a="1"/>
  <c r="AQ1438" i="1" s="1"/>
  <c r="AR1438" i="1" a="1"/>
  <c r="AR1438" i="1" s="1"/>
  <c r="AS1438" i="1" a="1"/>
  <c r="AS1438" i="1" s="1"/>
  <c r="AT1438" i="1" a="1"/>
  <c r="AT1438" i="1" s="1"/>
  <c r="AU1438" i="1" a="1"/>
  <c r="AU1438" i="1" s="1"/>
  <c r="AV1438" i="1" a="1"/>
  <c r="AV1438" i="1" s="1"/>
  <c r="AW1438" i="1" a="1"/>
  <c r="AW1438" i="1" s="1"/>
  <c r="AX1438" i="1" a="1"/>
  <c r="AX1438" i="1" s="1"/>
  <c r="AY1438" i="1" a="1"/>
  <c r="AY1438" i="1" s="1"/>
  <c r="AZ1438" i="1" a="1"/>
  <c r="AZ1438" i="1" s="1"/>
  <c r="BA1438" i="1" a="1"/>
  <c r="BA1438" i="1" s="1"/>
  <c r="BB1438" i="1" a="1"/>
  <c r="BB1438" i="1" s="1"/>
  <c r="AL1439" i="1" a="1"/>
  <c r="AL1439" i="1" s="1"/>
  <c r="AM1439" i="1" a="1"/>
  <c r="AM1439" i="1" s="1"/>
  <c r="AN1439" i="1" a="1"/>
  <c r="AN1439" i="1" s="1"/>
  <c r="AO1439" i="1" a="1"/>
  <c r="AO1439" i="1" s="1"/>
  <c r="AP1439" i="1" a="1"/>
  <c r="AP1439" i="1" s="1"/>
  <c r="AQ1439" i="1" a="1"/>
  <c r="AQ1439" i="1" s="1"/>
  <c r="AR1439" i="1" a="1"/>
  <c r="AR1439" i="1" s="1"/>
  <c r="AS1439" i="1" a="1"/>
  <c r="AS1439" i="1" s="1"/>
  <c r="AT1439" i="1" a="1"/>
  <c r="AT1439" i="1" s="1"/>
  <c r="AU1439" i="1" a="1"/>
  <c r="AU1439" i="1" s="1"/>
  <c r="AV1439" i="1" a="1"/>
  <c r="AV1439" i="1" s="1"/>
  <c r="AW1439" i="1" a="1"/>
  <c r="AW1439" i="1" s="1"/>
  <c r="AX1439" i="1" a="1"/>
  <c r="AX1439" i="1" s="1"/>
  <c r="AY1439" i="1" a="1"/>
  <c r="AY1439" i="1" s="1"/>
  <c r="AZ1439" i="1" a="1"/>
  <c r="AZ1439" i="1" s="1"/>
  <c r="BA1439" i="1" a="1"/>
  <c r="BA1439" i="1" s="1"/>
  <c r="BB1439" i="1" a="1"/>
  <c r="BB1439" i="1" s="1"/>
  <c r="AL1440" i="1" a="1"/>
  <c r="AL1440" i="1" s="1"/>
  <c r="AM1440" i="1" a="1"/>
  <c r="AM1440" i="1" s="1"/>
  <c r="AN1440" i="1" a="1"/>
  <c r="AN1440" i="1" s="1"/>
  <c r="AO1440" i="1" a="1"/>
  <c r="AO1440" i="1" s="1"/>
  <c r="AP1440" i="1" a="1"/>
  <c r="AP1440" i="1" s="1"/>
  <c r="AQ1440" i="1" a="1"/>
  <c r="AQ1440" i="1" s="1"/>
  <c r="AR1440" i="1" a="1"/>
  <c r="AR1440" i="1" s="1"/>
  <c r="AS1440" i="1" a="1"/>
  <c r="AS1440" i="1" s="1"/>
  <c r="AT1440" i="1" a="1"/>
  <c r="AT1440" i="1" s="1"/>
  <c r="AU1440" i="1" a="1"/>
  <c r="AU1440" i="1" s="1"/>
  <c r="AV1440" i="1" a="1"/>
  <c r="AV1440" i="1" s="1"/>
  <c r="AW1440" i="1" a="1"/>
  <c r="AW1440" i="1" s="1"/>
  <c r="AX1440" i="1" a="1"/>
  <c r="AX1440" i="1" s="1"/>
  <c r="AY1440" i="1" a="1"/>
  <c r="AY1440" i="1" s="1"/>
  <c r="AZ1440" i="1" a="1"/>
  <c r="AZ1440" i="1" s="1"/>
  <c r="BA1440" i="1" a="1"/>
  <c r="BA1440" i="1" s="1"/>
  <c r="BB1440" i="1" a="1"/>
  <c r="BB1440" i="1" s="1"/>
  <c r="AL1441" i="1" a="1"/>
  <c r="AL1441" i="1" s="1"/>
  <c r="AM1441" i="1" a="1"/>
  <c r="AM1441" i="1" s="1"/>
  <c r="AN1441" i="1" a="1"/>
  <c r="AN1441" i="1" s="1"/>
  <c r="AO1441" i="1" a="1"/>
  <c r="AO1441" i="1" s="1"/>
  <c r="AP1441" i="1" a="1"/>
  <c r="AP1441" i="1" s="1"/>
  <c r="AQ1441" i="1" a="1"/>
  <c r="AQ1441" i="1" s="1"/>
  <c r="AR1441" i="1" a="1"/>
  <c r="AR1441" i="1" s="1"/>
  <c r="AS1441" i="1" a="1"/>
  <c r="AS1441" i="1" s="1"/>
  <c r="AT1441" i="1" a="1"/>
  <c r="AT1441" i="1" s="1"/>
  <c r="AU1441" i="1" a="1"/>
  <c r="AU1441" i="1" s="1"/>
  <c r="AV1441" i="1" a="1"/>
  <c r="AV1441" i="1" s="1"/>
  <c r="AW1441" i="1" a="1"/>
  <c r="AW1441" i="1" s="1"/>
  <c r="AX1441" i="1" a="1"/>
  <c r="AX1441" i="1" s="1"/>
  <c r="AY1441" i="1" a="1"/>
  <c r="AY1441" i="1" s="1"/>
  <c r="AZ1441" i="1" a="1"/>
  <c r="AZ1441" i="1" s="1"/>
  <c r="BA1441" i="1" a="1"/>
  <c r="BA1441" i="1" s="1"/>
  <c r="BB1441" i="1" a="1"/>
  <c r="BB1441" i="1" s="1"/>
  <c r="AL1442" i="1" a="1"/>
  <c r="AL1442" i="1" s="1"/>
  <c r="AM1442" i="1" a="1"/>
  <c r="AM1442" i="1" s="1"/>
  <c r="AN1442" i="1" a="1"/>
  <c r="AN1442" i="1" s="1"/>
  <c r="AO1442" i="1" a="1"/>
  <c r="AO1442" i="1" s="1"/>
  <c r="AP1442" i="1" a="1"/>
  <c r="AP1442" i="1" s="1"/>
  <c r="AQ1442" i="1" a="1"/>
  <c r="AQ1442" i="1" s="1"/>
  <c r="AR1442" i="1" a="1"/>
  <c r="AR1442" i="1" s="1"/>
  <c r="AS1442" i="1" a="1"/>
  <c r="AS1442" i="1" s="1"/>
  <c r="AT1442" i="1" a="1"/>
  <c r="AT1442" i="1" s="1"/>
  <c r="AU1442" i="1" a="1"/>
  <c r="AU1442" i="1" s="1"/>
  <c r="AV1442" i="1" a="1"/>
  <c r="AV1442" i="1" s="1"/>
  <c r="AW1442" i="1" a="1"/>
  <c r="AW1442" i="1" s="1"/>
  <c r="AX1442" i="1" a="1"/>
  <c r="AX1442" i="1" s="1"/>
  <c r="AY1442" i="1" a="1"/>
  <c r="AY1442" i="1" s="1"/>
  <c r="AZ1442" i="1" a="1"/>
  <c r="AZ1442" i="1" s="1"/>
  <c r="BA1442" i="1" a="1"/>
  <c r="BA1442" i="1" s="1"/>
  <c r="BB1442" i="1" a="1"/>
  <c r="BB1442" i="1" s="1"/>
  <c r="AL1443" i="1" a="1"/>
  <c r="AL1443" i="1" s="1"/>
  <c r="AM1443" i="1" a="1"/>
  <c r="AM1443" i="1" s="1"/>
  <c r="AN1443" i="1" a="1"/>
  <c r="AN1443" i="1" s="1"/>
  <c r="AO1443" i="1" a="1"/>
  <c r="AO1443" i="1" s="1"/>
  <c r="AP1443" i="1" a="1"/>
  <c r="AP1443" i="1" s="1"/>
  <c r="AQ1443" i="1" a="1"/>
  <c r="AQ1443" i="1" s="1"/>
  <c r="AR1443" i="1" a="1"/>
  <c r="AR1443" i="1" s="1"/>
  <c r="AS1443" i="1" a="1"/>
  <c r="AS1443" i="1" s="1"/>
  <c r="AT1443" i="1" a="1"/>
  <c r="AT1443" i="1" s="1"/>
  <c r="AU1443" i="1" a="1"/>
  <c r="AU1443" i="1" s="1"/>
  <c r="AV1443" i="1" a="1"/>
  <c r="AV1443" i="1" s="1"/>
  <c r="AW1443" i="1" a="1"/>
  <c r="AW1443" i="1" s="1"/>
  <c r="AX1443" i="1" a="1"/>
  <c r="AX1443" i="1" s="1"/>
  <c r="AY1443" i="1" a="1"/>
  <c r="AY1443" i="1" s="1"/>
  <c r="AZ1443" i="1" a="1"/>
  <c r="AZ1443" i="1" s="1"/>
  <c r="BA1443" i="1" a="1"/>
  <c r="BA1443" i="1" s="1"/>
  <c r="BB1443" i="1" a="1"/>
  <c r="BB1443" i="1" s="1"/>
  <c r="AL1444" i="1" a="1"/>
  <c r="AL1444" i="1" s="1"/>
  <c r="AM1444" i="1" a="1"/>
  <c r="AM1444" i="1" s="1"/>
  <c r="AN1444" i="1" a="1"/>
  <c r="AN1444" i="1" s="1"/>
  <c r="AO1444" i="1" a="1"/>
  <c r="AO1444" i="1" s="1"/>
  <c r="AP1444" i="1" a="1"/>
  <c r="AP1444" i="1" s="1"/>
  <c r="AQ1444" i="1" a="1"/>
  <c r="AQ1444" i="1" s="1"/>
  <c r="AR1444" i="1" a="1"/>
  <c r="AR1444" i="1" s="1"/>
  <c r="AS1444" i="1" a="1"/>
  <c r="AS1444" i="1" s="1"/>
  <c r="AT1444" i="1" a="1"/>
  <c r="AT1444" i="1" s="1"/>
  <c r="AU1444" i="1" a="1"/>
  <c r="AU1444" i="1" s="1"/>
  <c r="AV1444" i="1" a="1"/>
  <c r="AV1444" i="1" s="1"/>
  <c r="AW1444" i="1" a="1"/>
  <c r="AW1444" i="1" s="1"/>
  <c r="AX1444" i="1" a="1"/>
  <c r="AX1444" i="1" s="1"/>
  <c r="AY1444" i="1" a="1"/>
  <c r="AY1444" i="1" s="1"/>
  <c r="AZ1444" i="1" a="1"/>
  <c r="AZ1444" i="1" s="1"/>
  <c r="BA1444" i="1" a="1"/>
  <c r="BA1444" i="1" s="1"/>
  <c r="BB1444" i="1" a="1"/>
  <c r="BB1444" i="1" s="1"/>
  <c r="AL1445" i="1" a="1"/>
  <c r="AL1445" i="1" s="1"/>
  <c r="AM1445" i="1" a="1"/>
  <c r="AM1445" i="1" s="1"/>
  <c r="AN1445" i="1" a="1"/>
  <c r="AN1445" i="1" s="1"/>
  <c r="AO1445" i="1" a="1"/>
  <c r="AO1445" i="1" s="1"/>
  <c r="AP1445" i="1" a="1"/>
  <c r="AP1445" i="1" s="1"/>
  <c r="AQ1445" i="1" a="1"/>
  <c r="AQ1445" i="1" s="1"/>
  <c r="AR1445" i="1" a="1"/>
  <c r="AR1445" i="1" s="1"/>
  <c r="AS1445" i="1" a="1"/>
  <c r="AS1445" i="1" s="1"/>
  <c r="AT1445" i="1" a="1"/>
  <c r="AT1445" i="1" s="1"/>
  <c r="AU1445" i="1" a="1"/>
  <c r="AU1445" i="1" s="1"/>
  <c r="AV1445" i="1" a="1"/>
  <c r="AV1445" i="1" s="1"/>
  <c r="AW1445" i="1" a="1"/>
  <c r="AW1445" i="1" s="1"/>
  <c r="AX1445" i="1" a="1"/>
  <c r="AX1445" i="1" s="1"/>
  <c r="AY1445" i="1" a="1"/>
  <c r="AY1445" i="1" s="1"/>
  <c r="AZ1445" i="1" a="1"/>
  <c r="AZ1445" i="1" s="1"/>
  <c r="BA1445" i="1" a="1"/>
  <c r="BA1445" i="1" s="1"/>
  <c r="BB1445" i="1" a="1"/>
  <c r="BB1445" i="1" s="1"/>
  <c r="AL1446" i="1" a="1"/>
  <c r="AL1446" i="1" s="1"/>
  <c r="AM1446" i="1" a="1"/>
  <c r="AM1446" i="1" s="1"/>
  <c r="AN1446" i="1" a="1"/>
  <c r="AN1446" i="1" s="1"/>
  <c r="AO1446" i="1" a="1"/>
  <c r="AO1446" i="1" s="1"/>
  <c r="AP1446" i="1" a="1"/>
  <c r="AP1446" i="1" s="1"/>
  <c r="AQ1446" i="1" a="1"/>
  <c r="AQ1446" i="1" s="1"/>
  <c r="AR1446" i="1" a="1"/>
  <c r="AR1446" i="1" s="1"/>
  <c r="AS1446" i="1" a="1"/>
  <c r="AS1446" i="1" s="1"/>
  <c r="AT1446" i="1" a="1"/>
  <c r="AT1446" i="1" s="1"/>
  <c r="AU1446" i="1" a="1"/>
  <c r="AU1446" i="1" s="1"/>
  <c r="AV1446" i="1" a="1"/>
  <c r="AV1446" i="1" s="1"/>
  <c r="AW1446" i="1" a="1"/>
  <c r="AW1446" i="1" s="1"/>
  <c r="AX1446" i="1" a="1"/>
  <c r="AX1446" i="1" s="1"/>
  <c r="AY1446" i="1" a="1"/>
  <c r="AY1446" i="1" s="1"/>
  <c r="AZ1446" i="1" a="1"/>
  <c r="AZ1446" i="1" s="1"/>
  <c r="BA1446" i="1" a="1"/>
  <c r="BA1446" i="1" s="1"/>
  <c r="BB1446" i="1" a="1"/>
  <c r="BB1446" i="1" s="1"/>
  <c r="AL1447" i="1" a="1"/>
  <c r="AL1447" i="1" s="1"/>
  <c r="AM1447" i="1" a="1"/>
  <c r="AM1447" i="1" s="1"/>
  <c r="AN1447" i="1" a="1"/>
  <c r="AN1447" i="1" s="1"/>
  <c r="AO1447" i="1" a="1"/>
  <c r="AO1447" i="1" s="1"/>
  <c r="AP1447" i="1" a="1"/>
  <c r="AP1447" i="1" s="1"/>
  <c r="AQ1447" i="1" a="1"/>
  <c r="AQ1447" i="1" s="1"/>
  <c r="AR1447" i="1" a="1"/>
  <c r="AR1447" i="1" s="1"/>
  <c r="AS1447" i="1" a="1"/>
  <c r="AS1447" i="1" s="1"/>
  <c r="AT1447" i="1" a="1"/>
  <c r="AT1447" i="1" s="1"/>
  <c r="AU1447" i="1" a="1"/>
  <c r="AU1447" i="1" s="1"/>
  <c r="AV1447" i="1" a="1"/>
  <c r="AV1447" i="1" s="1"/>
  <c r="AW1447" i="1" a="1"/>
  <c r="AW1447" i="1" s="1"/>
  <c r="AX1447" i="1" a="1"/>
  <c r="AX1447" i="1" s="1"/>
  <c r="AY1447" i="1" a="1"/>
  <c r="AY1447" i="1" s="1"/>
  <c r="AZ1447" i="1" a="1"/>
  <c r="AZ1447" i="1" s="1"/>
  <c r="BA1447" i="1" a="1"/>
  <c r="BA1447" i="1" s="1"/>
  <c r="BB1447" i="1" a="1"/>
  <c r="BB1447" i="1" s="1"/>
  <c r="AL1448" i="1" a="1"/>
  <c r="AL1448" i="1" s="1"/>
  <c r="AM1448" i="1" a="1"/>
  <c r="AM1448" i="1" s="1"/>
  <c r="AN1448" i="1" a="1"/>
  <c r="AN1448" i="1" s="1"/>
  <c r="AO1448" i="1" a="1"/>
  <c r="AO1448" i="1" s="1"/>
  <c r="AP1448" i="1" a="1"/>
  <c r="AP1448" i="1" s="1"/>
  <c r="AQ1448" i="1" a="1"/>
  <c r="AQ1448" i="1" s="1"/>
  <c r="AR1448" i="1" a="1"/>
  <c r="AR1448" i="1" s="1"/>
  <c r="AS1448" i="1" a="1"/>
  <c r="AS1448" i="1" s="1"/>
  <c r="AT1448" i="1" a="1"/>
  <c r="AT1448" i="1" s="1"/>
  <c r="AU1448" i="1" a="1"/>
  <c r="AU1448" i="1" s="1"/>
  <c r="AV1448" i="1" a="1"/>
  <c r="AV1448" i="1" s="1"/>
  <c r="AW1448" i="1" a="1"/>
  <c r="AW1448" i="1" s="1"/>
  <c r="AX1448" i="1" a="1"/>
  <c r="AX1448" i="1" s="1"/>
  <c r="AY1448" i="1" a="1"/>
  <c r="AY1448" i="1" s="1"/>
  <c r="AZ1448" i="1" a="1"/>
  <c r="AZ1448" i="1" s="1"/>
  <c r="BA1448" i="1" a="1"/>
  <c r="BA1448" i="1" s="1"/>
  <c r="BB1448" i="1" a="1"/>
  <c r="BB1448" i="1" s="1"/>
  <c r="AL1449" i="1" a="1"/>
  <c r="AL1449" i="1" s="1"/>
  <c r="AM1449" i="1" a="1"/>
  <c r="AM1449" i="1" s="1"/>
  <c r="AN1449" i="1" a="1"/>
  <c r="AN1449" i="1" s="1"/>
  <c r="AO1449" i="1" a="1"/>
  <c r="AO1449" i="1" s="1"/>
  <c r="AP1449" i="1" a="1"/>
  <c r="AP1449" i="1" s="1"/>
  <c r="AQ1449" i="1" a="1"/>
  <c r="AQ1449" i="1" s="1"/>
  <c r="AR1449" i="1" a="1"/>
  <c r="AR1449" i="1" s="1"/>
  <c r="AS1449" i="1" a="1"/>
  <c r="AS1449" i="1" s="1"/>
  <c r="AT1449" i="1" a="1"/>
  <c r="AT1449" i="1" s="1"/>
  <c r="AU1449" i="1" a="1"/>
  <c r="AU1449" i="1" s="1"/>
  <c r="AV1449" i="1" a="1"/>
  <c r="AV1449" i="1" s="1"/>
  <c r="AW1449" i="1" a="1"/>
  <c r="AW1449" i="1" s="1"/>
  <c r="AX1449" i="1" a="1"/>
  <c r="AX1449" i="1" s="1"/>
  <c r="AY1449" i="1" a="1"/>
  <c r="AY1449" i="1" s="1"/>
  <c r="AZ1449" i="1" a="1"/>
  <c r="AZ1449" i="1" s="1"/>
  <c r="BA1449" i="1" a="1"/>
  <c r="BA1449" i="1" s="1"/>
  <c r="BB1449" i="1" a="1"/>
  <c r="BB1449" i="1" s="1"/>
  <c r="AL1450" i="1" a="1"/>
  <c r="AL1450" i="1" s="1"/>
  <c r="AM1450" i="1" a="1"/>
  <c r="AM1450" i="1" s="1"/>
  <c r="AN1450" i="1" a="1"/>
  <c r="AN1450" i="1" s="1"/>
  <c r="AO1450" i="1" a="1"/>
  <c r="AO1450" i="1" s="1"/>
  <c r="AP1450" i="1" a="1"/>
  <c r="AP1450" i="1" s="1"/>
  <c r="AQ1450" i="1" a="1"/>
  <c r="AQ1450" i="1" s="1"/>
  <c r="AR1450" i="1" a="1"/>
  <c r="AR1450" i="1" s="1"/>
  <c r="AS1450" i="1" a="1"/>
  <c r="AS1450" i="1" s="1"/>
  <c r="AT1450" i="1" a="1"/>
  <c r="AT1450" i="1" s="1"/>
  <c r="AU1450" i="1" a="1"/>
  <c r="AU1450" i="1" s="1"/>
  <c r="AV1450" i="1" a="1"/>
  <c r="AV1450" i="1" s="1"/>
  <c r="AW1450" i="1" a="1"/>
  <c r="AW1450" i="1" s="1"/>
  <c r="AX1450" i="1" a="1"/>
  <c r="AX1450" i="1" s="1"/>
  <c r="AY1450" i="1" a="1"/>
  <c r="AY1450" i="1" s="1"/>
  <c r="AZ1450" i="1" a="1"/>
  <c r="AZ1450" i="1" s="1"/>
  <c r="BA1450" i="1" a="1"/>
  <c r="BA1450" i="1" s="1"/>
  <c r="BB1450" i="1" a="1"/>
  <c r="BB1450" i="1" s="1"/>
  <c r="AL1451" i="1" a="1"/>
  <c r="AL1451" i="1" s="1"/>
  <c r="AM1451" i="1" a="1"/>
  <c r="AM1451" i="1" s="1"/>
  <c r="AN1451" i="1" a="1"/>
  <c r="AN1451" i="1" s="1"/>
  <c r="AO1451" i="1" a="1"/>
  <c r="AO1451" i="1" s="1"/>
  <c r="AP1451" i="1" a="1"/>
  <c r="AP1451" i="1" s="1"/>
  <c r="AQ1451" i="1" a="1"/>
  <c r="AQ1451" i="1" s="1"/>
  <c r="AR1451" i="1" a="1"/>
  <c r="AR1451" i="1" s="1"/>
  <c r="AS1451" i="1" a="1"/>
  <c r="AS1451" i="1" s="1"/>
  <c r="AT1451" i="1" a="1"/>
  <c r="AT1451" i="1" s="1"/>
  <c r="AU1451" i="1" a="1"/>
  <c r="AU1451" i="1" s="1"/>
  <c r="AV1451" i="1" a="1"/>
  <c r="AV1451" i="1" s="1"/>
  <c r="AW1451" i="1" a="1"/>
  <c r="AW1451" i="1" s="1"/>
  <c r="AX1451" i="1" a="1"/>
  <c r="AX1451" i="1" s="1"/>
  <c r="AY1451" i="1" a="1"/>
  <c r="AY1451" i="1" s="1"/>
  <c r="AZ1451" i="1" a="1"/>
  <c r="AZ1451" i="1" s="1"/>
  <c r="BA1451" i="1" a="1"/>
  <c r="BA1451" i="1" s="1"/>
  <c r="BB1451" i="1" a="1"/>
  <c r="BB1451" i="1" s="1"/>
  <c r="AL1452" i="1" a="1"/>
  <c r="AL1452" i="1" s="1"/>
  <c r="AM1452" i="1" a="1"/>
  <c r="AM1452" i="1" s="1"/>
  <c r="AN1452" i="1" a="1"/>
  <c r="AN1452" i="1" s="1"/>
  <c r="AO1452" i="1" a="1"/>
  <c r="AO1452" i="1" s="1"/>
  <c r="AP1452" i="1" a="1"/>
  <c r="AP1452" i="1" s="1"/>
  <c r="AQ1452" i="1" a="1"/>
  <c r="AQ1452" i="1" s="1"/>
  <c r="AR1452" i="1" a="1"/>
  <c r="AR1452" i="1" s="1"/>
  <c r="AS1452" i="1" a="1"/>
  <c r="AS1452" i="1" s="1"/>
  <c r="AT1452" i="1" a="1"/>
  <c r="AT1452" i="1" s="1"/>
  <c r="AU1452" i="1" a="1"/>
  <c r="AU1452" i="1" s="1"/>
  <c r="AV1452" i="1" a="1"/>
  <c r="AV1452" i="1" s="1"/>
  <c r="AW1452" i="1" a="1"/>
  <c r="AW1452" i="1" s="1"/>
  <c r="AX1452" i="1" a="1"/>
  <c r="AX1452" i="1" s="1"/>
  <c r="AY1452" i="1" a="1"/>
  <c r="AY1452" i="1" s="1"/>
  <c r="AZ1452" i="1" a="1"/>
  <c r="AZ1452" i="1" s="1"/>
  <c r="BA1452" i="1" a="1"/>
  <c r="BA1452" i="1" s="1"/>
  <c r="BB1452" i="1" a="1"/>
  <c r="BB1452" i="1" s="1"/>
  <c r="AL1453" i="1" a="1"/>
  <c r="AL1453" i="1" s="1"/>
  <c r="AM1453" i="1" a="1"/>
  <c r="AM1453" i="1" s="1"/>
  <c r="AN1453" i="1" a="1"/>
  <c r="AN1453" i="1" s="1"/>
  <c r="AO1453" i="1" a="1"/>
  <c r="AO1453" i="1" s="1"/>
  <c r="AP1453" i="1" a="1"/>
  <c r="AP1453" i="1" s="1"/>
  <c r="AQ1453" i="1" a="1"/>
  <c r="AQ1453" i="1" s="1"/>
  <c r="AR1453" i="1" a="1"/>
  <c r="AR1453" i="1" s="1"/>
  <c r="AS1453" i="1" a="1"/>
  <c r="AS1453" i="1" s="1"/>
  <c r="AT1453" i="1" a="1"/>
  <c r="AT1453" i="1" s="1"/>
  <c r="AU1453" i="1" a="1"/>
  <c r="AU1453" i="1" s="1"/>
  <c r="AV1453" i="1" a="1"/>
  <c r="AV1453" i="1" s="1"/>
  <c r="AW1453" i="1" a="1"/>
  <c r="AW1453" i="1" s="1"/>
  <c r="AX1453" i="1" a="1"/>
  <c r="AX1453" i="1" s="1"/>
  <c r="AY1453" i="1" a="1"/>
  <c r="AY1453" i="1" s="1"/>
  <c r="AZ1453" i="1" a="1"/>
  <c r="AZ1453" i="1" s="1"/>
  <c r="BA1453" i="1" a="1"/>
  <c r="BA1453" i="1" s="1"/>
  <c r="BB1453" i="1" a="1"/>
  <c r="BB1453" i="1" s="1"/>
  <c r="AL1454" i="1" a="1"/>
  <c r="AL1454" i="1" s="1"/>
  <c r="AM1454" i="1" a="1"/>
  <c r="AM1454" i="1" s="1"/>
  <c r="AN1454" i="1" a="1"/>
  <c r="AN1454" i="1" s="1"/>
  <c r="AO1454" i="1" a="1"/>
  <c r="AO1454" i="1" s="1"/>
  <c r="AP1454" i="1" a="1"/>
  <c r="AP1454" i="1" s="1"/>
  <c r="AQ1454" i="1" a="1"/>
  <c r="AQ1454" i="1" s="1"/>
  <c r="AR1454" i="1" a="1"/>
  <c r="AR1454" i="1" s="1"/>
  <c r="AS1454" i="1" a="1"/>
  <c r="AS1454" i="1" s="1"/>
  <c r="AT1454" i="1" a="1"/>
  <c r="AT1454" i="1" s="1"/>
  <c r="AU1454" i="1" a="1"/>
  <c r="AU1454" i="1" s="1"/>
  <c r="AV1454" i="1" a="1"/>
  <c r="AV1454" i="1" s="1"/>
  <c r="AW1454" i="1" a="1"/>
  <c r="AW1454" i="1" s="1"/>
  <c r="AX1454" i="1" a="1"/>
  <c r="AX1454" i="1" s="1"/>
  <c r="AY1454" i="1" a="1"/>
  <c r="AY1454" i="1" s="1"/>
  <c r="AZ1454" i="1" a="1"/>
  <c r="AZ1454" i="1" s="1"/>
  <c r="BA1454" i="1" a="1"/>
  <c r="BA1454" i="1" s="1"/>
  <c r="BB1454" i="1" a="1"/>
  <c r="BB1454" i="1" s="1"/>
  <c r="AL1455" i="1" a="1"/>
  <c r="AL1455" i="1" s="1"/>
  <c r="AM1455" i="1" a="1"/>
  <c r="AM1455" i="1" s="1"/>
  <c r="AN1455" i="1" a="1"/>
  <c r="AN1455" i="1" s="1"/>
  <c r="AO1455" i="1" a="1"/>
  <c r="AO1455" i="1" s="1"/>
  <c r="AP1455" i="1" a="1"/>
  <c r="AP1455" i="1" s="1"/>
  <c r="AQ1455" i="1" a="1"/>
  <c r="AQ1455" i="1" s="1"/>
  <c r="AR1455" i="1" a="1"/>
  <c r="AR1455" i="1" s="1"/>
  <c r="AS1455" i="1" a="1"/>
  <c r="AS1455" i="1" s="1"/>
  <c r="AT1455" i="1" a="1"/>
  <c r="AT1455" i="1" s="1"/>
  <c r="AU1455" i="1" a="1"/>
  <c r="AU1455" i="1" s="1"/>
  <c r="AV1455" i="1" a="1"/>
  <c r="AV1455" i="1" s="1"/>
  <c r="AW1455" i="1" a="1"/>
  <c r="AW1455" i="1" s="1"/>
  <c r="AX1455" i="1" a="1"/>
  <c r="AX1455" i="1" s="1"/>
  <c r="AY1455" i="1" a="1"/>
  <c r="AY1455" i="1" s="1"/>
  <c r="AZ1455" i="1" a="1"/>
  <c r="AZ1455" i="1" s="1"/>
  <c r="BA1455" i="1" a="1"/>
  <c r="BA1455" i="1" s="1"/>
  <c r="BB1455" i="1" a="1"/>
  <c r="BB1455" i="1" s="1"/>
  <c r="AL1456" i="1" a="1"/>
  <c r="AL1456" i="1" s="1"/>
  <c r="AM1456" i="1" a="1"/>
  <c r="AM1456" i="1" s="1"/>
  <c r="AN1456" i="1" a="1"/>
  <c r="AN1456" i="1" s="1"/>
  <c r="AO1456" i="1" a="1"/>
  <c r="AO1456" i="1" s="1"/>
  <c r="AP1456" i="1" a="1"/>
  <c r="AP1456" i="1" s="1"/>
  <c r="AQ1456" i="1" a="1"/>
  <c r="AQ1456" i="1" s="1"/>
  <c r="AR1456" i="1" a="1"/>
  <c r="AR1456" i="1" s="1"/>
  <c r="AS1456" i="1" a="1"/>
  <c r="AS1456" i="1" s="1"/>
  <c r="AT1456" i="1" a="1"/>
  <c r="AT1456" i="1" s="1"/>
  <c r="AU1456" i="1" a="1"/>
  <c r="AU1456" i="1" s="1"/>
  <c r="AV1456" i="1" a="1"/>
  <c r="AV1456" i="1" s="1"/>
  <c r="AW1456" i="1" a="1"/>
  <c r="AW1456" i="1" s="1"/>
  <c r="AX1456" i="1" a="1"/>
  <c r="AX1456" i="1" s="1"/>
  <c r="AY1456" i="1" a="1"/>
  <c r="AY1456" i="1" s="1"/>
  <c r="AZ1456" i="1" a="1"/>
  <c r="AZ1456" i="1" s="1"/>
  <c r="BA1456" i="1" a="1"/>
  <c r="BA1456" i="1" s="1"/>
  <c r="BB1456" i="1" a="1"/>
  <c r="BB1456" i="1" s="1"/>
  <c r="AL1457" i="1" a="1"/>
  <c r="AL1457" i="1" s="1"/>
  <c r="AM1457" i="1" a="1"/>
  <c r="AM1457" i="1" s="1"/>
  <c r="AN1457" i="1" a="1"/>
  <c r="AN1457" i="1" s="1"/>
  <c r="AO1457" i="1" a="1"/>
  <c r="AO1457" i="1" s="1"/>
  <c r="AP1457" i="1" a="1"/>
  <c r="AP1457" i="1" s="1"/>
  <c r="AQ1457" i="1" a="1"/>
  <c r="AQ1457" i="1" s="1"/>
  <c r="AR1457" i="1" a="1"/>
  <c r="AR1457" i="1" s="1"/>
  <c r="AS1457" i="1" a="1"/>
  <c r="AS1457" i="1" s="1"/>
  <c r="AT1457" i="1" a="1"/>
  <c r="AT1457" i="1" s="1"/>
  <c r="AU1457" i="1" a="1"/>
  <c r="AU1457" i="1" s="1"/>
  <c r="AV1457" i="1" a="1"/>
  <c r="AV1457" i="1" s="1"/>
  <c r="AW1457" i="1" a="1"/>
  <c r="AW1457" i="1" s="1"/>
  <c r="AX1457" i="1" a="1"/>
  <c r="AX1457" i="1" s="1"/>
  <c r="AY1457" i="1" a="1"/>
  <c r="AY1457" i="1" s="1"/>
  <c r="AZ1457" i="1" a="1"/>
  <c r="AZ1457" i="1" s="1"/>
  <c r="BA1457" i="1" a="1"/>
  <c r="BA1457" i="1" s="1"/>
  <c r="BB1457" i="1" a="1"/>
  <c r="BB1457" i="1" s="1"/>
  <c r="AL1458" i="1" a="1"/>
  <c r="AL1458" i="1" s="1"/>
  <c r="AM1458" i="1" a="1"/>
  <c r="AM1458" i="1" s="1"/>
  <c r="AN1458" i="1" a="1"/>
  <c r="AN1458" i="1" s="1"/>
  <c r="AO1458" i="1" a="1"/>
  <c r="AO1458" i="1" s="1"/>
  <c r="AP1458" i="1" a="1"/>
  <c r="AP1458" i="1" s="1"/>
  <c r="AQ1458" i="1" a="1"/>
  <c r="AQ1458" i="1" s="1"/>
  <c r="AR1458" i="1" a="1"/>
  <c r="AR1458" i="1" s="1"/>
  <c r="AS1458" i="1" a="1"/>
  <c r="AS1458" i="1" s="1"/>
  <c r="AT1458" i="1" a="1"/>
  <c r="AT1458" i="1" s="1"/>
  <c r="AU1458" i="1" a="1"/>
  <c r="AU1458" i="1" s="1"/>
  <c r="AV1458" i="1" a="1"/>
  <c r="AV1458" i="1" s="1"/>
  <c r="AW1458" i="1" a="1"/>
  <c r="AW1458" i="1" s="1"/>
  <c r="AX1458" i="1" a="1"/>
  <c r="AX1458" i="1" s="1"/>
  <c r="AY1458" i="1" a="1"/>
  <c r="AY1458" i="1" s="1"/>
  <c r="AZ1458" i="1" a="1"/>
  <c r="AZ1458" i="1" s="1"/>
  <c r="BA1458" i="1" a="1"/>
  <c r="BA1458" i="1" s="1"/>
  <c r="BB1458" i="1" a="1"/>
  <c r="BB1458" i="1" s="1"/>
  <c r="AL1459" i="1" a="1"/>
  <c r="AL1459" i="1" s="1"/>
  <c r="AM1459" i="1" a="1"/>
  <c r="AM1459" i="1" s="1"/>
  <c r="AN1459" i="1" a="1"/>
  <c r="AN1459" i="1" s="1"/>
  <c r="AO1459" i="1" a="1"/>
  <c r="AO1459" i="1" s="1"/>
  <c r="AP1459" i="1" a="1"/>
  <c r="AP1459" i="1" s="1"/>
  <c r="AQ1459" i="1" a="1"/>
  <c r="AQ1459" i="1" s="1"/>
  <c r="AR1459" i="1" a="1"/>
  <c r="AR1459" i="1" s="1"/>
  <c r="AS1459" i="1" a="1"/>
  <c r="AS1459" i="1" s="1"/>
  <c r="AT1459" i="1" a="1"/>
  <c r="AT1459" i="1" s="1"/>
  <c r="AU1459" i="1" a="1"/>
  <c r="AU1459" i="1" s="1"/>
  <c r="AV1459" i="1" a="1"/>
  <c r="AV1459" i="1" s="1"/>
  <c r="AW1459" i="1" a="1"/>
  <c r="AW1459" i="1" s="1"/>
  <c r="AX1459" i="1" a="1"/>
  <c r="AX1459" i="1" s="1"/>
  <c r="AY1459" i="1" a="1"/>
  <c r="AY1459" i="1" s="1"/>
  <c r="AZ1459" i="1" a="1"/>
  <c r="AZ1459" i="1" s="1"/>
  <c r="BA1459" i="1" a="1"/>
  <c r="BA1459" i="1" s="1"/>
  <c r="BB1459" i="1" a="1"/>
  <c r="BB1459" i="1" s="1"/>
  <c r="AL1460" i="1" a="1"/>
  <c r="AL1460" i="1" s="1"/>
  <c r="AM1460" i="1" a="1"/>
  <c r="AM1460" i="1" s="1"/>
  <c r="AN1460" i="1" a="1"/>
  <c r="AN1460" i="1" s="1"/>
  <c r="AO1460" i="1" a="1"/>
  <c r="AO1460" i="1" s="1"/>
  <c r="AP1460" i="1" a="1"/>
  <c r="AP1460" i="1" s="1"/>
  <c r="AQ1460" i="1" a="1"/>
  <c r="AQ1460" i="1" s="1"/>
  <c r="AR1460" i="1" a="1"/>
  <c r="AR1460" i="1" s="1"/>
  <c r="AS1460" i="1" a="1"/>
  <c r="AS1460" i="1" s="1"/>
  <c r="AT1460" i="1" a="1"/>
  <c r="AT1460" i="1" s="1"/>
  <c r="AU1460" i="1" a="1"/>
  <c r="AU1460" i="1" s="1"/>
  <c r="AV1460" i="1" a="1"/>
  <c r="AV1460" i="1" s="1"/>
  <c r="AW1460" i="1" a="1"/>
  <c r="AW1460" i="1" s="1"/>
  <c r="AX1460" i="1" a="1"/>
  <c r="AX1460" i="1" s="1"/>
  <c r="AY1460" i="1" a="1"/>
  <c r="AY1460" i="1" s="1"/>
  <c r="AZ1460" i="1" a="1"/>
  <c r="AZ1460" i="1" s="1"/>
  <c r="BA1460" i="1" a="1"/>
  <c r="BA1460" i="1" s="1"/>
  <c r="BB1460" i="1" a="1"/>
  <c r="BB1460" i="1" s="1"/>
  <c r="AL1461" i="1" a="1"/>
  <c r="AL1461" i="1" s="1"/>
  <c r="AM1461" i="1" a="1"/>
  <c r="AM1461" i="1" s="1"/>
  <c r="AN1461" i="1" a="1"/>
  <c r="AN1461" i="1" s="1"/>
  <c r="AO1461" i="1" a="1"/>
  <c r="AO1461" i="1" s="1"/>
  <c r="AP1461" i="1" a="1"/>
  <c r="AP1461" i="1" s="1"/>
  <c r="AQ1461" i="1" a="1"/>
  <c r="AQ1461" i="1" s="1"/>
  <c r="AR1461" i="1" a="1"/>
  <c r="AR1461" i="1" s="1"/>
  <c r="AS1461" i="1" a="1"/>
  <c r="AS1461" i="1" s="1"/>
  <c r="AT1461" i="1" a="1"/>
  <c r="AT1461" i="1" s="1"/>
  <c r="AU1461" i="1" a="1"/>
  <c r="AU1461" i="1" s="1"/>
  <c r="AV1461" i="1" a="1"/>
  <c r="AV1461" i="1" s="1"/>
  <c r="AW1461" i="1" a="1"/>
  <c r="AW1461" i="1" s="1"/>
  <c r="AX1461" i="1" a="1"/>
  <c r="AX1461" i="1" s="1"/>
  <c r="AY1461" i="1" a="1"/>
  <c r="AY1461" i="1" s="1"/>
  <c r="AZ1461" i="1" a="1"/>
  <c r="AZ1461" i="1" s="1"/>
  <c r="BA1461" i="1" a="1"/>
  <c r="BA1461" i="1" s="1"/>
  <c r="BB1461" i="1" a="1"/>
  <c r="BB1461" i="1" s="1"/>
  <c r="AL1462" i="1" a="1"/>
  <c r="AL1462" i="1" s="1"/>
  <c r="AM1462" i="1" a="1"/>
  <c r="AM1462" i="1" s="1"/>
  <c r="AN1462" i="1" a="1"/>
  <c r="AN1462" i="1" s="1"/>
  <c r="AO1462" i="1" a="1"/>
  <c r="AO1462" i="1" s="1"/>
  <c r="AP1462" i="1" a="1"/>
  <c r="AP1462" i="1" s="1"/>
  <c r="AQ1462" i="1" a="1"/>
  <c r="AQ1462" i="1" s="1"/>
  <c r="AR1462" i="1" a="1"/>
  <c r="AR1462" i="1" s="1"/>
  <c r="AS1462" i="1" a="1"/>
  <c r="AS1462" i="1" s="1"/>
  <c r="AT1462" i="1" a="1"/>
  <c r="AT1462" i="1" s="1"/>
  <c r="AU1462" i="1" a="1"/>
  <c r="AU1462" i="1" s="1"/>
  <c r="AV1462" i="1" a="1"/>
  <c r="AV1462" i="1" s="1"/>
  <c r="AW1462" i="1" a="1"/>
  <c r="AW1462" i="1" s="1"/>
  <c r="AX1462" i="1" a="1"/>
  <c r="AX1462" i="1" s="1"/>
  <c r="AY1462" i="1" a="1"/>
  <c r="AY1462" i="1" s="1"/>
  <c r="AZ1462" i="1" a="1"/>
  <c r="AZ1462" i="1" s="1"/>
  <c r="BA1462" i="1" a="1"/>
  <c r="BA1462" i="1" s="1"/>
  <c r="BB1462" i="1" a="1"/>
  <c r="BB1462" i="1" s="1"/>
  <c r="AL1463" i="1" a="1"/>
  <c r="AL1463" i="1" s="1"/>
  <c r="AM1463" i="1" a="1"/>
  <c r="AM1463" i="1" s="1"/>
  <c r="AN1463" i="1" a="1"/>
  <c r="AN1463" i="1" s="1"/>
  <c r="AO1463" i="1" a="1"/>
  <c r="AO1463" i="1" s="1"/>
  <c r="AP1463" i="1" a="1"/>
  <c r="AP1463" i="1" s="1"/>
  <c r="AQ1463" i="1" a="1"/>
  <c r="AQ1463" i="1" s="1"/>
  <c r="AR1463" i="1" a="1"/>
  <c r="AR1463" i="1" s="1"/>
  <c r="AS1463" i="1" a="1"/>
  <c r="AS1463" i="1" s="1"/>
  <c r="AT1463" i="1" a="1"/>
  <c r="AT1463" i="1" s="1"/>
  <c r="AU1463" i="1" a="1"/>
  <c r="AU1463" i="1" s="1"/>
  <c r="AV1463" i="1" a="1"/>
  <c r="AV1463" i="1" s="1"/>
  <c r="AW1463" i="1" a="1"/>
  <c r="AW1463" i="1" s="1"/>
  <c r="AX1463" i="1" a="1"/>
  <c r="AX1463" i="1" s="1"/>
  <c r="AY1463" i="1" a="1"/>
  <c r="AY1463" i="1" s="1"/>
  <c r="AZ1463" i="1" a="1"/>
  <c r="AZ1463" i="1" s="1"/>
  <c r="BA1463" i="1" a="1"/>
  <c r="BA1463" i="1" s="1"/>
  <c r="BB1463" i="1" a="1"/>
  <c r="BB1463" i="1" s="1"/>
  <c r="AL1464" i="1" a="1"/>
  <c r="AL1464" i="1" s="1"/>
  <c r="AM1464" i="1" a="1"/>
  <c r="AM1464" i="1" s="1"/>
  <c r="AN1464" i="1" a="1"/>
  <c r="AN1464" i="1" s="1"/>
  <c r="AO1464" i="1" a="1"/>
  <c r="AO1464" i="1" s="1"/>
  <c r="AP1464" i="1" a="1"/>
  <c r="AP1464" i="1" s="1"/>
  <c r="AQ1464" i="1" a="1"/>
  <c r="AQ1464" i="1" s="1"/>
  <c r="AR1464" i="1" a="1"/>
  <c r="AR1464" i="1" s="1"/>
  <c r="AS1464" i="1" a="1"/>
  <c r="AS1464" i="1" s="1"/>
  <c r="AT1464" i="1" a="1"/>
  <c r="AT1464" i="1" s="1"/>
  <c r="AU1464" i="1" a="1"/>
  <c r="AU1464" i="1" s="1"/>
  <c r="AV1464" i="1" a="1"/>
  <c r="AV1464" i="1" s="1"/>
  <c r="AW1464" i="1" a="1"/>
  <c r="AW1464" i="1" s="1"/>
  <c r="AX1464" i="1" a="1"/>
  <c r="AX1464" i="1" s="1"/>
  <c r="AY1464" i="1" a="1"/>
  <c r="AY1464" i="1" s="1"/>
  <c r="AZ1464" i="1" a="1"/>
  <c r="AZ1464" i="1" s="1"/>
  <c r="BA1464" i="1" a="1"/>
  <c r="BA1464" i="1" s="1"/>
  <c r="BB1464" i="1" a="1"/>
  <c r="BB1464" i="1" s="1"/>
  <c r="AL1465" i="1" a="1"/>
  <c r="AL1465" i="1" s="1"/>
  <c r="AM1465" i="1" a="1"/>
  <c r="AM1465" i="1" s="1"/>
  <c r="AN1465" i="1" a="1"/>
  <c r="AN1465" i="1" s="1"/>
  <c r="AO1465" i="1" a="1"/>
  <c r="AO1465" i="1" s="1"/>
  <c r="AP1465" i="1" a="1"/>
  <c r="AP1465" i="1" s="1"/>
  <c r="AQ1465" i="1" a="1"/>
  <c r="AQ1465" i="1" s="1"/>
  <c r="AR1465" i="1" a="1"/>
  <c r="AR1465" i="1" s="1"/>
  <c r="AS1465" i="1" a="1"/>
  <c r="AS1465" i="1" s="1"/>
  <c r="AT1465" i="1" a="1"/>
  <c r="AT1465" i="1" s="1"/>
  <c r="AU1465" i="1" a="1"/>
  <c r="AU1465" i="1" s="1"/>
  <c r="AV1465" i="1" a="1"/>
  <c r="AV1465" i="1" s="1"/>
  <c r="AW1465" i="1" a="1"/>
  <c r="AW1465" i="1" s="1"/>
  <c r="AX1465" i="1" a="1"/>
  <c r="AX1465" i="1" s="1"/>
  <c r="AY1465" i="1" a="1"/>
  <c r="AY1465" i="1" s="1"/>
  <c r="AZ1465" i="1" a="1"/>
  <c r="AZ1465" i="1" s="1"/>
  <c r="BA1465" i="1" a="1"/>
  <c r="BA1465" i="1" s="1"/>
  <c r="BB1465" i="1" a="1"/>
  <c r="BB1465" i="1" s="1"/>
  <c r="AL1466" i="1" a="1"/>
  <c r="AL1466" i="1" s="1"/>
  <c r="AM1466" i="1" a="1"/>
  <c r="AM1466" i="1" s="1"/>
  <c r="AN1466" i="1" a="1"/>
  <c r="AN1466" i="1" s="1"/>
  <c r="AO1466" i="1" a="1"/>
  <c r="AO1466" i="1" s="1"/>
  <c r="AP1466" i="1" a="1"/>
  <c r="AP1466" i="1" s="1"/>
  <c r="AQ1466" i="1" a="1"/>
  <c r="AQ1466" i="1" s="1"/>
  <c r="AR1466" i="1" a="1"/>
  <c r="AR1466" i="1" s="1"/>
  <c r="AS1466" i="1" a="1"/>
  <c r="AS1466" i="1" s="1"/>
  <c r="AT1466" i="1" a="1"/>
  <c r="AT1466" i="1" s="1"/>
  <c r="AU1466" i="1" a="1"/>
  <c r="AU1466" i="1" s="1"/>
  <c r="AV1466" i="1" a="1"/>
  <c r="AV1466" i="1" s="1"/>
  <c r="AW1466" i="1" a="1"/>
  <c r="AW1466" i="1" s="1"/>
  <c r="AX1466" i="1" a="1"/>
  <c r="AX1466" i="1" s="1"/>
  <c r="AY1466" i="1" a="1"/>
  <c r="AY1466" i="1" s="1"/>
  <c r="AZ1466" i="1" a="1"/>
  <c r="AZ1466" i="1" s="1"/>
  <c r="BA1466" i="1" a="1"/>
  <c r="BA1466" i="1" s="1"/>
  <c r="BB1466" i="1" a="1"/>
  <c r="BB1466" i="1" s="1"/>
  <c r="AL1467" i="1" a="1"/>
  <c r="AL1467" i="1" s="1"/>
  <c r="AM1467" i="1" a="1"/>
  <c r="AM1467" i="1" s="1"/>
  <c r="AN1467" i="1" a="1"/>
  <c r="AN1467" i="1" s="1"/>
  <c r="AO1467" i="1" a="1"/>
  <c r="AO1467" i="1" s="1"/>
  <c r="AP1467" i="1" a="1"/>
  <c r="AP1467" i="1" s="1"/>
  <c r="AQ1467" i="1" a="1"/>
  <c r="AQ1467" i="1" s="1"/>
  <c r="AR1467" i="1" a="1"/>
  <c r="AR1467" i="1" s="1"/>
  <c r="AS1467" i="1" a="1"/>
  <c r="AS1467" i="1" s="1"/>
  <c r="AT1467" i="1" a="1"/>
  <c r="AT1467" i="1" s="1"/>
  <c r="AU1467" i="1" a="1"/>
  <c r="AU1467" i="1" s="1"/>
  <c r="AV1467" i="1" a="1"/>
  <c r="AV1467" i="1" s="1"/>
  <c r="AW1467" i="1" a="1"/>
  <c r="AW1467" i="1" s="1"/>
  <c r="AX1467" i="1" a="1"/>
  <c r="AX1467" i="1" s="1"/>
  <c r="AY1467" i="1" a="1"/>
  <c r="AY1467" i="1" s="1"/>
  <c r="AZ1467" i="1" a="1"/>
  <c r="AZ1467" i="1" s="1"/>
  <c r="BA1467" i="1" a="1"/>
  <c r="BA1467" i="1" s="1"/>
  <c r="BB1467" i="1" a="1"/>
  <c r="BB1467" i="1" s="1"/>
  <c r="AL1468" i="1" a="1"/>
  <c r="AL1468" i="1" s="1"/>
  <c r="AM1468" i="1" a="1"/>
  <c r="AM1468" i="1" s="1"/>
  <c r="AN1468" i="1" a="1"/>
  <c r="AN1468" i="1" s="1"/>
  <c r="AO1468" i="1" a="1"/>
  <c r="AO1468" i="1" s="1"/>
  <c r="AP1468" i="1" a="1"/>
  <c r="AP1468" i="1" s="1"/>
  <c r="AQ1468" i="1" a="1"/>
  <c r="AQ1468" i="1" s="1"/>
  <c r="AR1468" i="1" a="1"/>
  <c r="AR1468" i="1" s="1"/>
  <c r="AS1468" i="1" a="1"/>
  <c r="AS1468" i="1" s="1"/>
  <c r="AT1468" i="1" a="1"/>
  <c r="AT1468" i="1" s="1"/>
  <c r="AU1468" i="1" a="1"/>
  <c r="AU1468" i="1" s="1"/>
  <c r="AV1468" i="1" a="1"/>
  <c r="AV1468" i="1" s="1"/>
  <c r="AW1468" i="1" a="1"/>
  <c r="AW1468" i="1" s="1"/>
  <c r="AX1468" i="1" a="1"/>
  <c r="AX1468" i="1" s="1"/>
  <c r="AY1468" i="1" a="1"/>
  <c r="AY1468" i="1" s="1"/>
  <c r="AZ1468" i="1" a="1"/>
  <c r="AZ1468" i="1" s="1"/>
  <c r="BA1468" i="1" a="1"/>
  <c r="BA1468" i="1" s="1"/>
  <c r="BB1468" i="1" a="1"/>
  <c r="BB1468" i="1" s="1"/>
  <c r="AL1469" i="1" a="1"/>
  <c r="AL1469" i="1" s="1"/>
  <c r="AM1469" i="1" a="1"/>
  <c r="AM1469" i="1" s="1"/>
  <c r="AN1469" i="1" a="1"/>
  <c r="AN1469" i="1" s="1"/>
  <c r="AO1469" i="1" a="1"/>
  <c r="AO1469" i="1" s="1"/>
  <c r="AP1469" i="1" a="1"/>
  <c r="AP1469" i="1" s="1"/>
  <c r="AQ1469" i="1" a="1"/>
  <c r="AQ1469" i="1" s="1"/>
  <c r="AR1469" i="1" a="1"/>
  <c r="AR1469" i="1" s="1"/>
  <c r="AS1469" i="1" a="1"/>
  <c r="AS1469" i="1" s="1"/>
  <c r="AT1469" i="1" a="1"/>
  <c r="AT1469" i="1" s="1"/>
  <c r="AU1469" i="1" a="1"/>
  <c r="AU1469" i="1" s="1"/>
  <c r="AV1469" i="1" a="1"/>
  <c r="AV1469" i="1" s="1"/>
  <c r="AW1469" i="1" a="1"/>
  <c r="AW1469" i="1" s="1"/>
  <c r="AX1469" i="1" a="1"/>
  <c r="AX1469" i="1" s="1"/>
  <c r="AY1469" i="1" a="1"/>
  <c r="AY1469" i="1" s="1"/>
  <c r="AZ1469" i="1" a="1"/>
  <c r="AZ1469" i="1" s="1"/>
  <c r="BA1469" i="1" a="1"/>
  <c r="BA1469" i="1" s="1"/>
  <c r="BB1469" i="1" a="1"/>
  <c r="BB1469" i="1" s="1"/>
  <c r="AL1470" i="1" a="1"/>
  <c r="AL1470" i="1" s="1"/>
  <c r="AM1470" i="1" a="1"/>
  <c r="AM1470" i="1" s="1"/>
  <c r="AN1470" i="1" a="1"/>
  <c r="AN1470" i="1" s="1"/>
  <c r="AO1470" i="1" a="1"/>
  <c r="AO1470" i="1" s="1"/>
  <c r="AP1470" i="1" a="1"/>
  <c r="AP1470" i="1" s="1"/>
  <c r="AQ1470" i="1" a="1"/>
  <c r="AQ1470" i="1" s="1"/>
  <c r="AR1470" i="1" a="1"/>
  <c r="AR1470" i="1" s="1"/>
  <c r="AS1470" i="1" a="1"/>
  <c r="AS1470" i="1" s="1"/>
  <c r="AT1470" i="1" a="1"/>
  <c r="AT1470" i="1" s="1"/>
  <c r="AU1470" i="1" a="1"/>
  <c r="AU1470" i="1" s="1"/>
  <c r="AV1470" i="1" a="1"/>
  <c r="AV1470" i="1" s="1"/>
  <c r="AW1470" i="1" a="1"/>
  <c r="AW1470" i="1" s="1"/>
  <c r="AX1470" i="1" a="1"/>
  <c r="AX1470" i="1" s="1"/>
  <c r="AY1470" i="1" a="1"/>
  <c r="AY1470" i="1" s="1"/>
  <c r="AZ1470" i="1" a="1"/>
  <c r="AZ1470" i="1" s="1"/>
  <c r="BA1470" i="1" a="1"/>
  <c r="BA1470" i="1" s="1"/>
  <c r="BB1470" i="1" a="1"/>
  <c r="BB1470" i="1" s="1"/>
  <c r="AL1471" i="1" a="1"/>
  <c r="AL1471" i="1" s="1"/>
  <c r="AM1471" i="1" a="1"/>
  <c r="AM1471" i="1" s="1"/>
  <c r="AN1471" i="1" a="1"/>
  <c r="AN1471" i="1" s="1"/>
  <c r="AO1471" i="1" a="1"/>
  <c r="AO1471" i="1" s="1"/>
  <c r="AP1471" i="1" a="1"/>
  <c r="AP1471" i="1" s="1"/>
  <c r="AQ1471" i="1" a="1"/>
  <c r="AQ1471" i="1" s="1"/>
  <c r="AR1471" i="1" a="1"/>
  <c r="AR1471" i="1" s="1"/>
  <c r="AS1471" i="1" a="1"/>
  <c r="AS1471" i="1" s="1"/>
  <c r="AT1471" i="1" a="1"/>
  <c r="AT1471" i="1" s="1"/>
  <c r="AU1471" i="1" a="1"/>
  <c r="AU1471" i="1" s="1"/>
  <c r="AV1471" i="1" a="1"/>
  <c r="AV1471" i="1" s="1"/>
  <c r="AW1471" i="1" a="1"/>
  <c r="AW1471" i="1" s="1"/>
  <c r="AX1471" i="1" a="1"/>
  <c r="AX1471" i="1" s="1"/>
  <c r="AY1471" i="1" a="1"/>
  <c r="AY1471" i="1" s="1"/>
  <c r="AZ1471" i="1" a="1"/>
  <c r="AZ1471" i="1" s="1"/>
  <c r="BA1471" i="1" a="1"/>
  <c r="BA1471" i="1" s="1"/>
  <c r="BB1471" i="1" a="1"/>
  <c r="BB1471" i="1" s="1"/>
  <c r="AL1472" i="1" a="1"/>
  <c r="AL1472" i="1" s="1"/>
  <c r="AM1472" i="1" a="1"/>
  <c r="AM1472" i="1" s="1"/>
  <c r="AN1472" i="1" a="1"/>
  <c r="AN1472" i="1" s="1"/>
  <c r="AO1472" i="1" a="1"/>
  <c r="AO1472" i="1" s="1"/>
  <c r="AP1472" i="1" a="1"/>
  <c r="AP1472" i="1" s="1"/>
  <c r="AQ1472" i="1" a="1"/>
  <c r="AQ1472" i="1" s="1"/>
  <c r="AR1472" i="1" a="1"/>
  <c r="AR1472" i="1" s="1"/>
  <c r="AS1472" i="1" a="1"/>
  <c r="AS1472" i="1" s="1"/>
  <c r="AT1472" i="1" a="1"/>
  <c r="AT1472" i="1" s="1"/>
  <c r="AU1472" i="1" a="1"/>
  <c r="AU1472" i="1" s="1"/>
  <c r="AV1472" i="1" a="1"/>
  <c r="AV1472" i="1" s="1"/>
  <c r="AW1472" i="1" a="1"/>
  <c r="AW1472" i="1" s="1"/>
  <c r="AX1472" i="1" a="1"/>
  <c r="AX1472" i="1" s="1"/>
  <c r="AY1472" i="1" a="1"/>
  <c r="AY1472" i="1" s="1"/>
  <c r="AZ1472" i="1" a="1"/>
  <c r="AZ1472" i="1" s="1"/>
  <c r="BA1472" i="1" a="1"/>
  <c r="BA1472" i="1" s="1"/>
  <c r="BB1472" i="1" a="1"/>
  <c r="BB1472" i="1" s="1"/>
  <c r="AL1473" i="1" a="1"/>
  <c r="AL1473" i="1" s="1"/>
  <c r="AM1473" i="1" a="1"/>
  <c r="AM1473" i="1" s="1"/>
  <c r="AN1473" i="1" a="1"/>
  <c r="AN1473" i="1" s="1"/>
  <c r="AO1473" i="1" a="1"/>
  <c r="AO1473" i="1" s="1"/>
  <c r="AP1473" i="1" a="1"/>
  <c r="AP1473" i="1" s="1"/>
  <c r="AQ1473" i="1" a="1"/>
  <c r="AQ1473" i="1" s="1"/>
  <c r="AR1473" i="1" a="1"/>
  <c r="AR1473" i="1" s="1"/>
  <c r="AS1473" i="1" a="1"/>
  <c r="AS1473" i="1" s="1"/>
  <c r="AT1473" i="1" a="1"/>
  <c r="AT1473" i="1" s="1"/>
  <c r="AU1473" i="1" a="1"/>
  <c r="AU1473" i="1" s="1"/>
  <c r="AV1473" i="1" a="1"/>
  <c r="AV1473" i="1" s="1"/>
  <c r="AW1473" i="1" a="1"/>
  <c r="AW1473" i="1" s="1"/>
  <c r="AX1473" i="1" a="1"/>
  <c r="AX1473" i="1" s="1"/>
  <c r="AY1473" i="1" a="1"/>
  <c r="AY1473" i="1" s="1"/>
  <c r="AZ1473" i="1" a="1"/>
  <c r="AZ1473" i="1" s="1"/>
  <c r="BA1473" i="1" a="1"/>
  <c r="BA1473" i="1" s="1"/>
  <c r="BB1473" i="1" a="1"/>
  <c r="BB1473" i="1" s="1"/>
  <c r="AL1474" i="1" a="1"/>
  <c r="AL1474" i="1" s="1"/>
  <c r="AM1474" i="1" a="1"/>
  <c r="AM1474" i="1" s="1"/>
  <c r="AN1474" i="1" a="1"/>
  <c r="AN1474" i="1" s="1"/>
  <c r="AO1474" i="1" a="1"/>
  <c r="AO1474" i="1" s="1"/>
  <c r="AP1474" i="1" a="1"/>
  <c r="AP1474" i="1" s="1"/>
  <c r="AQ1474" i="1" a="1"/>
  <c r="AQ1474" i="1" s="1"/>
  <c r="AR1474" i="1" a="1"/>
  <c r="AR1474" i="1" s="1"/>
  <c r="AS1474" i="1" a="1"/>
  <c r="AS1474" i="1" s="1"/>
  <c r="AT1474" i="1" a="1"/>
  <c r="AT1474" i="1" s="1"/>
  <c r="AU1474" i="1" a="1"/>
  <c r="AU1474" i="1" s="1"/>
  <c r="AV1474" i="1" a="1"/>
  <c r="AV1474" i="1" s="1"/>
  <c r="AW1474" i="1" a="1"/>
  <c r="AW1474" i="1" s="1"/>
  <c r="AX1474" i="1" a="1"/>
  <c r="AX1474" i="1" s="1"/>
  <c r="AY1474" i="1" a="1"/>
  <c r="AY1474" i="1" s="1"/>
  <c r="AZ1474" i="1" a="1"/>
  <c r="AZ1474" i="1" s="1"/>
  <c r="BA1474" i="1" a="1"/>
  <c r="BA1474" i="1" s="1"/>
  <c r="BB1474" i="1" a="1"/>
  <c r="BB1474" i="1" s="1"/>
  <c r="AL1475" i="1" a="1"/>
  <c r="AL1475" i="1" s="1"/>
  <c r="AM1475" i="1" a="1"/>
  <c r="AM1475" i="1" s="1"/>
  <c r="AN1475" i="1" a="1"/>
  <c r="AN1475" i="1" s="1"/>
  <c r="AO1475" i="1" a="1"/>
  <c r="AO1475" i="1" s="1"/>
  <c r="AP1475" i="1" a="1"/>
  <c r="AP1475" i="1" s="1"/>
  <c r="AQ1475" i="1" a="1"/>
  <c r="AQ1475" i="1" s="1"/>
  <c r="AR1475" i="1" a="1"/>
  <c r="AR1475" i="1" s="1"/>
  <c r="AS1475" i="1" a="1"/>
  <c r="AS1475" i="1" s="1"/>
  <c r="AT1475" i="1" a="1"/>
  <c r="AT1475" i="1" s="1"/>
  <c r="AU1475" i="1" a="1"/>
  <c r="AU1475" i="1" s="1"/>
  <c r="AV1475" i="1" a="1"/>
  <c r="AV1475" i="1" s="1"/>
  <c r="AW1475" i="1" a="1"/>
  <c r="AW1475" i="1" s="1"/>
  <c r="AX1475" i="1" a="1"/>
  <c r="AX1475" i="1" s="1"/>
  <c r="AY1475" i="1" a="1"/>
  <c r="AY1475" i="1" s="1"/>
  <c r="AZ1475" i="1" a="1"/>
  <c r="AZ1475" i="1" s="1"/>
  <c r="BA1475" i="1" a="1"/>
  <c r="BA1475" i="1" s="1"/>
  <c r="BB1475" i="1" a="1"/>
  <c r="BB1475" i="1" s="1"/>
  <c r="AL1476" i="1" a="1"/>
  <c r="AL1476" i="1" s="1"/>
  <c r="AM1476" i="1" a="1"/>
  <c r="AM1476" i="1" s="1"/>
  <c r="AN1476" i="1" a="1"/>
  <c r="AN1476" i="1" s="1"/>
  <c r="AO1476" i="1" a="1"/>
  <c r="AO1476" i="1" s="1"/>
  <c r="AP1476" i="1" a="1"/>
  <c r="AP1476" i="1" s="1"/>
  <c r="AQ1476" i="1" a="1"/>
  <c r="AQ1476" i="1" s="1"/>
  <c r="AR1476" i="1" a="1"/>
  <c r="AR1476" i="1" s="1"/>
  <c r="AS1476" i="1" a="1"/>
  <c r="AS1476" i="1" s="1"/>
  <c r="AT1476" i="1" a="1"/>
  <c r="AT1476" i="1" s="1"/>
  <c r="AU1476" i="1" a="1"/>
  <c r="AU1476" i="1" s="1"/>
  <c r="AV1476" i="1" a="1"/>
  <c r="AV1476" i="1" s="1"/>
  <c r="AW1476" i="1" a="1"/>
  <c r="AW1476" i="1" s="1"/>
  <c r="AX1476" i="1" a="1"/>
  <c r="AX1476" i="1" s="1"/>
  <c r="AY1476" i="1" a="1"/>
  <c r="AY1476" i="1" s="1"/>
  <c r="AZ1476" i="1" a="1"/>
  <c r="AZ1476" i="1" s="1"/>
  <c r="BA1476" i="1" a="1"/>
  <c r="BA1476" i="1" s="1"/>
  <c r="BB1476" i="1" a="1"/>
  <c r="BB1476" i="1" s="1"/>
  <c r="AL1477" i="1" a="1"/>
  <c r="AL1477" i="1" s="1"/>
  <c r="AM1477" i="1" a="1"/>
  <c r="AM1477" i="1" s="1"/>
  <c r="AN1477" i="1" a="1"/>
  <c r="AN1477" i="1" s="1"/>
  <c r="AO1477" i="1" a="1"/>
  <c r="AO1477" i="1" s="1"/>
  <c r="AP1477" i="1" a="1"/>
  <c r="AP1477" i="1" s="1"/>
  <c r="AQ1477" i="1" a="1"/>
  <c r="AQ1477" i="1" s="1"/>
  <c r="AR1477" i="1" a="1"/>
  <c r="AR1477" i="1" s="1"/>
  <c r="AS1477" i="1" a="1"/>
  <c r="AS1477" i="1" s="1"/>
  <c r="AT1477" i="1" a="1"/>
  <c r="AT1477" i="1" s="1"/>
  <c r="AU1477" i="1" a="1"/>
  <c r="AU1477" i="1" s="1"/>
  <c r="AV1477" i="1" a="1"/>
  <c r="AV1477" i="1" s="1"/>
  <c r="AW1477" i="1" a="1"/>
  <c r="AW1477" i="1" s="1"/>
  <c r="AX1477" i="1" a="1"/>
  <c r="AX1477" i="1" s="1"/>
  <c r="AY1477" i="1" a="1"/>
  <c r="AY1477" i="1" s="1"/>
  <c r="AZ1477" i="1" a="1"/>
  <c r="AZ1477" i="1" s="1"/>
  <c r="BA1477" i="1" a="1"/>
  <c r="BA1477" i="1" s="1"/>
  <c r="BB1477" i="1" a="1"/>
  <c r="BB1477" i="1" s="1"/>
  <c r="AL1478" i="1" a="1"/>
  <c r="AL1478" i="1" s="1"/>
  <c r="AM1478" i="1" a="1"/>
  <c r="AM1478" i="1" s="1"/>
  <c r="AN1478" i="1" a="1"/>
  <c r="AN1478" i="1" s="1"/>
  <c r="AO1478" i="1" a="1"/>
  <c r="AO1478" i="1" s="1"/>
  <c r="AP1478" i="1" a="1"/>
  <c r="AP1478" i="1" s="1"/>
  <c r="AQ1478" i="1" a="1"/>
  <c r="AQ1478" i="1" s="1"/>
  <c r="AR1478" i="1" a="1"/>
  <c r="AR1478" i="1" s="1"/>
  <c r="AS1478" i="1" a="1"/>
  <c r="AS1478" i="1" s="1"/>
  <c r="AT1478" i="1" a="1"/>
  <c r="AT1478" i="1" s="1"/>
  <c r="AU1478" i="1" a="1"/>
  <c r="AU1478" i="1" s="1"/>
  <c r="AV1478" i="1" a="1"/>
  <c r="AV1478" i="1" s="1"/>
  <c r="AW1478" i="1" a="1"/>
  <c r="AW1478" i="1" s="1"/>
  <c r="AX1478" i="1" a="1"/>
  <c r="AX1478" i="1" s="1"/>
  <c r="AY1478" i="1" a="1"/>
  <c r="AY1478" i="1" s="1"/>
  <c r="AZ1478" i="1" a="1"/>
  <c r="AZ1478" i="1" s="1"/>
  <c r="BA1478" i="1" a="1"/>
  <c r="BA1478" i="1" s="1"/>
  <c r="BB1478" i="1" a="1"/>
  <c r="BB1478" i="1" s="1"/>
  <c r="AL1479" i="1" a="1"/>
  <c r="AL1479" i="1" s="1"/>
  <c r="AM1479" i="1" a="1"/>
  <c r="AM1479" i="1" s="1"/>
  <c r="AN1479" i="1" a="1"/>
  <c r="AN1479" i="1" s="1"/>
  <c r="AO1479" i="1" a="1"/>
  <c r="AO1479" i="1" s="1"/>
  <c r="AP1479" i="1" a="1"/>
  <c r="AP1479" i="1" s="1"/>
  <c r="AQ1479" i="1" a="1"/>
  <c r="AQ1479" i="1" s="1"/>
  <c r="AR1479" i="1" a="1"/>
  <c r="AR1479" i="1" s="1"/>
  <c r="AS1479" i="1" a="1"/>
  <c r="AS1479" i="1" s="1"/>
  <c r="AT1479" i="1" a="1"/>
  <c r="AT1479" i="1" s="1"/>
  <c r="AU1479" i="1" a="1"/>
  <c r="AU1479" i="1" s="1"/>
  <c r="AV1479" i="1" a="1"/>
  <c r="AV1479" i="1" s="1"/>
  <c r="AW1479" i="1" a="1"/>
  <c r="AW1479" i="1" s="1"/>
  <c r="AX1479" i="1" a="1"/>
  <c r="AX1479" i="1" s="1"/>
  <c r="AY1479" i="1" a="1"/>
  <c r="AY1479" i="1" s="1"/>
  <c r="AZ1479" i="1" a="1"/>
  <c r="AZ1479" i="1" s="1"/>
  <c r="BA1479" i="1" a="1"/>
  <c r="BA1479" i="1" s="1"/>
  <c r="BB1479" i="1" a="1"/>
  <c r="BB1479" i="1" s="1"/>
  <c r="AL1480" i="1" a="1"/>
  <c r="AL1480" i="1" s="1"/>
  <c r="AM1480" i="1" a="1"/>
  <c r="AM1480" i="1" s="1"/>
  <c r="AN1480" i="1" a="1"/>
  <c r="AN1480" i="1" s="1"/>
  <c r="AO1480" i="1" a="1"/>
  <c r="AO1480" i="1" s="1"/>
  <c r="AP1480" i="1" a="1"/>
  <c r="AP1480" i="1" s="1"/>
  <c r="AQ1480" i="1" a="1"/>
  <c r="AQ1480" i="1" s="1"/>
  <c r="AR1480" i="1" a="1"/>
  <c r="AR1480" i="1" s="1"/>
  <c r="AS1480" i="1" a="1"/>
  <c r="AS1480" i="1" s="1"/>
  <c r="AT1480" i="1" a="1"/>
  <c r="AT1480" i="1" s="1"/>
  <c r="AU1480" i="1" a="1"/>
  <c r="AU1480" i="1" s="1"/>
  <c r="AV1480" i="1" a="1"/>
  <c r="AV1480" i="1" s="1"/>
  <c r="AW1480" i="1" a="1"/>
  <c r="AW1480" i="1" s="1"/>
  <c r="AX1480" i="1" a="1"/>
  <c r="AX1480" i="1" s="1"/>
  <c r="AY1480" i="1" a="1"/>
  <c r="AY1480" i="1" s="1"/>
  <c r="AZ1480" i="1" a="1"/>
  <c r="AZ1480" i="1" s="1"/>
  <c r="BA1480" i="1" a="1"/>
  <c r="BA1480" i="1" s="1"/>
  <c r="BB1480" i="1" a="1"/>
  <c r="BB1480" i="1" s="1"/>
  <c r="AL1481" i="1" a="1"/>
  <c r="AL1481" i="1" s="1"/>
  <c r="AM1481" i="1" a="1"/>
  <c r="AM1481" i="1" s="1"/>
  <c r="AN1481" i="1" a="1"/>
  <c r="AN1481" i="1" s="1"/>
  <c r="AO1481" i="1" a="1"/>
  <c r="AO1481" i="1" s="1"/>
  <c r="AP1481" i="1" a="1"/>
  <c r="AP1481" i="1" s="1"/>
  <c r="AQ1481" i="1" a="1"/>
  <c r="AQ1481" i="1" s="1"/>
  <c r="AR1481" i="1" a="1"/>
  <c r="AR1481" i="1" s="1"/>
  <c r="AS1481" i="1" a="1"/>
  <c r="AS1481" i="1" s="1"/>
  <c r="AT1481" i="1" a="1"/>
  <c r="AT1481" i="1" s="1"/>
  <c r="AU1481" i="1" a="1"/>
  <c r="AU1481" i="1" s="1"/>
  <c r="AV1481" i="1" a="1"/>
  <c r="AV1481" i="1" s="1"/>
  <c r="AW1481" i="1" a="1"/>
  <c r="AW1481" i="1" s="1"/>
  <c r="AX1481" i="1" a="1"/>
  <c r="AX1481" i="1" s="1"/>
  <c r="AY1481" i="1" a="1"/>
  <c r="AY1481" i="1" s="1"/>
  <c r="AZ1481" i="1" a="1"/>
  <c r="AZ1481" i="1" s="1"/>
  <c r="BA1481" i="1" a="1"/>
  <c r="BA1481" i="1" s="1"/>
  <c r="BB1481" i="1" a="1"/>
  <c r="BB1481" i="1" s="1"/>
  <c r="AL1482" i="1" a="1"/>
  <c r="AL1482" i="1" s="1"/>
  <c r="AM1482" i="1" a="1"/>
  <c r="AM1482" i="1" s="1"/>
  <c r="AN1482" i="1" a="1"/>
  <c r="AN1482" i="1" s="1"/>
  <c r="AO1482" i="1" a="1"/>
  <c r="AO1482" i="1" s="1"/>
  <c r="AP1482" i="1" a="1"/>
  <c r="AP1482" i="1" s="1"/>
  <c r="AQ1482" i="1" a="1"/>
  <c r="AQ1482" i="1" s="1"/>
  <c r="AR1482" i="1" a="1"/>
  <c r="AR1482" i="1" s="1"/>
  <c r="AS1482" i="1" a="1"/>
  <c r="AS1482" i="1" s="1"/>
  <c r="AT1482" i="1" a="1"/>
  <c r="AT1482" i="1" s="1"/>
  <c r="AU1482" i="1" a="1"/>
  <c r="AU1482" i="1" s="1"/>
  <c r="AV1482" i="1" a="1"/>
  <c r="AV1482" i="1" s="1"/>
  <c r="AW1482" i="1" a="1"/>
  <c r="AW1482" i="1" s="1"/>
  <c r="AX1482" i="1" a="1"/>
  <c r="AX1482" i="1" s="1"/>
  <c r="AY1482" i="1" a="1"/>
  <c r="AY1482" i="1" s="1"/>
  <c r="AZ1482" i="1" a="1"/>
  <c r="AZ1482" i="1" s="1"/>
  <c r="BA1482" i="1" a="1"/>
  <c r="BA1482" i="1" s="1"/>
  <c r="BB1482" i="1" a="1"/>
  <c r="BB1482" i="1" s="1"/>
  <c r="AL1483" i="1" a="1"/>
  <c r="AL1483" i="1" s="1"/>
  <c r="AM1483" i="1" a="1"/>
  <c r="AM1483" i="1" s="1"/>
  <c r="AN1483" i="1" a="1"/>
  <c r="AN1483" i="1" s="1"/>
  <c r="AO1483" i="1" a="1"/>
  <c r="AO1483" i="1" s="1"/>
  <c r="AP1483" i="1" a="1"/>
  <c r="AP1483" i="1" s="1"/>
  <c r="AQ1483" i="1" a="1"/>
  <c r="AQ1483" i="1" s="1"/>
  <c r="AR1483" i="1" a="1"/>
  <c r="AR1483" i="1" s="1"/>
  <c r="AS1483" i="1" a="1"/>
  <c r="AS1483" i="1" s="1"/>
  <c r="AT1483" i="1" a="1"/>
  <c r="AT1483" i="1" s="1"/>
  <c r="AU1483" i="1" a="1"/>
  <c r="AU1483" i="1" s="1"/>
  <c r="AV1483" i="1" a="1"/>
  <c r="AV1483" i="1" s="1"/>
  <c r="AW1483" i="1" a="1"/>
  <c r="AW1483" i="1" s="1"/>
  <c r="AX1483" i="1" a="1"/>
  <c r="AX1483" i="1" s="1"/>
  <c r="AY1483" i="1" a="1"/>
  <c r="AY1483" i="1" s="1"/>
  <c r="AZ1483" i="1" a="1"/>
  <c r="AZ1483" i="1" s="1"/>
  <c r="BA1483" i="1" a="1"/>
  <c r="BA1483" i="1" s="1"/>
  <c r="BB1483" i="1" a="1"/>
  <c r="BB1483" i="1" s="1"/>
  <c r="AL1484" i="1" a="1"/>
  <c r="AL1484" i="1" s="1"/>
  <c r="AM1484" i="1" a="1"/>
  <c r="AM1484" i="1" s="1"/>
  <c r="AN1484" i="1" a="1"/>
  <c r="AN1484" i="1" s="1"/>
  <c r="AO1484" i="1" a="1"/>
  <c r="AO1484" i="1" s="1"/>
  <c r="AP1484" i="1" a="1"/>
  <c r="AP1484" i="1" s="1"/>
  <c r="AQ1484" i="1" a="1"/>
  <c r="AQ1484" i="1" s="1"/>
  <c r="AR1484" i="1" a="1"/>
  <c r="AR1484" i="1" s="1"/>
  <c r="AS1484" i="1" a="1"/>
  <c r="AS1484" i="1" s="1"/>
  <c r="AT1484" i="1" a="1"/>
  <c r="AT1484" i="1" s="1"/>
  <c r="AU1484" i="1" a="1"/>
  <c r="AU1484" i="1" s="1"/>
  <c r="AV1484" i="1" a="1"/>
  <c r="AV1484" i="1" s="1"/>
  <c r="AW1484" i="1" a="1"/>
  <c r="AW1484" i="1" s="1"/>
  <c r="AX1484" i="1" a="1"/>
  <c r="AX1484" i="1" s="1"/>
  <c r="AY1484" i="1" a="1"/>
  <c r="AY1484" i="1" s="1"/>
  <c r="AZ1484" i="1" a="1"/>
  <c r="AZ1484" i="1" s="1"/>
  <c r="BA1484" i="1" a="1"/>
  <c r="BA1484" i="1" s="1"/>
  <c r="BB1484" i="1" a="1"/>
  <c r="BB1484" i="1" s="1"/>
  <c r="AL1485" i="1" a="1"/>
  <c r="AL1485" i="1" s="1"/>
  <c r="AM1485" i="1" a="1"/>
  <c r="AM1485" i="1" s="1"/>
  <c r="AN1485" i="1" a="1"/>
  <c r="AN1485" i="1" s="1"/>
  <c r="AO1485" i="1" a="1"/>
  <c r="AO1485" i="1" s="1"/>
  <c r="AP1485" i="1" a="1"/>
  <c r="AP1485" i="1" s="1"/>
  <c r="AQ1485" i="1" a="1"/>
  <c r="AQ1485" i="1" s="1"/>
  <c r="AR1485" i="1" a="1"/>
  <c r="AR1485" i="1" s="1"/>
  <c r="AS1485" i="1" a="1"/>
  <c r="AS1485" i="1" s="1"/>
  <c r="AT1485" i="1" a="1"/>
  <c r="AT1485" i="1" s="1"/>
  <c r="AU1485" i="1" a="1"/>
  <c r="AU1485" i="1" s="1"/>
  <c r="AV1485" i="1" a="1"/>
  <c r="AV1485" i="1" s="1"/>
  <c r="AW1485" i="1" a="1"/>
  <c r="AW1485" i="1" s="1"/>
  <c r="AX1485" i="1" a="1"/>
  <c r="AX1485" i="1" s="1"/>
  <c r="AY1485" i="1" a="1"/>
  <c r="AY1485" i="1" s="1"/>
  <c r="AZ1485" i="1" a="1"/>
  <c r="AZ1485" i="1" s="1"/>
  <c r="BA1485" i="1" a="1"/>
  <c r="BA1485" i="1" s="1"/>
  <c r="BB1485" i="1" a="1"/>
  <c r="BB1485" i="1" s="1"/>
  <c r="AL1486" i="1" a="1"/>
  <c r="AL1486" i="1" s="1"/>
  <c r="AM1486" i="1" a="1"/>
  <c r="AM1486" i="1" s="1"/>
  <c r="AN1486" i="1" a="1"/>
  <c r="AN1486" i="1" s="1"/>
  <c r="AO1486" i="1" a="1"/>
  <c r="AO1486" i="1" s="1"/>
  <c r="AP1486" i="1" a="1"/>
  <c r="AP1486" i="1" s="1"/>
  <c r="AQ1486" i="1" a="1"/>
  <c r="AQ1486" i="1" s="1"/>
  <c r="AR1486" i="1" a="1"/>
  <c r="AR1486" i="1" s="1"/>
  <c r="AS1486" i="1" a="1"/>
  <c r="AS1486" i="1" s="1"/>
  <c r="AT1486" i="1" a="1"/>
  <c r="AT1486" i="1" s="1"/>
  <c r="AU1486" i="1" a="1"/>
  <c r="AU1486" i="1" s="1"/>
  <c r="AV1486" i="1" a="1"/>
  <c r="AV1486" i="1" s="1"/>
  <c r="AW1486" i="1" a="1"/>
  <c r="AW1486" i="1" s="1"/>
  <c r="AX1486" i="1" a="1"/>
  <c r="AX1486" i="1" s="1"/>
  <c r="AY1486" i="1" a="1"/>
  <c r="AY1486" i="1" s="1"/>
  <c r="AZ1486" i="1" a="1"/>
  <c r="AZ1486" i="1" s="1"/>
  <c r="BA1486" i="1" a="1"/>
  <c r="BA1486" i="1" s="1"/>
  <c r="BB1486" i="1" a="1"/>
  <c r="BB1486" i="1" s="1"/>
  <c r="AL1487" i="1" a="1"/>
  <c r="AL1487" i="1" s="1"/>
  <c r="AM1487" i="1" a="1"/>
  <c r="AM1487" i="1" s="1"/>
  <c r="AN1487" i="1" a="1"/>
  <c r="AN1487" i="1" s="1"/>
  <c r="AO1487" i="1" a="1"/>
  <c r="AO1487" i="1" s="1"/>
  <c r="AP1487" i="1" a="1"/>
  <c r="AP1487" i="1" s="1"/>
  <c r="AQ1487" i="1" a="1"/>
  <c r="AQ1487" i="1" s="1"/>
  <c r="AR1487" i="1" a="1"/>
  <c r="AR1487" i="1" s="1"/>
  <c r="AS1487" i="1" a="1"/>
  <c r="AS1487" i="1" s="1"/>
  <c r="AT1487" i="1" a="1"/>
  <c r="AT1487" i="1" s="1"/>
  <c r="AU1487" i="1" a="1"/>
  <c r="AU1487" i="1" s="1"/>
  <c r="AV1487" i="1" a="1"/>
  <c r="AV1487" i="1" s="1"/>
  <c r="AW1487" i="1" a="1"/>
  <c r="AW1487" i="1" s="1"/>
  <c r="AX1487" i="1" a="1"/>
  <c r="AX1487" i="1" s="1"/>
  <c r="AY1487" i="1" a="1"/>
  <c r="AY1487" i="1" s="1"/>
  <c r="AZ1487" i="1" a="1"/>
  <c r="AZ1487" i="1" s="1"/>
  <c r="BA1487" i="1" a="1"/>
  <c r="BA1487" i="1" s="1"/>
  <c r="BB1487" i="1" a="1"/>
  <c r="BB1487" i="1" s="1"/>
  <c r="AL1488" i="1" a="1"/>
  <c r="AL1488" i="1" s="1"/>
  <c r="AM1488" i="1" a="1"/>
  <c r="AM1488" i="1" s="1"/>
  <c r="AN1488" i="1" a="1"/>
  <c r="AN1488" i="1" s="1"/>
  <c r="AO1488" i="1" a="1"/>
  <c r="AO1488" i="1" s="1"/>
  <c r="AP1488" i="1" a="1"/>
  <c r="AP1488" i="1" s="1"/>
  <c r="AQ1488" i="1" a="1"/>
  <c r="AQ1488" i="1" s="1"/>
  <c r="AR1488" i="1" a="1"/>
  <c r="AR1488" i="1" s="1"/>
  <c r="AS1488" i="1" a="1"/>
  <c r="AS1488" i="1" s="1"/>
  <c r="AT1488" i="1" a="1"/>
  <c r="AT1488" i="1" s="1"/>
  <c r="AU1488" i="1" a="1"/>
  <c r="AU1488" i="1" s="1"/>
  <c r="AV1488" i="1" a="1"/>
  <c r="AV1488" i="1" s="1"/>
  <c r="AW1488" i="1" a="1"/>
  <c r="AW1488" i="1" s="1"/>
  <c r="AX1488" i="1" a="1"/>
  <c r="AX1488" i="1" s="1"/>
  <c r="AY1488" i="1" a="1"/>
  <c r="AY1488" i="1" s="1"/>
  <c r="AZ1488" i="1" a="1"/>
  <c r="AZ1488" i="1" s="1"/>
  <c r="BA1488" i="1" a="1"/>
  <c r="BA1488" i="1" s="1"/>
  <c r="BB1488" i="1" a="1"/>
  <c r="BB1488" i="1" s="1"/>
  <c r="AL1489" i="1" a="1"/>
  <c r="AL1489" i="1" s="1"/>
  <c r="AM1489" i="1" a="1"/>
  <c r="AM1489" i="1" s="1"/>
  <c r="AN1489" i="1" a="1"/>
  <c r="AN1489" i="1" s="1"/>
  <c r="AO1489" i="1" a="1"/>
  <c r="AO1489" i="1" s="1"/>
  <c r="AP1489" i="1" a="1"/>
  <c r="AP1489" i="1" s="1"/>
  <c r="AQ1489" i="1" a="1"/>
  <c r="AQ1489" i="1" s="1"/>
  <c r="AR1489" i="1" a="1"/>
  <c r="AR1489" i="1" s="1"/>
  <c r="AS1489" i="1" a="1"/>
  <c r="AS1489" i="1" s="1"/>
  <c r="AT1489" i="1" a="1"/>
  <c r="AT1489" i="1" s="1"/>
  <c r="AU1489" i="1" a="1"/>
  <c r="AU1489" i="1" s="1"/>
  <c r="AV1489" i="1" a="1"/>
  <c r="AV1489" i="1" s="1"/>
  <c r="AW1489" i="1" a="1"/>
  <c r="AW1489" i="1" s="1"/>
  <c r="AX1489" i="1" a="1"/>
  <c r="AX1489" i="1" s="1"/>
  <c r="AY1489" i="1" a="1"/>
  <c r="AY1489" i="1" s="1"/>
  <c r="AZ1489" i="1" a="1"/>
  <c r="AZ1489" i="1" s="1"/>
  <c r="BA1489" i="1" a="1"/>
  <c r="BA1489" i="1" s="1"/>
  <c r="BB1489" i="1" a="1"/>
  <c r="BB1489" i="1" s="1"/>
  <c r="AL1490" i="1" a="1"/>
  <c r="AL1490" i="1" s="1"/>
  <c r="AM1490" i="1" a="1"/>
  <c r="AM1490" i="1" s="1"/>
  <c r="AN1490" i="1" a="1"/>
  <c r="AN1490" i="1" s="1"/>
  <c r="AO1490" i="1" a="1"/>
  <c r="AO1490" i="1" s="1"/>
  <c r="AP1490" i="1" a="1"/>
  <c r="AP1490" i="1" s="1"/>
  <c r="AQ1490" i="1" a="1"/>
  <c r="AQ1490" i="1" s="1"/>
  <c r="AR1490" i="1" a="1"/>
  <c r="AR1490" i="1" s="1"/>
  <c r="AS1490" i="1" a="1"/>
  <c r="AS1490" i="1" s="1"/>
  <c r="AT1490" i="1" a="1"/>
  <c r="AT1490" i="1" s="1"/>
  <c r="AU1490" i="1" a="1"/>
  <c r="AU1490" i="1" s="1"/>
  <c r="AV1490" i="1" a="1"/>
  <c r="AV1490" i="1" s="1"/>
  <c r="AW1490" i="1" a="1"/>
  <c r="AW1490" i="1" s="1"/>
  <c r="AX1490" i="1" a="1"/>
  <c r="AX1490" i="1" s="1"/>
  <c r="AY1490" i="1" a="1"/>
  <c r="AY1490" i="1" s="1"/>
  <c r="AZ1490" i="1" a="1"/>
  <c r="AZ1490" i="1" s="1"/>
  <c r="BA1490" i="1" a="1"/>
  <c r="BA1490" i="1" s="1"/>
  <c r="BB1490" i="1" a="1"/>
  <c r="BB1490" i="1" s="1"/>
  <c r="AL1491" i="1" a="1"/>
  <c r="AL1491" i="1" s="1"/>
  <c r="AM1491" i="1" a="1"/>
  <c r="AM1491" i="1" s="1"/>
  <c r="AN1491" i="1" a="1"/>
  <c r="AN1491" i="1" s="1"/>
  <c r="AO1491" i="1" a="1"/>
  <c r="AO1491" i="1" s="1"/>
  <c r="AP1491" i="1" a="1"/>
  <c r="AP1491" i="1" s="1"/>
  <c r="AQ1491" i="1" a="1"/>
  <c r="AQ1491" i="1" s="1"/>
  <c r="AR1491" i="1" a="1"/>
  <c r="AR1491" i="1" s="1"/>
  <c r="AS1491" i="1" a="1"/>
  <c r="AS1491" i="1" s="1"/>
  <c r="AT1491" i="1" a="1"/>
  <c r="AT1491" i="1" s="1"/>
  <c r="AU1491" i="1" a="1"/>
  <c r="AU1491" i="1" s="1"/>
  <c r="AV1491" i="1" a="1"/>
  <c r="AV1491" i="1" s="1"/>
  <c r="AW1491" i="1" a="1"/>
  <c r="AW1491" i="1" s="1"/>
  <c r="AX1491" i="1" a="1"/>
  <c r="AX1491" i="1" s="1"/>
  <c r="AY1491" i="1" a="1"/>
  <c r="AY1491" i="1" s="1"/>
  <c r="AZ1491" i="1" a="1"/>
  <c r="AZ1491" i="1" s="1"/>
  <c r="BA1491" i="1" a="1"/>
  <c r="BA1491" i="1" s="1"/>
  <c r="BB1491" i="1" a="1"/>
  <c r="BB1491" i="1" s="1"/>
  <c r="AL1492" i="1" a="1"/>
  <c r="AL1492" i="1" s="1"/>
  <c r="AM1492" i="1" a="1"/>
  <c r="AM1492" i="1" s="1"/>
  <c r="AN1492" i="1" a="1"/>
  <c r="AN1492" i="1" s="1"/>
  <c r="AO1492" i="1" a="1"/>
  <c r="AO1492" i="1" s="1"/>
  <c r="AP1492" i="1" a="1"/>
  <c r="AP1492" i="1" s="1"/>
  <c r="AQ1492" i="1" a="1"/>
  <c r="AQ1492" i="1" s="1"/>
  <c r="AR1492" i="1" a="1"/>
  <c r="AR1492" i="1" s="1"/>
  <c r="AS1492" i="1" a="1"/>
  <c r="AS1492" i="1" s="1"/>
  <c r="AT1492" i="1" a="1"/>
  <c r="AT1492" i="1" s="1"/>
  <c r="AU1492" i="1" a="1"/>
  <c r="AU1492" i="1" s="1"/>
  <c r="AV1492" i="1" a="1"/>
  <c r="AV1492" i="1" s="1"/>
  <c r="AW1492" i="1" a="1"/>
  <c r="AW1492" i="1" s="1"/>
  <c r="AX1492" i="1" a="1"/>
  <c r="AX1492" i="1" s="1"/>
  <c r="AY1492" i="1" a="1"/>
  <c r="AY1492" i="1" s="1"/>
  <c r="AZ1492" i="1" a="1"/>
  <c r="AZ1492" i="1" s="1"/>
  <c r="BA1492" i="1" a="1"/>
  <c r="BA1492" i="1" s="1"/>
  <c r="BB1492" i="1" a="1"/>
  <c r="BB1492" i="1" s="1"/>
  <c r="AL1493" i="1" a="1"/>
  <c r="AL1493" i="1" s="1"/>
  <c r="AM1493" i="1" a="1"/>
  <c r="AM1493" i="1" s="1"/>
  <c r="AN1493" i="1" a="1"/>
  <c r="AN1493" i="1" s="1"/>
  <c r="AO1493" i="1" a="1"/>
  <c r="AO1493" i="1" s="1"/>
  <c r="AP1493" i="1" a="1"/>
  <c r="AP1493" i="1" s="1"/>
  <c r="AQ1493" i="1" a="1"/>
  <c r="AQ1493" i="1" s="1"/>
  <c r="AR1493" i="1" a="1"/>
  <c r="AR1493" i="1" s="1"/>
  <c r="AS1493" i="1" a="1"/>
  <c r="AS1493" i="1" s="1"/>
  <c r="AT1493" i="1" a="1"/>
  <c r="AT1493" i="1" s="1"/>
  <c r="AU1493" i="1" a="1"/>
  <c r="AU1493" i="1" s="1"/>
  <c r="AV1493" i="1" a="1"/>
  <c r="AV1493" i="1" s="1"/>
  <c r="AW1493" i="1" a="1"/>
  <c r="AW1493" i="1" s="1"/>
  <c r="AX1493" i="1" a="1"/>
  <c r="AX1493" i="1" s="1"/>
  <c r="AY1493" i="1" a="1"/>
  <c r="AY1493" i="1" s="1"/>
  <c r="AZ1493" i="1" a="1"/>
  <c r="AZ1493" i="1" s="1"/>
  <c r="BA1493" i="1" a="1"/>
  <c r="BA1493" i="1" s="1"/>
  <c r="BB1493" i="1" a="1"/>
  <c r="BB1493" i="1" s="1"/>
  <c r="AL1494" i="1" a="1"/>
  <c r="AL1494" i="1" s="1"/>
  <c r="AM1494" i="1" a="1"/>
  <c r="AM1494" i="1" s="1"/>
  <c r="AN1494" i="1" a="1"/>
  <c r="AN1494" i="1" s="1"/>
  <c r="AO1494" i="1" a="1"/>
  <c r="AO1494" i="1" s="1"/>
  <c r="AP1494" i="1" a="1"/>
  <c r="AP1494" i="1" s="1"/>
  <c r="AQ1494" i="1" a="1"/>
  <c r="AQ1494" i="1" s="1"/>
  <c r="AR1494" i="1" a="1"/>
  <c r="AR1494" i="1" s="1"/>
  <c r="AS1494" i="1" a="1"/>
  <c r="AS1494" i="1" s="1"/>
  <c r="AT1494" i="1" a="1"/>
  <c r="AT1494" i="1" s="1"/>
  <c r="AU1494" i="1" a="1"/>
  <c r="AU1494" i="1" s="1"/>
  <c r="AV1494" i="1" a="1"/>
  <c r="AV1494" i="1" s="1"/>
  <c r="AW1494" i="1" a="1"/>
  <c r="AW1494" i="1" s="1"/>
  <c r="AX1494" i="1" a="1"/>
  <c r="AX1494" i="1" s="1"/>
  <c r="AY1494" i="1" a="1"/>
  <c r="AY1494" i="1" s="1"/>
  <c r="AZ1494" i="1" a="1"/>
  <c r="AZ1494" i="1" s="1"/>
  <c r="BA1494" i="1" a="1"/>
  <c r="BA1494" i="1" s="1"/>
  <c r="BB1494" i="1" a="1"/>
  <c r="BB1494" i="1" s="1"/>
  <c r="AL1495" i="1" a="1"/>
  <c r="AL1495" i="1" s="1"/>
  <c r="AM1495" i="1" a="1"/>
  <c r="AM1495" i="1" s="1"/>
  <c r="AN1495" i="1" a="1"/>
  <c r="AN1495" i="1" s="1"/>
  <c r="AO1495" i="1" a="1"/>
  <c r="AO1495" i="1" s="1"/>
  <c r="AP1495" i="1" a="1"/>
  <c r="AP1495" i="1" s="1"/>
  <c r="AQ1495" i="1" a="1"/>
  <c r="AQ1495" i="1" s="1"/>
  <c r="AR1495" i="1" a="1"/>
  <c r="AR1495" i="1" s="1"/>
  <c r="AS1495" i="1" a="1"/>
  <c r="AS1495" i="1" s="1"/>
  <c r="AT1495" i="1" a="1"/>
  <c r="AT1495" i="1" s="1"/>
  <c r="AU1495" i="1" a="1"/>
  <c r="AU1495" i="1" s="1"/>
  <c r="AV1495" i="1" a="1"/>
  <c r="AV1495" i="1" s="1"/>
  <c r="AW1495" i="1" a="1"/>
  <c r="AW1495" i="1" s="1"/>
  <c r="AX1495" i="1" a="1"/>
  <c r="AX1495" i="1" s="1"/>
  <c r="AY1495" i="1" a="1"/>
  <c r="AY1495" i="1" s="1"/>
  <c r="AZ1495" i="1" a="1"/>
  <c r="AZ1495" i="1" s="1"/>
  <c r="BA1495" i="1" a="1"/>
  <c r="BA1495" i="1" s="1"/>
  <c r="BB1495" i="1" a="1"/>
  <c r="BB1495" i="1" s="1"/>
  <c r="AL1496" i="1" a="1"/>
  <c r="AL1496" i="1" s="1"/>
  <c r="AM1496" i="1" a="1"/>
  <c r="AM1496" i="1" s="1"/>
  <c r="AN1496" i="1" a="1"/>
  <c r="AN1496" i="1" s="1"/>
  <c r="AO1496" i="1" a="1"/>
  <c r="AO1496" i="1" s="1"/>
  <c r="AP1496" i="1" a="1"/>
  <c r="AP1496" i="1" s="1"/>
  <c r="AQ1496" i="1" a="1"/>
  <c r="AQ1496" i="1" s="1"/>
  <c r="AR1496" i="1" a="1"/>
  <c r="AR1496" i="1" s="1"/>
  <c r="AS1496" i="1" a="1"/>
  <c r="AS1496" i="1" s="1"/>
  <c r="AT1496" i="1" a="1"/>
  <c r="AT1496" i="1" s="1"/>
  <c r="AU1496" i="1" a="1"/>
  <c r="AU1496" i="1" s="1"/>
  <c r="AV1496" i="1" a="1"/>
  <c r="AV1496" i="1" s="1"/>
  <c r="AW1496" i="1" a="1"/>
  <c r="AW1496" i="1" s="1"/>
  <c r="AX1496" i="1" a="1"/>
  <c r="AX1496" i="1" s="1"/>
  <c r="AY1496" i="1" a="1"/>
  <c r="AY1496" i="1" s="1"/>
  <c r="AZ1496" i="1" a="1"/>
  <c r="AZ1496" i="1" s="1"/>
  <c r="BA1496" i="1" a="1"/>
  <c r="BA1496" i="1" s="1"/>
  <c r="BB1496" i="1" a="1"/>
  <c r="BB1496" i="1" s="1"/>
  <c r="AL1497" i="1" a="1"/>
  <c r="AL1497" i="1" s="1"/>
  <c r="AM1497" i="1" a="1"/>
  <c r="AM1497" i="1" s="1"/>
  <c r="AN1497" i="1" a="1"/>
  <c r="AN1497" i="1" s="1"/>
  <c r="AO1497" i="1" a="1"/>
  <c r="AO1497" i="1" s="1"/>
  <c r="AP1497" i="1" a="1"/>
  <c r="AP1497" i="1" s="1"/>
  <c r="AQ1497" i="1" a="1"/>
  <c r="AQ1497" i="1" s="1"/>
  <c r="AR1497" i="1" a="1"/>
  <c r="AR1497" i="1" s="1"/>
  <c r="AS1497" i="1" a="1"/>
  <c r="AS1497" i="1" s="1"/>
  <c r="AT1497" i="1" a="1"/>
  <c r="AT1497" i="1" s="1"/>
  <c r="AU1497" i="1" a="1"/>
  <c r="AU1497" i="1" s="1"/>
  <c r="AV1497" i="1" a="1"/>
  <c r="AV1497" i="1" s="1"/>
  <c r="AW1497" i="1" a="1"/>
  <c r="AW1497" i="1" s="1"/>
  <c r="AX1497" i="1" a="1"/>
  <c r="AX1497" i="1" s="1"/>
  <c r="AY1497" i="1" a="1"/>
  <c r="AY1497" i="1" s="1"/>
  <c r="AZ1497" i="1" a="1"/>
  <c r="AZ1497" i="1" s="1"/>
  <c r="BA1497" i="1" a="1"/>
  <c r="BA1497" i="1" s="1"/>
  <c r="BB1497" i="1" a="1"/>
  <c r="BB1497" i="1" s="1"/>
  <c r="AL1498" i="1" a="1"/>
  <c r="AL1498" i="1" s="1"/>
  <c r="AM1498" i="1" a="1"/>
  <c r="AM1498" i="1" s="1"/>
  <c r="AN1498" i="1" a="1"/>
  <c r="AN1498" i="1" s="1"/>
  <c r="AO1498" i="1" a="1"/>
  <c r="AO1498" i="1" s="1"/>
  <c r="AP1498" i="1" a="1"/>
  <c r="AP1498" i="1" s="1"/>
  <c r="AQ1498" i="1" a="1"/>
  <c r="AQ1498" i="1" s="1"/>
  <c r="AR1498" i="1" a="1"/>
  <c r="AR1498" i="1" s="1"/>
  <c r="AS1498" i="1" a="1"/>
  <c r="AS1498" i="1" s="1"/>
  <c r="AT1498" i="1" a="1"/>
  <c r="AT1498" i="1" s="1"/>
  <c r="AU1498" i="1" a="1"/>
  <c r="AU1498" i="1" s="1"/>
  <c r="AV1498" i="1" a="1"/>
  <c r="AV1498" i="1" s="1"/>
  <c r="AW1498" i="1" a="1"/>
  <c r="AW1498" i="1" s="1"/>
  <c r="AX1498" i="1" a="1"/>
  <c r="AX1498" i="1" s="1"/>
  <c r="AY1498" i="1" a="1"/>
  <c r="AY1498" i="1" s="1"/>
  <c r="AZ1498" i="1" a="1"/>
  <c r="AZ1498" i="1" s="1"/>
  <c r="BA1498" i="1" a="1"/>
  <c r="BA1498" i="1" s="1"/>
  <c r="BB1498" i="1" a="1"/>
  <c r="BB1498" i="1" s="1"/>
  <c r="AL1499" i="1" a="1"/>
  <c r="AL1499" i="1" s="1"/>
  <c r="AM1499" i="1" a="1"/>
  <c r="AM1499" i="1" s="1"/>
  <c r="AN1499" i="1" a="1"/>
  <c r="AN1499" i="1" s="1"/>
  <c r="AO1499" i="1" a="1"/>
  <c r="AO1499" i="1" s="1"/>
  <c r="AP1499" i="1" a="1"/>
  <c r="AP1499" i="1" s="1"/>
  <c r="AQ1499" i="1" a="1"/>
  <c r="AQ1499" i="1" s="1"/>
  <c r="AR1499" i="1" a="1"/>
  <c r="AR1499" i="1" s="1"/>
  <c r="AS1499" i="1" a="1"/>
  <c r="AS1499" i="1" s="1"/>
  <c r="AT1499" i="1" a="1"/>
  <c r="AT1499" i="1" s="1"/>
  <c r="AU1499" i="1" a="1"/>
  <c r="AU1499" i="1" s="1"/>
  <c r="AV1499" i="1" a="1"/>
  <c r="AV1499" i="1" s="1"/>
  <c r="AW1499" i="1" a="1"/>
  <c r="AW1499" i="1" s="1"/>
  <c r="AX1499" i="1" a="1"/>
  <c r="AX1499" i="1" s="1"/>
  <c r="AY1499" i="1" a="1"/>
  <c r="AY1499" i="1" s="1"/>
  <c r="AZ1499" i="1" a="1"/>
  <c r="AZ1499" i="1" s="1"/>
  <c r="BA1499" i="1" a="1"/>
  <c r="BA1499" i="1" s="1"/>
  <c r="BB1499" i="1" a="1"/>
  <c r="BB1499" i="1" s="1"/>
  <c r="AL1500" i="1" a="1"/>
  <c r="AL1500" i="1" s="1"/>
  <c r="AM1500" i="1" a="1"/>
  <c r="AM1500" i="1" s="1"/>
  <c r="AN1500" i="1" a="1"/>
  <c r="AN1500" i="1" s="1"/>
  <c r="AO1500" i="1" a="1"/>
  <c r="AO1500" i="1" s="1"/>
  <c r="AP1500" i="1" a="1"/>
  <c r="AP1500" i="1" s="1"/>
  <c r="AQ1500" i="1" a="1"/>
  <c r="AQ1500" i="1" s="1"/>
  <c r="AR1500" i="1" a="1"/>
  <c r="AR1500" i="1" s="1"/>
  <c r="AS1500" i="1" a="1"/>
  <c r="AS1500" i="1" s="1"/>
  <c r="AT1500" i="1" a="1"/>
  <c r="AT1500" i="1" s="1"/>
  <c r="AU1500" i="1" a="1"/>
  <c r="AU1500" i="1" s="1"/>
  <c r="AV1500" i="1" a="1"/>
  <c r="AV1500" i="1" s="1"/>
  <c r="AW1500" i="1" a="1"/>
  <c r="AW1500" i="1" s="1"/>
  <c r="AX1500" i="1" a="1"/>
  <c r="AX1500" i="1" s="1"/>
  <c r="AY1500" i="1" a="1"/>
  <c r="AY1500" i="1" s="1"/>
  <c r="AZ1500" i="1" a="1"/>
  <c r="AZ1500" i="1" s="1"/>
  <c r="BA1500" i="1" a="1"/>
  <c r="BA1500" i="1" s="1"/>
  <c r="BB1500" i="1" a="1"/>
  <c r="BB1500" i="1" s="1"/>
  <c r="AL1501" i="1" a="1"/>
  <c r="AL1501" i="1" s="1"/>
  <c r="AM1501" i="1" a="1"/>
  <c r="AM1501" i="1" s="1"/>
  <c r="AN1501" i="1" a="1"/>
  <c r="AN1501" i="1" s="1"/>
  <c r="AO1501" i="1" a="1"/>
  <c r="AO1501" i="1" s="1"/>
  <c r="AP1501" i="1" a="1"/>
  <c r="AP1501" i="1" s="1"/>
  <c r="AQ1501" i="1" a="1"/>
  <c r="AQ1501" i="1" s="1"/>
  <c r="AR1501" i="1" a="1"/>
  <c r="AR1501" i="1" s="1"/>
  <c r="AS1501" i="1" a="1"/>
  <c r="AS1501" i="1" s="1"/>
  <c r="AT1501" i="1" a="1"/>
  <c r="AT1501" i="1" s="1"/>
  <c r="AU1501" i="1" a="1"/>
  <c r="AU1501" i="1" s="1"/>
  <c r="AV1501" i="1" a="1"/>
  <c r="AV1501" i="1" s="1"/>
  <c r="AW1501" i="1" a="1"/>
  <c r="AW1501" i="1" s="1"/>
  <c r="AX1501" i="1" a="1"/>
  <c r="AX1501" i="1" s="1"/>
  <c r="AY1501" i="1" a="1"/>
  <c r="AY1501" i="1" s="1"/>
  <c r="AZ1501" i="1" a="1"/>
  <c r="AZ1501" i="1" s="1"/>
  <c r="BA1501" i="1" a="1"/>
  <c r="BA1501" i="1" s="1"/>
  <c r="BB1501" i="1" a="1"/>
  <c r="BB1501" i="1" s="1"/>
  <c r="AL1502" i="1" a="1"/>
  <c r="AL1502" i="1" s="1"/>
  <c r="AM1502" i="1" a="1"/>
  <c r="AM1502" i="1" s="1"/>
  <c r="AN1502" i="1" a="1"/>
  <c r="AN1502" i="1" s="1"/>
  <c r="AO1502" i="1" a="1"/>
  <c r="AO1502" i="1" s="1"/>
  <c r="AP1502" i="1" a="1"/>
  <c r="AP1502" i="1" s="1"/>
  <c r="AQ1502" i="1" a="1"/>
  <c r="AQ1502" i="1" s="1"/>
  <c r="AR1502" i="1" a="1"/>
  <c r="AR1502" i="1" s="1"/>
  <c r="AS1502" i="1" a="1"/>
  <c r="AS1502" i="1" s="1"/>
  <c r="AT1502" i="1" a="1"/>
  <c r="AT1502" i="1" s="1"/>
  <c r="AU1502" i="1" a="1"/>
  <c r="AU1502" i="1" s="1"/>
  <c r="AV1502" i="1" a="1"/>
  <c r="AV1502" i="1" s="1"/>
  <c r="AW1502" i="1" a="1"/>
  <c r="AW1502" i="1" s="1"/>
  <c r="AX1502" i="1" a="1"/>
  <c r="AX1502" i="1" s="1"/>
  <c r="AY1502" i="1" a="1"/>
  <c r="AY1502" i="1" s="1"/>
  <c r="AZ1502" i="1" a="1"/>
  <c r="AZ1502" i="1" s="1"/>
  <c r="BA1502" i="1" a="1"/>
  <c r="BA1502" i="1" s="1"/>
  <c r="BB1502" i="1" a="1"/>
  <c r="BB1502" i="1" s="1"/>
  <c r="AL1503" i="1" a="1"/>
  <c r="AL1503" i="1" s="1"/>
  <c r="AM1503" i="1" a="1"/>
  <c r="AM1503" i="1" s="1"/>
  <c r="AN1503" i="1" a="1"/>
  <c r="AN1503" i="1" s="1"/>
  <c r="AO1503" i="1" a="1"/>
  <c r="AO1503" i="1" s="1"/>
  <c r="AP1503" i="1" a="1"/>
  <c r="AP1503" i="1" s="1"/>
  <c r="AQ1503" i="1" a="1"/>
  <c r="AQ1503" i="1" s="1"/>
  <c r="AR1503" i="1" a="1"/>
  <c r="AR1503" i="1" s="1"/>
  <c r="AS1503" i="1" a="1"/>
  <c r="AS1503" i="1" s="1"/>
  <c r="AT1503" i="1" a="1"/>
  <c r="AT1503" i="1" s="1"/>
  <c r="AU1503" i="1" a="1"/>
  <c r="AU1503" i="1" s="1"/>
  <c r="AV1503" i="1" a="1"/>
  <c r="AV1503" i="1" s="1"/>
  <c r="AW1503" i="1" a="1"/>
  <c r="AW1503" i="1" s="1"/>
  <c r="AX1503" i="1" a="1"/>
  <c r="AX1503" i="1" s="1"/>
  <c r="AY1503" i="1" a="1"/>
  <c r="AY1503" i="1" s="1"/>
  <c r="AZ1503" i="1" a="1"/>
  <c r="AZ1503" i="1" s="1"/>
  <c r="BA1503" i="1" a="1"/>
  <c r="BA1503" i="1" s="1"/>
  <c r="BB1503" i="1" a="1"/>
  <c r="BB1503" i="1" s="1"/>
  <c r="AL1504" i="1" a="1"/>
  <c r="AL1504" i="1" s="1"/>
  <c r="AM1504" i="1" a="1"/>
  <c r="AM1504" i="1" s="1"/>
  <c r="AN1504" i="1" a="1"/>
  <c r="AN1504" i="1" s="1"/>
  <c r="AO1504" i="1" a="1"/>
  <c r="AO1504" i="1" s="1"/>
  <c r="AP1504" i="1" a="1"/>
  <c r="AP1504" i="1" s="1"/>
  <c r="AQ1504" i="1" a="1"/>
  <c r="AQ1504" i="1" s="1"/>
  <c r="AR1504" i="1" a="1"/>
  <c r="AR1504" i="1" s="1"/>
  <c r="AS1504" i="1" a="1"/>
  <c r="AS1504" i="1" s="1"/>
  <c r="AT1504" i="1" a="1"/>
  <c r="AT1504" i="1" s="1"/>
  <c r="AU1504" i="1" a="1"/>
  <c r="AU1504" i="1" s="1"/>
  <c r="AV1504" i="1" a="1"/>
  <c r="AV1504" i="1" s="1"/>
  <c r="AW1504" i="1" a="1"/>
  <c r="AW1504" i="1" s="1"/>
  <c r="AX1504" i="1" a="1"/>
  <c r="AX1504" i="1" s="1"/>
  <c r="AY1504" i="1" a="1"/>
  <c r="AY1504" i="1" s="1"/>
  <c r="AZ1504" i="1" a="1"/>
  <c r="AZ1504" i="1" s="1"/>
  <c r="BA1504" i="1" a="1"/>
  <c r="BA1504" i="1" s="1"/>
  <c r="BB1504" i="1" a="1"/>
  <c r="BB1504" i="1" s="1"/>
  <c r="AL1505" i="1" a="1"/>
  <c r="AL1505" i="1" s="1"/>
  <c r="AM1505" i="1" a="1"/>
  <c r="AM1505" i="1" s="1"/>
  <c r="AN1505" i="1" a="1"/>
  <c r="AN1505" i="1" s="1"/>
  <c r="AO1505" i="1" a="1"/>
  <c r="AO1505" i="1" s="1"/>
  <c r="AP1505" i="1" a="1"/>
  <c r="AP1505" i="1" s="1"/>
  <c r="AQ1505" i="1" a="1"/>
  <c r="AQ1505" i="1" s="1"/>
  <c r="AR1505" i="1" a="1"/>
  <c r="AR1505" i="1" s="1"/>
  <c r="AS1505" i="1" a="1"/>
  <c r="AS1505" i="1" s="1"/>
  <c r="AT1505" i="1" a="1"/>
  <c r="AT1505" i="1" s="1"/>
  <c r="AU1505" i="1" a="1"/>
  <c r="AU1505" i="1" s="1"/>
  <c r="AV1505" i="1" a="1"/>
  <c r="AV1505" i="1" s="1"/>
  <c r="AW1505" i="1" a="1"/>
  <c r="AW1505" i="1" s="1"/>
  <c r="AX1505" i="1" a="1"/>
  <c r="AX1505" i="1" s="1"/>
  <c r="AY1505" i="1" a="1"/>
  <c r="AY1505" i="1" s="1"/>
  <c r="AZ1505" i="1" a="1"/>
  <c r="AZ1505" i="1" s="1"/>
  <c r="BA1505" i="1" a="1"/>
  <c r="BA1505" i="1" s="1"/>
  <c r="BB1505" i="1" a="1"/>
  <c r="BB1505" i="1" s="1"/>
  <c r="AL1506" i="1" a="1"/>
  <c r="AL1506" i="1" s="1"/>
  <c r="AM1506" i="1" a="1"/>
  <c r="AM1506" i="1" s="1"/>
  <c r="AN1506" i="1" a="1"/>
  <c r="AN1506" i="1" s="1"/>
  <c r="AO1506" i="1" a="1"/>
  <c r="AO1506" i="1" s="1"/>
  <c r="AP1506" i="1" a="1"/>
  <c r="AP1506" i="1" s="1"/>
  <c r="AQ1506" i="1" a="1"/>
  <c r="AQ1506" i="1" s="1"/>
  <c r="AR1506" i="1" a="1"/>
  <c r="AR1506" i="1" s="1"/>
  <c r="AS1506" i="1" a="1"/>
  <c r="AS1506" i="1" s="1"/>
  <c r="AT1506" i="1" a="1"/>
  <c r="AT1506" i="1" s="1"/>
  <c r="AU1506" i="1" a="1"/>
  <c r="AU1506" i="1" s="1"/>
  <c r="AV1506" i="1" a="1"/>
  <c r="AV1506" i="1" s="1"/>
  <c r="AW1506" i="1" a="1"/>
  <c r="AW1506" i="1" s="1"/>
  <c r="AX1506" i="1" a="1"/>
  <c r="AX1506" i="1" s="1"/>
  <c r="AY1506" i="1" a="1"/>
  <c r="AY1506" i="1" s="1"/>
  <c r="AZ1506" i="1" a="1"/>
  <c r="AZ1506" i="1" s="1"/>
  <c r="BA1506" i="1" a="1"/>
  <c r="BA1506" i="1" s="1"/>
  <c r="BB1506" i="1" a="1"/>
  <c r="BB1506" i="1" s="1"/>
  <c r="AL1507" i="1" a="1"/>
  <c r="AL1507" i="1" s="1"/>
  <c r="AM1507" i="1" a="1"/>
  <c r="AM1507" i="1" s="1"/>
  <c r="AN1507" i="1" a="1"/>
  <c r="AN1507" i="1" s="1"/>
  <c r="AO1507" i="1" a="1"/>
  <c r="AO1507" i="1" s="1"/>
  <c r="AP1507" i="1" a="1"/>
  <c r="AP1507" i="1" s="1"/>
  <c r="AQ1507" i="1" a="1"/>
  <c r="AQ1507" i="1" s="1"/>
  <c r="AR1507" i="1" a="1"/>
  <c r="AR1507" i="1" s="1"/>
  <c r="AS1507" i="1" a="1"/>
  <c r="AS1507" i="1" s="1"/>
  <c r="AT1507" i="1" a="1"/>
  <c r="AT1507" i="1" s="1"/>
  <c r="AU1507" i="1" a="1"/>
  <c r="AU1507" i="1" s="1"/>
  <c r="AV1507" i="1" a="1"/>
  <c r="AV1507" i="1" s="1"/>
  <c r="AW1507" i="1" a="1"/>
  <c r="AW1507" i="1" s="1"/>
  <c r="AX1507" i="1" a="1"/>
  <c r="AX1507" i="1" s="1"/>
  <c r="AY1507" i="1" a="1"/>
  <c r="AY1507" i="1" s="1"/>
  <c r="AZ1507" i="1" a="1"/>
  <c r="AZ1507" i="1" s="1"/>
  <c r="BA1507" i="1" a="1"/>
  <c r="BA1507" i="1" s="1"/>
  <c r="BB1507" i="1" a="1"/>
  <c r="BB1507" i="1" s="1"/>
  <c r="AL1508" i="1" a="1"/>
  <c r="AL1508" i="1" s="1"/>
  <c r="AM1508" i="1" a="1"/>
  <c r="AM1508" i="1" s="1"/>
  <c r="AN1508" i="1" a="1"/>
  <c r="AN1508" i="1" s="1"/>
  <c r="AO1508" i="1" a="1"/>
  <c r="AO1508" i="1" s="1"/>
  <c r="AP1508" i="1" a="1"/>
  <c r="AP1508" i="1" s="1"/>
  <c r="AQ1508" i="1" a="1"/>
  <c r="AQ1508" i="1" s="1"/>
  <c r="AR1508" i="1" a="1"/>
  <c r="AR1508" i="1" s="1"/>
  <c r="AS1508" i="1" a="1"/>
  <c r="AS1508" i="1" s="1"/>
  <c r="AT1508" i="1" a="1"/>
  <c r="AT1508" i="1" s="1"/>
  <c r="AU1508" i="1" a="1"/>
  <c r="AU1508" i="1" s="1"/>
  <c r="AV1508" i="1" a="1"/>
  <c r="AV1508" i="1" s="1"/>
  <c r="AW1508" i="1" a="1"/>
  <c r="AW1508" i="1" s="1"/>
  <c r="AX1508" i="1" a="1"/>
  <c r="AX1508" i="1" s="1"/>
  <c r="AY1508" i="1" a="1"/>
  <c r="AY1508" i="1" s="1"/>
  <c r="AZ1508" i="1" a="1"/>
  <c r="AZ1508" i="1" s="1"/>
  <c r="BA1508" i="1" a="1"/>
  <c r="BA1508" i="1" s="1"/>
  <c r="BB1508" i="1" a="1"/>
  <c r="BB1508" i="1" s="1"/>
  <c r="AL1509" i="1" a="1"/>
  <c r="AL1509" i="1" s="1"/>
  <c r="AM1509" i="1" a="1"/>
  <c r="AM1509" i="1" s="1"/>
  <c r="AN1509" i="1" a="1"/>
  <c r="AN1509" i="1" s="1"/>
  <c r="AO1509" i="1" a="1"/>
  <c r="AO1509" i="1" s="1"/>
  <c r="AP1509" i="1" a="1"/>
  <c r="AP1509" i="1" s="1"/>
  <c r="AQ1509" i="1" a="1"/>
  <c r="AQ1509" i="1" s="1"/>
  <c r="AR1509" i="1" a="1"/>
  <c r="AR1509" i="1" s="1"/>
  <c r="AS1509" i="1" a="1"/>
  <c r="AS1509" i="1" s="1"/>
  <c r="AT1509" i="1" a="1"/>
  <c r="AT1509" i="1" s="1"/>
  <c r="AU1509" i="1" a="1"/>
  <c r="AU1509" i="1" s="1"/>
  <c r="AV1509" i="1" a="1"/>
  <c r="AV1509" i="1" s="1"/>
  <c r="AW1509" i="1" a="1"/>
  <c r="AW1509" i="1" s="1"/>
  <c r="AX1509" i="1" a="1"/>
  <c r="AX1509" i="1" s="1"/>
  <c r="AY1509" i="1" a="1"/>
  <c r="AY1509" i="1" s="1"/>
  <c r="AZ1509" i="1" a="1"/>
  <c r="AZ1509" i="1" s="1"/>
  <c r="BA1509" i="1" a="1"/>
  <c r="BA1509" i="1" s="1"/>
  <c r="BB1509" i="1" a="1"/>
  <c r="BB1509" i="1" s="1"/>
  <c r="AL1510" i="1" a="1"/>
  <c r="AL1510" i="1" s="1"/>
  <c r="AM1510" i="1" a="1"/>
  <c r="AM1510" i="1" s="1"/>
  <c r="AN1510" i="1" a="1"/>
  <c r="AN1510" i="1" s="1"/>
  <c r="AO1510" i="1" a="1"/>
  <c r="AO1510" i="1" s="1"/>
  <c r="AP1510" i="1" a="1"/>
  <c r="AP1510" i="1" s="1"/>
  <c r="AQ1510" i="1" a="1"/>
  <c r="AQ1510" i="1" s="1"/>
  <c r="AR1510" i="1" a="1"/>
  <c r="AR1510" i="1" s="1"/>
  <c r="AS1510" i="1" a="1"/>
  <c r="AS1510" i="1" s="1"/>
  <c r="AT1510" i="1" a="1"/>
  <c r="AT1510" i="1" s="1"/>
  <c r="AU1510" i="1" a="1"/>
  <c r="AU1510" i="1" s="1"/>
  <c r="AV1510" i="1" a="1"/>
  <c r="AV1510" i="1" s="1"/>
  <c r="AW1510" i="1" a="1"/>
  <c r="AW1510" i="1" s="1"/>
  <c r="AX1510" i="1" a="1"/>
  <c r="AX1510" i="1" s="1"/>
  <c r="AY1510" i="1" a="1"/>
  <c r="AY1510" i="1" s="1"/>
  <c r="AZ1510" i="1" a="1"/>
  <c r="AZ1510" i="1" s="1"/>
  <c r="BA1510" i="1" a="1"/>
  <c r="BA1510" i="1" s="1"/>
  <c r="BB1510" i="1" a="1"/>
  <c r="BB1510" i="1" s="1"/>
  <c r="AL1511" i="1" a="1"/>
  <c r="AL1511" i="1" s="1"/>
  <c r="AM1511" i="1" a="1"/>
  <c r="AM1511" i="1" s="1"/>
  <c r="AN1511" i="1" a="1"/>
  <c r="AN1511" i="1" s="1"/>
  <c r="AO1511" i="1" a="1"/>
  <c r="AO1511" i="1" s="1"/>
  <c r="AP1511" i="1" a="1"/>
  <c r="AP1511" i="1" s="1"/>
  <c r="AQ1511" i="1" a="1"/>
  <c r="AQ1511" i="1" s="1"/>
  <c r="AR1511" i="1" a="1"/>
  <c r="AR1511" i="1" s="1"/>
  <c r="AS1511" i="1" a="1"/>
  <c r="AS1511" i="1" s="1"/>
  <c r="AT1511" i="1" a="1"/>
  <c r="AT1511" i="1" s="1"/>
  <c r="AU1511" i="1" a="1"/>
  <c r="AU1511" i="1" s="1"/>
  <c r="AV1511" i="1" a="1"/>
  <c r="AV1511" i="1" s="1"/>
  <c r="AW1511" i="1" a="1"/>
  <c r="AW1511" i="1" s="1"/>
  <c r="AX1511" i="1" a="1"/>
  <c r="AX1511" i="1" s="1"/>
  <c r="AY1511" i="1" a="1"/>
  <c r="AY1511" i="1" s="1"/>
  <c r="AZ1511" i="1" a="1"/>
  <c r="AZ1511" i="1" s="1"/>
  <c r="BA1511" i="1" a="1"/>
  <c r="BA1511" i="1" s="1"/>
  <c r="BB1511" i="1" a="1"/>
  <c r="BB1511" i="1" s="1"/>
  <c r="AL1512" i="1" a="1"/>
  <c r="AL1512" i="1" s="1"/>
  <c r="AM1512" i="1" a="1"/>
  <c r="AM1512" i="1" s="1"/>
  <c r="AN1512" i="1" a="1"/>
  <c r="AN1512" i="1" s="1"/>
  <c r="AO1512" i="1" a="1"/>
  <c r="AO1512" i="1" s="1"/>
  <c r="AP1512" i="1" a="1"/>
  <c r="AP1512" i="1" s="1"/>
  <c r="AQ1512" i="1" a="1"/>
  <c r="AQ1512" i="1" s="1"/>
  <c r="AR1512" i="1" a="1"/>
  <c r="AR1512" i="1" s="1"/>
  <c r="AS1512" i="1" a="1"/>
  <c r="AS1512" i="1" s="1"/>
  <c r="AT1512" i="1" a="1"/>
  <c r="AT1512" i="1" s="1"/>
  <c r="AU1512" i="1" a="1"/>
  <c r="AU1512" i="1" s="1"/>
  <c r="AV1512" i="1" a="1"/>
  <c r="AV1512" i="1" s="1"/>
  <c r="AW1512" i="1" a="1"/>
  <c r="AW1512" i="1" s="1"/>
  <c r="AX1512" i="1" a="1"/>
  <c r="AX1512" i="1" s="1"/>
  <c r="AY1512" i="1" a="1"/>
  <c r="AY1512" i="1" s="1"/>
  <c r="AZ1512" i="1" a="1"/>
  <c r="AZ1512" i="1" s="1"/>
  <c r="BA1512" i="1" a="1"/>
  <c r="BA1512" i="1" s="1"/>
  <c r="BB1512" i="1" a="1"/>
  <c r="BB1512" i="1" s="1"/>
  <c r="AL1513" i="1" a="1"/>
  <c r="AL1513" i="1" s="1"/>
  <c r="AM1513" i="1" a="1"/>
  <c r="AM1513" i="1" s="1"/>
  <c r="AN1513" i="1" a="1"/>
  <c r="AN1513" i="1" s="1"/>
  <c r="AO1513" i="1" a="1"/>
  <c r="AO1513" i="1" s="1"/>
  <c r="AP1513" i="1" a="1"/>
  <c r="AP1513" i="1" s="1"/>
  <c r="AQ1513" i="1" a="1"/>
  <c r="AQ1513" i="1" s="1"/>
  <c r="AR1513" i="1" a="1"/>
  <c r="AR1513" i="1" s="1"/>
  <c r="AS1513" i="1" a="1"/>
  <c r="AS1513" i="1" s="1"/>
  <c r="AT1513" i="1" a="1"/>
  <c r="AT1513" i="1" s="1"/>
  <c r="AU1513" i="1" a="1"/>
  <c r="AU1513" i="1" s="1"/>
  <c r="AV1513" i="1" a="1"/>
  <c r="AV1513" i="1" s="1"/>
  <c r="AW1513" i="1" a="1"/>
  <c r="AW1513" i="1" s="1"/>
  <c r="AX1513" i="1" a="1"/>
  <c r="AX1513" i="1" s="1"/>
  <c r="AY1513" i="1" a="1"/>
  <c r="AY1513" i="1" s="1"/>
  <c r="AZ1513" i="1" a="1"/>
  <c r="AZ1513" i="1" s="1"/>
  <c r="BA1513" i="1" a="1"/>
  <c r="BA1513" i="1" s="1"/>
  <c r="BB1513" i="1" a="1"/>
  <c r="BB1513" i="1" s="1"/>
  <c r="AL1514" i="1" a="1"/>
  <c r="AL1514" i="1" s="1"/>
  <c r="AM1514" i="1" a="1"/>
  <c r="AM1514" i="1" s="1"/>
  <c r="AN1514" i="1" a="1"/>
  <c r="AN1514" i="1" s="1"/>
  <c r="AO1514" i="1" a="1"/>
  <c r="AO1514" i="1" s="1"/>
  <c r="AP1514" i="1" a="1"/>
  <c r="AP1514" i="1" s="1"/>
  <c r="AQ1514" i="1" a="1"/>
  <c r="AQ1514" i="1" s="1"/>
  <c r="AR1514" i="1" a="1"/>
  <c r="AR1514" i="1" s="1"/>
  <c r="AS1514" i="1" a="1"/>
  <c r="AS1514" i="1" s="1"/>
  <c r="AT1514" i="1" a="1"/>
  <c r="AT1514" i="1" s="1"/>
  <c r="AU1514" i="1" a="1"/>
  <c r="AU1514" i="1" s="1"/>
  <c r="AV1514" i="1" a="1"/>
  <c r="AV1514" i="1" s="1"/>
  <c r="AW1514" i="1" a="1"/>
  <c r="AW1514" i="1" s="1"/>
  <c r="AX1514" i="1" a="1"/>
  <c r="AX1514" i="1" s="1"/>
  <c r="AY1514" i="1" a="1"/>
  <c r="AY1514" i="1" s="1"/>
  <c r="AZ1514" i="1" a="1"/>
  <c r="AZ1514" i="1" s="1"/>
  <c r="BA1514" i="1" a="1"/>
  <c r="BA1514" i="1" s="1"/>
  <c r="BB1514" i="1" a="1"/>
  <c r="BB1514" i="1" s="1"/>
  <c r="AL1515" i="1" a="1"/>
  <c r="AL1515" i="1" s="1"/>
  <c r="AM1515" i="1" a="1"/>
  <c r="AM1515" i="1" s="1"/>
  <c r="AN1515" i="1" a="1"/>
  <c r="AN1515" i="1" s="1"/>
  <c r="AO1515" i="1" a="1"/>
  <c r="AO1515" i="1" s="1"/>
  <c r="AP1515" i="1" a="1"/>
  <c r="AP1515" i="1" s="1"/>
  <c r="AQ1515" i="1" a="1"/>
  <c r="AQ1515" i="1" s="1"/>
  <c r="AR1515" i="1" a="1"/>
  <c r="AR1515" i="1" s="1"/>
  <c r="AS1515" i="1" a="1"/>
  <c r="AS1515" i="1" s="1"/>
  <c r="AT1515" i="1" a="1"/>
  <c r="AT1515" i="1" s="1"/>
  <c r="AU1515" i="1" a="1"/>
  <c r="AU1515" i="1" s="1"/>
  <c r="AV1515" i="1" a="1"/>
  <c r="AV1515" i="1" s="1"/>
  <c r="AW1515" i="1" a="1"/>
  <c r="AW1515" i="1" s="1"/>
  <c r="AX1515" i="1" a="1"/>
  <c r="AX1515" i="1" s="1"/>
  <c r="AY1515" i="1" a="1"/>
  <c r="AY1515" i="1" s="1"/>
  <c r="AZ1515" i="1" a="1"/>
  <c r="AZ1515" i="1" s="1"/>
  <c r="BA1515" i="1" a="1"/>
  <c r="BA1515" i="1" s="1"/>
  <c r="BB1515" i="1" a="1"/>
  <c r="BB1515" i="1" s="1"/>
  <c r="AL1516" i="1" a="1"/>
  <c r="AL1516" i="1" s="1"/>
  <c r="AM1516" i="1" a="1"/>
  <c r="AM1516" i="1" s="1"/>
  <c r="AN1516" i="1" a="1"/>
  <c r="AN1516" i="1" s="1"/>
  <c r="AO1516" i="1" a="1"/>
  <c r="AO1516" i="1" s="1"/>
  <c r="AP1516" i="1" a="1"/>
  <c r="AP1516" i="1" s="1"/>
  <c r="AQ1516" i="1" a="1"/>
  <c r="AQ1516" i="1" s="1"/>
  <c r="AR1516" i="1" a="1"/>
  <c r="AR1516" i="1" s="1"/>
  <c r="AS1516" i="1" a="1"/>
  <c r="AS1516" i="1" s="1"/>
  <c r="AT1516" i="1" a="1"/>
  <c r="AT1516" i="1" s="1"/>
  <c r="AU1516" i="1" a="1"/>
  <c r="AU1516" i="1" s="1"/>
  <c r="AV1516" i="1" a="1"/>
  <c r="AV1516" i="1" s="1"/>
  <c r="AW1516" i="1" a="1"/>
  <c r="AW1516" i="1" s="1"/>
  <c r="AX1516" i="1" a="1"/>
  <c r="AX1516" i="1" s="1"/>
  <c r="AY1516" i="1" a="1"/>
  <c r="AY1516" i="1" s="1"/>
  <c r="AZ1516" i="1" a="1"/>
  <c r="AZ1516" i="1" s="1"/>
  <c r="BA1516" i="1" a="1"/>
  <c r="BA1516" i="1" s="1"/>
  <c r="BB1516" i="1" a="1"/>
  <c r="BB1516" i="1" s="1"/>
  <c r="AL1517" i="1" a="1"/>
  <c r="AL1517" i="1" s="1"/>
  <c r="AM1517" i="1" a="1"/>
  <c r="AM1517" i="1" s="1"/>
  <c r="AN1517" i="1" a="1"/>
  <c r="AN1517" i="1" s="1"/>
  <c r="AO1517" i="1" a="1"/>
  <c r="AO1517" i="1" s="1"/>
  <c r="AP1517" i="1" a="1"/>
  <c r="AP1517" i="1" s="1"/>
  <c r="AQ1517" i="1" a="1"/>
  <c r="AQ1517" i="1" s="1"/>
  <c r="AR1517" i="1" a="1"/>
  <c r="AR1517" i="1" s="1"/>
  <c r="AS1517" i="1" a="1"/>
  <c r="AS1517" i="1" s="1"/>
  <c r="AT1517" i="1" a="1"/>
  <c r="AT1517" i="1" s="1"/>
  <c r="AU1517" i="1" a="1"/>
  <c r="AU1517" i="1" s="1"/>
  <c r="AV1517" i="1" a="1"/>
  <c r="AV1517" i="1" s="1"/>
  <c r="AW1517" i="1" a="1"/>
  <c r="AW1517" i="1" s="1"/>
  <c r="AX1517" i="1" a="1"/>
  <c r="AX1517" i="1" s="1"/>
  <c r="AY1517" i="1" a="1"/>
  <c r="AY1517" i="1" s="1"/>
  <c r="AZ1517" i="1" a="1"/>
  <c r="AZ1517" i="1" s="1"/>
  <c r="BA1517" i="1" a="1"/>
  <c r="BA1517" i="1" s="1"/>
  <c r="BB1517" i="1" a="1"/>
  <c r="BB1517" i="1" s="1"/>
  <c r="AL1518" i="1" a="1"/>
  <c r="AL1518" i="1" s="1"/>
  <c r="AM1518" i="1" a="1"/>
  <c r="AM1518" i="1" s="1"/>
  <c r="AN1518" i="1" a="1"/>
  <c r="AN1518" i="1" s="1"/>
  <c r="AO1518" i="1" a="1"/>
  <c r="AO1518" i="1" s="1"/>
  <c r="AP1518" i="1" a="1"/>
  <c r="AP1518" i="1" s="1"/>
  <c r="AQ1518" i="1" a="1"/>
  <c r="AQ1518" i="1" s="1"/>
  <c r="AR1518" i="1" a="1"/>
  <c r="AR1518" i="1" s="1"/>
  <c r="AS1518" i="1" a="1"/>
  <c r="AS1518" i="1" s="1"/>
  <c r="AT1518" i="1" a="1"/>
  <c r="AT1518" i="1" s="1"/>
  <c r="AU1518" i="1" a="1"/>
  <c r="AU1518" i="1" s="1"/>
  <c r="AV1518" i="1" a="1"/>
  <c r="AV1518" i="1" s="1"/>
  <c r="AW1518" i="1" a="1"/>
  <c r="AW1518" i="1" s="1"/>
  <c r="AX1518" i="1" a="1"/>
  <c r="AX1518" i="1" s="1"/>
  <c r="AY1518" i="1" a="1"/>
  <c r="AY1518" i="1" s="1"/>
  <c r="AZ1518" i="1" a="1"/>
  <c r="AZ1518" i="1" s="1"/>
  <c r="BA1518" i="1" a="1"/>
  <c r="BA1518" i="1" s="1"/>
  <c r="BB1518" i="1" a="1"/>
  <c r="BB1518" i="1" s="1"/>
  <c r="AL1519" i="1" a="1"/>
  <c r="AL1519" i="1" s="1"/>
  <c r="AM1519" i="1" a="1"/>
  <c r="AM1519" i="1" s="1"/>
  <c r="AN1519" i="1" a="1"/>
  <c r="AN1519" i="1" s="1"/>
  <c r="AO1519" i="1" a="1"/>
  <c r="AO1519" i="1" s="1"/>
  <c r="AP1519" i="1" a="1"/>
  <c r="AP1519" i="1" s="1"/>
  <c r="AQ1519" i="1" a="1"/>
  <c r="AQ1519" i="1" s="1"/>
  <c r="AR1519" i="1" a="1"/>
  <c r="AR1519" i="1" s="1"/>
  <c r="AS1519" i="1" a="1"/>
  <c r="AS1519" i="1" s="1"/>
  <c r="AT1519" i="1" a="1"/>
  <c r="AT1519" i="1" s="1"/>
  <c r="AU1519" i="1" a="1"/>
  <c r="AU1519" i="1" s="1"/>
  <c r="AV1519" i="1" a="1"/>
  <c r="AV1519" i="1" s="1"/>
  <c r="AW1519" i="1" a="1"/>
  <c r="AW1519" i="1" s="1"/>
  <c r="AX1519" i="1" a="1"/>
  <c r="AX1519" i="1" s="1"/>
  <c r="AY1519" i="1" a="1"/>
  <c r="AY1519" i="1" s="1"/>
  <c r="AZ1519" i="1" a="1"/>
  <c r="AZ1519" i="1" s="1"/>
  <c r="BA1519" i="1" a="1"/>
  <c r="BA1519" i="1" s="1"/>
  <c r="BB1519" i="1" a="1"/>
  <c r="BB1519" i="1" s="1"/>
  <c r="AL1520" i="1" a="1"/>
  <c r="AL1520" i="1" s="1"/>
  <c r="AM1520" i="1" a="1"/>
  <c r="AM1520" i="1" s="1"/>
  <c r="AN1520" i="1" a="1"/>
  <c r="AN1520" i="1" s="1"/>
  <c r="AO1520" i="1" a="1"/>
  <c r="AO1520" i="1" s="1"/>
  <c r="AP1520" i="1" a="1"/>
  <c r="AP1520" i="1" s="1"/>
  <c r="AQ1520" i="1" a="1"/>
  <c r="AQ1520" i="1" s="1"/>
  <c r="AR1520" i="1" a="1"/>
  <c r="AR1520" i="1" s="1"/>
  <c r="AS1520" i="1" a="1"/>
  <c r="AS1520" i="1" s="1"/>
  <c r="AT1520" i="1" a="1"/>
  <c r="AT1520" i="1" s="1"/>
  <c r="AU1520" i="1" a="1"/>
  <c r="AU1520" i="1" s="1"/>
  <c r="AV1520" i="1" a="1"/>
  <c r="AV1520" i="1" s="1"/>
  <c r="AW1520" i="1" a="1"/>
  <c r="AW1520" i="1" s="1"/>
  <c r="AX1520" i="1" a="1"/>
  <c r="AX1520" i="1" s="1"/>
  <c r="AY1520" i="1" a="1"/>
  <c r="AY1520" i="1" s="1"/>
  <c r="AZ1520" i="1" a="1"/>
  <c r="AZ1520" i="1" s="1"/>
  <c r="BA1520" i="1" a="1"/>
  <c r="BA1520" i="1" s="1"/>
  <c r="BB1520" i="1" a="1"/>
  <c r="BB1520" i="1" s="1"/>
  <c r="AL1521" i="1" a="1"/>
  <c r="AL1521" i="1" s="1"/>
  <c r="AM1521" i="1" a="1"/>
  <c r="AM1521" i="1" s="1"/>
  <c r="AN1521" i="1" a="1"/>
  <c r="AN1521" i="1" s="1"/>
  <c r="AO1521" i="1" a="1"/>
  <c r="AO1521" i="1" s="1"/>
  <c r="AP1521" i="1" a="1"/>
  <c r="AP1521" i="1" s="1"/>
  <c r="AQ1521" i="1" a="1"/>
  <c r="AQ1521" i="1" s="1"/>
  <c r="AR1521" i="1" a="1"/>
  <c r="AR1521" i="1" s="1"/>
  <c r="AS1521" i="1" a="1"/>
  <c r="AS1521" i="1" s="1"/>
  <c r="AT1521" i="1" a="1"/>
  <c r="AT1521" i="1" s="1"/>
  <c r="AU1521" i="1" a="1"/>
  <c r="AU1521" i="1" s="1"/>
  <c r="AV1521" i="1" a="1"/>
  <c r="AV1521" i="1" s="1"/>
  <c r="AW1521" i="1" a="1"/>
  <c r="AW1521" i="1" s="1"/>
  <c r="AX1521" i="1" a="1"/>
  <c r="AX1521" i="1" s="1"/>
  <c r="AY1521" i="1" a="1"/>
  <c r="AY1521" i="1" s="1"/>
  <c r="AZ1521" i="1" a="1"/>
  <c r="AZ1521" i="1" s="1"/>
  <c r="BA1521" i="1" a="1"/>
  <c r="BA1521" i="1" s="1"/>
  <c r="BB1521" i="1" a="1"/>
  <c r="BB1521" i="1" s="1"/>
  <c r="AL1522" i="1" a="1"/>
  <c r="AL1522" i="1" s="1"/>
  <c r="AM1522" i="1" a="1"/>
  <c r="AM1522" i="1" s="1"/>
  <c r="AN1522" i="1" a="1"/>
  <c r="AN1522" i="1" s="1"/>
  <c r="AO1522" i="1" a="1"/>
  <c r="AO1522" i="1" s="1"/>
  <c r="AP1522" i="1" a="1"/>
  <c r="AP1522" i="1" s="1"/>
  <c r="AQ1522" i="1" a="1"/>
  <c r="AQ1522" i="1" s="1"/>
  <c r="AR1522" i="1" a="1"/>
  <c r="AR1522" i="1" s="1"/>
  <c r="AS1522" i="1" a="1"/>
  <c r="AS1522" i="1" s="1"/>
  <c r="AT1522" i="1" a="1"/>
  <c r="AT1522" i="1" s="1"/>
  <c r="AU1522" i="1" a="1"/>
  <c r="AU1522" i="1" s="1"/>
  <c r="AV1522" i="1" a="1"/>
  <c r="AV1522" i="1" s="1"/>
  <c r="AW1522" i="1" a="1"/>
  <c r="AW1522" i="1" s="1"/>
  <c r="AX1522" i="1" a="1"/>
  <c r="AX1522" i="1" s="1"/>
  <c r="AY1522" i="1" a="1"/>
  <c r="AY1522" i="1" s="1"/>
  <c r="AZ1522" i="1" a="1"/>
  <c r="AZ1522" i="1" s="1"/>
  <c r="BA1522" i="1" a="1"/>
  <c r="BA1522" i="1" s="1"/>
  <c r="BB1522" i="1" a="1"/>
  <c r="BB1522" i="1" s="1"/>
  <c r="AL1523" i="1" a="1"/>
  <c r="AL1523" i="1" s="1"/>
  <c r="AM1523" i="1" a="1"/>
  <c r="AM1523" i="1" s="1"/>
  <c r="AN1523" i="1" a="1"/>
  <c r="AN1523" i="1" s="1"/>
  <c r="AO1523" i="1" a="1"/>
  <c r="AO1523" i="1" s="1"/>
  <c r="AP1523" i="1" a="1"/>
  <c r="AP1523" i="1" s="1"/>
  <c r="AQ1523" i="1" a="1"/>
  <c r="AQ1523" i="1" s="1"/>
  <c r="AR1523" i="1" a="1"/>
  <c r="AR1523" i="1" s="1"/>
  <c r="AS1523" i="1" a="1"/>
  <c r="AS1523" i="1" s="1"/>
  <c r="AT1523" i="1" a="1"/>
  <c r="AT1523" i="1" s="1"/>
  <c r="AU1523" i="1" a="1"/>
  <c r="AU1523" i="1" s="1"/>
  <c r="AV1523" i="1" a="1"/>
  <c r="AV1523" i="1" s="1"/>
  <c r="AW1523" i="1" a="1"/>
  <c r="AW1523" i="1" s="1"/>
  <c r="AX1523" i="1" a="1"/>
  <c r="AX1523" i="1" s="1"/>
  <c r="AY1523" i="1" a="1"/>
  <c r="AY1523" i="1" s="1"/>
  <c r="AZ1523" i="1" a="1"/>
  <c r="AZ1523" i="1" s="1"/>
  <c r="BA1523" i="1" a="1"/>
  <c r="BA1523" i="1" s="1"/>
  <c r="BB1523" i="1" a="1"/>
  <c r="BB1523" i="1" s="1"/>
  <c r="AL1524" i="1" a="1"/>
  <c r="AL1524" i="1" s="1"/>
  <c r="AM1524" i="1" a="1"/>
  <c r="AM1524" i="1" s="1"/>
  <c r="AN1524" i="1" a="1"/>
  <c r="AN1524" i="1" s="1"/>
  <c r="AO1524" i="1" a="1"/>
  <c r="AO1524" i="1" s="1"/>
  <c r="AP1524" i="1" a="1"/>
  <c r="AP1524" i="1" s="1"/>
  <c r="AQ1524" i="1" a="1"/>
  <c r="AQ1524" i="1" s="1"/>
  <c r="AR1524" i="1" a="1"/>
  <c r="AR1524" i="1" s="1"/>
  <c r="AS1524" i="1" a="1"/>
  <c r="AS1524" i="1" s="1"/>
  <c r="AT1524" i="1" a="1"/>
  <c r="AT1524" i="1" s="1"/>
  <c r="AU1524" i="1" a="1"/>
  <c r="AU1524" i="1" s="1"/>
  <c r="AV1524" i="1" a="1"/>
  <c r="AV1524" i="1" s="1"/>
  <c r="AW1524" i="1" a="1"/>
  <c r="AW1524" i="1" s="1"/>
  <c r="AX1524" i="1" a="1"/>
  <c r="AX1524" i="1" s="1"/>
  <c r="AY1524" i="1" a="1"/>
  <c r="AY1524" i="1" s="1"/>
  <c r="AZ1524" i="1" a="1"/>
  <c r="AZ1524" i="1" s="1"/>
  <c r="BA1524" i="1" a="1"/>
  <c r="BA1524" i="1" s="1"/>
  <c r="BB1524" i="1" a="1"/>
  <c r="BB1524" i="1" s="1"/>
  <c r="AL1525" i="1" a="1"/>
  <c r="AL1525" i="1" s="1"/>
  <c r="AM1525" i="1" a="1"/>
  <c r="AM1525" i="1" s="1"/>
  <c r="AN1525" i="1" a="1"/>
  <c r="AN1525" i="1" s="1"/>
  <c r="AO1525" i="1" a="1"/>
  <c r="AO1525" i="1" s="1"/>
  <c r="AP1525" i="1" a="1"/>
  <c r="AP1525" i="1" s="1"/>
  <c r="AQ1525" i="1" a="1"/>
  <c r="AQ1525" i="1" s="1"/>
  <c r="AR1525" i="1" a="1"/>
  <c r="AR1525" i="1" s="1"/>
  <c r="AS1525" i="1" a="1"/>
  <c r="AS1525" i="1" s="1"/>
  <c r="AT1525" i="1" a="1"/>
  <c r="AT1525" i="1" s="1"/>
  <c r="AU1525" i="1" a="1"/>
  <c r="AU1525" i="1" s="1"/>
  <c r="AV1525" i="1" a="1"/>
  <c r="AV1525" i="1" s="1"/>
  <c r="AW1525" i="1" a="1"/>
  <c r="AW1525" i="1" s="1"/>
  <c r="AX1525" i="1" a="1"/>
  <c r="AX1525" i="1" s="1"/>
  <c r="AY1525" i="1" a="1"/>
  <c r="AY1525" i="1" s="1"/>
  <c r="AZ1525" i="1" a="1"/>
  <c r="AZ1525" i="1" s="1"/>
  <c r="BA1525" i="1" a="1"/>
  <c r="BA1525" i="1" s="1"/>
  <c r="BB1525" i="1" a="1"/>
  <c r="BB1525" i="1" s="1"/>
  <c r="AL1526" i="1" a="1"/>
  <c r="AL1526" i="1" s="1"/>
  <c r="AM1526" i="1" a="1"/>
  <c r="AM1526" i="1" s="1"/>
  <c r="AN1526" i="1" a="1"/>
  <c r="AN1526" i="1" s="1"/>
  <c r="AO1526" i="1" a="1"/>
  <c r="AO1526" i="1" s="1"/>
  <c r="AP1526" i="1" a="1"/>
  <c r="AP1526" i="1" s="1"/>
  <c r="AQ1526" i="1" a="1"/>
  <c r="AQ1526" i="1" s="1"/>
  <c r="AR1526" i="1" a="1"/>
  <c r="AR1526" i="1" s="1"/>
  <c r="AS1526" i="1" a="1"/>
  <c r="AS1526" i="1" s="1"/>
  <c r="AT1526" i="1" a="1"/>
  <c r="AT1526" i="1" s="1"/>
  <c r="AU1526" i="1" a="1"/>
  <c r="AU1526" i="1" s="1"/>
  <c r="AV1526" i="1" a="1"/>
  <c r="AV1526" i="1" s="1"/>
  <c r="AW1526" i="1" a="1"/>
  <c r="AW1526" i="1" s="1"/>
  <c r="AX1526" i="1" a="1"/>
  <c r="AX1526" i="1" s="1"/>
  <c r="AY1526" i="1" a="1"/>
  <c r="AY1526" i="1" s="1"/>
  <c r="AZ1526" i="1" a="1"/>
  <c r="AZ1526" i="1" s="1"/>
  <c r="BA1526" i="1" a="1"/>
  <c r="BA1526" i="1" s="1"/>
  <c r="BB1526" i="1" a="1"/>
  <c r="BB1526" i="1" s="1"/>
  <c r="AL1527" i="1" a="1"/>
  <c r="AL1527" i="1" s="1"/>
  <c r="AM1527" i="1" a="1"/>
  <c r="AM1527" i="1" s="1"/>
  <c r="AN1527" i="1" a="1"/>
  <c r="AN1527" i="1" s="1"/>
  <c r="AO1527" i="1" a="1"/>
  <c r="AO1527" i="1" s="1"/>
  <c r="AP1527" i="1" a="1"/>
  <c r="AP1527" i="1" s="1"/>
  <c r="AQ1527" i="1" a="1"/>
  <c r="AQ1527" i="1" s="1"/>
  <c r="AR1527" i="1" a="1"/>
  <c r="AR1527" i="1" s="1"/>
  <c r="AS1527" i="1" a="1"/>
  <c r="AS1527" i="1" s="1"/>
  <c r="AT1527" i="1" a="1"/>
  <c r="AT1527" i="1" s="1"/>
  <c r="AU1527" i="1" a="1"/>
  <c r="AU1527" i="1" s="1"/>
  <c r="AV1527" i="1" a="1"/>
  <c r="AV1527" i="1" s="1"/>
  <c r="AW1527" i="1" a="1"/>
  <c r="AW1527" i="1" s="1"/>
  <c r="AX1527" i="1" a="1"/>
  <c r="AX1527" i="1" s="1"/>
  <c r="AY1527" i="1" a="1"/>
  <c r="AY1527" i="1" s="1"/>
  <c r="AZ1527" i="1" a="1"/>
  <c r="AZ1527" i="1" s="1"/>
  <c r="BA1527" i="1" a="1"/>
  <c r="BA1527" i="1" s="1"/>
  <c r="BB1527" i="1" a="1"/>
  <c r="BB1527" i="1" s="1"/>
  <c r="AL1528" i="1" a="1"/>
  <c r="AL1528" i="1" s="1"/>
  <c r="AM1528" i="1" a="1"/>
  <c r="AM1528" i="1" s="1"/>
  <c r="AN1528" i="1" a="1"/>
  <c r="AN1528" i="1" s="1"/>
  <c r="AO1528" i="1" a="1"/>
  <c r="AO1528" i="1" s="1"/>
  <c r="AP1528" i="1" a="1"/>
  <c r="AP1528" i="1" s="1"/>
  <c r="AQ1528" i="1" a="1"/>
  <c r="AQ1528" i="1" s="1"/>
  <c r="AR1528" i="1" a="1"/>
  <c r="AR1528" i="1" s="1"/>
  <c r="AS1528" i="1" a="1"/>
  <c r="AS1528" i="1" s="1"/>
  <c r="AT1528" i="1" a="1"/>
  <c r="AT1528" i="1" s="1"/>
  <c r="AU1528" i="1" a="1"/>
  <c r="AU1528" i="1" s="1"/>
  <c r="AV1528" i="1" a="1"/>
  <c r="AV1528" i="1" s="1"/>
  <c r="AW1528" i="1" a="1"/>
  <c r="AW1528" i="1" s="1"/>
  <c r="AX1528" i="1" a="1"/>
  <c r="AX1528" i="1" s="1"/>
  <c r="AY1528" i="1" a="1"/>
  <c r="AY1528" i="1" s="1"/>
  <c r="AZ1528" i="1" a="1"/>
  <c r="AZ1528" i="1" s="1"/>
  <c r="BA1528" i="1" a="1"/>
  <c r="BA1528" i="1" s="1"/>
  <c r="BB1528" i="1" a="1"/>
  <c r="BB1528" i="1" s="1"/>
  <c r="AL1529" i="1" a="1"/>
  <c r="AL1529" i="1" s="1"/>
  <c r="AM1529" i="1" a="1"/>
  <c r="AM1529" i="1" s="1"/>
  <c r="AN1529" i="1" a="1"/>
  <c r="AN1529" i="1" s="1"/>
  <c r="AO1529" i="1" a="1"/>
  <c r="AO1529" i="1" s="1"/>
  <c r="AP1529" i="1" a="1"/>
  <c r="AP1529" i="1" s="1"/>
  <c r="AQ1529" i="1" a="1"/>
  <c r="AQ1529" i="1" s="1"/>
  <c r="AR1529" i="1" a="1"/>
  <c r="AR1529" i="1" s="1"/>
  <c r="AS1529" i="1" a="1"/>
  <c r="AS1529" i="1" s="1"/>
  <c r="AT1529" i="1" a="1"/>
  <c r="AT1529" i="1" s="1"/>
  <c r="AU1529" i="1" a="1"/>
  <c r="AU1529" i="1" s="1"/>
  <c r="AV1529" i="1" a="1"/>
  <c r="AV1529" i="1" s="1"/>
  <c r="AW1529" i="1" a="1"/>
  <c r="AW1529" i="1" s="1"/>
  <c r="AX1529" i="1" a="1"/>
  <c r="AX1529" i="1" s="1"/>
  <c r="AY1529" i="1" a="1"/>
  <c r="AY1529" i="1" s="1"/>
  <c r="AZ1529" i="1" a="1"/>
  <c r="AZ1529" i="1" s="1"/>
  <c r="BA1529" i="1" a="1"/>
  <c r="BA1529" i="1" s="1"/>
  <c r="BB1529" i="1" a="1"/>
  <c r="BB1529" i="1" s="1"/>
  <c r="AL1530" i="1" a="1"/>
  <c r="AL1530" i="1" s="1"/>
  <c r="AM1530" i="1" a="1"/>
  <c r="AM1530" i="1" s="1"/>
  <c r="AN1530" i="1" a="1"/>
  <c r="AN1530" i="1" s="1"/>
  <c r="AO1530" i="1" a="1"/>
  <c r="AO1530" i="1" s="1"/>
  <c r="AP1530" i="1" a="1"/>
  <c r="AP1530" i="1" s="1"/>
  <c r="AQ1530" i="1" a="1"/>
  <c r="AQ1530" i="1" s="1"/>
  <c r="AR1530" i="1" a="1"/>
  <c r="AR1530" i="1" s="1"/>
  <c r="AS1530" i="1" a="1"/>
  <c r="AS1530" i="1" s="1"/>
  <c r="AT1530" i="1" a="1"/>
  <c r="AT1530" i="1" s="1"/>
  <c r="AU1530" i="1" a="1"/>
  <c r="AU1530" i="1" s="1"/>
  <c r="AV1530" i="1" a="1"/>
  <c r="AV1530" i="1" s="1"/>
  <c r="AW1530" i="1" a="1"/>
  <c r="AW1530" i="1" s="1"/>
  <c r="AX1530" i="1" a="1"/>
  <c r="AX1530" i="1" s="1"/>
  <c r="AY1530" i="1" a="1"/>
  <c r="AY1530" i="1" s="1"/>
  <c r="AZ1530" i="1" a="1"/>
  <c r="AZ1530" i="1" s="1"/>
  <c r="BA1530" i="1" a="1"/>
  <c r="BA1530" i="1" s="1"/>
  <c r="BB1530" i="1" a="1"/>
  <c r="BB1530" i="1" s="1"/>
  <c r="AL1531" i="1" a="1"/>
  <c r="AL1531" i="1" s="1"/>
  <c r="AM1531" i="1" a="1"/>
  <c r="AM1531" i="1" s="1"/>
  <c r="AN1531" i="1" a="1"/>
  <c r="AN1531" i="1" s="1"/>
  <c r="AO1531" i="1" a="1"/>
  <c r="AO1531" i="1" s="1"/>
  <c r="AP1531" i="1" a="1"/>
  <c r="AP1531" i="1" s="1"/>
  <c r="AQ1531" i="1" a="1"/>
  <c r="AQ1531" i="1" s="1"/>
  <c r="AR1531" i="1" a="1"/>
  <c r="AR1531" i="1" s="1"/>
  <c r="AS1531" i="1" a="1"/>
  <c r="AS1531" i="1" s="1"/>
  <c r="AT1531" i="1" a="1"/>
  <c r="AT1531" i="1" s="1"/>
  <c r="AU1531" i="1" a="1"/>
  <c r="AU1531" i="1" s="1"/>
  <c r="AV1531" i="1" a="1"/>
  <c r="AV1531" i="1" s="1"/>
  <c r="AW1531" i="1" a="1"/>
  <c r="AW1531" i="1" s="1"/>
  <c r="AX1531" i="1" a="1"/>
  <c r="AX1531" i="1" s="1"/>
  <c r="AY1531" i="1" a="1"/>
  <c r="AY1531" i="1" s="1"/>
  <c r="AZ1531" i="1" a="1"/>
  <c r="AZ1531" i="1" s="1"/>
  <c r="BA1531" i="1" a="1"/>
  <c r="BA1531" i="1" s="1"/>
  <c r="BB1531" i="1" a="1"/>
  <c r="BB1531" i="1" s="1"/>
  <c r="AL1532" i="1" a="1"/>
  <c r="AL1532" i="1" s="1"/>
  <c r="AM1532" i="1" a="1"/>
  <c r="AM1532" i="1" s="1"/>
  <c r="AN1532" i="1" a="1"/>
  <c r="AN1532" i="1" s="1"/>
  <c r="AO1532" i="1" a="1"/>
  <c r="AO1532" i="1" s="1"/>
  <c r="AP1532" i="1" a="1"/>
  <c r="AP1532" i="1" s="1"/>
  <c r="AQ1532" i="1" a="1"/>
  <c r="AQ1532" i="1" s="1"/>
  <c r="AR1532" i="1" a="1"/>
  <c r="AR1532" i="1" s="1"/>
  <c r="AS1532" i="1" a="1"/>
  <c r="AS1532" i="1" s="1"/>
  <c r="AT1532" i="1" a="1"/>
  <c r="AT1532" i="1" s="1"/>
  <c r="AU1532" i="1" a="1"/>
  <c r="AU1532" i="1" s="1"/>
  <c r="AV1532" i="1" a="1"/>
  <c r="AV1532" i="1" s="1"/>
  <c r="AW1532" i="1" a="1"/>
  <c r="AW1532" i="1" s="1"/>
  <c r="AX1532" i="1" a="1"/>
  <c r="AX1532" i="1" s="1"/>
  <c r="AY1532" i="1" a="1"/>
  <c r="AY1532" i="1" s="1"/>
  <c r="AZ1532" i="1" a="1"/>
  <c r="AZ1532" i="1" s="1"/>
  <c r="BA1532" i="1" a="1"/>
  <c r="BA1532" i="1" s="1"/>
  <c r="BB1532" i="1" a="1"/>
  <c r="BB1532" i="1" s="1"/>
  <c r="AL1533" i="1" a="1"/>
  <c r="AL1533" i="1" s="1"/>
  <c r="AM1533" i="1" a="1"/>
  <c r="AM1533" i="1" s="1"/>
  <c r="AN1533" i="1" a="1"/>
  <c r="AN1533" i="1" s="1"/>
  <c r="AO1533" i="1" a="1"/>
  <c r="AO1533" i="1" s="1"/>
  <c r="AP1533" i="1" a="1"/>
  <c r="AP1533" i="1" s="1"/>
  <c r="AQ1533" i="1" a="1"/>
  <c r="AQ1533" i="1" s="1"/>
  <c r="AR1533" i="1" a="1"/>
  <c r="AR1533" i="1" s="1"/>
  <c r="AS1533" i="1" a="1"/>
  <c r="AS1533" i="1" s="1"/>
  <c r="AT1533" i="1" a="1"/>
  <c r="AT1533" i="1" s="1"/>
  <c r="AU1533" i="1" a="1"/>
  <c r="AU1533" i="1" s="1"/>
  <c r="AV1533" i="1" a="1"/>
  <c r="AV1533" i="1" s="1"/>
  <c r="AW1533" i="1" a="1"/>
  <c r="AW1533" i="1" s="1"/>
  <c r="AX1533" i="1" a="1"/>
  <c r="AX1533" i="1" s="1"/>
  <c r="AY1533" i="1" a="1"/>
  <c r="AY1533" i="1" s="1"/>
  <c r="AZ1533" i="1" a="1"/>
  <c r="AZ1533" i="1" s="1"/>
  <c r="BA1533" i="1" a="1"/>
  <c r="BA1533" i="1" s="1"/>
  <c r="BB1533" i="1" a="1"/>
  <c r="BB1533" i="1" s="1"/>
  <c r="AL1534" i="1" a="1"/>
  <c r="AL1534" i="1" s="1"/>
  <c r="AM1534" i="1" a="1"/>
  <c r="AM1534" i="1" s="1"/>
  <c r="AN1534" i="1" a="1"/>
  <c r="AN1534" i="1" s="1"/>
  <c r="AO1534" i="1" a="1"/>
  <c r="AO1534" i="1" s="1"/>
  <c r="AP1534" i="1" a="1"/>
  <c r="AP1534" i="1" s="1"/>
  <c r="AQ1534" i="1" a="1"/>
  <c r="AQ1534" i="1" s="1"/>
  <c r="AR1534" i="1" a="1"/>
  <c r="AR1534" i="1" s="1"/>
  <c r="AS1534" i="1" a="1"/>
  <c r="AS1534" i="1" s="1"/>
  <c r="AT1534" i="1" a="1"/>
  <c r="AT1534" i="1" s="1"/>
  <c r="AU1534" i="1" a="1"/>
  <c r="AU1534" i="1" s="1"/>
  <c r="AV1534" i="1" a="1"/>
  <c r="AV1534" i="1" s="1"/>
  <c r="AW1534" i="1" a="1"/>
  <c r="AW1534" i="1" s="1"/>
  <c r="AX1534" i="1" a="1"/>
  <c r="AX1534" i="1" s="1"/>
  <c r="AY1534" i="1" a="1"/>
  <c r="AY1534" i="1" s="1"/>
  <c r="AZ1534" i="1" a="1"/>
  <c r="AZ1534" i="1" s="1"/>
  <c r="BA1534" i="1" a="1"/>
  <c r="BA1534" i="1" s="1"/>
  <c r="BB1534" i="1" a="1"/>
  <c r="BB1534" i="1" s="1"/>
  <c r="AL1535" i="1" a="1"/>
  <c r="AL1535" i="1" s="1"/>
  <c r="AM1535" i="1" a="1"/>
  <c r="AM1535" i="1" s="1"/>
  <c r="AN1535" i="1" a="1"/>
  <c r="AN1535" i="1" s="1"/>
  <c r="AO1535" i="1" a="1"/>
  <c r="AO1535" i="1" s="1"/>
  <c r="AP1535" i="1" a="1"/>
  <c r="AP1535" i="1" s="1"/>
  <c r="AQ1535" i="1" a="1"/>
  <c r="AQ1535" i="1" s="1"/>
  <c r="AR1535" i="1" a="1"/>
  <c r="AR1535" i="1" s="1"/>
  <c r="AS1535" i="1" a="1"/>
  <c r="AS1535" i="1" s="1"/>
  <c r="AT1535" i="1" a="1"/>
  <c r="AT1535" i="1" s="1"/>
  <c r="AU1535" i="1" a="1"/>
  <c r="AU1535" i="1" s="1"/>
  <c r="AV1535" i="1" a="1"/>
  <c r="AV1535" i="1" s="1"/>
  <c r="AW1535" i="1" a="1"/>
  <c r="AW1535" i="1" s="1"/>
  <c r="AX1535" i="1" a="1"/>
  <c r="AX1535" i="1" s="1"/>
  <c r="AY1535" i="1" a="1"/>
  <c r="AY1535" i="1" s="1"/>
  <c r="AZ1535" i="1" a="1"/>
  <c r="AZ1535" i="1" s="1"/>
  <c r="BA1535" i="1" a="1"/>
  <c r="BA1535" i="1" s="1"/>
  <c r="BB1535" i="1" a="1"/>
  <c r="BB1535" i="1" s="1"/>
  <c r="AL1536" i="1" a="1"/>
  <c r="AL1536" i="1" s="1"/>
  <c r="AM1536" i="1" a="1"/>
  <c r="AM1536" i="1" s="1"/>
  <c r="AN1536" i="1" a="1"/>
  <c r="AN1536" i="1" s="1"/>
  <c r="AO1536" i="1" a="1"/>
  <c r="AO1536" i="1" s="1"/>
  <c r="AP1536" i="1" a="1"/>
  <c r="AP1536" i="1" s="1"/>
  <c r="AQ1536" i="1" a="1"/>
  <c r="AQ1536" i="1" s="1"/>
  <c r="AR1536" i="1" a="1"/>
  <c r="AR1536" i="1" s="1"/>
  <c r="AS1536" i="1" a="1"/>
  <c r="AS1536" i="1" s="1"/>
  <c r="AT1536" i="1" a="1"/>
  <c r="AT1536" i="1" s="1"/>
  <c r="AU1536" i="1" a="1"/>
  <c r="AU1536" i="1" s="1"/>
  <c r="AV1536" i="1" a="1"/>
  <c r="AV1536" i="1" s="1"/>
  <c r="AW1536" i="1" a="1"/>
  <c r="AW1536" i="1" s="1"/>
  <c r="AX1536" i="1" a="1"/>
  <c r="AX1536" i="1" s="1"/>
  <c r="AY1536" i="1" a="1"/>
  <c r="AY1536" i="1" s="1"/>
  <c r="AZ1536" i="1" a="1"/>
  <c r="AZ1536" i="1" s="1"/>
  <c r="BA1536" i="1" a="1"/>
  <c r="BA1536" i="1" s="1"/>
  <c r="BB1536" i="1" a="1"/>
  <c r="BB1536" i="1" s="1"/>
  <c r="AL1537" i="1" a="1"/>
  <c r="AL1537" i="1" s="1"/>
  <c r="AM1537" i="1" a="1"/>
  <c r="AM1537" i="1" s="1"/>
  <c r="AN1537" i="1" a="1"/>
  <c r="AN1537" i="1" s="1"/>
  <c r="AO1537" i="1" a="1"/>
  <c r="AO1537" i="1" s="1"/>
  <c r="AP1537" i="1" a="1"/>
  <c r="AP1537" i="1" s="1"/>
  <c r="AQ1537" i="1" a="1"/>
  <c r="AQ1537" i="1" s="1"/>
  <c r="AR1537" i="1" a="1"/>
  <c r="AR1537" i="1" s="1"/>
  <c r="AS1537" i="1" a="1"/>
  <c r="AS1537" i="1" s="1"/>
  <c r="AT1537" i="1" a="1"/>
  <c r="AT1537" i="1" s="1"/>
  <c r="AU1537" i="1" a="1"/>
  <c r="AU1537" i="1" s="1"/>
  <c r="AV1537" i="1" a="1"/>
  <c r="AV1537" i="1" s="1"/>
  <c r="AW1537" i="1" a="1"/>
  <c r="AW1537" i="1" s="1"/>
  <c r="AX1537" i="1" a="1"/>
  <c r="AX1537" i="1" s="1"/>
  <c r="AY1537" i="1" a="1"/>
  <c r="AY1537" i="1" s="1"/>
  <c r="AZ1537" i="1" a="1"/>
  <c r="AZ1537" i="1" s="1"/>
  <c r="BA1537" i="1" a="1"/>
  <c r="BA1537" i="1" s="1"/>
  <c r="BB1537" i="1" a="1"/>
  <c r="BB1537" i="1" s="1"/>
  <c r="AL1538" i="1" a="1"/>
  <c r="AL1538" i="1" s="1"/>
  <c r="AM1538" i="1" a="1"/>
  <c r="AM1538" i="1" s="1"/>
  <c r="AN1538" i="1" a="1"/>
  <c r="AN1538" i="1" s="1"/>
  <c r="AO1538" i="1" a="1"/>
  <c r="AO1538" i="1" s="1"/>
  <c r="AP1538" i="1" a="1"/>
  <c r="AP1538" i="1" s="1"/>
  <c r="AQ1538" i="1" a="1"/>
  <c r="AQ1538" i="1" s="1"/>
  <c r="AR1538" i="1" a="1"/>
  <c r="AR1538" i="1" s="1"/>
  <c r="AS1538" i="1" a="1"/>
  <c r="AS1538" i="1" s="1"/>
  <c r="AT1538" i="1" a="1"/>
  <c r="AT1538" i="1" s="1"/>
  <c r="AU1538" i="1" a="1"/>
  <c r="AU1538" i="1" s="1"/>
  <c r="AV1538" i="1" a="1"/>
  <c r="AV1538" i="1" s="1"/>
  <c r="AW1538" i="1" a="1"/>
  <c r="AW1538" i="1" s="1"/>
  <c r="AX1538" i="1" a="1"/>
  <c r="AX1538" i="1" s="1"/>
  <c r="AY1538" i="1" a="1"/>
  <c r="AY1538" i="1" s="1"/>
  <c r="AZ1538" i="1" a="1"/>
  <c r="AZ1538" i="1" s="1"/>
  <c r="BA1538" i="1" a="1"/>
  <c r="BA1538" i="1" s="1"/>
  <c r="BB1538" i="1" a="1"/>
  <c r="BB1538" i="1" s="1"/>
  <c r="AL1539" i="1" a="1"/>
  <c r="AL1539" i="1" s="1"/>
  <c r="AM1539" i="1" a="1"/>
  <c r="AM1539" i="1" s="1"/>
  <c r="AN1539" i="1" a="1"/>
  <c r="AN1539" i="1" s="1"/>
  <c r="AO1539" i="1" a="1"/>
  <c r="AO1539" i="1" s="1"/>
  <c r="AP1539" i="1" a="1"/>
  <c r="AP1539" i="1" s="1"/>
  <c r="AQ1539" i="1" a="1"/>
  <c r="AQ1539" i="1" s="1"/>
  <c r="AR1539" i="1" a="1"/>
  <c r="AR1539" i="1" s="1"/>
  <c r="AS1539" i="1" a="1"/>
  <c r="AS1539" i="1" s="1"/>
  <c r="AT1539" i="1" a="1"/>
  <c r="AT1539" i="1" s="1"/>
  <c r="AU1539" i="1" a="1"/>
  <c r="AU1539" i="1" s="1"/>
  <c r="AV1539" i="1" a="1"/>
  <c r="AV1539" i="1" s="1"/>
  <c r="AW1539" i="1" a="1"/>
  <c r="AW1539" i="1" s="1"/>
  <c r="AX1539" i="1" a="1"/>
  <c r="AX1539" i="1" s="1"/>
  <c r="AY1539" i="1" a="1"/>
  <c r="AY1539" i="1" s="1"/>
  <c r="AZ1539" i="1" a="1"/>
  <c r="AZ1539" i="1" s="1"/>
  <c r="BA1539" i="1" a="1"/>
  <c r="BA1539" i="1" s="1"/>
  <c r="BB1539" i="1" a="1"/>
  <c r="BB1539" i="1" s="1"/>
  <c r="AL1540" i="1" a="1"/>
  <c r="AL1540" i="1" s="1"/>
  <c r="AM1540" i="1" a="1"/>
  <c r="AM1540" i="1" s="1"/>
  <c r="AN1540" i="1" a="1"/>
  <c r="AN1540" i="1" s="1"/>
  <c r="AO1540" i="1" a="1"/>
  <c r="AO1540" i="1" s="1"/>
  <c r="AP1540" i="1" a="1"/>
  <c r="AP1540" i="1" s="1"/>
  <c r="AQ1540" i="1" a="1"/>
  <c r="AQ1540" i="1" s="1"/>
  <c r="AR1540" i="1" a="1"/>
  <c r="AR1540" i="1" s="1"/>
  <c r="AS1540" i="1" a="1"/>
  <c r="AS1540" i="1" s="1"/>
  <c r="AT1540" i="1" a="1"/>
  <c r="AT1540" i="1" s="1"/>
  <c r="AU1540" i="1" a="1"/>
  <c r="AU1540" i="1" s="1"/>
  <c r="AV1540" i="1" a="1"/>
  <c r="AV1540" i="1" s="1"/>
  <c r="AW1540" i="1" a="1"/>
  <c r="AW1540" i="1" s="1"/>
  <c r="AX1540" i="1" a="1"/>
  <c r="AX1540" i="1" s="1"/>
  <c r="AY1540" i="1" a="1"/>
  <c r="AY1540" i="1" s="1"/>
  <c r="AZ1540" i="1" a="1"/>
  <c r="AZ1540" i="1" s="1"/>
  <c r="BA1540" i="1" a="1"/>
  <c r="BA1540" i="1" s="1"/>
  <c r="BB1540" i="1" a="1"/>
  <c r="BB1540" i="1" s="1"/>
  <c r="AL1541" i="1" a="1"/>
  <c r="AL1541" i="1" s="1"/>
  <c r="AM1541" i="1" a="1"/>
  <c r="AM1541" i="1" s="1"/>
  <c r="AN1541" i="1" a="1"/>
  <c r="AN1541" i="1" s="1"/>
  <c r="AO1541" i="1" a="1"/>
  <c r="AO1541" i="1" s="1"/>
  <c r="AP1541" i="1" a="1"/>
  <c r="AP1541" i="1" s="1"/>
  <c r="AQ1541" i="1" a="1"/>
  <c r="AQ1541" i="1" s="1"/>
  <c r="AR1541" i="1" a="1"/>
  <c r="AR1541" i="1" s="1"/>
  <c r="AS1541" i="1" a="1"/>
  <c r="AS1541" i="1" s="1"/>
  <c r="AT1541" i="1" a="1"/>
  <c r="AT1541" i="1" s="1"/>
  <c r="AU1541" i="1" a="1"/>
  <c r="AU1541" i="1" s="1"/>
  <c r="AV1541" i="1" a="1"/>
  <c r="AV1541" i="1" s="1"/>
  <c r="AW1541" i="1" a="1"/>
  <c r="AW1541" i="1" s="1"/>
  <c r="AX1541" i="1" a="1"/>
  <c r="AX1541" i="1" s="1"/>
  <c r="AY1541" i="1" a="1"/>
  <c r="AY1541" i="1" s="1"/>
  <c r="AZ1541" i="1" a="1"/>
  <c r="AZ1541" i="1" s="1"/>
  <c r="BA1541" i="1" a="1"/>
  <c r="BA1541" i="1" s="1"/>
  <c r="BB1541" i="1" a="1"/>
  <c r="BB1541" i="1" s="1"/>
  <c r="AL1542" i="1" a="1"/>
  <c r="AL1542" i="1" s="1"/>
  <c r="AM1542" i="1" a="1"/>
  <c r="AM1542" i="1" s="1"/>
  <c r="AN1542" i="1" a="1"/>
  <c r="AN1542" i="1" s="1"/>
  <c r="AO1542" i="1" a="1"/>
  <c r="AO1542" i="1" s="1"/>
  <c r="AP1542" i="1" a="1"/>
  <c r="AP1542" i="1" s="1"/>
  <c r="AQ1542" i="1" a="1"/>
  <c r="AQ1542" i="1" s="1"/>
  <c r="AR1542" i="1" a="1"/>
  <c r="AR1542" i="1" s="1"/>
  <c r="AS1542" i="1" a="1"/>
  <c r="AS1542" i="1" s="1"/>
  <c r="AT1542" i="1" a="1"/>
  <c r="AT1542" i="1" s="1"/>
  <c r="AU1542" i="1" a="1"/>
  <c r="AU1542" i="1" s="1"/>
  <c r="AV1542" i="1" a="1"/>
  <c r="AV1542" i="1" s="1"/>
  <c r="AW1542" i="1" a="1"/>
  <c r="AW1542" i="1" s="1"/>
  <c r="AX1542" i="1" a="1"/>
  <c r="AX1542" i="1" s="1"/>
  <c r="AY1542" i="1" a="1"/>
  <c r="AY1542" i="1" s="1"/>
  <c r="AZ1542" i="1" a="1"/>
  <c r="AZ1542" i="1" s="1"/>
  <c r="BA1542" i="1" a="1"/>
  <c r="BA1542" i="1" s="1"/>
  <c r="BB1542" i="1" a="1"/>
  <c r="BB1542" i="1" s="1"/>
  <c r="AL1543" i="1" a="1"/>
  <c r="AL1543" i="1" s="1"/>
  <c r="AM1543" i="1" a="1"/>
  <c r="AM1543" i="1" s="1"/>
  <c r="AN1543" i="1" a="1"/>
  <c r="AN1543" i="1" s="1"/>
  <c r="AO1543" i="1" a="1"/>
  <c r="AO1543" i="1" s="1"/>
  <c r="AP1543" i="1" a="1"/>
  <c r="AP1543" i="1" s="1"/>
  <c r="AQ1543" i="1" a="1"/>
  <c r="AQ1543" i="1" s="1"/>
  <c r="AR1543" i="1" a="1"/>
  <c r="AR1543" i="1" s="1"/>
  <c r="AS1543" i="1" a="1"/>
  <c r="AS1543" i="1" s="1"/>
  <c r="AT1543" i="1" a="1"/>
  <c r="AT1543" i="1" s="1"/>
  <c r="AU1543" i="1" a="1"/>
  <c r="AU1543" i="1" s="1"/>
  <c r="AV1543" i="1" a="1"/>
  <c r="AV1543" i="1" s="1"/>
  <c r="AW1543" i="1" a="1"/>
  <c r="AW1543" i="1" s="1"/>
  <c r="AX1543" i="1" a="1"/>
  <c r="AX1543" i="1" s="1"/>
  <c r="AY1543" i="1" a="1"/>
  <c r="AY1543" i="1" s="1"/>
  <c r="AZ1543" i="1" a="1"/>
  <c r="AZ1543" i="1" s="1"/>
  <c r="BA1543" i="1" a="1"/>
  <c r="BA1543" i="1" s="1"/>
  <c r="BB1543" i="1" a="1"/>
  <c r="BB1543" i="1" s="1"/>
  <c r="AL1544" i="1" a="1"/>
  <c r="AL1544" i="1" s="1"/>
  <c r="AM1544" i="1" a="1"/>
  <c r="AM1544" i="1" s="1"/>
  <c r="AN1544" i="1" a="1"/>
  <c r="AN1544" i="1" s="1"/>
  <c r="AO1544" i="1" a="1"/>
  <c r="AO1544" i="1" s="1"/>
  <c r="AP1544" i="1" a="1"/>
  <c r="AP1544" i="1" s="1"/>
  <c r="AQ1544" i="1" a="1"/>
  <c r="AQ1544" i="1" s="1"/>
  <c r="AR1544" i="1" a="1"/>
  <c r="AR1544" i="1" s="1"/>
  <c r="AS1544" i="1" a="1"/>
  <c r="AS1544" i="1" s="1"/>
  <c r="AT1544" i="1" a="1"/>
  <c r="AT1544" i="1" s="1"/>
  <c r="AU1544" i="1" a="1"/>
  <c r="AU1544" i="1" s="1"/>
  <c r="AV1544" i="1" a="1"/>
  <c r="AV1544" i="1" s="1"/>
  <c r="AW1544" i="1" a="1"/>
  <c r="AW1544" i="1" s="1"/>
  <c r="AX1544" i="1" a="1"/>
  <c r="AX1544" i="1" s="1"/>
  <c r="AY1544" i="1" a="1"/>
  <c r="AY1544" i="1" s="1"/>
  <c r="AZ1544" i="1" a="1"/>
  <c r="AZ1544" i="1" s="1"/>
  <c r="BA1544" i="1" a="1"/>
  <c r="BA1544" i="1" s="1"/>
  <c r="BB1544" i="1" a="1"/>
  <c r="BB1544" i="1" s="1"/>
  <c r="AL1545" i="1" a="1"/>
  <c r="AL1545" i="1" s="1"/>
  <c r="AM1545" i="1" a="1"/>
  <c r="AM1545" i="1" s="1"/>
  <c r="AN1545" i="1" a="1"/>
  <c r="AN1545" i="1" s="1"/>
  <c r="AO1545" i="1" a="1"/>
  <c r="AO1545" i="1" s="1"/>
  <c r="AP1545" i="1" a="1"/>
  <c r="AP1545" i="1" s="1"/>
  <c r="AQ1545" i="1" a="1"/>
  <c r="AQ1545" i="1" s="1"/>
  <c r="AR1545" i="1" a="1"/>
  <c r="AR1545" i="1" s="1"/>
  <c r="AS1545" i="1" a="1"/>
  <c r="AS1545" i="1" s="1"/>
  <c r="AT1545" i="1" a="1"/>
  <c r="AT1545" i="1" s="1"/>
  <c r="AU1545" i="1" a="1"/>
  <c r="AU1545" i="1" s="1"/>
  <c r="AV1545" i="1" a="1"/>
  <c r="AV1545" i="1" s="1"/>
  <c r="AW1545" i="1" a="1"/>
  <c r="AW1545" i="1" s="1"/>
  <c r="AX1545" i="1" a="1"/>
  <c r="AX1545" i="1" s="1"/>
  <c r="AY1545" i="1" a="1"/>
  <c r="AY1545" i="1" s="1"/>
  <c r="AZ1545" i="1" a="1"/>
  <c r="AZ1545" i="1" s="1"/>
  <c r="BA1545" i="1" a="1"/>
  <c r="BA1545" i="1" s="1"/>
  <c r="BB1545" i="1" a="1"/>
  <c r="BB1545" i="1" s="1"/>
  <c r="AL1546" i="1" a="1"/>
  <c r="AL1546" i="1" s="1"/>
  <c r="AM1546" i="1" a="1"/>
  <c r="AM1546" i="1" s="1"/>
  <c r="AN1546" i="1" a="1"/>
  <c r="AN1546" i="1" s="1"/>
  <c r="AO1546" i="1" a="1"/>
  <c r="AO1546" i="1" s="1"/>
  <c r="AP1546" i="1" a="1"/>
  <c r="AP1546" i="1" s="1"/>
  <c r="AQ1546" i="1" a="1"/>
  <c r="AQ1546" i="1" s="1"/>
  <c r="AR1546" i="1" a="1"/>
  <c r="AR1546" i="1" s="1"/>
  <c r="AS1546" i="1" a="1"/>
  <c r="AS1546" i="1" s="1"/>
  <c r="AT1546" i="1" a="1"/>
  <c r="AT1546" i="1" s="1"/>
  <c r="AU1546" i="1" a="1"/>
  <c r="AU1546" i="1" s="1"/>
  <c r="AV1546" i="1" a="1"/>
  <c r="AV1546" i="1" s="1"/>
  <c r="AW1546" i="1" a="1"/>
  <c r="AW1546" i="1" s="1"/>
  <c r="AX1546" i="1" a="1"/>
  <c r="AX1546" i="1" s="1"/>
  <c r="AY1546" i="1" a="1"/>
  <c r="AY1546" i="1" s="1"/>
  <c r="AZ1546" i="1" a="1"/>
  <c r="AZ1546" i="1" s="1"/>
  <c r="BA1546" i="1" a="1"/>
  <c r="BA1546" i="1" s="1"/>
  <c r="BB1546" i="1" a="1"/>
  <c r="BB1546" i="1" s="1"/>
  <c r="AL1547" i="1" a="1"/>
  <c r="AL1547" i="1" s="1"/>
  <c r="AM1547" i="1" a="1"/>
  <c r="AM1547" i="1" s="1"/>
  <c r="AN1547" i="1" a="1"/>
  <c r="AN1547" i="1" s="1"/>
  <c r="AO1547" i="1" a="1"/>
  <c r="AO1547" i="1" s="1"/>
  <c r="AP1547" i="1" a="1"/>
  <c r="AP1547" i="1" s="1"/>
  <c r="AQ1547" i="1" a="1"/>
  <c r="AQ1547" i="1" s="1"/>
  <c r="AR1547" i="1" a="1"/>
  <c r="AR1547" i="1" s="1"/>
  <c r="AS1547" i="1" a="1"/>
  <c r="AS1547" i="1" s="1"/>
  <c r="AT1547" i="1" a="1"/>
  <c r="AT1547" i="1" s="1"/>
  <c r="AU1547" i="1" a="1"/>
  <c r="AU1547" i="1" s="1"/>
  <c r="AV1547" i="1" a="1"/>
  <c r="AV1547" i="1" s="1"/>
  <c r="AW1547" i="1" a="1"/>
  <c r="AW1547" i="1" s="1"/>
  <c r="AX1547" i="1" a="1"/>
  <c r="AX1547" i="1" s="1"/>
  <c r="AY1547" i="1" a="1"/>
  <c r="AY1547" i="1" s="1"/>
  <c r="AZ1547" i="1" a="1"/>
  <c r="AZ1547" i="1" s="1"/>
  <c r="BA1547" i="1" a="1"/>
  <c r="BA1547" i="1" s="1"/>
  <c r="BB1547" i="1" a="1"/>
  <c r="BB1547" i="1" s="1"/>
  <c r="AL1548" i="1" a="1"/>
  <c r="AL1548" i="1" s="1"/>
  <c r="AM1548" i="1" a="1"/>
  <c r="AM1548" i="1" s="1"/>
  <c r="AN1548" i="1" a="1"/>
  <c r="AN1548" i="1" s="1"/>
  <c r="AO1548" i="1" a="1"/>
  <c r="AO1548" i="1" s="1"/>
  <c r="AP1548" i="1" a="1"/>
  <c r="AP1548" i="1" s="1"/>
  <c r="AQ1548" i="1" a="1"/>
  <c r="AQ1548" i="1" s="1"/>
  <c r="AR1548" i="1" a="1"/>
  <c r="AR1548" i="1" s="1"/>
  <c r="AS1548" i="1" a="1"/>
  <c r="AS1548" i="1" s="1"/>
  <c r="AT1548" i="1" a="1"/>
  <c r="AT1548" i="1" s="1"/>
  <c r="AU1548" i="1" a="1"/>
  <c r="AU1548" i="1" s="1"/>
  <c r="AV1548" i="1" a="1"/>
  <c r="AV1548" i="1" s="1"/>
  <c r="AW1548" i="1" a="1"/>
  <c r="AW1548" i="1" s="1"/>
  <c r="AX1548" i="1" a="1"/>
  <c r="AX1548" i="1" s="1"/>
  <c r="AY1548" i="1" a="1"/>
  <c r="AY1548" i="1" s="1"/>
  <c r="AZ1548" i="1" a="1"/>
  <c r="AZ1548" i="1" s="1"/>
  <c r="BA1548" i="1" a="1"/>
  <c r="BA1548" i="1" s="1"/>
  <c r="BB1548" i="1" a="1"/>
  <c r="BB1548" i="1" s="1"/>
  <c r="AL1549" i="1" a="1"/>
  <c r="AL1549" i="1" s="1"/>
  <c r="AM1549" i="1" a="1"/>
  <c r="AM1549" i="1" s="1"/>
  <c r="AN1549" i="1" a="1"/>
  <c r="AN1549" i="1" s="1"/>
  <c r="AO1549" i="1" a="1"/>
  <c r="AO1549" i="1" s="1"/>
  <c r="AP1549" i="1" a="1"/>
  <c r="AP1549" i="1" s="1"/>
  <c r="AQ1549" i="1" a="1"/>
  <c r="AQ1549" i="1" s="1"/>
  <c r="AR1549" i="1" a="1"/>
  <c r="AR1549" i="1" s="1"/>
  <c r="AS1549" i="1" a="1"/>
  <c r="AS1549" i="1" s="1"/>
  <c r="AT1549" i="1" a="1"/>
  <c r="AT1549" i="1" s="1"/>
  <c r="AU1549" i="1" a="1"/>
  <c r="AU1549" i="1" s="1"/>
  <c r="AV1549" i="1" a="1"/>
  <c r="AV1549" i="1" s="1"/>
  <c r="AW1549" i="1" a="1"/>
  <c r="AW1549" i="1" s="1"/>
  <c r="AX1549" i="1" a="1"/>
  <c r="AX1549" i="1" s="1"/>
  <c r="AY1549" i="1" a="1"/>
  <c r="AY1549" i="1" s="1"/>
  <c r="AZ1549" i="1" a="1"/>
  <c r="AZ1549" i="1" s="1"/>
  <c r="BA1549" i="1" a="1"/>
  <c r="BA1549" i="1" s="1"/>
  <c r="BB1549" i="1" a="1"/>
  <c r="BB1549" i="1" s="1"/>
  <c r="AL1550" i="1" a="1"/>
  <c r="AL1550" i="1" s="1"/>
  <c r="AM1550" i="1" a="1"/>
  <c r="AM1550" i="1" s="1"/>
  <c r="AN1550" i="1" a="1"/>
  <c r="AN1550" i="1" s="1"/>
  <c r="AO1550" i="1" a="1"/>
  <c r="AO1550" i="1" s="1"/>
  <c r="AP1550" i="1" a="1"/>
  <c r="AP1550" i="1" s="1"/>
  <c r="AQ1550" i="1" a="1"/>
  <c r="AQ1550" i="1" s="1"/>
  <c r="AR1550" i="1" a="1"/>
  <c r="AR1550" i="1" s="1"/>
  <c r="AS1550" i="1" a="1"/>
  <c r="AS1550" i="1" s="1"/>
  <c r="AT1550" i="1" a="1"/>
  <c r="AT1550" i="1" s="1"/>
  <c r="AU1550" i="1" a="1"/>
  <c r="AU1550" i="1" s="1"/>
  <c r="AV1550" i="1" a="1"/>
  <c r="AV1550" i="1" s="1"/>
  <c r="AW1550" i="1" a="1"/>
  <c r="AW1550" i="1" s="1"/>
  <c r="AX1550" i="1" a="1"/>
  <c r="AX1550" i="1" s="1"/>
  <c r="AY1550" i="1" a="1"/>
  <c r="AY1550" i="1" s="1"/>
  <c r="AZ1550" i="1" a="1"/>
  <c r="AZ1550" i="1" s="1"/>
  <c r="BA1550" i="1" a="1"/>
  <c r="BA1550" i="1" s="1"/>
  <c r="BB1550" i="1" a="1"/>
  <c r="BB1550" i="1" s="1"/>
  <c r="AL1551" i="1" a="1"/>
  <c r="AL1551" i="1" s="1"/>
  <c r="AM1551" i="1" a="1"/>
  <c r="AM1551" i="1" s="1"/>
  <c r="AN1551" i="1" a="1"/>
  <c r="AN1551" i="1" s="1"/>
  <c r="AO1551" i="1" a="1"/>
  <c r="AO1551" i="1" s="1"/>
  <c r="AP1551" i="1" a="1"/>
  <c r="AP1551" i="1" s="1"/>
  <c r="AQ1551" i="1" a="1"/>
  <c r="AQ1551" i="1" s="1"/>
  <c r="AR1551" i="1" a="1"/>
  <c r="AR1551" i="1" s="1"/>
  <c r="AS1551" i="1" a="1"/>
  <c r="AS1551" i="1" s="1"/>
  <c r="AT1551" i="1" a="1"/>
  <c r="AT1551" i="1" s="1"/>
  <c r="AU1551" i="1" a="1"/>
  <c r="AU1551" i="1" s="1"/>
  <c r="AV1551" i="1" a="1"/>
  <c r="AV1551" i="1" s="1"/>
  <c r="AW1551" i="1" a="1"/>
  <c r="AW1551" i="1" s="1"/>
  <c r="AX1551" i="1" a="1"/>
  <c r="AX1551" i="1" s="1"/>
  <c r="AY1551" i="1" a="1"/>
  <c r="AY1551" i="1" s="1"/>
  <c r="AZ1551" i="1" a="1"/>
  <c r="AZ1551" i="1" s="1"/>
  <c r="BA1551" i="1" a="1"/>
  <c r="BA1551" i="1" s="1"/>
  <c r="BB1551" i="1" a="1"/>
  <c r="BB1551" i="1" s="1"/>
  <c r="AL1552" i="1" a="1"/>
  <c r="AL1552" i="1" s="1"/>
  <c r="AM1552" i="1" a="1"/>
  <c r="AM1552" i="1" s="1"/>
  <c r="AN1552" i="1" a="1"/>
  <c r="AN1552" i="1" s="1"/>
  <c r="AO1552" i="1" a="1"/>
  <c r="AO1552" i="1" s="1"/>
  <c r="AP1552" i="1" a="1"/>
  <c r="AP1552" i="1" s="1"/>
  <c r="AQ1552" i="1" a="1"/>
  <c r="AQ1552" i="1" s="1"/>
  <c r="AR1552" i="1" a="1"/>
  <c r="AR1552" i="1" s="1"/>
  <c r="AS1552" i="1" a="1"/>
  <c r="AS1552" i="1" s="1"/>
  <c r="AT1552" i="1" a="1"/>
  <c r="AT1552" i="1" s="1"/>
  <c r="AU1552" i="1" a="1"/>
  <c r="AU1552" i="1" s="1"/>
  <c r="AV1552" i="1" a="1"/>
  <c r="AV1552" i="1" s="1"/>
  <c r="AW1552" i="1" a="1"/>
  <c r="AW1552" i="1" s="1"/>
  <c r="AX1552" i="1" a="1"/>
  <c r="AX1552" i="1" s="1"/>
  <c r="AY1552" i="1" a="1"/>
  <c r="AY1552" i="1" s="1"/>
  <c r="AZ1552" i="1" a="1"/>
  <c r="AZ1552" i="1" s="1"/>
  <c r="BA1552" i="1" a="1"/>
  <c r="BA1552" i="1" s="1"/>
  <c r="BB1552" i="1" a="1"/>
  <c r="BB1552" i="1" s="1"/>
  <c r="AL1553" i="1" a="1"/>
  <c r="AL1553" i="1" s="1"/>
  <c r="AM1553" i="1" a="1"/>
  <c r="AM1553" i="1" s="1"/>
  <c r="AN1553" i="1" a="1"/>
  <c r="AN1553" i="1" s="1"/>
  <c r="AO1553" i="1" a="1"/>
  <c r="AO1553" i="1" s="1"/>
  <c r="AP1553" i="1" a="1"/>
  <c r="AP1553" i="1" s="1"/>
  <c r="AQ1553" i="1" a="1"/>
  <c r="AQ1553" i="1" s="1"/>
  <c r="AR1553" i="1" a="1"/>
  <c r="AR1553" i="1" s="1"/>
  <c r="AS1553" i="1" a="1"/>
  <c r="AS1553" i="1" s="1"/>
  <c r="AT1553" i="1" a="1"/>
  <c r="AT1553" i="1" s="1"/>
  <c r="AU1553" i="1" a="1"/>
  <c r="AU1553" i="1" s="1"/>
  <c r="AV1553" i="1" a="1"/>
  <c r="AV1553" i="1" s="1"/>
  <c r="AW1553" i="1" a="1"/>
  <c r="AW1553" i="1" s="1"/>
  <c r="AX1553" i="1" a="1"/>
  <c r="AX1553" i="1" s="1"/>
  <c r="AY1553" i="1" a="1"/>
  <c r="AY1553" i="1" s="1"/>
  <c r="AZ1553" i="1" a="1"/>
  <c r="AZ1553" i="1" s="1"/>
  <c r="BA1553" i="1" a="1"/>
  <c r="BA1553" i="1" s="1"/>
  <c r="BB1553" i="1" a="1"/>
  <c r="BB1553" i="1" s="1"/>
  <c r="AL1554" i="1" a="1"/>
  <c r="AL1554" i="1" s="1"/>
  <c r="AM1554" i="1" a="1"/>
  <c r="AM1554" i="1" s="1"/>
  <c r="AN1554" i="1" a="1"/>
  <c r="AN1554" i="1" s="1"/>
  <c r="AO1554" i="1" a="1"/>
  <c r="AO1554" i="1" s="1"/>
  <c r="AP1554" i="1" a="1"/>
  <c r="AP1554" i="1" s="1"/>
  <c r="AQ1554" i="1" a="1"/>
  <c r="AQ1554" i="1" s="1"/>
  <c r="AR1554" i="1" a="1"/>
  <c r="AR1554" i="1" s="1"/>
  <c r="AS1554" i="1" a="1"/>
  <c r="AS1554" i="1" s="1"/>
  <c r="AT1554" i="1" a="1"/>
  <c r="AT1554" i="1" s="1"/>
  <c r="AU1554" i="1" a="1"/>
  <c r="AU1554" i="1" s="1"/>
  <c r="AV1554" i="1" a="1"/>
  <c r="AV1554" i="1" s="1"/>
  <c r="AW1554" i="1" a="1"/>
  <c r="AW1554" i="1" s="1"/>
  <c r="AX1554" i="1" a="1"/>
  <c r="AX1554" i="1" s="1"/>
  <c r="AY1554" i="1" a="1"/>
  <c r="AY1554" i="1" s="1"/>
  <c r="AZ1554" i="1" a="1"/>
  <c r="AZ1554" i="1" s="1"/>
  <c r="BA1554" i="1" a="1"/>
  <c r="BA1554" i="1" s="1"/>
  <c r="BB1554" i="1" a="1"/>
  <c r="BB1554" i="1" s="1"/>
  <c r="AL1555" i="1" a="1"/>
  <c r="AL1555" i="1" s="1"/>
  <c r="AM1555" i="1" a="1"/>
  <c r="AM1555" i="1" s="1"/>
  <c r="AN1555" i="1" a="1"/>
  <c r="AN1555" i="1" s="1"/>
  <c r="AO1555" i="1" a="1"/>
  <c r="AO1555" i="1" s="1"/>
  <c r="AP1555" i="1" a="1"/>
  <c r="AP1555" i="1" s="1"/>
  <c r="AQ1555" i="1" a="1"/>
  <c r="AQ1555" i="1" s="1"/>
  <c r="AR1555" i="1" a="1"/>
  <c r="AR1555" i="1" s="1"/>
  <c r="AS1555" i="1" a="1"/>
  <c r="AS1555" i="1" s="1"/>
  <c r="AT1555" i="1" a="1"/>
  <c r="AT1555" i="1" s="1"/>
  <c r="AU1555" i="1" a="1"/>
  <c r="AU1555" i="1" s="1"/>
  <c r="AV1555" i="1" a="1"/>
  <c r="AV1555" i="1" s="1"/>
  <c r="AW1555" i="1" a="1"/>
  <c r="AW1555" i="1" s="1"/>
  <c r="AX1555" i="1" a="1"/>
  <c r="AX1555" i="1" s="1"/>
  <c r="AY1555" i="1" a="1"/>
  <c r="AY1555" i="1" s="1"/>
  <c r="AZ1555" i="1" a="1"/>
  <c r="AZ1555" i="1" s="1"/>
  <c r="BA1555" i="1" a="1"/>
  <c r="BA1555" i="1" s="1"/>
  <c r="BB1555" i="1" a="1"/>
  <c r="BB1555" i="1" s="1"/>
  <c r="AL1556" i="1" a="1"/>
  <c r="AL1556" i="1" s="1"/>
  <c r="AM1556" i="1" a="1"/>
  <c r="AM1556" i="1" s="1"/>
  <c r="AN1556" i="1" a="1"/>
  <c r="AN1556" i="1" s="1"/>
  <c r="AO1556" i="1" a="1"/>
  <c r="AO1556" i="1" s="1"/>
  <c r="AP1556" i="1" a="1"/>
  <c r="AP1556" i="1" s="1"/>
  <c r="AQ1556" i="1" a="1"/>
  <c r="AQ1556" i="1" s="1"/>
  <c r="AR1556" i="1" a="1"/>
  <c r="AR1556" i="1" s="1"/>
  <c r="AS1556" i="1" a="1"/>
  <c r="AS1556" i="1" s="1"/>
  <c r="AT1556" i="1" a="1"/>
  <c r="AT1556" i="1" s="1"/>
  <c r="AU1556" i="1" a="1"/>
  <c r="AU1556" i="1" s="1"/>
  <c r="AV1556" i="1" a="1"/>
  <c r="AV1556" i="1" s="1"/>
  <c r="AW1556" i="1" a="1"/>
  <c r="AW1556" i="1" s="1"/>
  <c r="AX1556" i="1" a="1"/>
  <c r="AX1556" i="1" s="1"/>
  <c r="AY1556" i="1" a="1"/>
  <c r="AY1556" i="1" s="1"/>
  <c r="AZ1556" i="1" a="1"/>
  <c r="AZ1556" i="1" s="1"/>
  <c r="BA1556" i="1" a="1"/>
  <c r="BA1556" i="1" s="1"/>
  <c r="BB1556" i="1" a="1"/>
  <c r="BB1556" i="1" s="1"/>
  <c r="AL1557" i="1" a="1"/>
  <c r="AL1557" i="1" s="1"/>
  <c r="AM1557" i="1" a="1"/>
  <c r="AM1557" i="1" s="1"/>
  <c r="AN1557" i="1" a="1"/>
  <c r="AN1557" i="1" s="1"/>
  <c r="AO1557" i="1" a="1"/>
  <c r="AO1557" i="1" s="1"/>
  <c r="AP1557" i="1" a="1"/>
  <c r="AP1557" i="1" s="1"/>
  <c r="AQ1557" i="1" a="1"/>
  <c r="AQ1557" i="1" s="1"/>
  <c r="AR1557" i="1" a="1"/>
  <c r="AR1557" i="1" s="1"/>
  <c r="AS1557" i="1" a="1"/>
  <c r="AS1557" i="1" s="1"/>
  <c r="AT1557" i="1" a="1"/>
  <c r="AT1557" i="1" s="1"/>
  <c r="AU1557" i="1" a="1"/>
  <c r="AU1557" i="1" s="1"/>
  <c r="AV1557" i="1" a="1"/>
  <c r="AV1557" i="1" s="1"/>
  <c r="AW1557" i="1" a="1"/>
  <c r="AW1557" i="1" s="1"/>
  <c r="AX1557" i="1" a="1"/>
  <c r="AX1557" i="1" s="1"/>
  <c r="AY1557" i="1" a="1"/>
  <c r="AY1557" i="1" s="1"/>
  <c r="AZ1557" i="1" a="1"/>
  <c r="AZ1557" i="1" s="1"/>
  <c r="BA1557" i="1" a="1"/>
  <c r="BA1557" i="1" s="1"/>
  <c r="BB1557" i="1" a="1"/>
  <c r="BB1557" i="1" s="1"/>
  <c r="AL1558" i="1" a="1"/>
  <c r="AL1558" i="1" s="1"/>
  <c r="AM1558" i="1" a="1"/>
  <c r="AM1558" i="1" s="1"/>
  <c r="AN1558" i="1" a="1"/>
  <c r="AN1558" i="1" s="1"/>
  <c r="AO1558" i="1" a="1"/>
  <c r="AO1558" i="1" s="1"/>
  <c r="AP1558" i="1" a="1"/>
  <c r="AP1558" i="1" s="1"/>
  <c r="AQ1558" i="1" a="1"/>
  <c r="AQ1558" i="1" s="1"/>
  <c r="AR1558" i="1" a="1"/>
  <c r="AR1558" i="1" s="1"/>
  <c r="AS1558" i="1" a="1"/>
  <c r="AS1558" i="1" s="1"/>
  <c r="AT1558" i="1" a="1"/>
  <c r="AT1558" i="1" s="1"/>
  <c r="AU1558" i="1" a="1"/>
  <c r="AU1558" i="1" s="1"/>
  <c r="AV1558" i="1" a="1"/>
  <c r="AV1558" i="1" s="1"/>
  <c r="AW1558" i="1" a="1"/>
  <c r="AW1558" i="1" s="1"/>
  <c r="AX1558" i="1" a="1"/>
  <c r="AX1558" i="1" s="1"/>
  <c r="AY1558" i="1" a="1"/>
  <c r="AY1558" i="1" s="1"/>
  <c r="AZ1558" i="1" a="1"/>
  <c r="AZ1558" i="1" s="1"/>
  <c r="BA1558" i="1" a="1"/>
  <c r="BA1558" i="1" s="1"/>
  <c r="BB1558" i="1" a="1"/>
  <c r="BB1558" i="1" s="1"/>
  <c r="AL1559" i="1" a="1"/>
  <c r="AL1559" i="1" s="1"/>
  <c r="AM1559" i="1" a="1"/>
  <c r="AM1559" i="1" s="1"/>
  <c r="AN1559" i="1" a="1"/>
  <c r="AN1559" i="1" s="1"/>
  <c r="AO1559" i="1" a="1"/>
  <c r="AO1559" i="1" s="1"/>
  <c r="AP1559" i="1" a="1"/>
  <c r="AP1559" i="1" s="1"/>
  <c r="AQ1559" i="1" a="1"/>
  <c r="AQ1559" i="1" s="1"/>
  <c r="AR1559" i="1" a="1"/>
  <c r="AR1559" i="1" s="1"/>
  <c r="AS1559" i="1" a="1"/>
  <c r="AS1559" i="1" s="1"/>
  <c r="AT1559" i="1" a="1"/>
  <c r="AT1559" i="1" s="1"/>
  <c r="AU1559" i="1" a="1"/>
  <c r="AU1559" i="1" s="1"/>
  <c r="AV1559" i="1" a="1"/>
  <c r="AV1559" i="1" s="1"/>
  <c r="AW1559" i="1" a="1"/>
  <c r="AW1559" i="1" s="1"/>
  <c r="AX1559" i="1" a="1"/>
  <c r="AX1559" i="1" s="1"/>
  <c r="AY1559" i="1" a="1"/>
  <c r="AY1559" i="1" s="1"/>
  <c r="AZ1559" i="1" a="1"/>
  <c r="AZ1559" i="1" s="1"/>
  <c r="BA1559" i="1" a="1"/>
  <c r="BA1559" i="1" s="1"/>
  <c r="BB1559" i="1" a="1"/>
  <c r="BB1559" i="1" s="1"/>
  <c r="AL1560" i="1" a="1"/>
  <c r="AL1560" i="1" s="1"/>
  <c r="AM1560" i="1" a="1"/>
  <c r="AM1560" i="1" s="1"/>
  <c r="AN1560" i="1" a="1"/>
  <c r="AN1560" i="1" s="1"/>
  <c r="AO1560" i="1" a="1"/>
  <c r="AO1560" i="1" s="1"/>
  <c r="AP1560" i="1" a="1"/>
  <c r="AP1560" i="1" s="1"/>
  <c r="AQ1560" i="1" a="1"/>
  <c r="AQ1560" i="1" s="1"/>
  <c r="AR1560" i="1" a="1"/>
  <c r="AR1560" i="1" s="1"/>
  <c r="AS1560" i="1" a="1"/>
  <c r="AS1560" i="1" s="1"/>
  <c r="AT1560" i="1" a="1"/>
  <c r="AT1560" i="1" s="1"/>
  <c r="AU1560" i="1" a="1"/>
  <c r="AU1560" i="1" s="1"/>
  <c r="AV1560" i="1" a="1"/>
  <c r="AV1560" i="1" s="1"/>
  <c r="AW1560" i="1" a="1"/>
  <c r="AW1560" i="1" s="1"/>
  <c r="AX1560" i="1" a="1"/>
  <c r="AX1560" i="1" s="1"/>
  <c r="AY1560" i="1" a="1"/>
  <c r="AY1560" i="1" s="1"/>
  <c r="AZ1560" i="1" a="1"/>
  <c r="AZ1560" i="1" s="1"/>
  <c r="BA1560" i="1" a="1"/>
  <c r="BA1560" i="1" s="1"/>
  <c r="BB1560" i="1" a="1"/>
  <c r="BB1560" i="1" s="1"/>
  <c r="AL1561" i="1" a="1"/>
  <c r="AL1561" i="1" s="1"/>
  <c r="AM1561" i="1" a="1"/>
  <c r="AM1561" i="1" s="1"/>
  <c r="AN1561" i="1" a="1"/>
  <c r="AN1561" i="1" s="1"/>
  <c r="AO1561" i="1" a="1"/>
  <c r="AO1561" i="1" s="1"/>
  <c r="AP1561" i="1" a="1"/>
  <c r="AP1561" i="1" s="1"/>
  <c r="AQ1561" i="1" a="1"/>
  <c r="AQ1561" i="1" s="1"/>
  <c r="AR1561" i="1" a="1"/>
  <c r="AR1561" i="1" s="1"/>
  <c r="AS1561" i="1" a="1"/>
  <c r="AS1561" i="1" s="1"/>
  <c r="AT1561" i="1" a="1"/>
  <c r="AT1561" i="1" s="1"/>
  <c r="AU1561" i="1" a="1"/>
  <c r="AU1561" i="1" s="1"/>
  <c r="AV1561" i="1" a="1"/>
  <c r="AV1561" i="1" s="1"/>
  <c r="AW1561" i="1" a="1"/>
  <c r="AW1561" i="1" s="1"/>
  <c r="AX1561" i="1" a="1"/>
  <c r="AX1561" i="1" s="1"/>
  <c r="AY1561" i="1" a="1"/>
  <c r="AY1561" i="1" s="1"/>
  <c r="AZ1561" i="1" a="1"/>
  <c r="AZ1561" i="1" s="1"/>
  <c r="BA1561" i="1" a="1"/>
  <c r="BA1561" i="1" s="1"/>
  <c r="BB1561" i="1" a="1"/>
  <c r="BB1561" i="1" s="1"/>
  <c r="AM3" i="1" a="1"/>
  <c r="AM3" i="1" s="1"/>
  <c r="AN3" i="1" a="1"/>
  <c r="AN3" i="1" s="1"/>
  <c r="AO3" i="1" a="1"/>
  <c r="AO3" i="1" s="1"/>
  <c r="AP3" i="1" a="1"/>
  <c r="AP3" i="1" s="1"/>
  <c r="AQ3" i="1" a="1"/>
  <c r="AQ3" i="1" s="1"/>
  <c r="AR3" i="1" a="1"/>
  <c r="AR3" i="1" s="1"/>
  <c r="AS3" i="1" a="1"/>
  <c r="AS3" i="1" s="1"/>
  <c r="AT3" i="1" a="1"/>
  <c r="AT3" i="1" s="1"/>
  <c r="AU3" i="1" a="1"/>
  <c r="AU3" i="1" s="1"/>
  <c r="AV3" i="1" a="1"/>
  <c r="AV3" i="1" s="1"/>
  <c r="AW3" i="1" a="1"/>
  <c r="AW3" i="1" s="1"/>
  <c r="AX3" i="1" a="1"/>
  <c r="AX3" i="1" s="1"/>
  <c r="AY3" i="1" a="1"/>
  <c r="AY3" i="1" s="1"/>
  <c r="AZ3" i="1" a="1"/>
  <c r="AZ3" i="1" s="1"/>
  <c r="BA3" i="1" a="1"/>
  <c r="BA3" i="1" s="1"/>
  <c r="BB3" i="1" a="1"/>
  <c r="BB3" i="1" s="1"/>
  <c r="AL3" i="1" a="1"/>
  <c r="AL3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6" i="1"/>
  <c r="F77" i="1"/>
  <c r="F78" i="1"/>
  <c r="F79" i="1"/>
  <c r="F80" i="1"/>
  <c r="F84" i="1"/>
  <c r="F85" i="1"/>
  <c r="F87" i="1"/>
  <c r="F88" i="1"/>
  <c r="F89" i="1"/>
  <c r="F90" i="1"/>
  <c r="F91" i="1"/>
  <c r="F92" i="1"/>
  <c r="F93" i="1"/>
  <c r="F94" i="1"/>
  <c r="F95" i="1"/>
  <c r="F97" i="1"/>
  <c r="F98" i="1"/>
  <c r="F99" i="1"/>
  <c r="F100" i="1"/>
  <c r="F101" i="1"/>
  <c r="F102" i="1"/>
  <c r="F103" i="1"/>
  <c r="F105" i="1"/>
  <c r="F106" i="1"/>
  <c r="F107" i="1"/>
  <c r="F372" i="1"/>
  <c r="F108" i="1"/>
  <c r="F109" i="1"/>
  <c r="F110" i="1"/>
  <c r="F111" i="1"/>
  <c r="F112" i="1"/>
  <c r="F113" i="1"/>
  <c r="F81" i="1"/>
  <c r="F83" i="1"/>
  <c r="F86" i="1"/>
  <c r="F96" i="1"/>
  <c r="F104" i="1"/>
  <c r="F114" i="1"/>
  <c r="F75" i="1"/>
  <c r="F115" i="1"/>
  <c r="F116" i="1"/>
  <c r="F117" i="1"/>
  <c r="F118" i="1"/>
  <c r="F122" i="1"/>
  <c r="F123" i="1"/>
  <c r="F124" i="1"/>
  <c r="F125" i="1"/>
  <c r="F126" i="1"/>
  <c r="F127" i="1"/>
  <c r="F128" i="1"/>
  <c r="F129" i="1"/>
  <c r="F131" i="1"/>
  <c r="F133" i="1"/>
  <c r="F134" i="1"/>
  <c r="F135" i="1"/>
  <c r="F137" i="1"/>
  <c r="F138" i="1"/>
  <c r="F140" i="1"/>
  <c r="F141" i="1"/>
  <c r="F142" i="1"/>
  <c r="F143" i="1"/>
  <c r="F144" i="1"/>
  <c r="F145" i="1"/>
  <c r="F146" i="1"/>
  <c r="F149" i="1"/>
  <c r="F150" i="1"/>
  <c r="F151" i="1"/>
  <c r="F82" i="1"/>
  <c r="F152" i="1"/>
  <c r="F153" i="1"/>
  <c r="F154" i="1"/>
  <c r="F155" i="1"/>
  <c r="F156" i="1"/>
  <c r="F157" i="1"/>
  <c r="F158" i="1"/>
  <c r="F159" i="1"/>
  <c r="F162" i="1"/>
  <c r="F164" i="1"/>
  <c r="F165" i="1"/>
  <c r="F166" i="1"/>
  <c r="F169" i="1"/>
  <c r="F170" i="1"/>
  <c r="F171" i="1"/>
  <c r="F172" i="1"/>
  <c r="F174" i="1"/>
  <c r="F175" i="1"/>
  <c r="F178" i="1"/>
  <c r="F179" i="1"/>
  <c r="F182" i="1"/>
  <c r="F183" i="1"/>
  <c r="F184" i="1"/>
  <c r="F185" i="1"/>
  <c r="F186" i="1"/>
  <c r="F187" i="1"/>
  <c r="F189" i="1"/>
  <c r="F190" i="1"/>
  <c r="F192" i="1"/>
  <c r="F193" i="1"/>
  <c r="F194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10" i="1"/>
  <c r="F211" i="1"/>
  <c r="F212" i="1"/>
  <c r="F213" i="1"/>
  <c r="F216" i="1"/>
  <c r="F217" i="1"/>
  <c r="F221" i="1"/>
  <c r="F223" i="1"/>
  <c r="F224" i="1"/>
  <c r="F225" i="1"/>
  <c r="F226" i="1"/>
  <c r="F227" i="1"/>
  <c r="F228" i="1"/>
  <c r="F229" i="1"/>
  <c r="F230" i="1"/>
  <c r="F231" i="1"/>
  <c r="F232" i="1"/>
  <c r="F234" i="1"/>
  <c r="F235" i="1"/>
  <c r="F236" i="1"/>
  <c r="F237" i="1"/>
  <c r="F238" i="1"/>
  <c r="F239" i="1"/>
  <c r="F240" i="1"/>
  <c r="F241" i="1"/>
  <c r="F242" i="1"/>
  <c r="F243" i="1"/>
  <c r="F244" i="1"/>
  <c r="F215" i="1"/>
  <c r="F120" i="1"/>
  <c r="F130" i="1"/>
  <c r="F139" i="1"/>
  <c r="F160" i="1"/>
  <c r="F167" i="1"/>
  <c r="F173" i="1"/>
  <c r="F180" i="1"/>
  <c r="F195" i="1"/>
  <c r="F196" i="1"/>
  <c r="F245" i="1"/>
  <c r="F248" i="1"/>
  <c r="F249" i="1"/>
  <c r="F250" i="1"/>
  <c r="F119" i="1"/>
  <c r="F251" i="1"/>
  <c r="F121" i="1"/>
  <c r="F254" i="1"/>
  <c r="F255" i="1"/>
  <c r="F256" i="1"/>
  <c r="F257" i="1"/>
  <c r="F258" i="1"/>
  <c r="F132" i="1"/>
  <c r="F259" i="1"/>
  <c r="F136" i="1"/>
  <c r="F261" i="1"/>
  <c r="F263" i="1"/>
  <c r="F266" i="1"/>
  <c r="F267" i="1"/>
  <c r="F147" i="1"/>
  <c r="F268" i="1"/>
  <c r="F148" i="1"/>
  <c r="F269" i="1"/>
  <c r="F270" i="1"/>
  <c r="F272" i="1"/>
  <c r="F273" i="1"/>
  <c r="F274" i="1"/>
  <c r="F275" i="1"/>
  <c r="F278" i="1"/>
  <c r="F279" i="1"/>
  <c r="F280" i="1"/>
  <c r="F282" i="1"/>
  <c r="F283" i="1"/>
  <c r="F285" i="1"/>
  <c r="F161" i="1"/>
  <c r="F286" i="1"/>
  <c r="F287" i="1"/>
  <c r="F288" i="1"/>
  <c r="F289" i="1"/>
  <c r="F291" i="1"/>
  <c r="F168" i="1"/>
  <c r="F293" i="1"/>
  <c r="F294" i="1"/>
  <c r="F295" i="1"/>
  <c r="F297" i="1"/>
  <c r="F300" i="1"/>
  <c r="F302" i="1"/>
  <c r="F304" i="1"/>
  <c r="F306" i="1"/>
  <c r="F181" i="1"/>
  <c r="F309" i="1"/>
  <c r="F310" i="1"/>
  <c r="F315" i="1"/>
  <c r="F317" i="1"/>
  <c r="F319" i="1"/>
  <c r="F188" i="1"/>
  <c r="F320" i="1"/>
  <c r="F321" i="1"/>
  <c r="F322" i="1"/>
  <c r="F323" i="1"/>
  <c r="F191" i="1"/>
  <c r="F324" i="1"/>
  <c r="F328" i="1"/>
  <c r="F329" i="1"/>
  <c r="F330" i="1"/>
  <c r="F332" i="1"/>
  <c r="F333" i="1"/>
  <c r="F334" i="1"/>
  <c r="F335" i="1"/>
  <c r="F336" i="1"/>
  <c r="F337" i="1"/>
  <c r="F339" i="1"/>
  <c r="F340" i="1"/>
  <c r="F341" i="1"/>
  <c r="F344" i="1"/>
  <c r="F345" i="1"/>
  <c r="F346" i="1"/>
  <c r="F347" i="1"/>
  <c r="F348" i="1"/>
  <c r="F350" i="1"/>
  <c r="F351" i="1"/>
  <c r="F352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209" i="1"/>
  <c r="F368" i="1"/>
  <c r="F369" i="1"/>
  <c r="F371" i="1"/>
  <c r="F214" i="1"/>
  <c r="F373" i="1"/>
  <c r="F375" i="1"/>
  <c r="F376" i="1"/>
  <c r="F218" i="1"/>
  <c r="F219" i="1"/>
  <c r="F220" i="1"/>
  <c r="F222" i="1"/>
  <c r="F377" i="1"/>
  <c r="F378" i="1"/>
  <c r="F379" i="1"/>
  <c r="F380" i="1"/>
  <c r="F381" i="1"/>
  <c r="F382" i="1"/>
  <c r="F383" i="1"/>
  <c r="F384" i="1"/>
  <c r="F385" i="1"/>
  <c r="F386" i="1"/>
  <c r="F387" i="1"/>
  <c r="F233" i="1"/>
  <c r="F388" i="1"/>
  <c r="F389" i="1"/>
  <c r="F390" i="1"/>
  <c r="F391" i="1"/>
  <c r="F392" i="1"/>
  <c r="F393" i="1"/>
  <c r="F276" i="1"/>
  <c r="F277" i="1"/>
  <c r="F290" i="1"/>
  <c r="F296" i="1"/>
  <c r="F303" i="1"/>
  <c r="F305" i="1"/>
  <c r="F177" i="1"/>
  <c r="F318" i="1"/>
  <c r="F331" i="1"/>
  <c r="F374" i="1"/>
  <c r="F246" i="1"/>
  <c r="F247" i="1"/>
  <c r="F252" i="1"/>
  <c r="F271" i="1"/>
  <c r="F281" i="1"/>
  <c r="F284" i="1"/>
  <c r="F311" i="1"/>
  <c r="F312" i="1"/>
  <c r="F31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253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262" i="1"/>
  <c r="F424" i="1"/>
  <c r="F264" i="1"/>
  <c r="F425" i="1"/>
  <c r="F426" i="1"/>
  <c r="F427" i="1"/>
  <c r="F428" i="1"/>
  <c r="F429" i="1"/>
  <c r="F430" i="1"/>
  <c r="F431" i="1"/>
  <c r="F432" i="1"/>
  <c r="F433" i="1"/>
  <c r="F434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163" i="1"/>
  <c r="F450" i="1"/>
  <c r="F451" i="1"/>
  <c r="F452" i="1"/>
  <c r="F292" i="1"/>
  <c r="F453" i="1"/>
  <c r="F454" i="1"/>
  <c r="F455" i="1"/>
  <c r="F456" i="1"/>
  <c r="F457" i="1"/>
  <c r="F458" i="1"/>
  <c r="F459" i="1"/>
  <c r="F460" i="1"/>
  <c r="F462" i="1"/>
  <c r="F463" i="1"/>
  <c r="F464" i="1"/>
  <c r="F465" i="1"/>
  <c r="F466" i="1"/>
  <c r="F467" i="1"/>
  <c r="F298" i="1"/>
  <c r="F299" i="1"/>
  <c r="F468" i="1"/>
  <c r="F469" i="1"/>
  <c r="F470" i="1"/>
  <c r="F301" i="1"/>
  <c r="F176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314" i="1"/>
  <c r="F485" i="1"/>
  <c r="F486" i="1"/>
  <c r="F487" i="1"/>
  <c r="F488" i="1"/>
  <c r="F489" i="1"/>
  <c r="F490" i="1"/>
  <c r="F491" i="1"/>
  <c r="F493" i="1"/>
  <c r="F494" i="1"/>
  <c r="F495" i="1"/>
  <c r="F496" i="1"/>
  <c r="F325" i="1"/>
  <c r="F32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342" i="1"/>
  <c r="F343" i="1"/>
  <c r="F509" i="1"/>
  <c r="F511" i="1"/>
  <c r="F512" i="1"/>
  <c r="F349" i="1"/>
  <c r="F513" i="1"/>
  <c r="F514" i="1"/>
  <c r="F515" i="1"/>
  <c r="F516" i="1"/>
  <c r="F517" i="1"/>
  <c r="F518" i="1"/>
  <c r="F353" i="1"/>
  <c r="F519" i="1"/>
  <c r="F520" i="1"/>
  <c r="F521" i="1"/>
  <c r="F522" i="1"/>
  <c r="F525" i="1"/>
  <c r="F526" i="1"/>
  <c r="F527" i="1"/>
  <c r="F528" i="1"/>
  <c r="F367" i="1"/>
  <c r="F529" i="1"/>
  <c r="F530" i="1"/>
  <c r="F37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4" i="1"/>
  <c r="F545" i="1"/>
  <c r="F546" i="1"/>
  <c r="F547" i="1"/>
  <c r="F548" i="1"/>
  <c r="F549" i="1"/>
  <c r="F551" i="1"/>
  <c r="F552" i="1"/>
  <c r="F553" i="1"/>
  <c r="F554" i="1"/>
  <c r="F555" i="1"/>
  <c r="F556" i="1"/>
  <c r="F435" i="1"/>
  <c r="F461" i="1"/>
  <c r="F557" i="1"/>
  <c r="F558" i="1"/>
  <c r="F559" i="1"/>
  <c r="F560" i="1"/>
  <c r="F561" i="1"/>
  <c r="F562" i="1"/>
  <c r="F563" i="1"/>
  <c r="F565" i="1"/>
  <c r="F566" i="1"/>
  <c r="F567" i="1"/>
  <c r="F569" i="1"/>
  <c r="F572" i="1"/>
  <c r="F573" i="1"/>
  <c r="F574" i="1"/>
  <c r="F575" i="1"/>
  <c r="F576" i="1"/>
  <c r="F577" i="1"/>
  <c r="F578" i="1"/>
  <c r="F579" i="1"/>
  <c r="F580" i="1"/>
  <c r="F581" i="1"/>
  <c r="F582" i="1"/>
  <c r="F584" i="1"/>
  <c r="F585" i="1"/>
  <c r="F586" i="1"/>
  <c r="F587" i="1"/>
  <c r="F588" i="1"/>
  <c r="F589" i="1"/>
  <c r="F590" i="1"/>
  <c r="F591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1" i="1"/>
  <c r="F642" i="1"/>
  <c r="F643" i="1"/>
  <c r="F307" i="1"/>
  <c r="F308" i="1"/>
  <c r="F644" i="1"/>
  <c r="F645" i="1"/>
  <c r="F646" i="1"/>
  <c r="F647" i="1"/>
  <c r="F649" i="1"/>
  <c r="F650" i="1"/>
  <c r="F651" i="1"/>
  <c r="F652" i="1"/>
  <c r="F316" i="1"/>
  <c r="F653" i="1"/>
  <c r="F654" i="1"/>
  <c r="F656" i="1"/>
  <c r="F657" i="1"/>
  <c r="F659" i="1"/>
  <c r="F660" i="1"/>
  <c r="F661" i="1"/>
  <c r="F663" i="1"/>
  <c r="F664" i="1"/>
  <c r="F492" i="1"/>
  <c r="F665" i="1"/>
  <c r="F666" i="1"/>
  <c r="F667" i="1"/>
  <c r="F668" i="1"/>
  <c r="F669" i="1"/>
  <c r="F327" i="1"/>
  <c r="F670" i="1"/>
  <c r="F671" i="1"/>
  <c r="F672" i="1"/>
  <c r="F673" i="1"/>
  <c r="F674" i="1"/>
  <c r="F675" i="1"/>
  <c r="F676" i="1"/>
  <c r="F678" i="1"/>
  <c r="F679" i="1"/>
  <c r="F680" i="1"/>
  <c r="F681" i="1"/>
  <c r="F682" i="1"/>
  <c r="F683" i="1"/>
  <c r="F684" i="1"/>
  <c r="F510" i="1"/>
  <c r="F685" i="1"/>
  <c r="F686" i="1"/>
  <c r="F687" i="1"/>
  <c r="F688" i="1"/>
  <c r="F689" i="1"/>
  <c r="F691" i="1"/>
  <c r="F523" i="1"/>
  <c r="F524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543" i="1"/>
  <c r="F723" i="1"/>
  <c r="F724" i="1"/>
  <c r="F725" i="1"/>
  <c r="F726" i="1"/>
  <c r="F727" i="1"/>
  <c r="F728" i="1"/>
  <c r="F729" i="1"/>
  <c r="F730" i="1"/>
  <c r="F731" i="1"/>
  <c r="F733" i="1"/>
  <c r="F734" i="1"/>
  <c r="F735" i="1"/>
  <c r="F736" i="1"/>
  <c r="F737" i="1"/>
  <c r="F550" i="1"/>
  <c r="F738" i="1"/>
  <c r="F739" i="1"/>
  <c r="F740" i="1"/>
  <c r="F741" i="1"/>
  <c r="F742" i="1"/>
  <c r="F743" i="1"/>
  <c r="F744" i="1"/>
  <c r="F745" i="1"/>
  <c r="F564" i="1"/>
  <c r="F746" i="1"/>
  <c r="F747" i="1"/>
  <c r="F568" i="1"/>
  <c r="F571" i="1"/>
  <c r="F570" i="1"/>
  <c r="F749" i="1"/>
  <c r="F750" i="1"/>
  <c r="F751" i="1"/>
  <c r="F752" i="1"/>
  <c r="F753" i="1"/>
  <c r="F754" i="1"/>
  <c r="F755" i="1"/>
  <c r="F583" i="1"/>
  <c r="F756" i="1"/>
  <c r="F757" i="1"/>
  <c r="F260" i="1"/>
  <c r="F592" i="1"/>
  <c r="F758" i="1"/>
  <c r="F759" i="1"/>
  <c r="F760" i="1"/>
  <c r="F761" i="1"/>
  <c r="F762" i="1"/>
  <c r="F763" i="1"/>
  <c r="F764" i="1"/>
  <c r="F423" i="1"/>
  <c r="F765" i="1"/>
  <c r="F766" i="1"/>
  <c r="F767" i="1"/>
  <c r="F265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625" i="1"/>
  <c r="F626" i="1"/>
  <c r="F781" i="1"/>
  <c r="F783" i="1"/>
  <c r="F784" i="1"/>
  <c r="F785" i="1"/>
  <c r="F786" i="1"/>
  <c r="F640" i="1"/>
  <c r="F787" i="1"/>
  <c r="F788" i="1"/>
  <c r="F789" i="1"/>
  <c r="F648" i="1"/>
  <c r="F790" i="1"/>
  <c r="F791" i="1"/>
  <c r="F792" i="1"/>
  <c r="F655" i="1"/>
  <c r="F793" i="1"/>
  <c r="F658" i="1"/>
  <c r="F794" i="1"/>
  <c r="F662" i="1"/>
  <c r="F795" i="1"/>
  <c r="F796" i="1"/>
  <c r="F797" i="1"/>
  <c r="F798" i="1"/>
  <c r="F799" i="1"/>
  <c r="F800" i="1"/>
  <c r="F677" i="1"/>
  <c r="F801" i="1"/>
  <c r="F802" i="1"/>
  <c r="F803" i="1"/>
  <c r="F338" i="1"/>
  <c r="F804" i="1"/>
  <c r="F805" i="1"/>
  <c r="F806" i="1"/>
  <c r="F807" i="1"/>
  <c r="F808" i="1"/>
  <c r="F690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732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748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782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4" i="1"/>
  <c r="F983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292" i="1"/>
  <c r="F1151" i="1"/>
  <c r="F1152" i="1"/>
  <c r="F1154" i="1"/>
  <c r="F1153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55" i="1"/>
  <c r="F1169" i="1"/>
  <c r="F1170" i="1"/>
  <c r="F1171" i="1"/>
  <c r="F1172" i="1"/>
  <c r="F1173" i="1"/>
  <c r="F1174" i="1"/>
  <c r="F1176" i="1"/>
  <c r="F1175" i="1"/>
  <c r="F1178" i="1"/>
  <c r="F1177" i="1"/>
  <c r="F1180" i="1"/>
  <c r="F1179" i="1"/>
  <c r="F1182" i="1"/>
  <c r="F1181" i="1"/>
  <c r="F1184" i="1"/>
  <c r="F1185" i="1"/>
  <c r="F1183" i="1"/>
  <c r="F1187" i="1"/>
  <c r="F1186" i="1"/>
  <c r="F1189" i="1"/>
  <c r="F1188" i="1"/>
  <c r="F1190" i="1"/>
  <c r="F1191" i="1"/>
  <c r="F1192" i="1"/>
  <c r="F1193" i="1"/>
  <c r="F1195" i="1"/>
  <c r="F1194" i="1"/>
  <c r="F1196" i="1"/>
  <c r="F1197" i="1"/>
  <c r="F1199" i="1"/>
  <c r="F1200" i="1"/>
  <c r="F1201" i="1"/>
  <c r="F1198" i="1"/>
  <c r="F1203" i="1"/>
  <c r="F1204" i="1"/>
  <c r="F1202" i="1"/>
  <c r="F1206" i="1"/>
  <c r="F1207" i="1"/>
  <c r="F1208" i="1"/>
  <c r="F1209" i="1"/>
  <c r="F1210" i="1"/>
  <c r="F1205" i="1"/>
  <c r="F1212" i="1"/>
  <c r="F1211" i="1"/>
  <c r="F1213" i="1"/>
  <c r="F1215" i="1"/>
  <c r="F1214" i="1"/>
  <c r="F1217" i="1"/>
  <c r="F1218" i="1"/>
  <c r="F1219" i="1"/>
  <c r="F1216" i="1"/>
  <c r="F1221" i="1"/>
  <c r="F1222" i="1"/>
  <c r="F1220" i="1"/>
  <c r="F1223" i="1"/>
  <c r="F1224" i="1"/>
  <c r="F1225" i="1"/>
  <c r="F1226" i="1"/>
  <c r="F1228" i="1"/>
  <c r="F1229" i="1"/>
  <c r="F1227" i="1"/>
  <c r="F1231" i="1"/>
  <c r="F1230" i="1"/>
  <c r="F1232" i="1"/>
  <c r="F1233" i="1"/>
  <c r="F1234" i="1"/>
  <c r="F1235" i="1"/>
  <c r="F1236" i="1"/>
  <c r="F1238" i="1"/>
  <c r="F1239" i="1"/>
  <c r="F1240" i="1"/>
  <c r="F1237" i="1"/>
  <c r="F1242" i="1"/>
  <c r="F1243" i="1"/>
  <c r="F1244" i="1"/>
  <c r="F1245" i="1"/>
  <c r="F1246" i="1"/>
  <c r="F1247" i="1"/>
  <c r="F1241" i="1"/>
  <c r="F1248" i="1"/>
  <c r="F1249" i="1"/>
  <c r="F1251" i="1"/>
  <c r="F1252" i="1"/>
  <c r="F1250" i="1"/>
  <c r="F1254" i="1"/>
  <c r="F1255" i="1"/>
  <c r="F1256" i="1"/>
  <c r="F1257" i="1"/>
  <c r="F1258" i="1"/>
  <c r="F1259" i="1"/>
  <c r="F1260" i="1"/>
  <c r="F1261" i="1"/>
  <c r="F1262" i="1"/>
  <c r="F1253" i="1"/>
  <c r="F1264" i="1"/>
  <c r="F1265" i="1"/>
  <c r="F1266" i="1"/>
  <c r="F1267" i="1"/>
  <c r="F1268" i="1"/>
  <c r="F1269" i="1"/>
  <c r="F1270" i="1"/>
  <c r="F1271" i="1"/>
  <c r="F1272" i="1"/>
  <c r="F1263" i="1"/>
  <c r="F1273" i="1"/>
  <c r="F1274" i="1"/>
  <c r="F1275" i="1"/>
  <c r="F1276" i="1"/>
  <c r="F1278" i="1"/>
  <c r="F1277" i="1"/>
  <c r="F1280" i="1"/>
  <c r="F1281" i="1"/>
  <c r="F1282" i="1"/>
  <c r="F1279" i="1"/>
  <c r="F1283" i="1"/>
  <c r="F1284" i="1"/>
  <c r="F1286" i="1"/>
  <c r="F1287" i="1"/>
  <c r="F1288" i="1"/>
  <c r="F1285" i="1"/>
  <c r="F1289" i="1"/>
  <c r="F1290" i="1"/>
  <c r="F1291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60" i="1"/>
  <c r="F1359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6" i="1"/>
  <c r="L77" i="1"/>
  <c r="L78" i="1"/>
  <c r="L79" i="1"/>
  <c r="L80" i="1"/>
  <c r="L84" i="1"/>
  <c r="L85" i="1"/>
  <c r="L87" i="1"/>
  <c r="L88" i="1"/>
  <c r="L89" i="1"/>
  <c r="L90" i="1"/>
  <c r="L91" i="1"/>
  <c r="L92" i="1"/>
  <c r="L93" i="1"/>
  <c r="L94" i="1"/>
  <c r="L95" i="1"/>
  <c r="L97" i="1"/>
  <c r="L98" i="1"/>
  <c r="L99" i="1"/>
  <c r="L100" i="1"/>
  <c r="L101" i="1"/>
  <c r="L102" i="1"/>
  <c r="L103" i="1"/>
  <c r="L105" i="1"/>
  <c r="L106" i="1"/>
  <c r="L107" i="1"/>
  <c r="L372" i="1"/>
  <c r="L108" i="1"/>
  <c r="L109" i="1"/>
  <c r="L110" i="1"/>
  <c r="L111" i="1"/>
  <c r="L112" i="1"/>
  <c r="L113" i="1"/>
  <c r="L81" i="1"/>
  <c r="L83" i="1"/>
  <c r="L86" i="1"/>
  <c r="L96" i="1"/>
  <c r="L104" i="1"/>
  <c r="L114" i="1"/>
  <c r="L75" i="1"/>
  <c r="L115" i="1"/>
  <c r="L116" i="1"/>
  <c r="L117" i="1"/>
  <c r="L118" i="1"/>
  <c r="L122" i="1"/>
  <c r="L123" i="1"/>
  <c r="L124" i="1"/>
  <c r="L125" i="1"/>
  <c r="L126" i="1"/>
  <c r="L127" i="1"/>
  <c r="L128" i="1"/>
  <c r="L129" i="1"/>
  <c r="L131" i="1"/>
  <c r="L133" i="1"/>
  <c r="L134" i="1"/>
  <c r="L135" i="1"/>
  <c r="L137" i="1"/>
  <c r="L138" i="1"/>
  <c r="L140" i="1"/>
  <c r="L141" i="1"/>
  <c r="L142" i="1"/>
  <c r="L143" i="1"/>
  <c r="L144" i="1"/>
  <c r="L145" i="1"/>
  <c r="L146" i="1"/>
  <c r="L149" i="1"/>
  <c r="L150" i="1"/>
  <c r="L151" i="1"/>
  <c r="L82" i="1"/>
  <c r="L152" i="1"/>
  <c r="L153" i="1"/>
  <c r="L154" i="1"/>
  <c r="L155" i="1"/>
  <c r="L156" i="1"/>
  <c r="L157" i="1"/>
  <c r="L158" i="1"/>
  <c r="L159" i="1"/>
  <c r="L162" i="1"/>
  <c r="L164" i="1"/>
  <c r="L165" i="1"/>
  <c r="L166" i="1"/>
  <c r="L169" i="1"/>
  <c r="L170" i="1"/>
  <c r="L171" i="1"/>
  <c r="L172" i="1"/>
  <c r="L174" i="1"/>
  <c r="L175" i="1"/>
  <c r="L178" i="1"/>
  <c r="L179" i="1"/>
  <c r="L182" i="1"/>
  <c r="L183" i="1"/>
  <c r="L184" i="1"/>
  <c r="L185" i="1"/>
  <c r="L186" i="1"/>
  <c r="L187" i="1"/>
  <c r="L189" i="1"/>
  <c r="L190" i="1"/>
  <c r="L192" i="1"/>
  <c r="L193" i="1"/>
  <c r="L194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10" i="1"/>
  <c r="L211" i="1"/>
  <c r="L212" i="1"/>
  <c r="L213" i="1"/>
  <c r="L216" i="1"/>
  <c r="L217" i="1"/>
  <c r="L221" i="1"/>
  <c r="L223" i="1"/>
  <c r="L224" i="1"/>
  <c r="L225" i="1"/>
  <c r="L226" i="1"/>
  <c r="L227" i="1"/>
  <c r="L228" i="1"/>
  <c r="L229" i="1"/>
  <c r="L230" i="1"/>
  <c r="L231" i="1"/>
  <c r="L232" i="1"/>
  <c r="L234" i="1"/>
  <c r="L235" i="1"/>
  <c r="L236" i="1"/>
  <c r="L237" i="1"/>
  <c r="L238" i="1"/>
  <c r="L239" i="1"/>
  <c r="L240" i="1"/>
  <c r="L241" i="1"/>
  <c r="L242" i="1"/>
  <c r="L243" i="1"/>
  <c r="L244" i="1"/>
  <c r="L215" i="1"/>
  <c r="L120" i="1"/>
  <c r="L130" i="1"/>
  <c r="L139" i="1"/>
  <c r="L160" i="1"/>
  <c r="L167" i="1"/>
  <c r="L173" i="1"/>
  <c r="L180" i="1"/>
  <c r="L195" i="1"/>
  <c r="L196" i="1"/>
  <c r="L245" i="1"/>
  <c r="L248" i="1"/>
  <c r="L249" i="1"/>
  <c r="L250" i="1"/>
  <c r="L119" i="1"/>
  <c r="L251" i="1"/>
  <c r="L121" i="1"/>
  <c r="L254" i="1"/>
  <c r="L255" i="1"/>
  <c r="L256" i="1"/>
  <c r="L257" i="1"/>
  <c r="L258" i="1"/>
  <c r="L132" i="1"/>
  <c r="L259" i="1"/>
  <c r="L136" i="1"/>
  <c r="L261" i="1"/>
  <c r="L263" i="1"/>
  <c r="L266" i="1"/>
  <c r="L267" i="1"/>
  <c r="L147" i="1"/>
  <c r="L268" i="1"/>
  <c r="L148" i="1"/>
  <c r="L269" i="1"/>
  <c r="L270" i="1"/>
  <c r="L272" i="1"/>
  <c r="L273" i="1"/>
  <c r="L274" i="1"/>
  <c r="L275" i="1"/>
  <c r="L278" i="1"/>
  <c r="L279" i="1"/>
  <c r="L280" i="1"/>
  <c r="L282" i="1"/>
  <c r="L283" i="1"/>
  <c r="L285" i="1"/>
  <c r="L161" i="1"/>
  <c r="L286" i="1"/>
  <c r="L287" i="1"/>
  <c r="L288" i="1"/>
  <c r="L289" i="1"/>
  <c r="L291" i="1"/>
  <c r="L168" i="1"/>
  <c r="L293" i="1"/>
  <c r="L294" i="1"/>
  <c r="L295" i="1"/>
  <c r="L297" i="1"/>
  <c r="L300" i="1"/>
  <c r="L302" i="1"/>
  <c r="L304" i="1"/>
  <c r="L306" i="1"/>
  <c r="L181" i="1"/>
  <c r="L309" i="1"/>
  <c r="L310" i="1"/>
  <c r="L315" i="1"/>
  <c r="L317" i="1"/>
  <c r="L319" i="1"/>
  <c r="L188" i="1"/>
  <c r="L320" i="1"/>
  <c r="L321" i="1"/>
  <c r="L322" i="1"/>
  <c r="L323" i="1"/>
  <c r="L191" i="1"/>
  <c r="L324" i="1"/>
  <c r="L328" i="1"/>
  <c r="L329" i="1"/>
  <c r="L330" i="1"/>
  <c r="L332" i="1"/>
  <c r="L333" i="1"/>
  <c r="L334" i="1"/>
  <c r="L335" i="1"/>
  <c r="L336" i="1"/>
  <c r="L337" i="1"/>
  <c r="L339" i="1"/>
  <c r="L340" i="1"/>
  <c r="L341" i="1"/>
  <c r="L344" i="1"/>
  <c r="L345" i="1"/>
  <c r="L346" i="1"/>
  <c r="L347" i="1"/>
  <c r="L348" i="1"/>
  <c r="L350" i="1"/>
  <c r="L351" i="1"/>
  <c r="L352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209" i="1"/>
  <c r="L368" i="1"/>
  <c r="L369" i="1"/>
  <c r="L371" i="1"/>
  <c r="L214" i="1"/>
  <c r="L373" i="1"/>
  <c r="L375" i="1"/>
  <c r="L376" i="1"/>
  <c r="L218" i="1"/>
  <c r="L219" i="1"/>
  <c r="L220" i="1"/>
  <c r="L222" i="1"/>
  <c r="L377" i="1"/>
  <c r="L378" i="1"/>
  <c r="L379" i="1"/>
  <c r="L380" i="1"/>
  <c r="L381" i="1"/>
  <c r="L382" i="1"/>
  <c r="L383" i="1"/>
  <c r="L384" i="1"/>
  <c r="L385" i="1"/>
  <c r="L386" i="1"/>
  <c r="L387" i="1"/>
  <c r="L233" i="1"/>
  <c r="L388" i="1"/>
  <c r="L389" i="1"/>
  <c r="L390" i="1"/>
  <c r="L391" i="1"/>
  <c r="L392" i="1"/>
  <c r="L393" i="1"/>
  <c r="L276" i="1"/>
  <c r="L277" i="1"/>
  <c r="L290" i="1"/>
  <c r="L296" i="1"/>
  <c r="L303" i="1"/>
  <c r="L305" i="1"/>
  <c r="L177" i="1"/>
  <c r="L318" i="1"/>
  <c r="L331" i="1"/>
  <c r="L374" i="1"/>
  <c r="L246" i="1"/>
  <c r="L247" i="1"/>
  <c r="L252" i="1"/>
  <c r="L271" i="1"/>
  <c r="L281" i="1"/>
  <c r="L284" i="1"/>
  <c r="L311" i="1"/>
  <c r="L312" i="1"/>
  <c r="L31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253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262" i="1"/>
  <c r="L424" i="1"/>
  <c r="L264" i="1"/>
  <c r="L425" i="1"/>
  <c r="L426" i="1"/>
  <c r="L427" i="1"/>
  <c r="L428" i="1"/>
  <c r="L429" i="1"/>
  <c r="L430" i="1"/>
  <c r="L431" i="1"/>
  <c r="L432" i="1"/>
  <c r="L433" i="1"/>
  <c r="L434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163" i="1"/>
  <c r="L450" i="1"/>
  <c r="L451" i="1"/>
  <c r="L452" i="1"/>
  <c r="L292" i="1"/>
  <c r="L453" i="1"/>
  <c r="L454" i="1"/>
  <c r="L455" i="1"/>
  <c r="L456" i="1"/>
  <c r="L457" i="1"/>
  <c r="L458" i="1"/>
  <c r="L459" i="1"/>
  <c r="L460" i="1"/>
  <c r="L462" i="1"/>
  <c r="L463" i="1"/>
  <c r="L464" i="1"/>
  <c r="L465" i="1"/>
  <c r="L466" i="1"/>
  <c r="L467" i="1"/>
  <c r="L298" i="1"/>
  <c r="L299" i="1"/>
  <c r="L468" i="1"/>
  <c r="L469" i="1"/>
  <c r="L470" i="1"/>
  <c r="L301" i="1"/>
  <c r="L176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314" i="1"/>
  <c r="L485" i="1"/>
  <c r="L486" i="1"/>
  <c r="L487" i="1"/>
  <c r="L488" i="1"/>
  <c r="L489" i="1"/>
  <c r="L490" i="1"/>
  <c r="L491" i="1"/>
  <c r="L493" i="1"/>
  <c r="L494" i="1"/>
  <c r="L495" i="1"/>
  <c r="L496" i="1"/>
  <c r="L325" i="1"/>
  <c r="L32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342" i="1"/>
  <c r="L343" i="1"/>
  <c r="L509" i="1"/>
  <c r="L511" i="1"/>
  <c r="L512" i="1"/>
  <c r="L349" i="1"/>
  <c r="L513" i="1"/>
  <c r="L514" i="1"/>
  <c r="L515" i="1"/>
  <c r="L516" i="1"/>
  <c r="L517" i="1"/>
  <c r="L518" i="1"/>
  <c r="L353" i="1"/>
  <c r="L519" i="1"/>
  <c r="L520" i="1"/>
  <c r="L521" i="1"/>
  <c r="L522" i="1"/>
  <c r="L525" i="1"/>
  <c r="L526" i="1"/>
  <c r="L527" i="1"/>
  <c r="L528" i="1"/>
  <c r="L367" i="1"/>
  <c r="L529" i="1"/>
  <c r="L530" i="1"/>
  <c r="L37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4" i="1"/>
  <c r="L545" i="1"/>
  <c r="L546" i="1"/>
  <c r="L547" i="1"/>
  <c r="L548" i="1"/>
  <c r="L549" i="1"/>
  <c r="L551" i="1"/>
  <c r="L552" i="1"/>
  <c r="L553" i="1"/>
  <c r="L554" i="1"/>
  <c r="L555" i="1"/>
  <c r="L556" i="1"/>
  <c r="L435" i="1"/>
  <c r="L461" i="1"/>
  <c r="L557" i="1"/>
  <c r="L558" i="1"/>
  <c r="L559" i="1"/>
  <c r="L560" i="1"/>
  <c r="L561" i="1"/>
  <c r="L562" i="1"/>
  <c r="L563" i="1"/>
  <c r="L565" i="1"/>
  <c r="L566" i="1"/>
  <c r="L567" i="1"/>
  <c r="L569" i="1"/>
  <c r="L572" i="1"/>
  <c r="L573" i="1"/>
  <c r="L574" i="1"/>
  <c r="L575" i="1"/>
  <c r="L576" i="1"/>
  <c r="L577" i="1"/>
  <c r="L578" i="1"/>
  <c r="L579" i="1"/>
  <c r="L580" i="1"/>
  <c r="L581" i="1"/>
  <c r="L582" i="1"/>
  <c r="L584" i="1"/>
  <c r="L585" i="1"/>
  <c r="L586" i="1"/>
  <c r="L587" i="1"/>
  <c r="L588" i="1"/>
  <c r="L589" i="1"/>
  <c r="L590" i="1"/>
  <c r="L591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1" i="1"/>
  <c r="L642" i="1"/>
  <c r="L643" i="1"/>
  <c r="L307" i="1"/>
  <c r="L308" i="1"/>
  <c r="L644" i="1"/>
  <c r="L645" i="1"/>
  <c r="L646" i="1"/>
  <c r="L647" i="1"/>
  <c r="L649" i="1"/>
  <c r="L650" i="1"/>
  <c r="L651" i="1"/>
  <c r="L652" i="1"/>
  <c r="L316" i="1"/>
  <c r="L653" i="1"/>
  <c r="L654" i="1"/>
  <c r="L656" i="1"/>
  <c r="L657" i="1"/>
  <c r="L659" i="1"/>
  <c r="L660" i="1"/>
  <c r="L661" i="1"/>
  <c r="L663" i="1"/>
  <c r="L664" i="1"/>
  <c r="L492" i="1"/>
  <c r="L665" i="1"/>
  <c r="L666" i="1"/>
  <c r="L667" i="1"/>
  <c r="L668" i="1"/>
  <c r="L669" i="1"/>
  <c r="L327" i="1"/>
  <c r="L670" i="1"/>
  <c r="L671" i="1"/>
  <c r="L672" i="1"/>
  <c r="L673" i="1"/>
  <c r="L674" i="1"/>
  <c r="L675" i="1"/>
  <c r="L676" i="1"/>
  <c r="L678" i="1"/>
  <c r="L679" i="1"/>
  <c r="L680" i="1"/>
  <c r="L681" i="1"/>
  <c r="L682" i="1"/>
  <c r="L683" i="1"/>
  <c r="L684" i="1"/>
  <c r="L510" i="1"/>
  <c r="L685" i="1"/>
  <c r="L686" i="1"/>
  <c r="L687" i="1"/>
  <c r="L688" i="1"/>
  <c r="L689" i="1"/>
  <c r="L691" i="1"/>
  <c r="L523" i="1"/>
  <c r="L524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543" i="1"/>
  <c r="L723" i="1"/>
  <c r="L724" i="1"/>
  <c r="L725" i="1"/>
  <c r="L726" i="1"/>
  <c r="L727" i="1"/>
  <c r="L728" i="1"/>
  <c r="L729" i="1"/>
  <c r="L730" i="1"/>
  <c r="L731" i="1"/>
  <c r="L733" i="1"/>
  <c r="L734" i="1"/>
  <c r="L735" i="1"/>
  <c r="L736" i="1"/>
  <c r="L737" i="1"/>
  <c r="L550" i="1"/>
  <c r="L738" i="1"/>
  <c r="L739" i="1"/>
  <c r="L740" i="1"/>
  <c r="L741" i="1"/>
  <c r="L742" i="1"/>
  <c r="L743" i="1"/>
  <c r="L744" i="1"/>
  <c r="L745" i="1"/>
  <c r="L564" i="1"/>
  <c r="L746" i="1"/>
  <c r="L747" i="1"/>
  <c r="L568" i="1"/>
  <c r="L571" i="1"/>
  <c r="L570" i="1"/>
  <c r="L749" i="1"/>
  <c r="L750" i="1"/>
  <c r="L751" i="1"/>
  <c r="L752" i="1"/>
  <c r="L753" i="1"/>
  <c r="L754" i="1"/>
  <c r="L755" i="1"/>
  <c r="L583" i="1"/>
  <c r="L756" i="1"/>
  <c r="L757" i="1"/>
  <c r="L260" i="1"/>
  <c r="L592" i="1"/>
  <c r="L758" i="1"/>
  <c r="L759" i="1"/>
  <c r="L760" i="1"/>
  <c r="L761" i="1"/>
  <c r="L762" i="1"/>
  <c r="L763" i="1"/>
  <c r="L764" i="1"/>
  <c r="L423" i="1"/>
  <c r="L765" i="1"/>
  <c r="L766" i="1"/>
  <c r="L767" i="1"/>
  <c r="L265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625" i="1"/>
  <c r="L626" i="1"/>
  <c r="L781" i="1"/>
  <c r="L783" i="1"/>
  <c r="L784" i="1"/>
  <c r="L785" i="1"/>
  <c r="L786" i="1"/>
  <c r="L640" i="1"/>
  <c r="L787" i="1"/>
  <c r="L788" i="1"/>
  <c r="L789" i="1"/>
  <c r="L648" i="1"/>
  <c r="L790" i="1"/>
  <c r="L791" i="1"/>
  <c r="L792" i="1"/>
  <c r="L655" i="1"/>
  <c r="L793" i="1"/>
  <c r="L658" i="1"/>
  <c r="L794" i="1"/>
  <c r="L662" i="1"/>
  <c r="L795" i="1"/>
  <c r="L796" i="1"/>
  <c r="L797" i="1"/>
  <c r="L798" i="1"/>
  <c r="L799" i="1"/>
  <c r="L800" i="1"/>
  <c r="L677" i="1"/>
  <c r="L801" i="1"/>
  <c r="L802" i="1"/>
  <c r="L803" i="1"/>
  <c r="L338" i="1"/>
  <c r="L804" i="1"/>
  <c r="L805" i="1"/>
  <c r="L806" i="1"/>
  <c r="L807" i="1"/>
  <c r="L808" i="1"/>
  <c r="L690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732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748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782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4" i="1"/>
  <c r="L983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292" i="1"/>
  <c r="L1151" i="1"/>
  <c r="L1152" i="1"/>
  <c r="L1154" i="1"/>
  <c r="L1153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55" i="1"/>
  <c r="L1169" i="1"/>
  <c r="L1170" i="1"/>
  <c r="L1171" i="1"/>
  <c r="L1172" i="1"/>
  <c r="L1173" i="1"/>
  <c r="L1174" i="1"/>
  <c r="L1176" i="1"/>
  <c r="L1175" i="1"/>
  <c r="L1178" i="1"/>
  <c r="L1177" i="1"/>
  <c r="L1180" i="1"/>
  <c r="L1179" i="1"/>
  <c r="L1182" i="1"/>
  <c r="L1181" i="1"/>
  <c r="L1184" i="1"/>
  <c r="L1185" i="1"/>
  <c r="L1183" i="1"/>
  <c r="L1187" i="1"/>
  <c r="L1186" i="1"/>
  <c r="L1189" i="1"/>
  <c r="L1188" i="1"/>
  <c r="L1190" i="1"/>
  <c r="L1191" i="1"/>
  <c r="L1192" i="1"/>
  <c r="L1193" i="1"/>
  <c r="L1195" i="1"/>
  <c r="L1194" i="1"/>
  <c r="L1196" i="1"/>
  <c r="L1197" i="1"/>
  <c r="L1199" i="1"/>
  <c r="L1200" i="1"/>
  <c r="L1201" i="1"/>
  <c r="L1198" i="1"/>
  <c r="L1203" i="1"/>
  <c r="L1204" i="1"/>
  <c r="L1202" i="1"/>
  <c r="L1206" i="1"/>
  <c r="L1207" i="1"/>
  <c r="L1208" i="1"/>
  <c r="L1209" i="1"/>
  <c r="L1210" i="1"/>
  <c r="L1205" i="1"/>
  <c r="L1212" i="1"/>
  <c r="L1211" i="1"/>
  <c r="L1213" i="1"/>
  <c r="L1215" i="1"/>
  <c r="L1214" i="1"/>
  <c r="L1217" i="1"/>
  <c r="L1218" i="1"/>
  <c r="L1219" i="1"/>
  <c r="L1216" i="1"/>
  <c r="L1221" i="1"/>
  <c r="L1222" i="1"/>
  <c r="L1220" i="1"/>
  <c r="L1223" i="1"/>
  <c r="L1224" i="1"/>
  <c r="L1225" i="1"/>
  <c r="L1226" i="1"/>
  <c r="L1228" i="1"/>
  <c r="L1229" i="1"/>
  <c r="L1227" i="1"/>
  <c r="L1231" i="1"/>
  <c r="L1230" i="1"/>
  <c r="L1232" i="1"/>
  <c r="L1233" i="1"/>
  <c r="L1234" i="1"/>
  <c r="L1235" i="1"/>
  <c r="L1236" i="1"/>
  <c r="L1238" i="1"/>
  <c r="L1239" i="1"/>
  <c r="L1240" i="1"/>
  <c r="L1237" i="1"/>
  <c r="L1242" i="1"/>
  <c r="L1243" i="1"/>
  <c r="L1244" i="1"/>
  <c r="L1245" i="1"/>
  <c r="L1246" i="1"/>
  <c r="L1247" i="1"/>
  <c r="L1241" i="1"/>
  <c r="L1248" i="1"/>
  <c r="L1249" i="1"/>
  <c r="L1251" i="1"/>
  <c r="L1252" i="1"/>
  <c r="L1250" i="1"/>
  <c r="L1254" i="1"/>
  <c r="L1255" i="1"/>
  <c r="L1256" i="1"/>
  <c r="L1257" i="1"/>
  <c r="L1258" i="1"/>
  <c r="L1259" i="1"/>
  <c r="L1260" i="1"/>
  <c r="L1261" i="1"/>
  <c r="L1262" i="1"/>
  <c r="L1253" i="1"/>
  <c r="L1264" i="1"/>
  <c r="L1265" i="1"/>
  <c r="L1266" i="1"/>
  <c r="L1267" i="1"/>
  <c r="L1268" i="1"/>
  <c r="L1269" i="1"/>
  <c r="L1270" i="1"/>
  <c r="L1271" i="1"/>
  <c r="L1272" i="1"/>
  <c r="L1263" i="1"/>
  <c r="L1273" i="1"/>
  <c r="L1274" i="1"/>
  <c r="L1275" i="1"/>
  <c r="L1276" i="1"/>
  <c r="L1278" i="1"/>
  <c r="L1277" i="1"/>
  <c r="L1280" i="1"/>
  <c r="L1281" i="1"/>
  <c r="L1282" i="1"/>
  <c r="L1279" i="1"/>
  <c r="L1283" i="1"/>
  <c r="L1284" i="1"/>
  <c r="L1286" i="1"/>
  <c r="L1287" i="1"/>
  <c r="L1288" i="1"/>
  <c r="L1285" i="1"/>
  <c r="L1289" i="1"/>
  <c r="L1290" i="1"/>
  <c r="L1291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60" i="1"/>
  <c r="L1359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E65" i="8"/>
  <c r="E66" i="8"/>
  <c r="E67" i="8"/>
  <c r="E68" i="8"/>
  <c r="E64" i="8"/>
  <c r="C65" i="8"/>
  <c r="C66" i="8"/>
  <c r="C67" i="8"/>
  <c r="C68" i="8"/>
  <c r="C64" i="8"/>
  <c r="B39" i="10"/>
  <c r="B31" i="10"/>
  <c r="B23" i="10"/>
  <c r="B15" i="10"/>
  <c r="B7" i="10"/>
  <c r="B45" i="8"/>
  <c r="D45" i="8" s="1"/>
  <c r="B46" i="8"/>
  <c r="D46" i="8" s="1"/>
  <c r="B47" i="8"/>
  <c r="D47" i="8" s="1"/>
  <c r="B48" i="8"/>
  <c r="D48" i="8" s="1"/>
  <c r="B44" i="8"/>
  <c r="D44" i="8" s="1"/>
  <c r="U18" i="6"/>
  <c r="N40" i="6"/>
  <c r="O40" i="6"/>
  <c r="P40" i="6"/>
  <c r="D41" i="6"/>
  <c r="E41" i="6"/>
  <c r="F41" i="6"/>
  <c r="G41" i="6"/>
  <c r="H41" i="6"/>
  <c r="I41" i="6"/>
  <c r="J41" i="6"/>
  <c r="K41" i="6"/>
  <c r="L41" i="6"/>
  <c r="M41" i="6"/>
  <c r="N41" i="6"/>
  <c r="O41" i="6"/>
  <c r="P41" i="6"/>
  <c r="E42" i="6"/>
  <c r="F42" i="6"/>
  <c r="G42" i="6"/>
  <c r="H42" i="6"/>
  <c r="I42" i="6"/>
  <c r="J42" i="6"/>
  <c r="K42" i="6"/>
  <c r="L42" i="6"/>
  <c r="M42" i="6"/>
  <c r="N42" i="6"/>
  <c r="O42" i="6"/>
  <c r="P42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D45" i="6"/>
  <c r="E45" i="6"/>
  <c r="F45" i="6"/>
  <c r="G45" i="6"/>
  <c r="H45" i="6"/>
  <c r="I45" i="6"/>
  <c r="J45" i="6"/>
  <c r="K45" i="6"/>
  <c r="L45" i="6"/>
  <c r="M45" i="6"/>
  <c r="N45" i="6"/>
  <c r="O45" i="6"/>
  <c r="P45" i="6"/>
  <c r="D46" i="6"/>
  <c r="E46" i="6"/>
  <c r="F46" i="6"/>
  <c r="G46" i="6"/>
  <c r="H46" i="6"/>
  <c r="I46" i="6"/>
  <c r="J46" i="6"/>
  <c r="K46" i="6"/>
  <c r="L46" i="6"/>
  <c r="M46" i="6"/>
  <c r="N46" i="6"/>
  <c r="O46" i="6"/>
  <c r="P46" i="6"/>
  <c r="D47" i="6"/>
  <c r="E47" i="6"/>
  <c r="F47" i="6"/>
  <c r="G47" i="6"/>
  <c r="H47" i="6"/>
  <c r="I47" i="6"/>
  <c r="J47" i="6"/>
  <c r="K47" i="6"/>
  <c r="L47" i="6"/>
  <c r="M47" i="6"/>
  <c r="N47" i="6"/>
  <c r="O47" i="6"/>
  <c r="P47" i="6"/>
  <c r="C48" i="6"/>
  <c r="D48" i="6"/>
  <c r="E48" i="6"/>
  <c r="F48" i="6"/>
  <c r="G48" i="6"/>
  <c r="H48" i="6"/>
  <c r="I48" i="6"/>
  <c r="J48" i="6"/>
  <c r="K48" i="6"/>
  <c r="L48" i="6"/>
  <c r="M48" i="6"/>
  <c r="N48" i="6"/>
  <c r="O48" i="6"/>
  <c r="P48" i="6"/>
  <c r="F49" i="6"/>
  <c r="G49" i="6"/>
  <c r="H49" i="6"/>
  <c r="I49" i="6"/>
  <c r="J49" i="6"/>
  <c r="K49" i="6"/>
  <c r="L49" i="6"/>
  <c r="M49" i="6"/>
  <c r="N49" i="6"/>
  <c r="O49" i="6"/>
  <c r="P49" i="6"/>
  <c r="D50" i="6"/>
  <c r="E50" i="6"/>
  <c r="F50" i="6"/>
  <c r="G50" i="6"/>
  <c r="H50" i="6"/>
  <c r="I50" i="6"/>
  <c r="J50" i="6"/>
  <c r="K50" i="6"/>
  <c r="L50" i="6"/>
  <c r="M50" i="6"/>
  <c r="N50" i="6"/>
  <c r="O50" i="6"/>
  <c r="P50" i="6"/>
  <c r="F51" i="6"/>
  <c r="G51" i="6"/>
  <c r="H51" i="6"/>
  <c r="I51" i="6"/>
  <c r="J51" i="6"/>
  <c r="K51" i="6"/>
  <c r="L51" i="6"/>
  <c r="M51" i="6"/>
  <c r="N51" i="6"/>
  <c r="O51" i="6"/>
  <c r="P51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E55" i="6"/>
  <c r="F55" i="6"/>
  <c r="G55" i="6"/>
  <c r="H55" i="6"/>
  <c r="I55" i="6"/>
  <c r="J55" i="6"/>
  <c r="K55" i="6"/>
  <c r="L55" i="6"/>
  <c r="M55" i="6"/>
  <c r="N55" i="6"/>
  <c r="O55" i="6"/>
  <c r="P55" i="6"/>
  <c r="C56" i="6"/>
  <c r="D56" i="6"/>
  <c r="E56" i="6"/>
  <c r="F56" i="6"/>
  <c r="G56" i="6"/>
  <c r="H56" i="6"/>
  <c r="I56" i="6"/>
  <c r="J56" i="6"/>
  <c r="K56" i="6"/>
  <c r="L56" i="6"/>
  <c r="M56" i="6"/>
  <c r="N56" i="6"/>
  <c r="O56" i="6"/>
  <c r="P56" i="6"/>
  <c r="N21" i="6"/>
  <c r="O21" i="6"/>
  <c r="P21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E23" i="6"/>
  <c r="F23" i="6"/>
  <c r="G23" i="6"/>
  <c r="H23" i="6"/>
  <c r="I23" i="6"/>
  <c r="J23" i="6"/>
  <c r="K23" i="6"/>
  <c r="L23" i="6"/>
  <c r="M23" i="6"/>
  <c r="N23" i="6"/>
  <c r="O23" i="6"/>
  <c r="P2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D25" i="6"/>
  <c r="E25" i="6"/>
  <c r="F25" i="6"/>
  <c r="G25" i="6"/>
  <c r="H25" i="6"/>
  <c r="I25" i="6"/>
  <c r="J25" i="6"/>
  <c r="K25" i="6"/>
  <c r="L25" i="6"/>
  <c r="M25" i="6"/>
  <c r="N25" i="6"/>
  <c r="O25" i="6"/>
  <c r="P25" i="6"/>
  <c r="D26" i="6"/>
  <c r="E26" i="6"/>
  <c r="F26" i="6"/>
  <c r="G26" i="6"/>
  <c r="H26" i="6"/>
  <c r="I26" i="6"/>
  <c r="J26" i="6"/>
  <c r="K26" i="6"/>
  <c r="L26" i="6"/>
  <c r="M26" i="6"/>
  <c r="N26" i="6"/>
  <c r="O26" i="6"/>
  <c r="P26" i="6"/>
  <c r="D27" i="6"/>
  <c r="E27" i="6"/>
  <c r="F27" i="6"/>
  <c r="G27" i="6"/>
  <c r="H27" i="6"/>
  <c r="I27" i="6"/>
  <c r="J27" i="6"/>
  <c r="K27" i="6"/>
  <c r="L27" i="6"/>
  <c r="M27" i="6"/>
  <c r="N27" i="6"/>
  <c r="O27" i="6"/>
  <c r="P27" i="6"/>
  <c r="D28" i="6"/>
  <c r="E28" i="6"/>
  <c r="F28" i="6"/>
  <c r="G28" i="6"/>
  <c r="H28" i="6"/>
  <c r="I28" i="6"/>
  <c r="J28" i="6"/>
  <c r="K28" i="6"/>
  <c r="L28" i="6"/>
  <c r="M28" i="6"/>
  <c r="N28" i="6"/>
  <c r="O28" i="6"/>
  <c r="P28" i="6"/>
  <c r="C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/>
  <c r="F30" i="6"/>
  <c r="G30" i="6"/>
  <c r="H30" i="6"/>
  <c r="I30" i="6"/>
  <c r="J30" i="6"/>
  <c r="K30" i="6"/>
  <c r="L30" i="6"/>
  <c r="M30" i="6"/>
  <c r="N30" i="6"/>
  <c r="O30" i="6"/>
  <c r="P30" i="6"/>
  <c r="D31" i="6"/>
  <c r="E31" i="6"/>
  <c r="F31" i="6"/>
  <c r="G31" i="6"/>
  <c r="H31" i="6"/>
  <c r="I31" i="6"/>
  <c r="J31" i="6"/>
  <c r="K31" i="6"/>
  <c r="L31" i="6"/>
  <c r="M31" i="6"/>
  <c r="N31" i="6"/>
  <c r="O31" i="6"/>
  <c r="P31" i="6"/>
  <c r="F32" i="6"/>
  <c r="G32" i="6"/>
  <c r="H32" i="6"/>
  <c r="I32" i="6"/>
  <c r="J32" i="6"/>
  <c r="K32" i="6"/>
  <c r="L32" i="6"/>
  <c r="M32" i="6"/>
  <c r="N32" i="6"/>
  <c r="O32" i="6"/>
  <c r="P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D35" i="6"/>
  <c r="E35" i="6"/>
  <c r="F35" i="6"/>
  <c r="G35" i="6"/>
  <c r="H35" i="6"/>
  <c r="I35" i="6"/>
  <c r="J35" i="6"/>
  <c r="K35" i="6"/>
  <c r="L35" i="6"/>
  <c r="M35" i="6"/>
  <c r="N35" i="6"/>
  <c r="O35" i="6"/>
  <c r="P35" i="6"/>
  <c r="E36" i="6"/>
  <c r="F36" i="6"/>
  <c r="G36" i="6"/>
  <c r="H36" i="6"/>
  <c r="I36" i="6"/>
  <c r="J36" i="6"/>
  <c r="K36" i="6"/>
  <c r="L36" i="6"/>
  <c r="M36" i="6"/>
  <c r="N36" i="6"/>
  <c r="O36" i="6"/>
  <c r="P36" i="6"/>
  <c r="C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Z3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2" i="6"/>
  <c r="X3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2" i="6"/>
  <c r="A51" i="8"/>
  <c r="K1577" i="1"/>
  <c r="T1577" i="1"/>
  <c r="U1577" i="1"/>
  <c r="V1577" i="1"/>
  <c r="W1577" i="1"/>
  <c r="X1577" i="1"/>
  <c r="Y1577" i="1"/>
  <c r="Z1577" i="1"/>
  <c r="AA1577" i="1"/>
  <c r="AB1577" i="1"/>
  <c r="AC1577" i="1"/>
  <c r="AD1577" i="1"/>
  <c r="AE1577" i="1"/>
  <c r="AF1577" i="1"/>
  <c r="AG1577" i="1"/>
  <c r="AH1577" i="1"/>
  <c r="AI1577" i="1"/>
  <c r="AJ1577" i="1"/>
  <c r="AK1577" i="1" a="1"/>
  <c r="AK1577" i="1" s="1"/>
  <c r="AZ126" i="7" l="1"/>
  <c r="AU130" i="7"/>
  <c r="AN130" i="7"/>
  <c r="AP214" i="7"/>
  <c r="AL130" i="7"/>
  <c r="BA214" i="7"/>
  <c r="AO130" i="7"/>
  <c r="AL83" i="7"/>
  <c r="AQ83" i="7"/>
  <c r="AZ99" i="7"/>
  <c r="AO164" i="7"/>
  <c r="AT164" i="7"/>
  <c r="BA83" i="7"/>
  <c r="AQ126" i="7"/>
  <c r="AY130" i="7"/>
  <c r="AY126" i="7"/>
  <c r="AS126" i="7"/>
  <c r="AS130" i="7"/>
  <c r="AW126" i="7"/>
  <c r="B15" i="13"/>
  <c r="AT126" i="7"/>
  <c r="B13" i="13"/>
  <c r="B11" i="13"/>
  <c r="B6" i="13"/>
  <c r="B14" i="13"/>
  <c r="B7" i="13"/>
  <c r="B5" i="13"/>
  <c r="B4" i="13"/>
  <c r="B10" i="13"/>
  <c r="B3" i="13"/>
  <c r="B8" i="13"/>
  <c r="B12" i="13"/>
  <c r="B9" i="13"/>
  <c r="B2" i="13"/>
  <c r="AS83" i="7"/>
  <c r="AR83" i="7"/>
  <c r="AT83" i="7"/>
  <c r="AY83" i="7"/>
  <c r="AM83" i="7"/>
  <c r="AO83" i="7"/>
  <c r="AP83" i="7"/>
  <c r="AN83" i="7"/>
  <c r="AU83" i="7"/>
  <c r="AW83" i="7"/>
  <c r="AX83" i="7"/>
  <c r="AU99" i="7"/>
  <c r="AV205" i="7"/>
  <c r="AO214" i="7"/>
  <c r="AZ214" i="7"/>
  <c r="AM214" i="7"/>
  <c r="AT214" i="7"/>
  <c r="AW214" i="7"/>
  <c r="AX205" i="7"/>
  <c r="AX214" i="7"/>
  <c r="AX99" i="7"/>
  <c r="AL173" i="7"/>
  <c r="AL99" i="7"/>
  <c r="AU173" i="7"/>
  <c r="AY99" i="7"/>
  <c r="AO99" i="7"/>
  <c r="B53" i="11"/>
  <c r="B3" i="12" a="1"/>
  <c r="B3" i="12" s="1"/>
  <c r="B54" i="11"/>
  <c r="AV99" i="7"/>
  <c r="AW99" i="7"/>
  <c r="AQ99" i="7"/>
  <c r="AP99" i="7"/>
  <c r="AO90" i="7"/>
  <c r="AR99" i="7"/>
  <c r="BA99" i="7"/>
  <c r="AN214" i="7"/>
  <c r="AQ214" i="7"/>
  <c r="AN90" i="7"/>
  <c r="AT99" i="7"/>
  <c r="AS99" i="7"/>
  <c r="AZ173" i="7"/>
  <c r="AN99" i="7"/>
  <c r="AL214" i="7"/>
  <c r="AU214" i="7"/>
  <c r="AP173" i="7"/>
  <c r="AT90" i="7"/>
  <c r="AM90" i="7"/>
  <c r="AX130" i="7"/>
  <c r="AP90" i="7"/>
  <c r="BA90" i="7"/>
  <c r="AR130" i="7"/>
  <c r="AW90" i="7"/>
  <c r="AL90" i="7"/>
  <c r="AU90" i="7"/>
  <c r="AX90" i="7"/>
  <c r="AV90" i="7"/>
  <c r="AS90" i="7"/>
  <c r="AV130" i="7"/>
  <c r="AR90" i="7"/>
  <c r="AQ90" i="7"/>
  <c r="AZ90" i="7"/>
  <c r="AW130" i="7"/>
  <c r="AW205" i="7"/>
  <c r="AU205" i="7"/>
  <c r="AQ205" i="7"/>
  <c r="AY205" i="7"/>
  <c r="AS205" i="7"/>
  <c r="AZ205" i="7"/>
  <c r="BA205" i="7"/>
  <c r="AN205" i="7"/>
  <c r="AL205" i="7"/>
  <c r="AO205" i="7"/>
  <c r="AT205" i="7"/>
  <c r="AP205" i="7"/>
  <c r="AM205" i="7"/>
  <c r="AV173" i="7"/>
  <c r="AM173" i="7"/>
  <c r="BA130" i="7"/>
  <c r="AQ173" i="7"/>
  <c r="AT173" i="7"/>
  <c r="AY173" i="7"/>
  <c r="AO173" i="7"/>
  <c r="AX173" i="7"/>
  <c r="AW173" i="7"/>
  <c r="AS173" i="7"/>
  <c r="AR173" i="7"/>
  <c r="BA173" i="7"/>
  <c r="AK163" i="7"/>
  <c r="AK115" i="7"/>
  <c r="AK234" i="7"/>
  <c r="AK127" i="7"/>
  <c r="AK135" i="7"/>
  <c r="AK53" i="7"/>
  <c r="AK103" i="7"/>
  <c r="AK190" i="7"/>
  <c r="AK133" i="7"/>
  <c r="AK141" i="7"/>
  <c r="AK195" i="7"/>
  <c r="AK194" i="7"/>
  <c r="AK101" i="7"/>
  <c r="AK70" i="7"/>
  <c r="AK33" i="7"/>
  <c r="AK113" i="7"/>
  <c r="AK48" i="7"/>
  <c r="AK88" i="7"/>
  <c r="AK165" i="7"/>
  <c r="AK92" i="7"/>
  <c r="AK184" i="7"/>
  <c r="AK61" i="7"/>
  <c r="AK65" i="7"/>
  <c r="AK212" i="7"/>
  <c r="AK175" i="7"/>
  <c r="AK80" i="7"/>
  <c r="AK134" i="7"/>
  <c r="AK117" i="7"/>
  <c r="AK35" i="7"/>
  <c r="AK41" i="7"/>
  <c r="AK39" i="7"/>
  <c r="AK38" i="7"/>
  <c r="AK28" i="7"/>
  <c r="AK160" i="7"/>
  <c r="AK201" i="7"/>
  <c r="AK93" i="7"/>
  <c r="AK116" i="7"/>
  <c r="AK140" i="7"/>
  <c r="AK137" i="7"/>
  <c r="AK226" i="7"/>
  <c r="AK74" i="7"/>
  <c r="AK37" i="7"/>
  <c r="AK122" i="7"/>
  <c r="AK196" i="7"/>
  <c r="AK20" i="7"/>
  <c r="AK107" i="7"/>
  <c r="AK168" i="7"/>
  <c r="AK229" i="7"/>
  <c r="AK63" i="7"/>
  <c r="AK139" i="7"/>
  <c r="AK73" i="7"/>
  <c r="AK98" i="7"/>
  <c r="AK129" i="7"/>
  <c r="AK64" i="7"/>
  <c r="AK221" i="7"/>
  <c r="AK102" i="7"/>
  <c r="AK174" i="7"/>
  <c r="AK154" i="7"/>
  <c r="AK31" i="7"/>
  <c r="AK152" i="7"/>
  <c r="AK132" i="7"/>
  <c r="AK197" i="7"/>
  <c r="AK27" i="7"/>
  <c r="AK51" i="7"/>
  <c r="AK193" i="7"/>
  <c r="AK157" i="7"/>
  <c r="AK128" i="7"/>
  <c r="AK34" i="7"/>
  <c r="AK45" i="7"/>
  <c r="AK104" i="7"/>
  <c r="AK18" i="7"/>
  <c r="AK222" i="7"/>
  <c r="AK147" i="7"/>
  <c r="AK17" i="7"/>
  <c r="AK21" i="7"/>
  <c r="AK143" i="7"/>
  <c r="AK105" i="7"/>
  <c r="AK16" i="7"/>
  <c r="AK167" i="7"/>
  <c r="AK89" i="7"/>
  <c r="AK185" i="7"/>
  <c r="AK170" i="7"/>
  <c r="AK145" i="7"/>
  <c r="AK46" i="7"/>
  <c r="AK75" i="7"/>
  <c r="AK118" i="7"/>
  <c r="AK186" i="7"/>
  <c r="AK151" i="7"/>
  <c r="AK100" i="7"/>
  <c r="AK68" i="7"/>
  <c r="AK146" i="7"/>
  <c r="AK96" i="7"/>
  <c r="AK32" i="7"/>
  <c r="AK125" i="7"/>
  <c r="AK199" i="7"/>
  <c r="AK87" i="7"/>
  <c r="AK40" i="7"/>
  <c r="AK43" i="7"/>
  <c r="AK123" i="7"/>
  <c r="AK77" i="7"/>
  <c r="AK119" i="7"/>
  <c r="AK22" i="7"/>
  <c r="AK176" i="7"/>
  <c r="AK58" i="7"/>
  <c r="AK206" i="7"/>
  <c r="AK66" i="7"/>
  <c r="AK67" i="7"/>
  <c r="AK220" i="7"/>
  <c r="AK71" i="7"/>
  <c r="AK86" i="7"/>
  <c r="AK131" i="7"/>
  <c r="AK124" i="7"/>
  <c r="AK47" i="7"/>
  <c r="AK192" i="7"/>
  <c r="AK59" i="7"/>
  <c r="AK56" i="7"/>
  <c r="AK81" i="7"/>
  <c r="AK203" i="7"/>
  <c r="AK215" i="7"/>
  <c r="AK13" i="7"/>
  <c r="AK11" i="7"/>
  <c r="AK208" i="7"/>
  <c r="AK54" i="7"/>
  <c r="AK94" i="7"/>
  <c r="AK156" i="7"/>
  <c r="AK136" i="7"/>
  <c r="AK180" i="7"/>
  <c r="AK49" i="7"/>
  <c r="AK97" i="7"/>
  <c r="AK72" i="7"/>
  <c r="AK79" i="7"/>
  <c r="AK213" i="7"/>
  <c r="AK162" i="7"/>
  <c r="AK91" i="7"/>
  <c r="AK172" i="7"/>
  <c r="AK166" i="7"/>
  <c r="AK25" i="7"/>
  <c r="AK30" i="7"/>
  <c r="AK187" i="7"/>
  <c r="AK155" i="7"/>
  <c r="AK19" i="7"/>
  <c r="AK148" i="7"/>
  <c r="AK202" i="7"/>
  <c r="AK138" i="7"/>
  <c r="AK149" i="7"/>
  <c r="AK144" i="7"/>
  <c r="AK177" i="7"/>
  <c r="AK42" i="7"/>
  <c r="AK60" i="7"/>
  <c r="AU164" i="7"/>
  <c r="AR164" i="7"/>
  <c r="AN164" i="7"/>
  <c r="AZ164" i="7"/>
  <c r="AX164" i="7"/>
  <c r="BA164" i="7"/>
  <c r="AQ164" i="7"/>
  <c r="AW164" i="7"/>
  <c r="AY164" i="7"/>
  <c r="AM164" i="7"/>
  <c r="AL164" i="7"/>
  <c r="AS164" i="7"/>
  <c r="AV164" i="7"/>
  <c r="BC1398" i="1"/>
  <c r="BD1398" i="1" s="1"/>
  <c r="BC279" i="1"/>
  <c r="BD279" i="1" s="1"/>
  <c r="BC6" i="1"/>
  <c r="O47" i="7" s="1"/>
  <c r="Q47" i="7" s="1"/>
  <c r="BC140" i="1"/>
  <c r="BD140" i="1" s="1"/>
  <c r="BC1123" i="1"/>
  <c r="BD1123" i="1" s="1"/>
  <c r="BC963" i="1"/>
  <c r="BD963" i="1" s="1"/>
  <c r="BC761" i="1"/>
  <c r="BD761" i="1" s="1"/>
  <c r="BC210" i="1"/>
  <c r="BD210" i="1" s="1"/>
  <c r="BC155" i="1"/>
  <c r="BD155" i="1" s="1"/>
  <c r="BC85" i="1"/>
  <c r="BC66" i="1"/>
  <c r="BD66" i="1" s="1"/>
  <c r="BC1261" i="1"/>
  <c r="BD1261" i="1" s="1"/>
  <c r="BC867" i="1"/>
  <c r="BD867" i="1" s="1"/>
  <c r="BC1513" i="1"/>
  <c r="BD1513" i="1" s="1"/>
  <c r="BC1481" i="1"/>
  <c r="BD1481" i="1" s="1"/>
  <c r="BC1193" i="1"/>
  <c r="O98" i="7" s="1"/>
  <c r="Q98" i="7" s="1"/>
  <c r="BC671" i="1"/>
  <c r="BD671" i="1" s="1"/>
  <c r="BC296" i="1"/>
  <c r="BD296" i="1" s="1"/>
  <c r="BC152" i="1"/>
  <c r="BD152" i="1" s="1"/>
  <c r="BC1327" i="1"/>
  <c r="BD1327" i="1" s="1"/>
  <c r="BC1047" i="1"/>
  <c r="BD1047" i="1" s="1"/>
  <c r="BC643" i="1"/>
  <c r="BD643" i="1" s="1"/>
  <c r="BC314" i="1"/>
  <c r="BC82" i="1"/>
  <c r="O51" i="7" s="1"/>
  <c r="Q51" i="7" s="1"/>
  <c r="BC1529" i="1"/>
  <c r="BD1529" i="1" s="1"/>
  <c r="BC1521" i="1"/>
  <c r="BD1521" i="1" s="1"/>
  <c r="BC1561" i="1"/>
  <c r="BD1561" i="1" s="1"/>
  <c r="BC1553" i="1"/>
  <c r="BD1553" i="1" s="1"/>
  <c r="BC1489" i="1"/>
  <c r="BD1489" i="1" s="1"/>
  <c r="BC1518" i="1"/>
  <c r="BD1518" i="1" s="1"/>
  <c r="BC1462" i="1"/>
  <c r="BC1505" i="1"/>
  <c r="BD1505" i="1" s="1"/>
  <c r="BC1433" i="1"/>
  <c r="BD1433" i="1" s="1"/>
  <c r="BC1425" i="1"/>
  <c r="BD1425" i="1" s="1"/>
  <c r="BC1417" i="1"/>
  <c r="BD1417" i="1" s="1"/>
  <c r="BC1409" i="1"/>
  <c r="BD1409" i="1" s="1"/>
  <c r="BC1401" i="1"/>
  <c r="BD1401" i="1" s="1"/>
  <c r="BC1369" i="1"/>
  <c r="BD1369" i="1" s="1"/>
  <c r="BC1361" i="1"/>
  <c r="BD1361" i="1" s="1"/>
  <c r="BC1353" i="1"/>
  <c r="BD1353" i="1" s="1"/>
  <c r="BC1545" i="1"/>
  <c r="BD1545" i="1" s="1"/>
  <c r="BC1537" i="1"/>
  <c r="BD1537" i="1" s="1"/>
  <c r="BC1457" i="1"/>
  <c r="BD1457" i="1" s="1"/>
  <c r="BC1441" i="1"/>
  <c r="BD1441" i="1" s="1"/>
  <c r="BC1385" i="1"/>
  <c r="BD1385" i="1" s="1"/>
  <c r="BC1377" i="1"/>
  <c r="BD1377" i="1" s="1"/>
  <c r="BC1497" i="1"/>
  <c r="BD1497" i="1" s="1"/>
  <c r="BC1473" i="1"/>
  <c r="BD1473" i="1" s="1"/>
  <c r="BC1465" i="1"/>
  <c r="BD1465" i="1" s="1"/>
  <c r="BC1449" i="1"/>
  <c r="BD1449" i="1" s="1"/>
  <c r="BC1393" i="1"/>
  <c r="BD1393" i="1" s="1"/>
  <c r="BC1337" i="1"/>
  <c r="BD1337" i="1" s="1"/>
  <c r="BC1192" i="1"/>
  <c r="BD1192" i="1" s="1"/>
  <c r="BC1137" i="1"/>
  <c r="BD1137" i="1" s="1"/>
  <c r="BC1113" i="1"/>
  <c r="BD1113" i="1" s="1"/>
  <c r="BC1017" i="1"/>
  <c r="BD1017" i="1" s="1"/>
  <c r="BC850" i="1"/>
  <c r="BD850" i="1" s="1"/>
  <c r="BC766" i="1"/>
  <c r="BD766" i="1" s="1"/>
  <c r="BC568" i="1"/>
  <c r="BD568" i="1" s="1"/>
  <c r="BC1464" i="1"/>
  <c r="BD1464" i="1" s="1"/>
  <c r="BC1376" i="1"/>
  <c r="BD1376" i="1" s="1"/>
  <c r="BC1312" i="1"/>
  <c r="O224" i="7" s="1"/>
  <c r="Q224" i="7" s="1"/>
  <c r="BC1112" i="1"/>
  <c r="BD1112" i="1" s="1"/>
  <c r="BC1056" i="1"/>
  <c r="BD1056" i="1" s="1"/>
  <c r="BC1032" i="1"/>
  <c r="O234" i="7" s="1"/>
  <c r="Q234" i="7" s="1"/>
  <c r="BC1008" i="1"/>
  <c r="BC865" i="1"/>
  <c r="BD865" i="1" s="1"/>
  <c r="BC772" i="1"/>
  <c r="BD772" i="1" s="1"/>
  <c r="BC753" i="1"/>
  <c r="BD753" i="1" s="1"/>
  <c r="BC740" i="1"/>
  <c r="BD740" i="1" s="1"/>
  <c r="BC733" i="1"/>
  <c r="BD733" i="1" s="1"/>
  <c r="BC724" i="1"/>
  <c r="BD724" i="1" s="1"/>
  <c r="BC717" i="1"/>
  <c r="BD717" i="1" s="1"/>
  <c r="BC709" i="1"/>
  <c r="BD709" i="1" s="1"/>
  <c r="BC701" i="1"/>
  <c r="BD701" i="1" s="1"/>
  <c r="BC693" i="1"/>
  <c r="BD693" i="1" s="1"/>
  <c r="BC686" i="1"/>
  <c r="BD686" i="1" s="1"/>
  <c r="BC679" i="1"/>
  <c r="BD679" i="1" s="1"/>
  <c r="BC670" i="1"/>
  <c r="BC664" i="1"/>
  <c r="BD664" i="1" s="1"/>
  <c r="BC653" i="1"/>
  <c r="BD653" i="1" s="1"/>
  <c r="BC645" i="1"/>
  <c r="BD645" i="1" s="1"/>
  <c r="BC638" i="1"/>
  <c r="BD638" i="1" s="1"/>
  <c r="BC630" i="1"/>
  <c r="BD630" i="1" s="1"/>
  <c r="BC620" i="1"/>
  <c r="BD620" i="1" s="1"/>
  <c r="BC612" i="1"/>
  <c r="BD612" i="1" s="1"/>
  <c r="BC604" i="1"/>
  <c r="BD604" i="1" s="1"/>
  <c r="BC596" i="1"/>
  <c r="BD596" i="1" s="1"/>
  <c r="BC587" i="1"/>
  <c r="BD587" i="1" s="1"/>
  <c r="BC578" i="1"/>
  <c r="BD578" i="1" s="1"/>
  <c r="BC567" i="1"/>
  <c r="BD567" i="1" s="1"/>
  <c r="BC558" i="1"/>
  <c r="BD558" i="1" s="1"/>
  <c r="BC552" i="1"/>
  <c r="BD552" i="1" s="1"/>
  <c r="BC542" i="1"/>
  <c r="BD542" i="1" s="1"/>
  <c r="BC534" i="1"/>
  <c r="BD534" i="1" s="1"/>
  <c r="BC528" i="1"/>
  <c r="BC353" i="1"/>
  <c r="BD353" i="1" s="1"/>
  <c r="BC512" i="1"/>
  <c r="BD512" i="1" s="1"/>
  <c r="BC505" i="1"/>
  <c r="BD505" i="1" s="1"/>
  <c r="BC497" i="1"/>
  <c r="BD497" i="1" s="1"/>
  <c r="BC490" i="1"/>
  <c r="BD490" i="1" s="1"/>
  <c r="BC483" i="1"/>
  <c r="BD483" i="1" s="1"/>
  <c r="BC475" i="1"/>
  <c r="BD475" i="1" s="1"/>
  <c r="BC469" i="1"/>
  <c r="BD469" i="1" s="1"/>
  <c r="BC463" i="1"/>
  <c r="BD463" i="1" s="1"/>
  <c r="BC454" i="1"/>
  <c r="BD454" i="1" s="1"/>
  <c r="BC448" i="1"/>
  <c r="BC440" i="1"/>
  <c r="BD440" i="1" s="1"/>
  <c r="BC431" i="1"/>
  <c r="BD431" i="1" s="1"/>
  <c r="BC424" i="1"/>
  <c r="BD424" i="1" s="1"/>
  <c r="BC416" i="1"/>
  <c r="BD416" i="1" s="1"/>
  <c r="BC408" i="1"/>
  <c r="BD408" i="1" s="1"/>
  <c r="BC401" i="1"/>
  <c r="BD401" i="1" s="1"/>
  <c r="BC313" i="1"/>
  <c r="BD313" i="1" s="1"/>
  <c r="BC246" i="1"/>
  <c r="BD246" i="1" s="1"/>
  <c r="BC290" i="1"/>
  <c r="BD290" i="1" s="1"/>
  <c r="BC388" i="1"/>
  <c r="BD388" i="1" s="1"/>
  <c r="BC381" i="1"/>
  <c r="BD381" i="1" s="1"/>
  <c r="BC218" i="1"/>
  <c r="BD218" i="1" s="1"/>
  <c r="BC209" i="1"/>
  <c r="BC359" i="1"/>
  <c r="BD359" i="1" s="1"/>
  <c r="BC350" i="1"/>
  <c r="BD350" i="1" s="1"/>
  <c r="BC339" i="1"/>
  <c r="BD339" i="1" s="1"/>
  <c r="BC329" i="1"/>
  <c r="O136" i="7" s="1"/>
  <c r="Q136" i="7" s="1"/>
  <c r="BC188" i="1"/>
  <c r="BC304" i="1"/>
  <c r="BD304" i="1" s="1"/>
  <c r="BC291" i="1"/>
  <c r="BD291" i="1" s="1"/>
  <c r="BC282" i="1"/>
  <c r="BD282" i="1" s="1"/>
  <c r="BC270" i="1"/>
  <c r="BD270" i="1" s="1"/>
  <c r="BC261" i="1"/>
  <c r="BD261" i="1" s="1"/>
  <c r="BC254" i="1"/>
  <c r="BD254" i="1" s="1"/>
  <c r="BC196" i="1"/>
  <c r="BD196" i="1" s="1"/>
  <c r="BC120" i="1"/>
  <c r="O19" i="7" s="1"/>
  <c r="Q19" i="7" s="1"/>
  <c r="BC238" i="1"/>
  <c r="BD238" i="1" s="1"/>
  <c r="BC229" i="1"/>
  <c r="BD229" i="1" s="1"/>
  <c r="BC1321" i="1"/>
  <c r="BD1321" i="1" s="1"/>
  <c r="BC1175" i="1"/>
  <c r="BD1175" i="1" s="1"/>
  <c r="BC1105" i="1"/>
  <c r="BD1105" i="1" s="1"/>
  <c r="BC1081" i="1"/>
  <c r="BD1081" i="1" s="1"/>
  <c r="BC1041" i="1"/>
  <c r="O12" i="7" s="1"/>
  <c r="Q12" i="7" s="1"/>
  <c r="BC985" i="1"/>
  <c r="BD985" i="1" s="1"/>
  <c r="BC929" i="1"/>
  <c r="BD929" i="1" s="1"/>
  <c r="BC890" i="1"/>
  <c r="BD890" i="1" s="1"/>
  <c r="BC843" i="1"/>
  <c r="BD843" i="1" s="1"/>
  <c r="BC799" i="1"/>
  <c r="BD799" i="1" s="1"/>
  <c r="BC1520" i="1"/>
  <c r="BD1520" i="1" s="1"/>
  <c r="BC1472" i="1"/>
  <c r="BD1472" i="1" s="1"/>
  <c r="BC1456" i="1"/>
  <c r="BD1456" i="1" s="1"/>
  <c r="BC1241" i="1"/>
  <c r="BD1241" i="1" s="1"/>
  <c r="BC1240" i="1"/>
  <c r="BD1240" i="1" s="1"/>
  <c r="BC1191" i="1"/>
  <c r="BD1191" i="1" s="1"/>
  <c r="BC1128" i="1"/>
  <c r="BD1128" i="1" s="1"/>
  <c r="BC1104" i="1"/>
  <c r="BD1104" i="1" s="1"/>
  <c r="BC1064" i="1"/>
  <c r="BD1064" i="1" s="1"/>
  <c r="BC1000" i="1"/>
  <c r="BC897" i="1"/>
  <c r="BD897" i="1" s="1"/>
  <c r="BC857" i="1"/>
  <c r="BD857" i="1" s="1"/>
  <c r="BC811" i="1"/>
  <c r="BD811" i="1" s="1"/>
  <c r="BC655" i="1"/>
  <c r="BD655" i="1" s="1"/>
  <c r="BC1495" i="1"/>
  <c r="BD1495" i="1" s="1"/>
  <c r="BC1471" i="1"/>
  <c r="BD1471" i="1" s="1"/>
  <c r="BC1447" i="1"/>
  <c r="BD1447" i="1" s="1"/>
  <c r="BC1423" i="1"/>
  <c r="BD1423" i="1" s="1"/>
  <c r="BC1343" i="1"/>
  <c r="BD1343" i="1" s="1"/>
  <c r="BC1295" i="1"/>
  <c r="BD1295" i="1" s="1"/>
  <c r="BC1255" i="1"/>
  <c r="BD1255" i="1" s="1"/>
  <c r="BC1127" i="1"/>
  <c r="BD1127" i="1" s="1"/>
  <c r="BC1119" i="1"/>
  <c r="BD1119" i="1" s="1"/>
  <c r="BC1111" i="1"/>
  <c r="BD1111" i="1" s="1"/>
  <c r="BC1103" i="1"/>
  <c r="BC1095" i="1"/>
  <c r="BD1095" i="1" s="1"/>
  <c r="BC1087" i="1"/>
  <c r="BD1087" i="1" s="1"/>
  <c r="BC1079" i="1"/>
  <c r="O27" i="7" s="1"/>
  <c r="Q27" i="7" s="1"/>
  <c r="BC1071" i="1"/>
  <c r="BD1071" i="1" s="1"/>
  <c r="BC1063" i="1"/>
  <c r="BD1063" i="1" s="1"/>
  <c r="BC1055" i="1"/>
  <c r="BD1055" i="1" s="1"/>
  <c r="BC1039" i="1"/>
  <c r="BD1039" i="1" s="1"/>
  <c r="BC1031" i="1"/>
  <c r="BD1031" i="1" s="1"/>
  <c r="BC1023" i="1"/>
  <c r="BD1023" i="1" s="1"/>
  <c r="BC1015" i="1"/>
  <c r="BD1015" i="1" s="1"/>
  <c r="BC1007" i="1"/>
  <c r="BC999" i="1"/>
  <c r="BD999" i="1" s="1"/>
  <c r="BC991" i="1"/>
  <c r="BD991" i="1" s="1"/>
  <c r="BC984" i="1"/>
  <c r="BD984" i="1" s="1"/>
  <c r="BC975" i="1"/>
  <c r="BD975" i="1" s="1"/>
  <c r="BC967" i="1"/>
  <c r="BD967" i="1" s="1"/>
  <c r="BC959" i="1"/>
  <c r="BD959" i="1" s="1"/>
  <c r="BC951" i="1"/>
  <c r="BD951" i="1" s="1"/>
  <c r="BC943" i="1"/>
  <c r="BD943" i="1" s="1"/>
  <c r="BC935" i="1"/>
  <c r="BC927" i="1"/>
  <c r="BD927" i="1" s="1"/>
  <c r="BC920" i="1"/>
  <c r="BD920" i="1" s="1"/>
  <c r="BC912" i="1"/>
  <c r="BD912" i="1" s="1"/>
  <c r="BC904" i="1"/>
  <c r="BD904" i="1" s="1"/>
  <c r="BC896" i="1"/>
  <c r="O73" i="7" s="1"/>
  <c r="Q73" i="7" s="1"/>
  <c r="BC888" i="1"/>
  <c r="BD888" i="1" s="1"/>
  <c r="BC880" i="1"/>
  <c r="BD880" i="1" s="1"/>
  <c r="BC872" i="1"/>
  <c r="BD872" i="1" s="1"/>
  <c r="BC864" i="1"/>
  <c r="BD864" i="1" s="1"/>
  <c r="BC856" i="1"/>
  <c r="BD856" i="1" s="1"/>
  <c r="BC849" i="1"/>
  <c r="O18" i="7" s="1"/>
  <c r="Q18" i="7" s="1"/>
  <c r="BC841" i="1"/>
  <c r="BD841" i="1" s="1"/>
  <c r="BC732" i="1"/>
  <c r="BD732" i="1" s="1"/>
  <c r="BC826" i="1"/>
  <c r="BD826" i="1" s="1"/>
  <c r="BC818" i="1"/>
  <c r="BD818" i="1" s="1"/>
  <c r="BC810" i="1"/>
  <c r="BD810" i="1" s="1"/>
  <c r="BC338" i="1"/>
  <c r="BD338" i="1" s="1"/>
  <c r="BC797" i="1"/>
  <c r="BC792" i="1"/>
  <c r="BD792" i="1" s="1"/>
  <c r="BC786" i="1"/>
  <c r="BD786" i="1" s="1"/>
  <c r="BC779" i="1"/>
  <c r="BD779" i="1" s="1"/>
  <c r="BC771" i="1"/>
  <c r="BD771" i="1" s="1"/>
  <c r="BC423" i="1"/>
  <c r="BD423" i="1" s="1"/>
  <c r="BC592" i="1"/>
  <c r="BD592" i="1" s="1"/>
  <c r="BC752" i="1"/>
  <c r="BD752" i="1" s="1"/>
  <c r="BC746" i="1"/>
  <c r="O16" i="7" s="1"/>
  <c r="Q16" i="7" s="1"/>
  <c r="BC739" i="1"/>
  <c r="BD739" i="1" s="1"/>
  <c r="BC731" i="1"/>
  <c r="BD731" i="1" s="1"/>
  <c r="BC723" i="1"/>
  <c r="BD723" i="1" s="1"/>
  <c r="BC716" i="1"/>
  <c r="BD716" i="1" s="1"/>
  <c r="BC708" i="1"/>
  <c r="BD708" i="1" s="1"/>
  <c r="BC700" i="1"/>
  <c r="BD700" i="1" s="1"/>
  <c r="BC692" i="1"/>
  <c r="BC685" i="1"/>
  <c r="BD685" i="1" s="1"/>
  <c r="BC678" i="1"/>
  <c r="BD678" i="1" s="1"/>
  <c r="BC327" i="1"/>
  <c r="BD327" i="1" s="1"/>
  <c r="BC663" i="1"/>
  <c r="BD663" i="1" s="1"/>
  <c r="BC316" i="1"/>
  <c r="BD316" i="1" s="1"/>
  <c r="BC644" i="1"/>
  <c r="BD644" i="1" s="1"/>
  <c r="BC637" i="1"/>
  <c r="BD637" i="1" s="1"/>
  <c r="BC629" i="1"/>
  <c r="BD629" i="1" s="1"/>
  <c r="BC619" i="1"/>
  <c r="BD619" i="1" s="1"/>
  <c r="BC611" i="1"/>
  <c r="BD611" i="1" s="1"/>
  <c r="BC603" i="1"/>
  <c r="BD603" i="1" s="1"/>
  <c r="BC595" i="1"/>
  <c r="BD595" i="1" s="1"/>
  <c r="BC586" i="1"/>
  <c r="BD586" i="1" s="1"/>
  <c r="BC577" i="1"/>
  <c r="BD577" i="1" s="1"/>
  <c r="BC566" i="1"/>
  <c r="BD566" i="1" s="1"/>
  <c r="BC557" i="1"/>
  <c r="BD557" i="1" s="1"/>
  <c r="BC551" i="1"/>
  <c r="BD551" i="1" s="1"/>
  <c r="BC541" i="1"/>
  <c r="BD541" i="1" s="1"/>
  <c r="BC533" i="1"/>
  <c r="BD533" i="1" s="1"/>
  <c r="BC527" i="1"/>
  <c r="BC518" i="1"/>
  <c r="BD518" i="1" s="1"/>
  <c r="BC511" i="1"/>
  <c r="BD511" i="1" s="1"/>
  <c r="BC504" i="1"/>
  <c r="BD504" i="1" s="1"/>
  <c r="BC326" i="1"/>
  <c r="BC489" i="1"/>
  <c r="O118" i="7" s="1"/>
  <c r="Q118" i="7" s="1"/>
  <c r="BC482" i="1"/>
  <c r="BD482" i="1" s="1"/>
  <c r="BC474" i="1"/>
  <c r="BD474" i="1" s="1"/>
  <c r="BC468" i="1"/>
  <c r="BD468" i="1" s="1"/>
  <c r="BC462" i="1"/>
  <c r="BD462" i="1" s="1"/>
  <c r="BC453" i="1"/>
  <c r="BC447" i="1"/>
  <c r="BD447" i="1" s="1"/>
  <c r="BC439" i="1"/>
  <c r="BD439" i="1" s="1"/>
  <c r="BC430" i="1"/>
  <c r="BD430" i="1" s="1"/>
  <c r="BC262" i="1"/>
  <c r="BD262" i="1" s="1"/>
  <c r="BC415" i="1"/>
  <c r="BD415" i="1" s="1"/>
  <c r="BC253" i="1"/>
  <c r="BD253" i="1" s="1"/>
  <c r="BC400" i="1"/>
  <c r="BD400" i="1" s="1"/>
  <c r="BC312" i="1"/>
  <c r="BD312" i="1" s="1"/>
  <c r="BC374" i="1"/>
  <c r="BC277" i="1"/>
  <c r="BC233" i="1"/>
  <c r="BC380" i="1"/>
  <c r="BD380" i="1" s="1"/>
  <c r="BC376" i="1"/>
  <c r="BD376" i="1" s="1"/>
  <c r="BC366" i="1"/>
  <c r="BC358" i="1"/>
  <c r="BD358" i="1" s="1"/>
  <c r="BC348" i="1"/>
  <c r="BC337" i="1"/>
  <c r="BD337" i="1" s="1"/>
  <c r="BC328" i="1"/>
  <c r="BD328" i="1" s="1"/>
  <c r="BC319" i="1"/>
  <c r="BC302" i="1"/>
  <c r="BD302" i="1" s="1"/>
  <c r="BC289" i="1"/>
  <c r="BD289" i="1" s="1"/>
  <c r="BC280" i="1"/>
  <c r="BC269" i="1"/>
  <c r="BC1257" i="1"/>
  <c r="BD1257" i="1" s="1"/>
  <c r="BC1209" i="1"/>
  <c r="BD1209" i="1" s="1"/>
  <c r="BC1185" i="1"/>
  <c r="BD1185" i="1" s="1"/>
  <c r="BC1073" i="1"/>
  <c r="BD1073" i="1" s="1"/>
  <c r="BC937" i="1"/>
  <c r="BC874" i="1"/>
  <c r="BD874" i="1" s="1"/>
  <c r="BC835" i="1"/>
  <c r="BD835" i="1" s="1"/>
  <c r="BC812" i="1"/>
  <c r="BC793" i="1"/>
  <c r="BD793" i="1" s="1"/>
  <c r="BC773" i="1"/>
  <c r="BD773" i="1" s="1"/>
  <c r="BC754" i="1"/>
  <c r="BD754" i="1" s="1"/>
  <c r="BC1536" i="1"/>
  <c r="BD1536" i="1" s="1"/>
  <c r="BC1480" i="1"/>
  <c r="BD1480" i="1" s="1"/>
  <c r="BC1400" i="1"/>
  <c r="BD1400" i="1" s="1"/>
  <c r="BC1359" i="1"/>
  <c r="BD1359" i="1" s="1"/>
  <c r="BC1336" i="1"/>
  <c r="BD1336" i="1" s="1"/>
  <c r="BC1320" i="1"/>
  <c r="BC1296" i="1"/>
  <c r="BD1296" i="1" s="1"/>
  <c r="BC1256" i="1"/>
  <c r="BD1256" i="1" s="1"/>
  <c r="BC1223" i="1"/>
  <c r="BD1223" i="1" s="1"/>
  <c r="BC1200" i="1"/>
  <c r="BD1200" i="1" s="1"/>
  <c r="BC1040" i="1"/>
  <c r="BD1040" i="1" s="1"/>
  <c r="BC936" i="1"/>
  <c r="BD936" i="1" s="1"/>
  <c r="BC842" i="1"/>
  <c r="BD842" i="1" s="1"/>
  <c r="BC798" i="1"/>
  <c r="BC640" i="1"/>
  <c r="BD640" i="1" s="1"/>
  <c r="BC765" i="1"/>
  <c r="BD765" i="1" s="1"/>
  <c r="BC758" i="1"/>
  <c r="BD758" i="1" s="1"/>
  <c r="BC747" i="1"/>
  <c r="BD747" i="1" s="1"/>
  <c r="BC1535" i="1"/>
  <c r="BD1535" i="1" s="1"/>
  <c r="BC1431" i="1"/>
  <c r="BD1431" i="1" s="1"/>
  <c r="BC1360" i="1"/>
  <c r="BD1360" i="1" s="1"/>
  <c r="BC1303" i="1"/>
  <c r="BD1303" i="1" s="1"/>
  <c r="BC1271" i="1"/>
  <c r="BD1271" i="1" s="1"/>
  <c r="BC1231" i="1"/>
  <c r="BD1231" i="1" s="1"/>
  <c r="BC1207" i="1"/>
  <c r="BD1207" i="1" s="1"/>
  <c r="BC1181" i="1"/>
  <c r="BD1181" i="1" s="1"/>
  <c r="BC1558" i="1"/>
  <c r="BD1558" i="1" s="1"/>
  <c r="BC1550" i="1"/>
  <c r="BD1550" i="1" s="1"/>
  <c r="BC1542" i="1"/>
  <c r="BD1542" i="1" s="1"/>
  <c r="BC1534" i="1"/>
  <c r="BD1534" i="1" s="1"/>
  <c r="BC1526" i="1"/>
  <c r="BD1526" i="1" s="1"/>
  <c r="BC1510" i="1"/>
  <c r="BD1510" i="1" s="1"/>
  <c r="BC1502" i="1"/>
  <c r="BD1502" i="1" s="1"/>
  <c r="BC1494" i="1"/>
  <c r="BD1494" i="1" s="1"/>
  <c r="BC1486" i="1"/>
  <c r="BD1486" i="1" s="1"/>
  <c r="BC1478" i="1"/>
  <c r="BD1478" i="1" s="1"/>
  <c r="BC1470" i="1"/>
  <c r="BD1470" i="1" s="1"/>
  <c r="BC1454" i="1"/>
  <c r="BD1454" i="1" s="1"/>
  <c r="BC1446" i="1"/>
  <c r="BD1446" i="1" s="1"/>
  <c r="BC1438" i="1"/>
  <c r="BD1438" i="1" s="1"/>
  <c r="BC1430" i="1"/>
  <c r="BD1430" i="1" s="1"/>
  <c r="BC1422" i="1"/>
  <c r="BD1422" i="1" s="1"/>
  <c r="BC1414" i="1"/>
  <c r="BD1414" i="1" s="1"/>
  <c r="BC1406" i="1"/>
  <c r="BD1406" i="1" s="1"/>
  <c r="BC1390" i="1"/>
  <c r="BD1390" i="1" s="1"/>
  <c r="BC1382" i="1"/>
  <c r="BD1382" i="1" s="1"/>
  <c r="BC1374" i="1"/>
  <c r="BD1374" i="1" s="1"/>
  <c r="BC1366" i="1"/>
  <c r="BD1366" i="1" s="1"/>
  <c r="BC1358" i="1"/>
  <c r="BD1358" i="1" s="1"/>
  <c r="BC1350" i="1"/>
  <c r="BD1350" i="1" s="1"/>
  <c r="BC1342" i="1"/>
  <c r="BD1342" i="1" s="1"/>
  <c r="BC1334" i="1"/>
  <c r="BD1334" i="1" s="1"/>
  <c r="BC1326" i="1"/>
  <c r="BD1326" i="1" s="1"/>
  <c r="BC1318" i="1"/>
  <c r="BC1310" i="1"/>
  <c r="BD1310" i="1" s="1"/>
  <c r="BC1302" i="1"/>
  <c r="BD1302" i="1" s="1"/>
  <c r="BC1294" i="1"/>
  <c r="BC1286" i="1"/>
  <c r="BD1286" i="1" s="1"/>
  <c r="BC1278" i="1"/>
  <c r="BD1278" i="1" s="1"/>
  <c r="BC1270" i="1"/>
  <c r="BD1270" i="1" s="1"/>
  <c r="BC1262" i="1"/>
  <c r="BD1262" i="1" s="1"/>
  <c r="BC1254" i="1"/>
  <c r="BD1254" i="1" s="1"/>
  <c r="BC1246" i="1"/>
  <c r="BD1246" i="1" s="1"/>
  <c r="BC1238" i="1"/>
  <c r="BD1238" i="1" s="1"/>
  <c r="BC1227" i="1"/>
  <c r="BD1227" i="1" s="1"/>
  <c r="BC1222" i="1"/>
  <c r="BD1222" i="1" s="1"/>
  <c r="BC1213" i="1"/>
  <c r="BD1213" i="1" s="1"/>
  <c r="BC1206" i="1"/>
  <c r="BD1206" i="1" s="1"/>
  <c r="BC1197" i="1"/>
  <c r="BC1188" i="1"/>
  <c r="BD1188" i="1" s="1"/>
  <c r="BC1182" i="1"/>
  <c r="BD1182" i="1" s="1"/>
  <c r="BC1173" i="1"/>
  <c r="BC1166" i="1"/>
  <c r="BD1166" i="1" s="1"/>
  <c r="BC1158" i="1"/>
  <c r="BD1158" i="1" s="1"/>
  <c r="BC1150" i="1"/>
  <c r="BC1142" i="1"/>
  <c r="BD1142" i="1" s="1"/>
  <c r="BC1134" i="1"/>
  <c r="BD1134" i="1" s="1"/>
  <c r="BC1126" i="1"/>
  <c r="BD1126" i="1" s="1"/>
  <c r="BC1118" i="1"/>
  <c r="BD1118" i="1" s="1"/>
  <c r="BC1110" i="1"/>
  <c r="BD1110" i="1" s="1"/>
  <c r="BC1102" i="1"/>
  <c r="BD1102" i="1" s="1"/>
  <c r="BC1094" i="1"/>
  <c r="BD1094" i="1" s="1"/>
  <c r="BC1086" i="1"/>
  <c r="BD1086" i="1" s="1"/>
  <c r="BC1078" i="1"/>
  <c r="BD1078" i="1" s="1"/>
  <c r="BC1070" i="1"/>
  <c r="BD1070" i="1" s="1"/>
  <c r="BC1062" i="1"/>
  <c r="BD1062" i="1" s="1"/>
  <c r="BC1054" i="1"/>
  <c r="BD1054" i="1" s="1"/>
  <c r="BC1046" i="1"/>
  <c r="BD1046" i="1" s="1"/>
  <c r="BC1038" i="1"/>
  <c r="BD1038" i="1" s="1"/>
  <c r="BC1030" i="1"/>
  <c r="BD1030" i="1" s="1"/>
  <c r="BC1022" i="1"/>
  <c r="BD1022" i="1" s="1"/>
  <c r="BC1014" i="1"/>
  <c r="BD1014" i="1" s="1"/>
  <c r="BC1006" i="1"/>
  <c r="BC998" i="1"/>
  <c r="BD998" i="1" s="1"/>
  <c r="BC990" i="1"/>
  <c r="BD990" i="1" s="1"/>
  <c r="BC982" i="1"/>
  <c r="BD982" i="1" s="1"/>
  <c r="BC974" i="1"/>
  <c r="BD974" i="1" s="1"/>
  <c r="BC966" i="1"/>
  <c r="BD966" i="1" s="1"/>
  <c r="BC958" i="1"/>
  <c r="BD958" i="1" s="1"/>
  <c r="BC950" i="1"/>
  <c r="BD950" i="1" s="1"/>
  <c r="BC942" i="1"/>
  <c r="BD942" i="1" s="1"/>
  <c r="BC934" i="1"/>
  <c r="BD934" i="1" s="1"/>
  <c r="BC782" i="1"/>
  <c r="BD782" i="1" s="1"/>
  <c r="BC919" i="1"/>
  <c r="BC911" i="1"/>
  <c r="BD911" i="1" s="1"/>
  <c r="BC903" i="1"/>
  <c r="BD903" i="1" s="1"/>
  <c r="BC895" i="1"/>
  <c r="BD895" i="1" s="1"/>
  <c r="BC887" i="1"/>
  <c r="BD887" i="1" s="1"/>
  <c r="BC879" i="1"/>
  <c r="O40" i="7" s="1"/>
  <c r="Q40" i="7" s="1"/>
  <c r="BC871" i="1"/>
  <c r="BD871" i="1" s="1"/>
  <c r="BC863" i="1"/>
  <c r="BD863" i="1" s="1"/>
  <c r="BC855" i="1"/>
  <c r="BD855" i="1" s="1"/>
  <c r="BC848" i="1"/>
  <c r="BD848" i="1" s="1"/>
  <c r="BC840" i="1"/>
  <c r="BD840" i="1" s="1"/>
  <c r="BC833" i="1"/>
  <c r="BD833" i="1" s="1"/>
  <c r="BC825" i="1"/>
  <c r="BD825" i="1" s="1"/>
  <c r="BC817" i="1"/>
  <c r="BD817" i="1" s="1"/>
  <c r="BC809" i="1"/>
  <c r="BD809" i="1" s="1"/>
  <c r="BC803" i="1"/>
  <c r="BD803" i="1" s="1"/>
  <c r="BC796" i="1"/>
  <c r="BD796" i="1" s="1"/>
  <c r="BC791" i="1"/>
  <c r="BD791" i="1" s="1"/>
  <c r="BC785" i="1"/>
  <c r="BD785" i="1" s="1"/>
  <c r="BC778" i="1"/>
  <c r="BD778" i="1" s="1"/>
  <c r="BC770" i="1"/>
  <c r="BC764" i="1"/>
  <c r="BC260" i="1"/>
  <c r="BD260" i="1" s="1"/>
  <c r="BC751" i="1"/>
  <c r="BD751" i="1" s="1"/>
  <c r="BC564" i="1"/>
  <c r="BD564" i="1" s="1"/>
  <c r="BC738" i="1"/>
  <c r="BD738" i="1" s="1"/>
  <c r="BC730" i="1"/>
  <c r="BD730" i="1" s="1"/>
  <c r="BC543" i="1"/>
  <c r="BD543" i="1" s="1"/>
  <c r="BC715" i="1"/>
  <c r="BD715" i="1" s="1"/>
  <c r="BC707" i="1"/>
  <c r="BD707" i="1" s="1"/>
  <c r="BC699" i="1"/>
  <c r="BD699" i="1" s="1"/>
  <c r="BC524" i="1"/>
  <c r="BD524" i="1" s="1"/>
  <c r="BC510" i="1"/>
  <c r="BD510" i="1" s="1"/>
  <c r="BC676" i="1"/>
  <c r="BD676" i="1" s="1"/>
  <c r="BC669" i="1"/>
  <c r="BD669" i="1" s="1"/>
  <c r="BC661" i="1"/>
  <c r="BD661" i="1" s="1"/>
  <c r="BC652" i="1"/>
  <c r="BD652" i="1" s="1"/>
  <c r="BC461" i="1"/>
  <c r="BD461" i="1" s="1"/>
  <c r="BC532" i="1"/>
  <c r="BD532" i="1" s="1"/>
  <c r="BC526" i="1"/>
  <c r="BD526" i="1" s="1"/>
  <c r="BC473" i="1"/>
  <c r="BD473" i="1" s="1"/>
  <c r="BC438" i="1"/>
  <c r="BD438" i="1" s="1"/>
  <c r="BC148" i="1"/>
  <c r="BC1329" i="1"/>
  <c r="BD1329" i="1" s="1"/>
  <c r="BC1305" i="1"/>
  <c r="BD1305" i="1" s="1"/>
  <c r="BC1248" i="1"/>
  <c r="BD1248" i="1" s="1"/>
  <c r="BC1145" i="1"/>
  <c r="BD1145" i="1" s="1"/>
  <c r="BC1121" i="1"/>
  <c r="BD1121" i="1" s="1"/>
  <c r="BC1097" i="1"/>
  <c r="BD1097" i="1" s="1"/>
  <c r="BC1049" i="1"/>
  <c r="BD1049" i="1" s="1"/>
  <c r="BC1025" i="1"/>
  <c r="O221" i="7" s="1"/>
  <c r="Q221" i="7" s="1"/>
  <c r="BC977" i="1"/>
  <c r="BD977" i="1" s="1"/>
  <c r="BC961" i="1"/>
  <c r="BC906" i="1"/>
  <c r="BD906" i="1" s="1"/>
  <c r="BC882" i="1"/>
  <c r="BD882" i="1" s="1"/>
  <c r="BC858" i="1"/>
  <c r="BD858" i="1" s="1"/>
  <c r="BC741" i="1"/>
  <c r="BD741" i="1" s="1"/>
  <c r="BC1560" i="1"/>
  <c r="BD1560" i="1" s="1"/>
  <c r="BC1512" i="1"/>
  <c r="BD1512" i="1" s="1"/>
  <c r="BC1496" i="1"/>
  <c r="BD1496" i="1" s="1"/>
  <c r="BC1448" i="1"/>
  <c r="BD1448" i="1" s="1"/>
  <c r="BC1424" i="1"/>
  <c r="BD1424" i="1" s="1"/>
  <c r="BC1408" i="1"/>
  <c r="BD1408" i="1" s="1"/>
  <c r="BC1160" i="1"/>
  <c r="BD1160" i="1" s="1"/>
  <c r="BC1120" i="1"/>
  <c r="BD1120" i="1" s="1"/>
  <c r="BC952" i="1"/>
  <c r="BD952" i="1" s="1"/>
  <c r="BC928" i="1"/>
  <c r="BD928" i="1" s="1"/>
  <c r="BC921" i="1"/>
  <c r="BD921" i="1" s="1"/>
  <c r="BC873" i="1"/>
  <c r="BD873" i="1" s="1"/>
  <c r="BC1551" i="1"/>
  <c r="BD1551" i="1" s="1"/>
  <c r="BC1511" i="1"/>
  <c r="BD1511" i="1" s="1"/>
  <c r="BC1487" i="1"/>
  <c r="BD1487" i="1" s="1"/>
  <c r="BC1463" i="1"/>
  <c r="BD1463" i="1" s="1"/>
  <c r="BC1439" i="1"/>
  <c r="BD1439" i="1" s="1"/>
  <c r="BC1391" i="1"/>
  <c r="BD1391" i="1" s="1"/>
  <c r="BC1375" i="1"/>
  <c r="BD1375" i="1" s="1"/>
  <c r="BC1351" i="1"/>
  <c r="BD1351" i="1" s="1"/>
  <c r="BC1253" i="1"/>
  <c r="BD1253" i="1" s="1"/>
  <c r="BC1159" i="1"/>
  <c r="BD1159" i="1" s="1"/>
  <c r="BC1557" i="1"/>
  <c r="BD1557" i="1" s="1"/>
  <c r="BC1549" i="1"/>
  <c r="BD1549" i="1" s="1"/>
  <c r="BC1541" i="1"/>
  <c r="BD1541" i="1" s="1"/>
  <c r="BC1533" i="1"/>
  <c r="BD1533" i="1" s="1"/>
  <c r="BC1525" i="1"/>
  <c r="BD1525" i="1" s="1"/>
  <c r="BC1517" i="1"/>
  <c r="BD1517" i="1" s="1"/>
  <c r="BC1509" i="1"/>
  <c r="BD1509" i="1" s="1"/>
  <c r="BC1501" i="1"/>
  <c r="BD1501" i="1" s="1"/>
  <c r="BC1493" i="1"/>
  <c r="BD1493" i="1" s="1"/>
  <c r="BC1485" i="1"/>
  <c r="BD1485" i="1" s="1"/>
  <c r="BC1477" i="1"/>
  <c r="BD1477" i="1" s="1"/>
  <c r="BC1469" i="1"/>
  <c r="BD1469" i="1" s="1"/>
  <c r="BC1461" i="1"/>
  <c r="BD1461" i="1" s="1"/>
  <c r="BC1453" i="1"/>
  <c r="BD1453" i="1" s="1"/>
  <c r="BC1445" i="1"/>
  <c r="BD1445" i="1" s="1"/>
  <c r="BC1437" i="1"/>
  <c r="BD1437" i="1" s="1"/>
  <c r="BC1429" i="1"/>
  <c r="BD1429" i="1" s="1"/>
  <c r="BC1421" i="1"/>
  <c r="BD1421" i="1" s="1"/>
  <c r="BC1413" i="1"/>
  <c r="BD1413" i="1" s="1"/>
  <c r="BC1405" i="1"/>
  <c r="BD1405" i="1" s="1"/>
  <c r="BC1397" i="1"/>
  <c r="BD1397" i="1" s="1"/>
  <c r="BC1389" i="1"/>
  <c r="BD1389" i="1" s="1"/>
  <c r="BC1381" i="1"/>
  <c r="BD1381" i="1" s="1"/>
  <c r="BC1373" i="1"/>
  <c r="BD1373" i="1" s="1"/>
  <c r="BC1365" i="1"/>
  <c r="BD1365" i="1" s="1"/>
  <c r="BC1357" i="1"/>
  <c r="BD1357" i="1" s="1"/>
  <c r="BC1349" i="1"/>
  <c r="BD1349" i="1" s="1"/>
  <c r="BC1341" i="1"/>
  <c r="BC1333" i="1"/>
  <c r="BD1333" i="1" s="1"/>
  <c r="BC1325" i="1"/>
  <c r="BD1325" i="1" s="1"/>
  <c r="BC1317" i="1"/>
  <c r="BD1317" i="1" s="1"/>
  <c r="BC1309" i="1"/>
  <c r="BD1309" i="1" s="1"/>
  <c r="BC1301" i="1"/>
  <c r="BD1301" i="1" s="1"/>
  <c r="BC1293" i="1"/>
  <c r="BD1293" i="1" s="1"/>
  <c r="BC1284" i="1"/>
  <c r="BD1284" i="1" s="1"/>
  <c r="BC1276" i="1"/>
  <c r="BD1276" i="1" s="1"/>
  <c r="BC1269" i="1"/>
  <c r="BD1269" i="1" s="1"/>
  <c r="BC1250" i="1"/>
  <c r="BD1250" i="1" s="1"/>
  <c r="BC1245" i="1"/>
  <c r="BD1245" i="1" s="1"/>
  <c r="BC1236" i="1"/>
  <c r="BD1236" i="1" s="1"/>
  <c r="BC1229" i="1"/>
  <c r="BD1229" i="1" s="1"/>
  <c r="BC1221" i="1"/>
  <c r="BD1221" i="1" s="1"/>
  <c r="BC1211" i="1"/>
  <c r="BD1211" i="1" s="1"/>
  <c r="BC1202" i="1"/>
  <c r="BD1202" i="1" s="1"/>
  <c r="BC1196" i="1"/>
  <c r="BD1196" i="1" s="1"/>
  <c r="BC1189" i="1"/>
  <c r="BD1189" i="1" s="1"/>
  <c r="BC1179" i="1"/>
  <c r="BD1179" i="1" s="1"/>
  <c r="BC1172" i="1"/>
  <c r="BD1172" i="1" s="1"/>
  <c r="BC1165" i="1"/>
  <c r="BD1165" i="1" s="1"/>
  <c r="BC1157" i="1"/>
  <c r="BD1157" i="1" s="1"/>
  <c r="BC1149" i="1"/>
  <c r="BD1149" i="1" s="1"/>
  <c r="BC1141" i="1"/>
  <c r="BD1141" i="1" s="1"/>
  <c r="BC1133" i="1"/>
  <c r="BD1133" i="1" s="1"/>
  <c r="BC1125" i="1"/>
  <c r="BD1125" i="1" s="1"/>
  <c r="BC1117" i="1"/>
  <c r="BD1117" i="1" s="1"/>
  <c r="BC1109" i="1"/>
  <c r="BD1109" i="1" s="1"/>
  <c r="BC1101" i="1"/>
  <c r="BD1101" i="1" s="1"/>
  <c r="BC1093" i="1"/>
  <c r="BD1093" i="1" s="1"/>
  <c r="BC1085" i="1"/>
  <c r="BD1085" i="1" s="1"/>
  <c r="BC1077" i="1"/>
  <c r="BD1077" i="1" s="1"/>
  <c r="BC1069" i="1"/>
  <c r="BD1069" i="1" s="1"/>
  <c r="BC1061" i="1"/>
  <c r="BD1061" i="1" s="1"/>
  <c r="BC1053" i="1"/>
  <c r="BD1053" i="1" s="1"/>
  <c r="BC1045" i="1"/>
  <c r="BD1045" i="1" s="1"/>
  <c r="BC1037" i="1"/>
  <c r="BD1037" i="1" s="1"/>
  <c r="BC1029" i="1"/>
  <c r="BD1029" i="1" s="1"/>
  <c r="BC1021" i="1"/>
  <c r="BD1021" i="1" s="1"/>
  <c r="BC1013" i="1"/>
  <c r="BD1013" i="1" s="1"/>
  <c r="BC1005" i="1"/>
  <c r="BD1005" i="1" s="1"/>
  <c r="BC997" i="1"/>
  <c r="BD997" i="1" s="1"/>
  <c r="BC989" i="1"/>
  <c r="BD989" i="1" s="1"/>
  <c r="BC981" i="1"/>
  <c r="BD981" i="1" s="1"/>
  <c r="BC973" i="1"/>
  <c r="BD973" i="1" s="1"/>
  <c r="BC965" i="1"/>
  <c r="BC957" i="1"/>
  <c r="BC949" i="1"/>
  <c r="BD949" i="1" s="1"/>
  <c r="BC941" i="1"/>
  <c r="BD941" i="1" s="1"/>
  <c r="BC933" i="1"/>
  <c r="BD933" i="1" s="1"/>
  <c r="BC926" i="1"/>
  <c r="BD926" i="1" s="1"/>
  <c r="BC918" i="1"/>
  <c r="BD918" i="1" s="1"/>
  <c r="BC910" i="1"/>
  <c r="BD910" i="1" s="1"/>
  <c r="BC902" i="1"/>
  <c r="BD902" i="1" s="1"/>
  <c r="BC894" i="1"/>
  <c r="BD894" i="1" s="1"/>
  <c r="BC886" i="1"/>
  <c r="O57" i="7" s="1"/>
  <c r="Q57" i="7" s="1"/>
  <c r="BC878" i="1"/>
  <c r="BD878" i="1" s="1"/>
  <c r="BC870" i="1"/>
  <c r="BD870" i="1" s="1"/>
  <c r="BC862" i="1"/>
  <c r="BD862" i="1" s="1"/>
  <c r="BC854" i="1"/>
  <c r="BD854" i="1" s="1"/>
  <c r="BC847" i="1"/>
  <c r="BD847" i="1" s="1"/>
  <c r="BC839" i="1"/>
  <c r="BD839" i="1" s="1"/>
  <c r="BC832" i="1"/>
  <c r="BD832" i="1" s="1"/>
  <c r="BC824" i="1"/>
  <c r="BC816" i="1"/>
  <c r="BC690" i="1"/>
  <c r="BD690" i="1" s="1"/>
  <c r="BC802" i="1"/>
  <c r="BD802" i="1" s="1"/>
  <c r="BC795" i="1"/>
  <c r="BD795" i="1" s="1"/>
  <c r="BC790" i="1"/>
  <c r="BD790" i="1" s="1"/>
  <c r="BC784" i="1"/>
  <c r="BD784" i="1" s="1"/>
  <c r="BC777" i="1"/>
  <c r="BD777" i="1" s="1"/>
  <c r="BC769" i="1"/>
  <c r="BD769" i="1" s="1"/>
  <c r="BC763" i="1"/>
  <c r="BD763" i="1" s="1"/>
  <c r="BC757" i="1"/>
  <c r="BD757" i="1" s="1"/>
  <c r="BC750" i="1"/>
  <c r="BD750" i="1" s="1"/>
  <c r="BC745" i="1"/>
  <c r="O15" i="7" s="1"/>
  <c r="Q15" i="7" s="1"/>
  <c r="BC550" i="1"/>
  <c r="BD550" i="1" s="1"/>
  <c r="BC729" i="1"/>
  <c r="BD729" i="1" s="1"/>
  <c r="BC722" i="1"/>
  <c r="BD722" i="1" s="1"/>
  <c r="BC714" i="1"/>
  <c r="BD714" i="1" s="1"/>
  <c r="BC706" i="1"/>
  <c r="BD706" i="1" s="1"/>
  <c r="BC698" i="1"/>
  <c r="BD698" i="1" s="1"/>
  <c r="BC523" i="1"/>
  <c r="BD523" i="1" s="1"/>
  <c r="BC684" i="1"/>
  <c r="BD684" i="1" s="1"/>
  <c r="BC675" i="1"/>
  <c r="BD675" i="1" s="1"/>
  <c r="BC668" i="1"/>
  <c r="BD668" i="1" s="1"/>
  <c r="BC660" i="1"/>
  <c r="BD660" i="1" s="1"/>
  <c r="BC651" i="1"/>
  <c r="BD651" i="1" s="1"/>
  <c r="BC284" i="1"/>
  <c r="BD284" i="1" s="1"/>
  <c r="BC346" i="1"/>
  <c r="BD346" i="1" s="1"/>
  <c r="BC1224" i="1"/>
  <c r="BD1224" i="1" s="1"/>
  <c r="BC1152" i="1"/>
  <c r="BD1152" i="1" s="1"/>
  <c r="BC1129" i="1"/>
  <c r="BD1129" i="1" s="1"/>
  <c r="BC953" i="1"/>
  <c r="BD953" i="1" s="1"/>
  <c r="BC914" i="1"/>
  <c r="BD914" i="1" s="1"/>
  <c r="BC866" i="1"/>
  <c r="BD866" i="1" s="1"/>
  <c r="BC625" i="1"/>
  <c r="BD625" i="1" s="1"/>
  <c r="BC759" i="1"/>
  <c r="BD759" i="1" s="1"/>
  <c r="BC1544" i="1"/>
  <c r="BD1544" i="1" s="1"/>
  <c r="BC1528" i="1"/>
  <c r="BD1528" i="1" s="1"/>
  <c r="BC1504" i="1"/>
  <c r="BD1504" i="1" s="1"/>
  <c r="BC1432" i="1"/>
  <c r="BD1432" i="1" s="1"/>
  <c r="BC1392" i="1"/>
  <c r="BD1392" i="1" s="1"/>
  <c r="BC1344" i="1"/>
  <c r="BD1344" i="1" s="1"/>
  <c r="BC1304" i="1"/>
  <c r="BD1304" i="1" s="1"/>
  <c r="BC1264" i="1"/>
  <c r="BD1264" i="1" s="1"/>
  <c r="BC1214" i="1"/>
  <c r="BD1214" i="1" s="1"/>
  <c r="BC1151" i="1"/>
  <c r="BD1151" i="1" s="1"/>
  <c r="BC1136" i="1"/>
  <c r="BD1136" i="1" s="1"/>
  <c r="BC1048" i="1"/>
  <c r="BD1048" i="1" s="1"/>
  <c r="BC1024" i="1"/>
  <c r="BD1024" i="1" s="1"/>
  <c r="BC983" i="1"/>
  <c r="O154" i="7" s="1"/>
  <c r="Q154" i="7" s="1"/>
  <c r="BC960" i="1"/>
  <c r="O139" i="7" s="1"/>
  <c r="Q139" i="7" s="1"/>
  <c r="BC913" i="1"/>
  <c r="BD913" i="1" s="1"/>
  <c r="BC905" i="1"/>
  <c r="BD905" i="1" s="1"/>
  <c r="BC881" i="1"/>
  <c r="BC748" i="1"/>
  <c r="BD748" i="1" s="1"/>
  <c r="BC804" i="1"/>
  <c r="BD804" i="1" s="1"/>
  <c r="BC1559" i="1"/>
  <c r="BD1559" i="1" s="1"/>
  <c r="BC1277" i="1"/>
  <c r="BD1277" i="1" s="1"/>
  <c r="BC1247" i="1"/>
  <c r="BD1247" i="1" s="1"/>
  <c r="BC1220" i="1"/>
  <c r="BD1220" i="1" s="1"/>
  <c r="BC1190" i="1"/>
  <c r="BD1190" i="1" s="1"/>
  <c r="BC1292" i="1"/>
  <c r="BC1556" i="1"/>
  <c r="BD1556" i="1" s="1"/>
  <c r="BC1548" i="1"/>
  <c r="BD1548" i="1" s="1"/>
  <c r="BC1540" i="1"/>
  <c r="BD1540" i="1" s="1"/>
  <c r="BC1532" i="1"/>
  <c r="BD1532" i="1" s="1"/>
  <c r="BC1524" i="1"/>
  <c r="BD1524" i="1" s="1"/>
  <c r="BC1516" i="1"/>
  <c r="BD1516" i="1" s="1"/>
  <c r="BC1508" i="1"/>
  <c r="BD1508" i="1" s="1"/>
  <c r="BC1500" i="1"/>
  <c r="BD1500" i="1" s="1"/>
  <c r="BC1492" i="1"/>
  <c r="BD1492" i="1" s="1"/>
  <c r="BC1484" i="1"/>
  <c r="BD1484" i="1" s="1"/>
  <c r="BC1476" i="1"/>
  <c r="BD1476" i="1" s="1"/>
  <c r="BC1468" i="1"/>
  <c r="BD1468" i="1" s="1"/>
  <c r="BC1460" i="1"/>
  <c r="BD1460" i="1" s="1"/>
  <c r="BC1452" i="1"/>
  <c r="BD1452" i="1" s="1"/>
  <c r="BC1444" i="1"/>
  <c r="BD1444" i="1" s="1"/>
  <c r="BC1436" i="1"/>
  <c r="BD1436" i="1" s="1"/>
  <c r="BC1428" i="1"/>
  <c r="BD1428" i="1" s="1"/>
  <c r="BC1420" i="1"/>
  <c r="BD1420" i="1" s="1"/>
  <c r="BC1412" i="1"/>
  <c r="BD1412" i="1" s="1"/>
  <c r="BC1404" i="1"/>
  <c r="BD1404" i="1" s="1"/>
  <c r="BC1396" i="1"/>
  <c r="BD1396" i="1" s="1"/>
  <c r="BC1388" i="1"/>
  <c r="BD1388" i="1" s="1"/>
  <c r="BC1380" i="1"/>
  <c r="BD1380" i="1" s="1"/>
  <c r="BC1372" i="1"/>
  <c r="BD1372" i="1" s="1"/>
  <c r="BC1364" i="1"/>
  <c r="BD1364" i="1" s="1"/>
  <c r="BC1356" i="1"/>
  <c r="BD1356" i="1" s="1"/>
  <c r="BC1348" i="1"/>
  <c r="BD1348" i="1" s="1"/>
  <c r="BC1340" i="1"/>
  <c r="BD1340" i="1" s="1"/>
  <c r="BC1332" i="1"/>
  <c r="BD1332" i="1" s="1"/>
  <c r="BC1324" i="1"/>
  <c r="BD1324" i="1" s="1"/>
  <c r="BC1316" i="1"/>
  <c r="BD1316" i="1" s="1"/>
  <c r="BC1308" i="1"/>
  <c r="BD1308" i="1" s="1"/>
  <c r="BC1300" i="1"/>
  <c r="BD1300" i="1" s="1"/>
  <c r="BC1291" i="1"/>
  <c r="O195" i="7" s="1"/>
  <c r="Q195" i="7" s="1"/>
  <c r="BC1283" i="1"/>
  <c r="BD1283" i="1" s="1"/>
  <c r="BC1275" i="1"/>
  <c r="BD1275" i="1" s="1"/>
  <c r="BC1268" i="1"/>
  <c r="BD1268" i="1" s="1"/>
  <c r="BC1260" i="1"/>
  <c r="BD1260" i="1" s="1"/>
  <c r="BC1252" i="1"/>
  <c r="BD1252" i="1" s="1"/>
  <c r="BC1244" i="1"/>
  <c r="BD1244" i="1" s="1"/>
  <c r="BC1235" i="1"/>
  <c r="BD1235" i="1" s="1"/>
  <c r="BC1228" i="1"/>
  <c r="BD1228" i="1" s="1"/>
  <c r="BC1216" i="1"/>
  <c r="BD1216" i="1" s="1"/>
  <c r="BC1212" i="1"/>
  <c r="BD1212" i="1" s="1"/>
  <c r="BC1204" i="1"/>
  <c r="BD1204" i="1" s="1"/>
  <c r="BC1194" i="1"/>
  <c r="BD1194" i="1" s="1"/>
  <c r="BC1186" i="1"/>
  <c r="BD1186" i="1" s="1"/>
  <c r="BC1180" i="1"/>
  <c r="BD1180" i="1" s="1"/>
  <c r="BC1171" i="1"/>
  <c r="BD1171" i="1" s="1"/>
  <c r="BC1164" i="1"/>
  <c r="BD1164" i="1" s="1"/>
  <c r="BC1156" i="1"/>
  <c r="BD1156" i="1" s="1"/>
  <c r="BC1148" i="1"/>
  <c r="BD1148" i="1" s="1"/>
  <c r="BC1140" i="1"/>
  <c r="BD1140" i="1" s="1"/>
  <c r="BC1132" i="1"/>
  <c r="BD1132" i="1" s="1"/>
  <c r="BC1124" i="1"/>
  <c r="BD1124" i="1" s="1"/>
  <c r="BC1116" i="1"/>
  <c r="BD1116" i="1" s="1"/>
  <c r="BC1108" i="1"/>
  <c r="BD1108" i="1" s="1"/>
  <c r="BC1100" i="1"/>
  <c r="BD1100" i="1" s="1"/>
  <c r="BC1092" i="1"/>
  <c r="BD1092" i="1" s="1"/>
  <c r="BC1084" i="1"/>
  <c r="BD1084" i="1" s="1"/>
  <c r="BC1076" i="1"/>
  <c r="BD1076" i="1" s="1"/>
  <c r="BC1068" i="1"/>
  <c r="BD1068" i="1" s="1"/>
  <c r="BC1060" i="1"/>
  <c r="BD1060" i="1" s="1"/>
  <c r="BC1052" i="1"/>
  <c r="BD1052" i="1" s="1"/>
  <c r="BC1044" i="1"/>
  <c r="BD1044" i="1" s="1"/>
  <c r="BC1036" i="1"/>
  <c r="BD1036" i="1" s="1"/>
  <c r="BC1028" i="1"/>
  <c r="O223" i="7" s="1"/>
  <c r="Q223" i="7" s="1"/>
  <c r="BC1020" i="1"/>
  <c r="O212" i="7" s="1"/>
  <c r="Q212" i="7" s="1"/>
  <c r="BC1012" i="1"/>
  <c r="BC1004" i="1"/>
  <c r="BD1004" i="1" s="1"/>
  <c r="BC996" i="1"/>
  <c r="BD996" i="1" s="1"/>
  <c r="BC988" i="1"/>
  <c r="BD988" i="1" s="1"/>
  <c r="BC980" i="1"/>
  <c r="BD980" i="1" s="1"/>
  <c r="BC972" i="1"/>
  <c r="BD972" i="1" s="1"/>
  <c r="BC964" i="1"/>
  <c r="BD964" i="1" s="1"/>
  <c r="BC956" i="1"/>
  <c r="BD956" i="1" s="1"/>
  <c r="BC948" i="1"/>
  <c r="BD948" i="1" s="1"/>
  <c r="BC940" i="1"/>
  <c r="O111" i="7" s="1"/>
  <c r="Q111" i="7" s="1"/>
  <c r="BC932" i="1"/>
  <c r="BC925" i="1"/>
  <c r="BC917" i="1"/>
  <c r="BD917" i="1" s="1"/>
  <c r="BC909" i="1"/>
  <c r="BD909" i="1" s="1"/>
  <c r="BC901" i="1"/>
  <c r="BD901" i="1" s="1"/>
  <c r="BC893" i="1"/>
  <c r="BD893" i="1" s="1"/>
  <c r="BC885" i="1"/>
  <c r="BD885" i="1" s="1"/>
  <c r="BC877" i="1"/>
  <c r="BD877" i="1" s="1"/>
  <c r="BC869" i="1"/>
  <c r="BD869" i="1" s="1"/>
  <c r="BC861" i="1"/>
  <c r="BD861" i="1" s="1"/>
  <c r="BC853" i="1"/>
  <c r="BD853" i="1" s="1"/>
  <c r="BC846" i="1"/>
  <c r="BD846" i="1" s="1"/>
  <c r="BC838" i="1"/>
  <c r="BC831" i="1"/>
  <c r="BD831" i="1" s="1"/>
  <c r="BC823" i="1"/>
  <c r="BD823" i="1" s="1"/>
  <c r="BC815" i="1"/>
  <c r="BD815" i="1" s="1"/>
  <c r="BC808" i="1"/>
  <c r="BD808" i="1" s="1"/>
  <c r="BC801" i="1"/>
  <c r="BD801" i="1" s="1"/>
  <c r="BC662" i="1"/>
  <c r="BD662" i="1" s="1"/>
  <c r="BC648" i="1"/>
  <c r="BD648" i="1" s="1"/>
  <c r="BC783" i="1"/>
  <c r="BD783" i="1" s="1"/>
  <c r="BC776" i="1"/>
  <c r="BD776" i="1" s="1"/>
  <c r="BC768" i="1"/>
  <c r="BC762" i="1"/>
  <c r="BD762" i="1" s="1"/>
  <c r="BC756" i="1"/>
  <c r="BD756" i="1" s="1"/>
  <c r="BC749" i="1"/>
  <c r="BD749" i="1" s="1"/>
  <c r="BC744" i="1"/>
  <c r="BD744" i="1" s="1"/>
  <c r="BC737" i="1"/>
  <c r="BD737" i="1" s="1"/>
  <c r="BC728" i="1"/>
  <c r="BD728" i="1" s="1"/>
  <c r="BC721" i="1"/>
  <c r="BD721" i="1" s="1"/>
  <c r="BC713" i="1"/>
  <c r="BD713" i="1" s="1"/>
  <c r="BC705" i="1"/>
  <c r="BD705" i="1" s="1"/>
  <c r="BC1285" i="1"/>
  <c r="BC1265" i="1"/>
  <c r="BD1265" i="1" s="1"/>
  <c r="BC1237" i="1"/>
  <c r="BD1237" i="1" s="1"/>
  <c r="BC1217" i="1"/>
  <c r="BD1217" i="1" s="1"/>
  <c r="BC1201" i="1"/>
  <c r="BD1201" i="1" s="1"/>
  <c r="BC1089" i="1"/>
  <c r="BD1089" i="1" s="1"/>
  <c r="BC969" i="1"/>
  <c r="BD969" i="1" s="1"/>
  <c r="BC898" i="1"/>
  <c r="BC828" i="1"/>
  <c r="BD828" i="1" s="1"/>
  <c r="BC787" i="1"/>
  <c r="O102" i="7" s="1"/>
  <c r="Q102" i="7" s="1"/>
  <c r="BC1488" i="1"/>
  <c r="BD1488" i="1" s="1"/>
  <c r="BC1440" i="1"/>
  <c r="BD1440" i="1" s="1"/>
  <c r="BC1352" i="1"/>
  <c r="BD1352" i="1" s="1"/>
  <c r="BC1288" i="1"/>
  <c r="BD1288" i="1" s="1"/>
  <c r="BC1230" i="1"/>
  <c r="BD1230" i="1" s="1"/>
  <c r="BC1144" i="1"/>
  <c r="O63" i="7" s="1"/>
  <c r="Q63" i="7" s="1"/>
  <c r="BC1080" i="1"/>
  <c r="BD1080" i="1" s="1"/>
  <c r="BC1016" i="1"/>
  <c r="BD1016" i="1" s="1"/>
  <c r="BC992" i="1"/>
  <c r="BC976" i="1"/>
  <c r="BD976" i="1" s="1"/>
  <c r="BC944" i="1"/>
  <c r="O113" i="7" s="1"/>
  <c r="Q113" i="7" s="1"/>
  <c r="BC889" i="1"/>
  <c r="O61" i="7" s="1"/>
  <c r="Q61" i="7" s="1"/>
  <c r="BC834" i="1"/>
  <c r="BD834" i="1" s="1"/>
  <c r="BC827" i="1"/>
  <c r="BD827" i="1" s="1"/>
  <c r="BC819" i="1"/>
  <c r="BD819" i="1" s="1"/>
  <c r="BC780" i="1"/>
  <c r="BD780" i="1" s="1"/>
  <c r="BC1543" i="1"/>
  <c r="BD1543" i="1" s="1"/>
  <c r="BC1519" i="1"/>
  <c r="BD1519" i="1" s="1"/>
  <c r="BC1503" i="1"/>
  <c r="BD1503" i="1" s="1"/>
  <c r="BC1479" i="1"/>
  <c r="BD1479" i="1" s="1"/>
  <c r="BC1455" i="1"/>
  <c r="BD1455" i="1" s="1"/>
  <c r="BC1407" i="1"/>
  <c r="BD1407" i="1" s="1"/>
  <c r="BC1383" i="1"/>
  <c r="BD1383" i="1" s="1"/>
  <c r="BC1335" i="1"/>
  <c r="BD1335" i="1" s="1"/>
  <c r="BC1311" i="1"/>
  <c r="BD1311" i="1" s="1"/>
  <c r="BC1287" i="1"/>
  <c r="BD1287" i="1" s="1"/>
  <c r="BC1215" i="1"/>
  <c r="BD1215" i="1" s="1"/>
  <c r="BC1199" i="1"/>
  <c r="BD1199" i="1" s="1"/>
  <c r="BC1174" i="1"/>
  <c r="BC1547" i="1"/>
  <c r="BD1547" i="1" s="1"/>
  <c r="BC1531" i="1"/>
  <c r="BD1531" i="1" s="1"/>
  <c r="BC1515" i="1"/>
  <c r="BD1515" i="1" s="1"/>
  <c r="BC1499" i="1"/>
  <c r="BD1499" i="1" s="1"/>
  <c r="BC1467" i="1"/>
  <c r="BD1467" i="1" s="1"/>
  <c r="BC1435" i="1"/>
  <c r="BD1435" i="1" s="1"/>
  <c r="BC1419" i="1"/>
  <c r="BD1419" i="1" s="1"/>
  <c r="BC1403" i="1"/>
  <c r="BD1403" i="1" s="1"/>
  <c r="BC1379" i="1"/>
  <c r="BD1379" i="1" s="1"/>
  <c r="BC1363" i="1"/>
  <c r="BD1363" i="1" s="1"/>
  <c r="BC1355" i="1"/>
  <c r="BD1355" i="1" s="1"/>
  <c r="BC1347" i="1"/>
  <c r="BD1347" i="1" s="1"/>
  <c r="BC1339" i="1"/>
  <c r="BD1339" i="1" s="1"/>
  <c r="BC1331" i="1"/>
  <c r="BD1331" i="1" s="1"/>
  <c r="BC1323" i="1"/>
  <c r="BD1323" i="1" s="1"/>
  <c r="BC1315" i="1"/>
  <c r="BD1315" i="1" s="1"/>
  <c r="BC1307" i="1"/>
  <c r="BD1307" i="1" s="1"/>
  <c r="BC1299" i="1"/>
  <c r="BD1299" i="1" s="1"/>
  <c r="BC1290" i="1"/>
  <c r="BD1290" i="1" s="1"/>
  <c r="BC1279" i="1"/>
  <c r="BD1279" i="1" s="1"/>
  <c r="BC1274" i="1"/>
  <c r="BD1274" i="1" s="1"/>
  <c r="BC1267" i="1"/>
  <c r="BD1267" i="1" s="1"/>
  <c r="BC1259" i="1"/>
  <c r="BD1259" i="1" s="1"/>
  <c r="BC1251" i="1"/>
  <c r="BD1251" i="1" s="1"/>
  <c r="BC1243" i="1"/>
  <c r="BD1243" i="1" s="1"/>
  <c r="BC1234" i="1"/>
  <c r="BD1234" i="1" s="1"/>
  <c r="BC1226" i="1"/>
  <c r="BD1226" i="1" s="1"/>
  <c r="BC1219" i="1"/>
  <c r="BD1219" i="1" s="1"/>
  <c r="BC1205" i="1"/>
  <c r="BD1205" i="1" s="1"/>
  <c r="BC1203" i="1"/>
  <c r="BD1203" i="1" s="1"/>
  <c r="BC1195" i="1"/>
  <c r="BD1195" i="1" s="1"/>
  <c r="BC1187" i="1"/>
  <c r="BD1187" i="1" s="1"/>
  <c r="BC1177" i="1"/>
  <c r="BD1177" i="1" s="1"/>
  <c r="BC1170" i="1"/>
  <c r="BD1170" i="1" s="1"/>
  <c r="BC1163" i="1"/>
  <c r="BD1163" i="1" s="1"/>
  <c r="BC1153" i="1"/>
  <c r="O70" i="7" s="1"/>
  <c r="Q70" i="7" s="1"/>
  <c r="BC1147" i="1"/>
  <c r="BD1147" i="1" s="1"/>
  <c r="BC1139" i="1"/>
  <c r="BD1139" i="1" s="1"/>
  <c r="BC1131" i="1"/>
  <c r="BD1131" i="1" s="1"/>
  <c r="BC1115" i="1"/>
  <c r="BD1115" i="1" s="1"/>
  <c r="BC1107" i="1"/>
  <c r="O38" i="7" s="1"/>
  <c r="Q38" i="7" s="1"/>
  <c r="BC1099" i="1"/>
  <c r="BD1099" i="1" s="1"/>
  <c r="BC1091" i="1"/>
  <c r="BC1083" i="1"/>
  <c r="BD1083" i="1" s="1"/>
  <c r="BC1075" i="1"/>
  <c r="BD1075" i="1" s="1"/>
  <c r="BC1067" i="1"/>
  <c r="BD1067" i="1" s="1"/>
  <c r="BC1059" i="1"/>
  <c r="BD1059" i="1" s="1"/>
  <c r="BC1051" i="1"/>
  <c r="BD1051" i="1" s="1"/>
  <c r="BC1043" i="1"/>
  <c r="BD1043" i="1" s="1"/>
  <c r="BC1035" i="1"/>
  <c r="BD1035" i="1" s="1"/>
  <c r="BC1027" i="1"/>
  <c r="BD1027" i="1" s="1"/>
  <c r="BC1019" i="1"/>
  <c r="BD1019" i="1" s="1"/>
  <c r="BC1011" i="1"/>
  <c r="BD1011" i="1" s="1"/>
  <c r="BC1003" i="1"/>
  <c r="BC995" i="1"/>
  <c r="BC987" i="1"/>
  <c r="BD987" i="1" s="1"/>
  <c r="BC979" i="1"/>
  <c r="BD979" i="1" s="1"/>
  <c r="BC971" i="1"/>
  <c r="BD971" i="1" s="1"/>
  <c r="BC955" i="1"/>
  <c r="BD955" i="1" s="1"/>
  <c r="BC947" i="1"/>
  <c r="BD947" i="1" s="1"/>
  <c r="BC939" i="1"/>
  <c r="O110" i="7" s="1"/>
  <c r="Q110" i="7" s="1"/>
  <c r="BC931" i="1"/>
  <c r="BD931" i="1" s="1"/>
  <c r="BC924" i="1"/>
  <c r="BD924" i="1" s="1"/>
  <c r="BC916" i="1"/>
  <c r="BD916" i="1" s="1"/>
  <c r="BC908" i="1"/>
  <c r="BD908" i="1" s="1"/>
  <c r="BC900" i="1"/>
  <c r="O80" i="7" s="1"/>
  <c r="Q80" i="7" s="1"/>
  <c r="BC892" i="1"/>
  <c r="BC884" i="1"/>
  <c r="BD884" i="1" s="1"/>
  <c r="BC876" i="1"/>
  <c r="BD876" i="1" s="1"/>
  <c r="BC868" i="1"/>
  <c r="BC860" i="1"/>
  <c r="BD860" i="1" s="1"/>
  <c r="BC852" i="1"/>
  <c r="BD852" i="1" s="1"/>
  <c r="BC845" i="1"/>
  <c r="BD845" i="1" s="1"/>
  <c r="BC837" i="1"/>
  <c r="BD837" i="1" s="1"/>
  <c r="BC830" i="1"/>
  <c r="BD830" i="1" s="1"/>
  <c r="BC822" i="1"/>
  <c r="BD822" i="1" s="1"/>
  <c r="BC814" i="1"/>
  <c r="BD814" i="1" s="1"/>
  <c r="BC807" i="1"/>
  <c r="BD807" i="1" s="1"/>
  <c r="BC677" i="1"/>
  <c r="BD677" i="1" s="1"/>
  <c r="BC794" i="1"/>
  <c r="BD794" i="1" s="1"/>
  <c r="BC789" i="1"/>
  <c r="BD789" i="1" s="1"/>
  <c r="BC781" i="1"/>
  <c r="BD781" i="1" s="1"/>
  <c r="BC775" i="1"/>
  <c r="BD775" i="1" s="1"/>
  <c r="BC265" i="1"/>
  <c r="BD265" i="1" s="1"/>
  <c r="BC583" i="1"/>
  <c r="BD583" i="1" s="1"/>
  <c r="BC570" i="1"/>
  <c r="BD570" i="1" s="1"/>
  <c r="BC743" i="1"/>
  <c r="BD743" i="1" s="1"/>
  <c r="BC736" i="1"/>
  <c r="BD736" i="1" s="1"/>
  <c r="BC727" i="1"/>
  <c r="BD727" i="1" s="1"/>
  <c r="BC720" i="1"/>
  <c r="BD720" i="1" s="1"/>
  <c r="BC712" i="1"/>
  <c r="BD712" i="1" s="1"/>
  <c r="BC704" i="1"/>
  <c r="BD704" i="1" s="1"/>
  <c r="BC696" i="1"/>
  <c r="BD696" i="1" s="1"/>
  <c r="BC689" i="1"/>
  <c r="BD689" i="1" s="1"/>
  <c r="BC682" i="1"/>
  <c r="BD682" i="1" s="1"/>
  <c r="BC673" i="1"/>
  <c r="BD673" i="1" s="1"/>
  <c r="BC666" i="1"/>
  <c r="BD666" i="1" s="1"/>
  <c r="BC657" i="1"/>
  <c r="BD657" i="1" s="1"/>
  <c r="BC649" i="1"/>
  <c r="BD649" i="1" s="1"/>
  <c r="BC642" i="1"/>
  <c r="BD642" i="1" s="1"/>
  <c r="BC633" i="1"/>
  <c r="BD633" i="1" s="1"/>
  <c r="BC623" i="1"/>
  <c r="BD623" i="1" s="1"/>
  <c r="BC615" i="1"/>
  <c r="BC607" i="1"/>
  <c r="BD607" i="1" s="1"/>
  <c r="BC599" i="1"/>
  <c r="BD599" i="1" s="1"/>
  <c r="BC590" i="1"/>
  <c r="BD590" i="1" s="1"/>
  <c r="BC581" i="1"/>
  <c r="BD581" i="1" s="1"/>
  <c r="BC573" i="1"/>
  <c r="BD573" i="1" s="1"/>
  <c r="BC561" i="1"/>
  <c r="BD561" i="1" s="1"/>
  <c r="BC555" i="1"/>
  <c r="BD555" i="1" s="1"/>
  <c r="BC546" i="1"/>
  <c r="BD546" i="1" s="1"/>
  <c r="BC1345" i="1"/>
  <c r="BD1345" i="1" s="1"/>
  <c r="BC1313" i="1"/>
  <c r="O225" i="7" s="1"/>
  <c r="Q225" i="7" s="1"/>
  <c r="BC1297" i="1"/>
  <c r="BD1297" i="1" s="1"/>
  <c r="BC1281" i="1"/>
  <c r="BD1281" i="1" s="1"/>
  <c r="BC1263" i="1"/>
  <c r="BD1263" i="1" s="1"/>
  <c r="BC1232" i="1"/>
  <c r="BD1232" i="1" s="1"/>
  <c r="BC1155" i="1"/>
  <c r="BD1155" i="1" s="1"/>
  <c r="BC1161" i="1"/>
  <c r="BD1161" i="1" s="1"/>
  <c r="BC1065" i="1"/>
  <c r="BD1065" i="1" s="1"/>
  <c r="BC1057" i="1"/>
  <c r="BD1057" i="1" s="1"/>
  <c r="BC1033" i="1"/>
  <c r="BD1033" i="1" s="1"/>
  <c r="BC1009" i="1"/>
  <c r="BD1009" i="1" s="1"/>
  <c r="BC1001" i="1"/>
  <c r="BD1001" i="1" s="1"/>
  <c r="BC993" i="1"/>
  <c r="BD993" i="1" s="1"/>
  <c r="BC945" i="1"/>
  <c r="O115" i="7" s="1"/>
  <c r="Q115" i="7" s="1"/>
  <c r="BC922" i="1"/>
  <c r="BD922" i="1" s="1"/>
  <c r="BC820" i="1"/>
  <c r="BD820" i="1" s="1"/>
  <c r="BC805" i="1"/>
  <c r="BD805" i="1" s="1"/>
  <c r="BC1552" i="1"/>
  <c r="BD1552" i="1" s="1"/>
  <c r="BC1416" i="1"/>
  <c r="BD1416" i="1" s="1"/>
  <c r="BC1384" i="1"/>
  <c r="BD1384" i="1" s="1"/>
  <c r="BC1368" i="1"/>
  <c r="BD1368" i="1" s="1"/>
  <c r="BC1328" i="1"/>
  <c r="BD1328" i="1" s="1"/>
  <c r="BC1280" i="1"/>
  <c r="BD1280" i="1" s="1"/>
  <c r="BC1272" i="1"/>
  <c r="BD1272" i="1" s="1"/>
  <c r="BC1208" i="1"/>
  <c r="BD1208" i="1" s="1"/>
  <c r="BC1184" i="1"/>
  <c r="BD1184" i="1" s="1"/>
  <c r="BC1176" i="1"/>
  <c r="BD1176" i="1" s="1"/>
  <c r="BC1168" i="1"/>
  <c r="BD1168" i="1" s="1"/>
  <c r="BC1096" i="1"/>
  <c r="BD1096" i="1" s="1"/>
  <c r="BC1088" i="1"/>
  <c r="BD1088" i="1" s="1"/>
  <c r="BC1072" i="1"/>
  <c r="BD1072" i="1" s="1"/>
  <c r="BC968" i="1"/>
  <c r="BD968" i="1" s="1"/>
  <c r="BC1527" i="1"/>
  <c r="BD1527" i="1" s="1"/>
  <c r="BC1415" i="1"/>
  <c r="BD1415" i="1" s="1"/>
  <c r="BC1399" i="1"/>
  <c r="BD1399" i="1" s="1"/>
  <c r="BC1367" i="1"/>
  <c r="O132" i="7" s="1"/>
  <c r="Q132" i="7" s="1"/>
  <c r="BC1319" i="1"/>
  <c r="BD1319" i="1" s="1"/>
  <c r="BC1239" i="1"/>
  <c r="BD1239" i="1" s="1"/>
  <c r="BC1167" i="1"/>
  <c r="BD1167" i="1" s="1"/>
  <c r="BC1143" i="1"/>
  <c r="BD1143" i="1" s="1"/>
  <c r="BC1135" i="1"/>
  <c r="BD1135" i="1" s="1"/>
  <c r="BC1555" i="1"/>
  <c r="BD1555" i="1" s="1"/>
  <c r="BC1539" i="1"/>
  <c r="BD1539" i="1" s="1"/>
  <c r="BC1523" i="1"/>
  <c r="BD1523" i="1" s="1"/>
  <c r="BC1507" i="1"/>
  <c r="BD1507" i="1" s="1"/>
  <c r="BC1491" i="1"/>
  <c r="BD1491" i="1" s="1"/>
  <c r="BC1483" i="1"/>
  <c r="BD1483" i="1" s="1"/>
  <c r="BC1475" i="1"/>
  <c r="BD1475" i="1" s="1"/>
  <c r="BC1459" i="1"/>
  <c r="BD1459" i="1" s="1"/>
  <c r="BC1451" i="1"/>
  <c r="BD1451" i="1" s="1"/>
  <c r="BC1443" i="1"/>
  <c r="BD1443" i="1" s="1"/>
  <c r="BC1427" i="1"/>
  <c r="BD1427" i="1" s="1"/>
  <c r="BC1411" i="1"/>
  <c r="BD1411" i="1" s="1"/>
  <c r="BC1395" i="1"/>
  <c r="BD1395" i="1" s="1"/>
  <c r="BC1387" i="1"/>
  <c r="BD1387" i="1" s="1"/>
  <c r="BC1371" i="1"/>
  <c r="BD1371" i="1" s="1"/>
  <c r="BC3" i="1"/>
  <c r="O28" i="7" s="1"/>
  <c r="Q28" i="7" s="1"/>
  <c r="BC1554" i="1"/>
  <c r="BD1554" i="1" s="1"/>
  <c r="BC1546" i="1"/>
  <c r="BD1546" i="1" s="1"/>
  <c r="BC1538" i="1"/>
  <c r="BD1538" i="1" s="1"/>
  <c r="BC1530" i="1"/>
  <c r="BD1530" i="1" s="1"/>
  <c r="BC1522" i="1"/>
  <c r="BD1522" i="1" s="1"/>
  <c r="BC1514" i="1"/>
  <c r="BD1514" i="1" s="1"/>
  <c r="BC1506" i="1"/>
  <c r="BD1506" i="1" s="1"/>
  <c r="BC1498" i="1"/>
  <c r="BD1498" i="1" s="1"/>
  <c r="BC1490" i="1"/>
  <c r="BD1490" i="1" s="1"/>
  <c r="BC1482" i="1"/>
  <c r="BD1482" i="1" s="1"/>
  <c r="BC1474" i="1"/>
  <c r="BD1474" i="1" s="1"/>
  <c r="BC1466" i="1"/>
  <c r="BD1466" i="1" s="1"/>
  <c r="BC1458" i="1"/>
  <c r="BD1458" i="1" s="1"/>
  <c r="BC1450" i="1"/>
  <c r="BD1450" i="1" s="1"/>
  <c r="BC1442" i="1"/>
  <c r="BD1442" i="1" s="1"/>
  <c r="BC1434" i="1"/>
  <c r="BD1434" i="1" s="1"/>
  <c r="BC1426" i="1"/>
  <c r="BD1426" i="1" s="1"/>
  <c r="BC1418" i="1"/>
  <c r="BD1418" i="1" s="1"/>
  <c r="BC1410" i="1"/>
  <c r="BD1410" i="1" s="1"/>
  <c r="BC1402" i="1"/>
  <c r="BD1402" i="1" s="1"/>
  <c r="BC1394" i="1"/>
  <c r="BD1394" i="1" s="1"/>
  <c r="BC1386" i="1"/>
  <c r="BD1386" i="1" s="1"/>
  <c r="BC1378" i="1"/>
  <c r="BD1378" i="1" s="1"/>
  <c r="BC1370" i="1"/>
  <c r="BD1370" i="1" s="1"/>
  <c r="BC1362" i="1"/>
  <c r="BD1362" i="1" s="1"/>
  <c r="BC1354" i="1"/>
  <c r="BD1354" i="1" s="1"/>
  <c r="BC1346" i="1"/>
  <c r="BD1346" i="1" s="1"/>
  <c r="BC1338" i="1"/>
  <c r="BD1338" i="1" s="1"/>
  <c r="BC1330" i="1"/>
  <c r="BD1330" i="1" s="1"/>
  <c r="BC1322" i="1"/>
  <c r="BD1322" i="1" s="1"/>
  <c r="BC1314" i="1"/>
  <c r="BD1314" i="1" s="1"/>
  <c r="BC1306" i="1"/>
  <c r="BD1306" i="1" s="1"/>
  <c r="BC1298" i="1"/>
  <c r="BD1298" i="1" s="1"/>
  <c r="BC1289" i="1"/>
  <c r="BD1289" i="1" s="1"/>
  <c r="BC1282" i="1"/>
  <c r="BD1282" i="1" s="1"/>
  <c r="BC1273" i="1"/>
  <c r="BD1273" i="1" s="1"/>
  <c r="BC1266" i="1"/>
  <c r="BD1266" i="1" s="1"/>
  <c r="BC1258" i="1"/>
  <c r="BD1258" i="1" s="1"/>
  <c r="BC1249" i="1"/>
  <c r="BD1249" i="1" s="1"/>
  <c r="BC1242" i="1"/>
  <c r="BD1242" i="1" s="1"/>
  <c r="BC1233" i="1"/>
  <c r="BD1233" i="1" s="1"/>
  <c r="BC1225" i="1"/>
  <c r="BD1225" i="1" s="1"/>
  <c r="BC1218" i="1"/>
  <c r="BD1218" i="1" s="1"/>
  <c r="BC1210" i="1"/>
  <c r="BD1210" i="1" s="1"/>
  <c r="BC1198" i="1"/>
  <c r="BD1198" i="1" s="1"/>
  <c r="BC1183" i="1"/>
  <c r="BC1178" i="1"/>
  <c r="BD1178" i="1" s="1"/>
  <c r="BC1169" i="1"/>
  <c r="BD1169" i="1" s="1"/>
  <c r="BC1162" i="1"/>
  <c r="BD1162" i="1" s="1"/>
  <c r="BC1154" i="1"/>
  <c r="BD1154" i="1" s="1"/>
  <c r="BC1146" i="1"/>
  <c r="BD1146" i="1" s="1"/>
  <c r="BC1138" i="1"/>
  <c r="BC1130" i="1"/>
  <c r="BD1130" i="1" s="1"/>
  <c r="BC1122" i="1"/>
  <c r="BD1122" i="1" s="1"/>
  <c r="BC1114" i="1"/>
  <c r="BD1114" i="1" s="1"/>
  <c r="BC1106" i="1"/>
  <c r="BD1106" i="1" s="1"/>
  <c r="BC1098" i="1"/>
  <c r="BD1098" i="1" s="1"/>
  <c r="BC1090" i="1"/>
  <c r="BD1090" i="1" s="1"/>
  <c r="BC1082" i="1"/>
  <c r="BD1082" i="1" s="1"/>
  <c r="BC1074" i="1"/>
  <c r="BD1074" i="1" s="1"/>
  <c r="BC1066" i="1"/>
  <c r="BD1066" i="1" s="1"/>
  <c r="BC1058" i="1"/>
  <c r="BD1058" i="1" s="1"/>
  <c r="BC1050" i="1"/>
  <c r="BD1050" i="1" s="1"/>
  <c r="BC1042" i="1"/>
  <c r="BD1042" i="1" s="1"/>
  <c r="BC1034" i="1"/>
  <c r="BD1034" i="1" s="1"/>
  <c r="BC1026" i="1"/>
  <c r="BD1026" i="1" s="1"/>
  <c r="BC1018" i="1"/>
  <c r="BD1018" i="1" s="1"/>
  <c r="BC1010" i="1"/>
  <c r="BD1010" i="1" s="1"/>
  <c r="BC1002" i="1"/>
  <c r="BC994" i="1"/>
  <c r="BD994" i="1" s="1"/>
  <c r="BC986" i="1"/>
  <c r="BD986" i="1" s="1"/>
  <c r="BC978" i="1"/>
  <c r="BD978" i="1" s="1"/>
  <c r="BC970" i="1"/>
  <c r="BD970" i="1" s="1"/>
  <c r="BC962" i="1"/>
  <c r="BD962" i="1" s="1"/>
  <c r="BC954" i="1"/>
  <c r="BC946" i="1"/>
  <c r="O116" i="7" s="1"/>
  <c r="Q116" i="7" s="1"/>
  <c r="BC938" i="1"/>
  <c r="BD938" i="1" s="1"/>
  <c r="BC930" i="1"/>
  <c r="BD930" i="1" s="1"/>
  <c r="BC923" i="1"/>
  <c r="BD923" i="1" s="1"/>
  <c r="BC915" i="1"/>
  <c r="BD915" i="1" s="1"/>
  <c r="BC907" i="1"/>
  <c r="BD907" i="1" s="1"/>
  <c r="BC899" i="1"/>
  <c r="BD899" i="1" s="1"/>
  <c r="BC891" i="1"/>
  <c r="BC883" i="1"/>
  <c r="BD883" i="1" s="1"/>
  <c r="BC875" i="1"/>
  <c r="BD875" i="1" s="1"/>
  <c r="BC859" i="1"/>
  <c r="BD859" i="1" s="1"/>
  <c r="BC851" i="1"/>
  <c r="BD851" i="1" s="1"/>
  <c r="BC844" i="1"/>
  <c r="BD844" i="1" s="1"/>
  <c r="BC836" i="1"/>
  <c r="BD836" i="1" s="1"/>
  <c r="BC829" i="1"/>
  <c r="BD829" i="1" s="1"/>
  <c r="BC821" i="1"/>
  <c r="BD821" i="1" s="1"/>
  <c r="BC813" i="1"/>
  <c r="BD813" i="1" s="1"/>
  <c r="BC806" i="1"/>
  <c r="BD806" i="1" s="1"/>
  <c r="BC800" i="1"/>
  <c r="BD800" i="1" s="1"/>
  <c r="BC658" i="1"/>
  <c r="BD658" i="1" s="1"/>
  <c r="BC788" i="1"/>
  <c r="BC626" i="1"/>
  <c r="BD626" i="1" s="1"/>
  <c r="BC774" i="1"/>
  <c r="BD774" i="1" s="1"/>
  <c r="BC767" i="1"/>
  <c r="BD767" i="1" s="1"/>
  <c r="BC760" i="1"/>
  <c r="BD760" i="1" s="1"/>
  <c r="BC755" i="1"/>
  <c r="BD755" i="1" s="1"/>
  <c r="BC571" i="1"/>
  <c r="BD571" i="1" s="1"/>
  <c r="BC742" i="1"/>
  <c r="BD742" i="1" s="1"/>
  <c r="BC735" i="1"/>
  <c r="BD735" i="1" s="1"/>
  <c r="BC726" i="1"/>
  <c r="BD726" i="1" s="1"/>
  <c r="BC632" i="1"/>
  <c r="BD632" i="1" s="1"/>
  <c r="BC352" i="1"/>
  <c r="BD352" i="1" s="1"/>
  <c r="BC734" i="1"/>
  <c r="BD734" i="1" s="1"/>
  <c r="BC725" i="1"/>
  <c r="BD725" i="1" s="1"/>
  <c r="BC718" i="1"/>
  <c r="BD718" i="1" s="1"/>
  <c r="BC710" i="1"/>
  <c r="BD710" i="1" s="1"/>
  <c r="BC702" i="1"/>
  <c r="BD702" i="1" s="1"/>
  <c r="BC694" i="1"/>
  <c r="BD694" i="1" s="1"/>
  <c r="BC687" i="1"/>
  <c r="BD687" i="1" s="1"/>
  <c r="BC680" i="1"/>
  <c r="BD680" i="1" s="1"/>
  <c r="BC492" i="1"/>
  <c r="BD492" i="1" s="1"/>
  <c r="BC654" i="1"/>
  <c r="BD654" i="1" s="1"/>
  <c r="BC646" i="1"/>
  <c r="BD646" i="1" s="1"/>
  <c r="BC639" i="1"/>
  <c r="BD639" i="1" s="1"/>
  <c r="BC631" i="1"/>
  <c r="BD631" i="1" s="1"/>
  <c r="BC621" i="1"/>
  <c r="BD621" i="1" s="1"/>
  <c r="BC613" i="1"/>
  <c r="BD613" i="1" s="1"/>
  <c r="BC605" i="1"/>
  <c r="BD605" i="1" s="1"/>
  <c r="BC597" i="1"/>
  <c r="BD597" i="1" s="1"/>
  <c r="BC588" i="1"/>
  <c r="BD588" i="1" s="1"/>
  <c r="BC579" i="1"/>
  <c r="BD579" i="1" s="1"/>
  <c r="BC569" i="1"/>
  <c r="BD569" i="1" s="1"/>
  <c r="BC559" i="1"/>
  <c r="BD559" i="1" s="1"/>
  <c r="BC553" i="1"/>
  <c r="BD553" i="1" s="1"/>
  <c r="BC544" i="1"/>
  <c r="BD544" i="1" s="1"/>
  <c r="BC535" i="1"/>
  <c r="BD535" i="1" s="1"/>
  <c r="BC367" i="1"/>
  <c r="BD367" i="1" s="1"/>
  <c r="BC519" i="1"/>
  <c r="BD519" i="1" s="1"/>
  <c r="BC349" i="1"/>
  <c r="BC506" i="1"/>
  <c r="BD506" i="1" s="1"/>
  <c r="BC498" i="1"/>
  <c r="BD498" i="1" s="1"/>
  <c r="BC491" i="1"/>
  <c r="BD491" i="1" s="1"/>
  <c r="BC484" i="1"/>
  <c r="BD484" i="1" s="1"/>
  <c r="BC476" i="1"/>
  <c r="BD476" i="1" s="1"/>
  <c r="BC470" i="1"/>
  <c r="BD470" i="1" s="1"/>
  <c r="BC464" i="1"/>
  <c r="BD464" i="1" s="1"/>
  <c r="BC455" i="1"/>
  <c r="BD455" i="1" s="1"/>
  <c r="BC449" i="1"/>
  <c r="BD449" i="1" s="1"/>
  <c r="BC441" i="1"/>
  <c r="BD441" i="1" s="1"/>
  <c r="BC432" i="1"/>
  <c r="BD432" i="1" s="1"/>
  <c r="BC264" i="1"/>
  <c r="BD264" i="1" s="1"/>
  <c r="BC417" i="1"/>
  <c r="BD417" i="1" s="1"/>
  <c r="BC409" i="1"/>
  <c r="BD409" i="1" s="1"/>
  <c r="BC402" i="1"/>
  <c r="BD402" i="1" s="1"/>
  <c r="BC394" i="1"/>
  <c r="BD394" i="1" s="1"/>
  <c r="BC247" i="1"/>
  <c r="O11" i="7" s="1"/>
  <c r="Q11" i="7" s="1"/>
  <c r="BC389" i="1"/>
  <c r="BD389" i="1" s="1"/>
  <c r="BC382" i="1"/>
  <c r="BD382" i="1" s="1"/>
  <c r="BC219" i="1"/>
  <c r="BD219" i="1" s="1"/>
  <c r="BC368" i="1"/>
  <c r="BD368" i="1" s="1"/>
  <c r="BC360" i="1"/>
  <c r="BD360" i="1" s="1"/>
  <c r="BC351" i="1"/>
  <c r="BC340" i="1"/>
  <c r="BD340" i="1" s="1"/>
  <c r="BC330" i="1"/>
  <c r="BD330" i="1" s="1"/>
  <c r="BC320" i="1"/>
  <c r="BD320" i="1" s="1"/>
  <c r="BC306" i="1"/>
  <c r="BD306" i="1" s="1"/>
  <c r="BC168" i="1"/>
  <c r="BD168" i="1" s="1"/>
  <c r="BC283" i="1"/>
  <c r="BD283" i="1" s="1"/>
  <c r="BC272" i="1"/>
  <c r="BC263" i="1"/>
  <c r="BD263" i="1" s="1"/>
  <c r="BC255" i="1"/>
  <c r="BD255" i="1" s="1"/>
  <c r="BC245" i="1"/>
  <c r="BD245" i="1" s="1"/>
  <c r="BC130" i="1"/>
  <c r="BD130" i="1" s="1"/>
  <c r="BC239" i="1"/>
  <c r="BD239" i="1" s="1"/>
  <c r="BC136" i="1"/>
  <c r="BC121" i="1"/>
  <c r="O20" i="7" s="1"/>
  <c r="Q20" i="7" s="1"/>
  <c r="BC195" i="1"/>
  <c r="BD195" i="1" s="1"/>
  <c r="BC228" i="1"/>
  <c r="BD228" i="1" s="1"/>
  <c r="BC185" i="1"/>
  <c r="BD185" i="1" s="1"/>
  <c r="BC308" i="1"/>
  <c r="BD308" i="1" s="1"/>
  <c r="BC636" i="1"/>
  <c r="BD636" i="1" s="1"/>
  <c r="BC628" i="1"/>
  <c r="BD628" i="1" s="1"/>
  <c r="BC618" i="1"/>
  <c r="BD618" i="1" s="1"/>
  <c r="BC610" i="1"/>
  <c r="BD610" i="1" s="1"/>
  <c r="BC602" i="1"/>
  <c r="BD602" i="1" s="1"/>
  <c r="BC594" i="1"/>
  <c r="BD594" i="1" s="1"/>
  <c r="BC585" i="1"/>
  <c r="BD585" i="1" s="1"/>
  <c r="BC576" i="1"/>
  <c r="BD576" i="1" s="1"/>
  <c r="BC565" i="1"/>
  <c r="O17" i="7" s="1"/>
  <c r="Q17" i="7" s="1"/>
  <c r="BC549" i="1"/>
  <c r="BD549" i="1" s="1"/>
  <c r="BC540" i="1"/>
  <c r="BD540" i="1" s="1"/>
  <c r="BC517" i="1"/>
  <c r="BD517" i="1" s="1"/>
  <c r="BC509" i="1"/>
  <c r="BD509" i="1" s="1"/>
  <c r="BC503" i="1"/>
  <c r="BD503" i="1" s="1"/>
  <c r="BC325" i="1"/>
  <c r="BC488" i="1"/>
  <c r="BD488" i="1" s="1"/>
  <c r="BC481" i="1"/>
  <c r="BD481" i="1" s="1"/>
  <c r="BC299" i="1"/>
  <c r="BC460" i="1"/>
  <c r="BD460" i="1" s="1"/>
  <c r="BC292" i="1"/>
  <c r="BD292" i="1" s="1"/>
  <c r="BC446" i="1"/>
  <c r="BD446" i="1" s="1"/>
  <c r="BC429" i="1"/>
  <c r="BD429" i="1" s="1"/>
  <c r="BC422" i="1"/>
  <c r="BC414" i="1"/>
  <c r="BD414" i="1" s="1"/>
  <c r="BC407" i="1"/>
  <c r="BD407" i="1" s="1"/>
  <c r="BC399" i="1"/>
  <c r="BD399" i="1" s="1"/>
  <c r="BC311" i="1"/>
  <c r="BD311" i="1" s="1"/>
  <c r="BC331" i="1"/>
  <c r="BD331" i="1" s="1"/>
  <c r="BC276" i="1"/>
  <c r="BD276" i="1" s="1"/>
  <c r="BC387" i="1"/>
  <c r="BD387" i="1" s="1"/>
  <c r="BC379" i="1"/>
  <c r="BD379" i="1" s="1"/>
  <c r="BC375" i="1"/>
  <c r="BD375" i="1" s="1"/>
  <c r="BC365" i="1"/>
  <c r="BC357" i="1"/>
  <c r="BD357" i="1" s="1"/>
  <c r="BC347" i="1"/>
  <c r="BD347" i="1" s="1"/>
  <c r="BC336" i="1"/>
  <c r="BD336" i="1" s="1"/>
  <c r="BC324" i="1"/>
  <c r="BD324" i="1" s="1"/>
  <c r="BC317" i="1"/>
  <c r="BD317" i="1" s="1"/>
  <c r="BC300" i="1"/>
  <c r="BD300" i="1" s="1"/>
  <c r="BC288" i="1"/>
  <c r="BD288" i="1" s="1"/>
  <c r="BC259" i="1"/>
  <c r="BD259" i="1" s="1"/>
  <c r="BC251" i="1"/>
  <c r="BD251" i="1" s="1"/>
  <c r="BC180" i="1"/>
  <c r="BD180" i="1" s="1"/>
  <c r="BC244" i="1"/>
  <c r="BD244" i="1" s="1"/>
  <c r="BC236" i="1"/>
  <c r="BD236" i="1" s="1"/>
  <c r="BC227" i="1"/>
  <c r="BC213" i="1"/>
  <c r="BD213" i="1" s="1"/>
  <c r="BC204" i="1"/>
  <c r="BD204" i="1" s="1"/>
  <c r="BC194" i="1"/>
  <c r="BD194" i="1" s="1"/>
  <c r="BC184" i="1"/>
  <c r="BC171" i="1"/>
  <c r="BD171" i="1" s="1"/>
  <c r="BC158" i="1"/>
  <c r="BC151" i="1"/>
  <c r="BD151" i="1" s="1"/>
  <c r="BC141" i="1"/>
  <c r="BC129" i="1"/>
  <c r="BD129" i="1" s="1"/>
  <c r="BC118" i="1"/>
  <c r="BD118" i="1" s="1"/>
  <c r="BC86" i="1"/>
  <c r="BC108" i="1"/>
  <c r="BC100" i="1"/>
  <c r="BC91" i="1"/>
  <c r="BC79" i="1"/>
  <c r="BD79" i="1" s="1"/>
  <c r="BC70" i="1"/>
  <c r="BC62" i="1"/>
  <c r="BD62" i="1" s="1"/>
  <c r="BC54" i="1"/>
  <c r="BC46" i="1"/>
  <c r="BD46" i="1" s="1"/>
  <c r="BC38" i="1"/>
  <c r="BC30" i="1"/>
  <c r="BD30" i="1" s="1"/>
  <c r="BC22" i="1"/>
  <c r="BD22" i="1" s="1"/>
  <c r="BC14" i="1"/>
  <c r="BC307" i="1"/>
  <c r="BD307" i="1" s="1"/>
  <c r="BC635" i="1"/>
  <c r="BD635" i="1" s="1"/>
  <c r="BC627" i="1"/>
  <c r="BD627" i="1" s="1"/>
  <c r="BC617" i="1"/>
  <c r="BD617" i="1" s="1"/>
  <c r="BC609" i="1"/>
  <c r="BD609" i="1" s="1"/>
  <c r="BC601" i="1"/>
  <c r="BD601" i="1" s="1"/>
  <c r="BC593" i="1"/>
  <c r="BD593" i="1" s="1"/>
  <c r="BC584" i="1"/>
  <c r="BD584" i="1" s="1"/>
  <c r="BC575" i="1"/>
  <c r="BD575" i="1" s="1"/>
  <c r="BC563" i="1"/>
  <c r="BD563" i="1" s="1"/>
  <c r="BC435" i="1"/>
  <c r="BD435" i="1" s="1"/>
  <c r="BC548" i="1"/>
  <c r="BC539" i="1"/>
  <c r="BD539" i="1" s="1"/>
  <c r="BC531" i="1"/>
  <c r="BD531" i="1" s="1"/>
  <c r="BC525" i="1"/>
  <c r="BD525" i="1" s="1"/>
  <c r="BC516" i="1"/>
  <c r="BD516" i="1" s="1"/>
  <c r="BC343" i="1"/>
  <c r="BD343" i="1" s="1"/>
  <c r="BC502" i="1"/>
  <c r="BD502" i="1" s="1"/>
  <c r="BC496" i="1"/>
  <c r="BD496" i="1" s="1"/>
  <c r="BC487" i="1"/>
  <c r="BD487" i="1" s="1"/>
  <c r="BC480" i="1"/>
  <c r="BD480" i="1" s="1"/>
  <c r="BC472" i="1"/>
  <c r="BD472" i="1" s="1"/>
  <c r="BC298" i="1"/>
  <c r="BC459" i="1"/>
  <c r="BD459" i="1" s="1"/>
  <c r="BC452" i="1"/>
  <c r="BD452" i="1" s="1"/>
  <c r="BC445" i="1"/>
  <c r="BD445" i="1" s="1"/>
  <c r="BC437" i="1"/>
  <c r="BD437" i="1" s="1"/>
  <c r="BC428" i="1"/>
  <c r="BD428" i="1" s="1"/>
  <c r="BC421" i="1"/>
  <c r="BD421" i="1" s="1"/>
  <c r="BC413" i="1"/>
  <c r="BD413" i="1" s="1"/>
  <c r="BC406" i="1"/>
  <c r="BD406" i="1" s="1"/>
  <c r="BC398" i="1"/>
  <c r="BD398" i="1" s="1"/>
  <c r="BC318" i="1"/>
  <c r="BC393" i="1"/>
  <c r="BD393" i="1" s="1"/>
  <c r="BC386" i="1"/>
  <c r="BC378" i="1"/>
  <c r="BC373" i="1"/>
  <c r="BD373" i="1" s="1"/>
  <c r="BC364" i="1"/>
  <c r="BD364" i="1" s="1"/>
  <c r="BC356" i="1"/>
  <c r="BD356" i="1" s="1"/>
  <c r="BC335" i="1"/>
  <c r="BD335" i="1" s="1"/>
  <c r="BC191" i="1"/>
  <c r="BD191" i="1" s="1"/>
  <c r="BC315" i="1"/>
  <c r="BD315" i="1" s="1"/>
  <c r="BC297" i="1"/>
  <c r="BD297" i="1" s="1"/>
  <c r="BC287" i="1"/>
  <c r="BD287" i="1" s="1"/>
  <c r="BC278" i="1"/>
  <c r="BD278" i="1" s="1"/>
  <c r="BC268" i="1"/>
  <c r="BC132" i="1"/>
  <c r="O26" i="7" s="1"/>
  <c r="Q26" i="7" s="1"/>
  <c r="BC119" i="1"/>
  <c r="BD119" i="1" s="1"/>
  <c r="BC173" i="1"/>
  <c r="BD173" i="1" s="1"/>
  <c r="BC243" i="1"/>
  <c r="BC235" i="1"/>
  <c r="BC226" i="1"/>
  <c r="BD226" i="1" s="1"/>
  <c r="BC212" i="1"/>
  <c r="BD212" i="1" s="1"/>
  <c r="BC203" i="1"/>
  <c r="BD203" i="1" s="1"/>
  <c r="BC193" i="1"/>
  <c r="BD193" i="1" s="1"/>
  <c r="BC183" i="1"/>
  <c r="BD183" i="1" s="1"/>
  <c r="BC170" i="1"/>
  <c r="BD170" i="1" s="1"/>
  <c r="BC157" i="1"/>
  <c r="BD157" i="1" s="1"/>
  <c r="BC150" i="1"/>
  <c r="BD150" i="1" s="1"/>
  <c r="BC128" i="1"/>
  <c r="O24" i="7" s="1"/>
  <c r="Q24" i="7" s="1"/>
  <c r="BC117" i="1"/>
  <c r="O14" i="7" s="1"/>
  <c r="Q14" i="7" s="1"/>
  <c r="BC83" i="1"/>
  <c r="BC69" i="1"/>
  <c r="BD69" i="1" s="1"/>
  <c r="BC45" i="1"/>
  <c r="BC37" i="1"/>
  <c r="BD37" i="1" s="1"/>
  <c r="BC29" i="1"/>
  <c r="BC5" i="1"/>
  <c r="O42" i="7" s="1"/>
  <c r="Q42" i="7" s="1"/>
  <c r="BC697" i="1"/>
  <c r="BD697" i="1" s="1"/>
  <c r="BC691" i="1"/>
  <c r="BD691" i="1" s="1"/>
  <c r="BC683" i="1"/>
  <c r="BC674" i="1"/>
  <c r="BD674" i="1" s="1"/>
  <c r="BC667" i="1"/>
  <c r="BD667" i="1" s="1"/>
  <c r="BC659" i="1"/>
  <c r="BD659" i="1" s="1"/>
  <c r="BC650" i="1"/>
  <c r="BD650" i="1" s="1"/>
  <c r="BC634" i="1"/>
  <c r="BD634" i="1" s="1"/>
  <c r="BC624" i="1"/>
  <c r="BD624" i="1" s="1"/>
  <c r="BC616" i="1"/>
  <c r="BD616" i="1" s="1"/>
  <c r="BC608" i="1"/>
  <c r="BD608" i="1" s="1"/>
  <c r="BC600" i="1"/>
  <c r="BD600" i="1" s="1"/>
  <c r="BC591" i="1"/>
  <c r="BD591" i="1" s="1"/>
  <c r="BC582" i="1"/>
  <c r="BD582" i="1" s="1"/>
  <c r="BC574" i="1"/>
  <c r="BD574" i="1" s="1"/>
  <c r="BC562" i="1"/>
  <c r="BD562" i="1" s="1"/>
  <c r="BC556" i="1"/>
  <c r="BD556" i="1" s="1"/>
  <c r="BC547" i="1"/>
  <c r="BD547" i="1" s="1"/>
  <c r="BC538" i="1"/>
  <c r="BD538" i="1" s="1"/>
  <c r="BC370" i="1"/>
  <c r="BC522" i="1"/>
  <c r="BD522" i="1" s="1"/>
  <c r="BC515" i="1"/>
  <c r="BD515" i="1" s="1"/>
  <c r="BC342" i="1"/>
  <c r="BD342" i="1" s="1"/>
  <c r="BC501" i="1"/>
  <c r="BD501" i="1" s="1"/>
  <c r="BC495" i="1"/>
  <c r="BD495" i="1" s="1"/>
  <c r="BC486" i="1"/>
  <c r="BD486" i="1" s="1"/>
  <c r="BC479" i="1"/>
  <c r="BC471" i="1"/>
  <c r="BD471" i="1" s="1"/>
  <c r="BC467" i="1"/>
  <c r="BD467" i="1" s="1"/>
  <c r="BC458" i="1"/>
  <c r="BD458" i="1" s="1"/>
  <c r="BC451" i="1"/>
  <c r="BD451" i="1" s="1"/>
  <c r="BC444" i="1"/>
  <c r="BD444" i="1" s="1"/>
  <c r="BC436" i="1"/>
  <c r="BD436" i="1" s="1"/>
  <c r="BC427" i="1"/>
  <c r="BD427" i="1" s="1"/>
  <c r="BC420" i="1"/>
  <c r="BD420" i="1" s="1"/>
  <c r="BC412" i="1"/>
  <c r="BD412" i="1" s="1"/>
  <c r="BC405" i="1"/>
  <c r="BD405" i="1" s="1"/>
  <c r="BC397" i="1"/>
  <c r="BD397" i="1" s="1"/>
  <c r="BC281" i="1"/>
  <c r="BC177" i="1"/>
  <c r="BD177" i="1" s="1"/>
  <c r="BC392" i="1"/>
  <c r="BC385" i="1"/>
  <c r="BC377" i="1"/>
  <c r="BD377" i="1" s="1"/>
  <c r="BC214" i="1"/>
  <c r="BD214" i="1" s="1"/>
  <c r="BC363" i="1"/>
  <c r="BD363" i="1" s="1"/>
  <c r="BC355" i="1"/>
  <c r="BD355" i="1" s="1"/>
  <c r="BC345" i="1"/>
  <c r="BD345" i="1" s="1"/>
  <c r="BC334" i="1"/>
  <c r="O145" i="7" s="1"/>
  <c r="Q145" i="7" s="1"/>
  <c r="BC323" i="1"/>
  <c r="BD323" i="1" s="1"/>
  <c r="BC310" i="1"/>
  <c r="BD310" i="1" s="1"/>
  <c r="BC295" i="1"/>
  <c r="BD295" i="1" s="1"/>
  <c r="BC286" i="1"/>
  <c r="BD286" i="1" s="1"/>
  <c r="BC275" i="1"/>
  <c r="BD275" i="1" s="1"/>
  <c r="BC147" i="1"/>
  <c r="BD147" i="1" s="1"/>
  <c r="BC258" i="1"/>
  <c r="BD258" i="1" s="1"/>
  <c r="BC250" i="1"/>
  <c r="BD250" i="1" s="1"/>
  <c r="BC167" i="1"/>
  <c r="BD167" i="1" s="1"/>
  <c r="BC242" i="1"/>
  <c r="BC537" i="1"/>
  <c r="BD537" i="1" s="1"/>
  <c r="BC530" i="1"/>
  <c r="BC521" i="1"/>
  <c r="BD521" i="1" s="1"/>
  <c r="BC514" i="1"/>
  <c r="BD514" i="1" s="1"/>
  <c r="BC508" i="1"/>
  <c r="BD508" i="1" s="1"/>
  <c r="BC500" i="1"/>
  <c r="BD500" i="1" s="1"/>
  <c r="BC494" i="1"/>
  <c r="BD494" i="1" s="1"/>
  <c r="BC485" i="1"/>
  <c r="BD485" i="1" s="1"/>
  <c r="BC478" i="1"/>
  <c r="BD478" i="1" s="1"/>
  <c r="BC176" i="1"/>
  <c r="BD176" i="1" s="1"/>
  <c r="BC466" i="1"/>
  <c r="BD466" i="1" s="1"/>
  <c r="BC457" i="1"/>
  <c r="BD457" i="1" s="1"/>
  <c r="BC450" i="1"/>
  <c r="BD450" i="1" s="1"/>
  <c r="BC443" i="1"/>
  <c r="BD443" i="1" s="1"/>
  <c r="BC434" i="1"/>
  <c r="BD434" i="1" s="1"/>
  <c r="BC426" i="1"/>
  <c r="BD426" i="1" s="1"/>
  <c r="BC419" i="1"/>
  <c r="BD419" i="1" s="1"/>
  <c r="BC411" i="1"/>
  <c r="BD411" i="1" s="1"/>
  <c r="BC404" i="1"/>
  <c r="BD404" i="1" s="1"/>
  <c r="BC396" i="1"/>
  <c r="BD396" i="1" s="1"/>
  <c r="BC271" i="1"/>
  <c r="BC305" i="1"/>
  <c r="BD305" i="1" s="1"/>
  <c r="BC391" i="1"/>
  <c r="BD391" i="1" s="1"/>
  <c r="BC384" i="1"/>
  <c r="BC222" i="1"/>
  <c r="BC371" i="1"/>
  <c r="BD371" i="1" s="1"/>
  <c r="BC362" i="1"/>
  <c r="BD362" i="1" s="1"/>
  <c r="BC354" i="1"/>
  <c r="BD354" i="1" s="1"/>
  <c r="BC344" i="1"/>
  <c r="BD344" i="1" s="1"/>
  <c r="BC333" i="1"/>
  <c r="BD333" i="1" s="1"/>
  <c r="BC322" i="1"/>
  <c r="BD322" i="1" s="1"/>
  <c r="BC309" i="1"/>
  <c r="BD309" i="1" s="1"/>
  <c r="BC294" i="1"/>
  <c r="BD294" i="1" s="1"/>
  <c r="BC161" i="1"/>
  <c r="BC274" i="1"/>
  <c r="BD274" i="1" s="1"/>
  <c r="BC267" i="1"/>
  <c r="BD267" i="1" s="1"/>
  <c r="BC257" i="1"/>
  <c r="BD257" i="1" s="1"/>
  <c r="BC249" i="1"/>
  <c r="BD249" i="1" s="1"/>
  <c r="BC160" i="1"/>
  <c r="BD160" i="1" s="1"/>
  <c r="BC241" i="1"/>
  <c r="BD241" i="1" s="1"/>
  <c r="BC232" i="1"/>
  <c r="BD232" i="1" s="1"/>
  <c r="BC224" i="1"/>
  <c r="BC201" i="1"/>
  <c r="BD201" i="1" s="1"/>
  <c r="BC190" i="1"/>
  <c r="BC179" i="1"/>
  <c r="BD179" i="1" s="1"/>
  <c r="BC166" i="1"/>
  <c r="BD166" i="1" s="1"/>
  <c r="BC146" i="1"/>
  <c r="BD146" i="1" s="1"/>
  <c r="BC137" i="1"/>
  <c r="BD137" i="1" s="1"/>
  <c r="BC126" i="1"/>
  <c r="BD126" i="1" s="1"/>
  <c r="BC115" i="1"/>
  <c r="BD115" i="1" s="1"/>
  <c r="BC113" i="1"/>
  <c r="BD113" i="1" s="1"/>
  <c r="BC106" i="1"/>
  <c r="BD106" i="1" s="1"/>
  <c r="BC97" i="1"/>
  <c r="BC88" i="1"/>
  <c r="BD88" i="1" s="1"/>
  <c r="BC76" i="1"/>
  <c r="BD76" i="1" s="1"/>
  <c r="BC67" i="1"/>
  <c r="BD67" i="1" s="1"/>
  <c r="BC59" i="1"/>
  <c r="BD59" i="1" s="1"/>
  <c r="BC51" i="1"/>
  <c r="O216" i="7" s="1"/>
  <c r="Q216" i="7" s="1"/>
  <c r="BC43" i="1"/>
  <c r="BC35" i="1"/>
  <c r="BD35" i="1" s="1"/>
  <c r="BC27" i="1"/>
  <c r="BD27" i="1" s="1"/>
  <c r="BC19" i="1"/>
  <c r="BC11" i="1"/>
  <c r="O60" i="7" s="1"/>
  <c r="Q60" i="7" s="1"/>
  <c r="BC719" i="1"/>
  <c r="BD719" i="1" s="1"/>
  <c r="BC711" i="1"/>
  <c r="BD711" i="1" s="1"/>
  <c r="BC703" i="1"/>
  <c r="BD703" i="1" s="1"/>
  <c r="BC695" i="1"/>
  <c r="BD695" i="1" s="1"/>
  <c r="BC688" i="1"/>
  <c r="BD688" i="1" s="1"/>
  <c r="BC681" i="1"/>
  <c r="BD681" i="1" s="1"/>
  <c r="BC672" i="1"/>
  <c r="BD672" i="1" s="1"/>
  <c r="BC665" i="1"/>
  <c r="BD665" i="1" s="1"/>
  <c r="BC656" i="1"/>
  <c r="BD656" i="1" s="1"/>
  <c r="BC647" i="1"/>
  <c r="BD647" i="1" s="1"/>
  <c r="BC641" i="1"/>
  <c r="BD641" i="1" s="1"/>
  <c r="BC622" i="1"/>
  <c r="BD622" i="1" s="1"/>
  <c r="BC614" i="1"/>
  <c r="BD614" i="1" s="1"/>
  <c r="BC606" i="1"/>
  <c r="BD606" i="1" s="1"/>
  <c r="BC598" i="1"/>
  <c r="BD598" i="1" s="1"/>
  <c r="BC589" i="1"/>
  <c r="BD589" i="1" s="1"/>
  <c r="BC580" i="1"/>
  <c r="BD580" i="1" s="1"/>
  <c r="BC572" i="1"/>
  <c r="BD572" i="1" s="1"/>
  <c r="BC560" i="1"/>
  <c r="BD560" i="1" s="1"/>
  <c r="BC554" i="1"/>
  <c r="BD554" i="1" s="1"/>
  <c r="BC545" i="1"/>
  <c r="BD545" i="1" s="1"/>
  <c r="BC536" i="1"/>
  <c r="BD536" i="1" s="1"/>
  <c r="BC529" i="1"/>
  <c r="BD529" i="1" s="1"/>
  <c r="BC520" i="1"/>
  <c r="BD520" i="1" s="1"/>
  <c r="BC513" i="1"/>
  <c r="BD513" i="1" s="1"/>
  <c r="BC507" i="1"/>
  <c r="BD507" i="1" s="1"/>
  <c r="BC499" i="1"/>
  <c r="BD499" i="1" s="1"/>
  <c r="BC493" i="1"/>
  <c r="BD493" i="1" s="1"/>
  <c r="BC477" i="1"/>
  <c r="BD477" i="1" s="1"/>
  <c r="BC301" i="1"/>
  <c r="BD301" i="1" s="1"/>
  <c r="BC465" i="1"/>
  <c r="BD465" i="1" s="1"/>
  <c r="BC456" i="1"/>
  <c r="BD456" i="1" s="1"/>
  <c r="BC163" i="1"/>
  <c r="BC442" i="1"/>
  <c r="BD442" i="1" s="1"/>
  <c r="BC433" i="1"/>
  <c r="BD433" i="1" s="1"/>
  <c r="BC425" i="1"/>
  <c r="BD425" i="1" s="1"/>
  <c r="BC418" i="1"/>
  <c r="BD418" i="1" s="1"/>
  <c r="BC410" i="1"/>
  <c r="BD410" i="1" s="1"/>
  <c r="BC403" i="1"/>
  <c r="BD403" i="1" s="1"/>
  <c r="BC395" i="1"/>
  <c r="BD395" i="1" s="1"/>
  <c r="BC252" i="1"/>
  <c r="BD252" i="1" s="1"/>
  <c r="BC303" i="1"/>
  <c r="BD303" i="1" s="1"/>
  <c r="BC390" i="1"/>
  <c r="BD390" i="1" s="1"/>
  <c r="BC383" i="1"/>
  <c r="BD383" i="1" s="1"/>
  <c r="BC220" i="1"/>
  <c r="BD220" i="1" s="1"/>
  <c r="BC369" i="1"/>
  <c r="BD369" i="1" s="1"/>
  <c r="BC361" i="1"/>
  <c r="BD361" i="1" s="1"/>
  <c r="BC341" i="1"/>
  <c r="BD341" i="1" s="1"/>
  <c r="BC332" i="1"/>
  <c r="BD332" i="1" s="1"/>
  <c r="BC321" i="1"/>
  <c r="BD321" i="1" s="1"/>
  <c r="BC181" i="1"/>
  <c r="BD181" i="1" s="1"/>
  <c r="BC293" i="1"/>
  <c r="BD293" i="1" s="1"/>
  <c r="BC285" i="1"/>
  <c r="BD285" i="1" s="1"/>
  <c r="BC273" i="1"/>
  <c r="BC266" i="1"/>
  <c r="BD266" i="1" s="1"/>
  <c r="BC256" i="1"/>
  <c r="BD256" i="1" s="1"/>
  <c r="BC248" i="1"/>
  <c r="BD248" i="1" s="1"/>
  <c r="BC139" i="1"/>
  <c r="BD139" i="1" s="1"/>
  <c r="BC240" i="1"/>
  <c r="BC231" i="1"/>
  <c r="BD231" i="1" s="1"/>
  <c r="BC223" i="1"/>
  <c r="BD223" i="1" s="1"/>
  <c r="BC189" i="1"/>
  <c r="BD189" i="1" s="1"/>
  <c r="BC42" i="1"/>
  <c r="BD42" i="1" s="1"/>
  <c r="BC372" i="1"/>
  <c r="BC99" i="1"/>
  <c r="BC90" i="1"/>
  <c r="BC78" i="1"/>
  <c r="BD78" i="1" s="1"/>
  <c r="BC61" i="1"/>
  <c r="BC53" i="1"/>
  <c r="BD53" i="1" s="1"/>
  <c r="BC21" i="1"/>
  <c r="BC13" i="1"/>
  <c r="BC234" i="1"/>
  <c r="BD234" i="1" s="1"/>
  <c r="BC225" i="1"/>
  <c r="BD225" i="1" s="1"/>
  <c r="BC211" i="1"/>
  <c r="BC202" i="1"/>
  <c r="BD202" i="1" s="1"/>
  <c r="BC192" i="1"/>
  <c r="BD192" i="1" s="1"/>
  <c r="BC182" i="1"/>
  <c r="BD182" i="1" s="1"/>
  <c r="BC169" i="1"/>
  <c r="BC156" i="1"/>
  <c r="BD156" i="1" s="1"/>
  <c r="BC149" i="1"/>
  <c r="BD149" i="1" s="1"/>
  <c r="BC138" i="1"/>
  <c r="BD138" i="1" s="1"/>
  <c r="BC127" i="1"/>
  <c r="O23" i="7" s="1"/>
  <c r="Q23" i="7" s="1"/>
  <c r="BC116" i="1"/>
  <c r="BD116" i="1" s="1"/>
  <c r="BC81" i="1"/>
  <c r="BC107" i="1"/>
  <c r="BC98" i="1"/>
  <c r="BC89" i="1"/>
  <c r="BD89" i="1" s="1"/>
  <c r="BC77" i="1"/>
  <c r="O22" i="7" s="1"/>
  <c r="Q22" i="7" s="1"/>
  <c r="BC68" i="1"/>
  <c r="BD68" i="1" s="1"/>
  <c r="BC60" i="1"/>
  <c r="BD60" i="1" s="1"/>
  <c r="BC52" i="1"/>
  <c r="O217" i="7" s="1"/>
  <c r="Q217" i="7" s="1"/>
  <c r="BC44" i="1"/>
  <c r="BD44" i="1" s="1"/>
  <c r="BC36" i="1"/>
  <c r="BC28" i="1"/>
  <c r="BC20" i="1"/>
  <c r="BD20" i="1" s="1"/>
  <c r="BC12" i="1"/>
  <c r="O72" i="7" s="1"/>
  <c r="Q72" i="7" s="1"/>
  <c r="BC4" i="1"/>
  <c r="BD4" i="1" s="1"/>
  <c r="BC208" i="1"/>
  <c r="BD208" i="1" s="1"/>
  <c r="BC200" i="1"/>
  <c r="BD200" i="1" s="1"/>
  <c r="BC178" i="1"/>
  <c r="BD178" i="1" s="1"/>
  <c r="BC165" i="1"/>
  <c r="BD165" i="1" s="1"/>
  <c r="BC154" i="1"/>
  <c r="BD154" i="1" s="1"/>
  <c r="BC145" i="1"/>
  <c r="BD145" i="1" s="1"/>
  <c r="BC135" i="1"/>
  <c r="BD135" i="1" s="1"/>
  <c r="BC125" i="1"/>
  <c r="BD125" i="1" s="1"/>
  <c r="BC75" i="1"/>
  <c r="O13" i="7" s="1"/>
  <c r="Q13" i="7" s="1"/>
  <c r="BC112" i="1"/>
  <c r="BD112" i="1" s="1"/>
  <c r="BC105" i="1"/>
  <c r="BD105" i="1" s="1"/>
  <c r="BC95" i="1"/>
  <c r="BC87" i="1"/>
  <c r="BC74" i="1"/>
  <c r="BD74" i="1" s="1"/>
  <c r="BC58" i="1"/>
  <c r="BD58" i="1" s="1"/>
  <c r="BC50" i="1"/>
  <c r="BC34" i="1"/>
  <c r="BD34" i="1" s="1"/>
  <c r="BC26" i="1"/>
  <c r="O215" i="7" s="1"/>
  <c r="Q215" i="7" s="1"/>
  <c r="BC18" i="1"/>
  <c r="BC10" i="1"/>
  <c r="BD10" i="1" s="1"/>
  <c r="BC230" i="1"/>
  <c r="BD230" i="1" s="1"/>
  <c r="BC221" i="1"/>
  <c r="BC207" i="1"/>
  <c r="BD207" i="1" s="1"/>
  <c r="BC199" i="1"/>
  <c r="BD199" i="1" s="1"/>
  <c r="BC187" i="1"/>
  <c r="BD187" i="1" s="1"/>
  <c r="BC175" i="1"/>
  <c r="BD175" i="1" s="1"/>
  <c r="BC164" i="1"/>
  <c r="BD164" i="1" s="1"/>
  <c r="BC153" i="1"/>
  <c r="BD153" i="1" s="1"/>
  <c r="BC144" i="1"/>
  <c r="BD144" i="1" s="1"/>
  <c r="BC134" i="1"/>
  <c r="BD134" i="1" s="1"/>
  <c r="BC124" i="1"/>
  <c r="BD124" i="1" s="1"/>
  <c r="BC114" i="1"/>
  <c r="BD114" i="1" s="1"/>
  <c r="BC111" i="1"/>
  <c r="BC103" i="1"/>
  <c r="BC94" i="1"/>
  <c r="BD94" i="1" s="1"/>
  <c r="BC73" i="1"/>
  <c r="BD73" i="1" s="1"/>
  <c r="BC65" i="1"/>
  <c r="BD65" i="1" s="1"/>
  <c r="BC57" i="1"/>
  <c r="BD57" i="1" s="1"/>
  <c r="BC49" i="1"/>
  <c r="BD49" i="1" s="1"/>
  <c r="BC41" i="1"/>
  <c r="BD41" i="1" s="1"/>
  <c r="BC33" i="1"/>
  <c r="BC25" i="1"/>
  <c r="O213" i="7" s="1"/>
  <c r="Q213" i="7" s="1"/>
  <c r="BC17" i="1"/>
  <c r="BD17" i="1" s="1"/>
  <c r="BC9" i="1"/>
  <c r="O56" i="7" s="1"/>
  <c r="Q56" i="7" s="1"/>
  <c r="BC217" i="1"/>
  <c r="BD217" i="1" s="1"/>
  <c r="BC206" i="1"/>
  <c r="BD206" i="1" s="1"/>
  <c r="BC198" i="1"/>
  <c r="BD198" i="1" s="1"/>
  <c r="BC186" i="1"/>
  <c r="BD186" i="1" s="1"/>
  <c r="BC174" i="1"/>
  <c r="BD174" i="1" s="1"/>
  <c r="BC162" i="1"/>
  <c r="BD162" i="1" s="1"/>
  <c r="BC143" i="1"/>
  <c r="BD143" i="1" s="1"/>
  <c r="BC133" i="1"/>
  <c r="BD133" i="1" s="1"/>
  <c r="BC123" i="1"/>
  <c r="BD123" i="1" s="1"/>
  <c r="BC104" i="1"/>
  <c r="BC110" i="1"/>
  <c r="BC102" i="1"/>
  <c r="BD102" i="1" s="1"/>
  <c r="BC93" i="1"/>
  <c r="BD93" i="1" s="1"/>
  <c r="BC84" i="1"/>
  <c r="BD84" i="1" s="1"/>
  <c r="BC72" i="1"/>
  <c r="BC64" i="1"/>
  <c r="BC56" i="1"/>
  <c r="O25" i="7" s="1"/>
  <c r="Q25" i="7" s="1"/>
  <c r="BC48" i="1"/>
  <c r="BC40" i="1"/>
  <c r="BC32" i="1"/>
  <c r="BD32" i="1" s="1"/>
  <c r="BC24" i="1"/>
  <c r="BC16" i="1"/>
  <c r="BC8" i="1"/>
  <c r="BD8" i="1" s="1"/>
  <c r="BC215" i="1"/>
  <c r="BD215" i="1" s="1"/>
  <c r="BC237" i="1"/>
  <c r="BC216" i="1"/>
  <c r="BC205" i="1"/>
  <c r="BD205" i="1" s="1"/>
  <c r="BC197" i="1"/>
  <c r="BC172" i="1"/>
  <c r="BD172" i="1" s="1"/>
  <c r="BC159" i="1"/>
  <c r="BD159" i="1" s="1"/>
  <c r="BC142" i="1"/>
  <c r="BD142" i="1" s="1"/>
  <c r="BC131" i="1"/>
  <c r="BD131" i="1" s="1"/>
  <c r="BC122" i="1"/>
  <c r="BD122" i="1" s="1"/>
  <c r="BC96" i="1"/>
  <c r="BC109" i="1"/>
  <c r="BD109" i="1" s="1"/>
  <c r="BC101" i="1"/>
  <c r="BC92" i="1"/>
  <c r="BD92" i="1" s="1"/>
  <c r="BC80" i="1"/>
  <c r="BD80" i="1" s="1"/>
  <c r="BC71" i="1"/>
  <c r="BD71" i="1" s="1"/>
  <c r="BC63" i="1"/>
  <c r="BC55" i="1"/>
  <c r="O21" i="7" s="1"/>
  <c r="Q21" i="7" s="1"/>
  <c r="BC47" i="1"/>
  <c r="BC39" i="1"/>
  <c r="BD39" i="1" s="1"/>
  <c r="BC31" i="1"/>
  <c r="BC23" i="1"/>
  <c r="BD23" i="1" s="1"/>
  <c r="BC15" i="1"/>
  <c r="BD15" i="1" s="1"/>
  <c r="BC7" i="1"/>
  <c r="O54" i="7" s="1"/>
  <c r="Q54" i="7" s="1"/>
  <c r="D22" i="10"/>
  <c r="G66" i="8"/>
  <c r="G67" i="8"/>
  <c r="G64" i="8"/>
  <c r="G65" i="8"/>
  <c r="D6" i="10"/>
  <c r="D38" i="10"/>
  <c r="G68" i="8"/>
  <c r="D30" i="10"/>
  <c r="B67" i="8" a="1"/>
  <c r="B67" i="8" s="1"/>
  <c r="B66" i="8" a="1"/>
  <c r="B66" i="8" s="1"/>
  <c r="B64" i="8" a="1"/>
  <c r="B64" i="8" s="1"/>
  <c r="B35" i="10"/>
  <c r="B65" i="8" a="1"/>
  <c r="B65" i="8" s="1"/>
  <c r="B68" i="8" a="1"/>
  <c r="B68" i="8" s="1"/>
  <c r="B22" i="10"/>
  <c r="B19" i="10"/>
  <c r="B38" i="10"/>
  <c r="B30" i="10"/>
  <c r="B28" i="10"/>
  <c r="B14" i="10"/>
  <c r="B6" i="10"/>
  <c r="B37" i="10"/>
  <c r="B21" i="10"/>
  <c r="B29" i="10"/>
  <c r="B12" i="10"/>
  <c r="B13" i="10"/>
  <c r="B5" i="10"/>
  <c r="B4" i="10"/>
  <c r="B11" i="10"/>
  <c r="F7" i="10"/>
  <c r="B20" i="10"/>
  <c r="B3" i="10"/>
  <c r="B27" i="10"/>
  <c r="B36" i="10"/>
  <c r="F6" i="10"/>
  <c r="C69" i="8"/>
  <c r="E69" i="8"/>
  <c r="B29" i="6"/>
  <c r="B27" i="6"/>
  <c r="B28" i="6"/>
  <c r="C21" i="6"/>
  <c r="B26" i="6"/>
  <c r="H21" i="6"/>
  <c r="F21" i="6"/>
  <c r="I21" i="6"/>
  <c r="L21" i="6"/>
  <c r="D49" i="8"/>
  <c r="B49" i="8"/>
  <c r="O148" i="7" l="1"/>
  <c r="Q148" i="7" s="1"/>
  <c r="O149" i="7"/>
  <c r="Q149" i="7" s="1"/>
  <c r="O172" i="7"/>
  <c r="Q172" i="7" s="1"/>
  <c r="O200" i="7"/>
  <c r="Q200" i="7" s="1"/>
  <c r="O211" i="7"/>
  <c r="Q211" i="7" s="1"/>
  <c r="O160" i="7"/>
  <c r="Q160" i="7" s="1"/>
  <c r="O119" i="7"/>
  <c r="Q119" i="7" s="1"/>
  <c r="O32" i="7"/>
  <c r="Q32" i="7" s="1"/>
  <c r="O180" i="7"/>
  <c r="Q180" i="7" s="1"/>
  <c r="O106" i="7"/>
  <c r="Q106" i="7" s="1"/>
  <c r="O210" i="7"/>
  <c r="Q210" i="7" s="1"/>
  <c r="O181" i="7"/>
  <c r="Q181" i="7" s="1"/>
  <c r="O227" i="7"/>
  <c r="Q227" i="7" s="1"/>
  <c r="O206" i="7"/>
  <c r="Q206" i="7" s="1"/>
  <c r="O232" i="7"/>
  <c r="Q232" i="7" s="1"/>
  <c r="O222" i="7"/>
  <c r="Q222" i="7" s="1"/>
  <c r="O30" i="7"/>
  <c r="Q30" i="7" s="1"/>
  <c r="O31" i="7"/>
  <c r="Q31" i="7" s="1"/>
  <c r="O127" i="7"/>
  <c r="Q127" i="7" s="1"/>
  <c r="O220" i="7"/>
  <c r="Q220" i="7" s="1"/>
  <c r="O52" i="7"/>
  <c r="Q52" i="7" s="1"/>
  <c r="O34" i="7"/>
  <c r="Q34" i="7" s="1"/>
  <c r="O230" i="7"/>
  <c r="Q230" i="7" s="1"/>
  <c r="O124" i="7"/>
  <c r="Q124" i="7" s="1"/>
  <c r="O191" i="7"/>
  <c r="Q191" i="7" s="1"/>
  <c r="O100" i="7"/>
  <c r="Q100" i="7" s="1"/>
  <c r="O91" i="7"/>
  <c r="Q91" i="7" s="1"/>
  <c r="O231" i="7"/>
  <c r="Q231" i="7" s="1"/>
  <c r="O131" i="7"/>
  <c r="Q131" i="7" s="1"/>
  <c r="O203" i="7"/>
  <c r="Q203" i="7" s="1"/>
  <c r="O202" i="7"/>
  <c r="Q202" i="7" s="1"/>
  <c r="O178" i="7"/>
  <c r="Q178" i="7" s="1"/>
  <c r="O137" i="7"/>
  <c r="Q137" i="7" s="1"/>
  <c r="O182" i="7"/>
  <c r="Q182" i="7" s="1"/>
  <c r="O177" i="7"/>
  <c r="Q177" i="7" s="1"/>
  <c r="O114" i="7"/>
  <c r="Q114" i="7" s="1"/>
  <c r="O135" i="7"/>
  <c r="Q135" i="7" s="1"/>
  <c r="O133" i="7"/>
  <c r="Q133" i="7" s="1"/>
  <c r="O134" i="7"/>
  <c r="Q134" i="7" s="1"/>
  <c r="O193" i="7"/>
  <c r="Q193" i="7" s="1"/>
  <c r="O150" i="7"/>
  <c r="Q150" i="7" s="1"/>
  <c r="O187" i="7"/>
  <c r="Q187" i="7" s="1"/>
  <c r="O183" i="7"/>
  <c r="Q183" i="7" s="1"/>
  <c r="O161" i="7"/>
  <c r="Q161" i="7" s="1"/>
  <c r="O162" i="7"/>
  <c r="Q162" i="7" s="1"/>
  <c r="O192" i="7"/>
  <c r="Q192" i="7" s="1"/>
  <c r="O169" i="7"/>
  <c r="Q169" i="7" s="1"/>
  <c r="O201" i="7"/>
  <c r="Q201" i="7" s="1"/>
  <c r="O163" i="7"/>
  <c r="Q163" i="7" s="1"/>
  <c r="O185" i="7"/>
  <c r="Q185" i="7" s="1"/>
  <c r="O184" i="7"/>
  <c r="Q184" i="7" s="1"/>
  <c r="O166" i="7"/>
  <c r="Q166" i="7" s="1"/>
  <c r="O159" i="7"/>
  <c r="Q159" i="7" s="1"/>
  <c r="O218" i="7"/>
  <c r="Q218" i="7" s="1"/>
  <c r="O198" i="7"/>
  <c r="Q198" i="7" s="1"/>
  <c r="O36" i="7"/>
  <c r="Q36" i="7" s="1"/>
  <c r="O208" i="7"/>
  <c r="Q208" i="7" s="1"/>
  <c r="O97" i="7"/>
  <c r="Q97" i="7" s="1"/>
  <c r="O176" i="7"/>
  <c r="Q176" i="7" s="1"/>
  <c r="O179" i="7"/>
  <c r="Q179" i="7" s="1"/>
  <c r="O204" i="7"/>
  <c r="Q204" i="7" s="1"/>
  <c r="O120" i="7"/>
  <c r="Q120" i="7" s="1"/>
  <c r="O189" i="7"/>
  <c r="Q189" i="7" s="1"/>
  <c r="O142" i="7"/>
  <c r="Q142" i="7" s="1"/>
  <c r="O39" i="7"/>
  <c r="Q39" i="7" s="1"/>
  <c r="O175" i="7"/>
  <c r="Q175" i="7" s="1"/>
  <c r="O37" i="7"/>
  <c r="Q37" i="7" s="1"/>
  <c r="O158" i="7"/>
  <c r="Q158" i="7" s="1"/>
  <c r="O138" i="7"/>
  <c r="Q138" i="7" s="1"/>
  <c r="O58" i="7"/>
  <c r="Q58" i="7" s="1"/>
  <c r="O152" i="7"/>
  <c r="Q152" i="7" s="1"/>
  <c r="O190" i="7"/>
  <c r="Q190" i="7" s="1"/>
  <c r="O156" i="7"/>
  <c r="Q156" i="7" s="1"/>
  <c r="O104" i="7"/>
  <c r="Q104" i="7" s="1"/>
  <c r="O29" i="7"/>
  <c r="Q29" i="7" s="1"/>
  <c r="O123" i="7"/>
  <c r="Q123" i="7" s="1"/>
  <c r="O122" i="7"/>
  <c r="Q122" i="7" s="1"/>
  <c r="O188" i="7"/>
  <c r="Q188" i="7" s="1"/>
  <c r="O46" i="7"/>
  <c r="Q46" i="7" s="1"/>
  <c r="O144" i="7"/>
  <c r="Q144" i="7" s="1"/>
  <c r="O143" i="7"/>
  <c r="Q143" i="7" s="1"/>
  <c r="O33" i="7"/>
  <c r="Q33" i="7" s="1"/>
  <c r="O146" i="7"/>
  <c r="Q146" i="7" s="1"/>
  <c r="O147" i="7"/>
  <c r="Q147" i="7" s="1"/>
  <c r="O140" i="7"/>
  <c r="Q140" i="7" s="1"/>
  <c r="O165" i="7"/>
  <c r="Q165" i="7" s="1"/>
  <c r="O167" i="7"/>
  <c r="Q167" i="7" s="1"/>
  <c r="O174" i="7"/>
  <c r="Q174" i="7" s="1"/>
  <c r="O74" i="7"/>
  <c r="Q74" i="7" s="1"/>
  <c r="O44" i="7"/>
  <c r="Q44" i="7" s="1"/>
  <c r="O69" i="7"/>
  <c r="Q69" i="7" s="1"/>
  <c r="O81" i="7"/>
  <c r="Q81" i="7" s="1"/>
  <c r="O88" i="7"/>
  <c r="Q88" i="7" s="1"/>
  <c r="O68" i="7"/>
  <c r="Q68" i="7" s="1"/>
  <c r="O66" i="7"/>
  <c r="Q66" i="7" s="1"/>
  <c r="O79" i="7"/>
  <c r="Q79" i="7" s="1"/>
  <c r="O86" i="7"/>
  <c r="Q86" i="7" s="1"/>
  <c r="O71" i="7"/>
  <c r="Q71" i="7" s="1"/>
  <c r="O93" i="7"/>
  <c r="Q93" i="7" s="1"/>
  <c r="O85" i="7"/>
  <c r="Q85" i="7" s="1"/>
  <c r="O41" i="7"/>
  <c r="Q41" i="7" s="1"/>
  <c r="O45" i="7"/>
  <c r="Q45" i="7" s="1"/>
  <c r="O107" i="7"/>
  <c r="Q107" i="7" s="1"/>
  <c r="B55" i="11"/>
  <c r="O75" i="7"/>
  <c r="Q75" i="7" s="1"/>
  <c r="O233" i="7"/>
  <c r="Q233" i="7" s="1"/>
  <c r="O199" i="7"/>
  <c r="Q199" i="7" s="1"/>
  <c r="O117" i="7"/>
  <c r="Q117" i="7" s="1"/>
  <c r="O219" i="7"/>
  <c r="Q219" i="7" s="1"/>
  <c r="O171" i="7"/>
  <c r="Q171" i="7" s="1"/>
  <c r="O170" i="7"/>
  <c r="Q170" i="7" s="1"/>
  <c r="O55" i="7"/>
  <c r="Q55" i="7" s="1"/>
  <c r="O53" i="7"/>
  <c r="Q53" i="7" s="1"/>
  <c r="O141" i="7"/>
  <c r="Q141" i="7" s="1"/>
  <c r="O89" i="7"/>
  <c r="Q89" i="7" s="1"/>
  <c r="O87" i="7"/>
  <c r="Q87" i="7" s="1"/>
  <c r="O62" i="7"/>
  <c r="Q62" i="7" s="1"/>
  <c r="O128" i="7"/>
  <c r="Q128" i="7" s="1"/>
  <c r="O157" i="7"/>
  <c r="Q157" i="7" s="1"/>
  <c r="O125" i="7"/>
  <c r="Q125" i="7" s="1"/>
  <c r="O109" i="7"/>
  <c r="Q109" i="7" s="1"/>
  <c r="O95" i="7"/>
  <c r="Q95" i="7" s="1"/>
  <c r="O105" i="7"/>
  <c r="Q105" i="7" s="1"/>
  <c r="O67" i="7"/>
  <c r="Q67" i="7" s="1"/>
  <c r="O64" i="7"/>
  <c r="Q64" i="7" s="1"/>
  <c r="O129" i="7"/>
  <c r="Q129" i="7" s="1"/>
  <c r="O186" i="7"/>
  <c r="Q186" i="7" s="1"/>
  <c r="O103" i="7"/>
  <c r="Q103" i="7" s="1"/>
  <c r="O76" i="7"/>
  <c r="Q76" i="7" s="1"/>
  <c r="O92" i="7"/>
  <c r="Q92" i="7" s="1"/>
  <c r="O197" i="7"/>
  <c r="Q197" i="7" s="1"/>
  <c r="O48" i="7"/>
  <c r="Q48" i="7" s="1"/>
  <c r="O226" i="7"/>
  <c r="Q226" i="7" s="1"/>
  <c r="O229" i="7"/>
  <c r="Q229" i="7" s="1"/>
  <c r="O151" i="7"/>
  <c r="Q151" i="7" s="1"/>
  <c r="O84" i="7"/>
  <c r="Q84" i="7" s="1"/>
  <c r="O196" i="7"/>
  <c r="Q196" i="7" s="1"/>
  <c r="O121" i="7"/>
  <c r="Q121" i="7" s="1"/>
  <c r="O78" i="7"/>
  <c r="Q78" i="7" s="1"/>
  <c r="O59" i="7"/>
  <c r="Q59" i="7" s="1"/>
  <c r="O94" i="7"/>
  <c r="Q94" i="7" s="1"/>
  <c r="O43" i="7"/>
  <c r="Q43" i="7" s="1"/>
  <c r="O65" i="7"/>
  <c r="Q65" i="7" s="1"/>
  <c r="O49" i="7"/>
  <c r="O82" i="7"/>
  <c r="Q82" i="7" s="1"/>
  <c r="O207" i="7"/>
  <c r="Q207" i="7" s="1"/>
  <c r="O228" i="7"/>
  <c r="Q228" i="7" s="1"/>
  <c r="O209" i="7"/>
  <c r="Q209" i="7" s="1"/>
  <c r="O77" i="7"/>
  <c r="Q77" i="7" s="1"/>
  <c r="O112" i="7"/>
  <c r="Q112" i="7" s="1"/>
  <c r="O96" i="7"/>
  <c r="Q96" i="7" s="1"/>
  <c r="O194" i="7"/>
  <c r="Q194" i="7" s="1"/>
  <c r="O101" i="7"/>
  <c r="Q101" i="7" s="1"/>
  <c r="O35" i="7"/>
  <c r="Q35" i="7" s="1"/>
  <c r="O168" i="7"/>
  <c r="Q168" i="7" s="1"/>
  <c r="O50" i="7"/>
  <c r="Q50" i="7" s="1"/>
  <c r="O155" i="7"/>
  <c r="Q155" i="7" s="1"/>
  <c r="BD55" i="1"/>
  <c r="BD21" i="1"/>
  <c r="BD97" i="1"/>
  <c r="BD281" i="1"/>
  <c r="BD29" i="1"/>
  <c r="BD243" i="1"/>
  <c r="BD349" i="1"/>
  <c r="BD1183" i="1"/>
  <c r="BD995" i="1"/>
  <c r="BD1341" i="1"/>
  <c r="BD63" i="1"/>
  <c r="BD64" i="1"/>
  <c r="BD9" i="1"/>
  <c r="BD95" i="1"/>
  <c r="BD36" i="1"/>
  <c r="BD107" i="1"/>
  <c r="BD190" i="1"/>
  <c r="BD318" i="1"/>
  <c r="BD70" i="1"/>
  <c r="BD141" i="1"/>
  <c r="BD227" i="1"/>
  <c r="BD351" i="1"/>
  <c r="BD1002" i="1"/>
  <c r="BD945" i="1"/>
  <c r="BD868" i="1"/>
  <c r="BD1003" i="1"/>
  <c r="BD944" i="1"/>
  <c r="BD838" i="1"/>
  <c r="BD1028" i="1"/>
  <c r="BD957" i="1"/>
  <c r="BD1294" i="1"/>
  <c r="BD319" i="1"/>
  <c r="BD233" i="1"/>
  <c r="BD489" i="1"/>
  <c r="BD746" i="1"/>
  <c r="BD797" i="1"/>
  <c r="BD209" i="1"/>
  <c r="BD528" i="1"/>
  <c r="BD82" i="1"/>
  <c r="BD1193" i="1"/>
  <c r="BD237" i="1"/>
  <c r="BD98" i="1"/>
  <c r="BD273" i="1"/>
  <c r="D37" i="10"/>
  <c r="BD271" i="1"/>
  <c r="BD325" i="1"/>
  <c r="BD615" i="1"/>
  <c r="BD983" i="1"/>
  <c r="BD886" i="1"/>
  <c r="BD148" i="1"/>
  <c r="BD937" i="1"/>
  <c r="BD7" i="1"/>
  <c r="BD72" i="1"/>
  <c r="BD18" i="1"/>
  <c r="BD81" i="1"/>
  <c r="BD61" i="1"/>
  <c r="BD43" i="1"/>
  <c r="BD45" i="1"/>
  <c r="BD14" i="1"/>
  <c r="BD272" i="1"/>
  <c r="BD946" i="1"/>
  <c r="BD1138" i="1"/>
  <c r="BD939" i="1"/>
  <c r="BD1291" i="1"/>
  <c r="BD965" i="1"/>
  <c r="BD919" i="1"/>
  <c r="BD1173" i="1"/>
  <c r="BD277" i="1"/>
  <c r="BD326" i="1"/>
  <c r="BD692" i="1"/>
  <c r="BD670" i="1"/>
  <c r="BD1462" i="1"/>
  <c r="BD314" i="1"/>
  <c r="BD16" i="1"/>
  <c r="BD25" i="1"/>
  <c r="BD103" i="1"/>
  <c r="BD26" i="1"/>
  <c r="BD52" i="1"/>
  <c r="BD240" i="1"/>
  <c r="BD51" i="1"/>
  <c r="BD224" i="1"/>
  <c r="BD161" i="1"/>
  <c r="BD530" i="1"/>
  <c r="BD370" i="1"/>
  <c r="BD132" i="1"/>
  <c r="BD298" i="1"/>
  <c r="BD91" i="1"/>
  <c r="BD158" i="1"/>
  <c r="BD121" i="1"/>
  <c r="BD891" i="1"/>
  <c r="BD954" i="1"/>
  <c r="BD1367" i="1"/>
  <c r="BD1153" i="1"/>
  <c r="BD992" i="1"/>
  <c r="BD374" i="1"/>
  <c r="BD935" i="1"/>
  <c r="BD1312" i="1"/>
  <c r="BD24" i="1"/>
  <c r="BD33" i="1"/>
  <c r="BD111" i="1"/>
  <c r="BD75" i="1"/>
  <c r="BD127" i="1"/>
  <c r="BD211" i="1"/>
  <c r="BD90" i="1"/>
  <c r="BD222" i="1"/>
  <c r="BD479" i="1"/>
  <c r="BD683" i="1"/>
  <c r="BD83" i="1"/>
  <c r="BD268" i="1"/>
  <c r="BD100" i="1"/>
  <c r="BD136" i="1"/>
  <c r="BD892" i="1"/>
  <c r="BD1091" i="1"/>
  <c r="BD787" i="1"/>
  <c r="BD925" i="1"/>
  <c r="BD1292" i="1"/>
  <c r="BD881" i="1"/>
  <c r="BD745" i="1"/>
  <c r="BD1318" i="1"/>
  <c r="BD798" i="1"/>
  <c r="BD1320" i="1"/>
  <c r="BD348" i="1"/>
  <c r="BD453" i="1"/>
  <c r="BD1007" i="1"/>
  <c r="BD1079" i="1"/>
  <c r="BD120" i="1"/>
  <c r="BD188" i="1"/>
  <c r="BD56" i="1"/>
  <c r="BD87" i="1"/>
  <c r="BD28" i="1"/>
  <c r="BD169" i="1"/>
  <c r="BD422" i="1"/>
  <c r="BD889" i="1"/>
  <c r="BD1020" i="1"/>
  <c r="BD824" i="1"/>
  <c r="BD1025" i="1"/>
  <c r="BD849" i="1"/>
  <c r="BD1032" i="1"/>
  <c r="BD31" i="1"/>
  <c r="BD101" i="1"/>
  <c r="BD197" i="1"/>
  <c r="BD50" i="1"/>
  <c r="BD99" i="1"/>
  <c r="BD163" i="1"/>
  <c r="BD384" i="1"/>
  <c r="BD242" i="1"/>
  <c r="BD385" i="1"/>
  <c r="BD117" i="1"/>
  <c r="BD38" i="1"/>
  <c r="BD108" i="1"/>
  <c r="BD184" i="1"/>
  <c r="BD299" i="1"/>
  <c r="BD900" i="1"/>
  <c r="BD1285" i="1"/>
  <c r="BD932" i="1"/>
  <c r="BD764" i="1"/>
  <c r="BD879" i="1"/>
  <c r="BD1006" i="1"/>
  <c r="BD1197" i="1"/>
  <c r="BD812" i="1"/>
  <c r="BD269" i="1"/>
  <c r="BD1041" i="1"/>
  <c r="BD329" i="1"/>
  <c r="BD40" i="1"/>
  <c r="BD110" i="1"/>
  <c r="BD12" i="1"/>
  <c r="BD77" i="1"/>
  <c r="BD372" i="1"/>
  <c r="BD11" i="1"/>
  <c r="BD392" i="1"/>
  <c r="BD128" i="1"/>
  <c r="BD378" i="1"/>
  <c r="BD548" i="1"/>
  <c r="BD86" i="1"/>
  <c r="BD365" i="1"/>
  <c r="BD565" i="1"/>
  <c r="BD788" i="1"/>
  <c r="BD3" i="1"/>
  <c r="BD1313" i="1"/>
  <c r="BD1107" i="1"/>
  <c r="BD1144" i="1"/>
  <c r="BD898" i="1"/>
  <c r="BD940" i="1"/>
  <c r="BD961" i="1"/>
  <c r="BD770" i="1"/>
  <c r="BD280" i="1"/>
  <c r="BD366" i="1"/>
  <c r="BD527" i="1"/>
  <c r="BD896" i="1"/>
  <c r="BD1000" i="1"/>
  <c r="BD448" i="1"/>
  <c r="BD6" i="1"/>
  <c r="BD47" i="1"/>
  <c r="BD96" i="1"/>
  <c r="BD216" i="1"/>
  <c r="BD48" i="1"/>
  <c r="BD104" i="1"/>
  <c r="BD221" i="1"/>
  <c r="BD13" i="1"/>
  <c r="BD19" i="1"/>
  <c r="BD334" i="1"/>
  <c r="BD5" i="1"/>
  <c r="BD235" i="1"/>
  <c r="BD386" i="1"/>
  <c r="BD54" i="1"/>
  <c r="BD247" i="1"/>
  <c r="BD1174" i="1"/>
  <c r="BD768" i="1"/>
  <c r="BD1012" i="1"/>
  <c r="BD960" i="1"/>
  <c r="BD816" i="1"/>
  <c r="BD1150" i="1"/>
  <c r="BD1103" i="1"/>
  <c r="BD1008" i="1"/>
  <c r="BD85" i="1"/>
  <c r="D27" i="10"/>
  <c r="D20" i="10"/>
  <c r="D3" i="10"/>
  <c r="D12" i="10"/>
  <c r="D66" i="8"/>
  <c r="D14" i="10"/>
  <c r="D4" i="10"/>
  <c r="D36" i="10"/>
  <c r="F65" i="8"/>
  <c r="D35" i="10"/>
  <c r="D29" i="10"/>
  <c r="D21" i="10"/>
  <c r="D19" i="10"/>
  <c r="D5" i="10"/>
  <c r="F67" i="8"/>
  <c r="D13" i="10"/>
  <c r="D68" i="8"/>
  <c r="D64" i="8"/>
  <c r="D11" i="10"/>
  <c r="F66" i="8"/>
  <c r="D65" i="8"/>
  <c r="D28" i="10"/>
  <c r="D67" i="8"/>
  <c r="F68" i="8"/>
  <c r="F64" i="8"/>
  <c r="B69" i="8"/>
  <c r="B16" i="10"/>
  <c r="G69" i="8"/>
  <c r="C26" i="6"/>
  <c r="C30" i="6"/>
  <c r="E21" i="6"/>
  <c r="C28" i="6"/>
  <c r="C32" i="6"/>
  <c r="B37" i="6"/>
  <c r="B36" i="6"/>
  <c r="B35" i="6"/>
  <c r="B34" i="6"/>
  <c r="B22" i="6"/>
  <c r="B21" i="6"/>
  <c r="B23" i="6"/>
  <c r="E30" i="6"/>
  <c r="B24" i="6"/>
  <c r="B25" i="6"/>
  <c r="K21" i="6"/>
  <c r="C25" i="6"/>
  <c r="D32" i="6"/>
  <c r="M21" i="6"/>
  <c r="C36" i="6"/>
  <c r="C23" i="6"/>
  <c r="E32" i="6"/>
  <c r="J21" i="6"/>
  <c r="D30" i="6"/>
  <c r="C27" i="6"/>
  <c r="C31" i="6"/>
  <c r="C34" i="6"/>
  <c r="D36" i="6"/>
  <c r="B30" i="6"/>
  <c r="B31" i="6"/>
  <c r="B32" i="6"/>
  <c r="D21" i="6"/>
  <c r="B33" i="6"/>
  <c r="D23" i="6"/>
  <c r="C22" i="6"/>
  <c r="C24" i="6"/>
  <c r="G21" i="6"/>
  <c r="C35" i="6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G16" i="11" a="1"/>
  <c r="G17" i="11" a="1"/>
  <c r="G18" i="11" a="1"/>
  <c r="G19" i="11" a="1"/>
  <c r="G16" i="11" l="1"/>
  <c r="G19" i="11"/>
  <c r="G18" i="11"/>
  <c r="G17" i="11"/>
  <c r="Q49" i="7"/>
  <c r="Q239" i="7" s="1"/>
  <c r="O235" i="7"/>
  <c r="N237" i="7" s="1"/>
  <c r="P47" i="7"/>
  <c r="O6" i="12" s="1"/>
  <c r="P6" i="12" s="1"/>
  <c r="P167" i="7"/>
  <c r="P140" i="7"/>
  <c r="P38" i="7"/>
  <c r="P17" i="7"/>
  <c r="P204" i="7"/>
  <c r="P182" i="7"/>
  <c r="P91" i="7"/>
  <c r="O40" i="12" s="1"/>
  <c r="P40" i="12" s="1"/>
  <c r="P168" i="7"/>
  <c r="P35" i="7"/>
  <c r="P96" i="7"/>
  <c r="P14" i="7"/>
  <c r="P82" i="7"/>
  <c r="O39" i="12" s="1"/>
  <c r="P39" i="12" s="1"/>
  <c r="P146" i="7"/>
  <c r="P221" i="7"/>
  <c r="P34" i="7"/>
  <c r="P25" i="7"/>
  <c r="P66" i="7"/>
  <c r="P175" i="7"/>
  <c r="P88" i="7"/>
  <c r="P220" i="7"/>
  <c r="P142" i="7"/>
  <c r="O13" i="12" s="1"/>
  <c r="P13" i="12" s="1"/>
  <c r="P189" i="7"/>
  <c r="P196" i="7"/>
  <c r="P137" i="7"/>
  <c r="P197" i="7"/>
  <c r="P65" i="7"/>
  <c r="P52" i="7"/>
  <c r="P94" i="7"/>
  <c r="P206" i="7"/>
  <c r="P103" i="7"/>
  <c r="P132" i="7"/>
  <c r="P67" i="7"/>
  <c r="P179" i="7"/>
  <c r="P216" i="7"/>
  <c r="P158" i="7"/>
  <c r="P125" i="7"/>
  <c r="P62" i="7"/>
  <c r="P195" i="7"/>
  <c r="P55" i="7"/>
  <c r="P97" i="7"/>
  <c r="P54" i="7"/>
  <c r="O7" i="12" s="1"/>
  <c r="P7" i="12" s="1"/>
  <c r="P154" i="7"/>
  <c r="P58" i="7"/>
  <c r="P51" i="7"/>
  <c r="P16" i="7"/>
  <c r="P199" i="7"/>
  <c r="P113" i="7"/>
  <c r="P184" i="7"/>
  <c r="O23" i="12" s="1"/>
  <c r="P23" i="12" s="1"/>
  <c r="P185" i="7"/>
  <c r="O22" i="12" s="1"/>
  <c r="P22" i="12" s="1"/>
  <c r="P75" i="7"/>
  <c r="O36" i="12" s="1"/>
  <c r="P36" i="12" s="1"/>
  <c r="P122" i="7"/>
  <c r="P152" i="7"/>
  <c r="P123" i="7"/>
  <c r="P81" i="7"/>
  <c r="P165" i="7"/>
  <c r="P111" i="7"/>
  <c r="P225" i="7"/>
  <c r="P161" i="7"/>
  <c r="P24" i="7"/>
  <c r="P22" i="7"/>
  <c r="P136" i="7"/>
  <c r="P100" i="7"/>
  <c r="P101" i="7"/>
  <c r="P112" i="7"/>
  <c r="P209" i="7"/>
  <c r="P138" i="7"/>
  <c r="P49" i="7"/>
  <c r="O31" i="12" s="1"/>
  <c r="P31" i="12" s="1"/>
  <c r="P190" i="7"/>
  <c r="P86" i="7"/>
  <c r="P198" i="7"/>
  <c r="P139" i="7"/>
  <c r="P11" i="7"/>
  <c r="P42" i="7"/>
  <c r="O5" i="12" s="1"/>
  <c r="P5" i="12" s="1"/>
  <c r="P192" i="7"/>
  <c r="P120" i="7"/>
  <c r="P121" i="7"/>
  <c r="P84" i="7"/>
  <c r="P226" i="7"/>
  <c r="P92" i="7"/>
  <c r="P29" i="7"/>
  <c r="P150" i="7"/>
  <c r="P178" i="7"/>
  <c r="P59" i="7"/>
  <c r="P186" i="7"/>
  <c r="P129" i="7"/>
  <c r="P105" i="7"/>
  <c r="P176" i="7"/>
  <c r="P227" i="7"/>
  <c r="P213" i="7"/>
  <c r="O25" i="12" s="1"/>
  <c r="P25" i="12" s="1"/>
  <c r="P134" i="7"/>
  <c r="P87" i="7"/>
  <c r="P110" i="7"/>
  <c r="P144" i="7"/>
  <c r="O14" i="12" s="1"/>
  <c r="P14" i="12" s="1"/>
  <c r="P46" i="7"/>
  <c r="P107" i="7"/>
  <c r="P85" i="7"/>
  <c r="P131" i="7"/>
  <c r="P170" i="7"/>
  <c r="P118" i="7"/>
  <c r="P135" i="7"/>
  <c r="P188" i="7"/>
  <c r="P155" i="7"/>
  <c r="P114" i="7"/>
  <c r="P119" i="7"/>
  <c r="P41" i="7"/>
  <c r="P230" i="7"/>
  <c r="P177" i="7"/>
  <c r="O21" i="12" s="1"/>
  <c r="P21" i="12" s="1"/>
  <c r="P174" i="7"/>
  <c r="P69" i="7"/>
  <c r="P74" i="7"/>
  <c r="P28" i="7"/>
  <c r="O3" i="12" s="1"/>
  <c r="P3" i="12" s="1"/>
  <c r="P78" i="7"/>
  <c r="P231" i="7"/>
  <c r="P72" i="7"/>
  <c r="O12" i="12" s="1"/>
  <c r="P12" i="12" s="1"/>
  <c r="P12" i="7"/>
  <c r="P191" i="7"/>
  <c r="P194" i="7"/>
  <c r="P183" i="7"/>
  <c r="P228" i="7"/>
  <c r="P187" i="7"/>
  <c r="P234" i="7"/>
  <c r="P212" i="7"/>
  <c r="P30" i="7"/>
  <c r="O28" i="12" s="1"/>
  <c r="P28" i="12" s="1"/>
  <c r="P37" i="7"/>
  <c r="P201" i="7"/>
  <c r="P232" i="7"/>
  <c r="P145" i="7"/>
  <c r="P162" i="7"/>
  <c r="P172" i="7"/>
  <c r="O20" i="12" s="1"/>
  <c r="P20" i="12" s="1"/>
  <c r="P19" i="7"/>
  <c r="P151" i="7"/>
  <c r="P15" i="7"/>
  <c r="P102" i="7"/>
  <c r="P143" i="7"/>
  <c r="P104" i="7"/>
  <c r="P23" i="7"/>
  <c r="P202" i="7"/>
  <c r="O24" i="12" s="1"/>
  <c r="P24" i="12" s="1"/>
  <c r="P160" i="7"/>
  <c r="P64" i="7"/>
  <c r="P95" i="7"/>
  <c r="P76" i="7"/>
  <c r="O37" i="12" s="1"/>
  <c r="P37" i="12" s="1"/>
  <c r="P217" i="7"/>
  <c r="P149" i="7"/>
  <c r="O16" i="12" s="1"/>
  <c r="P16" i="12" s="1"/>
  <c r="P157" i="7"/>
  <c r="P89" i="7"/>
  <c r="P53" i="7"/>
  <c r="P159" i="7"/>
  <c r="O17" i="12" s="1"/>
  <c r="P17" i="12" s="1"/>
  <c r="P166" i="7"/>
  <c r="O18" i="12" s="1"/>
  <c r="P18" i="12" s="1"/>
  <c r="P45" i="7"/>
  <c r="P127" i="7"/>
  <c r="P222" i="7"/>
  <c r="P171" i="7"/>
  <c r="P219" i="7"/>
  <c r="P223" i="7"/>
  <c r="P36" i="7"/>
  <c r="O4" i="12" s="1"/>
  <c r="P4" i="12" s="1"/>
  <c r="P210" i="7"/>
  <c r="P124" i="7"/>
  <c r="P56" i="7"/>
  <c r="O9" i="12" s="1"/>
  <c r="P9" i="12" s="1"/>
  <c r="P163" i="7"/>
  <c r="P31" i="7"/>
  <c r="O29" i="12" s="1"/>
  <c r="P29" i="12" s="1"/>
  <c r="P21" i="7"/>
  <c r="P73" i="7"/>
  <c r="P44" i="7"/>
  <c r="O30" i="12" s="1"/>
  <c r="P30" i="12" s="1"/>
  <c r="P63" i="7"/>
  <c r="P106" i="7"/>
  <c r="P218" i="7"/>
  <c r="P60" i="7"/>
  <c r="P203" i="7"/>
  <c r="P50" i="7"/>
  <c r="P40" i="7"/>
  <c r="P80" i="7"/>
  <c r="P77" i="7"/>
  <c r="O38" i="12" s="1"/>
  <c r="P38" i="12" s="1"/>
  <c r="P207" i="7"/>
  <c r="P147" i="7"/>
  <c r="P18" i="7"/>
  <c r="P61" i="7"/>
  <c r="P79" i="7"/>
  <c r="P68" i="7"/>
  <c r="P39" i="7"/>
  <c r="P211" i="7"/>
  <c r="P169" i="7"/>
  <c r="O19" i="12" s="1"/>
  <c r="P19" i="12" s="1"/>
  <c r="P180" i="7"/>
  <c r="P27" i="7"/>
  <c r="O27" i="12" s="1"/>
  <c r="P27" i="12" s="1"/>
  <c r="P229" i="7"/>
  <c r="P48" i="7"/>
  <c r="P33" i="7"/>
  <c r="P43" i="7"/>
  <c r="P193" i="7"/>
  <c r="P13" i="7"/>
  <c r="P224" i="7"/>
  <c r="P70" i="7"/>
  <c r="P20" i="7"/>
  <c r="P26" i="7"/>
  <c r="P200" i="7"/>
  <c r="P215" i="7"/>
  <c r="O26" i="12" s="1"/>
  <c r="P26" i="12" s="1"/>
  <c r="P109" i="7"/>
  <c r="P128" i="7"/>
  <c r="P141" i="7"/>
  <c r="P116" i="7"/>
  <c r="P156" i="7"/>
  <c r="P208" i="7"/>
  <c r="P57" i="7"/>
  <c r="P98" i="7"/>
  <c r="P133" i="7"/>
  <c r="P117" i="7"/>
  <c r="P233" i="7"/>
  <c r="P115" i="7"/>
  <c r="P32" i="7"/>
  <c r="P181" i="7"/>
  <c r="P148" i="7"/>
  <c r="P93" i="7"/>
  <c r="P71" i="7"/>
  <c r="O35" i="12" s="1"/>
  <c r="P35" i="12" s="1"/>
  <c r="D16" i="10"/>
  <c r="F69" i="8"/>
  <c r="D24" i="10"/>
  <c r="D69" i="8"/>
  <c r="M234" i="7"/>
  <c r="Q8" i="7"/>
  <c r="H64" i="8" s="1"/>
  <c r="P8" i="7"/>
  <c r="O8" i="7"/>
  <c r="N8" i="7"/>
  <c r="M8" i="7"/>
  <c r="Q238" i="7" l="1"/>
  <c r="O33" i="12"/>
  <c r="P33" i="12" s="1"/>
  <c r="O10" i="12"/>
  <c r="P10" i="12" s="1"/>
  <c r="O34" i="12"/>
  <c r="P34" i="12" s="1"/>
  <c r="O11" i="12"/>
  <c r="P11" i="12" s="1"/>
  <c r="O32" i="12"/>
  <c r="P32" i="12" s="1"/>
  <c r="O8" i="12"/>
  <c r="P8" i="12" s="1"/>
  <c r="O41" i="12"/>
  <c r="P41" i="12" s="1"/>
  <c r="O15" i="12"/>
  <c r="P15" i="12" s="1"/>
  <c r="AN115" i="7"/>
  <c r="AQ115" i="7"/>
  <c r="AN98" i="7"/>
  <c r="AY116" i="7"/>
  <c r="AO116" i="7"/>
  <c r="AO215" i="7"/>
  <c r="AN215" i="7"/>
  <c r="AM215" i="7"/>
  <c r="AL215" i="7"/>
  <c r="AP70" i="7"/>
  <c r="AT70" i="7"/>
  <c r="AP43" i="7"/>
  <c r="AR43" i="7"/>
  <c r="AM80" i="7"/>
  <c r="AT60" i="7"/>
  <c r="AN60" i="7"/>
  <c r="AY60" i="7"/>
  <c r="AQ60" i="7"/>
  <c r="AL60" i="7"/>
  <c r="AN44" i="7"/>
  <c r="AM44" i="7"/>
  <c r="AX36" i="7"/>
  <c r="AR159" i="7"/>
  <c r="AQ159" i="7"/>
  <c r="AN149" i="7"/>
  <c r="AL149" i="7"/>
  <c r="AO149" i="7"/>
  <c r="AV104" i="7"/>
  <c r="AT104" i="7"/>
  <c r="AR104" i="7"/>
  <c r="AL145" i="7"/>
  <c r="AN30" i="7"/>
  <c r="AO30" i="7"/>
  <c r="AM30" i="7"/>
  <c r="AR30" i="7"/>
  <c r="AV30" i="7"/>
  <c r="AQ228" i="7"/>
  <c r="AR12" i="7"/>
  <c r="AL28" i="7"/>
  <c r="AN28" i="7"/>
  <c r="AQ28" i="7"/>
  <c r="AP177" i="7"/>
  <c r="AM177" i="7"/>
  <c r="AR177" i="7"/>
  <c r="AN177" i="7"/>
  <c r="AQ177" i="7"/>
  <c r="AZ114" i="7"/>
  <c r="AR114" i="7"/>
  <c r="AO59" i="7"/>
  <c r="AL59" i="7"/>
  <c r="AM59" i="7"/>
  <c r="AQ59" i="7"/>
  <c r="AM120" i="7"/>
  <c r="AP139" i="7"/>
  <c r="AO49" i="7"/>
  <c r="AN49" i="7"/>
  <c r="AL49" i="7"/>
  <c r="AP24" i="7"/>
  <c r="AP122" i="7"/>
  <c r="AR122" i="7"/>
  <c r="AO122" i="7"/>
  <c r="AN113" i="7"/>
  <c r="AZ55" i="7"/>
  <c r="AR158" i="7"/>
  <c r="AV52" i="7"/>
  <c r="AQ14" i="7"/>
  <c r="AN91" i="7"/>
  <c r="AL38" i="7"/>
  <c r="AR148" i="7"/>
  <c r="AN233" i="7"/>
  <c r="AM233" i="7"/>
  <c r="AZ57" i="7"/>
  <c r="AO141" i="7"/>
  <c r="AP200" i="7"/>
  <c r="AQ224" i="7"/>
  <c r="AR224" i="7"/>
  <c r="AN180" i="7"/>
  <c r="AO180" i="7"/>
  <c r="AL40" i="7"/>
  <c r="AR218" i="7"/>
  <c r="AN73" i="7"/>
  <c r="AY56" i="7"/>
  <c r="AL56" i="7"/>
  <c r="AN223" i="7"/>
  <c r="AY127" i="7"/>
  <c r="AP217" i="7"/>
  <c r="AS217" i="7"/>
  <c r="AP143" i="7"/>
  <c r="AS143" i="7"/>
  <c r="AN232" i="7"/>
  <c r="AL212" i="7"/>
  <c r="AN183" i="7"/>
  <c r="AR72" i="7"/>
  <c r="AM72" i="7"/>
  <c r="AN72" i="7"/>
  <c r="AQ72" i="7"/>
  <c r="AO72" i="7"/>
  <c r="AR230" i="7"/>
  <c r="AV105" i="7"/>
  <c r="AN105" i="7"/>
  <c r="AM178" i="7"/>
  <c r="AN178" i="7"/>
  <c r="AL178" i="7"/>
  <c r="AW192" i="7"/>
  <c r="AT192" i="7"/>
  <c r="AM198" i="7"/>
  <c r="AR138" i="7"/>
  <c r="AR161" i="7"/>
  <c r="AO75" i="7"/>
  <c r="AM154" i="7"/>
  <c r="AS195" i="7"/>
  <c r="AN216" i="7"/>
  <c r="AP189" i="7"/>
  <c r="AR189" i="7"/>
  <c r="BA221" i="7"/>
  <c r="AM182" i="7"/>
  <c r="AP181" i="7"/>
  <c r="AR181" i="7"/>
  <c r="AZ117" i="7"/>
  <c r="AN208" i="7"/>
  <c r="AO208" i="7"/>
  <c r="AR128" i="7"/>
  <c r="BA26" i="7"/>
  <c r="AO48" i="7"/>
  <c r="AL48" i="7"/>
  <c r="AN169" i="7"/>
  <c r="AQ169" i="7"/>
  <c r="AR169" i="7"/>
  <c r="AL169" i="7"/>
  <c r="AP79" i="7"/>
  <c r="AQ207" i="7"/>
  <c r="AR207" i="7"/>
  <c r="AR50" i="7"/>
  <c r="AN106" i="7"/>
  <c r="AM106" i="7"/>
  <c r="AR21" i="7"/>
  <c r="AR124" i="7"/>
  <c r="AX219" i="7"/>
  <c r="AR219" i="7"/>
  <c r="AN219" i="7"/>
  <c r="AZ219" i="7"/>
  <c r="AN45" i="7"/>
  <c r="AR45" i="7"/>
  <c r="AZ76" i="7"/>
  <c r="AL202" i="7"/>
  <c r="AQ202" i="7"/>
  <c r="AM202" i="7"/>
  <c r="AN202" i="7"/>
  <c r="AM102" i="7"/>
  <c r="AO102" i="7"/>
  <c r="AL102" i="7"/>
  <c r="AV172" i="7"/>
  <c r="AY172" i="7"/>
  <c r="AP172" i="7"/>
  <c r="AN172" i="7"/>
  <c r="AR172" i="7"/>
  <c r="AO172" i="7"/>
  <c r="AL172" i="7"/>
  <c r="AT172" i="7"/>
  <c r="AN234" i="7"/>
  <c r="AZ231" i="7"/>
  <c r="AR69" i="7"/>
  <c r="AR188" i="7"/>
  <c r="AP131" i="7"/>
  <c r="AO144" i="7"/>
  <c r="AL144" i="7"/>
  <c r="AN144" i="7"/>
  <c r="AN213" i="7"/>
  <c r="AL213" i="7"/>
  <c r="AO213" i="7"/>
  <c r="AT150" i="7"/>
  <c r="AW84" i="7"/>
  <c r="AN42" i="7"/>
  <c r="AR86" i="7"/>
  <c r="AZ209" i="7"/>
  <c r="AL136" i="7"/>
  <c r="AY136" i="7"/>
  <c r="AR225" i="7"/>
  <c r="AN123" i="7"/>
  <c r="AO123" i="7"/>
  <c r="AL123" i="7"/>
  <c r="AL185" i="7"/>
  <c r="AP185" i="7"/>
  <c r="AQ54" i="7"/>
  <c r="AM54" i="7"/>
  <c r="AT62" i="7"/>
  <c r="AR179" i="7"/>
  <c r="AZ179" i="7"/>
  <c r="AN206" i="7"/>
  <c r="AQ206" i="7"/>
  <c r="AP142" i="7"/>
  <c r="AQ142" i="7"/>
  <c r="AQ66" i="7"/>
  <c r="AL66" i="7"/>
  <c r="AP146" i="7"/>
  <c r="AP204" i="7"/>
  <c r="AQ204" i="7"/>
  <c r="AV167" i="7"/>
  <c r="AZ71" i="7"/>
  <c r="AP32" i="7"/>
  <c r="AN32" i="7"/>
  <c r="AR109" i="7"/>
  <c r="AZ20" i="7"/>
  <c r="AZ193" i="7"/>
  <c r="AR193" i="7"/>
  <c r="AN211" i="7"/>
  <c r="AV211" i="7"/>
  <c r="AS77" i="7"/>
  <c r="AP77" i="7"/>
  <c r="AP203" i="7"/>
  <c r="AM63" i="7"/>
  <c r="AO31" i="7"/>
  <c r="AR31" i="7"/>
  <c r="AN31" i="7"/>
  <c r="AM31" i="7"/>
  <c r="AR210" i="7"/>
  <c r="AZ171" i="7"/>
  <c r="AV166" i="7"/>
  <c r="AY166" i="7"/>
  <c r="AR166" i="7"/>
  <c r="AL166" i="7"/>
  <c r="AT166" i="7"/>
  <c r="AQ166" i="7"/>
  <c r="AP166" i="7"/>
  <c r="AN166" i="7"/>
  <c r="AZ95" i="7"/>
  <c r="AR23" i="7"/>
  <c r="AO15" i="7"/>
  <c r="AM187" i="7"/>
  <c r="AR187" i="7"/>
  <c r="AO187" i="7"/>
  <c r="AN187" i="7"/>
  <c r="AT187" i="7"/>
  <c r="AR191" i="7"/>
  <c r="AP78" i="7"/>
  <c r="AT85" i="7"/>
  <c r="AV85" i="7"/>
  <c r="AT110" i="7"/>
  <c r="AR110" i="7"/>
  <c r="AQ227" i="7"/>
  <c r="AT186" i="7"/>
  <c r="AP29" i="7"/>
  <c r="AX29" i="7"/>
  <c r="AR121" i="7"/>
  <c r="AZ121" i="7"/>
  <c r="AR11" i="7"/>
  <c r="P235" i="7"/>
  <c r="AN112" i="7"/>
  <c r="AR22" i="7"/>
  <c r="AP111" i="7"/>
  <c r="AQ111" i="7"/>
  <c r="AZ152" i="7"/>
  <c r="AY51" i="7"/>
  <c r="AL51" i="7"/>
  <c r="AP67" i="7"/>
  <c r="AR67" i="7"/>
  <c r="AN94" i="7"/>
  <c r="AQ25" i="7"/>
  <c r="AP25" i="7"/>
  <c r="AZ82" i="7"/>
  <c r="AR168" i="7"/>
  <c r="AR47" i="7"/>
  <c r="AL47" i="7"/>
  <c r="AN47" i="7"/>
  <c r="C10" i="8"/>
  <c r="H65" i="8"/>
  <c r="D10" i="8"/>
  <c r="H66" i="8"/>
  <c r="F10" i="8"/>
  <c r="H68" i="8"/>
  <c r="E10" i="8"/>
  <c r="H67" i="8"/>
  <c r="F8" i="10"/>
  <c r="B32" i="10"/>
  <c r="B56" i="8" s="1"/>
  <c r="D32" i="10"/>
  <c r="C56" i="8" s="1"/>
  <c r="B40" i="10"/>
  <c r="B57" i="8" s="1"/>
  <c r="D40" i="10"/>
  <c r="C57" i="8" s="1"/>
  <c r="D8" i="10"/>
  <c r="B8" i="10"/>
  <c r="B53" i="8" s="1"/>
  <c r="C54" i="8"/>
  <c r="B54" i="8"/>
  <c r="B24" i="10"/>
  <c r="B55" i="8" s="1"/>
  <c r="C55" i="8"/>
  <c r="M26" i="7"/>
  <c r="M50" i="7"/>
  <c r="M90" i="7"/>
  <c r="M114" i="7"/>
  <c r="M130" i="7"/>
  <c r="M162" i="7"/>
  <c r="M170" i="7"/>
  <c r="M178" i="7"/>
  <c r="M186" i="7"/>
  <c r="M194" i="7"/>
  <c r="M202" i="7"/>
  <c r="M210" i="7"/>
  <c r="M218" i="7"/>
  <c r="M226" i="7"/>
  <c r="M19" i="7"/>
  <c r="M27" i="7"/>
  <c r="M35" i="7"/>
  <c r="M43" i="7"/>
  <c r="M51" i="7"/>
  <c r="M59" i="7"/>
  <c r="M67" i="7"/>
  <c r="M75" i="7"/>
  <c r="M83" i="7"/>
  <c r="M91" i="7"/>
  <c r="M99" i="7"/>
  <c r="M107" i="7"/>
  <c r="M115" i="7"/>
  <c r="M123" i="7"/>
  <c r="M131" i="7"/>
  <c r="M139" i="7"/>
  <c r="M147" i="7"/>
  <c r="M155" i="7"/>
  <c r="M163" i="7"/>
  <c r="M171" i="7"/>
  <c r="M179" i="7"/>
  <c r="M187" i="7"/>
  <c r="M195" i="7"/>
  <c r="M203" i="7"/>
  <c r="M211" i="7"/>
  <c r="M219" i="7"/>
  <c r="M227" i="7"/>
  <c r="M28" i="7"/>
  <c r="M52" i="7"/>
  <c r="M84" i="7"/>
  <c r="M108" i="7"/>
  <c r="M132" i="7"/>
  <c r="M148" i="7"/>
  <c r="M172" i="7"/>
  <c r="M188" i="7"/>
  <c r="M196" i="7"/>
  <c r="M204" i="7"/>
  <c r="M228" i="7"/>
  <c r="M13" i="7"/>
  <c r="M21" i="7"/>
  <c r="M29" i="7"/>
  <c r="M37" i="7"/>
  <c r="M45" i="7"/>
  <c r="M53" i="7"/>
  <c r="M61" i="7"/>
  <c r="M69" i="7"/>
  <c r="M77" i="7"/>
  <c r="M85" i="7"/>
  <c r="M93" i="7"/>
  <c r="M101" i="7"/>
  <c r="M109" i="7"/>
  <c r="M117" i="7"/>
  <c r="M125" i="7"/>
  <c r="M133" i="7"/>
  <c r="M141" i="7"/>
  <c r="M149" i="7"/>
  <c r="M157" i="7"/>
  <c r="M165" i="7"/>
  <c r="M173" i="7"/>
  <c r="M181" i="7"/>
  <c r="M189" i="7"/>
  <c r="M197" i="7"/>
  <c r="M205" i="7"/>
  <c r="M213" i="7"/>
  <c r="M221" i="7"/>
  <c r="M229" i="7"/>
  <c r="M11" i="7"/>
  <c r="M66" i="7"/>
  <c r="M146" i="7"/>
  <c r="M14" i="7"/>
  <c r="M22" i="7"/>
  <c r="M30" i="7"/>
  <c r="M38" i="7"/>
  <c r="M46" i="7"/>
  <c r="M54" i="7"/>
  <c r="M62" i="7"/>
  <c r="M70" i="7"/>
  <c r="M78" i="7"/>
  <c r="M86" i="7"/>
  <c r="M94" i="7"/>
  <c r="M102" i="7"/>
  <c r="M110" i="7"/>
  <c r="M118" i="7"/>
  <c r="M126" i="7"/>
  <c r="M134" i="7"/>
  <c r="M142" i="7"/>
  <c r="M150" i="7"/>
  <c r="M158" i="7"/>
  <c r="M166" i="7"/>
  <c r="M174" i="7"/>
  <c r="M182" i="7"/>
  <c r="M190" i="7"/>
  <c r="M198" i="7"/>
  <c r="M206" i="7"/>
  <c r="M214" i="7"/>
  <c r="M222" i="7"/>
  <c r="M230" i="7"/>
  <c r="M18" i="7"/>
  <c r="M42" i="7"/>
  <c r="M74" i="7"/>
  <c r="M98" i="7"/>
  <c r="M122" i="7"/>
  <c r="M154" i="7"/>
  <c r="M12" i="7"/>
  <c r="M36" i="7"/>
  <c r="M60" i="7"/>
  <c r="M76" i="7"/>
  <c r="M100" i="7"/>
  <c r="M116" i="7"/>
  <c r="M140" i="7"/>
  <c r="M164" i="7"/>
  <c r="M212" i="7"/>
  <c r="M15" i="7"/>
  <c r="M23" i="7"/>
  <c r="M31" i="7"/>
  <c r="M39" i="7"/>
  <c r="M47" i="7"/>
  <c r="M55" i="7"/>
  <c r="M63" i="7"/>
  <c r="M71" i="7"/>
  <c r="M79" i="7"/>
  <c r="M87" i="7"/>
  <c r="M95" i="7"/>
  <c r="M103" i="7"/>
  <c r="M111" i="7"/>
  <c r="M119" i="7"/>
  <c r="M127" i="7"/>
  <c r="M135" i="7"/>
  <c r="M143" i="7"/>
  <c r="M151" i="7"/>
  <c r="M159" i="7"/>
  <c r="M167" i="7"/>
  <c r="M175" i="7"/>
  <c r="M183" i="7"/>
  <c r="M191" i="7"/>
  <c r="M199" i="7"/>
  <c r="M207" i="7"/>
  <c r="M215" i="7"/>
  <c r="M223" i="7"/>
  <c r="M231" i="7"/>
  <c r="M34" i="7"/>
  <c r="M58" i="7"/>
  <c r="M82" i="7"/>
  <c r="M106" i="7"/>
  <c r="M138" i="7"/>
  <c r="M20" i="7"/>
  <c r="M44" i="7"/>
  <c r="M68" i="7"/>
  <c r="M92" i="7"/>
  <c r="M124" i="7"/>
  <c r="M156" i="7"/>
  <c r="M180" i="7"/>
  <c r="M220" i="7"/>
  <c r="M16" i="7"/>
  <c r="M24" i="7"/>
  <c r="M32" i="7"/>
  <c r="M40" i="7"/>
  <c r="M48" i="7"/>
  <c r="M56" i="7"/>
  <c r="M64" i="7"/>
  <c r="M72" i="7"/>
  <c r="M80" i="7"/>
  <c r="M88" i="7"/>
  <c r="M96" i="7"/>
  <c r="M104" i="7"/>
  <c r="M112" i="7"/>
  <c r="M120" i="7"/>
  <c r="M128" i="7"/>
  <c r="M136" i="7"/>
  <c r="M144" i="7"/>
  <c r="M152" i="7"/>
  <c r="M160" i="7"/>
  <c r="M168" i="7"/>
  <c r="M176" i="7"/>
  <c r="M184" i="7"/>
  <c r="M192" i="7"/>
  <c r="M200" i="7"/>
  <c r="M208" i="7"/>
  <c r="M216" i="7"/>
  <c r="M224" i="7"/>
  <c r="M232" i="7"/>
  <c r="M17" i="7"/>
  <c r="M25" i="7"/>
  <c r="M33" i="7"/>
  <c r="M41" i="7"/>
  <c r="M49" i="7"/>
  <c r="M57" i="7"/>
  <c r="M65" i="7"/>
  <c r="M73" i="7"/>
  <c r="M81" i="7"/>
  <c r="M89" i="7"/>
  <c r="M97" i="7"/>
  <c r="M105" i="7"/>
  <c r="M113" i="7"/>
  <c r="M121" i="7"/>
  <c r="M129" i="7"/>
  <c r="M137" i="7"/>
  <c r="M145" i="7"/>
  <c r="M153" i="7"/>
  <c r="M161" i="7"/>
  <c r="M169" i="7"/>
  <c r="M177" i="7"/>
  <c r="M185" i="7"/>
  <c r="M193" i="7"/>
  <c r="M201" i="7"/>
  <c r="M209" i="7"/>
  <c r="M217" i="7"/>
  <c r="M225" i="7"/>
  <c r="M233" i="7"/>
  <c r="H69" i="8" l="1"/>
  <c r="G3" i="10"/>
  <c r="C53" i="8"/>
  <c r="C58" i="8" s="1"/>
  <c r="B58" i="8"/>
  <c r="N7" i="7"/>
  <c r="P7" i="7"/>
  <c r="M7" i="7"/>
  <c r="O7" i="7"/>
  <c r="Q7" i="7"/>
  <c r="E6" i="8" l="1"/>
  <c r="E13" i="8" s="1"/>
  <c r="I67" i="8"/>
  <c r="C6" i="8"/>
  <c r="C13" i="8" s="1"/>
  <c r="I65" i="8"/>
  <c r="F6" i="8"/>
  <c r="F13" i="8" s="1"/>
  <c r="I68" i="8"/>
  <c r="D6" i="8"/>
  <c r="D13" i="8" s="1"/>
  <c r="I66" i="8"/>
  <c r="C8" i="8"/>
  <c r="I64" i="8"/>
  <c r="R3" i="6"/>
  <c r="C19" i="8" s="1"/>
  <c r="R4" i="6"/>
  <c r="C20" i="8" s="1"/>
  <c r="R5" i="6"/>
  <c r="C21" i="8" s="1"/>
  <c r="R6" i="6"/>
  <c r="C22" i="8" s="1"/>
  <c r="R7" i="6"/>
  <c r="C24" i="8" s="1"/>
  <c r="R8" i="6"/>
  <c r="C25" i="8" s="1"/>
  <c r="R9" i="6"/>
  <c r="C26" i="8" s="1"/>
  <c r="R10" i="6"/>
  <c r="C27" i="8" s="1"/>
  <c r="R11" i="6"/>
  <c r="C29" i="8" s="1"/>
  <c r="R12" i="6"/>
  <c r="C30" i="8" s="1"/>
  <c r="R13" i="6"/>
  <c r="C31" i="8" s="1"/>
  <c r="R14" i="6"/>
  <c r="C32" i="8" s="1"/>
  <c r="R15" i="6"/>
  <c r="C34" i="8" s="1"/>
  <c r="R16" i="6"/>
  <c r="C35" i="8" s="1"/>
  <c r="R17" i="6"/>
  <c r="C36" i="8" s="1"/>
  <c r="R18" i="6"/>
  <c r="C37" i="8" s="1"/>
  <c r="R2" i="6"/>
  <c r="C18" i="8" s="1"/>
  <c r="T3" i="6"/>
  <c r="T4" i="6"/>
  <c r="T5" i="6"/>
  <c r="T6" i="6"/>
  <c r="T7" i="6"/>
  <c r="T8" i="6"/>
  <c r="T9" i="6"/>
  <c r="T10" i="6"/>
  <c r="T11" i="6"/>
  <c r="T12" i="6"/>
  <c r="T13" i="6"/>
  <c r="T14" i="6"/>
  <c r="T15" i="6"/>
  <c r="T16" i="6"/>
  <c r="T17" i="6"/>
  <c r="T18" i="6"/>
  <c r="T2" i="6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U1576" i="1"/>
  <c r="U1575" i="1"/>
  <c r="U1574" i="1"/>
  <c r="U1573" i="1"/>
  <c r="U1572" i="1"/>
  <c r="U1571" i="1"/>
  <c r="U1570" i="1"/>
  <c r="U1569" i="1"/>
  <c r="U1568" i="1"/>
  <c r="AK1567" i="1" a="1"/>
  <c r="AK1567" i="1" s="1"/>
  <c r="X1567" i="1"/>
  <c r="W1567" i="1"/>
  <c r="V1567" i="1"/>
  <c r="U1567" i="1"/>
  <c r="T1567" i="1"/>
  <c r="U1566" i="1"/>
  <c r="U1565" i="1"/>
  <c r="U1564" i="1"/>
  <c r="U1563" i="1"/>
  <c r="U1562" i="1"/>
  <c r="X1562" i="1"/>
  <c r="X1563" i="1"/>
  <c r="X1564" i="1"/>
  <c r="X1565" i="1"/>
  <c r="X1566" i="1"/>
  <c r="X1568" i="1"/>
  <c r="X1569" i="1"/>
  <c r="X1570" i="1"/>
  <c r="X1571" i="1"/>
  <c r="X1572" i="1"/>
  <c r="X1573" i="1"/>
  <c r="X1574" i="1"/>
  <c r="X1575" i="1"/>
  <c r="X1576" i="1"/>
  <c r="W1562" i="1"/>
  <c r="W1563" i="1"/>
  <c r="W1564" i="1"/>
  <c r="W1565" i="1"/>
  <c r="W1566" i="1"/>
  <c r="W1568" i="1"/>
  <c r="W1569" i="1"/>
  <c r="W1570" i="1"/>
  <c r="W1571" i="1"/>
  <c r="W1572" i="1"/>
  <c r="W1573" i="1"/>
  <c r="W1574" i="1"/>
  <c r="W1575" i="1"/>
  <c r="W1576" i="1"/>
  <c r="V1562" i="1"/>
  <c r="V1563" i="1"/>
  <c r="V1564" i="1"/>
  <c r="V1565" i="1"/>
  <c r="V1566" i="1"/>
  <c r="V1568" i="1"/>
  <c r="V1569" i="1"/>
  <c r="V1570" i="1"/>
  <c r="V1571" i="1"/>
  <c r="V1572" i="1"/>
  <c r="V1573" i="1"/>
  <c r="V1574" i="1"/>
  <c r="V1575" i="1"/>
  <c r="V1576" i="1"/>
  <c r="T1562" i="1"/>
  <c r="T1563" i="1"/>
  <c r="T1564" i="1"/>
  <c r="T1565" i="1"/>
  <c r="T1566" i="1"/>
  <c r="T1568" i="1"/>
  <c r="T1569" i="1"/>
  <c r="T1570" i="1"/>
  <c r="T1571" i="1"/>
  <c r="T1572" i="1"/>
  <c r="T1573" i="1"/>
  <c r="T1574" i="1"/>
  <c r="T1575" i="1"/>
  <c r="T1576" i="1"/>
  <c r="D6" i="2"/>
  <c r="F6" i="2" s="1"/>
  <c r="D7" i="2"/>
  <c r="F7" i="2" s="1"/>
  <c r="F40" i="6" s="1"/>
  <c r="D8" i="2"/>
  <c r="F8" i="2" s="1"/>
  <c r="D9" i="2"/>
  <c r="F9" i="2" s="1"/>
  <c r="H40" i="6" s="1"/>
  <c r="D10" i="2"/>
  <c r="F10" i="2" s="1"/>
  <c r="I40" i="6" s="1"/>
  <c r="D11" i="2"/>
  <c r="F11" i="2" s="1"/>
  <c r="D12" i="2"/>
  <c r="F12" i="2" s="1"/>
  <c r="D13" i="2"/>
  <c r="F13" i="2" s="1"/>
  <c r="D14" i="2"/>
  <c r="F14" i="2" s="1"/>
  <c r="L40" i="6" s="1"/>
  <c r="D15" i="2"/>
  <c r="F15" i="2" s="1"/>
  <c r="D5" i="2"/>
  <c r="F5" i="2" s="1"/>
  <c r="D4" i="2"/>
  <c r="F4" i="2" s="1"/>
  <c r="D3" i="2"/>
  <c r="F3" i="2" s="1"/>
  <c r="D2" i="2"/>
  <c r="F2" i="2" s="1"/>
  <c r="I69" i="8" l="1"/>
  <c r="B41" i="6"/>
  <c r="B40" i="6"/>
  <c r="B42" i="6"/>
  <c r="E49" i="6"/>
  <c r="B43" i="6"/>
  <c r="B44" i="6"/>
  <c r="B47" i="6"/>
  <c r="B48" i="6"/>
  <c r="B45" i="6"/>
  <c r="B46" i="6"/>
  <c r="C40" i="6"/>
  <c r="B55" i="6"/>
  <c r="B56" i="6"/>
  <c r="B54" i="6"/>
  <c r="B53" i="6"/>
  <c r="G40" i="6"/>
  <c r="C54" i="6"/>
  <c r="D42" i="6"/>
  <c r="C41" i="6"/>
  <c r="C43" i="6"/>
  <c r="D55" i="6"/>
  <c r="C53" i="6"/>
  <c r="M40" i="6"/>
  <c r="C55" i="6"/>
  <c r="D51" i="6"/>
  <c r="B49" i="6"/>
  <c r="B50" i="6"/>
  <c r="B51" i="6"/>
  <c r="D40" i="6"/>
  <c r="B52" i="6"/>
  <c r="E40" i="6"/>
  <c r="C45" i="6"/>
  <c r="C49" i="6"/>
  <c r="C47" i="6"/>
  <c r="C51" i="6"/>
  <c r="K40" i="6"/>
  <c r="C44" i="6"/>
  <c r="C42" i="6"/>
  <c r="C46" i="6"/>
  <c r="C50" i="6"/>
  <c r="E51" i="6"/>
  <c r="J40" i="6"/>
  <c r="D49" i="6"/>
  <c r="F118" i="8"/>
  <c r="D119" i="8"/>
  <c r="B122" i="8"/>
  <c r="E116" i="8"/>
  <c r="C114" i="8"/>
  <c r="F122" i="8"/>
  <c r="C128" i="8"/>
  <c r="D125" i="8"/>
  <c r="B115" i="8"/>
  <c r="D123" i="8"/>
  <c r="E124" i="8"/>
  <c r="C123" i="8"/>
  <c r="F116" i="8"/>
  <c r="D120" i="8"/>
  <c r="C121" i="8"/>
  <c r="B112" i="8"/>
  <c r="C122" i="8"/>
  <c r="B125" i="8"/>
  <c r="C108" i="8"/>
  <c r="C133" i="8" s="1"/>
  <c r="D124" i="8"/>
  <c r="D110" i="8"/>
  <c r="C117" i="8"/>
  <c r="F111" i="8"/>
  <c r="F112" i="8"/>
  <c r="D121" i="8"/>
  <c r="D128" i="8"/>
  <c r="E126" i="8"/>
  <c r="D109" i="8"/>
  <c r="B110" i="8"/>
  <c r="B120" i="8"/>
  <c r="B124" i="8"/>
  <c r="C124" i="8"/>
  <c r="F121" i="8"/>
  <c r="E125" i="8"/>
  <c r="B128" i="8"/>
  <c r="D127" i="8"/>
  <c r="B116" i="8"/>
  <c r="C127" i="8"/>
  <c r="B109" i="8"/>
  <c r="D113" i="8"/>
  <c r="D108" i="8"/>
  <c r="D133" i="8" s="1"/>
  <c r="F110" i="8"/>
  <c r="B118" i="8"/>
  <c r="D122" i="8"/>
  <c r="E108" i="8"/>
  <c r="E133" i="8" s="1"/>
  <c r="B111" i="8"/>
  <c r="E114" i="8"/>
  <c r="F119" i="8"/>
  <c r="E109" i="8"/>
  <c r="F109" i="8"/>
  <c r="E115" i="8"/>
  <c r="E110" i="8"/>
  <c r="E113" i="8"/>
  <c r="B126" i="8"/>
  <c r="B113" i="8"/>
  <c r="D111" i="8"/>
  <c r="B119" i="8"/>
  <c r="C125" i="8"/>
  <c r="E127" i="8"/>
  <c r="D112" i="8"/>
  <c r="E112" i="8"/>
  <c r="C118" i="8"/>
  <c r="D126" i="8"/>
  <c r="C116" i="8"/>
  <c r="E111" i="8"/>
  <c r="C120" i="8"/>
  <c r="F113" i="8"/>
  <c r="B127" i="8"/>
  <c r="B121" i="8"/>
  <c r="E117" i="8"/>
  <c r="F114" i="8"/>
  <c r="C115" i="8"/>
  <c r="F120" i="8"/>
  <c r="C119" i="8"/>
  <c r="B114" i="8"/>
  <c r="F117" i="8"/>
  <c r="C126" i="8"/>
  <c r="B123" i="8"/>
  <c r="F108" i="8"/>
  <c r="F133" i="8" s="1"/>
  <c r="E128" i="8"/>
  <c r="E118" i="8"/>
  <c r="F115" i="8"/>
  <c r="B117" i="8"/>
  <c r="F123" i="8"/>
  <c r="E5" i="8"/>
  <c r="E11" i="8" s="1"/>
  <c r="F5" i="8"/>
  <c r="F11" i="8" s="1"/>
  <c r="C5" i="8"/>
  <c r="S4" i="4"/>
  <c r="D5" i="8"/>
  <c r="D11" i="8" s="1"/>
  <c r="AF1" i="1"/>
  <c r="U13" i="6" s="1"/>
  <c r="V1" i="1"/>
  <c r="U3" i="6" s="1"/>
  <c r="W1" i="1"/>
  <c r="U4" i="6" s="1"/>
  <c r="Y1" i="1"/>
  <c r="U6" i="6" s="1"/>
  <c r="AB1" i="1"/>
  <c r="U9" i="6" s="1"/>
  <c r="AJ1" i="1"/>
  <c r="U17" i="6" s="1"/>
  <c r="AH1" i="1"/>
  <c r="U15" i="6" s="1"/>
  <c r="AC1" i="1"/>
  <c r="U10" i="6" s="1"/>
  <c r="AI1" i="1"/>
  <c r="U16" i="6" s="1"/>
  <c r="AA1" i="1"/>
  <c r="U8" i="6" s="1"/>
  <c r="AG1" i="1"/>
  <c r="U14" i="6" s="1"/>
  <c r="U1" i="1"/>
  <c r="U2" i="6" s="1"/>
  <c r="AE1" i="1"/>
  <c r="U12" i="6" s="1"/>
  <c r="AD1" i="1"/>
  <c r="U11" i="6" s="1"/>
  <c r="Z1" i="1"/>
  <c r="U7" i="6" s="1"/>
  <c r="X1" i="1"/>
  <c r="U5" i="6" s="1"/>
  <c r="T1" i="1"/>
  <c r="AK1562" i="1" a="1"/>
  <c r="AK1562" i="1" s="1"/>
  <c r="AK1563" i="1" a="1"/>
  <c r="AK1563" i="1" s="1"/>
  <c r="AK1564" i="1" a="1"/>
  <c r="AK1564" i="1" s="1"/>
  <c r="AK1565" i="1" a="1"/>
  <c r="AK1565" i="1" s="1"/>
  <c r="AK1566" i="1" a="1"/>
  <c r="AK1566" i="1" s="1"/>
  <c r="AK1568" i="1" a="1"/>
  <c r="AK1568" i="1" s="1"/>
  <c r="AK1569" i="1" a="1"/>
  <c r="AK1569" i="1" s="1"/>
  <c r="AK1570" i="1" a="1"/>
  <c r="AK1570" i="1" s="1"/>
  <c r="AK1571" i="1" a="1"/>
  <c r="AK1571" i="1" s="1"/>
  <c r="AK1572" i="1" a="1"/>
  <c r="AK1572" i="1" s="1"/>
  <c r="AK1573" i="1" a="1"/>
  <c r="AK1573" i="1" s="1"/>
  <c r="AK1574" i="1" a="1"/>
  <c r="AK1574" i="1" s="1"/>
  <c r="AK1575" i="1" a="1"/>
  <c r="AK1575" i="1" s="1"/>
  <c r="AK1576" i="1" a="1"/>
  <c r="AK1576" i="1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V3" i="6" l="1"/>
  <c r="E19" i="8" s="1"/>
  <c r="V7" i="6"/>
  <c r="E24" i="8" s="1"/>
  <c r="D34" i="8"/>
  <c r="V11" i="6"/>
  <c r="E29" i="8" s="1"/>
  <c r="V10" i="6"/>
  <c r="E27" i="8" s="1"/>
  <c r="D117" i="8" s="1"/>
  <c r="D137" i="8" s="1"/>
  <c r="C7" i="8"/>
  <c r="C11" i="8"/>
  <c r="V16" i="6"/>
  <c r="E35" i="8" s="1"/>
  <c r="F125" i="8" s="1"/>
  <c r="F135" i="8" s="1"/>
  <c r="D35" i="8"/>
  <c r="V18" i="6"/>
  <c r="E37" i="8" s="1"/>
  <c r="F127" i="8" s="1"/>
  <c r="F137" i="8" s="1"/>
  <c r="D37" i="8"/>
  <c r="V8" i="6"/>
  <c r="E25" i="8" s="1"/>
  <c r="D115" i="8" s="1"/>
  <c r="D135" i="8" s="1"/>
  <c r="D25" i="8"/>
  <c r="V12" i="6"/>
  <c r="E30" i="8" s="1"/>
  <c r="E120" i="8" s="1"/>
  <c r="E135" i="8" s="1"/>
  <c r="D30" i="8"/>
  <c r="V13" i="6"/>
  <c r="E31" i="8" s="1"/>
  <c r="E121" i="8" s="1"/>
  <c r="E136" i="8" s="1"/>
  <c r="D31" i="8"/>
  <c r="V15" i="6"/>
  <c r="V5" i="6"/>
  <c r="E21" i="8" s="1"/>
  <c r="C111" i="8" s="1"/>
  <c r="C136" i="8" s="1"/>
  <c r="D21" i="8"/>
  <c r="V4" i="6"/>
  <c r="E20" i="8" s="1"/>
  <c r="C110" i="8" s="1"/>
  <c r="C135" i="8" s="1"/>
  <c r="D20" i="8"/>
  <c r="V6" i="6"/>
  <c r="E22" i="8" s="1"/>
  <c r="C112" i="8" s="1"/>
  <c r="C137" i="8" s="1"/>
  <c r="D22" i="8"/>
  <c r="V9" i="6"/>
  <c r="E26" i="8" s="1"/>
  <c r="D116" i="8" s="1"/>
  <c r="D136" i="8" s="1"/>
  <c r="D26" i="8"/>
  <c r="V2" i="6"/>
  <c r="D18" i="8"/>
  <c r="B138" i="8" s="1"/>
  <c r="V17" i="6"/>
  <c r="E36" i="8" s="1"/>
  <c r="F126" i="8" s="1"/>
  <c r="F136" i="8" s="1"/>
  <c r="D36" i="8"/>
  <c r="V14" i="6"/>
  <c r="E32" i="8" s="1"/>
  <c r="E122" i="8" s="1"/>
  <c r="E137" i="8" s="1"/>
  <c r="D32" i="8"/>
  <c r="T4" i="4"/>
  <c r="U4" i="4"/>
  <c r="V4" i="4"/>
  <c r="D24" i="8" l="1"/>
  <c r="D27" i="8"/>
  <c r="D19" i="8"/>
  <c r="D23" i="8" s="1"/>
  <c r="C138" i="8" s="1"/>
  <c r="D29" i="8"/>
  <c r="D33" i="8" s="1"/>
  <c r="E138" i="8" s="1"/>
  <c r="C109" i="8"/>
  <c r="C134" i="8" s="1"/>
  <c r="E119" i="8"/>
  <c r="E134" i="8" s="1"/>
  <c r="D114" i="8"/>
  <c r="D134" i="8" s="1"/>
  <c r="D38" i="8"/>
  <c r="F138" i="8" s="1"/>
  <c r="E18" i="8"/>
  <c r="E23" i="8" s="1"/>
  <c r="AD4" i="6"/>
  <c r="AD3" i="6"/>
  <c r="AD2" i="6"/>
  <c r="E34" i="8"/>
  <c r="E38" i="8" s="1"/>
  <c r="AD5" i="6"/>
  <c r="C42" i="4"/>
  <c r="C44" i="4" s="1"/>
  <c r="E44" i="4" s="1"/>
  <c r="C38" i="4"/>
  <c r="E38" i="4" s="1"/>
  <c r="C37" i="4"/>
  <c r="E37" i="4" s="1"/>
  <c r="C36" i="4"/>
  <c r="E36" i="4" s="1"/>
  <c r="C41" i="4"/>
  <c r="E41" i="4" s="1"/>
  <c r="C35" i="4"/>
  <c r="E35" i="4" s="1"/>
  <c r="C40" i="4"/>
  <c r="E40" i="4" s="1"/>
  <c r="C34" i="4"/>
  <c r="E34" i="4" s="1"/>
  <c r="C39" i="4"/>
  <c r="E39" i="4" s="1"/>
  <c r="D28" i="8" l="1"/>
  <c r="D138" i="8" s="1"/>
  <c r="E28" i="8"/>
  <c r="D118" i="8" s="1"/>
  <c r="E33" i="8"/>
  <c r="E123" i="8" s="1"/>
  <c r="U5" i="4"/>
  <c r="E9" i="8"/>
  <c r="S5" i="4"/>
  <c r="C9" i="8"/>
  <c r="B108" i="8"/>
  <c r="B133" i="8" s="1"/>
  <c r="C113" i="8"/>
  <c r="V5" i="4"/>
  <c r="F9" i="8"/>
  <c r="T5" i="4"/>
  <c r="D9" i="8"/>
  <c r="F124" i="8"/>
  <c r="F134" i="8" s="1"/>
  <c r="F128" i="8"/>
  <c r="E42" i="4"/>
  <c r="C43" i="4"/>
  <c r="E43" i="4" s="1"/>
  <c r="C20" i="4"/>
  <c r="E20" i="4" s="1"/>
  <c r="C24" i="4"/>
  <c r="E24" i="4" s="1"/>
  <c r="C32" i="4"/>
  <c r="E32" i="4" s="1"/>
  <c r="C7" i="4"/>
  <c r="E7" i="4" s="1"/>
  <c r="C16" i="4"/>
  <c r="E16" i="4" s="1"/>
  <c r="C15" i="4"/>
  <c r="E15" i="4" s="1"/>
  <c r="C31" i="4"/>
  <c r="E31" i="4" s="1"/>
  <c r="C29" i="4"/>
  <c r="E29" i="4" s="1"/>
  <c r="C21" i="4"/>
  <c r="E21" i="4" s="1"/>
  <c r="C13" i="4"/>
  <c r="E13" i="4" s="1"/>
  <c r="C5" i="4"/>
  <c r="E5" i="4" s="1"/>
  <c r="C8" i="4"/>
  <c r="E8" i="4" s="1"/>
  <c r="C25" i="4"/>
  <c r="E25" i="4" s="1"/>
  <c r="C17" i="4"/>
  <c r="E17" i="4" s="1"/>
  <c r="C9" i="4"/>
  <c r="E9" i="4" s="1"/>
  <c r="C30" i="4"/>
  <c r="E30" i="4" s="1"/>
  <c r="C22" i="4"/>
  <c r="E22" i="4" s="1"/>
  <c r="C14" i="4"/>
  <c r="E14" i="4" s="1"/>
  <c r="C6" i="4"/>
  <c r="E6" i="4" s="1"/>
  <c r="C28" i="4"/>
  <c r="E28" i="4" s="1"/>
  <c r="C12" i="4"/>
  <c r="E12" i="4" s="1"/>
  <c r="C11" i="4"/>
  <c r="E11" i="4" s="1"/>
  <c r="C4" i="4"/>
  <c r="E4" i="4" s="1"/>
  <c r="C27" i="4"/>
  <c r="E27" i="4" s="1"/>
  <c r="C3" i="4"/>
  <c r="E3" i="4" s="1"/>
  <c r="C2" i="4"/>
  <c r="C26" i="4"/>
  <c r="E26" i="4" s="1"/>
  <c r="C18" i="4"/>
  <c r="E18" i="4" s="1"/>
  <c r="C10" i="4"/>
  <c r="E10" i="4" s="1"/>
  <c r="C19" i="4"/>
  <c r="E19" i="4" s="1"/>
  <c r="C23" i="4"/>
  <c r="E23" i="4" s="1"/>
  <c r="C12" i="8" l="1"/>
  <c r="D12" i="8"/>
  <c r="E12" i="8"/>
  <c r="F12" i="8"/>
  <c r="N27" i="4"/>
  <c r="O27" i="4"/>
  <c r="P27" i="4"/>
  <c r="M27" i="4"/>
  <c r="N23" i="4"/>
  <c r="O23" i="4"/>
  <c r="M23" i="4"/>
  <c r="P23" i="4"/>
  <c r="M4" i="4"/>
  <c r="N4" i="4"/>
  <c r="O4" i="4"/>
  <c r="P4" i="4"/>
  <c r="N9" i="4"/>
  <c r="O9" i="4"/>
  <c r="P9" i="4"/>
  <c r="M9" i="4"/>
  <c r="O29" i="4"/>
  <c r="P29" i="4"/>
  <c r="M29" i="4"/>
  <c r="N29" i="4"/>
  <c r="O17" i="4"/>
  <c r="P17" i="4"/>
  <c r="N17" i="4"/>
  <c r="M17" i="4"/>
  <c r="M10" i="4"/>
  <c r="N10" i="4"/>
  <c r="O10" i="4"/>
  <c r="P10" i="4"/>
  <c r="M12" i="4"/>
  <c r="N12" i="4"/>
  <c r="O12" i="4"/>
  <c r="P12" i="4"/>
  <c r="P25" i="4"/>
  <c r="N25" i="4"/>
  <c r="M25" i="4"/>
  <c r="O25" i="4"/>
  <c r="N15" i="4"/>
  <c r="M15" i="4"/>
  <c r="O15" i="4"/>
  <c r="P15" i="4"/>
  <c r="O19" i="4"/>
  <c r="P19" i="4"/>
  <c r="M19" i="4"/>
  <c r="N19" i="4"/>
  <c r="M18" i="4"/>
  <c r="N18" i="4"/>
  <c r="O18" i="4"/>
  <c r="P18" i="4"/>
  <c r="M28" i="4"/>
  <c r="N28" i="4"/>
  <c r="O28" i="4"/>
  <c r="P28" i="4"/>
  <c r="M16" i="4"/>
  <c r="N16" i="4"/>
  <c r="O16" i="4"/>
  <c r="P16" i="4"/>
  <c r="P31" i="4"/>
  <c r="N31" i="4"/>
  <c r="O31" i="4"/>
  <c r="M31" i="4"/>
  <c r="M26" i="4"/>
  <c r="N26" i="4"/>
  <c r="O26" i="4"/>
  <c r="P26" i="4"/>
  <c r="M6" i="4"/>
  <c r="N6" i="4"/>
  <c r="O6" i="4"/>
  <c r="P6" i="4"/>
  <c r="M8" i="4"/>
  <c r="N8" i="4"/>
  <c r="O8" i="4"/>
  <c r="P8" i="4"/>
  <c r="P7" i="4"/>
  <c r="N7" i="4"/>
  <c r="O7" i="4"/>
  <c r="M7" i="4"/>
  <c r="M14" i="4"/>
  <c r="N14" i="4"/>
  <c r="O14" i="4"/>
  <c r="P14" i="4"/>
  <c r="N5" i="4"/>
  <c r="O5" i="4"/>
  <c r="M5" i="4"/>
  <c r="P5" i="4"/>
  <c r="M32" i="4"/>
  <c r="N32" i="4"/>
  <c r="O32" i="4"/>
  <c r="P32" i="4"/>
  <c r="P3" i="4"/>
  <c r="M3" i="4"/>
  <c r="N3" i="4"/>
  <c r="O3" i="4"/>
  <c r="M22" i="4"/>
  <c r="N22" i="4"/>
  <c r="O22" i="4"/>
  <c r="P22" i="4"/>
  <c r="P13" i="4"/>
  <c r="N13" i="4"/>
  <c r="O13" i="4"/>
  <c r="M13" i="4"/>
  <c r="M24" i="4"/>
  <c r="N24" i="4"/>
  <c r="O24" i="4"/>
  <c r="P24" i="4"/>
  <c r="P11" i="4"/>
  <c r="N11" i="4"/>
  <c r="O11" i="4"/>
  <c r="M11" i="4"/>
  <c r="M30" i="4"/>
  <c r="N30" i="4"/>
  <c r="O30" i="4"/>
  <c r="P30" i="4"/>
  <c r="P21" i="4"/>
  <c r="N21" i="4"/>
  <c r="O21" i="4"/>
  <c r="M21" i="4"/>
  <c r="M20" i="4"/>
  <c r="N20" i="4"/>
  <c r="O20" i="4"/>
  <c r="P20" i="4"/>
  <c r="E2" i="4"/>
  <c r="N2" i="4" l="1"/>
  <c r="N34" i="4" s="1"/>
  <c r="O2" i="4"/>
  <c r="O34" i="4" s="1"/>
  <c r="P2" i="4"/>
  <c r="P34" i="4" s="1"/>
  <c r="M2" i="4"/>
  <c r="M34" i="4" s="1"/>
  <c r="AB151" i="7"/>
  <c r="AB68" i="7"/>
  <c r="AD206" i="7"/>
  <c r="AC124" i="7"/>
  <c r="AH206" i="7"/>
  <c r="AD82" i="7"/>
  <c r="W41" i="7"/>
  <c r="AF33" i="7"/>
  <c r="AH61" i="7"/>
  <c r="AD63" i="7"/>
  <c r="Y79" i="7"/>
  <c r="AH200" i="7"/>
  <c r="AH161" i="7"/>
  <c r="Y13" i="7"/>
  <c r="T54" i="7"/>
  <c r="AC120" i="7"/>
  <c r="AF148" i="7"/>
  <c r="AH229" i="7"/>
  <c r="U159" i="7"/>
  <c r="W122" i="7"/>
  <c r="AA106" i="7"/>
  <c r="AF129" i="7"/>
  <c r="AB165" i="7"/>
  <c r="T111" i="7"/>
  <c r="U87" i="7"/>
  <c r="AC26" i="7"/>
  <c r="U95" i="7"/>
  <c r="Y42" i="7"/>
  <c r="Y44" i="7"/>
  <c r="S37" i="7"/>
  <c r="AG184" i="7"/>
  <c r="T209" i="7"/>
  <c r="U169" i="7"/>
  <c r="AF82" i="7"/>
  <c r="AF207" i="7"/>
  <c r="U230" i="7"/>
  <c r="W43" i="7"/>
  <c r="AH110" i="7"/>
  <c r="S131" i="7"/>
  <c r="AA93" i="7"/>
  <c r="W19" i="7"/>
  <c r="AG14" i="7"/>
  <c r="AC11" i="7"/>
  <c r="AC31" i="7"/>
  <c r="AA55" i="7"/>
  <c r="AA115" i="7"/>
  <c r="AB227" i="7"/>
  <c r="X110" i="7"/>
  <c r="T120" i="7"/>
  <c r="T59" i="7"/>
  <c r="W102" i="7"/>
  <c r="AC115" i="7"/>
  <c r="AE48" i="7"/>
  <c r="AH219" i="7"/>
  <c r="AG64" i="7"/>
  <c r="V132" i="7"/>
  <c r="V110" i="7"/>
  <c r="AA138" i="7"/>
  <c r="AC122" i="7"/>
  <c r="AG71" i="7"/>
  <c r="U27" i="7"/>
  <c r="AE64" i="7"/>
  <c r="R187" i="7"/>
  <c r="R223" i="7"/>
  <c r="R132" i="7"/>
  <c r="AH36" i="7"/>
  <c r="AE187" i="7"/>
  <c r="B79" i="8"/>
  <c r="AD29" i="7"/>
  <c r="S75" i="7"/>
  <c r="X198" i="7"/>
  <c r="L9" i="11"/>
  <c r="AB66" i="7"/>
  <c r="S231" i="7"/>
  <c r="V148" i="7"/>
  <c r="AF85" i="7"/>
  <c r="AE162" i="7"/>
  <c r="V177" i="7"/>
  <c r="AD217" i="7"/>
  <c r="Z58" i="7"/>
  <c r="T103" i="7"/>
  <c r="AC226" i="7"/>
  <c r="U18" i="7"/>
  <c r="Y217" i="7"/>
  <c r="T84" i="7"/>
  <c r="AE50" i="7"/>
  <c r="AC179" i="7"/>
  <c r="AF208" i="7"/>
  <c r="S193" i="7"/>
  <c r="AF165" i="7"/>
  <c r="V138" i="7"/>
  <c r="AF94" i="7"/>
  <c r="AD221" i="7"/>
  <c r="X49" i="7"/>
  <c r="AH167" i="7"/>
  <c r="AD114" i="7"/>
  <c r="T21" i="7"/>
  <c r="Z13" i="7"/>
  <c r="AE203" i="7"/>
  <c r="AA39" i="7"/>
  <c r="V87" i="7"/>
  <c r="AE216" i="7"/>
  <c r="R233" i="7"/>
  <c r="W71" i="7"/>
  <c r="AE169" i="7"/>
  <c r="S79" i="7"/>
  <c r="AD65" i="7"/>
  <c r="AF187" i="7"/>
  <c r="R46" i="7"/>
  <c r="V204" i="7"/>
  <c r="V217" i="7"/>
  <c r="Z180" i="7"/>
  <c r="S196" i="7"/>
  <c r="AD84" i="7"/>
  <c r="C19" i="11"/>
  <c r="X114" i="7"/>
  <c r="AG123" i="7"/>
  <c r="AB88" i="7"/>
  <c r="U37" i="7"/>
  <c r="R30" i="7"/>
  <c r="X87" i="7"/>
  <c r="Z220" i="7"/>
  <c r="AD53" i="7"/>
  <c r="AB123" i="7"/>
  <c r="AD56" i="7"/>
  <c r="Z170" i="7"/>
  <c r="AB31" i="7"/>
  <c r="AE148" i="7"/>
  <c r="R163" i="7"/>
  <c r="S200" i="7"/>
  <c r="AA102" i="7"/>
  <c r="AF97" i="7"/>
  <c r="AA15" i="7"/>
  <c r="Y227" i="7"/>
  <c r="AC177" i="7"/>
  <c r="AD128" i="7"/>
  <c r="U46" i="7"/>
  <c r="R89" i="7"/>
  <c r="S20" i="7"/>
  <c r="W223" i="7"/>
  <c r="Y59" i="7"/>
  <c r="V141" i="7"/>
  <c r="U12" i="7"/>
  <c r="Z42" i="7"/>
  <c r="AG50" i="7"/>
  <c r="V42" i="7"/>
  <c r="X12" i="7"/>
  <c r="AA136" i="7"/>
  <c r="X55" i="7"/>
  <c r="AB61" i="7"/>
  <c r="Z92" i="7"/>
  <c r="U21" i="7"/>
  <c r="Y177" i="7"/>
  <c r="X11" i="7"/>
  <c r="Y98" i="7"/>
  <c r="W191" i="7"/>
  <c r="AH165" i="7"/>
  <c r="U107" i="7"/>
  <c r="X56" i="7"/>
  <c r="AC32" i="7"/>
  <c r="V77" i="7"/>
  <c r="AC144" i="7"/>
  <c r="V48" i="7"/>
  <c r="Z137" i="7"/>
  <c r="X105" i="7"/>
  <c r="AF23" i="7"/>
  <c r="R196" i="7"/>
  <c r="S165" i="7"/>
  <c r="V50" i="7"/>
  <c r="R119" i="7"/>
  <c r="AC215" i="7"/>
  <c r="AB48" i="7"/>
  <c r="R82" i="7"/>
  <c r="AF190" i="7"/>
  <c r="AH168" i="7"/>
  <c r="R145" i="7"/>
  <c r="B80" i="8"/>
  <c r="AB50" i="7"/>
  <c r="AF118" i="7"/>
  <c r="AE103" i="7"/>
  <c r="Z117" i="7"/>
  <c r="AA144" i="7"/>
  <c r="G4" i="11" a="1"/>
  <c r="S160" i="7"/>
  <c r="S16" i="7"/>
  <c r="AA68" i="7"/>
  <c r="U66" i="7"/>
  <c r="AG213" i="7"/>
  <c r="U67" i="7"/>
  <c r="Y180" i="7"/>
  <c r="T119" i="7"/>
  <c r="T112" i="7"/>
  <c r="G13" i="11" a="1"/>
  <c r="T48" i="7"/>
  <c r="AD74" i="7"/>
  <c r="S222" i="7"/>
  <c r="R168" i="7"/>
  <c r="U172" i="7"/>
  <c r="AA208" i="7"/>
  <c r="AH38" i="7"/>
  <c r="AE152" i="7"/>
  <c r="AG88" i="7"/>
  <c r="AB11" i="7"/>
  <c r="Y47" i="7"/>
  <c r="Y88" i="7"/>
  <c r="U233" i="7"/>
  <c r="AB146" i="7"/>
  <c r="Y195" i="7"/>
  <c r="K13" i="11" a="1"/>
  <c r="AD161" i="7"/>
  <c r="AC28" i="7"/>
  <c r="AG78" i="7"/>
  <c r="W82" i="7"/>
  <c r="AE114" i="7"/>
  <c r="AH180" i="7"/>
  <c r="R215" i="7"/>
  <c r="AB94" i="7"/>
  <c r="X146" i="7"/>
  <c r="Z21" i="7"/>
  <c r="X232" i="7"/>
  <c r="AG87" i="7"/>
  <c r="V118" i="7"/>
  <c r="AC225" i="7"/>
  <c r="X230" i="7"/>
  <c r="AH58" i="7"/>
  <c r="Y174" i="7"/>
  <c r="H8" i="11"/>
  <c r="Y27" i="7"/>
  <c r="AD67" i="7"/>
  <c r="AH21" i="7"/>
  <c r="W49" i="7"/>
  <c r="AD160" i="7"/>
  <c r="AD228" i="7"/>
  <c r="AD80" i="7"/>
  <c r="Y97" i="7"/>
  <c r="AA122" i="7"/>
  <c r="AH62" i="7"/>
  <c r="R113" i="7"/>
  <c r="AE146" i="7"/>
  <c r="AD101" i="7"/>
  <c r="AD181" i="7"/>
  <c r="AH151" i="7"/>
  <c r="R67" i="7"/>
  <c r="V136" i="7"/>
  <c r="AG167" i="7"/>
  <c r="AB158" i="7"/>
  <c r="U78" i="7"/>
  <c r="AG46" i="7"/>
  <c r="T217" i="7"/>
  <c r="W165" i="7"/>
  <c r="AF157" i="7"/>
  <c r="AE17" i="7"/>
  <c r="AC132" i="7"/>
  <c r="W101" i="7"/>
  <c r="U180" i="7"/>
  <c r="AA159" i="7"/>
  <c r="U182" i="7"/>
  <c r="AH64" i="7"/>
  <c r="AH15" i="7"/>
  <c r="W26" i="7"/>
  <c r="S116" i="7"/>
  <c r="S94" i="7"/>
  <c r="AC78" i="7"/>
  <c r="AH66" i="7"/>
  <c r="Z234" i="7"/>
  <c r="U82" i="7"/>
  <c r="X30" i="7"/>
  <c r="V67" i="7"/>
  <c r="Y37" i="7"/>
  <c r="AF188" i="7"/>
  <c r="AD208" i="7"/>
  <c r="AB110" i="7"/>
  <c r="T146" i="7"/>
  <c r="X14" i="7"/>
  <c r="F81" i="8" a="1"/>
  <c r="AF30" i="7"/>
  <c r="Y145" i="7"/>
  <c r="V222" i="7"/>
  <c r="U48" i="7"/>
  <c r="T136" i="7"/>
  <c r="AG117" i="7"/>
  <c r="AH14" i="7"/>
  <c r="AG24" i="7"/>
  <c r="Y28" i="7"/>
  <c r="AG135" i="7"/>
  <c r="X174" i="7"/>
  <c r="AA61" i="7"/>
  <c r="AF37" i="7"/>
  <c r="Z184" i="7"/>
  <c r="R114" i="7"/>
  <c r="Z98" i="7"/>
  <c r="Z27" i="7"/>
  <c r="X175" i="7"/>
  <c r="AG206" i="7"/>
  <c r="V98" i="7"/>
  <c r="AE118" i="7"/>
  <c r="U30" i="7"/>
  <c r="AA183" i="7"/>
  <c r="G7" i="11" a="1"/>
  <c r="C7" i="11"/>
  <c r="AD104" i="7"/>
  <c r="K10" i="11" a="1"/>
  <c r="B74" i="8"/>
  <c r="AF194" i="7"/>
  <c r="Y29" i="7"/>
  <c r="AE63" i="7"/>
  <c r="AD194" i="7"/>
  <c r="W136" i="7"/>
  <c r="W12" i="7"/>
  <c r="AD54" i="7"/>
  <c r="AH132" i="7"/>
  <c r="S213" i="7"/>
  <c r="AG151" i="7"/>
  <c r="X209" i="7"/>
  <c r="R141" i="7"/>
  <c r="AF122" i="7"/>
  <c r="AG198" i="7"/>
  <c r="Z103" i="7"/>
  <c r="AG40" i="7"/>
  <c r="Z213" i="7"/>
  <c r="AE215" i="7"/>
  <c r="AE35" i="7"/>
  <c r="AD120" i="7"/>
  <c r="X192" i="7"/>
  <c r="U219" i="7"/>
  <c r="AG38" i="7"/>
  <c r="S180" i="7"/>
  <c r="AE224" i="7"/>
  <c r="AC29" i="7"/>
  <c r="R58" i="7"/>
  <c r="T61" i="7"/>
  <c r="T165" i="7"/>
  <c r="AA131" i="7"/>
  <c r="U131" i="7"/>
  <c r="Y75" i="7"/>
  <c r="X20" i="7"/>
  <c r="V36" i="7"/>
  <c r="U168" i="7"/>
  <c r="AA86" i="7"/>
  <c r="AD119" i="7"/>
  <c r="AF75" i="7"/>
  <c r="C18" i="11"/>
  <c r="AF120" i="7"/>
  <c r="AH40" i="7"/>
  <c r="AC185" i="7"/>
  <c r="R127" i="7"/>
  <c r="V145" i="7"/>
  <c r="AG96" i="7"/>
  <c r="AB170" i="7"/>
  <c r="R230" i="7"/>
  <c r="AH69" i="7"/>
  <c r="S207" i="7"/>
  <c r="T170" i="7"/>
  <c r="AF106" i="7"/>
  <c r="AG227" i="7"/>
  <c r="R95" i="7"/>
  <c r="AB218" i="7"/>
  <c r="AB169" i="7"/>
  <c r="AE67" i="7"/>
  <c r="AG36" i="7"/>
  <c r="AE195" i="7"/>
  <c r="AF61" i="7"/>
  <c r="AF110" i="7"/>
  <c r="W145" i="7"/>
  <c r="R55" i="7"/>
  <c r="W62" i="7"/>
  <c r="AC105" i="7"/>
  <c r="X148" i="7"/>
  <c r="AC24" i="7"/>
  <c r="T132" i="7"/>
  <c r="AB135" i="7"/>
  <c r="Y203" i="7"/>
  <c r="R189" i="7"/>
  <c r="AF119" i="7"/>
  <c r="AH16" i="7"/>
  <c r="AF158" i="7"/>
  <c r="Y140" i="7"/>
  <c r="R57" i="7"/>
  <c r="AE170" i="7"/>
  <c r="AE122" i="7"/>
  <c r="AE98" i="7"/>
  <c r="V79" i="7"/>
  <c r="R232" i="7"/>
  <c r="V219" i="7"/>
  <c r="R121" i="7"/>
  <c r="AG122" i="7"/>
  <c r="W20" i="7"/>
  <c r="AD93" i="7"/>
  <c r="AB107" i="7"/>
  <c r="T106" i="7"/>
  <c r="AB234" i="7"/>
  <c r="AA206" i="7"/>
  <c r="U55" i="7"/>
  <c r="T201" i="7"/>
  <c r="H16" i="11"/>
  <c r="AG128" i="7"/>
  <c r="AF46" i="7"/>
  <c r="T227" i="7"/>
  <c r="AG208" i="7"/>
  <c r="AH222" i="7"/>
  <c r="V84" i="7"/>
  <c r="AG53" i="7"/>
  <c r="Z84" i="7"/>
  <c r="AH45" i="7"/>
  <c r="G9" i="11" a="1"/>
  <c r="U76" i="7"/>
  <c r="AG224" i="7"/>
  <c r="AA230" i="7"/>
  <c r="AA150" i="7"/>
  <c r="AC138" i="7"/>
  <c r="AE166" i="7"/>
  <c r="Z127" i="7"/>
  <c r="T72" i="7"/>
  <c r="AG144" i="7"/>
  <c r="AG107" i="7"/>
  <c r="AC128" i="7"/>
  <c r="Z112" i="7"/>
  <c r="Z142" i="7"/>
  <c r="Y57" i="7"/>
  <c r="Z204" i="7"/>
  <c r="AF197" i="7"/>
  <c r="AH25" i="7"/>
  <c r="C17" i="11"/>
  <c r="Z140" i="7"/>
  <c r="V216" i="7"/>
  <c r="W125" i="7"/>
  <c r="R32" i="7"/>
  <c r="Z60" i="7"/>
  <c r="AC42" i="7"/>
  <c r="AB220" i="7"/>
  <c r="AA107" i="7"/>
  <c r="R102" i="7"/>
  <c r="R62" i="7"/>
  <c r="Y63" i="7"/>
  <c r="AD94" i="7"/>
  <c r="S211" i="7"/>
  <c r="X109" i="7"/>
  <c r="AG26" i="7"/>
  <c r="Z133" i="7"/>
  <c r="X189" i="7"/>
  <c r="AG221" i="7"/>
  <c r="Y85" i="7"/>
  <c r="R86" i="7"/>
  <c r="AC33" i="7"/>
  <c r="AF50" i="7"/>
  <c r="X227" i="7"/>
  <c r="X233" i="7"/>
  <c r="Z125" i="7"/>
  <c r="U186" i="7"/>
  <c r="AA77" i="7"/>
  <c r="S147" i="7"/>
  <c r="W121" i="7"/>
  <c r="X203" i="7"/>
  <c r="AF183" i="7"/>
  <c r="Z70" i="7"/>
  <c r="AH77" i="7"/>
  <c r="AG119" i="7"/>
  <c r="T229" i="7"/>
  <c r="AE18" i="7"/>
  <c r="Z128" i="7"/>
  <c r="S117" i="7"/>
  <c r="AG136" i="7"/>
  <c r="AF156" i="7"/>
  <c r="W14" i="7"/>
  <c r="V198" i="7"/>
  <c r="R139" i="7"/>
  <c r="AB102" i="7"/>
  <c r="AE200" i="7"/>
  <c r="U140" i="7"/>
  <c r="S34" i="7"/>
  <c r="G88" i="8"/>
  <c r="W93" i="7"/>
  <c r="AE97" i="7"/>
  <c r="AC196" i="7"/>
  <c r="AH117" i="7"/>
  <c r="AD176" i="7"/>
  <c r="T155" i="7"/>
  <c r="W39" i="7"/>
  <c r="T140" i="7"/>
  <c r="AG187" i="7"/>
  <c r="AC139" i="7"/>
  <c r="AG140" i="7"/>
  <c r="R213" i="7"/>
  <c r="AF43" i="7"/>
  <c r="R12" i="7"/>
  <c r="W111" i="7"/>
  <c r="V19" i="7"/>
  <c r="Y220" i="7"/>
  <c r="AB43" i="7"/>
  <c r="T148" i="7"/>
  <c r="AA209" i="7"/>
  <c r="AB157" i="7"/>
  <c r="AH217" i="7"/>
  <c r="AB19" i="7"/>
  <c r="S136" i="7"/>
  <c r="S80" i="7"/>
  <c r="R176" i="7"/>
  <c r="AA29" i="7"/>
  <c r="AE47" i="7"/>
  <c r="Z73" i="7"/>
  <c r="Y222" i="7"/>
  <c r="U192" i="7"/>
  <c r="S169" i="7"/>
  <c r="Z24" i="7"/>
  <c r="AH188" i="7"/>
  <c r="AB131" i="7"/>
  <c r="AA203" i="7"/>
  <c r="V158" i="7"/>
  <c r="AG211" i="7"/>
  <c r="W54" i="7"/>
  <c r="S69" i="7"/>
  <c r="AE149" i="7"/>
  <c r="AD229" i="7"/>
  <c r="AB171" i="7"/>
  <c r="V78" i="7"/>
  <c r="X89" i="7"/>
  <c r="Z94" i="7"/>
  <c r="AF152" i="7"/>
  <c r="V120" i="7"/>
  <c r="AH107" i="7"/>
  <c r="AB142" i="7"/>
  <c r="X26" i="7"/>
  <c r="R48" i="7"/>
  <c r="AG23" i="7"/>
  <c r="AE53" i="7"/>
  <c r="S78" i="7"/>
  <c r="H12" i="11"/>
  <c r="W84" i="7"/>
  <c r="AA163" i="7"/>
  <c r="S67" i="7"/>
  <c r="AE101" i="7"/>
  <c r="Y61" i="7"/>
  <c r="R24" i="7"/>
  <c r="AC200" i="7"/>
  <c r="AF67" i="7"/>
  <c r="W131" i="7"/>
  <c r="R56" i="7"/>
  <c r="AB212" i="7"/>
  <c r="AG142" i="7"/>
  <c r="AB26" i="7"/>
  <c r="S188" i="7"/>
  <c r="V26" i="7"/>
  <c r="Z123" i="7"/>
  <c r="AB65" i="7"/>
  <c r="AF71" i="7"/>
  <c r="AF178" i="7"/>
  <c r="Y168" i="7"/>
  <c r="AF213" i="7"/>
  <c r="Y215" i="7"/>
  <c r="Z206" i="7"/>
  <c r="V74" i="7"/>
  <c r="AF168" i="7"/>
  <c r="AF200" i="7"/>
  <c r="AH73" i="7"/>
  <c r="S15" i="7"/>
  <c r="S115" i="7"/>
  <c r="AA49" i="7"/>
  <c r="AG232" i="7"/>
  <c r="AE208" i="7"/>
  <c r="Z19" i="7"/>
  <c r="W227" i="7"/>
  <c r="AD95" i="7"/>
  <c r="S198" i="7"/>
  <c r="S92" i="7"/>
  <c r="AE143" i="7"/>
  <c r="U231" i="7"/>
  <c r="X13" i="7"/>
  <c r="AE58" i="7"/>
  <c r="R115" i="7"/>
  <c r="AF112" i="7"/>
  <c r="AG11" i="7"/>
  <c r="U220" i="7"/>
  <c r="AC89" i="7"/>
  <c r="Y224" i="7"/>
  <c r="U45" i="7"/>
  <c r="AB36" i="7"/>
  <c r="AA41" i="7"/>
  <c r="AA119" i="7"/>
  <c r="AF218" i="7"/>
  <c r="AA219" i="7"/>
  <c r="U149" i="7"/>
  <c r="V25" i="7"/>
  <c r="X107" i="7"/>
  <c r="W168" i="7"/>
  <c r="AF123" i="7"/>
  <c r="S87" i="7"/>
  <c r="AG160" i="7"/>
  <c r="R34" i="7"/>
  <c r="U43" i="7"/>
  <c r="X135" i="7"/>
  <c r="U49" i="7"/>
  <c r="AA35" i="7"/>
  <c r="AG129" i="7"/>
  <c r="Z71" i="7"/>
  <c r="U174" i="7"/>
  <c r="V187" i="7"/>
  <c r="AH147" i="7"/>
  <c r="X36" i="7"/>
  <c r="AC13" i="7"/>
  <c r="S50" i="7"/>
  <c r="Z80" i="7"/>
  <c r="H14" i="11"/>
  <c r="S107" i="7"/>
  <c r="K6" i="11" a="1"/>
  <c r="AG195" i="7"/>
  <c r="R45" i="7"/>
  <c r="AA193" i="7"/>
  <c r="AB37" i="7"/>
  <c r="AC52" i="7"/>
  <c r="R19" i="7"/>
  <c r="W88" i="7"/>
  <c r="S158" i="7"/>
  <c r="S103" i="7"/>
  <c r="AG45" i="7"/>
  <c r="S41" i="7"/>
  <c r="Z122" i="7"/>
  <c r="V117" i="7"/>
  <c r="AA70" i="7"/>
  <c r="R37" i="7"/>
  <c r="Y114" i="7"/>
  <c r="AG159" i="7"/>
  <c r="AA62" i="7"/>
  <c r="T222" i="7"/>
  <c r="T116" i="7"/>
  <c r="AA14" i="7"/>
  <c r="AG77" i="7"/>
  <c r="U35" i="7"/>
  <c r="S190" i="7"/>
  <c r="Z215" i="7"/>
  <c r="F79" i="8" a="1"/>
  <c r="V35" i="7"/>
  <c r="AC82" i="7"/>
  <c r="T53" i="7"/>
  <c r="U31" i="7"/>
  <c r="R201" i="7"/>
  <c r="T147" i="7"/>
  <c r="AH220" i="7"/>
  <c r="AH196" i="7"/>
  <c r="Y166" i="7"/>
  <c r="X180" i="7"/>
  <c r="AC227" i="7"/>
  <c r="S56" i="7"/>
  <c r="AA158" i="7"/>
  <c r="U202" i="7"/>
  <c r="F75" i="8" a="1"/>
  <c r="AC69" i="7"/>
  <c r="AA54" i="7"/>
  <c r="AG49" i="7"/>
  <c r="AC117" i="7"/>
  <c r="Z232" i="7"/>
  <c r="Y124" i="7"/>
  <c r="W98" i="7"/>
  <c r="W64" i="7"/>
  <c r="U36" i="7"/>
  <c r="R167" i="7"/>
  <c r="U109" i="7"/>
  <c r="AC106" i="7"/>
  <c r="W23" i="7"/>
  <c r="AC224" i="7"/>
  <c r="V28" i="7"/>
  <c r="AE180" i="7"/>
  <c r="V44" i="7"/>
  <c r="AF64" i="7"/>
  <c r="AB230" i="7"/>
  <c r="AA91" i="7"/>
  <c r="AA24" i="7"/>
  <c r="S36" i="7"/>
  <c r="Z14" i="7"/>
  <c r="AG41" i="7"/>
  <c r="W66" i="7"/>
  <c r="S46" i="7"/>
  <c r="R225" i="7"/>
  <c r="U81" i="7"/>
  <c r="AE228" i="7"/>
  <c r="S29" i="7"/>
  <c r="AG56" i="7"/>
  <c r="R198" i="7"/>
  <c r="Y86" i="7"/>
  <c r="Y32" i="7"/>
  <c r="AB77" i="7"/>
  <c r="Z207" i="7"/>
  <c r="Y204" i="7"/>
  <c r="AC37" i="7"/>
  <c r="AC233" i="7"/>
  <c r="AF22" i="7"/>
  <c r="AB106" i="7"/>
  <c r="AC101" i="7"/>
  <c r="U64" i="7"/>
  <c r="AH97" i="7"/>
  <c r="T117" i="7"/>
  <c r="AH148" i="7"/>
  <c r="AC141" i="7"/>
  <c r="AF144" i="7"/>
  <c r="W159" i="7"/>
  <c r="AG30" i="7"/>
  <c r="W47" i="7"/>
  <c r="AE51" i="7"/>
  <c r="Z87" i="7"/>
  <c r="T124" i="7"/>
  <c r="AB79" i="7"/>
  <c r="AC85" i="7"/>
  <c r="AB111" i="7"/>
  <c r="AA160" i="7"/>
  <c r="S174" i="7"/>
  <c r="X143" i="7"/>
  <c r="AH124" i="7"/>
  <c r="AD107" i="7"/>
  <c r="AA129" i="7"/>
  <c r="V89" i="7"/>
  <c r="AE189" i="7"/>
  <c r="AB58" i="7"/>
  <c r="AG116" i="7"/>
  <c r="AH84" i="7"/>
  <c r="X131" i="7"/>
  <c r="AH67" i="7"/>
  <c r="AG233" i="7"/>
  <c r="AA56" i="7"/>
  <c r="V85" i="7"/>
  <c r="G76" i="8"/>
  <c r="R165" i="7"/>
  <c r="V34" i="7"/>
  <c r="U111" i="7"/>
  <c r="W29" i="7"/>
  <c r="T82" i="7"/>
  <c r="V81" i="7"/>
  <c r="AD207" i="7"/>
  <c r="AH26" i="7"/>
  <c r="U42" i="7"/>
  <c r="R183" i="7"/>
  <c r="V45" i="7"/>
  <c r="W119" i="7"/>
  <c r="AB16" i="7"/>
  <c r="AH81" i="7"/>
  <c r="AB172" i="7"/>
  <c r="U50" i="7"/>
  <c r="V144" i="7"/>
  <c r="AA33" i="7"/>
  <c r="Z91" i="7"/>
  <c r="T131" i="7"/>
  <c r="Z223" i="7"/>
  <c r="Y96" i="7"/>
  <c r="AD25" i="7"/>
  <c r="W109" i="7"/>
  <c r="AH223" i="7"/>
  <c r="U175" i="7"/>
  <c r="S187" i="7"/>
  <c r="S74" i="7"/>
  <c r="V97" i="7"/>
  <c r="X113" i="7"/>
  <c r="T208" i="7"/>
  <c r="W211" i="7"/>
  <c r="AB144" i="7"/>
  <c r="L5" i="11"/>
  <c r="AH79" i="7"/>
  <c r="AG137" i="7"/>
  <c r="Z222" i="7"/>
  <c r="S155" i="7"/>
  <c r="AD148" i="7"/>
  <c r="AH100" i="7"/>
  <c r="U118" i="7"/>
  <c r="T122" i="7"/>
  <c r="T91" i="7"/>
  <c r="AF51" i="7"/>
  <c r="V227" i="7"/>
  <c r="AA85" i="7"/>
  <c r="T29" i="7"/>
  <c r="AB18" i="7"/>
  <c r="Z231" i="7"/>
  <c r="AC189" i="7"/>
  <c r="R131" i="7"/>
  <c r="AC178" i="7"/>
  <c r="AC79" i="7"/>
  <c r="AA207" i="7"/>
  <c r="Y15" i="7"/>
  <c r="V230" i="7"/>
  <c r="Y121" i="7"/>
  <c r="AC216" i="7"/>
  <c r="V20" i="7"/>
  <c r="Y186" i="7"/>
  <c r="AB199" i="7"/>
  <c r="T224" i="7"/>
  <c r="AD199" i="7"/>
  <c r="AG139" i="7"/>
  <c r="U191" i="7"/>
  <c r="H5" i="11"/>
  <c r="W148" i="7"/>
  <c r="AC223" i="7"/>
  <c r="Z97" i="7"/>
  <c r="W120" i="7"/>
  <c r="AH92" i="7"/>
  <c r="X86" i="7"/>
  <c r="AC171" i="7"/>
  <c r="AA135" i="7"/>
  <c r="W204" i="7"/>
  <c r="R159" i="7"/>
  <c r="U206" i="7"/>
  <c r="T142" i="7"/>
  <c r="AF65" i="7"/>
  <c r="AA186" i="7"/>
  <c r="AG72" i="7"/>
  <c r="AD204" i="7"/>
  <c r="X229" i="7"/>
  <c r="X76" i="7"/>
  <c r="Y138" i="7"/>
  <c r="AG74" i="7"/>
  <c r="V49" i="7"/>
  <c r="U54" i="7"/>
  <c r="T63" i="7"/>
  <c r="R39" i="7"/>
  <c r="AE176" i="7"/>
  <c r="U154" i="7"/>
  <c r="Y87" i="7"/>
  <c r="R94" i="7"/>
  <c r="W196" i="7"/>
  <c r="AD26" i="7"/>
  <c r="U210" i="7"/>
  <c r="U52" i="7"/>
  <c r="AE49" i="7"/>
  <c r="X112" i="7"/>
  <c r="V206" i="7"/>
  <c r="V152" i="7"/>
  <c r="AG79" i="7"/>
  <c r="AA104" i="7"/>
  <c r="X54" i="7"/>
  <c r="AD45" i="7"/>
  <c r="R76" i="7"/>
  <c r="W233" i="7"/>
  <c r="AH96" i="7"/>
  <c r="AE181" i="7"/>
  <c r="AC97" i="7"/>
  <c r="S230" i="7"/>
  <c r="AG33" i="7"/>
  <c r="AH203" i="7"/>
  <c r="Z172" i="7"/>
  <c r="AD28" i="7"/>
  <c r="AA134" i="7"/>
  <c r="S149" i="7"/>
  <c r="W203" i="7"/>
  <c r="AF77" i="7"/>
  <c r="AH134" i="7"/>
  <c r="Z102" i="7"/>
  <c r="AG103" i="7"/>
  <c r="AA25" i="7"/>
  <c r="Y137" i="7"/>
  <c r="W146" i="7"/>
  <c r="AA95" i="7"/>
  <c r="R124" i="7"/>
  <c r="Y155" i="7"/>
  <c r="U208" i="7"/>
  <c r="V165" i="7"/>
  <c r="X62" i="7"/>
  <c r="AG42" i="7"/>
  <c r="X21" i="7"/>
  <c r="W209" i="7"/>
  <c r="Y26" i="7"/>
  <c r="X82" i="7"/>
  <c r="AG112" i="7"/>
  <c r="S58" i="7"/>
  <c r="U58" i="7"/>
  <c r="AH158" i="7"/>
  <c r="AH56" i="7"/>
  <c r="R85" i="7"/>
  <c r="AE43" i="7"/>
  <c r="AA74" i="7"/>
  <c r="AG156" i="7"/>
  <c r="Z115" i="7"/>
  <c r="X204" i="7"/>
  <c r="AC201" i="7"/>
  <c r="AF127" i="7"/>
  <c r="T213" i="7"/>
  <c r="AE227" i="7"/>
  <c r="AC192" i="7"/>
  <c r="AG177" i="7"/>
  <c r="S184" i="7"/>
  <c r="T158" i="7"/>
  <c r="AF92" i="7"/>
  <c r="AD24" i="7"/>
  <c r="T215" i="7"/>
  <c r="AB46" i="7"/>
  <c r="V157" i="7"/>
  <c r="AA79" i="7"/>
  <c r="AD38" i="7"/>
  <c r="Y54" i="7"/>
  <c r="L8" i="11"/>
  <c r="AH191" i="7"/>
  <c r="K15" i="11" a="1"/>
  <c r="Y127" i="7"/>
  <c r="AB74" i="7"/>
  <c r="W195" i="7"/>
  <c r="AC193" i="7"/>
  <c r="U47" i="7"/>
  <c r="AG124" i="7"/>
  <c r="U136" i="7"/>
  <c r="K5" i="11" a="1"/>
  <c r="C10" i="11"/>
  <c r="U29" i="7"/>
  <c r="AE145" i="7"/>
  <c r="T202" i="7"/>
  <c r="S220" i="7"/>
  <c r="T218" i="7"/>
  <c r="AD169" i="7"/>
  <c r="AH159" i="7"/>
  <c r="R135" i="7"/>
  <c r="Y202" i="7"/>
  <c r="R71" i="7"/>
  <c r="Y231" i="7"/>
  <c r="AA73" i="7"/>
  <c r="Y149" i="7"/>
  <c r="Z201" i="7"/>
  <c r="Y16" i="7"/>
  <c r="W224" i="7"/>
  <c r="W158" i="7"/>
  <c r="AH174" i="7"/>
  <c r="X151" i="7"/>
  <c r="AD91" i="7"/>
  <c r="AA182" i="7"/>
  <c r="AC222" i="7"/>
  <c r="R16" i="7"/>
  <c r="AH44" i="7"/>
  <c r="AA65" i="7"/>
  <c r="AA194" i="7"/>
  <c r="AG84" i="7"/>
  <c r="AE26" i="7"/>
  <c r="Y67" i="7"/>
  <c r="U139" i="7"/>
  <c r="AC162" i="7"/>
  <c r="AB72" i="7"/>
  <c r="Y55" i="7"/>
  <c r="Z136" i="7"/>
  <c r="U227" i="7"/>
  <c r="S225" i="7"/>
  <c r="AF229" i="7"/>
  <c r="V168" i="7"/>
  <c r="W113" i="7"/>
  <c r="AA32" i="7"/>
  <c r="W161" i="7"/>
  <c r="AG179" i="7"/>
  <c r="AH185" i="7"/>
  <c r="X211" i="7"/>
  <c r="Y223" i="7"/>
  <c r="AG217" i="7"/>
  <c r="AF58" i="7"/>
  <c r="T182" i="7"/>
  <c r="AD58" i="7"/>
  <c r="AE157" i="7"/>
  <c r="AH109" i="7"/>
  <c r="AH127" i="7"/>
  <c r="AD117" i="7"/>
  <c r="S35" i="7"/>
  <c r="R21" i="7"/>
  <c r="AH227" i="7"/>
  <c r="AE95" i="7"/>
  <c r="V163" i="7"/>
  <c r="W129" i="7"/>
  <c r="Z178" i="7"/>
  <c r="AF189" i="7"/>
  <c r="X172" i="7"/>
  <c r="X163" i="7"/>
  <c r="R190" i="7"/>
  <c r="R152" i="7"/>
  <c r="AE57" i="7"/>
  <c r="AA202" i="7"/>
  <c r="T28" i="7"/>
  <c r="Y23" i="7"/>
  <c r="AC104" i="7"/>
  <c r="AE211" i="7"/>
  <c r="Z51" i="7"/>
  <c r="AG161" i="7"/>
  <c r="T137" i="7"/>
  <c r="AH216" i="7"/>
  <c r="U70" i="7"/>
  <c r="V31" i="7"/>
  <c r="AH82" i="7"/>
  <c r="S137" i="7"/>
  <c r="AB176" i="7"/>
  <c r="Y95" i="7"/>
  <c r="X139" i="7"/>
  <c r="Z163" i="7"/>
  <c r="AG51" i="7"/>
  <c r="AH30" i="7"/>
  <c r="W96" i="7"/>
  <c r="Z138" i="7"/>
  <c r="AF135" i="7"/>
  <c r="T232" i="7"/>
  <c r="AC161" i="7"/>
  <c r="R51" i="7"/>
  <c r="S113" i="7"/>
  <c r="X178" i="7"/>
  <c r="Y179" i="7"/>
  <c r="AA78" i="7"/>
  <c r="T41" i="7"/>
  <c r="Y43" i="7"/>
  <c r="X47" i="7"/>
  <c r="AG113" i="7"/>
  <c r="V82" i="7"/>
  <c r="T187" i="7"/>
  <c r="AE171" i="7"/>
  <c r="AB210" i="7"/>
  <c r="AD97" i="7"/>
  <c r="AE109" i="7"/>
  <c r="R157" i="7"/>
  <c r="AC230" i="7"/>
  <c r="T56" i="7"/>
  <c r="AE81" i="7"/>
  <c r="AG37" i="7"/>
  <c r="AD197" i="7"/>
  <c r="S77" i="7"/>
  <c r="Z86" i="7"/>
  <c r="AC136" i="7"/>
  <c r="AC34" i="7"/>
  <c r="Y142" i="7"/>
  <c r="X32" i="7"/>
  <c r="AD42" i="7"/>
  <c r="AE60" i="7"/>
  <c r="H11" i="11"/>
  <c r="Z181" i="7"/>
  <c r="AG203" i="7"/>
  <c r="U59" i="7"/>
  <c r="T210" i="7"/>
  <c r="AD213" i="7"/>
  <c r="U72" i="7"/>
  <c r="R13" i="7"/>
  <c r="S144" i="7"/>
  <c r="W104" i="7"/>
  <c r="AF163" i="7"/>
  <c r="AB25" i="7"/>
  <c r="B86" i="8"/>
  <c r="AA166" i="7"/>
  <c r="AC166" i="7"/>
  <c r="Y210" i="7"/>
  <c r="AF96" i="7"/>
  <c r="Y190" i="7"/>
  <c r="AA148" i="7"/>
  <c r="Z36" i="7"/>
  <c r="V80" i="7"/>
  <c r="AE38" i="7"/>
  <c r="U179" i="7"/>
  <c r="V103" i="7"/>
  <c r="W216" i="7"/>
  <c r="T71" i="7"/>
  <c r="R105" i="7"/>
  <c r="Y22" i="7"/>
  <c r="AH202" i="7"/>
  <c r="R78" i="7"/>
  <c r="AD23" i="7"/>
  <c r="AD89" i="7"/>
  <c r="R92" i="7"/>
  <c r="Z38" i="7"/>
  <c r="U137" i="7"/>
  <c r="S121" i="7"/>
  <c r="AD193" i="7"/>
  <c r="R162" i="7"/>
  <c r="V115" i="7"/>
  <c r="AC60" i="7"/>
  <c r="AH143" i="7"/>
  <c r="T15" i="7"/>
  <c r="W97" i="7"/>
  <c r="AH231" i="7"/>
  <c r="AA178" i="7"/>
  <c r="Z160" i="7"/>
  <c r="AA92" i="7"/>
  <c r="AA30" i="7"/>
  <c r="R81" i="7"/>
  <c r="AH85" i="7"/>
  <c r="AD167" i="7"/>
  <c r="X64" i="7"/>
  <c r="T162" i="7"/>
  <c r="AG157" i="7"/>
  <c r="W48" i="7"/>
  <c r="AH221" i="7"/>
  <c r="T105" i="7"/>
  <c r="X65" i="7"/>
  <c r="AC71" i="7"/>
  <c r="U151" i="7"/>
  <c r="AE167" i="7"/>
  <c r="U101" i="7"/>
  <c r="U20" i="7"/>
  <c r="V101" i="7"/>
  <c r="AE74" i="7"/>
  <c r="AD157" i="7"/>
  <c r="AH176" i="7"/>
  <c r="R142" i="7"/>
  <c r="AA48" i="7"/>
  <c r="AH49" i="7"/>
  <c r="AD227" i="7"/>
  <c r="AG111" i="7"/>
  <c r="T64" i="7"/>
  <c r="R26" i="7"/>
  <c r="Y120" i="7"/>
  <c r="AB219" i="7"/>
  <c r="R181" i="7"/>
  <c r="G73" i="8"/>
  <c r="W225" i="7"/>
  <c r="AA105" i="7"/>
  <c r="U16" i="7"/>
  <c r="U156" i="7"/>
  <c r="AF109" i="7"/>
  <c r="AD202" i="7"/>
  <c r="AA200" i="7"/>
  <c r="Y221" i="7"/>
  <c r="AG165" i="7"/>
  <c r="Z187" i="7"/>
  <c r="AA191" i="7"/>
  <c r="AB89" i="7"/>
  <c r="AC182" i="7"/>
  <c r="AH87" i="7"/>
  <c r="AG149" i="7"/>
  <c r="AG182" i="7"/>
  <c r="AF115" i="7"/>
  <c r="U33" i="7"/>
  <c r="AF60" i="7"/>
  <c r="AG228" i="7"/>
  <c r="Y17" i="7"/>
  <c r="AF140" i="7"/>
  <c r="S91" i="7"/>
  <c r="AE212" i="7"/>
  <c r="S163" i="7"/>
  <c r="R117" i="7"/>
  <c r="AH129" i="7"/>
  <c r="T49" i="7"/>
  <c r="U112" i="7"/>
  <c r="T226" i="7"/>
  <c r="AD30" i="7"/>
  <c r="AB168" i="7"/>
  <c r="R128" i="7"/>
  <c r="S227" i="7"/>
  <c r="AD203" i="7"/>
  <c r="T16" i="7"/>
  <c r="X71" i="7"/>
  <c r="Z69" i="7"/>
  <c r="AH232" i="7"/>
  <c r="AF160" i="7"/>
  <c r="AG152" i="7"/>
  <c r="Y60" i="7"/>
  <c r="G85" i="8"/>
  <c r="Y146" i="7"/>
  <c r="V146" i="7"/>
  <c r="AF21" i="7"/>
  <c r="U147" i="7"/>
  <c r="AF27" i="7"/>
  <c r="Z15" i="7"/>
  <c r="AB137" i="7"/>
  <c r="S81" i="7"/>
  <c r="T134" i="7"/>
  <c r="AB55" i="7"/>
  <c r="U98" i="7"/>
  <c r="W213" i="7"/>
  <c r="S125" i="7"/>
  <c r="S104" i="7"/>
  <c r="Y51" i="7"/>
  <c r="AB54" i="7"/>
  <c r="AA213" i="7"/>
  <c r="AE220" i="7"/>
  <c r="AH197" i="7"/>
  <c r="X140" i="7"/>
  <c r="AH27" i="7"/>
  <c r="AC228" i="7"/>
  <c r="AH63" i="7"/>
  <c r="T189" i="7"/>
  <c r="Y197" i="7"/>
  <c r="T128" i="7"/>
  <c r="S114" i="7"/>
  <c r="AA222" i="7"/>
  <c r="AC145" i="7"/>
  <c r="T26" i="7"/>
  <c r="K11" i="11" a="1"/>
  <c r="AA66" i="7"/>
  <c r="R203" i="7"/>
  <c r="V229" i="7"/>
  <c r="X145" i="7"/>
  <c r="Y65" i="7"/>
  <c r="AF220" i="7"/>
  <c r="C3" i="11"/>
  <c r="U102" i="7"/>
  <c r="T22" i="7"/>
  <c r="W118" i="7"/>
  <c r="U207" i="7"/>
  <c r="AB81" i="7"/>
  <c r="AG170" i="7"/>
  <c r="R134" i="7"/>
  <c r="AA180" i="7"/>
  <c r="H3" i="11"/>
  <c r="V181" i="7"/>
  <c r="W189" i="7"/>
  <c r="AH113" i="7"/>
  <c r="AG118" i="7"/>
  <c r="L3" i="11"/>
  <c r="AB179" i="7"/>
  <c r="AH140" i="7"/>
  <c r="X91" i="7"/>
  <c r="W218" i="7"/>
  <c r="AE111" i="7"/>
  <c r="T188" i="7"/>
  <c r="AE231" i="7"/>
  <c r="AB120" i="7"/>
  <c r="X60" i="7"/>
  <c r="AA113" i="7"/>
  <c r="H15" i="11"/>
  <c r="AG199" i="7"/>
  <c r="AH189" i="7"/>
  <c r="AB35" i="7"/>
  <c r="AD178" i="7"/>
  <c r="U14" i="7"/>
  <c r="T107" i="7"/>
  <c r="AA40" i="7"/>
  <c r="AH74" i="7"/>
  <c r="R125" i="7"/>
  <c r="T195" i="7"/>
  <c r="AB149" i="7"/>
  <c r="T97" i="7"/>
  <c r="Y156" i="7"/>
  <c r="AB45" i="7"/>
  <c r="U171" i="7"/>
  <c r="AF166" i="7"/>
  <c r="AD192" i="7"/>
  <c r="S177" i="7"/>
  <c r="AD98" i="7"/>
  <c r="AF219" i="7"/>
  <c r="AA212" i="7"/>
  <c r="X168" i="7"/>
  <c r="T27" i="7"/>
  <c r="AD116" i="7"/>
  <c r="S22" i="7"/>
  <c r="K16" i="11" a="1"/>
  <c r="AC165" i="7"/>
  <c r="W37" i="7"/>
  <c r="F73" i="8" a="1"/>
  <c r="AH209" i="7"/>
  <c r="W194" i="7"/>
  <c r="X220" i="7"/>
  <c r="H9" i="11"/>
  <c r="T169" i="7"/>
  <c r="AF86" i="7"/>
  <c r="AA38" i="7"/>
  <c r="U39" i="7"/>
  <c r="AH190" i="7"/>
  <c r="R231" i="7"/>
  <c r="S223" i="7"/>
  <c r="W183" i="7"/>
  <c r="AE45" i="7"/>
  <c r="AB226" i="7"/>
  <c r="Y111" i="7"/>
  <c r="AH42" i="7"/>
  <c r="AG63" i="7"/>
  <c r="X152" i="7"/>
  <c r="AE113" i="7"/>
  <c r="AH144" i="7"/>
  <c r="AH146" i="7"/>
  <c r="AF63" i="7"/>
  <c r="W68" i="7"/>
  <c r="S86" i="7"/>
  <c r="S159" i="7"/>
  <c r="AF159" i="7"/>
  <c r="U32" i="7"/>
  <c r="Y183" i="7"/>
  <c r="T46" i="7"/>
  <c r="AB213" i="7"/>
  <c r="X95" i="7"/>
  <c r="W208" i="7"/>
  <c r="AD13" i="7"/>
  <c r="AA156" i="7"/>
  <c r="Z65" i="7"/>
  <c r="Z217" i="7"/>
  <c r="T168" i="7"/>
  <c r="AB156" i="7"/>
  <c r="AE40" i="7"/>
  <c r="AD132" i="7"/>
  <c r="AG201" i="7"/>
  <c r="AB155" i="7"/>
  <c r="AD103" i="7"/>
  <c r="AD131" i="7"/>
  <c r="V137" i="7"/>
  <c r="Y135" i="7"/>
  <c r="AE85" i="7"/>
  <c r="AF79" i="7"/>
  <c r="R123" i="7"/>
  <c r="V73" i="7"/>
  <c r="Z59" i="7"/>
  <c r="Y82" i="7"/>
  <c r="G77" i="8"/>
  <c r="AB122" i="7"/>
  <c r="AH78" i="7"/>
  <c r="V191" i="7"/>
  <c r="U22" i="7"/>
  <c r="AC169" i="7"/>
  <c r="AF199" i="7"/>
  <c r="AF210" i="7"/>
  <c r="L6" i="11"/>
  <c r="AA192" i="7"/>
  <c r="AA232" i="7"/>
  <c r="AC168" i="7"/>
  <c r="AH184" i="7"/>
  <c r="AB190" i="7"/>
  <c r="R148" i="7"/>
  <c r="S63" i="7"/>
  <c r="V40" i="7"/>
  <c r="AC56" i="7"/>
  <c r="V64" i="7"/>
  <c r="AE16" i="7"/>
  <c r="AA216" i="7"/>
  <c r="Y194" i="7"/>
  <c r="R193" i="7"/>
  <c r="W67" i="7"/>
  <c r="AF17" i="7"/>
  <c r="AC40" i="7"/>
  <c r="W170" i="7"/>
  <c r="AC44" i="7"/>
  <c r="AC114" i="7"/>
  <c r="T219" i="7"/>
  <c r="X120" i="7"/>
  <c r="R63" i="7"/>
  <c r="AC198" i="7"/>
  <c r="U84" i="7"/>
  <c r="AD85" i="7"/>
  <c r="X103" i="7"/>
  <c r="T18" i="7"/>
  <c r="AD48" i="7"/>
  <c r="T216" i="7"/>
  <c r="AD49" i="7"/>
  <c r="S176" i="7"/>
  <c r="AH22" i="7"/>
  <c r="S17" i="7"/>
  <c r="V215" i="7"/>
  <c r="R150" i="7"/>
  <c r="Y209" i="7"/>
  <c r="AB136" i="7"/>
  <c r="X28" i="7"/>
  <c r="R122" i="7"/>
  <c r="U62" i="7"/>
  <c r="AF233" i="7"/>
  <c r="Y176" i="7"/>
  <c r="S60" i="7"/>
  <c r="AE191" i="7"/>
  <c r="AE175" i="7"/>
  <c r="Z129" i="7"/>
  <c r="AD59" i="7"/>
  <c r="Y72" i="7"/>
  <c r="X213" i="7"/>
  <c r="X206" i="7"/>
  <c r="Z37" i="7"/>
  <c r="AF145" i="7"/>
  <c r="AF232" i="7"/>
  <c r="AE150" i="7"/>
  <c r="U93" i="7"/>
  <c r="AH182" i="7"/>
  <c r="AF224" i="7"/>
  <c r="R77" i="7"/>
  <c r="AC19" i="7"/>
  <c r="W226" i="7"/>
  <c r="S47" i="7"/>
  <c r="X190" i="7"/>
  <c r="AE136" i="7"/>
  <c r="Y139" i="7"/>
  <c r="AE28" i="7"/>
  <c r="AD133" i="7"/>
  <c r="W16" i="7"/>
  <c r="AD186" i="7"/>
  <c r="AF185" i="7"/>
  <c r="AF138" i="7"/>
  <c r="AE32" i="7"/>
  <c r="W55" i="7"/>
  <c r="X104" i="7"/>
  <c r="T14" i="7"/>
  <c r="X75" i="7"/>
  <c r="T94" i="7"/>
  <c r="S18" i="7"/>
  <c r="S54" i="7"/>
  <c r="AA224" i="7"/>
  <c r="U24" i="7"/>
  <c r="AA47" i="7"/>
  <c r="AG12" i="7"/>
  <c r="T127" i="7"/>
  <c r="AD212" i="7"/>
  <c r="AH98" i="7"/>
  <c r="AC147" i="7"/>
  <c r="R179" i="7"/>
  <c r="AE30" i="7"/>
  <c r="Z34" i="7"/>
  <c r="T156" i="7"/>
  <c r="W206" i="7"/>
  <c r="Y125" i="7"/>
  <c r="X199" i="7"/>
  <c r="S146" i="7"/>
  <c r="AC64" i="7"/>
  <c r="V200" i="7"/>
  <c r="R220" i="7"/>
  <c r="T150" i="7"/>
  <c r="U89" i="7"/>
  <c r="U217" i="7"/>
  <c r="S182" i="7"/>
  <c r="X92" i="7"/>
  <c r="W166" i="7"/>
  <c r="F82" i="8" a="1"/>
  <c r="Z11" i="7"/>
  <c r="T163" i="7"/>
  <c r="AD87" i="7"/>
  <c r="AF34" i="7"/>
  <c r="T76" i="7"/>
  <c r="AG62" i="7"/>
  <c r="S167" i="7"/>
  <c r="T31" i="7"/>
  <c r="AG134" i="7"/>
  <c r="Z144" i="7"/>
  <c r="AA187" i="7"/>
  <c r="U194" i="7"/>
  <c r="G78" i="8"/>
  <c r="AH199" i="7"/>
  <c r="X100" i="7"/>
  <c r="AG147" i="7"/>
  <c r="U216" i="7"/>
  <c r="Y198" i="7"/>
  <c r="S38" i="7"/>
  <c r="AC109" i="7"/>
  <c r="X215" i="7"/>
  <c r="R103" i="7"/>
  <c r="AG109" i="7"/>
  <c r="U222" i="7"/>
  <c r="AF162" i="7"/>
  <c r="Z183" i="7"/>
  <c r="AD191" i="7"/>
  <c r="S138" i="7"/>
  <c r="AG218" i="7"/>
  <c r="T176" i="7"/>
  <c r="AB40" i="7"/>
  <c r="S199" i="7"/>
  <c r="AE15" i="7"/>
  <c r="AF68" i="7"/>
  <c r="R44" i="7"/>
  <c r="AA139" i="7"/>
  <c r="U86" i="7"/>
  <c r="T45" i="7"/>
  <c r="AG102" i="7"/>
  <c r="AB109" i="7"/>
  <c r="AB62" i="7"/>
  <c r="F87" i="8" a="1"/>
  <c r="R84" i="7"/>
  <c r="AD27" i="7"/>
  <c r="AB185" i="7"/>
  <c r="X23" i="7"/>
  <c r="T230" i="7"/>
  <c r="T129" i="7"/>
  <c r="H6" i="11"/>
  <c r="R229" i="7"/>
  <c r="L15" i="11"/>
  <c r="R65" i="7"/>
  <c r="AC184" i="7"/>
  <c r="Y230" i="7"/>
  <c r="AF204" i="7"/>
  <c r="W180" i="7"/>
  <c r="X68" i="7"/>
  <c r="R111" i="7"/>
  <c r="AB211" i="7"/>
  <c r="K19" i="11" a="1"/>
  <c r="AC74" i="7"/>
  <c r="AE44" i="7"/>
  <c r="Y117" i="7"/>
  <c r="X94" i="7"/>
  <c r="R129" i="7"/>
  <c r="F85" i="8" a="1"/>
  <c r="U56" i="7"/>
  <c r="AB193" i="7"/>
  <c r="AD71" i="7"/>
  <c r="AG89" i="7"/>
  <c r="AC22" i="7"/>
  <c r="AB166" i="7"/>
  <c r="AE217" i="7"/>
  <c r="V134" i="7"/>
  <c r="S52" i="7"/>
  <c r="T23" i="7"/>
  <c r="W70" i="7"/>
  <c r="Z74" i="7"/>
  <c r="R212" i="7"/>
  <c r="X29" i="7"/>
  <c r="S31" i="7"/>
  <c r="V61" i="7"/>
  <c r="W53" i="7"/>
  <c r="AD60" i="7"/>
  <c r="AC62" i="7"/>
  <c r="AE168" i="7"/>
  <c r="Y77" i="7"/>
  <c r="Y129" i="7"/>
  <c r="AA81" i="7"/>
  <c r="T223" i="7"/>
  <c r="V140" i="7"/>
  <c r="W95" i="7"/>
  <c r="AC98" i="7"/>
  <c r="AD15" i="7"/>
  <c r="AH177" i="7"/>
  <c r="R49" i="7"/>
  <c r="AE178" i="7"/>
  <c r="T151" i="7"/>
  <c r="AB163" i="7"/>
  <c r="W103" i="7"/>
  <c r="AH133" i="7"/>
  <c r="U104" i="7"/>
  <c r="R20" i="7"/>
  <c r="AC20" i="7"/>
  <c r="W100" i="7"/>
  <c r="AE172" i="7"/>
  <c r="AD219" i="7"/>
  <c r="R204" i="7"/>
  <c r="U226" i="7"/>
  <c r="W193" i="7"/>
  <c r="X177" i="7"/>
  <c r="AC63" i="7"/>
  <c r="X160" i="7"/>
  <c r="Z47" i="7"/>
  <c r="AE135" i="7"/>
  <c r="X185" i="7"/>
  <c r="T159" i="7"/>
  <c r="R47" i="7"/>
  <c r="W139" i="7"/>
  <c r="X171" i="7"/>
  <c r="AD20" i="7"/>
  <c r="AD47" i="7"/>
  <c r="T96" i="7"/>
  <c r="S48" i="7"/>
  <c r="U177" i="7"/>
  <c r="T81" i="7"/>
  <c r="AA199" i="7"/>
  <c r="AF28" i="7"/>
  <c r="AH233" i="7"/>
  <c r="R66" i="7"/>
  <c r="AD147" i="7"/>
  <c r="U74" i="7"/>
  <c r="K14" i="11" a="1"/>
  <c r="K14" i="11" l="1"/>
  <c r="AK204" i="7"/>
  <c r="F85" i="8"/>
  <c r="K85" i="8" s="1"/>
  <c r="K19" i="11"/>
  <c r="AK111" i="7"/>
  <c r="P15" i="11"/>
  <c r="AK84" i="7"/>
  <c r="F87" i="8"/>
  <c r="K87" i="8" s="1"/>
  <c r="AK44" i="7"/>
  <c r="F82" i="8"/>
  <c r="K82" i="8" s="1"/>
  <c r="AK179" i="7"/>
  <c r="AK150" i="7"/>
  <c r="P6" i="11"/>
  <c r="AK231" i="7"/>
  <c r="F73" i="8"/>
  <c r="K16" i="11"/>
  <c r="P3" i="11"/>
  <c r="E3" i="11"/>
  <c r="K11" i="11"/>
  <c r="AK181" i="7"/>
  <c r="AK26" i="7"/>
  <c r="AK142" i="7"/>
  <c r="AK78" i="7"/>
  <c r="D86" i="8"/>
  <c r="E10" i="11"/>
  <c r="K5" i="11"/>
  <c r="K15" i="11"/>
  <c r="P8" i="11"/>
  <c r="AK85" i="7"/>
  <c r="AK76" i="7"/>
  <c r="AK159" i="7"/>
  <c r="P5" i="11"/>
  <c r="AK183" i="7"/>
  <c r="AK198" i="7"/>
  <c r="AK225" i="7"/>
  <c r="F75" i="8"/>
  <c r="K75" i="8" s="1"/>
  <c r="F79" i="8"/>
  <c r="K79" i="8" s="1"/>
  <c r="K6" i="11"/>
  <c r="AK24" i="7"/>
  <c r="AK12" i="7"/>
  <c r="AK62" i="7"/>
  <c r="E17" i="11"/>
  <c r="G9" i="11"/>
  <c r="AK121" i="7"/>
  <c r="AK232" i="7"/>
  <c r="AK57" i="7"/>
  <c r="AK189" i="7"/>
  <c r="AK55" i="7"/>
  <c r="AK95" i="7"/>
  <c r="AK230" i="7"/>
  <c r="E18" i="11"/>
  <c r="D74" i="8"/>
  <c r="K10" i="11"/>
  <c r="E7" i="11"/>
  <c r="G7" i="11"/>
  <c r="AK114" i="7"/>
  <c r="F81" i="8"/>
  <c r="K81" i="8" s="1"/>
  <c r="K13" i="11"/>
  <c r="G13" i="11"/>
  <c r="G4" i="11"/>
  <c r="D80" i="8"/>
  <c r="AK82" i="7"/>
  <c r="E19" i="11"/>
  <c r="AK233" i="7"/>
  <c r="P9" i="11"/>
  <c r="D79" i="8"/>
  <c r="AK223" i="7"/>
  <c r="K73" i="8" l="1"/>
  <c r="S96" i="7"/>
  <c r="Y116" i="7"/>
  <c r="AE87" i="7"/>
  <c r="T89" i="7"/>
  <c r="AF137" i="7"/>
  <c r="AB229" i="7"/>
  <c r="AF73" i="7"/>
  <c r="S215" i="7"/>
  <c r="V72" i="7"/>
  <c r="AA63" i="7"/>
  <c r="X80" i="7"/>
  <c r="Y132" i="7"/>
  <c r="X226" i="7"/>
  <c r="R211" i="7"/>
  <c r="Y106" i="7"/>
  <c r="S109" i="7"/>
  <c r="T60" i="7"/>
  <c r="S106" i="7"/>
  <c r="V111" i="7"/>
  <c r="AH88" i="7"/>
  <c r="X111" i="7"/>
  <c r="AH225" i="7"/>
  <c r="AB92" i="7"/>
  <c r="AA197" i="7"/>
  <c r="AH57" i="7"/>
  <c r="Z203" i="7"/>
  <c r="AA103" i="7"/>
  <c r="H13" i="11"/>
  <c r="AD189" i="7"/>
  <c r="S135" i="7"/>
  <c r="R35" i="7"/>
  <c r="R171" i="7"/>
  <c r="R42" i="7"/>
  <c r="F77" i="8" a="1"/>
  <c r="AC152" i="7"/>
  <c r="V13" i="7"/>
  <c r="X159" i="7"/>
  <c r="AE24" i="7"/>
  <c r="AH163" i="7"/>
  <c r="S65" i="7"/>
  <c r="W117" i="7"/>
  <c r="W210" i="7"/>
  <c r="AA76" i="7"/>
  <c r="AC88" i="7"/>
  <c r="Y12" i="7"/>
  <c r="W30" i="7"/>
  <c r="AG162" i="7"/>
  <c r="X117" i="7"/>
  <c r="AF176" i="7"/>
  <c r="AG39" i="7"/>
  <c r="Y78" i="7"/>
  <c r="AF170" i="7"/>
  <c r="S203" i="7"/>
  <c r="S95" i="7"/>
  <c r="Y233" i="7"/>
  <c r="AA64" i="7"/>
  <c r="AC170" i="7"/>
  <c r="X96" i="7"/>
  <c r="S201" i="7"/>
  <c r="H18" i="11"/>
  <c r="AG190" i="7"/>
  <c r="AG166" i="7"/>
  <c r="X51" i="7"/>
  <c r="AH154" i="7"/>
  <c r="V209" i="7"/>
  <c r="K7" i="11" a="1"/>
  <c r="Z121" i="7"/>
  <c r="AB28" i="7"/>
  <c r="AF14" i="7"/>
  <c r="Z106" i="7"/>
  <c r="AH71" i="7"/>
  <c r="AD16" i="7"/>
  <c r="Y181" i="7"/>
  <c r="S229" i="7"/>
  <c r="AF215" i="7"/>
  <c r="AH12" i="7"/>
  <c r="V172" i="7"/>
  <c r="AG44" i="7"/>
  <c r="S181" i="7"/>
  <c r="AD231" i="7"/>
  <c r="AC133" i="7"/>
  <c r="AF211" i="7"/>
  <c r="T79" i="7"/>
  <c r="V143" i="7"/>
  <c r="AF191" i="7"/>
  <c r="AB192" i="7"/>
  <c r="Z77" i="7"/>
  <c r="V161" i="7"/>
  <c r="S185" i="7"/>
  <c r="AC212" i="7"/>
  <c r="AB129" i="7"/>
  <c r="Y154" i="7"/>
  <c r="T67" i="7"/>
  <c r="AE155" i="7"/>
  <c r="AD225" i="7"/>
  <c r="Y62" i="7"/>
  <c r="AG189" i="7"/>
  <c r="W207" i="7"/>
  <c r="Y152" i="7"/>
  <c r="AD19" i="7"/>
  <c r="X197" i="7"/>
  <c r="AC77" i="7"/>
  <c r="Y141" i="7"/>
  <c r="R93" i="7"/>
  <c r="R109" i="7"/>
  <c r="Z152" i="7"/>
  <c r="AF89" i="7"/>
  <c r="Z186" i="7"/>
  <c r="AG143" i="7"/>
  <c r="AD166" i="7"/>
  <c r="R151" i="7"/>
  <c r="AB215" i="7"/>
  <c r="AB145" i="7"/>
  <c r="Z176" i="7"/>
  <c r="AG75" i="7"/>
  <c r="U125" i="7"/>
  <c r="AA60" i="7"/>
  <c r="AD129" i="7"/>
  <c r="V169" i="7"/>
  <c r="W192" i="7"/>
  <c r="AC123" i="7"/>
  <c r="W36" i="7"/>
  <c r="AA169" i="7"/>
  <c r="X200" i="7"/>
  <c r="W56" i="7"/>
  <c r="Z111" i="7"/>
  <c r="Y151" i="7"/>
  <c r="V62" i="7"/>
  <c r="AC39" i="7"/>
  <c r="AD52" i="7"/>
  <c r="AE121" i="7"/>
  <c r="W24" i="7"/>
  <c r="AH169" i="7"/>
  <c r="W172" i="7"/>
  <c r="X208" i="7"/>
  <c r="W51" i="7"/>
  <c r="Z96" i="7"/>
  <c r="AA196" i="7"/>
  <c r="AA87" i="7"/>
  <c r="AE197" i="7"/>
  <c r="AC112" i="7"/>
  <c r="AG150" i="7"/>
  <c r="S26" i="7"/>
  <c r="U41" i="7"/>
  <c r="AH65" i="7"/>
  <c r="AE116" i="7"/>
  <c r="X141" i="7"/>
  <c r="AH72" i="7"/>
  <c r="T121" i="7"/>
  <c r="T70" i="7"/>
  <c r="Y165" i="7"/>
  <c r="S49" i="7"/>
  <c r="AD170" i="7"/>
  <c r="AD92" i="7"/>
  <c r="S172" i="7"/>
  <c r="V70" i="7"/>
  <c r="S194" i="7"/>
  <c r="X142" i="7"/>
  <c r="AG47" i="7"/>
  <c r="Y48" i="7"/>
  <c r="X136" i="7"/>
  <c r="U40" i="7"/>
  <c r="AE147" i="7"/>
  <c r="AD81" i="7"/>
  <c r="AC157" i="7"/>
  <c r="Y191" i="7"/>
  <c r="V71" i="7"/>
  <c r="Z182" i="7"/>
  <c r="AG223" i="7"/>
  <c r="AH111" i="7"/>
  <c r="T43" i="7"/>
  <c r="AE107" i="7"/>
  <c r="AE79" i="7"/>
  <c r="Y45" i="7"/>
  <c r="AA149" i="7"/>
  <c r="R154" i="7"/>
  <c r="AH68" i="7"/>
  <c r="AF53" i="7"/>
  <c r="X39" i="7"/>
  <c r="W178" i="7"/>
  <c r="AH55" i="7"/>
  <c r="Z154" i="7"/>
  <c r="AB160" i="7"/>
  <c r="Z145" i="7"/>
  <c r="S212" i="7"/>
  <c r="W149" i="7"/>
  <c r="AC116" i="7"/>
  <c r="AB162" i="7"/>
  <c r="Z228" i="7"/>
  <c r="AC57" i="7"/>
  <c r="W63" i="7"/>
  <c r="S25" i="7"/>
  <c r="V159" i="7"/>
  <c r="U135" i="7"/>
  <c r="AH43" i="7"/>
  <c r="X216" i="7"/>
  <c r="AF54" i="7"/>
  <c r="AA146" i="7"/>
  <c r="Y110" i="7"/>
  <c r="AF209" i="7"/>
  <c r="AD57" i="7"/>
  <c r="S111" i="7"/>
  <c r="T102" i="7"/>
  <c r="AE192" i="7"/>
  <c r="AE221" i="7"/>
  <c r="Z175" i="7"/>
  <c r="AC58" i="7"/>
  <c r="Y172" i="7"/>
  <c r="AH156" i="7"/>
  <c r="U158" i="7"/>
  <c r="U145" i="7"/>
  <c r="W110" i="7"/>
  <c r="AB52" i="7"/>
  <c r="AE69" i="7"/>
  <c r="AA17" i="7"/>
  <c r="T234" i="7"/>
  <c r="AB104" i="7"/>
  <c r="R156" i="7"/>
  <c r="AE177" i="7"/>
  <c r="AF225" i="7"/>
  <c r="AE62" i="7"/>
  <c r="T20" i="7"/>
  <c r="T25" i="7"/>
  <c r="V11" i="7"/>
  <c r="AC190" i="7"/>
  <c r="AE54" i="7"/>
  <c r="R194" i="7"/>
  <c r="AA110" i="7"/>
  <c r="X15" i="7"/>
  <c r="AG169" i="7"/>
  <c r="AG94" i="7"/>
  <c r="AA168" i="7"/>
  <c r="V32" i="7"/>
  <c r="S51" i="7"/>
  <c r="AB59" i="7"/>
  <c r="AE21" i="7"/>
  <c r="U28" i="7"/>
  <c r="AB105" i="7"/>
  <c r="Y52" i="7"/>
  <c r="X58" i="7"/>
  <c r="V96" i="7"/>
  <c r="AG73" i="7"/>
  <c r="AA179" i="7"/>
  <c r="AG25" i="7"/>
  <c r="AF76" i="7"/>
  <c r="AF141" i="7"/>
  <c r="X19" i="7"/>
  <c r="R217" i="7"/>
  <c r="AB84" i="7"/>
  <c r="AB121" i="7"/>
  <c r="Z225" i="7"/>
  <c r="V151" i="7"/>
  <c r="S232" i="7"/>
  <c r="B87" i="8"/>
  <c r="AE42" i="7"/>
  <c r="AE31" i="7"/>
  <c r="R88" i="7"/>
  <c r="AC95" i="7"/>
  <c r="AD142" i="7"/>
  <c r="Z188" i="7"/>
  <c r="AG141" i="7"/>
  <c r="AB133" i="7"/>
  <c r="S102" i="7"/>
  <c r="W127" i="7"/>
  <c r="AH234" i="7"/>
  <c r="W188" i="7"/>
  <c r="AG197" i="7"/>
  <c r="AH102" i="7"/>
  <c r="Y200" i="7"/>
  <c r="AC81" i="7"/>
  <c r="AD233" i="7"/>
  <c r="AD64" i="7"/>
  <c r="AE210" i="7"/>
  <c r="AA124" i="7"/>
  <c r="S161" i="7"/>
  <c r="AF93" i="7"/>
  <c r="V116" i="7"/>
  <c r="T135" i="7"/>
  <c r="AH178" i="7"/>
  <c r="V109" i="7"/>
  <c r="T125" i="7"/>
  <c r="U170" i="7"/>
  <c r="AF80" i="7"/>
  <c r="Z40" i="7"/>
  <c r="W80" i="7"/>
  <c r="AF32" i="7"/>
  <c r="S148" i="7"/>
  <c r="AD118" i="7"/>
  <c r="K3" i="11" a="1"/>
  <c r="AE131" i="7"/>
  <c r="R72" i="7"/>
  <c r="B85" i="8"/>
  <c r="AH193" i="7"/>
  <c r="U193" i="7"/>
  <c r="AB91" i="7"/>
  <c r="AA204" i="7"/>
  <c r="AC218" i="7"/>
  <c r="W78" i="7"/>
  <c r="AA20" i="7"/>
  <c r="Z233" i="7"/>
  <c r="AH123" i="7"/>
  <c r="Y118" i="7"/>
  <c r="S218" i="7"/>
  <c r="AD159" i="7"/>
  <c r="AA141" i="7"/>
  <c r="X219" i="7"/>
  <c r="U150" i="7"/>
  <c r="AH116" i="7"/>
  <c r="AB198" i="7"/>
  <c r="X186" i="7"/>
  <c r="V129" i="7"/>
  <c r="W85" i="7"/>
  <c r="T100" i="7"/>
  <c r="AC234" i="7"/>
  <c r="AF78" i="7"/>
  <c r="AG200" i="7"/>
  <c r="AD136" i="7"/>
  <c r="Z26" i="7"/>
  <c r="AB139" i="7"/>
  <c r="S178" i="7"/>
  <c r="AC94" i="7"/>
  <c r="AH201" i="7"/>
  <c r="Y160" i="7"/>
  <c r="AF13" i="7"/>
  <c r="AB93" i="7"/>
  <c r="G5" i="11" a="1"/>
  <c r="AH166" i="7"/>
  <c r="AE102" i="7"/>
  <c r="X84" i="7"/>
  <c r="AH207" i="7"/>
  <c r="U229" i="7"/>
  <c r="U116" i="7"/>
  <c r="V43" i="7"/>
  <c r="AC80" i="7"/>
  <c r="Z81" i="7"/>
  <c r="W151" i="7"/>
  <c r="AD232" i="7"/>
  <c r="AC25" i="7"/>
  <c r="AG27" i="7"/>
  <c r="U34" i="7"/>
  <c r="AF212" i="7"/>
  <c r="U79" i="7"/>
  <c r="G11" i="11" a="1"/>
  <c r="V69" i="7"/>
  <c r="V166" i="7"/>
  <c r="AD115" i="7"/>
  <c r="AE137" i="7"/>
  <c r="AB41" i="7"/>
  <c r="AB112" i="7"/>
  <c r="AE174" i="7"/>
  <c r="S217" i="7"/>
  <c r="AB204" i="7"/>
  <c r="R31" i="7"/>
  <c r="R18" i="7"/>
  <c r="AD79" i="7"/>
  <c r="Y144" i="7"/>
  <c r="Z166" i="7"/>
  <c r="R195" i="7"/>
  <c r="Z162" i="7"/>
  <c r="Y92" i="7"/>
  <c r="B76" i="8"/>
  <c r="AG95" i="7"/>
  <c r="W89" i="7"/>
  <c r="W155" i="7"/>
  <c r="AA82" i="7"/>
  <c r="V92" i="7"/>
  <c r="AG215" i="7"/>
  <c r="AG100" i="7"/>
  <c r="T194" i="7"/>
  <c r="G8" i="11" a="1"/>
  <c r="T93" i="7"/>
  <c r="W217" i="7"/>
  <c r="X161" i="7"/>
  <c r="AF147" i="7"/>
  <c r="S122" i="7"/>
  <c r="T58" i="7"/>
  <c r="U232" i="7"/>
  <c r="U94" i="7"/>
  <c r="U127" i="7"/>
  <c r="AA34" i="7"/>
  <c r="AA75" i="7"/>
  <c r="W176" i="7"/>
  <c r="F78" i="8" a="1"/>
  <c r="R149" i="7"/>
  <c r="S139" i="7"/>
  <c r="AA167" i="7"/>
  <c r="AD209" i="7"/>
  <c r="Z95" i="7"/>
  <c r="W186" i="7"/>
  <c r="AG120" i="7"/>
  <c r="AB51" i="7"/>
  <c r="AD139" i="7"/>
  <c r="AD125" i="7"/>
  <c r="Z41" i="7"/>
  <c r="AC103" i="7"/>
  <c r="AG193" i="7"/>
  <c r="Y19" i="7"/>
  <c r="AH105" i="7"/>
  <c r="Y80" i="7"/>
  <c r="R100" i="7"/>
  <c r="AF111" i="7"/>
  <c r="R118" i="7"/>
  <c r="V180" i="7"/>
  <c r="W212" i="7"/>
  <c r="AD154" i="7"/>
  <c r="AA145" i="7"/>
  <c r="X138" i="7"/>
  <c r="AG61" i="7"/>
  <c r="S57" i="7"/>
  <c r="AE201" i="7"/>
  <c r="AD182" i="7"/>
  <c r="Z120" i="7"/>
  <c r="V15" i="7"/>
  <c r="AF113" i="7"/>
  <c r="L11" i="11"/>
  <c r="AC113" i="7"/>
  <c r="AF139" i="7"/>
  <c r="X187" i="7"/>
  <c r="AG15" i="7"/>
  <c r="V66" i="7"/>
  <c r="AB44" i="7"/>
  <c r="AD174" i="7"/>
  <c r="AH139" i="7"/>
  <c r="S82" i="7"/>
  <c r="AA96" i="7"/>
  <c r="AH135" i="7"/>
  <c r="AB148" i="7"/>
  <c r="AC75" i="7"/>
  <c r="AA26" i="7"/>
  <c r="T192" i="7"/>
  <c r="T68" i="7"/>
  <c r="Z159" i="7"/>
  <c r="R38" i="7"/>
  <c r="AC149" i="7"/>
  <c r="X27" i="7"/>
  <c r="U115" i="7"/>
  <c r="AB191" i="7"/>
  <c r="R59" i="7"/>
  <c r="W18" i="7"/>
  <c r="Y71" i="7"/>
  <c r="V186" i="7"/>
  <c r="Y131" i="7"/>
  <c r="T36" i="7"/>
  <c r="U203" i="7"/>
  <c r="U152" i="7"/>
  <c r="AH23" i="7"/>
  <c r="W222" i="7"/>
  <c r="V52" i="7"/>
  <c r="AA109" i="7"/>
  <c r="T13" i="7"/>
  <c r="W232" i="7"/>
  <c r="AG55" i="7"/>
  <c r="AC191" i="7"/>
  <c r="AE222" i="7"/>
  <c r="AE142" i="7"/>
  <c r="AH34" i="7"/>
  <c r="AD35" i="7"/>
  <c r="V179" i="7"/>
  <c r="AB224" i="7"/>
  <c r="T203" i="7"/>
  <c r="T123" i="7"/>
  <c r="AC140" i="7"/>
  <c r="AA142" i="7"/>
  <c r="Y163" i="7"/>
  <c r="AG57" i="7"/>
  <c r="AA57" i="7"/>
  <c r="R33" i="7"/>
  <c r="AG146" i="7"/>
  <c r="AG59" i="7"/>
  <c r="AE199" i="7"/>
  <c r="AD195" i="7"/>
  <c r="AA184" i="7"/>
  <c r="Z22" i="7"/>
  <c r="AG43" i="7"/>
  <c r="S142" i="7"/>
  <c r="W11" i="7"/>
  <c r="AB115" i="7"/>
  <c r="V12" i="7"/>
  <c r="AA67" i="7"/>
  <c r="AF87" i="7"/>
  <c r="T62" i="7"/>
  <c r="AD163" i="7"/>
  <c r="W116" i="7"/>
  <c r="AB167" i="7"/>
  <c r="T57" i="7"/>
  <c r="Y211" i="7"/>
  <c r="AC156" i="7"/>
  <c r="S123" i="7"/>
  <c r="V202" i="7"/>
  <c r="AE14" i="7"/>
  <c r="AF182" i="7"/>
  <c r="AB20" i="7"/>
  <c r="S228" i="7"/>
  <c r="U123" i="7"/>
  <c r="AF72" i="7"/>
  <c r="AF40" i="7"/>
  <c r="R200" i="7"/>
  <c r="L14" i="11"/>
  <c r="AD152" i="7"/>
  <c r="AH121" i="7"/>
  <c r="Y188" i="7"/>
  <c r="AA100" i="7"/>
  <c r="Y178" i="7"/>
  <c r="G89" i="8"/>
  <c r="Y20" i="7"/>
  <c r="X116" i="7"/>
  <c r="AC183" i="7"/>
  <c r="AC48" i="7"/>
  <c r="AH194" i="7"/>
  <c r="Z135" i="7"/>
  <c r="AE158" i="7"/>
  <c r="AH46" i="7"/>
  <c r="AE105" i="7"/>
  <c r="V184" i="7"/>
  <c r="T160" i="7"/>
  <c r="AC70" i="7"/>
  <c r="AD55" i="7"/>
  <c r="Z196" i="7"/>
  <c r="AB178" i="7"/>
  <c r="S134" i="7"/>
  <c r="AA189" i="7"/>
  <c r="S129" i="7"/>
  <c r="AB39" i="7"/>
  <c r="T51" i="7"/>
  <c r="AB134" i="7"/>
  <c r="T33" i="7"/>
  <c r="V185" i="7"/>
  <c r="V142" i="7"/>
  <c r="AA71" i="7"/>
  <c r="AE233" i="7"/>
  <c r="AG22" i="7"/>
  <c r="S208" i="7"/>
  <c r="AB75" i="7"/>
  <c r="U195" i="7"/>
  <c r="AA53" i="7"/>
  <c r="R136" i="7"/>
  <c r="AG82" i="7"/>
  <c r="S151" i="7"/>
  <c r="R140" i="7"/>
  <c r="AF12" i="7"/>
  <c r="X165" i="7"/>
  <c r="Y228" i="7"/>
  <c r="V203" i="7"/>
  <c r="T233" i="7"/>
  <c r="S202" i="7"/>
  <c r="AE92" i="7"/>
  <c r="AE141" i="7"/>
  <c r="X69" i="7"/>
  <c r="U100" i="7"/>
  <c r="R221" i="7"/>
  <c r="AC110" i="7"/>
  <c r="AF38" i="7"/>
  <c r="K8" i="11" a="1"/>
  <c r="AB95" i="7"/>
  <c r="R227" i="7"/>
  <c r="AB21" i="7"/>
  <c r="R101" i="7"/>
  <c r="X34" i="7"/>
  <c r="S197" i="7"/>
  <c r="AD196" i="7"/>
  <c r="Z50" i="7"/>
  <c r="AC229" i="7"/>
  <c r="X40" i="7"/>
  <c r="AD200" i="7"/>
  <c r="U212" i="7"/>
  <c r="AD155" i="7"/>
  <c r="AA211" i="7"/>
  <c r="AH213" i="7"/>
  <c r="V27" i="7"/>
  <c r="W21" i="7"/>
  <c r="AC118" i="7"/>
  <c r="R52" i="7"/>
  <c r="X46" i="7"/>
  <c r="AC100" i="7"/>
  <c r="AH195" i="7"/>
  <c r="T39" i="7"/>
  <c r="AH155" i="7"/>
  <c r="Y69" i="7"/>
  <c r="V194" i="7"/>
  <c r="V18" i="7"/>
  <c r="V195" i="7"/>
  <c r="T34" i="7"/>
  <c r="R64" i="7"/>
  <c r="S233" i="7"/>
  <c r="AH95" i="7"/>
  <c r="Z110" i="7"/>
  <c r="AC217" i="7"/>
  <c r="AB30" i="7"/>
  <c r="V47" i="7"/>
  <c r="Y134" i="7"/>
  <c r="AF217" i="7"/>
  <c r="H19" i="11"/>
  <c r="W230" i="7"/>
  <c r="AB188" i="7"/>
  <c r="AB103" i="7"/>
  <c r="AD88" i="7"/>
  <c r="U113" i="7"/>
  <c r="AE202" i="7"/>
  <c r="AC129" i="7"/>
  <c r="T75" i="7"/>
  <c r="S64" i="7"/>
  <c r="Z56" i="7"/>
  <c r="T98" i="7"/>
  <c r="G84" i="8"/>
  <c r="AC150" i="7"/>
  <c r="S39" i="7"/>
  <c r="AC49" i="7"/>
  <c r="R43" i="7"/>
  <c r="AF18" i="7"/>
  <c r="AD234" i="7"/>
  <c r="Z169" i="7"/>
  <c r="X170" i="7"/>
  <c r="Y100" i="7"/>
  <c r="U61" i="7"/>
  <c r="S72" i="7"/>
  <c r="V228" i="7"/>
  <c r="Z64" i="7"/>
  <c r="V112" i="7"/>
  <c r="V22" i="7"/>
  <c r="V135" i="7"/>
  <c r="AH215" i="7"/>
  <c r="AA170" i="7"/>
  <c r="T144" i="7"/>
  <c r="AF66" i="7"/>
  <c r="AH93" i="7"/>
  <c r="R110" i="7"/>
  <c r="AA37" i="7"/>
  <c r="X228" i="7"/>
  <c r="R137" i="7"/>
  <c r="K9" i="11" a="1"/>
  <c r="AG92" i="7"/>
  <c r="AE218" i="7"/>
  <c r="Y192" i="7"/>
  <c r="AB87" i="7"/>
  <c r="AG35" i="7"/>
  <c r="AA210" i="7"/>
  <c r="AA190" i="7"/>
  <c r="U161" i="7"/>
  <c r="R28" i="7"/>
  <c r="AB225" i="7"/>
  <c r="AC208" i="7"/>
  <c r="X53" i="7"/>
  <c r="AF222" i="7"/>
  <c r="AH50" i="7"/>
  <c r="AE89" i="7"/>
  <c r="AE27" i="7"/>
  <c r="AG98" i="7"/>
  <c r="Y89" i="7"/>
  <c r="AE127" i="7"/>
  <c r="V221" i="7"/>
  <c r="X42" i="7"/>
  <c r="S68" i="7"/>
  <c r="U211" i="7"/>
  <c r="AC93" i="7"/>
  <c r="R182" i="7"/>
  <c r="AE182" i="7"/>
  <c r="S13" i="7"/>
  <c r="AE34" i="7"/>
  <c r="AA58" i="7"/>
  <c r="S195" i="7"/>
  <c r="AH101" i="7"/>
  <c r="U25" i="7"/>
  <c r="AF121" i="7"/>
  <c r="AD146" i="7"/>
  <c r="U184" i="7"/>
  <c r="W115" i="7"/>
  <c r="V178" i="7"/>
  <c r="U176" i="7"/>
  <c r="AG132" i="7"/>
  <c r="W40" i="7"/>
  <c r="X221" i="7"/>
  <c r="W25" i="7"/>
  <c r="W171" i="7"/>
  <c r="Z219" i="7"/>
  <c r="V192" i="7"/>
  <c r="AE232" i="7"/>
  <c r="AG222" i="7"/>
  <c r="AB223" i="7"/>
  <c r="V189" i="7"/>
  <c r="AE52" i="7"/>
  <c r="AG85" i="7"/>
  <c r="AE11" i="7"/>
  <c r="W175" i="7"/>
  <c r="AC213" i="7"/>
  <c r="AF100" i="7"/>
  <c r="W221" i="7"/>
  <c r="W138" i="7"/>
  <c r="S84" i="7"/>
  <c r="AD40" i="7"/>
  <c r="W74" i="7"/>
  <c r="R184" i="7"/>
  <c r="V183" i="7"/>
  <c r="AF203" i="7"/>
  <c r="U155" i="7"/>
  <c r="AF55" i="7"/>
  <c r="AG172" i="7"/>
  <c r="AF62" i="7"/>
  <c r="AA231" i="7"/>
  <c r="AH13" i="7"/>
  <c r="R106" i="7"/>
  <c r="V75" i="7"/>
  <c r="AH136" i="7"/>
  <c r="AE25" i="7"/>
  <c r="Z199" i="7"/>
  <c r="X231" i="7"/>
  <c r="Y170" i="7"/>
  <c r="Y102" i="7"/>
  <c r="T149" i="7"/>
  <c r="V171" i="7"/>
  <c r="AB174" i="7"/>
  <c r="AE196" i="7"/>
  <c r="AC47" i="7"/>
  <c r="AE163" i="7"/>
  <c r="Z149" i="7"/>
  <c r="AC155" i="7"/>
  <c r="U73" i="7"/>
  <c r="AG210" i="7"/>
  <c r="AD168" i="7"/>
  <c r="AC187" i="7"/>
  <c r="V210" i="7"/>
  <c r="T44" i="7"/>
  <c r="V125" i="7"/>
  <c r="V201" i="7"/>
  <c r="AH175" i="7"/>
  <c r="AA132" i="7"/>
  <c r="V30" i="7"/>
  <c r="AB206" i="7"/>
  <c r="AA151" i="7"/>
  <c r="R207" i="7"/>
  <c r="Z82" i="7"/>
  <c r="Z119" i="7"/>
  <c r="AE110" i="7"/>
  <c r="AC186" i="7"/>
  <c r="S40" i="7"/>
  <c r="AA51" i="7"/>
  <c r="AB14" i="7"/>
  <c r="AA152" i="7"/>
  <c r="C8" i="11"/>
  <c r="S170" i="7"/>
  <c r="T101" i="7"/>
  <c r="AF226" i="7"/>
  <c r="X182" i="7"/>
  <c r="AH160" i="7"/>
  <c r="AG104" i="7"/>
  <c r="AE61" i="7"/>
  <c r="V196" i="7"/>
  <c r="V65" i="7"/>
  <c r="X207" i="7"/>
  <c r="Z44" i="7"/>
  <c r="V208" i="7"/>
  <c r="Z88" i="7"/>
  <c r="AC27" i="7"/>
  <c r="Y169" i="7"/>
  <c r="AB124" i="7"/>
  <c r="AH86" i="7"/>
  <c r="AA117" i="7"/>
  <c r="R23" i="7"/>
  <c r="V51" i="7"/>
  <c r="T221" i="7"/>
  <c r="AE82" i="7"/>
  <c r="W32" i="7"/>
  <c r="R97" i="7"/>
  <c r="AH212" i="7"/>
  <c r="S216" i="7"/>
  <c r="AG158" i="7"/>
  <c r="S42" i="7"/>
  <c r="U225" i="7"/>
  <c r="AG225" i="7"/>
  <c r="T154" i="7"/>
  <c r="AB71" i="7"/>
  <c r="L18" i="11"/>
  <c r="R216" i="7"/>
  <c r="S154" i="7"/>
  <c r="AF180" i="7"/>
  <c r="X97" i="7"/>
  <c r="AC151" i="7"/>
  <c r="W135" i="7"/>
  <c r="AD123" i="7"/>
  <c r="X44" i="7"/>
  <c r="V54" i="7"/>
  <c r="R161" i="7"/>
  <c r="AA133" i="7"/>
  <c r="X22" i="7"/>
  <c r="W45" i="7"/>
  <c r="R228" i="7"/>
  <c r="AF133" i="7"/>
  <c r="AE204" i="7"/>
  <c r="R112" i="7"/>
  <c r="X67" i="7"/>
  <c r="Z23" i="7"/>
  <c r="AG168" i="7"/>
  <c r="AG80" i="7"/>
  <c r="T73" i="7"/>
  <c r="V107" i="7"/>
  <c r="Y128" i="7"/>
  <c r="X31" i="7"/>
  <c r="T118" i="7"/>
  <c r="S183" i="7"/>
  <c r="Z18" i="7"/>
  <c r="V212" i="7"/>
  <c r="AA225" i="7"/>
  <c r="S89" i="7"/>
  <c r="AC125" i="7"/>
  <c r="AH104" i="7"/>
  <c r="AH210" i="7"/>
  <c r="S27" i="7"/>
  <c r="AF91" i="7"/>
  <c r="AC86" i="7"/>
  <c r="X18" i="7"/>
  <c r="Z208" i="7"/>
  <c r="AC181" i="7"/>
  <c r="B83" i="8"/>
  <c r="AF155" i="7"/>
  <c r="AB73" i="7"/>
  <c r="W42" i="7"/>
  <c r="V176" i="7"/>
  <c r="X81" i="7"/>
  <c r="S140" i="7"/>
  <c r="AE29" i="7"/>
  <c r="B77" i="8"/>
  <c r="V226" i="7"/>
  <c r="Y122" i="7"/>
  <c r="X217" i="7"/>
  <c r="W163" i="7"/>
  <c r="W187" i="7"/>
  <c r="R219" i="7"/>
  <c r="AB196" i="7"/>
  <c r="G3" i="11" a="1"/>
  <c r="V58" i="7"/>
  <c r="Z168" i="7"/>
  <c r="X181" i="7"/>
  <c r="AE78" i="7"/>
  <c r="Y18" i="7"/>
  <c r="X115" i="7"/>
  <c r="Z75" i="7"/>
  <c r="AB216" i="7"/>
  <c r="AC38" i="7"/>
  <c r="AG234" i="7"/>
  <c r="U17" i="7"/>
  <c r="AB222" i="7"/>
  <c r="AE20" i="7"/>
  <c r="AB76" i="7"/>
  <c r="AG110" i="7"/>
  <c r="Y207" i="7"/>
  <c r="AH157" i="7"/>
  <c r="AB138" i="7"/>
  <c r="AB47" i="7"/>
  <c r="AC72" i="7"/>
  <c r="W73" i="7"/>
  <c r="T114" i="7"/>
  <c r="AC135" i="7"/>
  <c r="AH120" i="7"/>
  <c r="AG220" i="7"/>
  <c r="AE119" i="7"/>
  <c r="AH125" i="7"/>
  <c r="V188" i="7"/>
  <c r="AA137" i="7"/>
  <c r="Z155" i="7"/>
  <c r="AC91" i="7"/>
  <c r="Z33" i="7"/>
  <c r="T50" i="7"/>
  <c r="AC143" i="7"/>
  <c r="AF42" i="7"/>
  <c r="Y182" i="7"/>
  <c r="AD11" i="7"/>
  <c r="AB63" i="7"/>
  <c r="AD32" i="7"/>
  <c r="AD137" i="7"/>
  <c r="AG70" i="7"/>
  <c r="R178" i="7"/>
  <c r="X167" i="7"/>
  <c r="AA69" i="7"/>
  <c r="AA217" i="7"/>
  <c r="T42" i="7"/>
  <c r="X176" i="7"/>
  <c r="AE72" i="7"/>
  <c r="U133" i="7"/>
  <c r="F86" i="8" a="1"/>
  <c r="V100" i="7"/>
  <c r="U110" i="7"/>
  <c r="L13" i="11"/>
  <c r="AD184" i="7"/>
  <c r="U165" i="7"/>
  <c r="Z221" i="7"/>
  <c r="Y175" i="7"/>
  <c r="AG48" i="7"/>
  <c r="Y50" i="7"/>
  <c r="U57" i="7"/>
  <c r="AG176" i="7"/>
  <c r="R191" i="7"/>
  <c r="AD77" i="7"/>
  <c r="AE104" i="7"/>
  <c r="Z190" i="7"/>
  <c r="W231" i="7"/>
  <c r="AH226" i="7"/>
  <c r="S124" i="7"/>
  <c r="S145" i="7"/>
  <c r="AA162" i="7"/>
  <c r="AD158" i="7"/>
  <c r="AA161" i="7"/>
  <c r="AA121" i="7"/>
  <c r="AB98" i="7"/>
  <c r="U15" i="7"/>
  <c r="AA36" i="7"/>
  <c r="W152" i="7"/>
  <c r="AD109" i="7"/>
  <c r="AC73" i="7"/>
  <c r="Y185" i="7"/>
  <c r="AC121" i="7"/>
  <c r="AE93" i="7"/>
  <c r="T207" i="7"/>
  <c r="Z226" i="7"/>
  <c r="R206" i="7"/>
  <c r="S132" i="7"/>
  <c r="Y76" i="7"/>
  <c r="Y70" i="7"/>
  <c r="W13" i="7"/>
  <c r="R166" i="7"/>
  <c r="AA175" i="7"/>
  <c r="S73" i="7"/>
  <c r="Y25" i="7"/>
  <c r="X210" i="7"/>
  <c r="AH106" i="7"/>
  <c r="AD141" i="7"/>
  <c r="X158" i="7"/>
  <c r="W219" i="7"/>
  <c r="AD226" i="7"/>
  <c r="AF114" i="7"/>
  <c r="V224" i="7"/>
  <c r="Y84" i="7"/>
  <c r="AA111" i="7"/>
  <c r="AA171" i="7"/>
  <c r="V46" i="7"/>
  <c r="AA140" i="7"/>
  <c r="W50" i="7"/>
  <c r="AB113" i="7"/>
  <c r="V53" i="7"/>
  <c r="AC65" i="7"/>
  <c r="F84" i="8" a="1"/>
  <c r="AF174" i="7"/>
  <c r="AA120" i="7"/>
  <c r="AC17" i="7"/>
  <c r="AB67" i="7"/>
  <c r="V190" i="7"/>
  <c r="AH171" i="7"/>
  <c r="AC119" i="7"/>
  <c r="AA118" i="7"/>
  <c r="AD127" i="7"/>
  <c r="AG121" i="7"/>
  <c r="AD190" i="7"/>
  <c r="AE123" i="7"/>
  <c r="Z35" i="7"/>
  <c r="T179" i="7"/>
  <c r="AH19" i="7"/>
  <c r="AH228" i="7"/>
  <c r="T228" i="7"/>
  <c r="Z76" i="7"/>
  <c r="AH35" i="7"/>
  <c r="Z218" i="7"/>
  <c r="AE194" i="7"/>
  <c r="AF192" i="7"/>
  <c r="AB22" i="7"/>
  <c r="X52" i="7"/>
  <c r="Z39" i="7"/>
  <c r="AC219" i="7"/>
  <c r="S168" i="7"/>
  <c r="T109" i="7"/>
  <c r="V39" i="7"/>
  <c r="U141" i="7"/>
  <c r="AE125" i="7"/>
  <c r="R222" i="7"/>
  <c r="AA143" i="7"/>
  <c r="AD224" i="7"/>
  <c r="AE198" i="7"/>
  <c r="T177" i="7"/>
  <c r="AB147" i="7"/>
  <c r="S156" i="7"/>
  <c r="AE115" i="7"/>
  <c r="U96" i="7"/>
  <c r="U142" i="7"/>
  <c r="S127" i="7"/>
  <c r="R180" i="7"/>
  <c r="AF98" i="7"/>
  <c r="X234" i="7"/>
  <c r="AE56" i="7"/>
  <c r="AD145" i="7"/>
  <c r="Z224" i="7"/>
  <c r="W132" i="7"/>
  <c r="AF101" i="7"/>
  <c r="Y206" i="7"/>
  <c r="U91" i="7"/>
  <c r="W52" i="7"/>
  <c r="X196" i="7"/>
  <c r="AH76" i="7"/>
  <c r="AG106" i="7"/>
  <c r="V128" i="7"/>
  <c r="U65" i="7"/>
  <c r="V127" i="7"/>
  <c r="AA11" i="7"/>
  <c r="AA80" i="7"/>
  <c r="AF151" i="7"/>
  <c r="Z93" i="7"/>
  <c r="Z46" i="7"/>
  <c r="Y229" i="7"/>
  <c r="T87" i="7"/>
  <c r="S192" i="7"/>
  <c r="C5" i="11"/>
  <c r="U189" i="7"/>
  <c r="AF136" i="7"/>
  <c r="AB221" i="7"/>
  <c r="Z109" i="7"/>
  <c r="L4" i="11"/>
  <c r="S152" i="7"/>
  <c r="AE183" i="7"/>
  <c r="W200" i="7"/>
  <c r="U92" i="7"/>
  <c r="Z104" i="7"/>
  <c r="X169" i="7"/>
  <c r="AF45" i="7"/>
  <c r="W184" i="7"/>
  <c r="T171" i="7"/>
  <c r="Z202" i="7"/>
  <c r="X101" i="7"/>
  <c r="AF125" i="7"/>
  <c r="AC61" i="7"/>
  <c r="AG97" i="7"/>
  <c r="W141" i="7"/>
  <c r="X149" i="7"/>
  <c r="T186" i="7"/>
  <c r="U146" i="7"/>
  <c r="AF39" i="7"/>
  <c r="S128" i="7"/>
  <c r="AF134" i="7"/>
  <c r="AE185" i="7"/>
  <c r="AG93" i="7"/>
  <c r="AC134" i="7"/>
  <c r="W124" i="7"/>
  <c r="AH141" i="7"/>
  <c r="AC14" i="7"/>
  <c r="B89" i="8"/>
  <c r="W112" i="7"/>
  <c r="S119" i="7"/>
  <c r="Y93" i="7"/>
  <c r="X179" i="7"/>
  <c r="W75" i="7"/>
  <c r="Z55" i="7"/>
  <c r="L12" i="11"/>
  <c r="Y105" i="7"/>
  <c r="F83" i="8" a="1"/>
  <c r="X17" i="7"/>
  <c r="W107" i="7"/>
  <c r="V17" i="7"/>
  <c r="AA46" i="7"/>
  <c r="U138" i="7"/>
  <c r="X129" i="7"/>
  <c r="W57" i="7"/>
  <c r="Z200" i="7"/>
  <c r="AC172" i="7"/>
  <c r="W123" i="7"/>
  <c r="Z48" i="7"/>
  <c r="X73" i="7"/>
  <c r="R80" i="7"/>
  <c r="Y14" i="7"/>
  <c r="AC76" i="7"/>
  <c r="AE75" i="7"/>
  <c r="U162" i="7"/>
  <c r="Y115" i="7"/>
  <c r="W182" i="7"/>
  <c r="V131" i="7"/>
  <c r="AC195" i="7"/>
  <c r="AA125" i="7"/>
  <c r="AA28" i="7"/>
  <c r="X193" i="7"/>
  <c r="V114" i="7"/>
  <c r="S45" i="7"/>
  <c r="AG175" i="7"/>
  <c r="V220" i="7"/>
  <c r="V106" i="7"/>
  <c r="AB100" i="7"/>
  <c r="W234" i="7"/>
  <c r="Z85" i="7"/>
  <c r="AD12" i="7"/>
  <c r="T196" i="7"/>
  <c r="X33" i="7"/>
  <c r="T65" i="7"/>
  <c r="AC41" i="7"/>
  <c r="S171" i="7"/>
  <c r="Y35" i="7"/>
  <c r="C12" i="11"/>
  <c r="AD14" i="7"/>
  <c r="AD69" i="7"/>
  <c r="T78" i="7"/>
  <c r="Z209" i="7"/>
  <c r="AD62" i="7"/>
  <c r="AC55" i="7"/>
  <c r="AB231" i="7"/>
  <c r="V182" i="7"/>
  <c r="X191" i="7"/>
  <c r="AF161" i="7"/>
  <c r="AD36" i="7"/>
  <c r="G12" i="11" a="1"/>
  <c r="AG65" i="7"/>
  <c r="Y162" i="7"/>
  <c r="U53" i="7"/>
  <c r="Y219" i="7"/>
  <c r="W197" i="7"/>
  <c r="Z197" i="7"/>
  <c r="Z212" i="7"/>
  <c r="AE138" i="7"/>
  <c r="AD51" i="7"/>
  <c r="AH52" i="7"/>
  <c r="X121" i="7"/>
  <c r="T185" i="7"/>
  <c r="AD72" i="7"/>
  <c r="AC131" i="7"/>
  <c r="Z54" i="7"/>
  <c r="AG212" i="7"/>
  <c r="AA123" i="7"/>
  <c r="AE100" i="7"/>
  <c r="Z195" i="7"/>
  <c r="X119" i="7"/>
  <c r="T231" i="7"/>
  <c r="W92" i="7"/>
  <c r="W61" i="7"/>
  <c r="Z107" i="7"/>
  <c r="AC206" i="7"/>
  <c r="AC158" i="7"/>
  <c r="AG207" i="7"/>
  <c r="W201" i="7"/>
  <c r="AB12" i="7"/>
  <c r="AH131" i="7"/>
  <c r="W46" i="7"/>
  <c r="U71" i="7"/>
  <c r="AD121" i="7"/>
  <c r="AH150" i="7"/>
  <c r="AB182" i="7"/>
  <c r="AB56" i="7"/>
  <c r="AB132" i="7"/>
  <c r="AE213" i="7"/>
  <c r="R107" i="7"/>
  <c r="AH94" i="7"/>
  <c r="Z49" i="7"/>
  <c r="AD112" i="7"/>
  <c r="W190" i="7"/>
  <c r="W185" i="7"/>
  <c r="X222" i="7"/>
  <c r="V149" i="7"/>
  <c r="S21" i="7"/>
  <c r="Y167" i="7"/>
  <c r="Z198" i="7"/>
  <c r="X70" i="7"/>
  <c r="AC202" i="7"/>
  <c r="AG186" i="7"/>
  <c r="V199" i="7"/>
  <c r="AF131" i="7"/>
  <c r="W179" i="7"/>
  <c r="AG145" i="7"/>
  <c r="S189" i="7"/>
  <c r="AB194" i="7"/>
  <c r="R158" i="7"/>
  <c r="AH11" i="7"/>
  <c r="AG181" i="7"/>
  <c r="AF104" i="7"/>
  <c r="X48" i="7"/>
  <c r="V234" i="7"/>
  <c r="W150" i="7"/>
  <c r="R177" i="7"/>
  <c r="B81" i="8"/>
  <c r="AF149" i="7"/>
  <c r="AE144" i="7"/>
  <c r="Y103" i="7"/>
  <c r="Y36" i="7"/>
  <c r="AD86" i="7"/>
  <c r="T113" i="7"/>
  <c r="AB42" i="7"/>
  <c r="AB217" i="7"/>
  <c r="AD230" i="7"/>
  <c r="C15" i="11"/>
  <c r="U13" i="7"/>
  <c r="Z57" i="7"/>
  <c r="AG60" i="7"/>
  <c r="Z167" i="7"/>
  <c r="AA195" i="7"/>
  <c r="Z124" i="7"/>
  <c r="AH142" i="7"/>
  <c r="T180" i="7"/>
  <c r="U69" i="7"/>
  <c r="AA154" i="7"/>
  <c r="R29" i="7"/>
  <c r="W154" i="7"/>
  <c r="AE154" i="7"/>
  <c r="U185" i="7"/>
  <c r="AE229" i="7"/>
  <c r="X194" i="7"/>
  <c r="AH145" i="7"/>
  <c r="AH37" i="7"/>
  <c r="X156" i="7"/>
  <c r="W169" i="7"/>
  <c r="R36" i="7"/>
  <c r="AA101" i="7"/>
  <c r="V122" i="7"/>
  <c r="Z62" i="7"/>
  <c r="AE66" i="7"/>
  <c r="AF186" i="7"/>
  <c r="V86" i="7"/>
  <c r="AB159" i="7"/>
  <c r="AD122" i="7"/>
  <c r="AC51" i="7"/>
  <c r="W133" i="7"/>
  <c r="AB141" i="7"/>
  <c r="AF227" i="7"/>
  <c r="AB29" i="7"/>
  <c r="R185" i="7"/>
  <c r="AE132" i="7"/>
  <c r="Y11" i="7"/>
  <c r="W59" i="7"/>
  <c r="AF169" i="7"/>
  <c r="AG194" i="7"/>
  <c r="H10" i="11"/>
  <c r="R209" i="7"/>
  <c r="AF36" i="7"/>
  <c r="F88" i="8" a="1"/>
  <c r="AF171" i="7"/>
  <c r="T17" i="7"/>
  <c r="T225" i="7"/>
  <c r="T193" i="7"/>
  <c r="AC154" i="7"/>
  <c r="W91" i="7"/>
  <c r="U200" i="7"/>
  <c r="Z185" i="7"/>
  <c r="S53" i="7"/>
  <c r="X157" i="7"/>
  <c r="AE193" i="7"/>
  <c r="V197" i="7"/>
  <c r="AD18" i="7"/>
  <c r="AG29" i="7"/>
  <c r="AF52" i="7"/>
  <c r="AD187" i="7"/>
  <c r="W28" i="7"/>
  <c r="Y225" i="7"/>
  <c r="V223" i="7"/>
  <c r="AE190" i="7"/>
  <c r="AF128" i="7"/>
  <c r="W199" i="7"/>
  <c r="AH170" i="7"/>
  <c r="B88" i="8"/>
  <c r="AG68" i="7"/>
  <c r="R120" i="7"/>
  <c r="W22" i="7"/>
  <c r="Y91" i="7"/>
  <c r="G15" i="11" a="1"/>
  <c r="AH31" i="7"/>
  <c r="AD68" i="7"/>
  <c r="X74" i="7"/>
  <c r="AF84" i="7"/>
  <c r="AG138" i="7"/>
  <c r="S209" i="7"/>
  <c r="Y119" i="7"/>
  <c r="AH162" i="7"/>
  <c r="U188" i="7"/>
  <c r="T220" i="7"/>
  <c r="Y81" i="7"/>
  <c r="AD222" i="7"/>
  <c r="AE80" i="7"/>
  <c r="R87" i="7"/>
  <c r="AB232" i="7"/>
  <c r="AC18" i="7"/>
  <c r="AA50" i="7"/>
  <c r="Y187" i="7"/>
  <c r="Z52" i="7"/>
  <c r="Z141" i="7"/>
  <c r="Z16" i="7"/>
  <c r="W38" i="7"/>
  <c r="Z12" i="7"/>
  <c r="U68" i="7"/>
  <c r="V211" i="7"/>
  <c r="AD198" i="7"/>
  <c r="V76" i="7"/>
  <c r="AF146" i="7"/>
  <c r="F74" i="8" a="1"/>
  <c r="B73" i="8"/>
  <c r="AF95" i="7"/>
  <c r="V139" i="7"/>
  <c r="AG171" i="7"/>
  <c r="V213" i="7"/>
  <c r="AE129" i="7"/>
  <c r="R50" i="7"/>
  <c r="R73" i="7"/>
  <c r="Y34" i="7"/>
  <c r="AC146" i="7"/>
  <c r="AC142" i="7"/>
  <c r="AD96" i="7"/>
  <c r="V95" i="7"/>
  <c r="X118" i="7"/>
  <c r="R60" i="7"/>
  <c r="U51" i="7"/>
  <c r="AB183" i="7"/>
  <c r="X212" i="7"/>
  <c r="AG20" i="7"/>
  <c r="AB189" i="7"/>
  <c r="AF223" i="7"/>
  <c r="AF201" i="7"/>
  <c r="AC209" i="7"/>
  <c r="T191" i="7"/>
  <c r="AD179" i="7"/>
  <c r="W220" i="7"/>
  <c r="AD22" i="7"/>
  <c r="G74" i="8"/>
  <c r="U218" i="7"/>
  <c r="AF20" i="7"/>
  <c r="Y133" i="7"/>
  <c r="AB184" i="7"/>
  <c r="AF181" i="7"/>
  <c r="AF193" i="7"/>
  <c r="S11" i="7"/>
  <c r="Z89" i="7"/>
  <c r="AB197" i="7"/>
  <c r="W202" i="7"/>
  <c r="V55" i="7"/>
  <c r="W79" i="7"/>
  <c r="AA16" i="7"/>
  <c r="K17" i="11" a="1"/>
  <c r="AE186" i="7"/>
  <c r="AD75" i="7"/>
  <c r="AF74" i="7"/>
  <c r="AH51" i="7"/>
  <c r="AC23" i="7"/>
  <c r="Y113" i="7"/>
  <c r="X72" i="7"/>
  <c r="R69" i="7"/>
  <c r="X166" i="7"/>
  <c r="AG66" i="7"/>
  <c r="Y218" i="7"/>
  <c r="T152" i="7"/>
  <c r="Y104" i="7"/>
  <c r="AG19" i="7"/>
  <c r="AE112" i="7"/>
  <c r="AH183" i="7"/>
  <c r="AH230" i="7"/>
  <c r="AB86" i="7"/>
  <c r="AG231" i="7"/>
  <c r="AA88" i="7"/>
  <c r="U105" i="7"/>
  <c r="AF143" i="7"/>
  <c r="AC96" i="7"/>
  <c r="S66" i="7"/>
  <c r="AE39" i="7"/>
  <c r="AE23" i="7"/>
  <c r="R226" i="7"/>
  <c r="Y46" i="7"/>
  <c r="AD50" i="7"/>
  <c r="AC159" i="7"/>
  <c r="T138" i="7"/>
  <c r="AC102" i="7"/>
  <c r="AB13" i="7"/>
  <c r="Y74" i="7"/>
  <c r="AB96" i="7"/>
  <c r="AD216" i="7"/>
  <c r="T40" i="7"/>
  <c r="AH41" i="7"/>
  <c r="U80" i="7"/>
  <c r="R53" i="7"/>
  <c r="X183" i="7"/>
  <c r="Z134" i="7"/>
  <c r="V14" i="7"/>
  <c r="V104" i="7"/>
  <c r="T174" i="7"/>
  <c r="AB177" i="7"/>
  <c r="Y112" i="7"/>
  <c r="W157" i="7"/>
  <c r="T206" i="7"/>
  <c r="AD162" i="7"/>
  <c r="Z25" i="7"/>
  <c r="Z191" i="7"/>
  <c r="AC84" i="7"/>
  <c r="AB114" i="7"/>
  <c r="AG18" i="7"/>
  <c r="AD33" i="7"/>
  <c r="T143" i="7"/>
  <c r="U215" i="7"/>
  <c r="AE234" i="7"/>
  <c r="R170" i="7"/>
  <c r="V231" i="7"/>
  <c r="Z147" i="7"/>
  <c r="X77" i="7"/>
  <c r="T85" i="7"/>
  <c r="R11" i="7"/>
  <c r="AG226" i="7"/>
  <c r="AC175" i="7"/>
  <c r="AB117" i="7"/>
  <c r="AE65" i="7"/>
  <c r="Z189" i="7"/>
  <c r="L17" i="11"/>
  <c r="R169" i="7"/>
  <c r="AB38" i="7"/>
  <c r="S19" i="7"/>
  <c r="AA229" i="7"/>
  <c r="V23" i="7"/>
  <c r="S76" i="7"/>
  <c r="AF16" i="7"/>
  <c r="AC54" i="7"/>
  <c r="T139" i="7"/>
  <c r="AA44" i="7"/>
  <c r="Y107" i="7"/>
  <c r="AA112" i="7"/>
  <c r="S43" i="7"/>
  <c r="AB53" i="7"/>
  <c r="T104" i="7"/>
  <c r="Z210" i="7"/>
  <c r="Z78" i="7"/>
  <c r="AC207" i="7"/>
  <c r="AE88" i="7"/>
  <c r="U85" i="7"/>
  <c r="AH89" i="7"/>
  <c r="W228" i="7"/>
  <c r="X57" i="7"/>
  <c r="Y40" i="7"/>
  <c r="AA89" i="7"/>
  <c r="S219" i="7"/>
  <c r="AD150" i="7"/>
  <c r="AE94" i="7"/>
  <c r="AA18" i="7"/>
  <c r="T141" i="7"/>
  <c r="AF116" i="7"/>
  <c r="S70" i="7"/>
  <c r="AF154" i="7"/>
  <c r="V160" i="7"/>
  <c r="AB24" i="7"/>
  <c r="AD17" i="7"/>
  <c r="AE226" i="7"/>
  <c r="Z131" i="7"/>
  <c r="AC12" i="7"/>
  <c r="W58" i="7"/>
  <c r="AA21" i="7"/>
  <c r="AA234" i="7"/>
  <c r="AC43" i="7"/>
  <c r="Z216" i="7"/>
  <c r="AB228" i="7"/>
  <c r="T178" i="7"/>
  <c r="AB186" i="7"/>
  <c r="V167" i="7"/>
  <c r="X201" i="7"/>
  <c r="X41" i="7"/>
  <c r="B84" i="8"/>
  <c r="AD37" i="7"/>
  <c r="T198" i="7"/>
  <c r="S118" i="7"/>
  <c r="R54" i="7"/>
  <c r="Z211" i="7"/>
  <c r="AB80" i="7"/>
  <c r="AE209" i="7"/>
  <c r="AB203" i="7"/>
  <c r="U132" i="7"/>
  <c r="AC203" i="7"/>
  <c r="R68" i="7"/>
  <c r="Y216" i="7"/>
  <c r="AA52" i="7"/>
  <c r="AG178" i="7"/>
  <c r="AF230" i="7"/>
  <c r="V150" i="7"/>
  <c r="X154" i="7"/>
  <c r="L19" i="11"/>
  <c r="AB60" i="7"/>
  <c r="T11" i="7"/>
  <c r="R104" i="7"/>
  <c r="U38" i="7"/>
  <c r="AH115" i="7"/>
  <c r="AG32" i="7"/>
  <c r="AE70" i="7"/>
  <c r="AE12" i="7"/>
  <c r="Y123" i="7"/>
  <c r="W229" i="7"/>
  <c r="AG101" i="7"/>
  <c r="AF177" i="7"/>
  <c r="Y64" i="7"/>
  <c r="Z116" i="7"/>
  <c r="AE207" i="7"/>
  <c r="U181" i="7"/>
  <c r="V21" i="7"/>
  <c r="U26" i="7"/>
  <c r="U121" i="7"/>
  <c r="AC45" i="7"/>
  <c r="S206" i="7"/>
  <c r="AA223" i="7"/>
  <c r="AB64" i="7"/>
  <c r="C4" i="11"/>
  <c r="U224" i="7"/>
  <c r="Y68" i="7"/>
  <c r="Z20" i="7"/>
  <c r="U201" i="7"/>
  <c r="AC220" i="7"/>
  <c r="G10" i="11" a="1"/>
  <c r="AD76" i="7"/>
  <c r="AB200" i="7"/>
  <c r="S120" i="7"/>
  <c r="AF216" i="7"/>
  <c r="X128" i="7"/>
  <c r="AE96" i="7"/>
  <c r="X98" i="7"/>
  <c r="AB85" i="7"/>
  <c r="V94" i="7"/>
  <c r="T133" i="7"/>
  <c r="U77" i="7"/>
  <c r="AH211" i="7"/>
  <c r="Y171" i="7"/>
  <c r="W65" i="7"/>
  <c r="U167" i="7"/>
  <c r="V133" i="7"/>
  <c r="V121" i="7"/>
  <c r="U23" i="7"/>
  <c r="AC176" i="7"/>
  <c r="AB233" i="7"/>
  <c r="T167" i="7"/>
  <c r="AA97" i="7"/>
  <c r="Y136" i="7"/>
  <c r="U204" i="7"/>
  <c r="Z29" i="7"/>
  <c r="Z230" i="7"/>
  <c r="AA23" i="7"/>
  <c r="U122" i="7"/>
  <c r="V162" i="7"/>
  <c r="S33" i="7"/>
  <c r="Y21" i="7"/>
  <c r="R27" i="7"/>
  <c r="X137" i="7"/>
  <c r="X133" i="7"/>
  <c r="Y226" i="7"/>
  <c r="AE37" i="7"/>
  <c r="V68" i="7"/>
  <c r="T88" i="7"/>
  <c r="Z151" i="7"/>
  <c r="AG13" i="7"/>
  <c r="AE140" i="7"/>
  <c r="AG230" i="7"/>
  <c r="AH181" i="7"/>
  <c r="AG174" i="7"/>
  <c r="AG69" i="7"/>
  <c r="AD144" i="7"/>
  <c r="Y196" i="7"/>
  <c r="S133" i="7"/>
  <c r="AF19" i="7"/>
  <c r="AE133" i="7"/>
  <c r="AA45" i="7"/>
  <c r="Z161" i="7"/>
  <c r="AD34" i="7"/>
  <c r="Z177" i="7"/>
  <c r="V57" i="7"/>
  <c r="R14" i="7"/>
  <c r="T12" i="7"/>
  <c r="W137" i="7"/>
  <c r="Z45" i="7"/>
  <c r="AF234" i="7"/>
  <c r="Y193" i="7"/>
  <c r="R146" i="7"/>
  <c r="T92" i="7"/>
  <c r="R116" i="7"/>
  <c r="X184" i="7"/>
  <c r="AD73" i="7"/>
  <c r="W143" i="7"/>
  <c r="AF41" i="7"/>
  <c r="U160" i="7"/>
  <c r="R61" i="7"/>
  <c r="R147" i="7"/>
  <c r="AF44" i="7"/>
  <c r="G86" i="8"/>
  <c r="U119" i="7"/>
  <c r="AE13" i="7"/>
  <c r="T181" i="7"/>
  <c r="AB161" i="7"/>
  <c r="X162" i="7"/>
  <c r="AG115" i="7"/>
  <c r="AH224" i="7"/>
  <c r="AH119" i="7"/>
  <c r="AA176" i="7"/>
  <c r="AF167" i="7"/>
  <c r="AD188" i="7"/>
  <c r="X93" i="7"/>
  <c r="AB209" i="7"/>
  <c r="AH29" i="7"/>
  <c r="AF184" i="7"/>
  <c r="Y161" i="7"/>
  <c r="V175" i="7"/>
  <c r="T197" i="7"/>
  <c r="AG54" i="7"/>
  <c r="AA165" i="7"/>
  <c r="X25" i="7"/>
  <c r="R188" i="7"/>
  <c r="X106" i="7"/>
  <c r="AA201" i="7"/>
  <c r="AG21" i="7"/>
  <c r="S32" i="7"/>
  <c r="R174" i="7"/>
  <c r="Y73" i="7"/>
  <c r="S141" i="7"/>
  <c r="W177" i="7"/>
  <c r="AB23" i="7"/>
  <c r="V105" i="7"/>
  <c r="AB127" i="7"/>
  <c r="W60" i="7"/>
  <c r="V123" i="7"/>
  <c r="X202" i="7"/>
  <c r="Y31" i="7"/>
  <c r="AE206" i="7"/>
  <c r="AC163" i="7"/>
  <c r="AF179" i="7"/>
  <c r="AA19" i="7"/>
  <c r="AB17" i="7"/>
  <c r="AD138" i="7"/>
  <c r="U114" i="7"/>
  <c r="AH60" i="7"/>
  <c r="AH54" i="7"/>
  <c r="T204" i="7"/>
  <c r="Y39" i="7"/>
  <c r="AH186" i="7"/>
  <c r="AC59" i="7"/>
  <c r="T47" i="7"/>
  <c r="Z101" i="7"/>
  <c r="Z165" i="7"/>
  <c r="AA22" i="7"/>
  <c r="V88" i="7"/>
  <c r="AG229" i="7"/>
  <c r="AE188" i="7"/>
  <c r="Z31" i="7"/>
  <c r="AB118" i="7"/>
  <c r="AB175" i="7"/>
  <c r="R96" i="7"/>
  <c r="R199" i="7"/>
  <c r="H7" i="11"/>
  <c r="K12" i="11" a="1"/>
  <c r="AA177" i="7"/>
  <c r="U97" i="7"/>
  <c r="X225" i="7"/>
  <c r="AE151" i="7"/>
  <c r="V41" i="7"/>
  <c r="T69" i="7"/>
  <c r="AF57" i="7"/>
  <c r="Z113" i="7"/>
  <c r="Z53" i="7"/>
  <c r="AA227" i="7"/>
  <c r="AF132" i="7"/>
  <c r="AC167" i="7"/>
  <c r="AE46" i="7"/>
  <c r="AC232" i="7"/>
  <c r="AB119" i="7"/>
  <c r="AF88" i="7"/>
  <c r="AH218" i="7"/>
  <c r="AF25" i="7"/>
  <c r="AC87" i="7"/>
  <c r="Z139" i="7"/>
  <c r="V193" i="7"/>
  <c r="U148" i="7"/>
  <c r="AB140" i="7"/>
  <c r="S71" i="7"/>
  <c r="AH18" i="7"/>
  <c r="Z32" i="7"/>
  <c r="X132" i="7"/>
  <c r="T66" i="7"/>
  <c r="W35" i="7"/>
  <c r="S166" i="7"/>
  <c r="G87" i="8"/>
  <c r="S179" i="7"/>
  <c r="AG91" i="7"/>
  <c r="AC188" i="7"/>
  <c r="Z72" i="7"/>
  <c r="S186" i="7"/>
  <c r="X155" i="7"/>
  <c r="X63" i="7"/>
  <c r="T110" i="7"/>
  <c r="Z28" i="7"/>
  <c r="Z229" i="7"/>
  <c r="R202" i="7"/>
  <c r="L7" i="11"/>
  <c r="R74" i="7"/>
  <c r="AH53" i="7"/>
  <c r="AA84" i="7"/>
  <c r="X123" i="7"/>
  <c r="Z192" i="7"/>
  <c r="U129" i="7"/>
  <c r="AF102" i="7"/>
  <c r="AE33" i="7"/>
  <c r="AA181" i="7"/>
  <c r="X35" i="7"/>
  <c r="R155" i="7"/>
  <c r="U163" i="7"/>
  <c r="L16" i="11"/>
  <c r="U183" i="7"/>
  <c r="AC174" i="7"/>
  <c r="X37" i="7"/>
  <c r="T157" i="7"/>
  <c r="AH20" i="7"/>
  <c r="AG185" i="7"/>
  <c r="X50" i="7"/>
  <c r="S112" i="7"/>
  <c r="G79" i="8"/>
  <c r="Y147" i="7"/>
  <c r="AB33" i="7"/>
  <c r="U75" i="7"/>
  <c r="Y143" i="7"/>
  <c r="AB34" i="7"/>
  <c r="T37" i="7"/>
  <c r="V113" i="7"/>
  <c r="T115" i="7"/>
  <c r="AA220" i="7"/>
  <c r="AH152" i="7"/>
  <c r="U187" i="7"/>
  <c r="R143" i="7"/>
  <c r="AA94" i="7"/>
  <c r="S62" i="7"/>
  <c r="AH138" i="7"/>
  <c r="AH47" i="7"/>
  <c r="S224" i="7"/>
  <c r="X147" i="7"/>
  <c r="AH192" i="7"/>
  <c r="S93" i="7"/>
  <c r="U143" i="7"/>
  <c r="V16" i="7"/>
  <c r="AD143" i="7"/>
  <c r="V232" i="7"/>
  <c r="AD171" i="7"/>
  <c r="AD183" i="7"/>
  <c r="AB201" i="7"/>
  <c r="AF35" i="7"/>
  <c r="AF47" i="7"/>
  <c r="AC221" i="7"/>
  <c r="AD140" i="7"/>
  <c r="Z79" i="7"/>
  <c r="Z30" i="7"/>
  <c r="AF175" i="7"/>
  <c r="S234" i="7"/>
  <c r="AE76" i="7"/>
  <c r="AG191" i="7"/>
  <c r="AG204" i="7"/>
  <c r="AA157" i="7"/>
  <c r="S14" i="7"/>
  <c r="AG188" i="7"/>
  <c r="W77" i="7"/>
  <c r="S97" i="7"/>
  <c r="C14" i="11"/>
  <c r="AD180" i="7"/>
  <c r="T166" i="7"/>
  <c r="X124" i="7"/>
  <c r="S191" i="7"/>
  <c r="AH80" i="7"/>
  <c r="V63" i="7"/>
  <c r="X85" i="7"/>
  <c r="AF231" i="7"/>
  <c r="AA98" i="7"/>
  <c r="R15" i="7"/>
  <c r="AB69" i="7"/>
  <c r="V60" i="7"/>
  <c r="AH48" i="7"/>
  <c r="AD66" i="7"/>
  <c r="U63" i="7"/>
  <c r="AF56" i="7"/>
  <c r="AA228" i="7"/>
  <c r="AB116" i="7"/>
  <c r="AB49" i="7"/>
  <c r="U157" i="7"/>
  <c r="AG209" i="7"/>
  <c r="Z194" i="7"/>
  <c r="AF29" i="7"/>
  <c r="R91" i="7"/>
  <c r="W15" i="7"/>
  <c r="V156" i="7"/>
  <c r="R210" i="7"/>
  <c r="AA128" i="7"/>
  <c r="Z158" i="7"/>
  <c r="T52" i="7"/>
  <c r="AC148" i="7"/>
  <c r="AF31" i="7"/>
  <c r="Y66" i="7"/>
  <c r="AD175" i="7"/>
  <c r="U120" i="7"/>
  <c r="S23" i="7"/>
  <c r="AA185" i="7"/>
  <c r="AE179" i="7"/>
  <c r="U134" i="7"/>
  <c r="AF107" i="7"/>
  <c r="AC137" i="7"/>
  <c r="S226" i="7"/>
  <c r="V93" i="7"/>
  <c r="X79" i="7"/>
  <c r="T199" i="7"/>
  <c r="AE73" i="7"/>
  <c r="AF24" i="7"/>
  <c r="Z68" i="7"/>
  <c r="S24" i="7"/>
  <c r="V233" i="7"/>
  <c r="AH149" i="7"/>
  <c r="AF117" i="7"/>
  <c r="V225" i="7"/>
  <c r="AB202" i="7"/>
  <c r="X16" i="7"/>
  <c r="AG76" i="7"/>
  <c r="G83" i="8"/>
  <c r="AA127" i="7"/>
  <c r="Y189" i="7"/>
  <c r="AF150" i="7"/>
  <c r="T74" i="7"/>
  <c r="AH198" i="7"/>
  <c r="AH187" i="7"/>
  <c r="U228" i="7"/>
  <c r="T55" i="7"/>
  <c r="V59" i="7"/>
  <c r="AD111" i="7"/>
  <c r="AH208" i="7"/>
  <c r="AC30" i="7"/>
  <c r="AC16" i="7"/>
  <c r="W215" i="7"/>
  <c r="T161" i="7"/>
  <c r="X223" i="7"/>
  <c r="Z100" i="7"/>
  <c r="AA114" i="7"/>
  <c r="X144" i="7"/>
  <c r="AC194" i="7"/>
  <c r="S100" i="7"/>
  <c r="V207" i="7"/>
  <c r="V33" i="7"/>
  <c r="W198" i="7"/>
  <c r="W160" i="7"/>
  <c r="W128" i="7"/>
  <c r="V119" i="7"/>
  <c r="AG125" i="7"/>
  <c r="AC127" i="7"/>
  <c r="W86" i="7"/>
  <c r="S30" i="7"/>
  <c r="S157" i="7"/>
  <c r="F80" i="8" a="1"/>
  <c r="U213" i="7"/>
  <c r="W147" i="7"/>
  <c r="T184" i="7"/>
  <c r="AA59" i="7"/>
  <c r="AB101" i="7"/>
  <c r="S175" i="7"/>
  <c r="AD78" i="7"/>
  <c r="Y158" i="7"/>
  <c r="W31" i="7"/>
  <c r="R218" i="7"/>
  <c r="X45" i="7"/>
  <c r="AE134" i="7"/>
  <c r="AC210" i="7"/>
  <c r="AD124" i="7"/>
  <c r="AF195" i="7"/>
  <c r="Z193" i="7"/>
  <c r="X134" i="7"/>
  <c r="W142" i="7"/>
  <c r="AH91" i="7"/>
  <c r="AH112" i="7"/>
  <c r="X195" i="7"/>
  <c r="S28" i="7"/>
  <c r="S150" i="7"/>
  <c r="AD149" i="7"/>
  <c r="AE71" i="7"/>
  <c r="AE77" i="7"/>
  <c r="AG155" i="7"/>
  <c r="T211" i="7"/>
  <c r="G80" i="8"/>
  <c r="W34" i="7"/>
  <c r="C9" i="11"/>
  <c r="AD172" i="7"/>
  <c r="AH59" i="7"/>
  <c r="Y49" i="7"/>
  <c r="AF172" i="7"/>
  <c r="AB143" i="7"/>
  <c r="V29" i="7"/>
  <c r="AG216" i="7"/>
  <c r="W106" i="7"/>
  <c r="R160" i="7"/>
  <c r="U199" i="7"/>
  <c r="Y212" i="7"/>
  <c r="W140" i="7"/>
  <c r="AG31" i="7"/>
  <c r="Y41" i="7"/>
  <c r="Y157" i="7"/>
  <c r="Y101" i="7"/>
  <c r="U234" i="7"/>
  <c r="S221" i="7"/>
  <c r="S61" i="7"/>
  <c r="X102" i="7"/>
  <c r="R208" i="7"/>
  <c r="AH28" i="7"/>
  <c r="W167" i="7"/>
  <c r="W181" i="7"/>
  <c r="S143" i="7"/>
  <c r="AC50" i="7"/>
  <c r="AC46" i="7"/>
  <c r="AA116" i="7"/>
  <c r="AD46" i="7"/>
  <c r="AG34" i="7"/>
  <c r="R25" i="7"/>
  <c r="AD70" i="7"/>
  <c r="G82" i="8"/>
  <c r="AC36" i="7"/>
  <c r="AF206" i="7"/>
  <c r="AG202" i="7"/>
  <c r="Y109" i="7"/>
  <c r="AB150" i="7"/>
  <c r="AF70" i="7"/>
  <c r="U178" i="7"/>
  <c r="T212" i="7"/>
  <c r="AC68" i="7"/>
  <c r="V102" i="7"/>
  <c r="V218" i="7"/>
  <c r="AF103" i="7"/>
  <c r="AG133" i="7"/>
  <c r="F89" i="8" a="1"/>
  <c r="AG180" i="7"/>
  <c r="AD31" i="7"/>
  <c r="AE139" i="7"/>
  <c r="U19" i="7"/>
  <c r="X122" i="7"/>
  <c r="AD44" i="7"/>
  <c r="Z156" i="7"/>
  <c r="AC160" i="7"/>
  <c r="AC53" i="7"/>
  <c r="T200" i="7"/>
  <c r="AE117" i="7"/>
  <c r="C6" i="11"/>
  <c r="AA13" i="7"/>
  <c r="AE19" i="7"/>
  <c r="AG114" i="7"/>
  <c r="AH70" i="7"/>
  <c r="Y208" i="7"/>
  <c r="AE106" i="7"/>
  <c r="S101" i="7"/>
  <c r="S12" i="7"/>
  <c r="T175" i="7"/>
  <c r="T145" i="7"/>
  <c r="AE59" i="7"/>
  <c r="AG17" i="7"/>
  <c r="Z61" i="7"/>
  <c r="AB32" i="7"/>
  <c r="T30" i="7"/>
  <c r="AG192" i="7"/>
  <c r="B78" i="8"/>
  <c r="AG58" i="7"/>
  <c r="S110" i="7"/>
  <c r="K18" i="11" a="1"/>
  <c r="AB70" i="7"/>
  <c r="AF26" i="7"/>
  <c r="AC67" i="7"/>
  <c r="X125" i="7"/>
  <c r="AD223" i="7"/>
  <c r="R197" i="7"/>
  <c r="G6" i="11" a="1"/>
  <c r="S44" i="7"/>
  <c r="AA31" i="7"/>
  <c r="AG196" i="7"/>
  <c r="AF49" i="7"/>
  <c r="AD134" i="7"/>
  <c r="AB27" i="7"/>
  <c r="AD177" i="7"/>
  <c r="AG154" i="7"/>
  <c r="R41" i="7"/>
  <c r="W81" i="7"/>
  <c r="AE41" i="7"/>
  <c r="R224" i="7"/>
  <c r="AE160" i="7"/>
  <c r="U117" i="7"/>
  <c r="AB152" i="7"/>
  <c r="S55" i="7"/>
  <c r="AE22" i="7"/>
  <c r="W69" i="7"/>
  <c r="Y24" i="7"/>
  <c r="AF105" i="7"/>
  <c r="AA12" i="7"/>
  <c r="R144" i="7"/>
  <c r="Y234" i="7"/>
  <c r="V124" i="7"/>
  <c r="Y199" i="7"/>
  <c r="AD61" i="7"/>
  <c r="AH32" i="7"/>
  <c r="AF124" i="7"/>
  <c r="AF142" i="7"/>
  <c r="U197" i="7"/>
  <c r="X150" i="7"/>
  <c r="AH39" i="7"/>
  <c r="W144" i="7"/>
  <c r="AA155" i="7"/>
  <c r="AB97" i="7"/>
  <c r="U223" i="7"/>
  <c r="AH204" i="7"/>
  <c r="X224" i="7"/>
  <c r="AC199" i="7"/>
  <c r="AE91" i="7"/>
  <c r="AA27" i="7"/>
  <c r="R186" i="7"/>
  <c r="Z148" i="7"/>
  <c r="AC231" i="7"/>
  <c r="X218" i="7"/>
  <c r="AC180" i="7"/>
  <c r="V147" i="7"/>
  <c r="U44" i="7"/>
  <c r="V154" i="7"/>
  <c r="AH118" i="7"/>
  <c r="Z143" i="7"/>
  <c r="R17" i="7"/>
  <c r="AC204" i="7"/>
  <c r="V91" i="7"/>
  <c r="AG131" i="7"/>
  <c r="Y94" i="7"/>
  <c r="AD43" i="7"/>
  <c r="AD41" i="7"/>
  <c r="AG16" i="7"/>
  <c r="U190" i="7"/>
  <c r="AD201" i="7"/>
  <c r="R192" i="7"/>
  <c r="AF69" i="7"/>
  <c r="AB207" i="7"/>
  <c r="C13" i="11"/>
  <c r="AB78" i="7"/>
  <c r="R70" i="7"/>
  <c r="AE128" i="7"/>
  <c r="AE68" i="7"/>
  <c r="W17" i="7"/>
  <c r="R133" i="7"/>
  <c r="X188" i="7"/>
  <c r="T35" i="7"/>
  <c r="Y201" i="7"/>
  <c r="AA72" i="7"/>
  <c r="AF202" i="7"/>
  <c r="Z146" i="7"/>
  <c r="Z157" i="7"/>
  <c r="V24" i="7"/>
  <c r="Z132" i="7"/>
  <c r="S204" i="7"/>
  <c r="AC92" i="7"/>
  <c r="AD105" i="7"/>
  <c r="AG127" i="7"/>
  <c r="U221" i="7"/>
  <c r="X43" i="7"/>
  <c r="C16" i="11"/>
  <c r="AD135" i="7"/>
  <c r="AG219" i="7"/>
  <c r="AF11" i="7"/>
  <c r="Z105" i="7"/>
  <c r="AD211" i="7"/>
  <c r="S85" i="7"/>
  <c r="Z63" i="7"/>
  <c r="U11" i="7"/>
  <c r="U60" i="7"/>
  <c r="S162" i="7"/>
  <c r="AA215" i="7"/>
  <c r="AE161" i="7"/>
  <c r="T183" i="7"/>
  <c r="AD151" i="7"/>
  <c r="AF221" i="7"/>
  <c r="U166" i="7"/>
  <c r="X38" i="7"/>
  <c r="AD102" i="7"/>
  <c r="Y30" i="7"/>
  <c r="Y38" i="7"/>
  <c r="AC107" i="7"/>
  <c r="Y184" i="7"/>
  <c r="R98" i="7"/>
  <c r="AE219" i="7"/>
  <c r="AB180" i="7"/>
  <c r="AD215" i="7"/>
  <c r="AE230" i="7"/>
  <c r="AC35" i="7"/>
  <c r="AD100" i="7"/>
  <c r="Z150" i="7"/>
  <c r="AE124" i="7"/>
  <c r="T38" i="7"/>
  <c r="Z171" i="7"/>
  <c r="AB208" i="7"/>
  <c r="C11" i="11"/>
  <c r="X24" i="7"/>
  <c r="AB187" i="7"/>
  <c r="AH103" i="7"/>
  <c r="AG81" i="7"/>
  <c r="X127" i="7"/>
  <c r="T80" i="7"/>
  <c r="AC15" i="7"/>
  <c r="AB181" i="7"/>
  <c r="U128" i="7"/>
  <c r="AG105" i="7"/>
  <c r="AH179" i="7"/>
  <c r="AB195" i="7"/>
  <c r="Y232" i="7"/>
  <c r="W72" i="7"/>
  <c r="R234" i="7"/>
  <c r="AF48" i="7"/>
  <c r="AE184" i="7"/>
  <c r="AF59" i="7"/>
  <c r="W114" i="7"/>
  <c r="W174" i="7"/>
  <c r="AF15" i="7"/>
  <c r="AF198" i="7"/>
  <c r="Y58" i="7"/>
  <c r="W44" i="7"/>
  <c r="AD185" i="7"/>
  <c r="W134" i="7"/>
  <c r="B82" i="8"/>
  <c r="H4" i="11"/>
  <c r="AH17" i="7"/>
  <c r="AA172" i="7"/>
  <c r="W33" i="7"/>
  <c r="AH172" i="7"/>
  <c r="AD165" i="7"/>
  <c r="AB128" i="7"/>
  <c r="AE159" i="7"/>
  <c r="Y150" i="7"/>
  <c r="AE36" i="7"/>
  <c r="Z17" i="7"/>
  <c r="AE84" i="7"/>
  <c r="AB82" i="7"/>
  <c r="AH33" i="7"/>
  <c r="AG86" i="7"/>
  <c r="AG52" i="7"/>
  <c r="Y159" i="7"/>
  <c r="S98" i="7"/>
  <c r="AF196" i="7"/>
  <c r="F76" i="8" a="1"/>
  <c r="V170" i="7"/>
  <c r="AD156" i="7"/>
  <c r="Y33" i="7"/>
  <c r="T86" i="7"/>
  <c r="AD39" i="7"/>
  <c r="W162" i="7"/>
  <c r="R138" i="7"/>
  <c r="AH114" i="7"/>
  <c r="X59" i="7"/>
  <c r="AC66" i="7"/>
  <c r="W94" i="7"/>
  <c r="R172" i="7"/>
  <c r="AE223" i="7"/>
  <c r="X66" i="7"/>
  <c r="U106" i="7"/>
  <c r="AA198" i="7"/>
  <c r="AH128" i="7"/>
  <c r="Z66" i="7"/>
  <c r="W105" i="7"/>
  <c r="B75" i="8"/>
  <c r="U198" i="7"/>
  <c r="AD210" i="7"/>
  <c r="AH122" i="7"/>
  <c r="AG67" i="7"/>
  <c r="AH24" i="7"/>
  <c r="Z118" i="7"/>
  <c r="AB57" i="7"/>
  <c r="S59" i="7"/>
  <c r="L10" i="11"/>
  <c r="AC211" i="7"/>
  <c r="AG148" i="7"/>
  <c r="H17" i="11"/>
  <c r="X88" i="7"/>
  <c r="AC197" i="7"/>
  <c r="AG183" i="7"/>
  <c r="G14" i="11" a="1"/>
  <c r="W156" i="7"/>
  <c r="AB154" i="7"/>
  <c r="AE165" i="7"/>
  <c r="AA42" i="7"/>
  <c r="V56" i="7"/>
  <c r="W27" i="7"/>
  <c r="G81" i="8"/>
  <c r="T32" i="7"/>
  <c r="AA233" i="7"/>
  <c r="U144" i="7"/>
  <c r="Z114" i="7"/>
  <c r="AD110" i="7"/>
  <c r="V37" i="7"/>
  <c r="U124" i="7"/>
  <c r="T77" i="7"/>
  <c r="AE156" i="7"/>
  <c r="U196" i="7"/>
  <c r="AG28" i="7"/>
  <c r="S210" i="7"/>
  <c r="AD106" i="7"/>
  <c r="T95" i="7"/>
  <c r="W87" i="7"/>
  <c r="AA188" i="7"/>
  <c r="AD21" i="7"/>
  <c r="T190" i="7"/>
  <c r="Z67" i="7"/>
  <c r="AC111" i="7"/>
  <c r="AD220" i="7"/>
  <c r="Y56" i="7"/>
  <c r="Z43" i="7"/>
  <c r="AH137" i="7"/>
  <c r="S88" i="7"/>
  <c r="S105" i="7"/>
  <c r="AD218" i="7"/>
  <c r="T19" i="7"/>
  <c r="X78" i="7"/>
  <c r="Z227" i="7"/>
  <c r="K4" i="11" a="1"/>
  <c r="AC21" i="7"/>
  <c r="AE86" i="7"/>
  <c r="AF81" i="7"/>
  <c r="V38" i="7"/>
  <c r="R79" i="7"/>
  <c r="AE55" i="7"/>
  <c r="R40" i="7"/>
  <c r="Y213" i="7"/>
  <c r="Z174" i="7"/>
  <c r="AG163" i="7"/>
  <c r="AE225" i="7"/>
  <c r="AH75" i="7"/>
  <c r="R22" i="7"/>
  <c r="AA226" i="7"/>
  <c r="AF228" i="7"/>
  <c r="U88" i="7"/>
  <c r="AE120" i="7"/>
  <c r="W76" i="7"/>
  <c r="R175" i="7"/>
  <c r="AA174" i="7"/>
  <c r="AA221" i="7"/>
  <c r="AA43" i="7"/>
  <c r="T24" i="7"/>
  <c r="AA147" i="7"/>
  <c r="Y53" i="7"/>
  <c r="AB125" i="7"/>
  <c r="U103" i="7"/>
  <c r="AA218" i="7"/>
  <c r="Z179" i="7"/>
  <c r="V174" i="7"/>
  <c r="V155" i="7"/>
  <c r="U209" i="7"/>
  <c r="AB15" i="7"/>
  <c r="G75" i="8"/>
  <c r="Y148" i="7"/>
  <c r="AD113" i="7"/>
  <c r="R75" i="7"/>
  <c r="T172" i="7"/>
  <c r="X61" i="7"/>
  <c r="AI75" i="7" l="1"/>
  <c r="AI103" i="7"/>
  <c r="AN103" i="7"/>
  <c r="AI175" i="7"/>
  <c r="AI22" i="7"/>
  <c r="BA75" i="7"/>
  <c r="AI40" i="7"/>
  <c r="AQ40" i="7" s="1"/>
  <c r="AI79" i="7"/>
  <c r="K4" i="11"/>
  <c r="AI105" i="7"/>
  <c r="AL105" i="7"/>
  <c r="AI190" i="7"/>
  <c r="AM190" i="7"/>
  <c r="AI77" i="7"/>
  <c r="AM77" i="7" s="1"/>
  <c r="AI56" i="7"/>
  <c r="AO56" i="7"/>
  <c r="G14" i="11"/>
  <c r="P10" i="11"/>
  <c r="D75" i="8"/>
  <c r="B95" i="8"/>
  <c r="AP105" i="7"/>
  <c r="AI172" i="7"/>
  <c r="AM172" i="7" s="1"/>
  <c r="AI138" i="7"/>
  <c r="AI86" i="7"/>
  <c r="AM86" i="7"/>
  <c r="F76" i="8"/>
  <c r="K76" i="8" s="1"/>
  <c r="AZ86" i="7"/>
  <c r="BA172" i="7"/>
  <c r="B97" i="8"/>
  <c r="D82" i="8"/>
  <c r="AI234" i="7"/>
  <c r="AZ105" i="7"/>
  <c r="BA103" i="7"/>
  <c r="E11" i="11"/>
  <c r="AI98" i="7"/>
  <c r="AI162" i="7"/>
  <c r="AL162" i="7" s="1"/>
  <c r="AI85" i="7"/>
  <c r="AS105" i="7"/>
  <c r="E16" i="11"/>
  <c r="AW105" i="7"/>
  <c r="AI204" i="7"/>
  <c r="AL204" i="7"/>
  <c r="AI133" i="7"/>
  <c r="AI70" i="7"/>
  <c r="E13" i="11"/>
  <c r="AI192" i="7"/>
  <c r="AN190" i="7"/>
  <c r="AV204" i="7"/>
  <c r="AI17" i="7"/>
  <c r="AS17" i="7" s="1"/>
  <c r="AI186" i="7"/>
  <c r="BA204" i="7"/>
  <c r="AI223" i="7"/>
  <c r="AX223" i="7" s="1"/>
  <c r="AR234" i="7"/>
  <c r="AI144" i="7"/>
  <c r="AY105" i="7"/>
  <c r="AI55" i="7"/>
  <c r="AX55" i="7" s="1"/>
  <c r="AI117" i="7"/>
  <c r="AN117" i="7" s="1"/>
  <c r="AK224" i="7"/>
  <c r="AI224" i="7"/>
  <c r="AI81" i="7"/>
  <c r="AY81" i="7" s="1"/>
  <c r="AI41" i="7"/>
  <c r="AX41" i="7" s="1"/>
  <c r="AI44" i="7"/>
  <c r="AL44" i="7"/>
  <c r="G6" i="11"/>
  <c r="AI197" i="7"/>
  <c r="AU197" i="7" s="1"/>
  <c r="AW223" i="7"/>
  <c r="AU70" i="7"/>
  <c r="K18" i="11"/>
  <c r="D45" i="11" s="1"/>
  <c r="D78" i="8"/>
  <c r="B96" i="8"/>
  <c r="AZ192" i="7"/>
  <c r="AZ17" i="7"/>
  <c r="AM175" i="7"/>
  <c r="AI12" i="7"/>
  <c r="AL12" i="7"/>
  <c r="E6" i="11"/>
  <c r="AX117" i="7"/>
  <c r="AW44" i="7"/>
  <c r="F89" i="8"/>
  <c r="K89" i="8" s="1"/>
  <c r="AZ133" i="7"/>
  <c r="AY103" i="7"/>
  <c r="AY70" i="7"/>
  <c r="AW70" i="7"/>
  <c r="AI25" i="7"/>
  <c r="AI208" i="7"/>
  <c r="AU208" i="7" s="1"/>
  <c r="AR41" i="7"/>
  <c r="AI160" i="7"/>
  <c r="AW172" i="7"/>
  <c r="E9" i="11"/>
  <c r="AX77" i="7"/>
  <c r="AI150" i="7"/>
  <c r="AL150" i="7"/>
  <c r="AK218" i="7"/>
  <c r="AI218" i="7"/>
  <c r="AQ218" i="7" s="1"/>
  <c r="AL175" i="7"/>
  <c r="AI213" i="7"/>
  <c r="F80" i="8"/>
  <c r="K80" i="8" s="1"/>
  <c r="AI157" i="7"/>
  <c r="AR157" i="7" s="1"/>
  <c r="AI30" i="7"/>
  <c r="AL30" i="7"/>
  <c r="AP86" i="7"/>
  <c r="AQ144" i="7"/>
  <c r="AQ223" i="7"/>
  <c r="BA208" i="7"/>
  <c r="AM55" i="7"/>
  <c r="AY150" i="7"/>
  <c r="AY117" i="7"/>
  <c r="AI24" i="7"/>
  <c r="BA24" i="7" s="1"/>
  <c r="AY24" i="7"/>
  <c r="AQ79" i="7"/>
  <c r="AW175" i="7"/>
  <c r="AI210" i="7"/>
  <c r="AO210" i="7" s="1"/>
  <c r="AK210" i="7"/>
  <c r="AI91" i="7"/>
  <c r="AN157" i="7"/>
  <c r="AI63" i="7"/>
  <c r="AN63" i="7" s="1"/>
  <c r="AK15" i="7"/>
  <c r="AI15" i="7"/>
  <c r="AV15" i="7" s="1"/>
  <c r="AQ85" i="7"/>
  <c r="E14" i="11"/>
  <c r="AT157" i="7"/>
  <c r="AZ204" i="7"/>
  <c r="AL234" i="7"/>
  <c r="AY175" i="7"/>
  <c r="AS30" i="7"/>
  <c r="AS79" i="7"/>
  <c r="AI16" i="7"/>
  <c r="AO16" i="7" s="1"/>
  <c r="BA192" i="7"/>
  <c r="AL224" i="7"/>
  <c r="BA138" i="7"/>
  <c r="AI62" i="7"/>
  <c r="AL62" i="7" s="1"/>
  <c r="AI143" i="7"/>
  <c r="AR143" i="7" s="1"/>
  <c r="AI187" i="7"/>
  <c r="AI115" i="7"/>
  <c r="AM115" i="7"/>
  <c r="AI37" i="7"/>
  <c r="AM37" i="7"/>
  <c r="AN75" i="7"/>
  <c r="AM157" i="7"/>
  <c r="AQ37" i="7"/>
  <c r="P16" i="11"/>
  <c r="AI163" i="7"/>
  <c r="AN163" i="7"/>
  <c r="AI155" i="7"/>
  <c r="AT155" i="7" s="1"/>
  <c r="AS192" i="7"/>
  <c r="AI74" i="7"/>
  <c r="AM74" i="7" s="1"/>
  <c r="P7" i="11"/>
  <c r="AI202" i="7"/>
  <c r="AY202" i="7" s="1"/>
  <c r="AQ63" i="7"/>
  <c r="AQ155" i="7"/>
  <c r="AL186" i="7"/>
  <c r="AZ91" i="7"/>
  <c r="AI179" i="7"/>
  <c r="AL179" i="7"/>
  <c r="AI71" i="7"/>
  <c r="AL71" i="7"/>
  <c r="AY25" i="7"/>
  <c r="BA218" i="7"/>
  <c r="AO41" i="7"/>
  <c r="K12" i="11"/>
  <c r="D28" i="11" s="1"/>
  <c r="AI199" i="7"/>
  <c r="AV199" i="7" s="1"/>
  <c r="AI96" i="7"/>
  <c r="AU175" i="7"/>
  <c r="AT22" i="7"/>
  <c r="AI47" i="7"/>
  <c r="BA47" i="7" s="1"/>
  <c r="BA186" i="7"/>
  <c r="AM204" i="7"/>
  <c r="AW138" i="7"/>
  <c r="AU17" i="7"/>
  <c r="AY179" i="7"/>
  <c r="AV163" i="7"/>
  <c r="AO105" i="7"/>
  <c r="AI141" i="7"/>
  <c r="AL141" i="7"/>
  <c r="AI174" i="7"/>
  <c r="AI32" i="7"/>
  <c r="AM32" i="7" s="1"/>
  <c r="AL32" i="7"/>
  <c r="AI188" i="7"/>
  <c r="AK188" i="7"/>
  <c r="AM197" i="7"/>
  <c r="AO175" i="7"/>
  <c r="AW188" i="7"/>
  <c r="BA224" i="7"/>
  <c r="AZ115" i="7"/>
  <c r="AQ162" i="7"/>
  <c r="AY44" i="7"/>
  <c r="AI147" i="7"/>
  <c r="AP147" i="7" s="1"/>
  <c r="AI61" i="7"/>
  <c r="AL61" i="7" s="1"/>
  <c r="AN160" i="7"/>
  <c r="AY41" i="7"/>
  <c r="AI116" i="7"/>
  <c r="AT116" i="7" s="1"/>
  <c r="AI92" i="7"/>
  <c r="AM92" i="7" s="1"/>
  <c r="AI146" i="7"/>
  <c r="AS146" i="7" s="1"/>
  <c r="AY234" i="7"/>
  <c r="AM12" i="7"/>
  <c r="AK14" i="7"/>
  <c r="AI14" i="7"/>
  <c r="AX133" i="7"/>
  <c r="AL133" i="7"/>
  <c r="AW144" i="7"/>
  <c r="AX37" i="7"/>
  <c r="AQ133" i="7"/>
  <c r="AI27" i="7"/>
  <c r="AO162" i="7"/>
  <c r="AN204" i="7"/>
  <c r="AI167" i="7"/>
  <c r="AP167" i="7" s="1"/>
  <c r="AM167" i="7"/>
  <c r="AO133" i="7"/>
  <c r="AN167" i="7"/>
  <c r="AN77" i="7"/>
  <c r="AU85" i="7"/>
  <c r="AQ98" i="7"/>
  <c r="AX96" i="7"/>
  <c r="G10" i="11"/>
  <c r="AN224" i="7"/>
  <c r="E4" i="11"/>
  <c r="C20" i="11"/>
  <c r="AT223" i="7"/>
  <c r="AS116" i="7"/>
  <c r="AX12" i="7"/>
  <c r="AX70" i="7"/>
  <c r="AZ32" i="7"/>
  <c r="BA115" i="7"/>
  <c r="AI104" i="7"/>
  <c r="P19" i="11"/>
  <c r="AO150" i="7"/>
  <c r="AI68" i="7"/>
  <c r="AI54" i="7"/>
  <c r="AI198" i="7"/>
  <c r="AW37" i="7"/>
  <c r="D84" i="8"/>
  <c r="AQ41" i="7"/>
  <c r="AO167" i="7"/>
  <c r="AU186" i="7"/>
  <c r="AT234" i="7"/>
  <c r="AV12" i="7"/>
  <c r="AW17" i="7"/>
  <c r="AU24" i="7"/>
  <c r="AO160" i="7"/>
  <c r="AL70" i="7"/>
  <c r="AM141" i="7"/>
  <c r="AW150" i="7"/>
  <c r="AR40" i="7"/>
  <c r="AN85" i="7"/>
  <c r="AM104" i="7"/>
  <c r="AT44" i="7"/>
  <c r="AV54" i="7"/>
  <c r="AY16" i="7"/>
  <c r="AI76" i="7"/>
  <c r="AL76" i="7"/>
  <c r="AI19" i="7"/>
  <c r="AX19" i="7" s="1"/>
  <c r="AL19" i="7"/>
  <c r="AK169" i="7"/>
  <c r="AI169" i="7"/>
  <c r="P17" i="11"/>
  <c r="AU117" i="7"/>
  <c r="AV175" i="7"/>
  <c r="AI11" i="7"/>
  <c r="AS11" i="7" s="1"/>
  <c r="AM85" i="7"/>
  <c r="AQ77" i="7"/>
  <c r="AS147" i="7"/>
  <c r="AI170" i="7"/>
  <c r="AX234" i="7"/>
  <c r="AM143" i="7"/>
  <c r="AS25" i="7"/>
  <c r="AW162" i="7"/>
  <c r="AP157" i="7"/>
  <c r="AM174" i="7"/>
  <c r="AO104" i="7"/>
  <c r="AO14" i="7"/>
  <c r="AI53" i="7"/>
  <c r="BA41" i="7"/>
  <c r="AM40" i="7"/>
  <c r="AU96" i="7"/>
  <c r="AR74" i="7"/>
  <c r="AM138" i="7"/>
  <c r="AI226" i="7"/>
  <c r="AX226" i="7" s="1"/>
  <c r="AI66" i="7"/>
  <c r="AS66" i="7" s="1"/>
  <c r="AV96" i="7"/>
  <c r="AY143" i="7"/>
  <c r="AU86" i="7"/>
  <c r="AZ19" i="7"/>
  <c r="AZ66" i="7"/>
  <c r="AI69" i="7"/>
  <c r="AK69" i="7"/>
  <c r="AY74" i="7"/>
  <c r="AW75" i="7"/>
  <c r="AX186" i="7"/>
  <c r="K17" i="11"/>
  <c r="D29" i="11" s="1"/>
  <c r="AT16" i="7"/>
  <c r="AO55" i="7"/>
  <c r="AP202" i="7"/>
  <c r="AL11" i="7"/>
  <c r="AR133" i="7"/>
  <c r="AN218" i="7"/>
  <c r="AW22" i="7"/>
  <c r="AW179" i="7"/>
  <c r="AY223" i="7"/>
  <c r="AI60" i="7"/>
  <c r="AW96" i="7"/>
  <c r="AV146" i="7"/>
  <c r="AI73" i="7"/>
  <c r="AR73" i="7" s="1"/>
  <c r="AK50" i="7"/>
  <c r="AI50" i="7"/>
  <c r="B90" i="8"/>
  <c r="B94" i="8"/>
  <c r="D73" i="8"/>
  <c r="F74" i="8"/>
  <c r="AY146" i="7"/>
  <c r="AO76" i="7"/>
  <c r="AW198" i="7"/>
  <c r="AN68" i="7"/>
  <c r="AS12" i="7"/>
  <c r="AS16" i="7"/>
  <c r="AS141" i="7"/>
  <c r="AT50" i="7"/>
  <c r="AI87" i="7"/>
  <c r="AR81" i="7"/>
  <c r="AI220" i="7"/>
  <c r="AW220" i="7" s="1"/>
  <c r="AM220" i="7"/>
  <c r="AN188" i="7"/>
  <c r="BA162" i="7"/>
  <c r="AZ138" i="7"/>
  <c r="AQ74" i="7"/>
  <c r="AW68" i="7"/>
  <c r="G15" i="11"/>
  <c r="AR91" i="7"/>
  <c r="AP22" i="7"/>
  <c r="AI120" i="7"/>
  <c r="AK120" i="7"/>
  <c r="AZ68" i="7"/>
  <c r="D88" i="8"/>
  <c r="BA170" i="7"/>
  <c r="AP199" i="7"/>
  <c r="AX190" i="7"/>
  <c r="AO223" i="7"/>
  <c r="AW187" i="7"/>
  <c r="AX193" i="7"/>
  <c r="AQ157" i="7"/>
  <c r="AL53" i="7"/>
  <c r="AP91" i="7"/>
  <c r="AI193" i="7"/>
  <c r="AM193" i="7"/>
  <c r="AI225" i="7"/>
  <c r="AQ225" i="7" s="1"/>
  <c r="AM17" i="7"/>
  <c r="F88" i="8"/>
  <c r="K88" i="8" s="1"/>
  <c r="AY36" i="7"/>
  <c r="AK209" i="7"/>
  <c r="AI209" i="7"/>
  <c r="AY169" i="7"/>
  <c r="AI185" i="7"/>
  <c r="AZ185" i="7" s="1"/>
  <c r="AU141" i="7"/>
  <c r="AP133" i="7"/>
  <c r="AO86" i="7"/>
  <c r="AY186" i="7"/>
  <c r="AX66" i="7"/>
  <c r="AS62" i="7"/>
  <c r="AI36" i="7"/>
  <c r="AK36" i="7"/>
  <c r="AP169" i="7"/>
  <c r="BA37" i="7"/>
  <c r="AN185" i="7"/>
  <c r="AI29" i="7"/>
  <c r="AO29" i="7" s="1"/>
  <c r="AK29" i="7"/>
  <c r="AN69" i="7"/>
  <c r="AS167" i="7"/>
  <c r="E15" i="11"/>
  <c r="AI113" i="7"/>
  <c r="AO113" i="7" s="1"/>
  <c r="AM113" i="7"/>
  <c r="AW86" i="7"/>
  <c r="AR36" i="7"/>
  <c r="AR103" i="7"/>
  <c r="AX144" i="7"/>
  <c r="D81" i="8"/>
  <c r="AI177" i="7"/>
  <c r="AP150" i="7"/>
  <c r="AO234" i="7"/>
  <c r="AI48" i="7"/>
  <c r="AQ48" i="7"/>
  <c r="AY104" i="7"/>
  <c r="AI158" i="7"/>
  <c r="AK158" i="7"/>
  <c r="AI189" i="7"/>
  <c r="AL189" i="7"/>
  <c r="AP179" i="7"/>
  <c r="AO199" i="7"/>
  <c r="AZ186" i="7"/>
  <c r="AV202" i="7"/>
  <c r="AQ70" i="7"/>
  <c r="AS198" i="7"/>
  <c r="AI21" i="7"/>
  <c r="AV21" i="7" s="1"/>
  <c r="AP190" i="7"/>
  <c r="AI107" i="7"/>
  <c r="AV107" i="7" s="1"/>
  <c r="AX213" i="7"/>
  <c r="AU56" i="7"/>
  <c r="BA150" i="7"/>
  <c r="AN71" i="7"/>
  <c r="AU12" i="7"/>
  <c r="AV158" i="7"/>
  <c r="AS107" i="7"/>
  <c r="AP61" i="7"/>
  <c r="AP92" i="7"/>
  <c r="AI231" i="7"/>
  <c r="AV231" i="7" s="1"/>
  <c r="AM231" i="7"/>
  <c r="AS54" i="7"/>
  <c r="AM185" i="7"/>
  <c r="AX138" i="7"/>
  <c r="AS197" i="7"/>
  <c r="AP197" i="7"/>
  <c r="AN53" i="7"/>
  <c r="AR162" i="7"/>
  <c r="G12" i="11"/>
  <c r="AW36" i="7"/>
  <c r="AU231" i="7"/>
  <c r="AV55" i="7"/>
  <c r="AW62" i="7"/>
  <c r="AS209" i="7"/>
  <c r="AI78" i="7"/>
  <c r="AM78" i="7"/>
  <c r="AW69" i="7"/>
  <c r="AW14" i="7"/>
  <c r="E12" i="11"/>
  <c r="AV41" i="7"/>
  <c r="AI196" i="7"/>
  <c r="AN196" i="7" s="1"/>
  <c r="AM196" i="7"/>
  <c r="AW12" i="7"/>
  <c r="AS85" i="7"/>
  <c r="AP234" i="7"/>
  <c r="AO220" i="7"/>
  <c r="AZ175" i="7"/>
  <c r="AI45" i="7"/>
  <c r="AL45" i="7"/>
  <c r="AQ193" i="7"/>
  <c r="AI131" i="7"/>
  <c r="AV131" i="7" s="1"/>
  <c r="AO131" i="7"/>
  <c r="AR115" i="7"/>
  <c r="AN162" i="7"/>
  <c r="AX75" i="7"/>
  <c r="AV76" i="7"/>
  <c r="AR14" i="7"/>
  <c r="AI80" i="7"/>
  <c r="AQ73" i="7"/>
  <c r="AS48" i="7"/>
  <c r="AN138" i="7"/>
  <c r="AO17" i="7"/>
  <c r="AP107" i="7"/>
  <c r="AQ17" i="7"/>
  <c r="F83" i="8"/>
  <c r="K83" i="8" s="1"/>
  <c r="AR105" i="7"/>
  <c r="P12" i="11"/>
  <c r="AS55" i="7"/>
  <c r="AP75" i="7"/>
  <c r="AQ179" i="7"/>
  <c r="AI119" i="7"/>
  <c r="AL119" i="7"/>
  <c r="D89" i="8"/>
  <c r="AV14" i="7"/>
  <c r="BA141" i="7"/>
  <c r="AX185" i="7"/>
  <c r="AI128" i="7"/>
  <c r="BA128" i="7" s="1"/>
  <c r="AN146" i="7"/>
  <c r="AP141" i="7"/>
  <c r="AV61" i="7"/>
  <c r="AS202" i="7"/>
  <c r="AY45" i="7"/>
  <c r="AS104" i="7"/>
  <c r="AN92" i="7"/>
  <c r="AI152" i="7"/>
  <c r="AL152" i="7"/>
  <c r="P4" i="11"/>
  <c r="AN189" i="7"/>
  <c r="E5" i="11"/>
  <c r="AL192" i="7"/>
  <c r="AM87" i="7"/>
  <c r="AT80" i="7"/>
  <c r="AT11" i="7"/>
  <c r="BA76" i="7"/>
  <c r="AQ196" i="7"/>
  <c r="AS224" i="7"/>
  <c r="AX56" i="7"/>
  <c r="AQ234" i="7"/>
  <c r="AY98" i="7"/>
  <c r="AI180" i="7"/>
  <c r="AU180" i="7" s="1"/>
  <c r="AI127" i="7"/>
  <c r="AZ127" i="7" s="1"/>
  <c r="AN96" i="7"/>
  <c r="AX115" i="7"/>
  <c r="AU147" i="7"/>
  <c r="AX198" i="7"/>
  <c r="AW224" i="7"/>
  <c r="AT143" i="7"/>
  <c r="AI222" i="7"/>
  <c r="AN141" i="7"/>
  <c r="AI168" i="7"/>
  <c r="AL168" i="7" s="1"/>
  <c r="AU22" i="7"/>
  <c r="AY192" i="7"/>
  <c r="AS76" i="7"/>
  <c r="BA19" i="7"/>
  <c r="AM179" i="7"/>
  <c r="AW190" i="7"/>
  <c r="AW127" i="7"/>
  <c r="AV119" i="7"/>
  <c r="AO190" i="7"/>
  <c r="AV17" i="7"/>
  <c r="AT120" i="7"/>
  <c r="AY174" i="7"/>
  <c r="F84" i="8"/>
  <c r="K84" i="8" s="1"/>
  <c r="AO53" i="7"/>
  <c r="AU113" i="7"/>
  <c r="AP50" i="7"/>
  <c r="AI46" i="7"/>
  <c r="AW46" i="7" s="1"/>
  <c r="AO46" i="7"/>
  <c r="AO224" i="7"/>
  <c r="AW226" i="7"/>
  <c r="AQ158" i="7"/>
  <c r="AW141" i="7"/>
  <c r="AQ210" i="7"/>
  <c r="AR25" i="7"/>
  <c r="AL73" i="7"/>
  <c r="AT175" i="7"/>
  <c r="AI166" i="7"/>
  <c r="AR70" i="7"/>
  <c r="AR76" i="7"/>
  <c r="AI132" i="7"/>
  <c r="AU132" i="7" s="1"/>
  <c r="AI206" i="7"/>
  <c r="AL206" i="7" s="1"/>
  <c r="AS226" i="7"/>
  <c r="AR185" i="7"/>
  <c r="AV73" i="7"/>
  <c r="AP152" i="7"/>
  <c r="AT36" i="7"/>
  <c r="AN15" i="7"/>
  <c r="AU98" i="7"/>
  <c r="AW158" i="7"/>
  <c r="AT162" i="7"/>
  <c r="AI145" i="7"/>
  <c r="BA145" i="7" s="1"/>
  <c r="AI124" i="7"/>
  <c r="AN124" i="7" s="1"/>
  <c r="BA226" i="7"/>
  <c r="AP231" i="7"/>
  <c r="AS190" i="7"/>
  <c r="AW77" i="7"/>
  <c r="AK191" i="7"/>
  <c r="AI191" i="7"/>
  <c r="AZ48" i="7"/>
  <c r="AR175" i="7"/>
  <c r="AI165" i="7"/>
  <c r="AW165" i="7" s="1"/>
  <c r="P13" i="11"/>
  <c r="F86" i="8"/>
  <c r="K86" i="8" s="1"/>
  <c r="AN133" i="7"/>
  <c r="AT69" i="7"/>
  <c r="AQ167" i="7"/>
  <c r="AI178" i="7"/>
  <c r="AK178" i="7"/>
  <c r="AZ70" i="7"/>
  <c r="AW32" i="7"/>
  <c r="AU63" i="7"/>
  <c r="AW11" i="7"/>
  <c r="AV143" i="7"/>
  <c r="AM50" i="7"/>
  <c r="AS155" i="7"/>
  <c r="AO188" i="7"/>
  <c r="AX119" i="7"/>
  <c r="AZ220" i="7"/>
  <c r="AI114" i="7"/>
  <c r="AT114" i="7" s="1"/>
  <c r="AM114" i="7"/>
  <c r="AP73" i="7"/>
  <c r="AU47" i="7"/>
  <c r="AU138" i="7"/>
  <c r="BA157" i="7"/>
  <c r="AU76" i="7"/>
  <c r="AU222" i="7"/>
  <c r="AN17" i="7"/>
  <c r="AZ234" i="7"/>
  <c r="AS75" i="7"/>
  <c r="AX78" i="7"/>
  <c r="AS168" i="7"/>
  <c r="G3" i="11"/>
  <c r="AU196" i="7"/>
  <c r="AI219" i="7"/>
  <c r="AK219" i="7"/>
  <c r="AP187" i="7"/>
  <c r="AP163" i="7"/>
  <c r="AO226" i="7"/>
  <c r="D77" i="8"/>
  <c r="AQ81" i="7"/>
  <c r="AU73" i="7"/>
  <c r="AY155" i="7"/>
  <c r="D83" i="8"/>
  <c r="AV86" i="7"/>
  <c r="AY91" i="7"/>
  <c r="AL27" i="7"/>
  <c r="BA104" i="7"/>
  <c r="AI89" i="7"/>
  <c r="AL89" i="7" s="1"/>
  <c r="AT225" i="7"/>
  <c r="AI183" i="7"/>
  <c r="AZ183" i="7" s="1"/>
  <c r="AL183" i="7"/>
  <c r="AM73" i="7"/>
  <c r="AZ80" i="7"/>
  <c r="AZ168" i="7"/>
  <c r="AI112" i="7"/>
  <c r="BA112" i="7" s="1"/>
  <c r="AK112" i="7"/>
  <c r="AX204" i="7"/>
  <c r="AY133" i="7"/>
  <c r="AK228" i="7"/>
  <c r="AI228" i="7"/>
  <c r="AN228" i="7" s="1"/>
  <c r="AP45" i="7"/>
  <c r="AQ22" i="7"/>
  <c r="AT133" i="7"/>
  <c r="AK161" i="7"/>
  <c r="AI161" i="7"/>
  <c r="AO54" i="7"/>
  <c r="AQ44" i="7"/>
  <c r="AY180" i="7"/>
  <c r="AK216" i="7"/>
  <c r="AI216" i="7"/>
  <c r="P18" i="11"/>
  <c r="AU71" i="7"/>
  <c r="AN225" i="7"/>
  <c r="AZ158" i="7"/>
  <c r="AL216" i="7"/>
  <c r="AI97" i="7"/>
  <c r="AT97" i="7" s="1"/>
  <c r="AI23" i="7"/>
  <c r="AK23" i="7"/>
  <c r="AT117" i="7"/>
  <c r="BA86" i="7"/>
  <c r="AU124" i="7"/>
  <c r="AV27" i="7"/>
  <c r="AS44" i="7"/>
  <c r="AO196" i="7"/>
  <c r="AX61" i="7"/>
  <c r="AZ104" i="7"/>
  <c r="BA160" i="7"/>
  <c r="AY226" i="7"/>
  <c r="AL170" i="7"/>
  <c r="E8" i="11"/>
  <c r="AT152" i="7"/>
  <c r="AU14" i="7"/>
  <c r="AV186" i="7"/>
  <c r="AS119" i="7"/>
  <c r="AK207" i="7"/>
  <c r="AI207" i="7"/>
  <c r="AX207" i="7" s="1"/>
  <c r="AU206" i="7"/>
  <c r="AT132" i="7"/>
  <c r="BA175" i="7"/>
  <c r="AV187" i="7"/>
  <c r="AW168" i="7"/>
  <c r="AZ210" i="7"/>
  <c r="AV155" i="7"/>
  <c r="AX163" i="7"/>
  <c r="AV47" i="7"/>
  <c r="AX196" i="7"/>
  <c r="AU174" i="7"/>
  <c r="AR170" i="7"/>
  <c r="AQ231" i="7"/>
  <c r="AS199" i="7"/>
  <c r="AX25" i="7"/>
  <c r="AK106" i="7"/>
  <c r="AI106" i="7"/>
  <c r="AW106" i="7" s="1"/>
  <c r="AT231" i="7"/>
  <c r="AY62" i="7"/>
  <c r="AZ172" i="7"/>
  <c r="AY55" i="7"/>
  <c r="AN155" i="7"/>
  <c r="AO183" i="7"/>
  <c r="AI184" i="7"/>
  <c r="AP184" i="7" s="1"/>
  <c r="AW40" i="7"/>
  <c r="AI84" i="7"/>
  <c r="AL84" i="7"/>
  <c r="AP138" i="7"/>
  <c r="AV213" i="7"/>
  <c r="AP175" i="7"/>
  <c r="AX11" i="7"/>
  <c r="AZ85" i="7"/>
  <c r="AO189" i="7"/>
  <c r="AU223" i="7"/>
  <c r="AZ222" i="7"/>
  <c r="AS219" i="7"/>
  <c r="AZ132" i="7"/>
  <c r="AI176" i="7"/>
  <c r="AT176" i="7" s="1"/>
  <c r="AO178" i="7"/>
  <c r="AP115" i="7"/>
  <c r="AW146" i="7"/>
  <c r="AN25" i="7"/>
  <c r="AI13" i="7"/>
  <c r="AN13" i="7" s="1"/>
  <c r="AL13" i="7"/>
  <c r="AI182" i="7"/>
  <c r="AU182" i="7" s="1"/>
  <c r="AK182" i="7"/>
  <c r="AR89" i="7"/>
  <c r="AZ98" i="7"/>
  <c r="AX27" i="7"/>
  <c r="AX89" i="7"/>
  <c r="BA50" i="7"/>
  <c r="AY222" i="7"/>
  <c r="AQ53" i="7"/>
  <c r="AV208" i="7"/>
  <c r="AU225" i="7"/>
  <c r="AI28" i="7"/>
  <c r="BA28" i="7" s="1"/>
  <c r="AT190" i="7"/>
  <c r="AU87" i="7"/>
  <c r="AR192" i="7"/>
  <c r="AX218" i="7"/>
  <c r="K9" i="11"/>
  <c r="D44" i="11" s="1"/>
  <c r="AI137" i="7"/>
  <c r="AT37" i="7"/>
  <c r="AI110" i="7"/>
  <c r="AN110" i="7" s="1"/>
  <c r="AK110" i="7"/>
  <c r="AM144" i="7"/>
  <c r="AT170" i="7"/>
  <c r="AO22" i="7"/>
  <c r="AO112" i="7"/>
  <c r="AN61" i="7"/>
  <c r="AQ170" i="7"/>
  <c r="AI43" i="7"/>
  <c r="AT43" i="7" s="1"/>
  <c r="AI39" i="7"/>
  <c r="AL39" i="7"/>
  <c r="AM98" i="7"/>
  <c r="AS56" i="7"/>
  <c r="AM75" i="7"/>
  <c r="AX202" i="7"/>
  <c r="AU103" i="7"/>
  <c r="AU188" i="7"/>
  <c r="AI230" i="7"/>
  <c r="AX230" i="7" s="1"/>
  <c r="AO47" i="7"/>
  <c r="AU30" i="7"/>
  <c r="AS110" i="7"/>
  <c r="AI233" i="7"/>
  <c r="AU233" i="7" s="1"/>
  <c r="AI64" i="7"/>
  <c r="AU64" i="7" s="1"/>
  <c r="AI34" i="7"/>
  <c r="AM34" i="7"/>
  <c r="BA155" i="7"/>
  <c r="AM39" i="7"/>
  <c r="AQ46" i="7"/>
  <c r="AK52" i="7"/>
  <c r="AI52" i="7"/>
  <c r="AS52" i="7" s="1"/>
  <c r="AP21" i="7"/>
  <c r="AO27" i="7"/>
  <c r="BA213" i="7"/>
  <c r="AW155" i="7"/>
  <c r="AS50" i="7"/>
  <c r="AW196" i="7"/>
  <c r="AL197" i="7"/>
  <c r="AQ34" i="7"/>
  <c r="AI101" i="7"/>
  <c r="AZ101" i="7" s="1"/>
  <c r="AU21" i="7"/>
  <c r="AK227" i="7"/>
  <c r="AI227" i="7"/>
  <c r="K8" i="11"/>
  <c r="D27" i="11" s="1"/>
  <c r="AV110" i="7"/>
  <c r="AI221" i="7"/>
  <c r="AQ69" i="7"/>
  <c r="AX141" i="7"/>
  <c r="AX92" i="7"/>
  <c r="AR228" i="7"/>
  <c r="AQ165" i="7"/>
  <c r="AY12" i="7"/>
  <c r="AI140" i="7"/>
  <c r="AP140" i="7" s="1"/>
  <c r="AI136" i="7"/>
  <c r="AR136" i="7" s="1"/>
  <c r="AT53" i="7"/>
  <c r="AU75" i="7"/>
  <c r="AL208" i="7"/>
  <c r="AZ22" i="7"/>
  <c r="AX233" i="7"/>
  <c r="AT71" i="7"/>
  <c r="AO185" i="7"/>
  <c r="AM33" i="7"/>
  <c r="AU39" i="7"/>
  <c r="AI129" i="7"/>
  <c r="AV129" i="7" s="1"/>
  <c r="AT189" i="7"/>
  <c r="AI134" i="7"/>
  <c r="AP134" i="7" s="1"/>
  <c r="AU178" i="7"/>
  <c r="AS196" i="7"/>
  <c r="AW55" i="7"/>
  <c r="AV70" i="7"/>
  <c r="AM160" i="7"/>
  <c r="AO184" i="7"/>
  <c r="AV48" i="7"/>
  <c r="AV183" i="7"/>
  <c r="AQ116" i="7"/>
  <c r="AR178" i="7"/>
  <c r="AW152" i="7"/>
  <c r="P14" i="11"/>
  <c r="AI200" i="7"/>
  <c r="AK200" i="7"/>
  <c r="AY40" i="7"/>
  <c r="AL228" i="7"/>
  <c r="AY182" i="7"/>
  <c r="AX14" i="7"/>
  <c r="AO202" i="7"/>
  <c r="AI123" i="7"/>
  <c r="AM57" i="7"/>
  <c r="AU167" i="7"/>
  <c r="AP116" i="7"/>
  <c r="AW163" i="7"/>
  <c r="AM62" i="7"/>
  <c r="AY87" i="7"/>
  <c r="AU115" i="7"/>
  <c r="AP11" i="7"/>
  <c r="AI142" i="7"/>
  <c r="BA142" i="7" s="1"/>
  <c r="AZ43" i="7"/>
  <c r="AS22" i="7"/>
  <c r="AT184" i="7"/>
  <c r="AX199" i="7"/>
  <c r="AI33" i="7"/>
  <c r="AT57" i="7"/>
  <c r="AR163" i="7"/>
  <c r="AV140" i="7"/>
  <c r="AM123" i="7"/>
  <c r="AU224" i="7"/>
  <c r="AO179" i="7"/>
  <c r="AX222" i="7"/>
  <c r="AM13" i="7"/>
  <c r="AO52" i="7"/>
  <c r="AP222" i="7"/>
  <c r="BA23" i="7"/>
  <c r="AN152" i="7"/>
  <c r="AM36" i="7"/>
  <c r="AR131" i="7"/>
  <c r="AO186" i="7"/>
  <c r="AI59" i="7"/>
  <c r="AY59" i="7" s="1"/>
  <c r="AU191" i="7"/>
  <c r="AQ27" i="7"/>
  <c r="AI38" i="7"/>
  <c r="AR38" i="7" s="1"/>
  <c r="AM68" i="7"/>
  <c r="AM192" i="7"/>
  <c r="AV75" i="7"/>
  <c r="AT96" i="7"/>
  <c r="AI82" i="7"/>
  <c r="AL82" i="7"/>
  <c r="BA139" i="7"/>
  <c r="AW174" i="7"/>
  <c r="AU44" i="7"/>
  <c r="AO66" i="7"/>
  <c r="AZ15" i="7"/>
  <c r="AQ187" i="7"/>
  <c r="AY139" i="7"/>
  <c r="AV113" i="7"/>
  <c r="P11" i="11"/>
  <c r="AY113" i="7"/>
  <c r="AS120" i="7"/>
  <c r="AW182" i="7"/>
  <c r="AI57" i="7"/>
  <c r="AZ61" i="7"/>
  <c r="AQ138" i="7"/>
  <c r="AT145" i="7"/>
  <c r="AI118" i="7"/>
  <c r="AI100" i="7"/>
  <c r="AS100" i="7" s="1"/>
  <c r="AR80" i="7"/>
  <c r="BA105" i="7"/>
  <c r="AR19" i="7"/>
  <c r="AS41" i="7"/>
  <c r="AW139" i="7"/>
  <c r="AZ120" i="7"/>
  <c r="AP186" i="7"/>
  <c r="AW209" i="7"/>
  <c r="AT167" i="7"/>
  <c r="AI139" i="7"/>
  <c r="AL139" i="7"/>
  <c r="AI149" i="7"/>
  <c r="BA149" i="7" s="1"/>
  <c r="F78" i="8"/>
  <c r="K78" i="8" s="1"/>
  <c r="AP176" i="7"/>
  <c r="AT34" i="7"/>
  <c r="AN127" i="7"/>
  <c r="AI94" i="7"/>
  <c r="AR94" i="7" s="1"/>
  <c r="AI58" i="7"/>
  <c r="AR58" i="7" s="1"/>
  <c r="AI122" i="7"/>
  <c r="BA122" i="7" s="1"/>
  <c r="AY147" i="7"/>
  <c r="AQ161" i="7"/>
  <c r="G8" i="11"/>
  <c r="AO92" i="7"/>
  <c r="AT82" i="7"/>
  <c r="AP155" i="7"/>
  <c r="AP89" i="7"/>
  <c r="D76" i="8"/>
  <c r="AR92" i="7"/>
  <c r="AS162" i="7"/>
  <c r="AI195" i="7"/>
  <c r="AS166" i="7"/>
  <c r="AR144" i="7"/>
  <c r="AW79" i="7"/>
  <c r="AI18" i="7"/>
  <c r="AR18" i="7" s="1"/>
  <c r="AI31" i="7"/>
  <c r="AU204" i="7"/>
  <c r="AX174" i="7"/>
  <c r="AU41" i="7"/>
  <c r="AX137" i="7"/>
  <c r="AW115" i="7"/>
  <c r="AO166" i="7"/>
  <c r="AO69" i="7"/>
  <c r="G11" i="11"/>
  <c r="AN79" i="7"/>
  <c r="AN34" i="7"/>
  <c r="AZ27" i="7"/>
  <c r="AV25" i="7"/>
  <c r="AS81" i="7"/>
  <c r="AV80" i="7"/>
  <c r="AN116" i="7"/>
  <c r="BA207" i="7"/>
  <c r="AQ84" i="7"/>
  <c r="BA166" i="7"/>
  <c r="G5" i="11"/>
  <c r="AY13" i="7"/>
  <c r="AR160" i="7"/>
  <c r="AU139" i="7"/>
  <c r="AW136" i="7"/>
  <c r="AZ200" i="7"/>
  <c r="AY78" i="7"/>
  <c r="AV234" i="7"/>
  <c r="AM100" i="7"/>
  <c r="AP85" i="7"/>
  <c r="AO129" i="7"/>
  <c r="AQ186" i="7"/>
  <c r="AU198" i="7"/>
  <c r="BA116" i="7"/>
  <c r="AN150" i="7"/>
  <c r="AQ219" i="7"/>
  <c r="AT141" i="7"/>
  <c r="AL218" i="7"/>
  <c r="AR118" i="7"/>
  <c r="BA123" i="7"/>
  <c r="AS233" i="7"/>
  <c r="AV218" i="7"/>
  <c r="AT204" i="7"/>
  <c r="AU91" i="7"/>
  <c r="BA193" i="7"/>
  <c r="D85" i="8"/>
  <c r="AI72" i="7"/>
  <c r="AX131" i="7"/>
  <c r="K3" i="11"/>
  <c r="AW118" i="7"/>
  <c r="AI148" i="7"/>
  <c r="AL148" i="7" s="1"/>
  <c r="AY32" i="7"/>
  <c r="AP80" i="7"/>
  <c r="AY80" i="7"/>
  <c r="AN170" i="7"/>
  <c r="AI125" i="7"/>
  <c r="AM125" i="7" s="1"/>
  <c r="BA178" i="7"/>
  <c r="AL161" i="7"/>
  <c r="AW64" i="7"/>
  <c r="AW233" i="7"/>
  <c r="AV81" i="7"/>
  <c r="AR200" i="7"/>
  <c r="AP188" i="7"/>
  <c r="BA234" i="7"/>
  <c r="AP127" i="7"/>
  <c r="AI102" i="7"/>
  <c r="AU133" i="7"/>
  <c r="AZ141" i="7"/>
  <c r="AS188" i="7"/>
  <c r="AW142" i="7"/>
  <c r="AI88" i="7"/>
  <c r="AX31" i="7"/>
  <c r="D87" i="8"/>
  <c r="B98" i="8"/>
  <c r="AI232" i="7"/>
  <c r="AL232" i="7" s="1"/>
  <c r="AS225" i="7"/>
  <c r="AU84" i="7"/>
  <c r="AK217" i="7"/>
  <c r="AI217" i="7"/>
  <c r="AQ19" i="7"/>
  <c r="AY141" i="7"/>
  <c r="AY76" i="7"/>
  <c r="AZ25" i="7"/>
  <c r="AT179" i="7"/>
  <c r="AZ73" i="7"/>
  <c r="AQ58" i="7"/>
  <c r="AR52" i="7"/>
  <c r="AU105" i="7"/>
  <c r="AX21" i="7"/>
  <c r="AI51" i="7"/>
  <c r="AZ94" i="7"/>
  <c r="AZ169" i="7"/>
  <c r="AI194" i="7"/>
  <c r="AX54" i="7"/>
  <c r="AM25" i="7"/>
  <c r="AI20" i="7"/>
  <c r="AX62" i="7"/>
  <c r="AY225" i="7"/>
  <c r="AX177" i="7"/>
  <c r="AI156" i="7"/>
  <c r="AU104" i="7"/>
  <c r="AM234" i="7"/>
  <c r="AX69" i="7"/>
  <c r="AU52" i="7"/>
  <c r="AP110" i="7"/>
  <c r="AN145" i="7"/>
  <c r="AN158" i="7"/>
  <c r="BA156" i="7"/>
  <c r="AV58" i="7"/>
  <c r="AS175" i="7"/>
  <c r="AX221" i="7"/>
  <c r="AX192" i="7"/>
  <c r="AI111" i="7"/>
  <c r="AL111" i="7"/>
  <c r="AW57" i="7"/>
  <c r="AY209" i="7"/>
  <c r="AT146" i="7"/>
  <c r="BA43" i="7"/>
  <c r="AI159" i="7"/>
  <c r="AW159" i="7" s="1"/>
  <c r="AO159" i="7"/>
  <c r="AL25" i="7"/>
  <c r="AP63" i="7"/>
  <c r="AV57" i="7"/>
  <c r="AS228" i="7"/>
  <c r="AU162" i="7"/>
  <c r="AV116" i="7"/>
  <c r="AP149" i="7"/>
  <c r="AI212" i="7"/>
  <c r="AS145" i="7"/>
  <c r="AU160" i="7"/>
  <c r="BA55" i="7"/>
  <c r="AP178" i="7"/>
  <c r="AQ39" i="7"/>
  <c r="AY53" i="7"/>
  <c r="BA68" i="7"/>
  <c r="AI154" i="7"/>
  <c r="AX79" i="7"/>
  <c r="AX107" i="7"/>
  <c r="AM43" i="7"/>
  <c r="BA111" i="7"/>
  <c r="AZ223" i="7"/>
  <c r="AS182" i="7"/>
  <c r="AO71" i="7"/>
  <c r="AV157" i="7"/>
  <c r="AW81" i="7"/>
  <c r="AQ136" i="7"/>
  <c r="AR48" i="7"/>
  <c r="AL194" i="7"/>
  <c r="AW92" i="7"/>
  <c r="AW170" i="7"/>
  <c r="AI49" i="7"/>
  <c r="AR165" i="7"/>
  <c r="AI121" i="7"/>
  <c r="AM121" i="7"/>
  <c r="AX116" i="7"/>
  <c r="AI26" i="7"/>
  <c r="AL26" i="7"/>
  <c r="AZ150" i="7"/>
  <c r="AV112" i="7"/>
  <c r="AT87" i="7"/>
  <c r="AT196" i="7"/>
  <c r="AP51" i="7"/>
  <c r="BA169" i="7"/>
  <c r="AX121" i="7"/>
  <c r="AW52" i="7"/>
  <c r="AV39" i="7"/>
  <c r="AO62" i="7"/>
  <c r="AS111" i="7"/>
  <c r="AP56" i="7"/>
  <c r="AT169" i="7"/>
  <c r="AP36" i="7"/>
  <c r="AV123" i="7"/>
  <c r="AP192" i="7"/>
  <c r="AO169" i="7"/>
  <c r="AW129" i="7"/>
  <c r="AN125" i="7"/>
  <c r="AS176" i="7"/>
  <c r="AU145" i="7"/>
  <c r="AI151" i="7"/>
  <c r="AO151" i="7" s="1"/>
  <c r="AZ143" i="7"/>
  <c r="AS186" i="7"/>
  <c r="AY89" i="7"/>
  <c r="AS152" i="7"/>
  <c r="AK109" i="7"/>
  <c r="AI109" i="7"/>
  <c r="AI93" i="7"/>
  <c r="AR141" i="7"/>
  <c r="AV77" i="7"/>
  <c r="AP207" i="7"/>
  <c r="AZ189" i="7"/>
  <c r="AR62" i="7"/>
  <c r="AW225" i="7"/>
  <c r="AX155" i="7"/>
  <c r="AI67" i="7"/>
  <c r="AM67" i="7"/>
  <c r="AR154" i="7"/>
  <c r="AU129" i="7"/>
  <c r="AO161" i="7"/>
  <c r="AU192" i="7"/>
  <c r="AY191" i="7"/>
  <c r="AO143" i="7"/>
  <c r="AV133" i="7"/>
  <c r="AI181" i="7"/>
  <c r="AL181" i="7" s="1"/>
  <c r="BA12" i="7"/>
  <c r="AI229" i="7"/>
  <c r="AL229" i="7"/>
  <c r="BA71" i="7"/>
  <c r="AS106" i="7"/>
  <c r="AY14" i="7"/>
  <c r="AU28" i="7"/>
  <c r="K7" i="11"/>
  <c r="D46" i="11" s="1"/>
  <c r="AO209" i="7"/>
  <c r="BA154" i="7"/>
  <c r="AQ51" i="7"/>
  <c r="AZ166" i="7"/>
  <c r="AZ190" i="7"/>
  <c r="AI201" i="7"/>
  <c r="AL201" i="7"/>
  <c r="AV170" i="7"/>
  <c r="AT64" i="7"/>
  <c r="AR233" i="7"/>
  <c r="AI95" i="7"/>
  <c r="AL95" i="7" s="1"/>
  <c r="AI203" i="7"/>
  <c r="AL203" i="7"/>
  <c r="AR78" i="7"/>
  <c r="AZ39" i="7"/>
  <c r="AY176" i="7"/>
  <c r="AZ162" i="7"/>
  <c r="AP30" i="7"/>
  <c r="AV88" i="7"/>
  <c r="AP117" i="7"/>
  <c r="AI65" i="7"/>
  <c r="AL65" i="7"/>
  <c r="BA163" i="7"/>
  <c r="AO13" i="7"/>
  <c r="AV152" i="7"/>
  <c r="F77" i="8"/>
  <c r="K77" i="8" s="1"/>
  <c r="AI42" i="7"/>
  <c r="AK171" i="7"/>
  <c r="AI171" i="7"/>
  <c r="AI35" i="7"/>
  <c r="AI135" i="7"/>
  <c r="AN135" i="7" s="1"/>
  <c r="AW189" i="7"/>
  <c r="AT103" i="7"/>
  <c r="AS203" i="7"/>
  <c r="BA57" i="7"/>
  <c r="AU92" i="7"/>
  <c r="BA225" i="7"/>
  <c r="AO111" i="7"/>
  <c r="AL106" i="7"/>
  <c r="AM60" i="7"/>
  <c r="AL109" i="7"/>
  <c r="AR106" i="7"/>
  <c r="AK211" i="7"/>
  <c r="AI211" i="7"/>
  <c r="AY211" i="7" s="1"/>
  <c r="AQ226" i="7"/>
  <c r="AR132" i="7"/>
  <c r="AT63" i="7"/>
  <c r="AI215" i="7"/>
  <c r="AU215" i="7" s="1"/>
  <c r="AY73" i="7"/>
  <c r="AU229" i="7"/>
  <c r="AY137" i="7"/>
  <c r="AM89" i="7"/>
  <c r="AX87" i="7"/>
  <c r="AM151" i="7"/>
  <c r="AT129" i="7"/>
  <c r="AO148" i="7"/>
  <c r="AQ208" i="7"/>
  <c r="AN174" i="7"/>
  <c r="AL174" i="7"/>
  <c r="AX148" i="7"/>
  <c r="AZ211" i="7"/>
  <c r="AN151" i="7"/>
  <c r="AS140" i="7"/>
  <c r="AM140" i="7"/>
  <c r="AN222" i="7"/>
  <c r="AY61" i="7"/>
  <c r="AM61" i="7"/>
  <c r="AU72" i="7"/>
  <c r="AU151" i="7"/>
  <c r="AT137" i="7"/>
  <c r="AL137" i="7"/>
  <c r="AR137" i="7"/>
  <c r="AS137" i="7"/>
  <c r="AO137" i="7"/>
  <c r="AM137" i="7"/>
  <c r="AZ137" i="7"/>
  <c r="AL226" i="7"/>
  <c r="AV226" i="7"/>
  <c r="AW53" i="7"/>
  <c r="AX53" i="7"/>
  <c r="AY170" i="7"/>
  <c r="AX170" i="7"/>
  <c r="AM170" i="7"/>
  <c r="AW234" i="7"/>
  <c r="AS234" i="7"/>
  <c r="AU234" i="7"/>
  <c r="AT98" i="7"/>
  <c r="BA15" i="7"/>
  <c r="AQ15" i="7"/>
  <c r="AT15" i="7"/>
  <c r="AW15" i="7"/>
  <c r="AX15" i="7"/>
  <c r="AS15" i="7"/>
  <c r="AM15" i="7"/>
  <c r="AL15" i="7"/>
  <c r="AR15" i="7"/>
  <c r="BA70" i="7"/>
  <c r="AO70" i="7"/>
  <c r="AN70" i="7"/>
  <c r="AM70" i="7"/>
  <c r="AS70" i="7"/>
  <c r="AP160" i="7"/>
  <c r="AR96" i="7"/>
  <c r="AQ96" i="7"/>
  <c r="AS96" i="7"/>
  <c r="AL96" i="7"/>
  <c r="AM96" i="7"/>
  <c r="AY96" i="7"/>
  <c r="AZ96" i="7"/>
  <c r="AO96" i="7"/>
  <c r="AP96" i="7"/>
  <c r="BA96" i="7"/>
  <c r="BA11" i="7"/>
  <c r="AO11" i="7"/>
  <c r="AV11" i="7"/>
  <c r="AQ11" i="7"/>
  <c r="AU11" i="7"/>
  <c r="AZ11" i="7"/>
  <c r="AU74" i="7"/>
  <c r="AS74" i="7"/>
  <c r="AV74" i="7"/>
  <c r="BA74" i="7"/>
  <c r="AL74" i="7"/>
  <c r="AW74" i="7"/>
  <c r="AN74" i="7"/>
  <c r="AX74" i="7"/>
  <c r="AT74" i="7"/>
  <c r="AZ74" i="7"/>
  <c r="AO74" i="7"/>
  <c r="AZ208" i="7"/>
  <c r="AW208" i="7"/>
  <c r="AY208" i="7"/>
  <c r="AT208" i="7"/>
  <c r="AO197" i="7"/>
  <c r="AT197" i="7"/>
  <c r="AX197" i="7"/>
  <c r="BA197" i="7"/>
  <c r="AW197" i="7"/>
  <c r="AY197" i="7"/>
  <c r="AQ197" i="7"/>
  <c r="AZ197" i="7"/>
  <c r="AR197" i="7"/>
  <c r="AN41" i="7"/>
  <c r="AM41" i="7"/>
  <c r="AP41" i="7"/>
  <c r="AT41" i="7"/>
  <c r="AZ41" i="7"/>
  <c r="AL41" i="7"/>
  <c r="BA210" i="7"/>
  <c r="AX210" i="7"/>
  <c r="AP210" i="7"/>
  <c r="AY210" i="7"/>
  <c r="AM210" i="7"/>
  <c r="AU210" i="7"/>
  <c r="AN210" i="7"/>
  <c r="AO40" i="7"/>
  <c r="AN40" i="7"/>
  <c r="AS40" i="7"/>
  <c r="AX40" i="7"/>
  <c r="BA40" i="7"/>
  <c r="AV40" i="7"/>
  <c r="AU40" i="7"/>
  <c r="AT40" i="7"/>
  <c r="AZ40" i="7"/>
  <c r="AN18" i="7"/>
  <c r="AU18" i="7"/>
  <c r="AM222" i="7"/>
  <c r="AO222" i="7"/>
  <c r="AS222" i="7"/>
  <c r="AR222" i="7"/>
  <c r="AO61" i="7"/>
  <c r="BA61" i="7"/>
  <c r="AU61" i="7"/>
  <c r="AZ151" i="7"/>
  <c r="AP40" i="7"/>
  <c r="AS210" i="7"/>
  <c r="AT210" i="7"/>
  <c r="AP74" i="7"/>
  <c r="AV217" i="7"/>
  <c r="AO217" i="7"/>
  <c r="BA177" i="7"/>
  <c r="AO177" i="7"/>
  <c r="AX188" i="7"/>
  <c r="AM188" i="7"/>
  <c r="BA188" i="7"/>
  <c r="AY138" i="7"/>
  <c r="AO138" i="7"/>
  <c r="AX172" i="7"/>
  <c r="AS172" i="7"/>
  <c r="AQ172" i="7"/>
  <c r="AU172" i="7"/>
  <c r="AY17" i="7"/>
  <c r="AT17" i="7"/>
  <c r="AL17" i="7"/>
  <c r="AR17" i="7"/>
  <c r="AX17" i="7"/>
  <c r="AM79" i="7"/>
  <c r="AV79" i="7"/>
  <c r="AR79" i="7"/>
  <c r="AX22" i="7"/>
  <c r="AN22" i="7"/>
  <c r="AM22" i="7"/>
  <c r="AY22" i="7"/>
  <c r="AV22" i="7"/>
  <c r="BA22" i="7"/>
  <c r="AL22" i="7"/>
  <c r="AL75" i="7"/>
  <c r="AT75" i="7"/>
  <c r="AZ75" i="7"/>
  <c r="AR75" i="7"/>
  <c r="AQ75" i="7"/>
  <c r="AY75" i="7"/>
  <c r="M3" i="11"/>
  <c r="E25" i="11" l="1"/>
  <c r="E42" i="11"/>
  <c r="C33" i="11"/>
  <c r="O3" i="11"/>
  <c r="AL135" i="7"/>
  <c r="AQ171" i="7"/>
  <c r="AX171" i="7"/>
  <c r="AU171" i="7"/>
  <c r="AN171" i="7"/>
  <c r="AV171" i="7"/>
  <c r="AR171" i="7"/>
  <c r="AM171" i="7"/>
  <c r="BA171" i="7"/>
  <c r="AO171" i="7"/>
  <c r="AW171" i="7"/>
  <c r="AY171" i="7"/>
  <c r="AP171" i="7"/>
  <c r="AS171" i="7"/>
  <c r="AL171" i="7"/>
  <c r="AT171" i="7"/>
  <c r="BA201" i="7"/>
  <c r="AS201" i="7"/>
  <c r="AM201" i="7"/>
  <c r="AV201" i="7"/>
  <c r="AZ201" i="7"/>
  <c r="AT201" i="7"/>
  <c r="AR201" i="7"/>
  <c r="AO201" i="7"/>
  <c r="AX201" i="7"/>
  <c r="AW201" i="7"/>
  <c r="AU201" i="7"/>
  <c r="AN201" i="7"/>
  <c r="AQ201" i="7"/>
  <c r="AY201" i="7"/>
  <c r="AP201" i="7"/>
  <c r="AV229" i="7"/>
  <c r="AQ229" i="7"/>
  <c r="AW229" i="7"/>
  <c r="AY229" i="7"/>
  <c r="BA229" i="7"/>
  <c r="AO229" i="7"/>
  <c r="AM229" i="7"/>
  <c r="AP229" i="7"/>
  <c r="AX229" i="7"/>
  <c r="AR229" i="7"/>
  <c r="AS229" i="7"/>
  <c r="AZ229" i="7"/>
  <c r="AT229" i="7"/>
  <c r="AN229" i="7"/>
  <c r="AR151" i="7"/>
  <c r="AT26" i="7"/>
  <c r="AV26" i="7"/>
  <c r="AZ26" i="7"/>
  <c r="AQ26" i="7"/>
  <c r="AP26" i="7"/>
  <c r="AU26" i="7"/>
  <c r="AO26" i="7"/>
  <c r="AW26" i="7"/>
  <c r="AX26" i="7"/>
  <c r="AM26" i="7"/>
  <c r="AR26" i="7"/>
  <c r="AY26" i="7"/>
  <c r="AN26" i="7"/>
  <c r="AS121" i="7"/>
  <c r="AP121" i="7"/>
  <c r="AL121" i="7"/>
  <c r="AN121" i="7"/>
  <c r="AW121" i="7"/>
  <c r="AY121" i="7"/>
  <c r="AQ121" i="7"/>
  <c r="AV121" i="7"/>
  <c r="AO121" i="7"/>
  <c r="AT121" i="7"/>
  <c r="BA121" i="7"/>
  <c r="AT111" i="7"/>
  <c r="AM111" i="7"/>
  <c r="AN111" i="7"/>
  <c r="AR111" i="7"/>
  <c r="AU111" i="7"/>
  <c r="AX111" i="7"/>
  <c r="AZ111" i="7"/>
  <c r="AY111" i="7"/>
  <c r="AV111" i="7"/>
  <c r="AW111" i="7"/>
  <c r="BA88" i="7"/>
  <c r="AU88" i="7"/>
  <c r="AR88" i="7"/>
  <c r="AZ88" i="7"/>
  <c r="AP88" i="7"/>
  <c r="AL88" i="7"/>
  <c r="AQ88" i="7"/>
  <c r="AY88" i="7"/>
  <c r="AO88" i="7"/>
  <c r="AT88" i="7"/>
  <c r="AN88" i="7"/>
  <c r="AW88" i="7"/>
  <c r="AM88" i="7"/>
  <c r="AX88" i="7"/>
  <c r="AS88" i="7"/>
  <c r="AS26" i="7"/>
  <c r="AQ31" i="7"/>
  <c r="AU31" i="7"/>
  <c r="AV31" i="7"/>
  <c r="AL31" i="7"/>
  <c r="AY31" i="7"/>
  <c r="AT31" i="7"/>
  <c r="AW31" i="7"/>
  <c r="AZ31" i="7"/>
  <c r="AP31" i="7"/>
  <c r="AS31" i="7"/>
  <c r="BA31" i="7"/>
  <c r="AQ215" i="7"/>
  <c r="AS215" i="7"/>
  <c r="AV215" i="7"/>
  <c r="AR215" i="7"/>
  <c r="AX215" i="7"/>
  <c r="AW215" i="7"/>
  <c r="AT215" i="7"/>
  <c r="BA215" i="7"/>
  <c r="AZ215" i="7"/>
  <c r="AP215" i="7"/>
  <c r="AT135" i="7"/>
  <c r="AZ135" i="7"/>
  <c r="AQ135" i="7"/>
  <c r="AU135" i="7"/>
  <c r="AR135" i="7"/>
  <c r="AY135" i="7"/>
  <c r="AX135" i="7"/>
  <c r="AS135" i="7"/>
  <c r="BA135" i="7"/>
  <c r="AW135" i="7"/>
  <c r="AO135" i="7"/>
  <c r="AV135" i="7"/>
  <c r="AP135" i="7"/>
  <c r="AW95" i="7"/>
  <c r="AP95" i="7"/>
  <c r="AN95" i="7"/>
  <c r="AX95" i="7"/>
  <c r="AQ95" i="7"/>
  <c r="AR95" i="7"/>
  <c r="AT95" i="7"/>
  <c r="AM95" i="7"/>
  <c r="AO95" i="7"/>
  <c r="AY95" i="7"/>
  <c r="BA95" i="7"/>
  <c r="AU95" i="7"/>
  <c r="AS95" i="7"/>
  <c r="AV95" i="7"/>
  <c r="AY215" i="7"/>
  <c r="AV181" i="7"/>
  <c r="AW181" i="7"/>
  <c r="AS181" i="7"/>
  <c r="AO181" i="7"/>
  <c r="AX181" i="7"/>
  <c r="AT181" i="7"/>
  <c r="BA181" i="7"/>
  <c r="AN181" i="7"/>
  <c r="AQ181" i="7"/>
  <c r="AY181" i="7"/>
  <c r="AU181" i="7"/>
  <c r="AM181" i="7"/>
  <c r="AZ181" i="7"/>
  <c r="AM93" i="7"/>
  <c r="AT93" i="7"/>
  <c r="AW93" i="7"/>
  <c r="AN93" i="7"/>
  <c r="AP93" i="7"/>
  <c r="AX93" i="7"/>
  <c r="BA93" i="7"/>
  <c r="AL93" i="7"/>
  <c r="AR93" i="7"/>
  <c r="AZ93" i="7"/>
  <c r="AO93" i="7"/>
  <c r="AQ93" i="7"/>
  <c r="AS93" i="7"/>
  <c r="AV93" i="7"/>
  <c r="AU93" i="7"/>
  <c r="AY93" i="7"/>
  <c r="AV156" i="7"/>
  <c r="AZ156" i="7"/>
  <c r="AY156" i="7"/>
  <c r="AR156" i="7"/>
  <c r="AU156" i="7"/>
  <c r="AT156" i="7"/>
  <c r="AN156" i="7"/>
  <c r="AM156" i="7"/>
  <c r="AW156" i="7"/>
  <c r="AL156" i="7"/>
  <c r="AO156" i="7"/>
  <c r="AX156" i="7"/>
  <c r="AP156" i="7"/>
  <c r="AS156" i="7"/>
  <c r="AQ156" i="7"/>
  <c r="AR217" i="7"/>
  <c r="AM217" i="7"/>
  <c r="BA217" i="7"/>
  <c r="AZ217" i="7"/>
  <c r="AW217" i="7"/>
  <c r="AX217" i="7"/>
  <c r="AN217" i="7"/>
  <c r="AT217" i="7"/>
  <c r="AQ217" i="7"/>
  <c r="AY217" i="7"/>
  <c r="AL217" i="7"/>
  <c r="AU217" i="7"/>
  <c r="AU121" i="7"/>
  <c r="D42" i="11"/>
  <c r="C43" i="11" s="1"/>
  <c r="F43" i="11" s="1"/>
  <c r="D25" i="11"/>
  <c r="C26" i="11" s="1"/>
  <c r="F26" i="11" s="1"/>
  <c r="K20" i="11"/>
  <c r="AU211" i="7"/>
  <c r="AP211" i="7"/>
  <c r="AL211" i="7"/>
  <c r="AX211" i="7"/>
  <c r="AQ211" i="7"/>
  <c r="AM211" i="7"/>
  <c r="AR211" i="7"/>
  <c r="AW211" i="7"/>
  <c r="BA211" i="7"/>
  <c r="AS211" i="7"/>
  <c r="AO211" i="7"/>
  <c r="AT211" i="7"/>
  <c r="AW35" i="7"/>
  <c r="AT35" i="7"/>
  <c r="AX35" i="7"/>
  <c r="AO35" i="7"/>
  <c r="AN35" i="7"/>
  <c r="AU35" i="7"/>
  <c r="AL35" i="7"/>
  <c r="BA35" i="7"/>
  <c r="AS35" i="7"/>
  <c r="AZ35" i="7"/>
  <c r="AV35" i="7"/>
  <c r="AY35" i="7"/>
  <c r="AP35" i="7"/>
  <c r="AR35" i="7"/>
  <c r="AM35" i="7"/>
  <c r="AQ35" i="7"/>
  <c r="AQ42" i="7"/>
  <c r="BA42" i="7"/>
  <c r="AR42" i="7"/>
  <c r="AV42" i="7"/>
  <c r="AO42" i="7"/>
  <c r="AW42" i="7"/>
  <c r="AZ42" i="7"/>
  <c r="AS42" i="7"/>
  <c r="AP42" i="7"/>
  <c r="AL42" i="7"/>
  <c r="AT42" i="7"/>
  <c r="AU42" i="7"/>
  <c r="AM42" i="7"/>
  <c r="AY42" i="7"/>
  <c r="AX42" i="7"/>
  <c r="BA65" i="7"/>
  <c r="AW65" i="7"/>
  <c r="AY65" i="7"/>
  <c r="AU65" i="7"/>
  <c r="AR65" i="7"/>
  <c r="AT65" i="7"/>
  <c r="AS65" i="7"/>
  <c r="AQ65" i="7"/>
  <c r="AX65" i="7"/>
  <c r="AZ65" i="7"/>
  <c r="AM65" i="7"/>
  <c r="AN65" i="7"/>
  <c r="AV65" i="7"/>
  <c r="AO65" i="7"/>
  <c r="AP65" i="7"/>
  <c r="AO203" i="7"/>
  <c r="AQ203" i="7"/>
  <c r="AX203" i="7"/>
  <c r="AR203" i="7"/>
  <c r="AT203" i="7"/>
  <c r="AW203" i="7"/>
  <c r="BA203" i="7"/>
  <c r="AZ203" i="7"/>
  <c r="AU203" i="7"/>
  <c r="AY203" i="7"/>
  <c r="AN203" i="7"/>
  <c r="AV203" i="7"/>
  <c r="AM203" i="7"/>
  <c r="AN67" i="7"/>
  <c r="BA67" i="7"/>
  <c r="AL67" i="7"/>
  <c r="AO67" i="7"/>
  <c r="AX67" i="7"/>
  <c r="AY67" i="7"/>
  <c r="AW67" i="7"/>
  <c r="AS67" i="7"/>
  <c r="AZ67" i="7"/>
  <c r="AQ67" i="7"/>
  <c r="AT67" i="7"/>
  <c r="AV67" i="7"/>
  <c r="AU67" i="7"/>
  <c r="AW109" i="7"/>
  <c r="AQ109" i="7"/>
  <c r="AY109" i="7"/>
  <c r="AP109" i="7"/>
  <c r="AN109" i="7"/>
  <c r="AX109" i="7"/>
  <c r="AZ109" i="7"/>
  <c r="AV109" i="7"/>
  <c r="AU109" i="7"/>
  <c r="BA109" i="7"/>
  <c r="AS109" i="7"/>
  <c r="AM109" i="7"/>
  <c r="AT109" i="7"/>
  <c r="AO109" i="7"/>
  <c r="AT151" i="7"/>
  <c r="BA151" i="7"/>
  <c r="AQ151" i="7"/>
  <c r="AW151" i="7"/>
  <c r="AY151" i="7"/>
  <c r="AV151" i="7"/>
  <c r="AX151" i="7"/>
  <c r="AS151" i="7"/>
  <c r="AL151" i="7"/>
  <c r="AM49" i="7"/>
  <c r="AZ49" i="7"/>
  <c r="AX49" i="7"/>
  <c r="AQ49" i="7"/>
  <c r="BA49" i="7"/>
  <c r="AP49" i="7"/>
  <c r="AW49" i="7"/>
  <c r="AT49" i="7"/>
  <c r="AR49" i="7"/>
  <c r="AU49" i="7"/>
  <c r="AS49" i="7"/>
  <c r="AV49" i="7"/>
  <c r="AY49" i="7"/>
  <c r="AT154" i="7"/>
  <c r="AN154" i="7"/>
  <c r="AP154" i="7"/>
  <c r="AL154" i="7"/>
  <c r="AW154" i="7"/>
  <c r="AU154" i="7"/>
  <c r="AO154" i="7"/>
  <c r="AZ154" i="7"/>
  <c r="AV154" i="7"/>
  <c r="AQ154" i="7"/>
  <c r="AY154" i="7"/>
  <c r="AX154" i="7"/>
  <c r="AS154" i="7"/>
  <c r="AV212" i="7"/>
  <c r="AU212" i="7"/>
  <c r="AX212" i="7"/>
  <c r="AW212" i="7"/>
  <c r="AT212" i="7"/>
  <c r="AR212" i="7"/>
  <c r="BA212" i="7"/>
  <c r="AY212" i="7"/>
  <c r="AO212" i="7"/>
  <c r="AN212" i="7"/>
  <c r="AP212" i="7"/>
  <c r="AM212" i="7"/>
  <c r="AQ212" i="7"/>
  <c r="AZ212" i="7"/>
  <c r="AS212" i="7"/>
  <c r="AS159" i="7"/>
  <c r="AN159" i="7"/>
  <c r="AT159" i="7"/>
  <c r="AZ159" i="7"/>
  <c r="AP159" i="7"/>
  <c r="AY159" i="7"/>
  <c r="BA159" i="7"/>
  <c r="AL159" i="7"/>
  <c r="AM159" i="7"/>
  <c r="AX159" i="7"/>
  <c r="AV159" i="7"/>
  <c r="AU159" i="7"/>
  <c r="AM20" i="7"/>
  <c r="AO20" i="7"/>
  <c r="AL20" i="7"/>
  <c r="AN20" i="7"/>
  <c r="AQ20" i="7"/>
  <c r="AP20" i="7"/>
  <c r="AV20" i="7"/>
  <c r="AW20" i="7"/>
  <c r="BA20" i="7"/>
  <c r="AS20" i="7"/>
  <c r="AX20" i="7"/>
  <c r="AY20" i="7"/>
  <c r="AU20" i="7"/>
  <c r="AR20" i="7"/>
  <c r="AT20" i="7"/>
  <c r="AU194" i="7"/>
  <c r="AW194" i="7"/>
  <c r="AY194" i="7"/>
  <c r="AT194" i="7"/>
  <c r="AP194" i="7"/>
  <c r="AR194" i="7"/>
  <c r="AN194" i="7"/>
  <c r="AZ194" i="7"/>
  <c r="AO194" i="7"/>
  <c r="BA194" i="7"/>
  <c r="AM194" i="7"/>
  <c r="AV194" i="7"/>
  <c r="AS194" i="7"/>
  <c r="AQ194" i="7"/>
  <c r="AX194" i="7"/>
  <c r="AM51" i="7"/>
  <c r="AX51" i="7"/>
  <c r="AZ51" i="7"/>
  <c r="AS51" i="7"/>
  <c r="AR51" i="7"/>
  <c r="AV51" i="7"/>
  <c r="AW51" i="7"/>
  <c r="AN51" i="7"/>
  <c r="AO51" i="7"/>
  <c r="AT51" i="7"/>
  <c r="BA51" i="7"/>
  <c r="AU51" i="7"/>
  <c r="AW232" i="7"/>
  <c r="AQ232" i="7"/>
  <c r="AM232" i="7"/>
  <c r="AZ232" i="7"/>
  <c r="BA232" i="7"/>
  <c r="AY232" i="7"/>
  <c r="AS232" i="7"/>
  <c r="AT232" i="7"/>
  <c r="AR232" i="7"/>
  <c r="AP232" i="7"/>
  <c r="AU232" i="7"/>
  <c r="AO232" i="7"/>
  <c r="AV232" i="7"/>
  <c r="AX232" i="7"/>
  <c r="AU102" i="7"/>
  <c r="AT102" i="7"/>
  <c r="AP102" i="7"/>
  <c r="AZ102" i="7"/>
  <c r="AS102" i="7"/>
  <c r="AN102" i="7"/>
  <c r="AW102" i="7"/>
  <c r="AQ102" i="7"/>
  <c r="AV102" i="7"/>
  <c r="AY102" i="7"/>
  <c r="AR102" i="7"/>
  <c r="AX102" i="7"/>
  <c r="BA102" i="7"/>
  <c r="AM135" i="7"/>
  <c r="AS125" i="7"/>
  <c r="AR125" i="7"/>
  <c r="AP125" i="7"/>
  <c r="AL125" i="7"/>
  <c r="AU125" i="7"/>
  <c r="AY125" i="7"/>
  <c r="AX125" i="7"/>
  <c r="AV125" i="7"/>
  <c r="AW125" i="7"/>
  <c r="AQ125" i="7"/>
  <c r="AZ125" i="7"/>
  <c r="AT125" i="7"/>
  <c r="BA125" i="7"/>
  <c r="AO125" i="7"/>
  <c r="AW148" i="7"/>
  <c r="AY148" i="7"/>
  <c r="AM148" i="7"/>
  <c r="AT148" i="7"/>
  <c r="AP148" i="7"/>
  <c r="AQ148" i="7"/>
  <c r="BA148" i="7"/>
  <c r="AS148" i="7"/>
  <c r="AN148" i="7"/>
  <c r="AZ148" i="7"/>
  <c r="AV148" i="7"/>
  <c r="AU148" i="7"/>
  <c r="AP151" i="7"/>
  <c r="BA72" i="7"/>
  <c r="AZ72" i="7"/>
  <c r="AV94" i="7"/>
  <c r="AW195" i="7"/>
  <c r="AR195" i="7"/>
  <c r="AX195" i="7"/>
  <c r="AP195" i="7"/>
  <c r="AZ195" i="7"/>
  <c r="AM195" i="7"/>
  <c r="AZ100" i="7"/>
  <c r="AM58" i="7"/>
  <c r="AM139" i="7"/>
  <c r="AN139" i="7"/>
  <c r="AT139" i="7"/>
  <c r="AR139" i="7"/>
  <c r="AZ139" i="7"/>
  <c r="AV139" i="7"/>
  <c r="AQ139" i="7"/>
  <c r="AM118" i="7"/>
  <c r="AX118" i="7"/>
  <c r="AN118" i="7"/>
  <c r="AO118" i="7"/>
  <c r="AP118" i="7"/>
  <c r="AY118" i="7"/>
  <c r="AZ118" i="7"/>
  <c r="AL57" i="7"/>
  <c r="AR57" i="7"/>
  <c r="AX57" i="7"/>
  <c r="AP82" i="7"/>
  <c r="AY82" i="7"/>
  <c r="AO82" i="7"/>
  <c r="AW82" i="7"/>
  <c r="AQ82" i="7"/>
  <c r="AV82" i="7"/>
  <c r="AN82" i="7"/>
  <c r="AM82" i="7"/>
  <c r="BA82" i="7"/>
  <c r="AR82" i="7"/>
  <c r="AP18" i="7"/>
  <c r="AT142" i="7"/>
  <c r="AT33" i="7"/>
  <c r="AN33" i="7"/>
  <c r="AY33" i="7"/>
  <c r="AV33" i="7"/>
  <c r="AZ33" i="7"/>
  <c r="AL142" i="7"/>
  <c r="AW123" i="7"/>
  <c r="AU123" i="7"/>
  <c r="AS123" i="7"/>
  <c r="AZ123" i="7"/>
  <c r="AY123" i="7"/>
  <c r="AY72" i="7"/>
  <c r="AQ200" i="7"/>
  <c r="AY200" i="7"/>
  <c r="BA200" i="7"/>
  <c r="AX200" i="7"/>
  <c r="AL200" i="7"/>
  <c r="AT200" i="7"/>
  <c r="AO200" i="7"/>
  <c r="AV200" i="7"/>
  <c r="AL134" i="7"/>
  <c r="AL129" i="7"/>
  <c r="AU134" i="7"/>
  <c r="AO142" i="7"/>
  <c r="AN195" i="7"/>
  <c r="AS221" i="7"/>
  <c r="AR221" i="7"/>
  <c r="AW221" i="7"/>
  <c r="AZ221" i="7"/>
  <c r="AW200" i="7"/>
  <c r="AO18" i="7"/>
  <c r="BA34" i="7"/>
  <c r="AV34" i="7"/>
  <c r="AL34" i="7"/>
  <c r="AO34" i="7"/>
  <c r="AS34" i="7"/>
  <c r="AY34" i="7"/>
  <c r="AP230" i="7"/>
  <c r="AT39" i="7"/>
  <c r="AP39" i="7"/>
  <c r="AN39" i="7"/>
  <c r="AY18" i="7"/>
  <c r="AU137" i="7"/>
  <c r="AN137" i="7"/>
  <c r="AX182" i="7"/>
  <c r="AX34" i="7"/>
  <c r="BA101" i="7"/>
  <c r="AN176" i="7"/>
  <c r="AQ221" i="7"/>
  <c r="AP221" i="7"/>
  <c r="BA84" i="7"/>
  <c r="AS84" i="7"/>
  <c r="AP84" i="7"/>
  <c r="AM84" i="7"/>
  <c r="AZ84" i="7"/>
  <c r="AO84" i="7"/>
  <c r="AN84" i="7"/>
  <c r="AM101" i="7"/>
  <c r="AV23" i="7"/>
  <c r="AW23" i="7"/>
  <c r="AY23" i="7"/>
  <c r="AP23" i="7"/>
  <c r="AM23" i="7"/>
  <c r="AZ23" i="7"/>
  <c r="AQ23" i="7"/>
  <c r="AX82" i="7"/>
  <c r="AQ216" i="7"/>
  <c r="AO216" i="7"/>
  <c r="AP216" i="7"/>
  <c r="AV216" i="7"/>
  <c r="AM216" i="7"/>
  <c r="AX216" i="7"/>
  <c r="BA216" i="7"/>
  <c r="AT216" i="7"/>
  <c r="AN161" i="7"/>
  <c r="BA161" i="7"/>
  <c r="AV161" i="7"/>
  <c r="AP161" i="7"/>
  <c r="AZ161" i="7"/>
  <c r="AW161" i="7"/>
  <c r="AS23" i="7"/>
  <c r="AS18" i="7"/>
  <c r="AO176" i="7"/>
  <c r="AO219" i="7"/>
  <c r="AU219" i="7"/>
  <c r="AY219" i="7"/>
  <c r="AM219" i="7"/>
  <c r="AT219" i="7"/>
  <c r="AW219" i="7"/>
  <c r="BA219" i="7"/>
  <c r="AO58" i="7"/>
  <c r="AU216" i="7"/>
  <c r="AS33" i="7"/>
  <c r="AN165" i="7"/>
  <c r="AV191" i="7"/>
  <c r="AP191" i="7"/>
  <c r="BA191" i="7"/>
  <c r="AN191" i="7"/>
  <c r="AT191" i="7"/>
  <c r="AO191" i="7"/>
  <c r="AW191" i="7"/>
  <c r="AX191" i="7"/>
  <c r="AL124" i="7"/>
  <c r="AM207" i="7"/>
  <c r="AL132" i="7"/>
  <c r="AY114" i="7"/>
  <c r="AT140" i="7"/>
  <c r="AM228" i="7"/>
  <c r="AQ52" i="7"/>
  <c r="AO39" i="7"/>
  <c r="AV222" i="7"/>
  <c r="BA222" i="7"/>
  <c r="AT222" i="7"/>
  <c r="AL222" i="7"/>
  <c r="AL127" i="7"/>
  <c r="AW145" i="7"/>
  <c r="AY101" i="7"/>
  <c r="AO128" i="7"/>
  <c r="AX183" i="7"/>
  <c r="AQ149" i="7"/>
  <c r="AL128" i="7"/>
  <c r="AP124" i="7"/>
  <c r="AW119" i="7"/>
  <c r="AP119" i="7"/>
  <c r="AM119" i="7"/>
  <c r="AZ119" i="7"/>
  <c r="AY119" i="7"/>
  <c r="AT119" i="7"/>
  <c r="AS200" i="7"/>
  <c r="AV195" i="7"/>
  <c r="AO45" i="7"/>
  <c r="BA45" i="7"/>
  <c r="AZ45" i="7"/>
  <c r="AW45" i="7"/>
  <c r="AX45" i="7"/>
  <c r="AU45" i="7"/>
  <c r="AM45" i="7"/>
  <c r="AU100" i="7"/>
  <c r="AQ33" i="7"/>
  <c r="AS78" i="7"/>
  <c r="AZ78" i="7"/>
  <c r="AN78" i="7"/>
  <c r="AO78" i="7"/>
  <c r="AL78" i="7"/>
  <c r="AT78" i="7"/>
  <c r="AV78" i="7"/>
  <c r="BA78" i="7"/>
  <c r="AQ191" i="7"/>
  <c r="BA52" i="7"/>
  <c r="AW72" i="7"/>
  <c r="AQ119" i="7"/>
  <c r="AV206" i="7"/>
  <c r="AP46" i="7"/>
  <c r="BA94" i="7"/>
  <c r="AY189" i="7"/>
  <c r="AQ189" i="7"/>
  <c r="AX189" i="7"/>
  <c r="BA189" i="7"/>
  <c r="AM189" i="7"/>
  <c r="AV189" i="7"/>
  <c r="AP48" i="7"/>
  <c r="AX48" i="7"/>
  <c r="AU48" i="7"/>
  <c r="AM48" i="7"/>
  <c r="AN48" i="7"/>
  <c r="AW48" i="7"/>
  <c r="AT48" i="7"/>
  <c r="AZ177" i="7"/>
  <c r="AV177" i="7"/>
  <c r="AL177" i="7"/>
  <c r="AV36" i="7"/>
  <c r="BA36" i="7"/>
  <c r="AL36" i="7"/>
  <c r="AO36" i="7"/>
  <c r="AZ36" i="7"/>
  <c r="AQ36" i="7"/>
  <c r="AU36" i="7"/>
  <c r="AN36" i="7"/>
  <c r="AS36" i="7"/>
  <c r="AU29" i="7"/>
  <c r="AP59" i="7"/>
  <c r="AQ209" i="7"/>
  <c r="AT209" i="7"/>
  <c r="AR209" i="7"/>
  <c r="BA209" i="7"/>
  <c r="AP209" i="7"/>
  <c r="AM209" i="7"/>
  <c r="AM225" i="7"/>
  <c r="AN193" i="7"/>
  <c r="AL193" i="7"/>
  <c r="AT193" i="7"/>
  <c r="AW193" i="7"/>
  <c r="AV193" i="7"/>
  <c r="AU193" i="7"/>
  <c r="AP193" i="7"/>
  <c r="AN200" i="7"/>
  <c r="AZ29" i="7"/>
  <c r="AP28" i="7"/>
  <c r="AY128" i="7"/>
  <c r="BA120" i="7"/>
  <c r="AW120" i="7"/>
  <c r="AV120" i="7"/>
  <c r="AY120" i="7"/>
  <c r="AP120" i="7"/>
  <c r="AQ120" i="7"/>
  <c r="AR120" i="7"/>
  <c r="AO120" i="7"/>
  <c r="AU120" i="7"/>
  <c r="AL209" i="7"/>
  <c r="AL87" i="7"/>
  <c r="AS87" i="7"/>
  <c r="AN87" i="7"/>
  <c r="AZ87" i="7"/>
  <c r="BA87" i="7"/>
  <c r="AR87" i="7"/>
  <c r="AW87" i="7"/>
  <c r="AQ87" i="7"/>
  <c r="AO87" i="7"/>
  <c r="D90" i="8"/>
  <c r="AV50" i="7"/>
  <c r="AO50" i="7"/>
  <c r="AX50" i="7"/>
  <c r="AN50" i="7"/>
  <c r="AL50" i="7"/>
  <c r="AZ50" i="7"/>
  <c r="AU50" i="7"/>
  <c r="AY50" i="7"/>
  <c r="AR34" i="7"/>
  <c r="AZ60" i="7"/>
  <c r="AV60" i="7"/>
  <c r="AR60" i="7"/>
  <c r="AX60" i="7"/>
  <c r="AS60" i="7"/>
  <c r="AW60" i="7"/>
  <c r="AU184" i="7"/>
  <c r="AS69" i="7"/>
  <c r="AL69" i="7"/>
  <c r="AV69" i="7"/>
  <c r="BA69" i="7"/>
  <c r="BA230" i="7"/>
  <c r="AX39" i="7"/>
  <c r="AR46" i="7"/>
  <c r="AP53" i="7"/>
  <c r="AZ53" i="7"/>
  <c r="AM53" i="7"/>
  <c r="AU177" i="7"/>
  <c r="AM206" i="7"/>
  <c r="AS191" i="7"/>
  <c r="AZ18" i="7"/>
  <c r="AU38" i="7"/>
  <c r="AT76" i="7"/>
  <c r="AN76" i="7"/>
  <c r="AQ76" i="7"/>
  <c r="AM76" i="7"/>
  <c r="AL43" i="7"/>
  <c r="AQ57" i="7"/>
  <c r="AL219" i="7"/>
  <c r="AT18" i="7"/>
  <c r="AU228" i="7"/>
  <c r="AY54" i="7"/>
  <c r="AN54" i="7"/>
  <c r="AP54" i="7"/>
  <c r="AL54" i="7"/>
  <c r="AT54" i="7"/>
  <c r="AR54" i="7"/>
  <c r="AW54" i="7"/>
  <c r="AU54" i="7"/>
  <c r="AX209" i="7"/>
  <c r="AT52" i="7"/>
  <c r="AM11" i="7"/>
  <c r="AO21" i="7"/>
  <c r="AV45" i="7"/>
  <c r="AW76" i="7"/>
  <c r="AY216" i="7"/>
  <c r="AS29" i="7"/>
  <c r="AN122" i="7"/>
  <c r="AW27" i="7"/>
  <c r="AS27" i="7"/>
  <c r="BA27" i="7"/>
  <c r="AN27" i="7"/>
  <c r="AM27" i="7"/>
  <c r="AY27" i="7"/>
  <c r="AR27" i="7"/>
  <c r="AR226" i="7"/>
  <c r="AX140" i="7"/>
  <c r="AZ69" i="7"/>
  <c r="AT45" i="7"/>
  <c r="AS177" i="7"/>
  <c r="AS45" i="7"/>
  <c r="AQ184" i="7"/>
  <c r="AY184" i="7"/>
  <c r="AZ54" i="7"/>
  <c r="AY188" i="7"/>
  <c r="AL188" i="7"/>
  <c r="AZ21" i="7"/>
  <c r="AZ174" i="7"/>
  <c r="AQ174" i="7"/>
  <c r="AR174" i="7"/>
  <c r="BA174" i="7"/>
  <c r="AQ141" i="7"/>
  <c r="AV141" i="7"/>
  <c r="AU127" i="7"/>
  <c r="BA60" i="7"/>
  <c r="AR39" i="7"/>
  <c r="AM47" i="7"/>
  <c r="AS165" i="7"/>
  <c r="AM69" i="7"/>
  <c r="AS53" i="7"/>
  <c r="AS139" i="7"/>
  <c r="AU140" i="7"/>
  <c r="BA18" i="7"/>
  <c r="AM66" i="7"/>
  <c r="AU179" i="7"/>
  <c r="AV179" i="7"/>
  <c r="AN179" i="7"/>
  <c r="AS72" i="7"/>
  <c r="AQ123" i="7"/>
  <c r="AY163" i="7"/>
  <c r="AT163" i="7"/>
  <c r="AO163" i="7"/>
  <c r="AQ163" i="7"/>
  <c r="AM163" i="7"/>
  <c r="AS163" i="7"/>
  <c r="AU163" i="7"/>
  <c r="AL163" i="7"/>
  <c r="AR147" i="7"/>
  <c r="AV37" i="7"/>
  <c r="AY37" i="7"/>
  <c r="AN37" i="7"/>
  <c r="AL37" i="7"/>
  <c r="AR37" i="7"/>
  <c r="AZ37" i="7"/>
  <c r="AU37" i="7"/>
  <c r="AS37" i="7"/>
  <c r="AP37" i="7"/>
  <c r="AY115" i="7"/>
  <c r="AT115" i="7"/>
  <c r="AV115" i="7"/>
  <c r="AS115" i="7"/>
  <c r="AL115" i="7"/>
  <c r="AO115" i="7"/>
  <c r="AL187" i="7"/>
  <c r="AY187" i="7"/>
  <c r="AZ187" i="7"/>
  <c r="AS187" i="7"/>
  <c r="AX187" i="7"/>
  <c r="AV221" i="7"/>
  <c r="AX76" i="7"/>
  <c r="AQ124" i="7"/>
  <c r="AO63" i="7"/>
  <c r="AO60" i="7"/>
  <c r="AU116" i="7"/>
  <c r="AP15" i="7"/>
  <c r="AM52" i="7"/>
  <c r="AR66" i="7"/>
  <c r="AL23" i="7"/>
  <c r="AN134" i="7"/>
  <c r="AX73" i="7"/>
  <c r="AL24" i="7"/>
  <c r="AU202" i="7"/>
  <c r="BA187" i="7"/>
  <c r="AO33" i="7"/>
  <c r="AO119" i="7"/>
  <c r="AL157" i="7"/>
  <c r="AQ213" i="7"/>
  <c r="AW213" i="7"/>
  <c r="AM213" i="7"/>
  <c r="AZ213" i="7"/>
  <c r="AS213" i="7"/>
  <c r="AT213" i="7"/>
  <c r="AU213" i="7"/>
  <c r="AY213" i="7"/>
  <c r="AP213" i="7"/>
  <c r="AT59" i="7"/>
  <c r="AW78" i="7"/>
  <c r="AV210" i="7"/>
  <c r="AS193" i="7"/>
  <c r="AV150" i="7"/>
  <c r="AX150" i="7"/>
  <c r="AM150" i="7"/>
  <c r="AP34" i="7"/>
  <c r="BA59" i="7"/>
  <c r="AL160" i="7"/>
  <c r="AZ160" i="7"/>
  <c r="AT160" i="7"/>
  <c r="AQ160" i="7"/>
  <c r="AS160" i="7"/>
  <c r="AW160" i="7"/>
  <c r="AY160" i="7"/>
  <c r="AT25" i="7"/>
  <c r="AU25" i="7"/>
  <c r="BA25" i="7"/>
  <c r="AW25" i="7"/>
  <c r="AO25" i="7"/>
  <c r="AZ202" i="7"/>
  <c r="AZ180" i="7"/>
  <c r="AN19" i="7"/>
  <c r="AM200" i="7"/>
  <c r="AT13" i="7"/>
  <c r="AX106" i="7"/>
  <c r="AO12" i="7"/>
  <c r="AN12" i="7"/>
  <c r="AQ12" i="7"/>
  <c r="AP12" i="7"/>
  <c r="AZ12" i="7"/>
  <c r="AX59" i="7"/>
  <c r="AU32" i="7"/>
  <c r="AZ44" i="7"/>
  <c r="AR44" i="7"/>
  <c r="AO44" i="7"/>
  <c r="AX44" i="7"/>
  <c r="AV44" i="7"/>
  <c r="BA44" i="7"/>
  <c r="AW177" i="7"/>
  <c r="AP81" i="7"/>
  <c r="AV224" i="7"/>
  <c r="AP224" i="7"/>
  <c r="AY224" i="7"/>
  <c r="AZ224" i="7"/>
  <c r="AX224" i="7"/>
  <c r="AT224" i="7"/>
  <c r="AM224" i="7"/>
  <c r="AL55" i="7"/>
  <c r="AR24" i="7"/>
  <c r="AT144" i="7"/>
  <c r="AZ144" i="7"/>
  <c r="AS144" i="7"/>
  <c r="BA144" i="7"/>
  <c r="AV144" i="7"/>
  <c r="AY144" i="7"/>
  <c r="AU144" i="7"/>
  <c r="AR199" i="7"/>
  <c r="AY124" i="7"/>
  <c r="AQ150" i="7"/>
  <c r="AT27" i="7"/>
  <c r="AO147" i="7"/>
  <c r="AZ131" i="7"/>
  <c r="AW41" i="7"/>
  <c r="AU207" i="7"/>
  <c r="AP17" i="7"/>
  <c r="AO24" i="7"/>
  <c r="AY204" i="7"/>
  <c r="AO204" i="7"/>
  <c r="AS204" i="7"/>
  <c r="AW204" i="7"/>
  <c r="AR204" i="7"/>
  <c r="AX85" i="7"/>
  <c r="AR85" i="7"/>
  <c r="AY85" i="7"/>
  <c r="AW85" i="7"/>
  <c r="BA85" i="7"/>
  <c r="AO85" i="7"/>
  <c r="AX161" i="7"/>
  <c r="AY221" i="7"/>
  <c r="AX98" i="7"/>
  <c r="AV98" i="7"/>
  <c r="BA98" i="7"/>
  <c r="AS98" i="7"/>
  <c r="AO98" i="7"/>
  <c r="AW98" i="7"/>
  <c r="AP98" i="7"/>
  <c r="AR98" i="7"/>
  <c r="AS150" i="7"/>
  <c r="AQ24" i="7"/>
  <c r="AZ81" i="7"/>
  <c r="BA179" i="7"/>
  <c r="AP72" i="7"/>
  <c r="AX184" i="7"/>
  <c r="AP174" i="7"/>
  <c r="BA17" i="7"/>
  <c r="AR150" i="7"/>
  <c r="AU82" i="7"/>
  <c r="AZ52" i="7"/>
  <c r="AR33" i="7"/>
  <c r="AW39" i="7"/>
  <c r="BA114" i="7"/>
  <c r="AW210" i="7"/>
  <c r="AV197" i="7"/>
  <c r="AP27" i="7"/>
  <c r="AS114" i="7"/>
  <c r="AL210" i="7"/>
  <c r="AP87" i="7"/>
  <c r="AS43" i="7"/>
  <c r="AM19" i="7"/>
  <c r="D26" i="11"/>
  <c r="D43" i="11"/>
  <c r="AS174" i="7"/>
  <c r="AY228" i="7"/>
  <c r="AP76" i="7"/>
  <c r="AT221" i="7"/>
  <c r="AT147" i="7"/>
  <c r="AS179" i="7"/>
  <c r="AN209" i="7"/>
  <c r="AN58" i="7"/>
  <c r="BA58" i="7"/>
  <c r="AL58" i="7"/>
  <c r="AS58" i="7"/>
  <c r="AX58" i="7"/>
  <c r="AW58" i="7"/>
  <c r="AY58" i="7"/>
  <c r="AU58" i="7"/>
  <c r="AT149" i="7"/>
  <c r="AU149" i="7"/>
  <c r="AX149" i="7"/>
  <c r="AZ149" i="7"/>
  <c r="AR149" i="7"/>
  <c r="AV100" i="7"/>
  <c r="AP100" i="7"/>
  <c r="AQ100" i="7"/>
  <c r="BA100" i="7"/>
  <c r="AY38" i="7"/>
  <c r="BA38" i="7"/>
  <c r="AZ38" i="7"/>
  <c r="AS38" i="7"/>
  <c r="AW38" i="7"/>
  <c r="AX38" i="7"/>
  <c r="AT38" i="7"/>
  <c r="AZ59" i="7"/>
  <c r="AX142" i="7"/>
  <c r="AZ142" i="7"/>
  <c r="AS142" i="7"/>
  <c r="AU142" i="7"/>
  <c r="AM142" i="7"/>
  <c r="AR142" i="7"/>
  <c r="AT100" i="7"/>
  <c r="AZ134" i="7"/>
  <c r="BA134" i="7"/>
  <c r="AT134" i="7"/>
  <c r="AM134" i="7"/>
  <c r="AO134" i="7"/>
  <c r="AY129" i="7"/>
  <c r="AZ129" i="7"/>
  <c r="AP129" i="7"/>
  <c r="BA129" i="7"/>
  <c r="AS129" i="7"/>
  <c r="AM129" i="7"/>
  <c r="AR129" i="7"/>
  <c r="AO140" i="7"/>
  <c r="AQ140" i="7"/>
  <c r="AN140" i="7"/>
  <c r="AR140" i="7"/>
  <c r="AZ140" i="7"/>
  <c r="BA140" i="7"/>
  <c r="AY140" i="7"/>
  <c r="AT227" i="7"/>
  <c r="AP227" i="7"/>
  <c r="AX227" i="7"/>
  <c r="AO227" i="7"/>
  <c r="AM227" i="7"/>
  <c r="AN227" i="7"/>
  <c r="AV227" i="7"/>
  <c r="AU227" i="7"/>
  <c r="AR227" i="7"/>
  <c r="AL227" i="7"/>
  <c r="BA227" i="7"/>
  <c r="AW227" i="7"/>
  <c r="AZ227" i="7"/>
  <c r="AN101" i="7"/>
  <c r="AW101" i="7"/>
  <c r="AP101" i="7"/>
  <c r="AV101" i="7"/>
  <c r="AO101" i="7"/>
  <c r="AX101" i="7"/>
  <c r="AV118" i="7"/>
  <c r="AO195" i="7"/>
  <c r="AS64" i="7"/>
  <c r="AN64" i="7"/>
  <c r="AP64" i="7"/>
  <c r="AX64" i="7"/>
  <c r="AZ64" i="7"/>
  <c r="BA64" i="7"/>
  <c r="AV64" i="7"/>
  <c r="AM64" i="7"/>
  <c r="AO64" i="7"/>
  <c r="AQ64" i="7"/>
  <c r="AY64" i="7"/>
  <c r="AR134" i="7"/>
  <c r="AN230" i="7"/>
  <c r="AO230" i="7"/>
  <c r="AL230" i="7"/>
  <c r="AV230" i="7"/>
  <c r="AQ230" i="7"/>
  <c r="AT230" i="7"/>
  <c r="AU230" i="7"/>
  <c r="AM230" i="7"/>
  <c r="AL72" i="7"/>
  <c r="AX110" i="7"/>
  <c r="AU110" i="7"/>
  <c r="AQ110" i="7"/>
  <c r="BA110" i="7"/>
  <c r="AY110" i="7"/>
  <c r="AO110" i="7"/>
  <c r="AR28" i="7"/>
  <c r="AW28" i="7"/>
  <c r="AY28" i="7"/>
  <c r="AV28" i="7"/>
  <c r="AO28" i="7"/>
  <c r="AX28" i="7"/>
  <c r="AM28" i="7"/>
  <c r="AT58" i="7"/>
  <c r="AU176" i="7"/>
  <c r="AW176" i="7"/>
  <c r="AR176" i="7"/>
  <c r="AL176" i="7"/>
  <c r="AX176" i="7"/>
  <c r="AM176" i="7"/>
  <c r="BA176" i="7"/>
  <c r="BA13" i="7"/>
  <c r="BA136" i="7"/>
  <c r="AM149" i="7"/>
  <c r="AS149" i="7"/>
  <c r="AS82" i="7"/>
  <c r="AV97" i="7"/>
  <c r="AO97" i="7"/>
  <c r="AX97" i="7"/>
  <c r="AP97" i="7"/>
  <c r="AY97" i="7"/>
  <c r="BA97" i="7"/>
  <c r="AM97" i="7"/>
  <c r="AR97" i="7"/>
  <c r="AS97" i="7"/>
  <c r="AW97" i="7"/>
  <c r="AQ97" i="7"/>
  <c r="AU112" i="7"/>
  <c r="AM112" i="7"/>
  <c r="AS112" i="7"/>
  <c r="AY112" i="7"/>
  <c r="AZ112" i="7"/>
  <c r="AQ112" i="7"/>
  <c r="BA89" i="7"/>
  <c r="AQ89" i="7"/>
  <c r="AN89" i="7"/>
  <c r="AU89" i="7"/>
  <c r="AV89" i="7"/>
  <c r="AZ89" i="7"/>
  <c r="AO89" i="7"/>
  <c r="AW89" i="7"/>
  <c r="AQ18" i="7"/>
  <c r="AV38" i="7"/>
  <c r="AZ110" i="7"/>
  <c r="AR182" i="7"/>
  <c r="AQ176" i="7"/>
  <c r="AZ165" i="7"/>
  <c r="AM165" i="7"/>
  <c r="AY165" i="7"/>
  <c r="AU165" i="7"/>
  <c r="AP165" i="7"/>
  <c r="AL165" i="7"/>
  <c r="AO165" i="7"/>
  <c r="BA165" i="7"/>
  <c r="AV165" i="7"/>
  <c r="AN57" i="7"/>
  <c r="AT124" i="7"/>
  <c r="AV124" i="7"/>
  <c r="BA124" i="7"/>
  <c r="AM124" i="7"/>
  <c r="AZ124" i="7"/>
  <c r="AM132" i="7"/>
  <c r="AV132" i="7"/>
  <c r="AO132" i="7"/>
  <c r="BA132" i="7"/>
  <c r="AW132" i="7"/>
  <c r="AP13" i="7"/>
  <c r="BA106" i="7"/>
  <c r="AP219" i="7"/>
  <c r="AT118" i="7"/>
  <c r="AX123" i="7"/>
  <c r="AS39" i="7"/>
  <c r="AT168" i="7"/>
  <c r="BA168" i="7"/>
  <c r="AQ168" i="7"/>
  <c r="AP168" i="7"/>
  <c r="AU168" i="7"/>
  <c r="AN168" i="7"/>
  <c r="AV168" i="7"/>
  <c r="AX168" i="7"/>
  <c r="AY168" i="7"/>
  <c r="AO168" i="7"/>
  <c r="AM168" i="7"/>
  <c r="AX127" i="7"/>
  <c r="AS127" i="7"/>
  <c r="AR127" i="7"/>
  <c r="AM127" i="7"/>
  <c r="BA127" i="7"/>
  <c r="AR206" i="7"/>
  <c r="AS46" i="7"/>
  <c r="AU221" i="7"/>
  <c r="AQ101" i="7"/>
  <c r="AZ97" i="7"/>
  <c r="AS128" i="7"/>
  <c r="AW128" i="7"/>
  <c r="AZ128" i="7"/>
  <c r="AV128" i="7"/>
  <c r="AM128" i="7"/>
  <c r="AP112" i="7"/>
  <c r="AQ129" i="7"/>
  <c r="AP123" i="7"/>
  <c r="AQ80" i="7"/>
  <c r="AO80" i="7"/>
  <c r="AS80" i="7"/>
  <c r="AL80" i="7"/>
  <c r="AW80" i="7"/>
  <c r="AO114" i="7"/>
  <c r="AY161" i="7"/>
  <c r="AT123" i="7"/>
  <c r="AQ222" i="7"/>
  <c r="AZ145" i="7"/>
  <c r="AT195" i="7"/>
  <c r="AM180" i="7"/>
  <c r="AQ29" i="7"/>
  <c r="AM29" i="7"/>
  <c r="AW29" i="7"/>
  <c r="AN29" i="7"/>
  <c r="AV29" i="7"/>
  <c r="AR29" i="7"/>
  <c r="AT29" i="7"/>
  <c r="AL29" i="7"/>
  <c r="AT101" i="7"/>
  <c r="AW122" i="7"/>
  <c r="AU185" i="7"/>
  <c r="AY185" i="7"/>
  <c r="BA185" i="7"/>
  <c r="AV185" i="7"/>
  <c r="AQ185" i="7"/>
  <c r="AZ225" i="7"/>
  <c r="AV225" i="7"/>
  <c r="AL225" i="7"/>
  <c r="AP225" i="7"/>
  <c r="AS185" i="7"/>
  <c r="AY52" i="7"/>
  <c r="AY84" i="7"/>
  <c r="AR119" i="7"/>
  <c r="AW222" i="7"/>
  <c r="AP38" i="7"/>
  <c r="AO139" i="7"/>
  <c r="AU189" i="7"/>
  <c r="AV209" i="7"/>
  <c r="AP220" i="7"/>
  <c r="AS89" i="7"/>
  <c r="AR113" i="7"/>
  <c r="AX112" i="7"/>
  <c r="AX23" i="7"/>
  <c r="AW50" i="7"/>
  <c r="AQ183" i="7"/>
  <c r="AR112" i="7"/>
  <c r="AV84" i="7"/>
  <c r="AW33" i="7"/>
  <c r="AU170" i="7"/>
  <c r="AS170" i="7"/>
  <c r="AZ170" i="7"/>
  <c r="AP170" i="7"/>
  <c r="AZ226" i="7"/>
  <c r="AS169" i="7"/>
  <c r="AU169" i="7"/>
  <c r="AM169" i="7"/>
  <c r="AX169" i="7"/>
  <c r="AV169" i="7"/>
  <c r="AW169" i="7"/>
  <c r="AO23" i="7"/>
  <c r="AR107" i="7"/>
  <c r="AU53" i="7"/>
  <c r="AP58" i="7"/>
  <c r="AV43" i="7"/>
  <c r="AR198" i="7"/>
  <c r="AQ198" i="7"/>
  <c r="AL198" i="7"/>
  <c r="AZ198" i="7"/>
  <c r="AO198" i="7"/>
  <c r="AV198" i="7"/>
  <c r="AL68" i="7"/>
  <c r="AU68" i="7"/>
  <c r="AT68" i="7"/>
  <c r="AQ68" i="7"/>
  <c r="AP68" i="7"/>
  <c r="AY68" i="7"/>
  <c r="AY230" i="7"/>
  <c r="AX104" i="7"/>
  <c r="AL104" i="7"/>
  <c r="AW104" i="7"/>
  <c r="AN104" i="7"/>
  <c r="AQ104" i="7"/>
  <c r="AP104" i="7"/>
  <c r="AR123" i="7"/>
  <c r="AY177" i="7"/>
  <c r="AR68" i="7"/>
  <c r="AV220" i="7"/>
  <c r="AU200" i="7"/>
  <c r="AQ128" i="7"/>
  <c r="AN23" i="7"/>
  <c r="AS230" i="7"/>
  <c r="AQ137" i="7"/>
  <c r="AZ230" i="7"/>
  <c r="AY19" i="7"/>
  <c r="AS161" i="7"/>
  <c r="AO57" i="7"/>
  <c r="AZ92" i="7"/>
  <c r="AL92" i="7"/>
  <c r="AQ92" i="7"/>
  <c r="AS92" i="7"/>
  <c r="BA92" i="7"/>
  <c r="AY92" i="7"/>
  <c r="AT92" i="7"/>
  <c r="AW73" i="7"/>
  <c r="AR61" i="7"/>
  <c r="AT61" i="7"/>
  <c r="AN119" i="7"/>
  <c r="AU161" i="7"/>
  <c r="AY167" i="7"/>
  <c r="AU209" i="7"/>
  <c r="AT165" i="7"/>
  <c r="AQ106" i="7"/>
  <c r="AU23" i="7"/>
  <c r="AP60" i="7"/>
  <c r="BA54" i="7"/>
  <c r="AZ47" i="7"/>
  <c r="AP47" i="7"/>
  <c r="AX47" i="7"/>
  <c r="AQ47" i="7"/>
  <c r="AT47" i="7"/>
  <c r="AW47" i="7"/>
  <c r="AS47" i="7"/>
  <c r="AT177" i="7"/>
  <c r="AY57" i="7"/>
  <c r="AY132" i="7"/>
  <c r="AU119" i="7"/>
  <c r="AO193" i="7"/>
  <c r="AS32" i="7"/>
  <c r="AM110" i="7"/>
  <c r="BA202" i="7"/>
  <c r="AT202" i="7"/>
  <c r="AW202" i="7"/>
  <c r="AR202" i="7"/>
  <c r="BA53" i="7"/>
  <c r="AX33" i="7"/>
  <c r="AR155" i="7"/>
  <c r="AL155" i="7"/>
  <c r="AM155" i="7"/>
  <c r="AU155" i="7"/>
  <c r="AQ50" i="7"/>
  <c r="AU33" i="7"/>
  <c r="AU34" i="7"/>
  <c r="AT220" i="7"/>
  <c r="AL143" i="7"/>
  <c r="BA143" i="7"/>
  <c r="AQ143" i="7"/>
  <c r="AX143" i="7"/>
  <c r="AQ62" i="7"/>
  <c r="AN62" i="7"/>
  <c r="AU62" i="7"/>
  <c r="AV62" i="7"/>
  <c r="AP62" i="7"/>
  <c r="AZ62" i="7"/>
  <c r="BA62" i="7"/>
  <c r="AW16" i="7"/>
  <c r="AL16" i="7"/>
  <c r="BA16" i="7"/>
  <c r="AR16" i="7"/>
  <c r="AX16" i="7"/>
  <c r="AU16" i="7"/>
  <c r="AM16" i="7"/>
  <c r="AP16" i="7"/>
  <c r="AN16" i="7"/>
  <c r="AW140" i="7"/>
  <c r="AZ191" i="7"/>
  <c r="AZ188" i="7"/>
  <c r="AW180" i="7"/>
  <c r="AL191" i="7"/>
  <c r="BA48" i="7"/>
  <c r="AV63" i="7"/>
  <c r="AX63" i="7"/>
  <c r="AW63" i="7"/>
  <c r="AR63" i="7"/>
  <c r="BA63" i="7"/>
  <c r="AZ63" i="7"/>
  <c r="AL63" i="7"/>
  <c r="AY63" i="7"/>
  <c r="AY29" i="7"/>
  <c r="AT128" i="7"/>
  <c r="AT185" i="7"/>
  <c r="AY107" i="7"/>
  <c r="AX24" i="7"/>
  <c r="AV24" i="7"/>
  <c r="AZ24" i="7"/>
  <c r="AT24" i="7"/>
  <c r="AS24" i="7"/>
  <c r="AN24" i="7"/>
  <c r="AW24" i="7"/>
  <c r="AQ16" i="7"/>
  <c r="AM161" i="7"/>
  <c r="AL100" i="7"/>
  <c r="AP198" i="7"/>
  <c r="AW157" i="7"/>
  <c r="AY157" i="7"/>
  <c r="AU157" i="7"/>
  <c r="AO157" i="7"/>
  <c r="AX157" i="7"/>
  <c r="AZ157" i="7"/>
  <c r="AU101" i="7"/>
  <c r="AQ45" i="7"/>
  <c r="AW124" i="7"/>
  <c r="AQ134" i="7"/>
  <c r="AQ195" i="7"/>
  <c r="AW149" i="7"/>
  <c r="AZ155" i="7"/>
  <c r="AZ216" i="7"/>
  <c r="AN199" i="7"/>
  <c r="AR101" i="7"/>
  <c r="AU150" i="7"/>
  <c r="AV68" i="7"/>
  <c r="AQ122" i="7"/>
  <c r="AV160" i="7"/>
  <c r="AL101" i="7"/>
  <c r="AZ58" i="7"/>
  <c r="AW134" i="7"/>
  <c r="AN81" i="7"/>
  <c r="AM81" i="7"/>
  <c r="BA81" i="7"/>
  <c r="AO81" i="7"/>
  <c r="AU81" i="7"/>
  <c r="AL81" i="7"/>
  <c r="AX81" i="7"/>
  <c r="AT81" i="7"/>
  <c r="AQ117" i="7"/>
  <c r="AS117" i="7"/>
  <c r="AV117" i="7"/>
  <c r="BA117" i="7"/>
  <c r="AO117" i="7"/>
  <c r="AM117" i="7"/>
  <c r="AL117" i="7"/>
  <c r="AR117" i="7"/>
  <c r="AW117" i="7"/>
  <c r="AR55" i="7"/>
  <c r="AT55" i="7"/>
  <c r="AQ55" i="7"/>
  <c r="AN55" i="7"/>
  <c r="AU55" i="7"/>
  <c r="AP55" i="7"/>
  <c r="AW61" i="7"/>
  <c r="AY142" i="7"/>
  <c r="BA39" i="7"/>
  <c r="AU97" i="7"/>
  <c r="AM186" i="7"/>
  <c r="AN186" i="7"/>
  <c r="AW186" i="7"/>
  <c r="AR186" i="7"/>
  <c r="AZ16" i="7"/>
  <c r="AO192" i="7"/>
  <c r="AN192" i="7"/>
  <c r="AQ192" i="7"/>
  <c r="AV192" i="7"/>
  <c r="AX128" i="7"/>
  <c r="AM133" i="7"/>
  <c r="BA133" i="7"/>
  <c r="AS133" i="7"/>
  <c r="AW133" i="7"/>
  <c r="AS132" i="7"/>
  <c r="AV92" i="7"/>
  <c r="AN221" i="7"/>
  <c r="AS63" i="7"/>
  <c r="AV162" i="7"/>
  <c r="AX162" i="7"/>
  <c r="AM162" i="7"/>
  <c r="AY162" i="7"/>
  <c r="AM183" i="7"/>
  <c r="AQ38" i="7"/>
  <c r="AX124" i="7"/>
  <c r="AU187" i="7"/>
  <c r="AQ127" i="7"/>
  <c r="AN128" i="7"/>
  <c r="AU195" i="7"/>
  <c r="AY15" i="7"/>
  <c r="AP44" i="7"/>
  <c r="AP33" i="7"/>
  <c r="AU128" i="7"/>
  <c r="BA33" i="7"/>
  <c r="AL98" i="7"/>
  <c r="AO170" i="7"/>
  <c r="AP162" i="7"/>
  <c r="AV66" i="7"/>
  <c r="AS118" i="7"/>
  <c r="AW110" i="7"/>
  <c r="AT188" i="7"/>
  <c r="AV190" i="7"/>
  <c r="AY190" i="7"/>
  <c r="AL190" i="7"/>
  <c r="BA190" i="7"/>
  <c r="AQ190" i="7"/>
  <c r="AR190" i="7"/>
  <c r="AU190" i="7"/>
  <c r="BA137" i="7"/>
  <c r="AX105" i="7"/>
  <c r="AQ105" i="7"/>
  <c r="AM105" i="7"/>
  <c r="AT105" i="7"/>
  <c r="AQ78" i="7"/>
  <c r="AO38" i="7"/>
  <c r="AZ163" i="7"/>
  <c r="AN175" i="7"/>
  <c r="AQ175" i="7"/>
  <c r="AX175" i="7"/>
  <c r="AR53" i="7"/>
  <c r="AV103" i="7"/>
  <c r="AX103" i="7"/>
  <c r="AM103" i="7"/>
  <c r="AS103" i="7"/>
  <c r="AL103" i="7"/>
  <c r="AZ103" i="7"/>
  <c r="AW103" i="7"/>
  <c r="AO103" i="7"/>
  <c r="AQ103" i="7"/>
  <c r="AP103" i="7"/>
  <c r="AO174" i="7"/>
  <c r="AU15" i="7"/>
  <c r="AX18" i="7"/>
  <c r="AM18" i="7"/>
  <c r="AL18" i="7"/>
  <c r="AL122" i="7"/>
  <c r="AU122" i="7"/>
  <c r="AX122" i="7"/>
  <c r="AS122" i="7"/>
  <c r="AV122" i="7"/>
  <c r="AT122" i="7"/>
  <c r="AY122" i="7"/>
  <c r="AZ122" i="7"/>
  <c r="AM122" i="7"/>
  <c r="AM94" i="7"/>
  <c r="AY94" i="7"/>
  <c r="AW94" i="7"/>
  <c r="AS94" i="7"/>
  <c r="AL94" i="7"/>
  <c r="AU94" i="7"/>
  <c r="AQ94" i="7"/>
  <c r="AV149" i="7"/>
  <c r="AU59" i="7"/>
  <c r="AW59" i="7"/>
  <c r="AR59" i="7"/>
  <c r="AN59" i="7"/>
  <c r="AS59" i="7"/>
  <c r="AU136" i="7"/>
  <c r="AM136" i="7"/>
  <c r="AP136" i="7"/>
  <c r="AO136" i="7"/>
  <c r="AT136" i="7"/>
  <c r="AZ136" i="7"/>
  <c r="AN136" i="7"/>
  <c r="AV136" i="7"/>
  <c r="AX136" i="7"/>
  <c r="AS136" i="7"/>
  <c r="AN100" i="7"/>
  <c r="AX52" i="7"/>
  <c r="AN52" i="7"/>
  <c r="AL52" i="7"/>
  <c r="BA195" i="7"/>
  <c r="AL233" i="7"/>
  <c r="AQ233" i="7"/>
  <c r="AZ233" i="7"/>
  <c r="AY233" i="7"/>
  <c r="AP233" i="7"/>
  <c r="BA233" i="7"/>
  <c r="AV233" i="7"/>
  <c r="AL64" i="7"/>
  <c r="AO43" i="7"/>
  <c r="AY43" i="7"/>
  <c r="AU43" i="7"/>
  <c r="AX43" i="7"/>
  <c r="AN43" i="7"/>
  <c r="AR100" i="7"/>
  <c r="AO221" i="7"/>
  <c r="AP182" i="7"/>
  <c r="AZ182" i="7"/>
  <c r="BA182" i="7"/>
  <c r="AV182" i="7"/>
  <c r="AN182" i="7"/>
  <c r="AL182" i="7"/>
  <c r="AT182" i="7"/>
  <c r="AV13" i="7"/>
  <c r="AR13" i="7"/>
  <c r="AS13" i="7"/>
  <c r="AW13" i="7"/>
  <c r="AQ13" i="7"/>
  <c r="AL195" i="7"/>
  <c r="AY100" i="7"/>
  <c r="AN184" i="7"/>
  <c r="AS184" i="7"/>
  <c r="AL184" i="7"/>
  <c r="AZ184" i="7"/>
  <c r="BA184" i="7"/>
  <c r="AV184" i="7"/>
  <c r="AO106" i="7"/>
  <c r="AT106" i="7"/>
  <c r="AU106" i="7"/>
  <c r="AY106" i="7"/>
  <c r="AV106" i="7"/>
  <c r="AV207" i="7"/>
  <c r="AN207" i="7"/>
  <c r="AS207" i="7"/>
  <c r="AT207" i="7"/>
  <c r="AW207" i="7"/>
  <c r="AL207" i="7"/>
  <c r="AY207" i="7"/>
  <c r="AQ182" i="7"/>
  <c r="AM221" i="7"/>
  <c r="AO228" i="7"/>
  <c r="AZ228" i="7"/>
  <c r="AV228" i="7"/>
  <c r="AW228" i="7"/>
  <c r="AX228" i="7"/>
  <c r="AT183" i="7"/>
  <c r="AS183" i="7"/>
  <c r="AR183" i="7"/>
  <c r="AY183" i="7"/>
  <c r="AP183" i="7"/>
  <c r="AL140" i="7"/>
  <c r="G20" i="11"/>
  <c r="AV72" i="7"/>
  <c r="AW114" i="7"/>
  <c r="AQ114" i="7"/>
  <c r="AX114" i="7"/>
  <c r="AL114" i="7"/>
  <c r="AV114" i="7"/>
  <c r="AW137" i="7"/>
  <c r="AZ178" i="7"/>
  <c r="AQ178" i="7"/>
  <c r="AV178" i="7"/>
  <c r="AX178" i="7"/>
  <c r="AS178" i="7"/>
  <c r="AW178" i="7"/>
  <c r="AT178" i="7"/>
  <c r="AY178" i="7"/>
  <c r="AX72" i="7"/>
  <c r="AO100" i="7"/>
  <c r="AW184" i="7"/>
  <c r="AZ176" i="7"/>
  <c r="AO145" i="7"/>
  <c r="AX145" i="7"/>
  <c r="AV145" i="7"/>
  <c r="AR145" i="7"/>
  <c r="AP145" i="7"/>
  <c r="AY145" i="7"/>
  <c r="AQ145" i="7"/>
  <c r="AT161" i="7"/>
  <c r="AT206" i="7"/>
  <c r="AP206" i="7"/>
  <c r="AW206" i="7"/>
  <c r="AO206" i="7"/>
  <c r="AS206" i="7"/>
  <c r="BA206" i="7"/>
  <c r="AZ206" i="7"/>
  <c r="AW166" i="7"/>
  <c r="AX166" i="7"/>
  <c r="AU166" i="7"/>
  <c r="AR84" i="7"/>
  <c r="BA46" i="7"/>
  <c r="AL46" i="7"/>
  <c r="AY46" i="7"/>
  <c r="AU46" i="7"/>
  <c r="AN46" i="7"/>
  <c r="AZ46" i="7"/>
  <c r="AM46" i="7"/>
  <c r="BA228" i="7"/>
  <c r="AV219" i="7"/>
  <c r="AN142" i="7"/>
  <c r="AT180" i="7"/>
  <c r="AS180" i="7"/>
  <c r="BA180" i="7"/>
  <c r="AL180" i="7"/>
  <c r="AR180" i="7"/>
  <c r="AQ180" i="7"/>
  <c r="AP180" i="7"/>
  <c r="AX180" i="7"/>
  <c r="AP132" i="7"/>
  <c r="AP52" i="7"/>
  <c r="AZ106" i="7"/>
  <c r="AO127" i="7"/>
  <c r="AR152" i="7"/>
  <c r="AX152" i="7"/>
  <c r="AY152" i="7"/>
  <c r="AO152" i="7"/>
  <c r="AQ152" i="7"/>
  <c r="AY39" i="7"/>
  <c r="AY134" i="7"/>
  <c r="AV134" i="7"/>
  <c r="AT46" i="7"/>
  <c r="AP57" i="7"/>
  <c r="AM131" i="7"/>
  <c r="AL131" i="7"/>
  <c r="AN131" i="7"/>
  <c r="AW131" i="7"/>
  <c r="AT131" i="7"/>
  <c r="AQ131" i="7"/>
  <c r="AU131" i="7"/>
  <c r="AT28" i="7"/>
  <c r="AL196" i="7"/>
  <c r="AV196" i="7"/>
  <c r="AP196" i="7"/>
  <c r="BA196" i="7"/>
  <c r="AO182" i="7"/>
  <c r="AX100" i="7"/>
  <c r="AW231" i="7"/>
  <c r="AN231" i="7"/>
  <c r="AL231" i="7"/>
  <c r="AS231" i="7"/>
  <c r="AX231" i="7"/>
  <c r="BA231" i="7"/>
  <c r="AR231" i="7"/>
  <c r="AZ207" i="7"/>
  <c r="BA131" i="7"/>
  <c r="AO107" i="7"/>
  <c r="AT107" i="7"/>
  <c r="AM107" i="7"/>
  <c r="BA107" i="7"/>
  <c r="AN107" i="7"/>
  <c r="AU107" i="7"/>
  <c r="AZ107" i="7"/>
  <c r="AL107" i="7"/>
  <c r="AQ107" i="7"/>
  <c r="AW107" i="7"/>
  <c r="AW112" i="7"/>
  <c r="AL21" i="7"/>
  <c r="AN21" i="7"/>
  <c r="AM21" i="7"/>
  <c r="AS21" i="7"/>
  <c r="BA21" i="7"/>
  <c r="AQ21" i="7"/>
  <c r="AY21" i="7"/>
  <c r="AY131" i="7"/>
  <c r="AX158" i="7"/>
  <c r="AP158" i="7"/>
  <c r="AU158" i="7"/>
  <c r="AY158" i="7"/>
  <c r="AM158" i="7"/>
  <c r="AL158" i="7"/>
  <c r="AT158" i="7"/>
  <c r="BA158" i="7"/>
  <c r="AO158" i="7"/>
  <c r="AY149" i="7"/>
  <c r="BA113" i="7"/>
  <c r="AX113" i="7"/>
  <c r="AQ113" i="7"/>
  <c r="AZ113" i="7"/>
  <c r="AT113" i="7"/>
  <c r="AL113" i="7"/>
  <c r="AP113" i="7"/>
  <c r="AW230" i="7"/>
  <c r="AS57" i="7"/>
  <c r="AS124" i="7"/>
  <c r="AY227" i="7"/>
  <c r="AX132" i="7"/>
  <c r="AW18" i="7"/>
  <c r="AX220" i="7"/>
  <c r="AU220" i="7"/>
  <c r="AR220" i="7"/>
  <c r="AS220" i="7"/>
  <c r="AL220" i="7"/>
  <c r="BA220" i="7"/>
  <c r="AN220" i="7"/>
  <c r="AY220" i="7"/>
  <c r="AQ220" i="7"/>
  <c r="AX80" i="7"/>
  <c r="AV18" i="7"/>
  <c r="K74" i="8"/>
  <c r="F90" i="8"/>
  <c r="AX129" i="7"/>
  <c r="AT73" i="7"/>
  <c r="BA73" i="7"/>
  <c r="AS73" i="7"/>
  <c r="AO73" i="7"/>
  <c r="AV142" i="7"/>
  <c r="AQ118" i="7"/>
  <c r="AU183" i="7"/>
  <c r="AM191" i="7"/>
  <c r="AY193" i="7"/>
  <c r="AM152" i="7"/>
  <c r="BA183" i="7"/>
  <c r="AY66" i="7"/>
  <c r="BA66" i="7"/>
  <c r="AN66" i="7"/>
  <c r="AP66" i="7"/>
  <c r="AT66" i="7"/>
  <c r="AU66" i="7"/>
  <c r="AM226" i="7"/>
  <c r="AU226" i="7"/>
  <c r="AP226" i="7"/>
  <c r="AN226" i="7"/>
  <c r="AU13" i="7"/>
  <c r="AW216" i="7"/>
  <c r="AN80" i="7"/>
  <c r="AS134" i="7"/>
  <c r="AU114" i="7"/>
  <c r="AO231" i="7"/>
  <c r="AS189" i="7"/>
  <c r="AW19" i="7"/>
  <c r="AP19" i="7"/>
  <c r="AU19" i="7"/>
  <c r="AV19" i="7"/>
  <c r="AO19" i="7"/>
  <c r="AS19" i="7"/>
  <c r="AT112" i="7"/>
  <c r="AP228" i="7"/>
  <c r="AT89" i="7"/>
  <c r="AX94" i="7"/>
  <c r="AS131" i="7"/>
  <c r="AT21" i="7"/>
  <c r="AS216" i="7"/>
  <c r="AL118" i="7"/>
  <c r="AU80" i="7"/>
  <c r="AN132" i="7"/>
  <c r="AR216" i="7"/>
  <c r="AU60" i="7"/>
  <c r="AN38" i="7"/>
  <c r="AR64" i="7"/>
  <c r="E20" i="11"/>
  <c r="AL120" i="7"/>
  <c r="AO94" i="7"/>
  <c r="AV176" i="7"/>
  <c r="AR167" i="7"/>
  <c r="AZ167" i="7"/>
  <c r="BA167" i="7"/>
  <c r="AW167" i="7"/>
  <c r="AX167" i="7"/>
  <c r="AL167" i="7"/>
  <c r="AT23" i="7"/>
  <c r="AL33" i="7"/>
  <c r="AO68" i="7"/>
  <c r="AZ13" i="7"/>
  <c r="AR196" i="7"/>
  <c r="AW34" i="7"/>
  <c r="AL14" i="7"/>
  <c r="AT14" i="7"/>
  <c r="AZ14" i="7"/>
  <c r="AP14" i="7"/>
  <c r="BA14" i="7"/>
  <c r="AS14" i="7"/>
  <c r="AN14" i="7"/>
  <c r="AM14" i="7"/>
  <c r="AP137" i="7"/>
  <c r="AZ146" i="7"/>
  <c r="AL146" i="7"/>
  <c r="BA146" i="7"/>
  <c r="AQ146" i="7"/>
  <c r="AU146" i="7"/>
  <c r="AX146" i="7"/>
  <c r="AM146" i="7"/>
  <c r="AR146" i="7"/>
  <c r="AO146" i="7"/>
  <c r="AR116" i="7"/>
  <c r="AM116" i="7"/>
  <c r="AZ116" i="7"/>
  <c r="AL116" i="7"/>
  <c r="AW116" i="7"/>
  <c r="AX147" i="7"/>
  <c r="AM147" i="7"/>
  <c r="AZ147" i="7"/>
  <c r="AN147" i="7"/>
  <c r="AL147" i="7"/>
  <c r="BA147" i="7"/>
  <c r="AV147" i="7"/>
  <c r="AW147" i="7"/>
  <c r="AX13" i="7"/>
  <c r="BA119" i="7"/>
  <c r="BA29" i="7"/>
  <c r="AO32" i="7"/>
  <c r="AV32" i="7"/>
  <c r="AR32" i="7"/>
  <c r="AT32" i="7"/>
  <c r="AX32" i="7"/>
  <c r="AQ32" i="7"/>
  <c r="AX206" i="7"/>
  <c r="AT19" i="7"/>
  <c r="AN114" i="7"/>
  <c r="AV59" i="7"/>
  <c r="AS101" i="7"/>
  <c r="AU118" i="7"/>
  <c r="AY199" i="7"/>
  <c r="BA199" i="7"/>
  <c r="AQ199" i="7"/>
  <c r="AW199" i="7"/>
  <c r="AT199" i="7"/>
  <c r="AL199" i="7"/>
  <c r="AZ199" i="7"/>
  <c r="AU199" i="7"/>
  <c r="AN97" i="7"/>
  <c r="AS113" i="7"/>
  <c r="AX46" i="7"/>
  <c r="AV87" i="7"/>
  <c r="AR71" i="7"/>
  <c r="AY71" i="7"/>
  <c r="AP71" i="7"/>
  <c r="AM71" i="7"/>
  <c r="AW71" i="7"/>
  <c r="AS71" i="7"/>
  <c r="AV71" i="7"/>
  <c r="AQ71" i="7"/>
  <c r="AQ132" i="7"/>
  <c r="AV188" i="7"/>
  <c r="AS28" i="7"/>
  <c r="AT84" i="7"/>
  <c r="AN129" i="7"/>
  <c r="AV174" i="7"/>
  <c r="AL112" i="7"/>
  <c r="BA152" i="7"/>
  <c r="AT94" i="7"/>
  <c r="AQ147" i="7"/>
  <c r="AN143" i="7"/>
  <c r="AW143" i="7"/>
  <c r="AW183" i="7"/>
  <c r="AY47" i="7"/>
  <c r="AL97" i="7"/>
  <c r="AM166" i="7"/>
  <c r="BA80" i="7"/>
  <c r="AY231" i="7"/>
  <c r="AU69" i="7"/>
  <c r="AW66" i="7"/>
  <c r="AT228" i="7"/>
  <c r="AV91" i="7"/>
  <c r="AT91" i="7"/>
  <c r="AW91" i="7"/>
  <c r="AQ91" i="7"/>
  <c r="AM91" i="7"/>
  <c r="AS91" i="7"/>
  <c r="AL91" i="7"/>
  <c r="AS158" i="7"/>
  <c r="AN120" i="7"/>
  <c r="AX179" i="7"/>
  <c r="AV137" i="7"/>
  <c r="AM199" i="7"/>
  <c r="AS68" i="7"/>
  <c r="AO233" i="7"/>
  <c r="AO225" i="7"/>
  <c r="AT127" i="7"/>
  <c r="BA198" i="7"/>
  <c r="AV16" i="7"/>
  <c r="AO207" i="7"/>
  <c r="AP128" i="7"/>
  <c r="AV127" i="7"/>
  <c r="AZ30" i="7"/>
  <c r="AW30" i="7"/>
  <c r="AT30" i="7"/>
  <c r="AY30" i="7"/>
  <c r="BA30" i="7"/>
  <c r="AQ30" i="7"/>
  <c r="AX30" i="7"/>
  <c r="AM184" i="7"/>
  <c r="AS218" i="7"/>
  <c r="AU218" i="7"/>
  <c r="AZ218" i="7"/>
  <c r="AY218" i="7"/>
  <c r="AM218" i="7"/>
  <c r="AP218" i="7"/>
  <c r="AX134" i="7"/>
  <c r="AY195" i="7"/>
  <c r="BA91" i="7"/>
  <c r="AX71" i="7"/>
  <c r="AU143" i="7"/>
  <c r="AP106" i="7"/>
  <c r="AL221" i="7"/>
  <c r="AS208" i="7"/>
  <c r="AP208" i="7"/>
  <c r="AX208" i="7"/>
  <c r="AM208" i="7"/>
  <c r="AV46" i="7"/>
  <c r="AZ34" i="7"/>
  <c r="AY206" i="7"/>
  <c r="AO218" i="7"/>
  <c r="AX139" i="7"/>
  <c r="AV53" i="7"/>
  <c r="AR208" i="7"/>
  <c r="AM145" i="7"/>
  <c r="AS61" i="7"/>
  <c r="AL110" i="7"/>
  <c r="AZ196" i="7"/>
  <c r="AU27" i="7"/>
  <c r="AX160" i="7"/>
  <c r="AU152" i="7"/>
  <c r="AP69" i="7"/>
  <c r="AT12" i="7"/>
  <c r="AO124" i="7"/>
  <c r="BA32" i="7"/>
  <c r="AN197" i="7"/>
  <c r="AP144" i="7"/>
  <c r="AV223" i="7"/>
  <c r="AP223" i="7"/>
  <c r="AR223" i="7"/>
  <c r="BA223" i="7"/>
  <c r="AL223" i="7"/>
  <c r="AS223" i="7"/>
  <c r="AM223" i="7"/>
  <c r="AX91" i="7"/>
  <c r="AV180" i="7"/>
  <c r="BA118" i="7"/>
  <c r="AO91" i="7"/>
  <c r="AW43" i="7"/>
  <c r="AY69" i="7"/>
  <c r="AU78" i="7"/>
  <c r="AX68" i="7"/>
  <c r="AQ188" i="7"/>
  <c r="AT72" i="7"/>
  <c r="AS157" i="7"/>
  <c r="AQ43" i="7"/>
  <c r="AY11" i="7"/>
  <c r="AL85" i="7"/>
  <c r="AN11" i="7"/>
  <c r="AR184" i="7"/>
  <c r="AW100" i="7"/>
  <c r="AM38" i="7"/>
  <c r="AY48" i="7"/>
  <c r="AP114" i="7"/>
  <c r="AY198" i="7"/>
  <c r="AW185" i="7"/>
  <c r="AX84" i="7"/>
  <c r="AY196" i="7"/>
  <c r="AL86" i="7"/>
  <c r="AT86" i="7"/>
  <c r="AY86" i="7"/>
  <c r="AS86" i="7"/>
  <c r="AQ86" i="7"/>
  <c r="AN86" i="7"/>
  <c r="AT138" i="7"/>
  <c r="AS138" i="7"/>
  <c r="AV138" i="7"/>
  <c r="AL138" i="7"/>
  <c r="AP94" i="7"/>
  <c r="AT198" i="7"/>
  <c r="AN198" i="7"/>
  <c r="AU57" i="7"/>
  <c r="AX165" i="7"/>
  <c r="BA56" i="7"/>
  <c r="AW56" i="7"/>
  <c r="AZ56" i="7"/>
  <c r="AN56" i="7"/>
  <c r="AT56" i="7"/>
  <c r="AQ56" i="7"/>
  <c r="AM56" i="7"/>
  <c r="AV56" i="7"/>
  <c r="AT233" i="7"/>
  <c r="AO37" i="7"/>
  <c r="AL77" i="7"/>
  <c r="AY77" i="7"/>
  <c r="AT77" i="7"/>
  <c r="BA77" i="7"/>
  <c r="AO77" i="7"/>
  <c r="AU77" i="7"/>
  <c r="AZ77" i="7"/>
  <c r="AR77" i="7"/>
  <c r="AZ28" i="7"/>
  <c r="AW21" i="7"/>
  <c r="AR56" i="7"/>
  <c r="AW218" i="7"/>
  <c r="AS227" i="7"/>
  <c r="AX86" i="7"/>
  <c r="AT79" i="7"/>
  <c r="AL79" i="7"/>
  <c r="BA79" i="7"/>
  <c r="AO79" i="7"/>
  <c r="AU79" i="7"/>
  <c r="AZ79" i="7"/>
  <c r="AY79" i="7"/>
  <c r="AR213" i="7"/>
  <c r="AX225" i="7"/>
  <c r="AT226" i="7"/>
  <c r="AX120" i="7"/>
  <c r="AT174" i="7"/>
  <c r="AM24" i="7"/>
  <c r="AT218" i="7"/>
  <c r="AO155" i="7"/>
  <c r="AW113" i="7"/>
  <c r="AQ61" i="7"/>
  <c r="M7" i="11"/>
  <c r="M8" i="11"/>
  <c r="M19" i="11"/>
  <c r="M14" i="11"/>
  <c r="M15" i="11"/>
  <c r="M4" i="11"/>
  <c r="M6" i="11"/>
  <c r="M5" i="11"/>
  <c r="M18" i="11"/>
  <c r="M10" i="11"/>
  <c r="M16" i="11"/>
  <c r="M12" i="11"/>
  <c r="M17" i="11"/>
  <c r="M9" i="11"/>
  <c r="M11" i="11"/>
  <c r="M13" i="11"/>
  <c r="O13" i="11" l="1"/>
  <c r="O11" i="11"/>
  <c r="O9" i="11"/>
  <c r="O17" i="11"/>
  <c r="E28" i="11"/>
  <c r="O12" i="11"/>
  <c r="C36" i="11"/>
  <c r="O16" i="11"/>
  <c r="C37" i="11"/>
  <c r="E29" i="11"/>
  <c r="O10" i="11"/>
  <c r="O18" i="11"/>
  <c r="O5" i="11"/>
  <c r="E44" i="11"/>
  <c r="O6" i="11"/>
  <c r="E45" i="11"/>
  <c r="C34" i="11"/>
  <c r="E43" i="11"/>
  <c r="C44" i="11" s="1"/>
  <c r="F44" i="11" s="1"/>
  <c r="E26" i="11"/>
  <c r="C27" i="11" s="1"/>
  <c r="F27" i="11" s="1"/>
  <c r="O4" i="11"/>
  <c r="M20" i="11"/>
  <c r="O15" i="11"/>
  <c r="O14" i="11"/>
  <c r="O19" i="11"/>
  <c r="E27" i="11"/>
  <c r="O8" i="11"/>
  <c r="C35" i="11"/>
  <c r="E46" i="11"/>
  <c r="O7" i="11"/>
  <c r="C45" i="11"/>
  <c r="C28" i="11"/>
  <c r="C29" i="11" s="1"/>
  <c r="C46" i="11"/>
  <c r="F45" i="11"/>
  <c r="O20" i="11" l="1"/>
  <c r="F28" i="11"/>
  <c r="C47" i="11"/>
  <c r="F47" i="11" s="1"/>
  <c r="F46" i="11"/>
  <c r="F29" i="11"/>
  <c r="C30" i="11"/>
  <c r="F30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tc={52754E10-BDB9-41C4-A6E2-B20B62AA93CB}</author>
  </authors>
  <commentList>
    <comment ref="D20" authorId="0" shapeId="0" xr:uid="{52754E10-BDB9-41C4-A6E2-B20B62AA93CB}">
      <text>
        <t>[Threaded comment]
Your version of Excel allows you to read this threaded comment; however, any edits to it will get removed if the file is opened in a newer version of Excel. Learn more: https://go.microsoft.com/fwlink/?linkid=870924
Comment:
    Likely to phase out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F329E0-9036-48B6-BEAC-43937774D8E1}" keepAlive="1" name="Query - response" description="Connection to the 'response' query in the workbook." type="5" refreshedVersion="0" background="1" saveData="1">
    <dbPr connection="Provider=Microsoft.Mashup.OleDb.1;Data Source=$Workbook$;Location=response;Extended Properties=&quot;&quot;" command="SELECT * FROM [response]"/>
  </connection>
  <connection id="2" xr16:uid="{1C20BE37-5591-47BA-86F7-77E548B8AF1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<sst xmlns="http://schemas.openxmlformats.org/spreadsheetml/2006/main" count="26083" uniqueCount="3121">
  <si>
    <t>Company name</t>
  </si>
  <si>
    <t>CI subs customer? (existing and past 2 years)</t>
  </si>
  <si>
    <t>Consulting client? (past 2 years)</t>
  </si>
  <si>
    <t>Date added</t>
  </si>
  <si>
    <t>Scale</t>
  </si>
  <si>
    <t>Column19</t>
  </si>
  <si>
    <t>Strategic priority segment</t>
  </si>
  <si>
    <t>Product fit</t>
  </si>
  <si>
    <t>Brand reach</t>
  </si>
  <si>
    <t>Competitive advantage</t>
  </si>
  <si>
    <t>Propensity to buy/ buyer readiness</t>
  </si>
  <si>
    <t>Overall scoring priority</t>
  </si>
  <si>
    <t>CI Segment</t>
  </si>
  <si>
    <t>Primary theme/sector</t>
  </si>
  <si>
    <t>Secondary theme/sector (1)</t>
  </si>
  <si>
    <t>Secondary theme/sector (2)</t>
  </si>
  <si>
    <t>Secondary theme/sector (3)</t>
  </si>
  <si>
    <t>Secondary theme/sector (4)</t>
  </si>
  <si>
    <t>Secondary theme/sector (5)</t>
  </si>
  <si>
    <t>Column1</t>
  </si>
  <si>
    <t>Industry Essentials</t>
  </si>
  <si>
    <t>Energy Supply Market Intelligence</t>
  </si>
  <si>
    <t>Energy Supply RTM Analysis</t>
  </si>
  <si>
    <t>Energy Supply Forecasts</t>
  </si>
  <si>
    <t>Energy Supply Regulation</t>
  </si>
  <si>
    <t>Renewables Market Intelligence</t>
  </si>
  <si>
    <t>Renewables RTM Analysis</t>
  </si>
  <si>
    <t>Renewables Forecasts</t>
  </si>
  <si>
    <t>Renewables Regulation</t>
  </si>
  <si>
    <t>Flexibility Market Intelligence</t>
  </si>
  <si>
    <t>Flexibility RTM Analysis</t>
  </si>
  <si>
    <t>Flexibility Forecasts</t>
  </si>
  <si>
    <t>Flexibility Regulation</t>
  </si>
  <si>
    <t>Business Energy Essentials</t>
  </si>
  <si>
    <t>Energy User RTM Analysis</t>
  </si>
  <si>
    <t>Energy User Forecasts</t>
  </si>
  <si>
    <t>Energy User Regulation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</si>
  <si>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</si>
  <si>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</si>
  <si>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</si>
  <si>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</si>
  <si>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</si>
  <si>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</si>
  <si>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</si>
  <si>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</si>
  <si>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</si>
  <si>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</si>
  <si>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</si>
  <si>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</si>
  <si>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</si>
  <si>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</si>
  <si>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</si>
  <si>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</si>
  <si>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</si>
  <si>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Total Spend</t>
  </si>
  <si>
    <t>Multiplier</t>
  </si>
  <si>
    <t>British Gas Trading Ltd</t>
  </si>
  <si>
    <t>Yes</t>
  </si>
  <si>
    <t>Large</t>
  </si>
  <si>
    <t>Energy Supply</t>
  </si>
  <si>
    <t>Energy supplier</t>
  </si>
  <si>
    <t>Renewables generator/developer</t>
  </si>
  <si>
    <t>Flexibility generator/developer</t>
  </si>
  <si>
    <t>Energy traders</t>
  </si>
  <si>
    <t>Centrica Energy Limited</t>
  </si>
  <si>
    <t>Conrad Energy Limited</t>
  </si>
  <si>
    <t>Flex Generation &amp; Storage</t>
  </si>
  <si>
    <t>Corona Energy Retail 1 Ltd</t>
  </si>
  <si>
    <t>Drax Power Limited</t>
  </si>
  <si>
    <t>E.ON Connecting Energies Ltd.</t>
  </si>
  <si>
    <t>E.ON UK PLC</t>
  </si>
  <si>
    <t>EDF Energy Customers Limited</t>
  </si>
  <si>
    <t>EDF Energy Limited</t>
  </si>
  <si>
    <t>ENGIE Power Limited</t>
  </si>
  <si>
    <t>NPower Limited</t>
  </si>
  <si>
    <t>Octopus Energy Ltd</t>
  </si>
  <si>
    <t>E-mobility</t>
  </si>
  <si>
    <t>Opus Energy</t>
  </si>
  <si>
    <t>OVO Energy Limited</t>
  </si>
  <si>
    <t>RWE Supply &amp; Trading GmbH</t>
  </si>
  <si>
    <t>ScottishPower Limited</t>
  </si>
  <si>
    <t>SEFE Energy Ltd</t>
  </si>
  <si>
    <t>Shell Energy Retail Ltd</t>
  </si>
  <si>
    <t>Smartest Energy Limited</t>
  </si>
  <si>
    <t>SSE Energy Customer Solutions</t>
  </si>
  <si>
    <t>Metering</t>
  </si>
  <si>
    <t>SSE Energy Supply Ltd</t>
  </si>
  <si>
    <t>TotalEnergies Gas &amp; Power Ltd</t>
  </si>
  <si>
    <t>Utilita Energy Limited</t>
  </si>
  <si>
    <t>Utility Warehouse Limited</t>
  </si>
  <si>
    <t>BP Gas Marketing Limited</t>
  </si>
  <si>
    <t>Brook Green Supply Limited</t>
  </si>
  <si>
    <t>Small</t>
  </si>
  <si>
    <t>Business Power and Gas Limited</t>
  </si>
  <si>
    <t>Co-operative Energy Limited</t>
  </si>
  <si>
    <t>Crown Gas &amp; Power Ltd</t>
  </si>
  <si>
    <t>E (Gas &amp; Electricity) Limited</t>
  </si>
  <si>
    <t>Ecotricity Group Ltd</t>
  </si>
  <si>
    <t>EDF Trading Ltd</t>
  </si>
  <si>
    <t>ENGIE Global Energy Management (UK) Ltd</t>
  </si>
  <si>
    <t>EPG Energy Limited</t>
  </si>
  <si>
    <t>Equinor ASA</t>
  </si>
  <si>
    <t>Renewables Generation</t>
  </si>
  <si>
    <t>Equinor UK Limited</t>
  </si>
  <si>
    <t>F&amp;S Energy</t>
  </si>
  <si>
    <t>Good Energy Limited</t>
  </si>
  <si>
    <t>Opus Energy Renewables Limited</t>
  </si>
  <si>
    <t>Pozitive Energy Limited</t>
  </si>
  <si>
    <t>PX Group Ltd</t>
  </si>
  <si>
    <t>Ruby Energy</t>
  </si>
  <si>
    <t>RWE Renewables UK Limited</t>
  </si>
  <si>
    <t>Shell Energy Europe Ltd</t>
  </si>
  <si>
    <t>Shell International B.V</t>
  </si>
  <si>
    <t>SO Energy Trading Limited</t>
  </si>
  <si>
    <t>Statkraft Markets GmbH</t>
  </si>
  <si>
    <t>Statkraft UK Ltd</t>
  </si>
  <si>
    <t>Valda Energy Limited</t>
  </si>
  <si>
    <t>Vattenfall Energy Trading GmbH</t>
  </si>
  <si>
    <t>Yorkshire Gas and Power</t>
  </si>
  <si>
    <t>Yü Energy Retail Ltd</t>
  </si>
  <si>
    <t>Axpo UK Limited</t>
  </si>
  <si>
    <t>Bluefield Partners LLP</t>
  </si>
  <si>
    <t>Investor</t>
  </si>
  <si>
    <t>Dual Energy Direct Ltd</t>
  </si>
  <si>
    <t>EDF Energy Renewables Limited</t>
  </si>
  <si>
    <t>EDPR UK Limited</t>
  </si>
  <si>
    <t>Energia Group</t>
  </si>
  <si>
    <t>Hartree Partners Power and Gas Company (UK) Limited</t>
  </si>
  <si>
    <t>Innogy Renewables UK Limited</t>
  </si>
  <si>
    <t>Manx Utilities</t>
  </si>
  <si>
    <t>Network company</t>
  </si>
  <si>
    <t>Orsted Power (UK) Ltd</t>
  </si>
  <si>
    <t>Orsted Salg &amp; Service A/S</t>
  </si>
  <si>
    <t>P3P Partners LLP</t>
  </si>
  <si>
    <t>Power4All (Asda)</t>
  </si>
  <si>
    <t>End user</t>
  </si>
  <si>
    <t>RWE Renewables UK Solar and Storage Limited</t>
  </si>
  <si>
    <t>ScottishPower Renewables (UK assets) Limited</t>
  </si>
  <si>
    <t>SSE Plc</t>
  </si>
  <si>
    <t>Tomato Energy</t>
  </si>
  <si>
    <t>United Gas &amp; Power Ltd</t>
  </si>
  <si>
    <t>Vattenfall Wind Power Limited</t>
  </si>
  <si>
    <t>Verastar</t>
  </si>
  <si>
    <t>Aggreko Ltd</t>
  </si>
  <si>
    <t>DSR</t>
  </si>
  <si>
    <t>AvantiGas</t>
  </si>
  <si>
    <t>BayWa r.e. UK Limited</t>
  </si>
  <si>
    <t>BP Group</t>
  </si>
  <si>
    <t xml:space="preserve">Bryt Energy </t>
  </si>
  <si>
    <t>BSR Group Holdings Limited</t>
  </si>
  <si>
    <t>Copenhagen Infrastructure Partners</t>
  </si>
  <si>
    <t>Department for Energy Security &amp; Net Zero</t>
  </si>
  <si>
    <t>Multi-segment</t>
  </si>
  <si>
    <t>Public body</t>
  </si>
  <si>
    <t>DIF Infrastructure IV Cooperatief UA</t>
  </si>
  <si>
    <t>Drax Corporate Limited</t>
  </si>
  <si>
    <t>Eneco UK Limited</t>
  </si>
  <si>
    <t>Equitix Limited</t>
  </si>
  <si>
    <t>ERG S.p.A</t>
  </si>
  <si>
    <t>Falck Renewables SPA</t>
  </si>
  <si>
    <t>FRV</t>
  </si>
  <si>
    <t>Green Energy (UK) Ltd</t>
  </si>
  <si>
    <t>Innova Renewables Ltd</t>
  </si>
  <si>
    <t>Itochu Corporation</t>
  </si>
  <si>
    <t>JBM Solar (RWE)</t>
  </si>
  <si>
    <t>Lightsource BP Renewable Energy Investments Limited</t>
  </si>
  <si>
    <t>Low Carbon Ltd</t>
  </si>
  <si>
    <t>Macquarie Energy Leasing Limited</t>
  </si>
  <si>
    <t>Marble Power Limited</t>
  </si>
  <si>
    <t>Nadara Limited</t>
  </si>
  <si>
    <t>NextEnergy Solar Holdings III Limited</t>
  </si>
  <si>
    <t>Ocean Winds UK Limited</t>
  </si>
  <si>
    <t>OnPath Energy Limited</t>
  </si>
  <si>
    <t>Renewable Energy Systems Ltd</t>
  </si>
  <si>
    <t>Reventus Power Ltd</t>
  </si>
  <si>
    <t>Schroders Greencoat LLP</t>
  </si>
  <si>
    <t>Seagreen Wind Energy Ltd</t>
  </si>
  <si>
    <t>Siemens Gamesa</t>
  </si>
  <si>
    <t>Sonnedix UK Services Ltd</t>
  </si>
  <si>
    <t>Squeaky Clean Energy Limited</t>
  </si>
  <si>
    <t>TotalEnergies</t>
  </si>
  <si>
    <t>Tradelink Solutions Ltd</t>
  </si>
  <si>
    <t>Unify Energy Ltd</t>
  </si>
  <si>
    <t xml:space="preserve">Vantage RE Limited </t>
  </si>
  <si>
    <t>Xrenewable</t>
  </si>
  <si>
    <t>Acorn Bioenergy Limited</t>
  </si>
  <si>
    <t>Agile Energy</t>
  </si>
  <si>
    <t>Albion Capital Group LLP</t>
  </si>
  <si>
    <t>Alpha Real Capital LLP</t>
  </si>
  <si>
    <t>Anesco Ltd</t>
  </si>
  <si>
    <t>Anglian Water Services Limited</t>
  </si>
  <si>
    <t>Energy User</t>
  </si>
  <si>
    <t>Asper Dhuk Holding Company Ltd</t>
  </si>
  <si>
    <t>Associated British Ports</t>
  </si>
  <si>
    <t>Aura Power Developments Limited</t>
  </si>
  <si>
    <t>Avid Energy Limited</t>
  </si>
  <si>
    <t>Barra &amp; Vatersay Wind Energy Ltd</t>
  </si>
  <si>
    <t>Basepower</t>
  </si>
  <si>
    <t>Bath and West Community Energy Ltd</t>
  </si>
  <si>
    <t>Biffa Waste Services Ltd</t>
  </si>
  <si>
    <t>Bio Capital Ltd</t>
  </si>
  <si>
    <t>Bio Collectors Ltd</t>
  </si>
  <si>
    <t xml:space="preserve">Blackrock Investment </t>
  </si>
  <si>
    <t>Bloom Renewables</t>
  </si>
  <si>
    <t>BOC Limited</t>
  </si>
  <si>
    <t>Borelax Limited</t>
  </si>
  <si>
    <t>BPG Energy (Evolve Energy)</t>
  </si>
  <si>
    <t>Bradley Wind Energy</t>
  </si>
  <si>
    <t>British Telecommunications plc</t>
  </si>
  <si>
    <t>Broadview Energy Limited</t>
  </si>
  <si>
    <t>Brockwell Energy</t>
  </si>
  <si>
    <t>Brookfield Renewables</t>
  </si>
  <si>
    <t>Bruntwood Management Services Limited</t>
  </si>
  <si>
    <t>Bute Energy Ltd</t>
  </si>
  <si>
    <t>Calon Energy Limited</t>
  </si>
  <si>
    <t>Cell Energy Limited</t>
  </si>
  <si>
    <t>Cenin Limited</t>
  </si>
  <si>
    <t>Cero Generation Limited</t>
  </si>
  <si>
    <t>Climate ER</t>
  </si>
  <si>
    <t>ConocoPhillips (U.K.) Marketing and Trading Limited</t>
  </si>
  <si>
    <t>Co-operative Group Ltd</t>
  </si>
  <si>
    <t xml:space="preserve">Countryside Renewables </t>
  </si>
  <si>
    <t>Delta Gas and Power</t>
  </si>
  <si>
    <t>D-ENERGi</t>
  </si>
  <si>
    <t>Dyce Energy</t>
  </si>
  <si>
    <t>Eco Green Management Ltd (YGP)</t>
  </si>
  <si>
    <t>Emergent Energy</t>
  </si>
  <si>
    <t>ENBW</t>
  </si>
  <si>
    <t>EnDCo</t>
  </si>
  <si>
    <t>Energiekontor</t>
  </si>
  <si>
    <t>Energy Developments (UK) Limited</t>
  </si>
  <si>
    <t>Eolian Three Ltd (Broadview)</t>
  </si>
  <si>
    <t>EQT Infrastructure VI Investments S.a.r.l.</t>
  </si>
  <si>
    <t>Equinix UK Ltd</t>
  </si>
  <si>
    <t>ETP UK Solar Fund 1 (Innovo Group)</t>
  </si>
  <si>
    <t>EuroSite Power Limited</t>
  </si>
  <si>
    <t>Exelon Corporation</t>
  </si>
  <si>
    <t>ExxonMobil International Ltd</t>
  </si>
  <si>
    <t>Flotation Energy</t>
  </si>
  <si>
    <t>Foresight Group LLP</t>
  </si>
  <si>
    <t>Forth Ports Limited</t>
  </si>
  <si>
    <t>Fred Olsen Renewables Limited</t>
  </si>
  <si>
    <t>Future Biogas Limited</t>
  </si>
  <si>
    <t>Galileo Green Energy</t>
  </si>
  <si>
    <t>Galson Energy Ltd</t>
  </si>
  <si>
    <t>Green Investment Group Limited | Macquarie Group</t>
  </si>
  <si>
    <t>GRIDSERVE Sustainable Energy Limited</t>
  </si>
  <si>
    <t>Guernsey Electricity Limited</t>
  </si>
  <si>
    <t>Harbour Energy Development Ltd (oil &amp; gas)</t>
  </si>
  <si>
    <t>Honda Research &amp; Development Europe (UK) Ltd</t>
  </si>
  <si>
    <t>Huawei</t>
  </si>
  <si>
    <t>IB Vogt</t>
  </si>
  <si>
    <t>Innova Capital</t>
  </si>
  <si>
    <t>Inovyn Chlor Vinyls Ltd</t>
  </si>
  <si>
    <t>Intelligent Land Investments</t>
  </si>
  <si>
    <t>Invenergy Services UK Ltd</t>
  </si>
  <si>
    <t>Kemsley CHP Limited</t>
  </si>
  <si>
    <t>KrakenFlex</t>
  </si>
  <si>
    <t>London Power</t>
  </si>
  <si>
    <t>Lynemouth Power Station (Curen Ltd)</t>
  </si>
  <si>
    <t>MAG Airport Limited</t>
  </si>
  <si>
    <t>Melton Renewable Energy Newco Ltd</t>
  </si>
  <si>
    <t>Metka EGN Ltd</t>
  </si>
  <si>
    <t>Mitie Energy Plc</t>
  </si>
  <si>
    <t>Professional services</t>
  </si>
  <si>
    <t>TPI</t>
  </si>
  <si>
    <t>Muirhall Energy Limited</t>
  </si>
  <si>
    <t>Netro Energy Ltd</t>
  </si>
  <si>
    <t>New Road Solar Limited</t>
  </si>
  <si>
    <t>NTR Plc</t>
  </si>
  <si>
    <t>Octopus Investments</t>
  </si>
  <si>
    <t>On-Site Energy Ltd</t>
  </si>
  <si>
    <t>Orchard Energy Ltd</t>
  </si>
  <si>
    <t>OW Offshore SL</t>
  </si>
  <si>
    <t>Pacific Green</t>
  </si>
  <si>
    <t>PanPower</t>
  </si>
  <si>
    <t>Pencloe Wind Energy Limited</t>
  </si>
  <si>
    <t>Push Generation and Supply</t>
  </si>
  <si>
    <t>Red Rock Power Limited</t>
  </si>
  <si>
    <t>REG Power Management Ltd</t>
  </si>
  <si>
    <t>Renewable Development Investment</t>
  </si>
  <si>
    <t>Renewco Power</t>
  </si>
  <si>
    <t>Rovco Ltd (Beam)</t>
  </si>
  <si>
    <t>Severn Trent Water Limited</t>
  </si>
  <si>
    <t>Shotton Mill</t>
  </si>
  <si>
    <t>SMS Corporate Services Ltd</t>
  </si>
  <si>
    <t>Source Energie</t>
  </si>
  <si>
    <t>Source Galileo</t>
  </si>
  <si>
    <t>Southern Water Services Limited</t>
  </si>
  <si>
    <t>SSE Generation Limited</t>
  </si>
  <si>
    <t>SUEZ Recycling and Recovery UK Ltd</t>
  </si>
  <si>
    <t>Tanfield Mill</t>
  </si>
  <si>
    <t>Tata Chemicals Europe</t>
  </si>
  <si>
    <t>Tata Steel UK Limited</t>
  </si>
  <si>
    <t>Tesco Stores Ltd</t>
  </si>
  <si>
    <t>Tesla Motors Netherlands B.V.</t>
  </si>
  <si>
    <t>Thames Water Utilities Limited</t>
  </si>
  <si>
    <t>The Greenspan Agency Limited</t>
  </si>
  <si>
    <t>Thrive Renewables PLC</t>
  </si>
  <si>
    <t>Toucan Energy Services Ltd (part of Greencoat)</t>
  </si>
  <si>
    <t>Uniper Renewables GmbH</t>
  </si>
  <si>
    <t>UPM-Kymmene (UK) Ltd</t>
  </si>
  <si>
    <t>Velox Power Ltd (now Flexitricity)</t>
  </si>
  <si>
    <t>Vento Ludens</t>
  </si>
  <si>
    <t>Veolia ES (UK) Limited</t>
  </si>
  <si>
    <t>Viridis Energy (Norgen) Limited (Old, now Velox Power)</t>
  </si>
  <si>
    <t>Viridor Energy Limited</t>
  </si>
  <si>
    <t>Vodafone Ltd</t>
  </si>
  <si>
    <t>Voltalia UK Ltd</t>
  </si>
  <si>
    <t>VPI Immingham LLP</t>
  </si>
  <si>
    <t>Warrington Borough Council </t>
  </si>
  <si>
    <t>Warwick Energy</t>
  </si>
  <si>
    <t>Westmill Wind Farm</t>
  </si>
  <si>
    <t>Wind 2 Limited</t>
  </si>
  <si>
    <t>Windcluster 2000 Ltd</t>
  </si>
  <si>
    <t>WKN Group</t>
  </si>
  <si>
    <t>Xceco Ltd</t>
  </si>
  <si>
    <t>YnNi Teg</t>
  </si>
  <si>
    <t>Zenic Energy</t>
  </si>
  <si>
    <t xml:space="preserve">100 Green </t>
  </si>
  <si>
    <t>3i Infrastructure</t>
  </si>
  <si>
    <t>ACP I Shareco Ltd</t>
  </si>
  <si>
    <t>Affinity Water Limited</t>
  </si>
  <si>
    <t>Alder Energy Ltd</t>
  </si>
  <si>
    <t>AMPYR</t>
  </si>
  <si>
    <t>Anglo Renewables Ltd</t>
  </si>
  <si>
    <t>Antin</t>
  </si>
  <si>
    <t>BAE Systems plc</t>
  </si>
  <si>
    <t>Balance Power Limited</t>
  </si>
  <si>
    <t>Barrow Green Gas</t>
  </si>
  <si>
    <t>Belectric Solar</t>
  </si>
  <si>
    <t xml:space="preserve">Believ </t>
  </si>
  <si>
    <t>Bioenergy Infrastructure</t>
  </si>
  <si>
    <t>Boost</t>
  </si>
  <si>
    <t>Brookfield Asset Management</t>
  </si>
  <si>
    <t>Capital Dynamics</t>
  </si>
  <si>
    <t>Cemex UK</t>
  </si>
  <si>
    <t>Champion Energy</t>
  </si>
  <si>
    <t>Cheesecake Energy Ltd</t>
  </si>
  <si>
    <t>Clean Energy Capital</t>
  </si>
  <si>
    <t>Clear Business</t>
  </si>
  <si>
    <t>Community Energy Twemlows CIC</t>
  </si>
  <si>
    <t>Constellation Generation Limited</t>
  </si>
  <si>
    <t>Danske Commodities</t>
  </si>
  <si>
    <t>Dataglow Energy</t>
  </si>
  <si>
    <t>Downing LLP</t>
  </si>
  <si>
    <t>Dwr Cymru Welsh Water</t>
  </si>
  <si>
    <t>Ebico Trading Limited</t>
  </si>
  <si>
    <t>Ecotricity Generation</t>
  </si>
  <si>
    <t>Ecovision</t>
  </si>
  <si>
    <t>Egg Power</t>
  </si>
  <si>
    <t>Eku Energy Ltd</t>
  </si>
  <si>
    <t>ElectroRoute Market Access Limited</t>
  </si>
  <si>
    <t>Elgin Energy</t>
  </si>
  <si>
    <t>Energy Power Resources Limited</t>
  </si>
  <si>
    <t>Enfinium Ltd</t>
  </si>
  <si>
    <t xml:space="preserve">Eni </t>
  </si>
  <si>
    <t>Enso Green</t>
  </si>
  <si>
    <t>EQT</t>
  </si>
  <si>
    <t>Equans</t>
  </si>
  <si>
    <t>ESB Asset Development UK Ltd</t>
  </si>
  <si>
    <t>ESB Trading Limited</t>
  </si>
  <si>
    <t>Exagen Group Ltd</t>
  </si>
  <si>
    <t>Federated Hermes</t>
  </si>
  <si>
    <t>Field Energy</t>
  </si>
  <si>
    <t>First Mile Energy</t>
  </si>
  <si>
    <t>Five Guys</t>
  </si>
  <si>
    <t xml:space="preserve">Fortum </t>
  </si>
  <si>
    <t>Fuse Energy</t>
  </si>
  <si>
    <t>Genesis Energy Ltd</t>
  </si>
  <si>
    <t>Great British Energy Group Limited</t>
  </si>
  <si>
    <t>Green Energy &amp; Storage Systems</t>
  </si>
  <si>
    <t>Gren Energy Ltd</t>
  </si>
  <si>
    <t>GREnergy Ltd</t>
  </si>
  <si>
    <t>Gresham House Asset Management Limited</t>
  </si>
  <si>
    <t>H&amp;MV Engineering</t>
  </si>
  <si>
    <t>Harmony Energy Limited</t>
  </si>
  <si>
    <t>Hero Future Energies Global Limited</t>
  </si>
  <si>
    <t>Home Energy</t>
  </si>
  <si>
    <t>Honda</t>
  </si>
  <si>
    <t>Huddle</t>
  </si>
  <si>
    <t>Infracapital</t>
  </si>
  <si>
    <t>InfraRed Capital Partners</t>
  </si>
  <si>
    <t>Integrum Renewable Energy</t>
  </si>
  <si>
    <t>InterGen (UK) Ltd</t>
  </si>
  <si>
    <t>Investec Bank plc</t>
  </si>
  <si>
    <t>Iona Capital Ltd</t>
  </si>
  <si>
    <t>Isquared Capital</t>
  </si>
  <si>
    <t>J G Pears Holdings (Jersey) Ltd</t>
  </si>
  <si>
    <t>Jellyfish Energy</t>
  </si>
  <si>
    <t>KKR</t>
  </si>
  <si>
    <t>Koehler Renewable Energy UK</t>
  </si>
  <si>
    <t>Landmark Power Holdings Ltd</t>
  </si>
  <si>
    <t>Liberty Charge Limited T/a Believ</t>
  </si>
  <si>
    <t>Mainstream Renewable Power</t>
  </si>
  <si>
    <t>Maxen Power</t>
  </si>
  <si>
    <t>Mer Charging UK Ltd</t>
  </si>
  <si>
    <t>MGT Teesside</t>
  </si>
  <si>
    <t>Moray Offshore Wind West Ltd.</t>
  </si>
  <si>
    <t>Motability Operations</t>
  </si>
  <si>
    <t>Moto Hospitality Ltd</t>
  </si>
  <si>
    <t>MUFG</t>
  </si>
  <si>
    <t>National Gas</t>
  </si>
  <si>
    <t>National Grid PLC</t>
  </si>
  <si>
    <t>Niccolo</t>
  </si>
  <si>
    <t>Noriker</t>
  </si>
  <si>
    <t>Nuon Renewables</t>
  </si>
  <si>
    <t>Offshore Wind Power Limited</t>
  </si>
  <si>
    <t>Ofgem</t>
  </si>
  <si>
    <t>Ohme Operations UK Ltd</t>
  </si>
  <si>
    <t>One Utility Bill</t>
  </si>
  <si>
    <t>Opal Utilities</t>
  </si>
  <si>
    <t>Orit UK Acquisitions (Octopus)</t>
  </si>
  <si>
    <t>Osso Energy</t>
  </si>
  <si>
    <t>Outfox the Market</t>
  </si>
  <si>
    <t>PE</t>
  </si>
  <si>
    <t>Peel Land and Property Group Management Ltd</t>
  </si>
  <si>
    <t>Peel NRE Developments Ltd</t>
  </si>
  <si>
    <t>Pennant Walters</t>
  </si>
  <si>
    <t>Penso Power</t>
  </si>
  <si>
    <t>PNE AG</t>
  </si>
  <si>
    <t>Point and Sandwick Trust</t>
  </si>
  <si>
    <t>Port of Tilbury London Ltd</t>
  </si>
  <si>
    <t>Power Circle Projects Ltd</t>
  </si>
  <si>
    <t>Project Solar</t>
  </si>
  <si>
    <t>Pure Energy Professionals</t>
  </si>
  <si>
    <t>Q Energy Europe</t>
  </si>
  <si>
    <t>Quality Technologies Services (Datacentre)</t>
  </si>
  <si>
    <t>Quarry Battery Company</t>
  </si>
  <si>
    <t>Qwest Energy</t>
  </si>
  <si>
    <t>Rebel Energy</t>
  </si>
  <si>
    <t>Regent Gas</t>
  </si>
  <si>
    <t>Renewables Infrastructure Group</t>
  </si>
  <si>
    <t>Repowering London</t>
  </si>
  <si>
    <t>Repsol</t>
  </si>
  <si>
    <t>Roadchef</t>
  </si>
  <si>
    <t>Roar Power</t>
  </si>
  <si>
    <t>Roof UK Services</t>
  </si>
  <si>
    <t>Sainsbury’s Energy</t>
  </si>
  <si>
    <t>Savills (UK) Limited</t>
  </si>
  <si>
    <t>Scottish Water Ltd</t>
  </si>
  <si>
    <t>SES Water</t>
  </si>
  <si>
    <t>Simec</t>
  </si>
  <si>
    <t>Simple Gas &amp; Power</t>
  </si>
  <si>
    <t>SNRG Ltd</t>
  </si>
  <si>
    <t>Solivus</t>
  </si>
  <si>
    <t>South Shields FC Ltd</t>
  </si>
  <si>
    <t>Split the Bills</t>
  </si>
  <si>
    <t>Statera Energy Limited</t>
  </si>
  <si>
    <t>Sustain Commercial Solar</t>
  </si>
  <si>
    <t>Tag Energy SA</t>
  </si>
  <si>
    <t>The Scottish Government</t>
  </si>
  <si>
    <t>Trailstone UK Limited</t>
  </si>
  <si>
    <t>Transport for London</t>
  </si>
  <si>
    <t>TRIG</t>
  </si>
  <si>
    <t>truEnergy</t>
  </si>
  <si>
    <t>Tulo Energy</t>
  </si>
  <si>
    <t>Tungsten West PLC, c/o Drakelands Restoration Limited</t>
  </si>
  <si>
    <t>Uniper Global Commodities SE</t>
  </si>
  <si>
    <t>United Utilities Water Limited</t>
  </si>
  <si>
    <t>UrbanChain Ltd</t>
  </si>
  <si>
    <t>Vitol</t>
  </si>
  <si>
    <t>Warrington Renewables</t>
  </si>
  <si>
    <t>Wartsila Corporation</t>
  </si>
  <si>
    <t>Wessex Water</t>
  </si>
  <si>
    <t>WM Morrison Supermarkets Limited</t>
  </si>
  <si>
    <t>Yorkshire Water Services Limited</t>
  </si>
  <si>
    <t>Zenobe Energy Limited</t>
  </si>
  <si>
    <t>Abbey Power Group Limited</t>
  </si>
  <si>
    <t>Abei Energy</t>
  </si>
  <si>
    <t>ABO Wind Ltd</t>
  </si>
  <si>
    <t>Acorn Peach Energy</t>
  </si>
  <si>
    <t>Adaptogen Capital Ltd</t>
  </si>
  <si>
    <t>AES</t>
  </si>
  <si>
    <t>Alight Energy</t>
  </si>
  <si>
    <t>Amber Fusion</t>
  </si>
  <si>
    <t>Amerenco Solar Projects</t>
  </si>
  <si>
    <t>Apatura</t>
  </si>
  <si>
    <t>Arise Renewable Energy</t>
  </si>
  <si>
    <t>Atrato Onsite Energy</t>
  </si>
  <si>
    <t>Aukera UK Limited</t>
  </si>
  <si>
    <t>Averon Park (Foresight)</t>
  </si>
  <si>
    <t>Bagnall Energy (Downing)</t>
  </si>
  <si>
    <t>Beaufort Energy</t>
  </si>
  <si>
    <t>Belltown Power UK</t>
  </si>
  <si>
    <t>Bia Power</t>
  </si>
  <si>
    <t>Biosus Energy</t>
  </si>
  <si>
    <t>BLC Energy Ltd</t>
  </si>
  <si>
    <t>Bluefloat Energy (Nadara)</t>
  </si>
  <si>
    <t>BNRG Renewables</t>
  </si>
  <si>
    <t>Boom Power Ltd</t>
  </si>
  <si>
    <t>Bristol Community Energy</t>
  </si>
  <si>
    <t>Bulwell Energy Limited</t>
  </si>
  <si>
    <t>BW Ideol/BW Offshore</t>
  </si>
  <si>
    <t>Cambridgeshire County Council</t>
  </si>
  <si>
    <t>Canadian Solar</t>
  </si>
  <si>
    <t>Carlton Power Limited</t>
  </si>
  <si>
    <t>CBRE Group</t>
  </si>
  <si>
    <t>Centreco</t>
  </si>
  <si>
    <t>Cheshire Renewables (Electrical) Ltd</t>
  </si>
  <si>
    <t>Chint Solar</t>
  </si>
  <si>
    <t>Clearstone Energy</t>
  </si>
  <si>
    <t>Community Windpower</t>
  </si>
  <si>
    <t>Constantine Energy Storage LLP</t>
  </si>
  <si>
    <t>Corio Generation</t>
  </si>
  <si>
    <t>CRF Hydropower</t>
  </si>
  <si>
    <t>CSM Energy</t>
  </si>
  <si>
    <t>CWP Energy</t>
  </si>
  <si>
    <t>Decerna Energy</t>
  </si>
  <si>
    <t>Denham Sustainable Infra Management LP</t>
  </si>
  <si>
    <t>Eden Solar</t>
  </si>
  <si>
    <t>Elements Green</t>
  </si>
  <si>
    <t>Ellergreen Hydro</t>
  </si>
  <si>
    <t>Elm Solar</t>
  </si>
  <si>
    <t>Elm Trading</t>
  </si>
  <si>
    <t>Elmya Energy</t>
  </si>
  <si>
    <t>Endurance Energy</t>
  </si>
  <si>
    <t>Energy24 Limited ACCOUNT PX GROUP LIMITED</t>
  </si>
  <si>
    <t>Ennoviga Solar</t>
  </si>
  <si>
    <t>Enviroparks Operations</t>
  </si>
  <si>
    <t>EPH Ltd</t>
  </si>
  <si>
    <t>Epsilon Generation</t>
  </si>
  <si>
    <t>Erova Energy Limited</t>
  </si>
  <si>
    <t>ESF Energy</t>
  </si>
  <si>
    <t>Evolution Power</t>
  </si>
  <si>
    <t>Fig Power</t>
  </si>
  <si>
    <t>First Hydro</t>
  </si>
  <si>
    <t>Flexitricity Limited</t>
  </si>
  <si>
    <t>Footprint Zero</t>
  </si>
  <si>
    <t>Forepower</t>
  </si>
  <si>
    <t>Foster Turner Hydro</t>
  </si>
  <si>
    <t>Furlong Renewable Energy Developments</t>
  </si>
  <si>
    <t>Geocore Ltd</t>
  </si>
  <si>
    <t>Get Volter Ltd</t>
  </si>
  <si>
    <t>Getricity</t>
  </si>
  <si>
    <t>Goldman Sachs International</t>
  </si>
  <si>
    <t>Gore Street</t>
  </si>
  <si>
    <t>Grangemouth Renewable Energy</t>
  </si>
  <si>
    <t>Green Nation Energy</t>
  </si>
  <si>
    <t>Greenfield Energy Developments</t>
  </si>
  <si>
    <t>GreenPower International</t>
  </si>
  <si>
    <t>Greentech Projects Holding UK</t>
  </si>
  <si>
    <t>GRYD (solar)</t>
  </si>
  <si>
    <t>Gülermak Renewables Ltd</t>
  </si>
  <si>
    <t>Gulf Energy Development</t>
  </si>
  <si>
    <t>HDM Energies</t>
  </si>
  <si>
    <t>Hive Energy</t>
  </si>
  <si>
    <t>HZ Power Limited</t>
  </si>
  <si>
    <t>Ikaros Solar Projects</t>
  </si>
  <si>
    <t>ILOS New Energy UK</t>
  </si>
  <si>
    <t>Impact Services</t>
  </si>
  <si>
    <t>Infinergy</t>
  </si>
  <si>
    <t>Infinis Energy Management Limited</t>
  </si>
  <si>
    <t>Infinis Energy Services Limited</t>
  </si>
  <si>
    <t>Infra Balance New Energy Limited</t>
  </si>
  <si>
    <t>Innasol Super Power One</t>
  </si>
  <si>
    <t xml:space="preserve">Innovo Group </t>
  </si>
  <si>
    <t>Ion Ventures</t>
  </si>
  <si>
    <t>Island Green Power</t>
  </si>
  <si>
    <t>Jlen Environmental Assets</t>
  </si>
  <si>
    <t>Kensa Group</t>
  </si>
  <si>
    <t>Kona Energy</t>
  </si>
  <si>
    <t>Lightrock Power Limited</t>
  </si>
  <si>
    <t>Low Carbon Contracts Company Ltd</t>
  </si>
  <si>
    <t>Mace Group Limited</t>
  </si>
  <si>
    <t>Marchwood Power</t>
  </si>
  <si>
    <t>Marubeni Europe Limited</t>
  </si>
  <si>
    <t>MBC Renewables</t>
  </si>
  <si>
    <t>Mercia Power Response</t>
  </si>
  <si>
    <t>Meygen Plc</t>
  </si>
  <si>
    <t>Mor Energy Limited</t>
  </si>
  <si>
    <t>Muriden Energy</t>
  </si>
  <si>
    <t>Namene Solar</t>
  </si>
  <si>
    <t>Natural Power</t>
  </si>
  <si>
    <t>Njord Energy</t>
  </si>
  <si>
    <t>Nofar</t>
  </si>
  <si>
    <t>Novus Renewables</t>
  </si>
  <si>
    <t>Octo Partners</t>
  </si>
  <si>
    <t>Omka Energy</t>
  </si>
  <si>
    <t>OPDE UK Limited</t>
  </si>
  <si>
    <t>Orbital Marine Power</t>
  </si>
  <si>
    <t>Padero Solar</t>
  </si>
  <si>
    <t>Pathfinder Clean Energy (PACE)</t>
  </si>
  <si>
    <t>Pennon Power Limited</t>
  </si>
  <si>
    <t>Pension Infrastructure Platform (Foresight)</t>
  </si>
  <si>
    <t>Peridot Solar</t>
  </si>
  <si>
    <t>PhotoVolt Development Partners</t>
  </si>
  <si>
    <t>Private Energy Partners</t>
  </si>
  <si>
    <t>Project Better Energy</t>
  </si>
  <si>
    <t>PS Renewables</t>
  </si>
  <si>
    <t>Pulse Clean Energy</t>
  </si>
  <si>
    <t>Push Energy Ltd</t>
  </si>
  <si>
    <t>QE Development</t>
  </si>
  <si>
    <t>R&amp;S Energy</t>
  </si>
  <si>
    <t>Recurrent Energy (Canadian Solar)</t>
  </si>
  <si>
    <t>Renewable Connections</t>
  </si>
  <si>
    <t>Renewable Facilities Management Services</t>
  </si>
  <si>
    <t>Resonance Asset Management Ltd</t>
  </si>
  <si>
    <t>Resonance British Wind Energy Income Ltd</t>
  </si>
  <si>
    <t>SAE Renewables</t>
  </si>
  <si>
    <t>Scala Renewables Group</t>
  </si>
  <si>
    <t>Seabank Power Ltd</t>
  </si>
  <si>
    <t>Sembcorp Energy UK Ltd</t>
  </si>
  <si>
    <t>Shawton Energy</t>
  </si>
  <si>
    <t>Smart Energy (GB) Ltd</t>
  </si>
  <si>
    <t>Solar2</t>
  </si>
  <si>
    <t>Solarfive</t>
  </si>
  <si>
    <t>Soundmark Wind Ltd.</t>
  </si>
  <si>
    <t>South London Waste Partnership</t>
  </si>
  <si>
    <t>Spencer Group</t>
  </si>
  <si>
    <t>Sun4net Ltd</t>
  </si>
  <si>
    <t>Sunnica Limited</t>
  </si>
  <si>
    <t>Sutton and East Surrey Water</t>
  </si>
  <si>
    <t>SWB Power</t>
  </si>
  <si>
    <t>The Low Carbon Energy Company</t>
  </si>
  <si>
    <t>Thistle Wind Partners</t>
  </si>
  <si>
    <t>Trinzic Operations</t>
  </si>
  <si>
    <t>True Green Capital</t>
  </si>
  <si>
    <t>Two Blues Solar</t>
  </si>
  <si>
    <t>Utility Point UK Limited</t>
  </si>
  <si>
    <t>Venaticus Ltd</t>
  </si>
  <si>
    <t>Verdant Energy</t>
  </si>
  <si>
    <t>Vestas Northern Europe</t>
  </si>
  <si>
    <t>Voltis Power</t>
  </si>
  <si>
    <t>Weiss Asset Management</t>
  </si>
  <si>
    <t>Wessex Solar Power</t>
  </si>
  <si>
    <t>West Garty Renewables</t>
  </si>
  <si>
    <t>Windel Energy</t>
  </si>
  <si>
    <t>Ylem Energy Limited</t>
  </si>
  <si>
    <t>Zeigo</t>
  </si>
  <si>
    <t>Zestec Asset Management</t>
  </si>
  <si>
    <t>Aggregate Industries UK Limited</t>
  </si>
  <si>
    <t>Air Products Public Limited Company</t>
  </si>
  <si>
    <t>Airbus Operations Limited</t>
  </si>
  <si>
    <t>Aldi Supermakets</t>
  </si>
  <si>
    <t>alfanar Energy Ltd</t>
  </si>
  <si>
    <t>Allen Diesels</t>
  </si>
  <si>
    <t>Amazon</t>
  </si>
  <si>
    <t>Amber Infrastructure</t>
  </si>
  <si>
    <t>AMP Energy Services Limited</t>
  </si>
  <si>
    <t>Anhauser Busch InBev UK Limited</t>
  </si>
  <si>
    <t>AP Wireless</t>
  </si>
  <si>
    <t>Apax Partners</t>
  </si>
  <si>
    <t>Aptiv Plc</t>
  </si>
  <si>
    <t>Arcus European Investment Manager LLP</t>
  </si>
  <si>
    <t>Arcus Infrastructure</t>
  </si>
  <si>
    <t>Ardagh Glass Limited</t>
  </si>
  <si>
    <t>Arenko Cleantech Limited</t>
  </si>
  <si>
    <t>Arla Foods UK PLC</t>
  </si>
  <si>
    <t>Arqiva Limited</t>
  </si>
  <si>
    <t>ASDA Stores Limited</t>
  </si>
  <si>
    <t>Associated British Foods Plc</t>
  </si>
  <si>
    <t>Aston Martin Lagonda Global Holdings Group</t>
  </si>
  <si>
    <t>Astra Zeneca Plc</t>
  </si>
  <si>
    <t>Balfour Beatty</t>
  </si>
  <si>
    <t>Bard Midco Ltd (Bourne Leisure Holdings)</t>
  </si>
  <si>
    <t>BBC (UK) LTD</t>
  </si>
  <si>
    <t>Blackstone</t>
  </si>
  <si>
    <t>BMW (UK) Manufacturing Limited</t>
  </si>
  <si>
    <t>Boots UK Limited</t>
  </si>
  <si>
    <t>Bristol Water</t>
  </si>
  <si>
    <t>British Airways</t>
  </si>
  <si>
    <t>British Amercian Tobacco</t>
  </si>
  <si>
    <t>British Sugar</t>
  </si>
  <si>
    <t>Britvic</t>
  </si>
  <si>
    <t>BSkyB</t>
  </si>
  <si>
    <t>Business Growth Fund</t>
  </si>
  <si>
    <t>Cable and Wireless Worldwide</t>
  </si>
  <si>
    <t>Cambridge Power</t>
  </si>
  <si>
    <t>Cargill Plc</t>
  </si>
  <si>
    <t>Celsa Steel</t>
  </si>
  <si>
    <t>CF Fertilisers UK Ltd (Formally Grow How, Terra Nitrogen (UK) Ltd)</t>
  </si>
  <si>
    <t>Chevron Limited</t>
  </si>
  <si>
    <t>Coca Cola Europacific Partners Plc (CCEP)</t>
  </si>
  <si>
    <t>Cory Energy</t>
  </si>
  <si>
    <t>Diageo Group</t>
  </si>
  <si>
    <t>Digital Realty</t>
  </si>
  <si>
    <t>Doosan Babcock</t>
  </si>
  <si>
    <t>DP World</t>
  </si>
  <si>
    <t xml:space="preserve">DS Smith Packaging </t>
  </si>
  <si>
    <t>Dunlop Heywood</t>
  </si>
  <si>
    <t>Eelpower</t>
  </si>
  <si>
    <t>Element Energy</t>
  </si>
  <si>
    <t>Ellwood Energy</t>
  </si>
  <si>
    <t>Encyclis</t>
  </si>
  <si>
    <t>ESG Global (Energy). Ltd</t>
  </si>
  <si>
    <t>Exergy3</t>
  </si>
  <si>
    <t>ExxonMobil Chemical Ltd</t>
  </si>
  <si>
    <t>Ford Motor Company Limited</t>
  </si>
  <si>
    <t>Forsa Energy Gas Holdings Ltd</t>
  </si>
  <si>
    <t>Frontier Power</t>
  </si>
  <si>
    <t>General Motors Limited</t>
  </si>
  <si>
    <t>Generali Investments (Sosteneo)</t>
  </si>
  <si>
    <t>Generate UK</t>
  </si>
  <si>
    <t>GlaxoSmithKline plc</t>
  </si>
  <si>
    <t>Google UK Limited</t>
  </si>
  <si>
    <t>Greene King</t>
  </si>
  <si>
    <t>Greenspan Energy</t>
  </si>
  <si>
    <t>Greggs plc</t>
  </si>
  <si>
    <t>Gresham House Strategic plc</t>
  </si>
  <si>
    <t>Gresham Private Equity</t>
  </si>
  <si>
    <t>Gronn Kontakt (Statkraft)</t>
  </si>
  <si>
    <t>H&amp;M</t>
  </si>
  <si>
    <t>Haleon</t>
  </si>
  <si>
    <t>Heidelberg Cement Ltd</t>
  </si>
  <si>
    <t xml:space="preserve">Heineken </t>
  </si>
  <si>
    <t>Highview Power</t>
  </si>
  <si>
    <t>Holmsleigh Limited</t>
  </si>
  <si>
    <t>House of Fraser Group (Frasers Group)</t>
  </si>
  <si>
    <t>Hutchinson Ports</t>
  </si>
  <si>
    <t>Hydrock</t>
  </si>
  <si>
    <t>IBM United Kingdom Ltd</t>
  </si>
  <si>
    <t>Iceland Foods Ltd</t>
  </si>
  <si>
    <t>Imerys Minerals Ltd</t>
  </si>
  <si>
    <t>Impax Asset Management</t>
  </si>
  <si>
    <t>Imperial Tobacco</t>
  </si>
  <si>
    <t>Industrie Cartarie Tronchetti</t>
  </si>
  <si>
    <t>Ineos Chlor Limited</t>
  </si>
  <si>
    <t>ITM Power</t>
  </si>
  <si>
    <t>ITV PLC</t>
  </si>
  <si>
    <t>J.C. Bamford (JCB)</t>
  </si>
  <si>
    <t>Jaguar Land Rover Ltd</t>
  </si>
  <si>
    <t>John Laing Capital/ Investment</t>
  </si>
  <si>
    <t>John Lewis Partnership PLC (incl Waitrose)</t>
  </si>
  <si>
    <t>Johnson Matthey</t>
  </si>
  <si>
    <t>Kimberly-Clark Ltd</t>
  </si>
  <si>
    <t>Kingfisher (B&amp;Q)</t>
  </si>
  <si>
    <t>Kraft Heinz UK</t>
  </si>
  <si>
    <t>LandSec</t>
  </si>
  <si>
    <t>Legal &amp; General Capital Investments Limited</t>
  </si>
  <si>
    <t>Lidl Great Britain</t>
  </si>
  <si>
    <t>Limejump Energy Limited (Shell)</t>
  </si>
  <si>
    <t>Lloyds Development Capital</t>
  </si>
  <si>
    <t>London Gatwick Airport (Ivy Holdco)</t>
  </si>
  <si>
    <t>London Heathrow Airport</t>
  </si>
  <si>
    <t>Lunar Energy Limited</t>
  </si>
  <si>
    <t>M&amp;G</t>
  </si>
  <si>
    <t>Marks &amp; Spencer Group plc</t>
  </si>
  <si>
    <t>Marriott Hotels</t>
  </si>
  <si>
    <t>McDonald's Restaurants Limited</t>
  </si>
  <si>
    <t>McLaren Group Limited</t>
  </si>
  <si>
    <t>MFT Energy A/S</t>
  </si>
  <si>
    <t>Molson Coors</t>
  </si>
  <si>
    <t>Morrisons Supermarkets</t>
  </si>
  <si>
    <t>National Grid Electricity Distribution plc</t>
  </si>
  <si>
    <t>National Grid Electricity Transmission</t>
  </si>
  <si>
    <t>Nestle UK Ltd</t>
  </si>
  <si>
    <t>Network Rail Infrastructure Ltd</t>
  </si>
  <si>
    <t>New Look</t>
  </si>
  <si>
    <t>Next Group Plc</t>
  </si>
  <si>
    <t>Nissan Motor Manufacturing (UK) Ltd</t>
  </si>
  <si>
    <t xml:space="preserve">NORD/LB </t>
  </si>
  <si>
    <t>Northumbrian Water Limited</t>
  </si>
  <si>
    <t>NTT</t>
  </si>
  <si>
    <t>Ocado</t>
  </si>
  <si>
    <t>Origami Energy Limited</t>
  </si>
  <si>
    <t>Outokumpu Stainless Limited</t>
  </si>
  <si>
    <t>Peak Gen Top Co Limited</t>
  </si>
  <si>
    <t>Pelagic Energy Developments Ltd</t>
  </si>
  <si>
    <t>Pilkington United Kingdom Ltd</t>
  </si>
  <si>
    <t>Pinewood Group Limited</t>
  </si>
  <si>
    <t>Port of Tyne Group</t>
  </si>
  <si>
    <t>Premier Foods Group Limited</t>
  </si>
  <si>
    <t>Pulsant Ltd.</t>
  </si>
  <si>
    <t>Quinbrook Infrastructure</t>
  </si>
  <si>
    <t>Reckitt Benckiser (Reckitt)</t>
  </si>
  <si>
    <t>Retail Energy Code Company Limited</t>
  </si>
  <si>
    <t>Roaring Hill Energy Storage</t>
  </si>
  <si>
    <t>Rolls Royce plc</t>
  </si>
  <si>
    <t>Royal Mail Group Plc</t>
  </si>
  <si>
    <t>Sabic UK Petrochemicals Limited</t>
  </si>
  <si>
    <t>Sainsbury's Supermarkets Ltd</t>
  </si>
  <si>
    <t>Saint Gobain</t>
  </si>
  <si>
    <t>Sellindge Grid Services Ltd.</t>
  </si>
  <si>
    <t>Serco</t>
  </si>
  <si>
    <t>Sheaf Energy Limited</t>
  </si>
  <si>
    <t>Shinhan Bank</t>
  </si>
  <si>
    <t>Siccar Point Energy</t>
  </si>
  <si>
    <t>SMS Energy (BESS)</t>
  </si>
  <si>
    <t>South West Water Limited</t>
  </si>
  <si>
    <t>Stag Energy</t>
  </si>
  <si>
    <t>Still Waters</t>
  </si>
  <si>
    <t>STOR Power Ltd</t>
  </si>
  <si>
    <t>Storegga Hydrogen</t>
  </si>
  <si>
    <t>Superdrug (part of A.S. Watson)</t>
  </si>
  <si>
    <t>Susi Partners</t>
  </si>
  <si>
    <t>Tarmac Ltd</t>
  </si>
  <si>
    <t>Telehouse</t>
  </si>
  <si>
    <t>Telstra UK</t>
  </si>
  <si>
    <t>Tetragen Holdings Ltd.</t>
  </si>
  <si>
    <t xml:space="preserve">Tfl London Underground Limited </t>
  </si>
  <si>
    <t>T-Mobile (UK) Retail Ltd</t>
  </si>
  <si>
    <t>Tollgate Energy Storage Ltd.</t>
  </si>
  <si>
    <t>Toyota Motor Manufacturing UK Limited</t>
  </si>
  <si>
    <t>TradeBe Fawley</t>
  </si>
  <si>
    <t>Travelodge Hotels</t>
  </si>
  <si>
    <t>Travis Perkins Trading Co Ltd</t>
  </si>
  <si>
    <t>UK Packaging Suppliers</t>
  </si>
  <si>
    <t>UK Power Reserve</t>
  </si>
  <si>
    <t>Unilever Plc</t>
  </si>
  <si>
    <t>United Biscuits</t>
  </si>
  <si>
    <t>Unlimited Green Energy Corporation</t>
  </si>
  <si>
    <t>Urban Reserve</t>
  </si>
  <si>
    <t>Vantage Data Centres</t>
  </si>
  <si>
    <t>Vauxhall Motors Limited</t>
  </si>
  <si>
    <t>Verizon</t>
  </si>
  <si>
    <t>Victory Hill</t>
  </si>
  <si>
    <t>Viotas Ltd</t>
  </si>
  <si>
    <t>Virgin Media O2 UK Ltd</t>
  </si>
  <si>
    <t>Virtus Holdco Limited</t>
  </si>
  <si>
    <t>Warner Brothers Studios Leavesden</t>
  </si>
  <si>
    <t>Wattstor</t>
  </si>
  <si>
    <t>Welsh Water</t>
  </si>
  <si>
    <t>West Burton Energy</t>
  </si>
  <si>
    <t>WH Smith</t>
  </si>
  <si>
    <t>Whitbread Group plc</t>
  </si>
  <si>
    <t>Zara</t>
  </si>
  <si>
    <t>Aldustria</t>
  </si>
  <si>
    <t>Alstom Power Ltd</t>
  </si>
  <si>
    <t>Amber Energy Solutions Ltd</t>
  </si>
  <si>
    <t>Ameresco Limited</t>
  </si>
  <si>
    <t>AMEY</t>
  </si>
  <si>
    <t>Aquila Capital</t>
  </si>
  <si>
    <t>Atmosfuture</t>
  </si>
  <si>
    <t xml:space="preserve">Audi </t>
  </si>
  <si>
    <t>Barclays Bank PLC</t>
  </si>
  <si>
    <t>Barking Power Ltd</t>
  </si>
  <si>
    <t>Bionic</t>
  </si>
  <si>
    <t>Biosouth Limited</t>
  </si>
  <si>
    <t>Blackfinch</t>
  </si>
  <si>
    <t>BP Pulse</t>
  </si>
  <si>
    <t>Brevan Howard</t>
  </si>
  <si>
    <t>C.gen Power</t>
  </si>
  <si>
    <t>Calisen Group</t>
  </si>
  <si>
    <t>Calvin Asset Management Limited</t>
  </si>
  <si>
    <t>Capbal</t>
  </si>
  <si>
    <t>Carbon Clean</t>
  </si>
  <si>
    <t>Carlton Energy</t>
  </si>
  <si>
    <t>Carter Jonas</t>
  </si>
  <si>
    <t>Ceres Power Holdings</t>
  </si>
  <si>
    <t>Chinook Urban Mining Limited</t>
  </si>
  <si>
    <t>Clarke Energy Limited</t>
  </si>
  <si>
    <t>Committee on Climate Change</t>
  </si>
  <si>
    <t>Connected Kerb</t>
  </si>
  <si>
    <t>Consultus International UK (The Energy Brokers) Limited</t>
  </si>
  <si>
    <t>Cubico Sustainable Investments</t>
  </si>
  <si>
    <t>Dale Power Solutions</t>
  </si>
  <si>
    <t>DORE Hold Co</t>
  </si>
  <si>
    <t>Econergy</t>
  </si>
  <si>
    <t>Eider Reserve Power</t>
  </si>
  <si>
    <t>Enel Global Trading</t>
  </si>
  <si>
    <t>Enel X UK Limited</t>
  </si>
  <si>
    <t xml:space="preserve">Fastned </t>
  </si>
  <si>
    <t xml:space="preserve">GeniePoint </t>
  </si>
  <si>
    <t>Gentrack UK Limited</t>
  </si>
  <si>
    <t>GridBeyond</t>
  </si>
  <si>
    <t>Guiness Asset Management</t>
  </si>
  <si>
    <t>Hitachi Europe Limited</t>
  </si>
  <si>
    <t>HM Treasury</t>
  </si>
  <si>
    <t>Huaneng</t>
  </si>
  <si>
    <t>Huck Capital</t>
  </si>
  <si>
    <t>Imserv Europe Limited</t>
  </si>
  <si>
    <t>Inspired PLC</t>
  </si>
  <si>
    <t xml:space="preserve">Instavolt </t>
  </si>
  <si>
    <t>Kaluza</t>
  </si>
  <si>
    <t>KX Power</t>
  </si>
  <si>
    <t>Last Energy (nuclear)</t>
  </si>
  <si>
    <t>LG Energy Group Limited</t>
  </si>
  <si>
    <t>Longspur Capital Ltd</t>
  </si>
  <si>
    <t>Mast Energy Developments</t>
  </si>
  <si>
    <t>Mitsui &amp; CO. Europe PLC</t>
  </si>
  <si>
    <t>National Gas Transmission Plc</t>
  </si>
  <si>
    <t>National Infrastructure &amp; Service Transformation Authority</t>
  </si>
  <si>
    <t>NatWest</t>
  </si>
  <si>
    <t>New Stream Generation Ltd</t>
  </si>
  <si>
    <t>NUS Consulting Group Limited</t>
  </si>
  <si>
    <t>Online Direct Limited</t>
  </si>
  <si>
    <t>Opium Power</t>
  </si>
  <si>
    <t>Osaka Gas Co. Ltd</t>
  </si>
  <si>
    <t xml:space="preserve">Osprey </t>
  </si>
  <si>
    <t>Pelham Storage Ltd.</t>
  </si>
  <si>
    <t>Pod Point (EDF)</t>
  </si>
  <si>
    <t>Qualitas Energy</t>
  </si>
  <si>
    <t>Rgreen Invest</t>
  </si>
  <si>
    <t>Rockerfeller Philanthropy Advisors Europe</t>
  </si>
  <si>
    <t>Santander</t>
  </si>
  <si>
    <t>Sedgwick Trading Ltd</t>
  </si>
  <si>
    <t xml:space="preserve">Shell Recharge </t>
  </si>
  <si>
    <t>ShipECO Marine Limited</t>
  </si>
  <si>
    <t>Siemens Plc</t>
  </si>
  <si>
    <t>Smart DCC Limited</t>
  </si>
  <si>
    <t>Smarter Business Limited</t>
  </si>
  <si>
    <t>Solos Power</t>
  </si>
  <si>
    <t>SSDC Opium Power</t>
  </si>
  <si>
    <t>Star Energy</t>
  </si>
  <si>
    <t>Stark Software International Limited</t>
  </si>
  <si>
    <t>Stellantis</t>
  </si>
  <si>
    <t>Sumisho Osaka Gas Water UK Limited</t>
  </si>
  <si>
    <t>Sustainability First</t>
  </si>
  <si>
    <t>Tenaga Investments UK Ltd</t>
  </si>
  <si>
    <t>Toshiba Mitsubishi Electrical Industrial Systems</t>
  </si>
  <si>
    <t>Triodos Bank UK Ltd</t>
  </si>
  <si>
    <t>Triton Power</t>
  </si>
  <si>
    <t>Ubitricity (Shell)</t>
  </si>
  <si>
    <t>Umbra Energy</t>
  </si>
  <si>
    <t>Utility Bidder</t>
  </si>
  <si>
    <t>Varco Energy</t>
  </si>
  <si>
    <t>Vest Energy</t>
  </si>
  <si>
    <t>Virgin Money</t>
  </si>
  <si>
    <t>W4B Renewable Energy</t>
  </si>
  <si>
    <t>WWS Developments (Shell)</t>
  </si>
  <si>
    <t>Wykes</t>
  </si>
  <si>
    <t>Zenergi Limited</t>
  </si>
  <si>
    <t>1ENERGY Group Ltd</t>
  </si>
  <si>
    <t>Aberdeen Standard</t>
  </si>
  <si>
    <t>Accenture (UK) Ltd</t>
  </si>
  <si>
    <t>Admiral Group Plc</t>
  </si>
  <si>
    <t>Advantage Utilities</t>
  </si>
  <si>
    <t>AIB Group UK</t>
  </si>
  <si>
    <t>Alfa Energy Ltd (Trio)</t>
  </si>
  <si>
    <t xml:space="preserve">Alfa Power </t>
  </si>
  <si>
    <t xml:space="preserve">Allego </t>
  </si>
  <si>
    <t>AMP Capital Investors</t>
  </si>
  <si>
    <t>Apple Tree Value Solutions Limited</t>
  </si>
  <si>
    <t>Artıbir Grup</t>
  </si>
  <si>
    <t>Aviva</t>
  </si>
  <si>
    <t>AXA</t>
  </si>
  <si>
    <t>Axa Insurance</t>
  </si>
  <si>
    <t xml:space="preserve">Be.EV </t>
  </si>
  <si>
    <t xml:space="preserve">BeCharge </t>
  </si>
  <si>
    <t>Black Sheep Utilities Ltd</t>
  </si>
  <si>
    <t xml:space="preserve">Blink </t>
  </si>
  <si>
    <t xml:space="preserve">Blue Current </t>
  </si>
  <si>
    <t>BMW</t>
  </si>
  <si>
    <t>Bouygues E&amp;S FM UK Limited</t>
  </si>
  <si>
    <t>Bregal Freshstream</t>
  </si>
  <si>
    <t>Burges Salmon</t>
  </si>
  <si>
    <t>Cadent Gas Limited</t>
  </si>
  <si>
    <t>Capgemini</t>
  </si>
  <si>
    <t>Car2Plug </t>
  </si>
  <si>
    <t>Castleton Commodities International (CCI)</t>
  </si>
  <si>
    <t>Catalyst Capital Partners</t>
  </si>
  <si>
    <t>Catalyst Commercial Services</t>
  </si>
  <si>
    <t>CGI IT UK Ltd</t>
  </si>
  <si>
    <t>Char.gy</t>
  </si>
  <si>
    <t>Charge My Street</t>
  </si>
  <si>
    <t>Charge UK</t>
  </si>
  <si>
    <t>Charge Up </t>
  </si>
  <si>
    <t xml:space="preserve">ChargePlace Scotland </t>
  </si>
  <si>
    <t xml:space="preserve">ChargePoint </t>
  </si>
  <si>
    <t>Clenergy EV</t>
  </si>
  <si>
    <t>Clyde &amp; Co LLP</t>
  </si>
  <si>
    <t>CMS Cameron McKenna Nabarro Olswang LLP</t>
  </si>
  <si>
    <t>Compare the Market</t>
  </si>
  <si>
    <t>Consultiv Utilities Ltd</t>
  </si>
  <si>
    <t>Correla Limited</t>
  </si>
  <si>
    <t>Cross Ocean Partners</t>
  </si>
  <si>
    <t>Crown Commercial Service</t>
  </si>
  <si>
    <t>DfT</t>
  </si>
  <si>
    <t>DLA Piper UK LLP</t>
  </si>
  <si>
    <t>Eastern Shires Purchasing Organisation</t>
  </si>
  <si>
    <t>EB Charging (Blink)</t>
  </si>
  <si>
    <t>Eclipse Power</t>
  </si>
  <si>
    <t>EDW Technology Ltd</t>
  </si>
  <si>
    <t>EIG</t>
  </si>
  <si>
    <t>Electricity North West Limited</t>
  </si>
  <si>
    <t>Elexon Limited</t>
  </si>
  <si>
    <t>Energy Networks Association</t>
  </si>
  <si>
    <t>Energy Save Experts Limited</t>
  </si>
  <si>
    <t>ENGIE Impact</t>
  </si>
  <si>
    <t>Ensek Limited</t>
  </si>
  <si>
    <t>Envantage Ltd</t>
  </si>
  <si>
    <t>EPEX SPOT SE</t>
  </si>
  <si>
    <t>Epiris LLP</t>
  </si>
  <si>
    <t>Ernst and Young</t>
  </si>
  <si>
    <t>Esave</t>
  </si>
  <si>
    <t xml:space="preserve">ESB Energy </t>
  </si>
  <si>
    <t>European Climate Foundation</t>
  </si>
  <si>
    <t xml:space="preserve">EV Box </t>
  </si>
  <si>
    <t xml:space="preserve">EV Point </t>
  </si>
  <si>
    <t xml:space="preserve">EVC </t>
  </si>
  <si>
    <t>Eversheds Sutherland (International) LLP</t>
  </si>
  <si>
    <t>evolt Charging (SWARCO)</t>
  </si>
  <si>
    <t xml:space="preserve">Evyve </t>
  </si>
  <si>
    <t>Exemplar Energy Solutions</t>
  </si>
  <si>
    <t>EY Parthenon</t>
  </si>
  <si>
    <t>Eyebright Limited</t>
  </si>
  <si>
    <t xml:space="preserve">EZ Charge </t>
  </si>
  <si>
    <t>Flipper Limited</t>
  </si>
  <si>
    <t>Focus Assured Services Limited</t>
  </si>
  <si>
    <t xml:space="preserve">FOR: EV </t>
  </si>
  <si>
    <t>Frazer Nash</t>
  </si>
  <si>
    <t>Freepoint Commodities Europe</t>
  </si>
  <si>
    <t>FTI Consulting LLP</t>
  </si>
  <si>
    <t>Full Power Utilities</t>
  </si>
  <si>
    <t>Fuuse</t>
  </si>
  <si>
    <t>Gamma Solutions &amp; Energy</t>
  </si>
  <si>
    <t>Ginger Energy Limited</t>
  </si>
  <si>
    <t>Glennmont Partners</t>
  </si>
  <si>
    <t>Gowling WLG (UK) LLP</t>
  </si>
  <si>
    <t>Green Sixteen</t>
  </si>
  <si>
    <t>HermeticaBlack Ltd</t>
  </si>
  <si>
    <t>Hg Capital</t>
  </si>
  <si>
    <t>Horizon Energy Infrastructure Ltd</t>
  </si>
  <si>
    <t>Horizon Energy Ventures</t>
  </si>
  <si>
    <t>Hyundai</t>
  </si>
  <si>
    <t>iChoosr Limited</t>
  </si>
  <si>
    <t>Icon Infrastructure</t>
  </si>
  <si>
    <t>IFM Investors</t>
  </si>
  <si>
    <t>Indigo Swan Limited</t>
  </si>
  <si>
    <t>Inenco Group</t>
  </si>
  <si>
    <t>Interconnector Limited</t>
  </si>
  <si>
    <t xml:space="preserve">Ionity </t>
  </si>
  <si>
    <t>J Murphy &amp; Sons Ltd</t>
  </si>
  <si>
    <t>Jones Lang LaSalle Ltd</t>
  </si>
  <si>
    <t>Jutton Associates</t>
  </si>
  <si>
    <t>Kantor Energy</t>
  </si>
  <si>
    <t>Kia</t>
  </si>
  <si>
    <t>Kinect Energy UK Limited</t>
  </si>
  <si>
    <t>Laser Energy</t>
  </si>
  <si>
    <t>Last Mile Infrastructure Ltd</t>
  </si>
  <si>
    <t>Love Energy Savings.Com Ltd</t>
  </si>
  <si>
    <t>Magnetar Capital</t>
  </si>
  <si>
    <t>Majestic Securities Group</t>
  </si>
  <si>
    <t>MCS Foundation</t>
  </si>
  <si>
    <t xml:space="preserve">Monta </t>
  </si>
  <si>
    <t>MONY Group plc</t>
  </si>
  <si>
    <t>Morrisons Metering</t>
  </si>
  <si>
    <t>Mott MacDonald</t>
  </si>
  <si>
    <t>National Australia Bank (UK)</t>
  </si>
  <si>
    <t>National Gas Metering Ltd</t>
  </si>
  <si>
    <t>National Grid Interconnectors Ltd</t>
  </si>
  <si>
    <t>National Power Supply</t>
  </si>
  <si>
    <t>Nephila Climate</t>
  </si>
  <si>
    <t>NFPAS Ltd t/a E-Power</t>
  </si>
  <si>
    <t>NFU Energy Ltd</t>
  </si>
  <si>
    <t>Nomura Bank International</t>
  </si>
  <si>
    <t>Norfolk County Council</t>
  </si>
  <si>
    <t>Northern Gas &amp; Power</t>
  </si>
  <si>
    <t>Northern Gas Networks Operations Limited</t>
  </si>
  <si>
    <t>Northern Powergrid</t>
  </si>
  <si>
    <t>Northleaf Capital Partners</t>
  </si>
  <si>
    <t>Norton Rose Fulbright LLP</t>
  </si>
  <si>
    <t>Office for Low Emission Vehicles</t>
  </si>
  <si>
    <t>Omers Administration Corp</t>
  </si>
  <si>
    <t>Ontario Teachers' Pension Fund</t>
  </si>
  <si>
    <t>Open Energy Market Limited</t>
  </si>
  <si>
    <t>Optimal Power Networks</t>
  </si>
  <si>
    <t>Piclo Energy</t>
  </si>
  <si>
    <t>Places for People Energy</t>
  </si>
  <si>
    <t>Plentify</t>
  </si>
  <si>
    <t xml:space="preserve">Plug-n-go </t>
  </si>
  <si>
    <t>PoGo</t>
  </si>
  <si>
    <t>Polestar</t>
  </si>
  <si>
    <t>Power Direct Limited</t>
  </si>
  <si>
    <t>Prenax Limited</t>
  </si>
  <si>
    <t xml:space="preserve">Project EV </t>
  </si>
  <si>
    <t>PricewaterhouseCoopers LLP</t>
  </si>
  <si>
    <t>Pulse Business Solutions Limited</t>
  </si>
  <si>
    <t>Quorum Development</t>
  </si>
  <si>
    <t xml:space="preserve">Qwello </t>
  </si>
  <si>
    <t>RAW Charging (LiFe)</t>
  </si>
  <si>
    <t>Re:cap Global Investors</t>
  </si>
  <si>
    <t>Real Assets Investment Management</t>
  </si>
  <si>
    <t>Ripple Energy Limited</t>
  </si>
  <si>
    <t>Rokos Capital Management</t>
  </si>
  <si>
    <t>S&amp;P Global UK Limited</t>
  </si>
  <si>
    <t xml:space="preserve">Sainsbury's Smart Charge </t>
  </si>
  <si>
    <t>Schneider Electric</t>
  </si>
  <si>
    <t>Scotia Gas Networks Limited</t>
  </si>
  <si>
    <t>Scottish and Southern Energy Power Distribution Limited</t>
  </si>
  <si>
    <t>Shakespeare Martineau LLP</t>
  </si>
  <si>
    <t>Shoosmiths LLP</t>
  </si>
  <si>
    <t>Siemens Bank</t>
  </si>
  <si>
    <t>Slaughter and May Limited</t>
  </si>
  <si>
    <t xml:space="preserve">Source London </t>
  </si>
  <si>
    <t>Squire Patton Boggs (UK) LLP</t>
  </si>
  <si>
    <t>STX Commodities BV</t>
  </si>
  <si>
    <t xml:space="preserve">Swarco E. Connect </t>
  </si>
  <si>
    <t>Switch 365</t>
  </si>
  <si>
    <t>Switch Business Gas &amp; Power Ltd</t>
  </si>
  <si>
    <t>The Energy Consortium</t>
  </si>
  <si>
    <t>The Green Energy Advice Bureau</t>
  </si>
  <si>
    <t>The Renewable Exchange Limited</t>
  </si>
  <si>
    <t>Tiger Infrastructure Partners</t>
  </si>
  <si>
    <t>TLT LLP</t>
  </si>
  <si>
    <t>TMA Data Management Limited</t>
  </si>
  <si>
    <t>Toyota</t>
  </si>
  <si>
    <t>Trident Utilities</t>
  </si>
  <si>
    <t>Triple Point Investment Management</t>
  </si>
  <si>
    <t>UK Direct Business Solutions Ltd</t>
  </si>
  <si>
    <t>UK Power Networks</t>
  </si>
  <si>
    <t>UK T-Power Development Limited</t>
  </si>
  <si>
    <t>Urban Fox</t>
  </si>
  <si>
    <t>Uswitch Limited</t>
  </si>
  <si>
    <t>Utility Aid</t>
  </si>
  <si>
    <t>Utilityteam Trading Limited</t>
  </si>
  <si>
    <t>Virta </t>
  </si>
  <si>
    <t>VW</t>
  </si>
  <si>
    <t>Wales and West Utilities Ltd</t>
  </si>
  <si>
    <t>Weightmans LLP</t>
  </si>
  <si>
    <t>Wenea</t>
  </si>
  <si>
    <t>West Mercia Energy</t>
  </si>
  <si>
    <t>Which?</t>
  </si>
  <si>
    <t>Wilson Power Solutions</t>
  </si>
  <si>
    <t>World Kinect Energy Services</t>
  </si>
  <si>
    <t>Zero Trace Procurement Limited</t>
  </si>
  <si>
    <t>Zeronet (Zero Carbon World)</t>
  </si>
  <si>
    <t>ZEVhub</t>
  </si>
  <si>
    <t>001 Ltd</t>
  </si>
  <si>
    <t>4EG Consulting Limited</t>
  </si>
  <si>
    <t>A T Kearney Ltd</t>
  </si>
  <si>
    <t>ABB</t>
  </si>
  <si>
    <t>Aberdeen Asset Investments</t>
  </si>
  <si>
    <t>ACT Commodities</t>
  </si>
  <si>
    <t>Action Renewables Energy Trading Limited</t>
  </si>
  <si>
    <t>Affiliated Utilities Ltd</t>
  </si>
  <si>
    <t>Aksiom Partners</t>
  </si>
  <si>
    <t>Aldermore Bank Plc</t>
  </si>
  <si>
    <t>Alexa Capital</t>
  </si>
  <si>
    <t>Alliance Marketing Ltd</t>
  </si>
  <si>
    <t>Allstar</t>
  </si>
  <si>
    <t>Alpine Utilities Ltd</t>
  </si>
  <si>
    <t>Amberside Advisors Ltd</t>
  </si>
  <si>
    <t>AMP X</t>
  </si>
  <si>
    <t>Anderson</t>
  </si>
  <si>
    <t>Andrew Blumfield Consulting Ltd</t>
  </si>
  <si>
    <t>Annex Solutions Ltd</t>
  </si>
  <si>
    <t>ANZ Bank Europe</t>
  </si>
  <si>
    <t>Ara Partners</t>
  </si>
  <si>
    <t>ARO</t>
  </si>
  <si>
    <t>Arup</t>
  </si>
  <si>
    <t>Association of Electricity Producers Ltd</t>
  </si>
  <si>
    <t>Trade body</t>
  </si>
  <si>
    <t>AT Energy Uk</t>
  </si>
  <si>
    <t>Atlantica Sustainable Infrastructure</t>
  </si>
  <si>
    <t>Auditel</t>
  </si>
  <si>
    <t>August Equity</t>
  </si>
  <si>
    <t>Augusta Equity</t>
  </si>
  <si>
    <t>Aurium Capital</t>
  </si>
  <si>
    <t>Aval</t>
  </si>
  <si>
    <t>Axiom Utilities Ltd</t>
  </si>
  <si>
    <t>Bain &amp; Company Ltd</t>
  </si>
  <si>
    <t>Balfour Beatty Infrastructure Partners</t>
  </si>
  <si>
    <t>Bank of China UK</t>
  </si>
  <si>
    <t>Bank of England</t>
  </si>
  <si>
    <t>Bank ot America Merrill Lynch</t>
  </si>
  <si>
    <t>BCP Council</t>
  </si>
  <si>
    <t>Bec Consultants Ltd</t>
  </si>
  <si>
    <t>Bespoke Utilities Ltd</t>
  </si>
  <si>
    <t>Better Connections Ltd</t>
  </si>
  <si>
    <t>Blizzard Utilities</t>
  </si>
  <si>
    <t>Boliden</t>
  </si>
  <si>
    <t>Bonnet</t>
  </si>
  <si>
    <t>Boston Consulting Group UK LLP</t>
  </si>
  <si>
    <t>Brent Council</t>
  </si>
  <si>
    <t>Bristol City Council</t>
  </si>
  <si>
    <t>Brownlow Utilities Ltd</t>
  </si>
  <si>
    <t>Buckinghamshire County Council</t>
  </si>
  <si>
    <t>Business Cost Consultants Ltd T/A Boxfish</t>
  </si>
  <si>
    <t>Business Energy Direct Ltd</t>
  </si>
  <si>
    <t>Business Nrg Ltd</t>
  </si>
  <si>
    <t>Business To Business Associates Ltd</t>
  </si>
  <si>
    <t>C&amp;C Group Holdings Limited</t>
  </si>
  <si>
    <t>Calm Charging</t>
  </si>
  <si>
    <t>Calor Gas</t>
  </si>
  <si>
    <t>Cambridge Economic Policy Associates Limited</t>
  </si>
  <si>
    <t>Canadian Pension Plan</t>
  </si>
  <si>
    <t>Cantor Fitzgerald</t>
  </si>
  <si>
    <t>Carbonxgen Ltd</t>
  </si>
  <si>
    <t>Cenex (Centre of Excellence for Low Emission and Fuel Cell Technologies)</t>
  </si>
  <si>
    <t>Central Bedfordshire Council</t>
  </si>
  <si>
    <t>Central Power (Bnorth) Ltd</t>
  </si>
  <si>
    <t>Chameleon Technology</t>
  </si>
  <si>
    <t>Cheaper Business Services Ltd</t>
  </si>
  <si>
    <t>Chichester District Council</t>
  </si>
  <si>
    <t>CIBC</t>
  </si>
  <si>
    <t>CIBC World Markets</t>
  </si>
  <si>
    <t>Cicero Consulting Ltd</t>
  </si>
  <si>
    <t>CIL Management Consultants Limited</t>
  </si>
  <si>
    <t>Citi</t>
  </si>
  <si>
    <t>Citigroup Private Equity</t>
  </si>
  <si>
    <t>Citizens Advice</t>
  </si>
  <si>
    <t>CK Infrastructure</t>
  </si>
  <si>
    <t>Cleanworld</t>
  </si>
  <si>
    <t>Clear Energy Solutions</t>
  </si>
  <si>
    <t>Clever Uk Energy Solutions Ltd</t>
  </si>
  <si>
    <t>Clifford Talbot Partnership Ltd</t>
  </si>
  <si>
    <t>Clydesdale Bank</t>
  </si>
  <si>
    <t>CNOOC</t>
  </si>
  <si>
    <t>Co Carger</t>
  </si>
  <si>
    <t>Commercial Power Ltd</t>
  </si>
  <si>
    <t>Concise Energy</t>
  </si>
  <si>
    <t>Connected Energy</t>
  </si>
  <si>
    <t>Consider Energy Ltd</t>
  </si>
  <si>
    <t>Consultus Assured Energy Ltd</t>
  </si>
  <si>
    <t>Control Energy Costs Ltd</t>
  </si>
  <si>
    <t>Cornwall Council</t>
  </si>
  <si>
    <t>Cost Advice Services Ltd</t>
  </si>
  <si>
    <t>Cost Reduction Services Ltd</t>
  </si>
  <si>
    <t>Costgard Ltd</t>
  </si>
  <si>
    <t>Cranfield Univeristy</t>
  </si>
  <si>
    <t>Credit Suisse International</t>
  </si>
  <si>
    <t>Crystal Utilities Ltd</t>
  </si>
  <si>
    <t>Cub (Uk) Ltd</t>
  </si>
  <si>
    <t>CVC</t>
  </si>
  <si>
    <t>D&amp;G Electrical Services (UK) Ltd</t>
  </si>
  <si>
    <t>Data Energy Management Services Ltd</t>
  </si>
  <si>
    <t>Db Group (Europe) Ltd</t>
  </si>
  <si>
    <t>Deutsche Bank</t>
  </si>
  <si>
    <t>Devon Council Council</t>
  </si>
  <si>
    <t>Dhs Energy Ltd</t>
  </si>
  <si>
    <t>Direct Power Associates Ltd</t>
  </si>
  <si>
    <t>DNV Services UK Limited</t>
  </si>
  <si>
    <t>Dorset Council</t>
  </si>
  <si>
    <t>E2 Services Ltd</t>
  </si>
  <si>
    <t>Eastleigh Borough Council</t>
  </si>
  <si>
    <t>Eden Utilities Ltd</t>
  </si>
  <si>
    <t>Eenergy Management Ltd</t>
  </si>
  <si>
    <t>ElectraLink Ltd</t>
  </si>
  <si>
    <t>Electric Miles</t>
  </si>
  <si>
    <t>Emcon Ltd</t>
  </si>
  <si>
    <t>Energetics Electricity</t>
  </si>
  <si>
    <t>Energisave Online Ltd</t>
  </si>
  <si>
    <t>Energy Cost Advisors Ltd</t>
  </si>
  <si>
    <t>Energy Exemplar (Europe) Ltd</t>
  </si>
  <si>
    <t>Energy Law Limited LLP</t>
  </si>
  <si>
    <t>Energy Law Unlimited LLP</t>
  </si>
  <si>
    <t>Energy Systems Catapult Limited</t>
  </si>
  <si>
    <t>Energy Savings Trust</t>
  </si>
  <si>
    <t>Fichtner Consulting Engineers Ltd</t>
  </si>
  <si>
    <t>Energy UK</t>
  </si>
  <si>
    <t>Environment Agency</t>
  </si>
  <si>
    <t>EO Charging</t>
  </si>
  <si>
    <t>EP Invest</t>
  </si>
  <si>
    <t>Equinox Capital</t>
  </si>
  <si>
    <t>Esmée Fairbairn Foundation</t>
  </si>
  <si>
    <t>ESP Utilities Group</t>
  </si>
  <si>
    <t xml:space="preserve">Europar Mobility Group </t>
  </si>
  <si>
    <t>European Investment Bank</t>
  </si>
  <si>
    <t>ev.energy</t>
  </si>
  <si>
    <t>EVA England</t>
  </si>
  <si>
    <t>Everglen Capital</t>
  </si>
  <si>
    <t>Exolum</t>
  </si>
  <si>
    <t>FieldFisher LLP</t>
  </si>
  <si>
    <t>Flintshire County Council</t>
  </si>
  <si>
    <t>Food and Drink Federation</t>
  </si>
  <si>
    <t xml:space="preserve">Forest Heath District Council </t>
  </si>
  <si>
    <t>Freeths LLP</t>
  </si>
  <si>
    <t>Frontier Economics Ltd</t>
  </si>
  <si>
    <t>Gemserv</t>
  </si>
  <si>
    <t>GE Capital Bank</t>
  </si>
  <si>
    <t>GEO Together</t>
  </si>
  <si>
    <t>General Atlantic LLC</t>
  </si>
  <si>
    <t>Gilmond Consulting Limited</t>
  </si>
  <si>
    <t>GET Solutions</t>
  </si>
  <si>
    <t>GRAPH Strategy UK LLP</t>
  </si>
  <si>
    <t>Girevé</t>
  </si>
  <si>
    <t>Greater London Authority</t>
  </si>
  <si>
    <t>Gravis Capital</t>
  </si>
  <si>
    <t>Grayling Capital</t>
  </si>
  <si>
    <t>Greenwich Leisure Limited</t>
  </si>
  <si>
    <t>GreenFlux</t>
  </si>
  <si>
    <t>Harcus Parker Limited</t>
  </si>
  <si>
    <t>Grid Edge</t>
  </si>
  <si>
    <t>Harrow Council</t>
  </si>
  <si>
    <t>Herbert Smith Freehills</t>
  </si>
  <si>
    <t>Hertfordshire Council</t>
  </si>
  <si>
    <t>HFD Energy Ltd</t>
  </si>
  <si>
    <t>Horsham Council</t>
  </si>
  <si>
    <t>Honeywell</t>
  </si>
  <si>
    <t>House of Commons</t>
  </si>
  <si>
    <t>Howard Kennedy LLP</t>
  </si>
  <si>
    <t>Huntswood CTC Limited</t>
  </si>
  <si>
    <t>HSBC Bank Plc</t>
  </si>
  <si>
    <t>Hubject</t>
  </si>
  <si>
    <t>Humax</t>
  </si>
  <si>
    <t>Imperial College London</t>
  </si>
  <si>
    <t>Hypervolt</t>
  </si>
  <si>
    <t xml:space="preserve">ICBC </t>
  </si>
  <si>
    <t>Japan NUS Co Ltd</t>
  </si>
  <si>
    <t>Independent Power Networks</t>
  </si>
  <si>
    <t>Indra</t>
  </si>
  <si>
    <t>Ingenios Media/ Ventures</t>
  </si>
  <si>
    <t>Ista Energy</t>
  </si>
  <si>
    <t>James Cropper</t>
  </si>
  <si>
    <t>Kent Police</t>
  </si>
  <si>
    <t>JP Morgan Chase Bank National</t>
  </si>
  <si>
    <t>Kingston Council</t>
  </si>
  <si>
    <t>Lancashire County Council</t>
  </si>
  <si>
    <t>Knight Frank LLP</t>
  </si>
  <si>
    <t>Liverpool City Region Combined Authority</t>
  </si>
  <si>
    <t>Last Mile Solutions</t>
  </si>
  <si>
    <t>Lex Autolease</t>
  </si>
  <si>
    <t>Lightstate Ltd</t>
  </si>
  <si>
    <t>London Borough of Barnet</t>
  </si>
  <si>
    <t>Lloyds TSB Group plc</t>
  </si>
  <si>
    <t>Logical Utilities</t>
  </si>
  <si>
    <t>London Borough of Hammersmith and Fulham</t>
  </si>
  <si>
    <t>London Borough of Hillingdon</t>
  </si>
  <si>
    <t>London Borough of Hounslow</t>
  </si>
  <si>
    <t>London Fire</t>
  </si>
  <si>
    <t>Luton Council</t>
  </si>
  <si>
    <t>Lothian Electric Machines (Lemac)</t>
  </si>
  <si>
    <t>Lumina Energy</t>
  </si>
  <si>
    <t>Manchester University NHS Foundation Trust (MFT)</t>
  </si>
  <si>
    <t>Manchester Heat Network</t>
  </si>
  <si>
    <t>Matson Driscoll &amp; Damico UK LLP</t>
  </si>
  <si>
    <t>McDermott Will and Emery UK LLP</t>
  </si>
  <si>
    <t>Metropolitan Police Service</t>
  </si>
  <si>
    <t>MEUC Limited</t>
  </si>
  <si>
    <t>Milton Keynes Council</t>
  </si>
  <si>
    <t>Moat</t>
  </si>
  <si>
    <t>Mirai Power Europe</t>
  </si>
  <si>
    <t>Mitsui &amp; Co Global Investments</t>
  </si>
  <si>
    <t>Mizuho International</t>
  </si>
  <si>
    <t>NERA UK Limited</t>
  </si>
  <si>
    <t>Morgan Stanley</t>
  </si>
  <si>
    <t>MyEnergi</t>
  </si>
  <si>
    <t>National Audit Office</t>
  </si>
  <si>
    <t>Nationwide Building Society</t>
  </si>
  <si>
    <t>Nationwide Utilities</t>
  </si>
  <si>
    <t>NEPO</t>
  </si>
  <si>
    <t xml:space="preserve">New Forest Heath District Council </t>
  </si>
  <si>
    <t>North Northamptonshire Council</t>
  </si>
  <si>
    <t>Oxford Institute for Energy Studies</t>
  </si>
  <si>
    <t>Oaktree Capital Management</t>
  </si>
  <si>
    <t>Oaktree Power</t>
  </si>
  <si>
    <t>Renewable UK Association</t>
  </si>
  <si>
    <t>Passiv UK Ltd</t>
  </si>
  <si>
    <t>Paua</t>
  </si>
  <si>
    <t>Phillips 66</t>
  </si>
  <si>
    <t>Plug Me In (Calisen)</t>
  </si>
  <si>
    <t>Plug Surfing</t>
  </si>
  <si>
    <t>Professional Energy Services</t>
  </si>
  <si>
    <t>Purchase Direct</t>
  </si>
  <si>
    <t>Quick Release</t>
  </si>
  <si>
    <t xml:space="preserve">RBC Europe </t>
  </si>
  <si>
    <t>Sillion</t>
  </si>
  <si>
    <t>Righcharge</t>
  </si>
  <si>
    <t>Riverstone Holdings</t>
  </si>
  <si>
    <t>Rockland Capital</t>
  </si>
  <si>
    <t>Rothschild</t>
  </si>
  <si>
    <t>Schroder &amp; Co</t>
  </si>
  <si>
    <t>Scottish Equity Partners</t>
  </si>
  <si>
    <t>Scottish Hydro Electric Transmission</t>
  </si>
  <si>
    <t>Sense</t>
  </si>
  <si>
    <t>Sero Life</t>
  </si>
  <si>
    <t>Solar Energy UK</t>
  </si>
  <si>
    <t>Solar Trade Association</t>
  </si>
  <si>
    <t>South West Energy Hub</t>
  </si>
  <si>
    <t>Southampton Council</t>
  </si>
  <si>
    <t>SS&amp;C Technologies, Inc</t>
  </si>
  <si>
    <t>SP Energy Networks</t>
  </si>
  <si>
    <t>Surrey County Council</t>
  </si>
  <si>
    <t>SSE Power Distribution</t>
  </si>
  <si>
    <t>Standard Chartered Bank</t>
  </si>
  <si>
    <t>Sumitomor Mitsui Banking</t>
  </si>
  <si>
    <t>Swanee River Limited (Charlie Crossley Cooke)</t>
  </si>
  <si>
    <t>Sydney Water Corporation</t>
  </si>
  <si>
    <t>The Association for Decentralised Energy (ADE)</t>
  </si>
  <si>
    <t>Tata Private Equity</t>
  </si>
  <si>
    <t>Telford &amp; Wrekin Council</t>
  </si>
  <si>
    <t>Terra Firma Capital</t>
  </si>
  <si>
    <t>The British Library</t>
  </si>
  <si>
    <t>The Consumer Council</t>
  </si>
  <si>
    <t>The Crown Estate</t>
  </si>
  <si>
    <t>The Energy Intensive Users Group (EIUG)</t>
  </si>
  <si>
    <t>The Electricity Network Company</t>
  </si>
  <si>
    <t>Thermal Storage UK Ltd</t>
  </si>
  <si>
    <t>Tiger Capital Partners</t>
  </si>
  <si>
    <t>TPG Capital</t>
  </si>
  <si>
    <t>Trojan Energy</t>
  </si>
  <si>
    <t>UBS Capital</t>
  </si>
  <si>
    <t>UCR Consultants</t>
  </si>
  <si>
    <t>UK Power Networks IDNO</t>
  </si>
  <si>
    <t>UK Research &amp; Innovation</t>
  </si>
  <si>
    <t>University of Strathclyde</t>
  </si>
  <si>
    <t>UPA Energy</t>
  </si>
  <si>
    <t>Vitruvian Partners</t>
  </si>
  <si>
    <t>Vivid Economics</t>
  </si>
  <si>
    <t>Volta Charge Points</t>
  </si>
  <si>
    <t>WallBox</t>
  </si>
  <si>
    <t>Waltham Forest Council</t>
  </si>
  <si>
    <t>Watt Utilities</t>
  </si>
  <si>
    <t>Welsh Power Group Limited</t>
  </si>
  <si>
    <t>West Northamptonshire Council</t>
  </si>
  <si>
    <t>West of England Combined Authority</t>
  </si>
  <si>
    <t>West Suffolk Council</t>
  </si>
  <si>
    <t>West Sussex County Council</t>
  </si>
  <si>
    <t>Western Power Distribution</t>
  </si>
  <si>
    <t>Westpac Europe</t>
  </si>
  <si>
    <t>Wettern Ventures Limited</t>
  </si>
  <si>
    <t>White &amp; Case LLP</t>
  </si>
  <si>
    <t>Winchester Council</t>
  </si>
  <si>
    <t>Xoserve Limited</t>
  </si>
  <si>
    <t>ZapMap</t>
  </si>
  <si>
    <t>Zouk Capital</t>
  </si>
  <si>
    <t>65 Equity Partners</t>
  </si>
  <si>
    <t>Afry Management Consulting Ltd</t>
  </si>
  <si>
    <t>Allen &amp; Overy</t>
  </si>
  <si>
    <t>Ashurst</t>
  </si>
  <si>
    <t>Baker McKenzie</t>
  </si>
  <si>
    <t>BDO</t>
  </si>
  <si>
    <t>Bevan Brittan</t>
  </si>
  <si>
    <t>Bird &amp; Bird</t>
  </si>
  <si>
    <t>Birketts</t>
  </si>
  <si>
    <t>Bregal Capital</t>
  </si>
  <si>
    <t>Bridepoint</t>
  </si>
  <si>
    <t>Brodies LLP</t>
  </si>
  <si>
    <t>BVRLA</t>
  </si>
  <si>
    <t>Cabot Square Capital</t>
  </si>
  <si>
    <t>CAMBRIDGE UNIVERSITY HOSPITALS NHS FOUNDATION TRUST</t>
  </si>
  <si>
    <t>Citco</t>
  </si>
  <si>
    <t>City of London Corporation</t>
  </si>
  <si>
    <t>City of Wolverhampton Council</t>
  </si>
  <si>
    <t>Complete Strategy Ltd</t>
  </si>
  <si>
    <t>Confederation of Paper Industries (CPI)</t>
  </si>
  <si>
    <t>Dalmore Capital</t>
  </si>
  <si>
    <t>DC Advisory</t>
  </si>
  <si>
    <t>Deloitte</t>
  </si>
  <si>
    <t>Denham Capital</t>
  </si>
  <si>
    <t>Dentons</t>
  </si>
  <si>
    <t>Dyball Associates Limited</t>
  </si>
  <si>
    <t>Energy Assets Plc</t>
  </si>
  <si>
    <t>Enstra Consulting</t>
  </si>
  <si>
    <t>Evercore</t>
  </si>
  <si>
    <t>GE Vernova</t>
  </si>
  <si>
    <t>Grant Thornton</t>
  </si>
  <si>
    <t>Inflexion Capital</t>
  </si>
  <si>
    <t>J&amp;B Hopkins Limited</t>
  </si>
  <si>
    <t>Just Climate LLP</t>
  </si>
  <si>
    <t>KPMG</t>
  </si>
  <si>
    <t>Kyotherm</t>
  </si>
  <si>
    <t>LaSalle Investment Management</t>
  </si>
  <si>
    <t>LCP Delta</t>
  </si>
  <si>
    <t xml:space="preserve">Linklaters </t>
  </si>
  <si>
    <t>London Borough of Camden</t>
  </si>
  <si>
    <t>Make UK</t>
  </si>
  <si>
    <t>Mayfair Equity Partners</t>
  </si>
  <si>
    <t>McKinsey</t>
  </si>
  <si>
    <t>Napier Park Global Capital</t>
  </si>
  <si>
    <t>National Energy Action</t>
  </si>
  <si>
    <t>Norwich City Council</t>
  </si>
  <si>
    <t>Oliver Wyman</t>
  </si>
  <si>
    <t>Ongen Ltd</t>
  </si>
  <si>
    <t>Osborne Clarke</t>
  </si>
  <si>
    <t>PA Consulting</t>
  </si>
  <si>
    <t>Pinsent Masons</t>
  </si>
  <si>
    <t>Platina Partners</t>
  </si>
  <si>
    <t>Primestone Capital</t>
  </si>
  <si>
    <t>Prudential Capital Group</t>
  </si>
  <si>
    <t>Royal Devon NHS Foundation</t>
  </si>
  <si>
    <t>Sharpe Pritchard LLP</t>
  </si>
  <si>
    <t>Shepherd &amp; Wedderburn</t>
  </si>
  <si>
    <t>Simmons &amp; Simmons</t>
  </si>
  <si>
    <t>South Yorkshire Passenger Transport</t>
  </si>
  <si>
    <t>Southwark Council</t>
  </si>
  <si>
    <t>Temporis Capital</t>
  </si>
  <si>
    <t>The University of Leicester</t>
  </si>
  <si>
    <t>Together Housing Group</t>
  </si>
  <si>
    <t>Wood Mackenzie</t>
  </si>
  <si>
    <t>Yondr</t>
  </si>
  <si>
    <t>Aberystwyth University</t>
  </si>
  <si>
    <t>Addleshaw Goddard</t>
  </si>
  <si>
    <t>ALDER HEY CHILDRENS NHS FOUNDATION TRUST</t>
  </si>
  <si>
    <t>Almax Partners</t>
  </si>
  <si>
    <t>Alvarez &amp; Marsal</t>
  </si>
  <si>
    <t>Applegreen</t>
  </si>
  <si>
    <t>Arthur Little</t>
  </si>
  <si>
    <t>ASHFORD AND ST. PETER'S HOSPITALS NHS FOUNDATION TRUST</t>
  </si>
  <si>
    <t>Atkins Realis UK Ltd</t>
  </si>
  <si>
    <t>Augusta &amp; Co</t>
  </si>
  <si>
    <t>Aurora Energy Research</t>
  </si>
  <si>
    <t>Bangor University</t>
  </si>
  <si>
    <t>BARTS HEALTH NHS TRUST</t>
  </si>
  <si>
    <t>Bearing Point</t>
  </si>
  <si>
    <t>BEDFORDSHIRE HOSPITALS NHS FOUNDATION TRUST</t>
  </si>
  <si>
    <t>Birmingham City University</t>
  </si>
  <si>
    <t>BIRMINGHAM WOMEN'S AND CHILDREN'S NHS FOUNDATION TRUST</t>
  </si>
  <si>
    <t>Blake Morgan</t>
  </si>
  <si>
    <t>Brady Limited</t>
  </si>
  <si>
    <t>Bridgnorth Aluminium Limited</t>
  </si>
  <si>
    <t>Bristol Port Company</t>
  </si>
  <si>
    <t>Brunel University London</t>
  </si>
  <si>
    <t>BUCKINGHAMSHIRE HEALTHCARE NHS TRUST</t>
  </si>
  <si>
    <t>Cardiff University</t>
  </si>
  <si>
    <t>Catfoss Group Holdings</t>
  </si>
  <si>
    <t>Charles River Associates</t>
  </si>
  <si>
    <t>CHELSEA AND WESTMINSTER HOSPITAL NHS FOUNDATION TRUST</t>
  </si>
  <si>
    <t>City, University of London</t>
  </si>
  <si>
    <t>Clarke Willmott</t>
  </si>
  <si>
    <t>COUNTY DURHAM AND DARLINGTON NHS FOUNDATION TRUST</t>
  </si>
  <si>
    <t>Coventry University</t>
  </si>
  <si>
    <t>De Montfort University</t>
  </si>
  <si>
    <t>DONCASTER AND BASSETLAW TEACHING HOSPITALS NHS FOUNDATION TRUST</t>
  </si>
  <si>
    <t>EAST SUFFOLK AND NORTH ESSEX NHS FOUNDATION TRUST</t>
  </si>
  <si>
    <t>Elgar Middleton</t>
  </si>
  <si>
    <t>Elight Group Limited</t>
  </si>
  <si>
    <t>Entrnce</t>
  </si>
  <si>
    <t>EPSOM AND ST HELIER UNIVERSITY HOSPITALS NHS TRUST</t>
  </si>
  <si>
    <t>ERM</t>
  </si>
  <si>
    <t>Everoze</t>
  </si>
  <si>
    <t>Evtec Energy Solutions</t>
  </si>
  <si>
    <t>Fingleton White &amp; Co</t>
  </si>
  <si>
    <t>Foot Anstey</t>
  </si>
  <si>
    <t>GREAT ORMOND STREET HOSPITAL FOR CHILDREN NHS FOUNDATION TRUST</t>
  </si>
  <si>
    <t>Green Giraffe Advsiory</t>
  </si>
  <si>
    <t>Greenergy Group</t>
  </si>
  <si>
    <t>Guidehouse</t>
  </si>
  <si>
    <t>GUY'S AND ST THOMAS' NHS FOUNDATION TRUST</t>
  </si>
  <si>
    <t>Harper MacCleod LLP</t>
  </si>
  <si>
    <t>Heriot-Watt University</t>
  </si>
  <si>
    <t>Hogan Lovells</t>
  </si>
  <si>
    <t>HOMERTON UNIVERSITY HOSPITAL NHS FOUNDATION TRUST</t>
  </si>
  <si>
    <t>Houlihan Lokey</t>
  </si>
  <si>
    <t>HULL UNIVERSITY TEACHING HOSPITALS NHS TRUST</t>
  </si>
  <si>
    <t>IMPERIAL COLLEGE HEALTHCARE NHS TRUST</t>
  </si>
  <si>
    <t>Jefferies</t>
  </si>
  <si>
    <t>Johnston Carmichael LLP</t>
  </si>
  <si>
    <t>Keele University</t>
  </si>
  <si>
    <t>KETTERING GENERAL HOSPITAL NHS FOUNDATION TRUST</t>
  </si>
  <si>
    <t>KING'S COLLEGE HOSPITAL NHS FOUNDATION TRUST</t>
  </si>
  <si>
    <t>King's College London</t>
  </si>
  <si>
    <t>LEEDS TEACHING HOSPITALS NHS TRUST</t>
  </si>
  <si>
    <t>Lexis Nexis</t>
  </si>
  <si>
    <t>LHW Partnership LLC</t>
  </si>
  <si>
    <t>Liberum Capital</t>
  </si>
  <si>
    <t>Liverpool John Moores University</t>
  </si>
  <si>
    <t>LIVERPOOL UNIVERSITY HOSPITALS NHS FOUNDATION TRUST</t>
  </si>
  <si>
    <t>Locogen Limited</t>
  </si>
  <si>
    <t>LONDON NORTH WEST HEALTHCARE NHS TRUST</t>
  </si>
  <si>
    <t>London School of Economics and Political Science</t>
  </si>
  <si>
    <t>Loughborough University</t>
  </si>
  <si>
    <t>Lux Nova</t>
  </si>
  <si>
    <t>MAIDSTONE AND TUNBRIDGE WELLS NHS TRUST</t>
  </si>
  <si>
    <t>MERSEY CARE NHS FOUNDATION TRUST</t>
  </si>
  <si>
    <t>Mills &amp; Reeve LLP</t>
  </si>
  <si>
    <t>Mobile Broadband Network Limited</t>
  </si>
  <si>
    <t>Moorhouse</t>
  </si>
  <si>
    <t>Newcastle University</t>
  </si>
  <si>
    <t>Nlighten</t>
  </si>
  <si>
    <t>NORTH BRISTOL NHS TRUST</t>
  </si>
  <si>
    <t>NORTHERN CARE ALLIANCE NHS FOUNDATION TRUST</t>
  </si>
  <si>
    <t>NOTTINGHAM UNIVERSITY HOSPITALS NHS TRUST</t>
  </si>
  <si>
    <t>Optimised</t>
  </si>
  <si>
    <t>Oxford Brookes University</t>
  </si>
  <si>
    <t>Park Properties Housing Association</t>
  </si>
  <si>
    <t>PD Ports</t>
  </si>
  <si>
    <t>PDF Francis Clark</t>
  </si>
  <si>
    <t>Peel Group</t>
  </si>
  <si>
    <t>Peel Hunt</t>
  </si>
  <si>
    <t>PORTSMOUTH HOSPITALS UNIVERSITY NHS TRUST</t>
  </si>
  <si>
    <t>Queen Mary University of London</t>
  </si>
  <si>
    <t>Queen's University Belfast</t>
  </si>
  <si>
    <t>Ransomes Europark</t>
  </si>
  <si>
    <t>Ricardo Group</t>
  </si>
  <si>
    <t>Roland Berger</t>
  </si>
  <si>
    <t>ROYAL FREE LONDON NHS FOUNDATION TRUST</t>
  </si>
  <si>
    <t>Royal Holloway and Bedford New College</t>
  </si>
  <si>
    <t>ROYAL PAPWORTH HOSPITAL NHS FOUNDATION TRUST</t>
  </si>
  <si>
    <t>ROYAL SURREY COUNTY HOSPITAL NHS FOUNDATION TRUST</t>
  </si>
  <si>
    <t>Rubicon Capital Advisors</t>
  </si>
  <si>
    <t>SANDWELL AND WEST BIRMINGHAM HOSPITALS NHS TRUST</t>
  </si>
  <si>
    <t>Sheffield Hallam University</t>
  </si>
  <si>
    <t>Sia Partners</t>
  </si>
  <si>
    <t>SOMERSET NHS FOUNDATION TRUST</t>
  </si>
  <si>
    <t>SOUTH LONDON AND MAUDSLEY NHS FOUNDATION TRUST</t>
  </si>
  <si>
    <t>Stifel</t>
  </si>
  <si>
    <t>STOCKPORT NHS FOUNDATION TRUST</t>
  </si>
  <si>
    <t>SURREY AND SUSSEX HEALTHCARE NHS TRUST</t>
  </si>
  <si>
    <t>Swansea University</t>
  </si>
  <si>
    <t>Sweco UK</t>
  </si>
  <si>
    <t>Tem Energy</t>
  </si>
  <si>
    <t>Temple Bright</t>
  </si>
  <si>
    <t>THE DUDLEY GROUP NHS FOUNDATION TRUST</t>
  </si>
  <si>
    <t>THE LEWISHAM AND GREENWICH NHS TRUST</t>
  </si>
  <si>
    <t>The Manchester Metropolitan University</t>
  </si>
  <si>
    <t>THE MID CHESHIRE HOSPITALS NHS FOUNDATION TRUST</t>
  </si>
  <si>
    <t>The Nottingham Trent University</t>
  </si>
  <si>
    <t>The University of Aberdeen</t>
  </si>
  <si>
    <t>The University of Bath</t>
  </si>
  <si>
    <t>The University of Birmingham</t>
  </si>
  <si>
    <t>The University of Bradford</t>
  </si>
  <si>
    <t>The University of Brighton</t>
  </si>
  <si>
    <t>The University of Bristol</t>
  </si>
  <si>
    <t>The University of Cambridge</t>
  </si>
  <si>
    <t>The University of Central Lancashire</t>
  </si>
  <si>
    <t>The University of East Anglia</t>
  </si>
  <si>
    <t>The University of Edinburgh</t>
  </si>
  <si>
    <t>The University of Essex</t>
  </si>
  <si>
    <t>The University of Exeter</t>
  </si>
  <si>
    <t>The University of Glasgow</t>
  </si>
  <si>
    <t>The University of Greenwich</t>
  </si>
  <si>
    <t>The University of Hull</t>
  </si>
  <si>
    <t>The University of Kent</t>
  </si>
  <si>
    <t>The University of Lancaster</t>
  </si>
  <si>
    <t>The University of Leeds</t>
  </si>
  <si>
    <t>The University of Lincoln</t>
  </si>
  <si>
    <t>The University of Liverpool</t>
  </si>
  <si>
    <t>The University of Manchester</t>
  </si>
  <si>
    <t>The University of Oxford</t>
  </si>
  <si>
    <t>The University of Portsmouth</t>
  </si>
  <si>
    <t>The University of Reading</t>
  </si>
  <si>
    <t>The University of Sheffield</t>
  </si>
  <si>
    <t>The University of Southampton</t>
  </si>
  <si>
    <t>The University of St. Andrews</t>
  </si>
  <si>
    <t>The University of Stirling</t>
  </si>
  <si>
    <t>The University of Strathclyde</t>
  </si>
  <si>
    <t>The University of Surrey</t>
  </si>
  <si>
    <t>The University of Sussex</t>
  </si>
  <si>
    <t>The University of Warwick</t>
  </si>
  <si>
    <t>The University of Westminster</t>
  </si>
  <si>
    <t>The University of York</t>
  </si>
  <si>
    <t>TORBAY AND SOUTH DEVON HEALTH CARE NHS FOUNDATION TRUST</t>
  </si>
  <si>
    <t>University College London</t>
  </si>
  <si>
    <t>UNIVERSITY HOSPITALS DORSET NHS FOUNDATION TRUST</t>
  </si>
  <si>
    <t>UNIVERSITY HOSPITALS OF MORECAMBE BAY NHS FOUNDATION TRUST</t>
  </si>
  <si>
    <t>University of Chester</t>
  </si>
  <si>
    <t>University of Durham</t>
  </si>
  <si>
    <t>University of Hertfordshire</t>
  </si>
  <si>
    <t>University of Northumbria at Newcastle</t>
  </si>
  <si>
    <t>University of Nottingham</t>
  </si>
  <si>
    <t>University of the West of England, Bristol</t>
  </si>
  <si>
    <t>Vinson &amp; Elkins LLP</t>
  </si>
  <si>
    <t>VWV</t>
  </si>
  <si>
    <t>WALSALL HEALTHCARE NHS TRUST</t>
  </si>
  <si>
    <t>Watson Farley &amp; Williams</t>
  </si>
  <si>
    <t>WHITTINGTON HEALTH NHS TRUST</t>
  </si>
  <si>
    <t>WORCESTERSHIRE ACUTE HOSPITALS NHS TRUST</t>
  </si>
  <si>
    <t>WSP</t>
  </si>
  <si>
    <t>Yiver Limited</t>
  </si>
  <si>
    <t>Baringa Partners</t>
  </si>
  <si>
    <t>BFY Group</t>
  </si>
  <si>
    <t>WWF-UK</t>
  </si>
  <si>
    <t>Modo Energy</t>
  </si>
  <si>
    <t>Timera</t>
  </si>
  <si>
    <t>Total Addressable Market (TAM)</t>
  </si>
  <si>
    <t>Summary Table: TAM by Sector</t>
  </si>
  <si>
    <t>TAM by Sector</t>
  </si>
  <si>
    <t>Flexible Generation &amp; Storage</t>
  </si>
  <si>
    <t>Energy Users</t>
  </si>
  <si>
    <t>Notes</t>
  </si>
  <si>
    <t>Direct sector market participants</t>
  </si>
  <si>
    <t>Primary sector of companies identified in TAM e.g. developers, generators, suppliers, consumers</t>
  </si>
  <si>
    <t>CI analysis customers within these sectors</t>
  </si>
  <si>
    <t>Existing CI customers within these sectors</t>
  </si>
  <si>
    <t>Cross/ non sector specific participants</t>
  </si>
  <si>
    <t>TAM companies that do not sit within single sector e.g. professional services, government, regulators</t>
  </si>
  <si>
    <t xml:space="preserve">CI analysis cross/non sector specific customers </t>
  </si>
  <si>
    <t>Existing CI customers who fit the above definition</t>
  </si>
  <si>
    <t>TAM £ (CI Analysis Services)</t>
  </si>
  <si>
    <t>TAM estimate by sector</t>
  </si>
  <si>
    <t>ACV by segment</t>
  </si>
  <si>
    <t>Current analysis ACV split by sector</t>
  </si>
  <si>
    <t>Customer no. penetration</t>
  </si>
  <si>
    <t>% of sector companies currently CI analysis customers</t>
  </si>
  <si>
    <t>Customer ACV penetration</t>
  </si>
  <si>
    <t>% of sector analysis ACV potential contracted</t>
  </si>
  <si>
    <t>Average spend</t>
  </si>
  <si>
    <t>TAM by Service</t>
  </si>
  <si>
    <t>Segment</t>
  </si>
  <si>
    <t>Service</t>
  </si>
  <si>
    <t>No. of companies</t>
  </si>
  <si>
    <t>TAM £</t>
  </si>
  <si>
    <t>TAM £ (new)</t>
  </si>
  <si>
    <t>Energy supply</t>
  </si>
  <si>
    <t>Energy Supply Sub-Total</t>
  </si>
  <si>
    <t>Renewables Sub-Total</t>
  </si>
  <si>
    <t>Flexibility Sub-Total</t>
  </si>
  <si>
    <t>Energy User Sub-Total</t>
  </si>
  <si>
    <t>Serviceable Addressable Market (SAM)</t>
  </si>
  <si>
    <t>Propensity to spend</t>
  </si>
  <si>
    <t>Number of companies</t>
  </si>
  <si>
    <t>SAM £</t>
  </si>
  <si>
    <t>Total</t>
  </si>
  <si>
    <t>SOM £</t>
  </si>
  <si>
    <t>Serviceable Obtainable Market</t>
  </si>
  <si>
    <t>TAM</t>
  </si>
  <si>
    <t>SAM</t>
  </si>
  <si>
    <t>SOM</t>
  </si>
  <si>
    <t>Order Book (end FY25)</t>
  </si>
  <si>
    <t>Primary Segment</t>
  </si>
  <si>
    <t>£</t>
  </si>
  <si>
    <t>No. Companies</t>
  </si>
  <si>
    <t>Achieved SOM</t>
  </si>
  <si>
    <t>Do not delete</t>
  </si>
  <si>
    <t>Totals</t>
  </si>
  <si>
    <t>Renewable Generation</t>
  </si>
  <si>
    <t>Order book</t>
  </si>
  <si>
    <t>Chart calculations</t>
  </si>
  <si>
    <t>Energy Supply Market Intilligence</t>
  </si>
  <si>
    <t>Market Intelligence</t>
  </si>
  <si>
    <t>RTM Analysis</t>
  </si>
  <si>
    <t>Forecasts</t>
  </si>
  <si>
    <t>Regulation</t>
  </si>
  <si>
    <t>Max no. companies</t>
  </si>
  <si>
    <t>Secondary Segments</t>
  </si>
  <si>
    <t>SOM (pt.1)</t>
  </si>
  <si>
    <t xml:space="preserve">New Business </t>
  </si>
  <si>
    <t>Upsell</t>
  </si>
  <si>
    <t>SOM (pt. 2)</t>
  </si>
  <si>
    <t>Renewables</t>
  </si>
  <si>
    <t>Flexibility</t>
  </si>
  <si>
    <t>OB</t>
  </si>
  <si>
    <t>New Business</t>
  </si>
  <si>
    <t>Line</t>
  </si>
  <si>
    <t>New Business Conversion Factor</t>
  </si>
  <si>
    <t>Order Book</t>
  </si>
  <si>
    <t>Upsell Conversion Success</t>
  </si>
  <si>
    <t>Industry News &amp; Analysis</t>
  </si>
  <si>
    <t>Company</t>
  </si>
  <si>
    <t>Turnover</t>
  </si>
  <si>
    <t>Aurora Energy Research (UK) (2023)</t>
  </si>
  <si>
    <t>LCP Delta (2023)</t>
  </si>
  <si>
    <t>Cornwall Insight SOM (2028/2030)</t>
  </si>
  <si>
    <t>Cornwall Insight Order Book (FY25)</t>
  </si>
  <si>
    <t>Modo (2023)</t>
  </si>
  <si>
    <t>Cornwall Insight Order Book (Flexibility )(FY25)</t>
  </si>
  <si>
    <t>Cornwall Insight SOM (Flexibility)</t>
  </si>
  <si>
    <t>Primary theme</t>
  </si>
  <si>
    <t>Subs Customers</t>
  </si>
  <si>
    <t>Consulting Customers</t>
  </si>
  <si>
    <t>Greater than</t>
  </si>
  <si>
    <t>Product/Package</t>
  </si>
  <si>
    <t>Segments</t>
  </si>
  <si>
    <t>Segments2</t>
  </si>
  <si>
    <t>Segments3</t>
  </si>
  <si>
    <t>Segments4</t>
  </si>
  <si>
    <t>Segments5</t>
  </si>
  <si>
    <t>Segments6</t>
  </si>
  <si>
    <t>Segments7</t>
  </si>
  <si>
    <t>Segments8</t>
  </si>
  <si>
    <t>Segments9</t>
  </si>
  <si>
    <t>Segments10</t>
  </si>
  <si>
    <t>Segments11</t>
  </si>
  <si>
    <t>Segments12</t>
  </si>
  <si>
    <t>Segments13</t>
  </si>
  <si>
    <t>Segments14</t>
  </si>
  <si>
    <t>Segments15</t>
  </si>
  <si>
    <t>Services</t>
  </si>
  <si>
    <t>RRP (Lower Tier, Enterprise)</t>
  </si>
  <si>
    <t>Achieved price (£/yr)</t>
  </si>
  <si>
    <t>TAM no. companies</t>
  </si>
  <si>
    <t>RRP (Low Tier, Mid Point</t>
  </si>
  <si>
    <t>RRP Upper Tier, Mid Point</t>
  </si>
  <si>
    <t>Segmemt</t>
  </si>
  <si>
    <t>Definitions</t>
  </si>
  <si>
    <t>Lower Tier - Supply: Domestic Supplier &lt;100,000 accounts; Non Domestic Supplier &lt;1TWh/year supply</t>
  </si>
  <si>
    <t>Lower Tier - Renewables: &lt;1GW of active generation; and/or &lt;5GW development pipeline</t>
  </si>
  <si>
    <t>Lower Tier - Flexibility: &lt;1GW of active generation/storage; and/or &lt;5GW development pipeline</t>
  </si>
  <si>
    <t>Lower Tier - End User: &lt;30GWh annual consumption</t>
  </si>
  <si>
    <t>Upper Tier - Supply: Domestic Supplier &gt;100,000 accounts; Non Domestic Supplier &gt;1TWh/year supply</t>
  </si>
  <si>
    <t>Upper Tier - Renewables: &gt;1GW of active generation; and/or &gt;5GW development pipeline</t>
  </si>
  <si>
    <t>Upper Tier - Flexibility: &gt;1GW of active generation/storage; and/or &gt;5GW development pipeline</t>
  </si>
  <si>
    <t>Upper Tier - End User: &gt;30GWh annual consumption</t>
  </si>
  <si>
    <t>Priority scoring</t>
  </si>
  <si>
    <t>Scoring</t>
  </si>
  <si>
    <t>Priority segment</t>
  </si>
  <si>
    <t>Propensity to spend/buyer readiness</t>
  </si>
  <si>
    <t>Spend limit</t>
  </si>
  <si>
    <t>Highly strategic segment</t>
  </si>
  <si>
    <t>Full service relevance</t>
  </si>
  <si>
    <t>CI well established brand/ long-term customer</t>
  </si>
  <si>
    <t>CI leading service provider</t>
  </si>
  <si>
    <t>High propensity to buyer/ long-term customer £250k+</t>
  </si>
  <si>
    <t>Strategic segment</t>
  </si>
  <si>
    <t>Broad service relevance</t>
  </si>
  <si>
    <t>Strong brand presence</t>
  </si>
  <si>
    <t>Strong competitive advantage</t>
  </si>
  <si>
    <t>Strong propensity to buy £150k+</t>
  </si>
  <si>
    <t>Emerging segment</t>
  </si>
  <si>
    <t>Some service relevance</t>
  </si>
  <si>
    <t>Some brand presence</t>
  </si>
  <si>
    <t>Challenger</t>
  </si>
  <si>
    <t>Some propensity to buy £50k+</t>
  </si>
  <si>
    <t>Limited strategic interest</t>
  </si>
  <si>
    <t>Limited service relevance</t>
  </si>
  <si>
    <t>Limited brand presence</t>
  </si>
  <si>
    <t>Limited competitive advantage</t>
  </si>
  <si>
    <t>Limited readiness to buy £10k+</t>
  </si>
  <si>
    <t>No startegic interest</t>
  </si>
  <si>
    <t>No service relevance</t>
  </si>
  <si>
    <t>No brand presence</t>
  </si>
  <si>
    <t>No competitive advantage</t>
  </si>
  <si>
    <t>No readiness to buy</t>
  </si>
  <si>
    <t>Achievable price</t>
  </si>
  <si>
    <t>Name Variation</t>
  </si>
  <si>
    <t>Secondary Segment</t>
  </si>
  <si>
    <t>Bundle</t>
  </si>
  <si>
    <t>Current Package</t>
  </si>
  <si>
    <t>Product Review Name</t>
  </si>
  <si>
    <t>Horizontal/Vertical</t>
  </si>
  <si>
    <t>Secondary Horizontal/Vertical</t>
  </si>
  <si>
    <t>5 Year Power Price Projector</t>
  </si>
  <si>
    <t>Low Carbon Generation</t>
  </si>
  <si>
    <t>Balancing Services Forecast</t>
  </si>
  <si>
    <t>BESS Analytics</t>
  </si>
  <si>
    <t>Revenue Streams &amp; PPAs</t>
  </si>
  <si>
    <t>Industry Essentials (GB)</t>
  </si>
  <si>
    <t>Business Supply &amp; Services</t>
  </si>
  <si>
    <t>Non-Commodity Costs</t>
  </si>
  <si>
    <t>Consultancy</t>
  </si>
  <si>
    <t>Home Supply &amp; Services</t>
  </si>
  <si>
    <t>Regulatory Intelligence</t>
  </si>
  <si>
    <t>Network Forecasts</t>
  </si>
  <si>
    <t>Low Carbon Transport</t>
  </si>
  <si>
    <t>Blogs</t>
  </si>
  <si>
    <t>Green Certificates Survey</t>
  </si>
  <si>
    <t>Business Energy Insights</t>
  </si>
  <si>
    <t>Business Market Share - Electricity</t>
  </si>
  <si>
    <t>CfD Supplier Obligation Forecast</t>
  </si>
  <si>
    <t>Consulting Annuity</t>
  </si>
  <si>
    <t>Connected Homes Insight Service</t>
  </si>
  <si>
    <t>Domestic Energy Supplier Forum</t>
  </si>
  <si>
    <t>Embedded Benefits Calculator</t>
  </si>
  <si>
    <t>EV Insight Service</t>
  </si>
  <si>
    <t>Business Energy Cost Forecast</t>
  </si>
  <si>
    <t>End Users</t>
  </si>
  <si>
    <t>Green Power Forecast</t>
  </si>
  <si>
    <t>Green Generators Group</t>
  </si>
  <si>
    <t>Business Market Share - Gas</t>
  </si>
  <si>
    <t>Feed-in Tariff Forecast</t>
  </si>
  <si>
    <t>Domestic Supplier Insight Service</t>
  </si>
  <si>
    <t>Electricity Modifications Register</t>
  </si>
  <si>
    <t>TNUoS Forecast</t>
  </si>
  <si>
    <t>Long-term Roc Forecast</t>
  </si>
  <si>
    <t>Flexibility Forum</t>
  </si>
  <si>
    <t>Non-Domestic Supplier Insight Service</t>
  </si>
  <si>
    <t>Third Party Charges Forecast</t>
  </si>
  <si>
    <t>Domestic Market Share Survey</t>
  </si>
  <si>
    <t>Gas Modifications Register</t>
  </si>
  <si>
    <t>Business Energy Roundup</t>
  </si>
  <si>
    <t>Renewables PPA Market Share Report</t>
  </si>
  <si>
    <t>Flexibility Markets Hub</t>
  </si>
  <si>
    <t>SME Pricing - Electricity</t>
  </si>
  <si>
    <t>Domestic Tariff Report</t>
  </si>
  <si>
    <t>Meeting Reports</t>
  </si>
  <si>
    <t>Within-year Roc Forecast</t>
  </si>
  <si>
    <t xml:space="preserve">Renewables Pipeline Tracker </t>
  </si>
  <si>
    <t>Flexible Asset PPA Market Report</t>
  </si>
  <si>
    <t>SME Pricing - Gas</t>
  </si>
  <si>
    <t>Non-Domestic Energy Supplier Forum</t>
  </si>
  <si>
    <t>TPI Report</t>
  </si>
  <si>
    <t>Compliance Support Service</t>
  </si>
  <si>
    <t>Capacity Market Forecast</t>
  </si>
  <si>
    <t>Electricity Regulatory Alerts</t>
  </si>
  <si>
    <t>CfD Supplier Obligations Forecast</t>
  </si>
  <si>
    <t>Energy Supplier Compliance Service</t>
  </si>
  <si>
    <t>CfD Support Service</t>
  </si>
  <si>
    <t>Annuity Consulting</t>
  </si>
  <si>
    <t>Policy and Regulation Consultations Register</t>
  </si>
  <si>
    <t>CI Pro</t>
  </si>
  <si>
    <t>Regulatory Alerts</t>
  </si>
  <si>
    <t>Daily Bulletin</t>
  </si>
  <si>
    <t>Energy Spectrum</t>
  </si>
  <si>
    <t>Daily Domestic Supplier Insight Service</t>
  </si>
  <si>
    <t>Energy Market Bulletin</t>
  </si>
  <si>
    <t>Energy Spectrum Ireland</t>
  </si>
  <si>
    <t>Ireland</t>
  </si>
  <si>
    <t>Flexibility Service</t>
  </si>
  <si>
    <t>GB Battery Revenue Forecast</t>
  </si>
  <si>
    <t>Battery Revenue Forecast GB</t>
  </si>
  <si>
    <t>GB Benchmark Power Curve</t>
  </si>
  <si>
    <t>Benchmark Power Curve (GB)</t>
  </si>
  <si>
    <t>Impact Report</t>
  </si>
  <si>
    <t>Insight Papers</t>
  </si>
  <si>
    <t>Irish Weekly Bulletin</t>
  </si>
  <si>
    <t>Long-Term Roc Forecast</t>
  </si>
  <si>
    <t>Network Charging Forecast</t>
  </si>
  <si>
    <t>Podcasts</t>
  </si>
  <si>
    <t>Policy and Regulatory Consultations Register</t>
  </si>
  <si>
    <t>Renewable Pipeline Tracker</t>
  </si>
  <si>
    <t>SEM Battery Revenue Forecast</t>
  </si>
  <si>
    <t>SEM Benchmark Power Curve</t>
  </si>
  <si>
    <t>SEM Commodity Pricing Report</t>
  </si>
  <si>
    <t>Webinar Recordings (GB)</t>
  </si>
  <si>
    <t>Webinar Recordings (IE/NI)</t>
  </si>
  <si>
    <t>Webinars</t>
  </si>
  <si>
    <t>Weekly Energy Net Zero</t>
  </si>
  <si>
    <t>Benchmark Power Curve</t>
  </si>
  <si>
    <t>Bespoke Weekly Impact Report (Dual Fuel)</t>
  </si>
  <si>
    <t>Bespoke Weekly Impact Report (Electricity)</t>
  </si>
  <si>
    <t>Business Energy Essentials (GB)</t>
  </si>
  <si>
    <t>Business Energy Essentials (GB) (Digital)</t>
  </si>
  <si>
    <t>Business Energy Essentials (Pro) (Digital)</t>
  </si>
  <si>
    <t>Business Supply &amp; Services - Core (GB)</t>
  </si>
  <si>
    <t>-</t>
  </si>
  <si>
    <t>Business Supply &amp; Services - Core (GB) (Digital)</t>
  </si>
  <si>
    <t>Business Supply &amp; Services - Pro (GB)</t>
  </si>
  <si>
    <t>Capacity Market Forecast (GB)</t>
  </si>
  <si>
    <t>CfD SO Forecast</t>
  </si>
  <si>
    <t>Electricity Meeting Reports</t>
  </si>
  <si>
    <t>Energy Spectrum (Digital)</t>
  </si>
  <si>
    <t>FiT Forecast</t>
  </si>
  <si>
    <t>Flexibility (GB)</t>
  </si>
  <si>
    <t>Flexibility (GB) (Digital)</t>
  </si>
  <si>
    <t>Flexibility Market Report</t>
  </si>
  <si>
    <t>Flexibility Markets Report</t>
  </si>
  <si>
    <t>Gas Meeting Reports</t>
  </si>
  <si>
    <t>Home Supply &amp; Services - Core (GB)</t>
  </si>
  <si>
    <t>Home Supply &amp; Services - Core (GB) (Digital)</t>
  </si>
  <si>
    <t>Industry Essentials (IE/NI)</t>
  </si>
  <si>
    <t>Industry Essentials (IE/NI) (Digital)</t>
  </si>
  <si>
    <t>Low Carbon Generation (GB)</t>
  </si>
  <si>
    <t>Market Share Analysis - Domestic</t>
  </si>
  <si>
    <t>Market Share Analysis - Non Domestic Electricity</t>
  </si>
  <si>
    <t>Market Share Analysis - Non Domestic Gas</t>
  </si>
  <si>
    <t>Modification Registers</t>
  </si>
  <si>
    <t>Network Forecasts (GB) (Digital)</t>
  </si>
  <si>
    <t>Non-Commodity Costs - Core (GB) (Digital)</t>
  </si>
  <si>
    <t>Policy &amp; Regulatory Consultation Register (PaRC)</t>
  </si>
  <si>
    <t>Regulatory Intelligence Core (GB)</t>
  </si>
  <si>
    <t>Regulatory Intelligence Core (GB) (Digital)</t>
  </si>
  <si>
    <t>Regulatory Intelligence Pro (GB)</t>
  </si>
  <si>
    <t>Regulatory Intelligence Pro (GB) (Digital)</t>
  </si>
  <si>
    <t>Renewables Pipeline Tracker</t>
  </si>
  <si>
    <t>Renewables PPA Market Share</t>
  </si>
  <si>
    <t>Revenue Streams &amp; PPAs (GB)</t>
  </si>
  <si>
    <t>Roc Forecast</t>
  </si>
  <si>
    <t>Roc Forecast (Medium-Term)</t>
  </si>
  <si>
    <t>Roc Forecast (Within-Year)</t>
  </si>
  <si>
    <t>SEM Benmark Power Curve</t>
  </si>
  <si>
    <t>SME Pricing</t>
  </si>
  <si>
    <t>Supplier Forum - Domestic</t>
  </si>
  <si>
    <t>Supplier Forum - Non Domestic</t>
  </si>
  <si>
    <t>Supplier Insight Service - Domestic (DSIS)</t>
  </si>
  <si>
    <t>Supplier Insight Service - Non Domestic (NDSIS)</t>
  </si>
  <si>
    <t>Third Party Charges Forecast (TPC)</t>
  </si>
  <si>
    <t>Third Party Intermediaries in Business/Industrial Supply Mkt</t>
  </si>
  <si>
    <t>TPI satisfaction survey</t>
  </si>
  <si>
    <t>Energy User Market Intelligence</t>
  </si>
  <si>
    <t>SSE plc</t>
  </si>
  <si>
    <t>NTR Asset Management Europe DAC</t>
  </si>
  <si>
    <t>Switch Business Gas and Power Limited t/a Jellyfish Energy</t>
  </si>
  <si>
    <t>PricewaterhouseCooper Services Limited</t>
  </si>
  <si>
    <t>National Infrastructure and Service Transformation Authority</t>
  </si>
  <si>
    <t>TotalEnergies Gas &amp; Power Limited</t>
  </si>
  <si>
    <t>Forsa Energy Holdings Limited</t>
  </si>
  <si>
    <t>Ganninon Limited</t>
  </si>
  <si>
    <t>Virmati Energy Ltd</t>
  </si>
  <si>
    <t>Xela Energy Ltd</t>
  </si>
  <si>
    <t>Utility Aid Limited</t>
  </si>
  <si>
    <t>Frontier Economics</t>
  </si>
  <si>
    <t>SMS Energy Services Ltd</t>
  </si>
  <si>
    <t>Electricity Association of Ireland</t>
  </si>
  <si>
    <t>Aggreko IPP Solutions Development Limited</t>
  </si>
  <si>
    <t>Consumer Scotland</t>
  </si>
  <si>
    <t>Department for the Economy (NI)</t>
  </si>
  <si>
    <t>Tem Energy Ltd</t>
  </si>
  <si>
    <t>Valda Energy Ltd</t>
  </si>
  <si>
    <t>VPI Power Ltd</t>
  </si>
  <si>
    <t>Yü Energy Retail Limited</t>
  </si>
  <si>
    <t>Fidelity Energy</t>
  </si>
  <si>
    <t>EGG POWER HOLDINGS LIMITED</t>
  </si>
  <si>
    <t>Constellation Energy Limited</t>
  </si>
  <si>
    <t>Landmark Power Holdings Limited</t>
  </si>
  <si>
    <t>Conrad Energy (Trading) Limited</t>
  </si>
  <si>
    <t>Flogas Natural Gas Limited</t>
  </si>
  <si>
    <t>Uniper UK Limited</t>
  </si>
  <si>
    <t>Utility Regulator</t>
  </si>
  <si>
    <t>Triple Point Servco Ltd</t>
  </si>
  <si>
    <t>Unify Energy Limited</t>
  </si>
  <si>
    <t>SmartestEnergy Limited</t>
  </si>
  <si>
    <t>Gren Energy Limited</t>
  </si>
  <si>
    <t>National Grid Electricity Distribution (West Midlands) Plc</t>
  </si>
  <si>
    <t>Copenhagen Infrastructure Service Company LTD</t>
  </si>
  <si>
    <t>Boralex Operations &amp; Development</t>
  </si>
  <si>
    <t>Oakwood Energy Brokerage Ltd</t>
  </si>
  <si>
    <t>ScottishPower Energy Management Limited</t>
  </si>
  <si>
    <t>National Grid Interconnectors Limited</t>
  </si>
  <si>
    <t>Green Peak Energy Pty Ltd</t>
  </si>
  <si>
    <t>Corona Energy Retail Ltd</t>
  </si>
  <si>
    <t>U4LUK RENEWABLES LTD</t>
  </si>
  <si>
    <t>PINERGY</t>
  </si>
  <si>
    <t>Shell International BV</t>
  </si>
  <si>
    <t>Co-operative Group Limited</t>
  </si>
  <si>
    <t>Metka EGN</t>
  </si>
  <si>
    <t>Evolve Energy Supply Limited</t>
  </si>
  <si>
    <t>Sedgwick Trading Ltd Group</t>
  </si>
  <si>
    <t>STX Services BV</t>
  </si>
  <si>
    <t>SSEN Transmission</t>
  </si>
  <si>
    <t>Greater South East Energy Hub</t>
  </si>
  <si>
    <t>Enfinium Limited</t>
  </si>
  <si>
    <t>Bluefield Renewables 1 Ltd</t>
  </si>
  <si>
    <t>Asper Iona Holding Company Limited</t>
  </si>
  <si>
    <t>ElectraLink Limited</t>
  </si>
  <si>
    <t>Click Energy</t>
  </si>
  <si>
    <t>Equinix (UK) Limited</t>
  </si>
  <si>
    <t>Hartree Partners Power &amp; Gas (UK) Ltd</t>
  </si>
  <si>
    <t>Island Green Power UK Ltd</t>
  </si>
  <si>
    <t>Fladgate</t>
  </si>
  <si>
    <t>NFU Energy</t>
  </si>
  <si>
    <t>Energia</t>
  </si>
  <si>
    <t>Smart Energy GB</t>
  </si>
  <si>
    <t>Rolls-Royce Plc</t>
  </si>
  <si>
    <t>Green Nation Energy Ltd</t>
  </si>
  <si>
    <t>Scottish Water Business Stream Ltd</t>
  </si>
  <si>
    <t>UrbanChain Ltd.</t>
  </si>
  <si>
    <t>The Association for Decentralised Energy</t>
  </si>
  <si>
    <t>TEDOM Power UK Limited</t>
  </si>
  <si>
    <t>National Energy Systems Operator Limited</t>
  </si>
  <si>
    <t>Energy Exemplar (Europe) Limited</t>
  </si>
  <si>
    <t>Ernst and Young LLP</t>
  </si>
  <si>
    <t>The Food and Drink Federation</t>
  </si>
  <si>
    <t>Mutual Energy Limited</t>
  </si>
  <si>
    <t>E.ON Energy Solutions Ltd</t>
  </si>
  <si>
    <t>EDF Power Solutions UK and Ireland</t>
  </si>
  <si>
    <t>Citizens Advice Limited</t>
  </si>
  <si>
    <t>Crown Gas and Power</t>
  </si>
  <si>
    <t>VPI Holding Ltd</t>
  </si>
  <si>
    <t>Echelon Clondalkin DC Services Ltd</t>
  </si>
  <si>
    <t>Department for Energy &amp; Net Zero</t>
  </si>
  <si>
    <t>Energy Intensive Users Group (EIUG)</t>
  </si>
  <si>
    <t>SINQ Power Limited</t>
  </si>
  <si>
    <t>Anesco Limited</t>
  </si>
  <si>
    <t>SNRG Limited</t>
  </si>
  <si>
    <t>Scottish Fuel Poverty Advisory Panel</t>
  </si>
  <si>
    <t>SEFE Energy Limited</t>
  </si>
  <si>
    <t>Eneco Energy Trade B.V.</t>
  </si>
  <si>
    <t>Bevan Brittan LLP</t>
  </si>
  <si>
    <t>ESB Networks</t>
  </si>
  <si>
    <t>Cornwall Insight Group</t>
  </si>
  <si>
    <t>GB Subscription Analysis : ARR inc. Product Detail as at Mar-25</t>
  </si>
  <si>
    <t>Customer ID</t>
  </si>
  <si>
    <t>Account Name</t>
  </si>
  <si>
    <t>Product ID</t>
  </si>
  <si>
    <t>Product Name</t>
  </si>
  <si>
    <t>£'000s</t>
  </si>
  <si>
    <t>Company segment tag</t>
  </si>
  <si>
    <t>Subscription segment tag (based on company and product)</t>
  </si>
  <si>
    <t>Supply</t>
  </si>
  <si>
    <t>Other</t>
  </si>
  <si>
    <t>C-10001</t>
  </si>
  <si>
    <t>1302</t>
  </si>
  <si>
    <t>1024</t>
  </si>
  <si>
    <t>ACV</t>
  </si>
  <si>
    <t>C-10002</t>
  </si>
  <si>
    <t>1057</t>
  </si>
  <si>
    <t>C-10003</t>
  </si>
  <si>
    <t>1320</t>
  </si>
  <si>
    <t>C-10006</t>
  </si>
  <si>
    <t>1036</t>
  </si>
  <si>
    <t>C-10007</t>
  </si>
  <si>
    <t>1334</t>
  </si>
  <si>
    <t>C-10009</t>
  </si>
  <si>
    <t>C-10010</t>
  </si>
  <si>
    <t>C-10013</t>
  </si>
  <si>
    <t>1321</t>
  </si>
  <si>
    <t>Industry Essentials (GB) (Digital)</t>
  </si>
  <si>
    <t>C-10016</t>
  </si>
  <si>
    <t>1002</t>
  </si>
  <si>
    <t>C-10017</t>
  </si>
  <si>
    <t>C-10018</t>
  </si>
  <si>
    <t>1328</t>
  </si>
  <si>
    <t>Network Forecasts (GB)</t>
  </si>
  <si>
    <t>C-10020</t>
  </si>
  <si>
    <t>1038</t>
  </si>
  <si>
    <t>C-10021</t>
  </si>
  <si>
    <t>1033</t>
  </si>
  <si>
    <t>C-10022</t>
  </si>
  <si>
    <t>1034</t>
  </si>
  <si>
    <t>C-10024</t>
  </si>
  <si>
    <t>1336</t>
  </si>
  <si>
    <t>Regulatory Intelligence Lite (GB)</t>
  </si>
  <si>
    <t>C-10025</t>
  </si>
  <si>
    <t>C-10026</t>
  </si>
  <si>
    <t>1202</t>
  </si>
  <si>
    <t>Bespoke Core (Briefings)</t>
  </si>
  <si>
    <t>1308</t>
  </si>
  <si>
    <t>1013</t>
  </si>
  <si>
    <t>1316</t>
  </si>
  <si>
    <t>1340</t>
  </si>
  <si>
    <t>1330</t>
  </si>
  <si>
    <t>Non-Commodity Costs - Core (GB)</t>
  </si>
  <si>
    <t>C-10027</t>
  </si>
  <si>
    <t>British Telecommunications Plc</t>
  </si>
  <si>
    <t>D2</t>
  </si>
  <si>
    <t>C-10028</t>
  </si>
  <si>
    <t>1006</t>
  </si>
  <si>
    <t>1007</t>
  </si>
  <si>
    <t>1310</t>
  </si>
  <si>
    <t>1012</t>
  </si>
  <si>
    <t>1054</t>
  </si>
  <si>
    <t>1030</t>
  </si>
  <si>
    <t>1041</t>
  </si>
  <si>
    <t>1055</t>
  </si>
  <si>
    <t>C-10031</t>
  </si>
  <si>
    <t>C-10035</t>
  </si>
  <si>
    <t>C-10037</t>
  </si>
  <si>
    <t>C-10038</t>
  </si>
  <si>
    <t>C-10047</t>
  </si>
  <si>
    <t>C-10048</t>
  </si>
  <si>
    <t>1016</t>
  </si>
  <si>
    <t>1017</t>
  </si>
  <si>
    <t>C-10050</t>
  </si>
  <si>
    <t>C-10051</t>
  </si>
  <si>
    <t>C-10052</t>
  </si>
  <si>
    <t>C-10056</t>
  </si>
  <si>
    <t>1018</t>
  </si>
  <si>
    <t>1324</t>
  </si>
  <si>
    <t>C-10057</t>
  </si>
  <si>
    <t>C-10058</t>
  </si>
  <si>
    <t>C-10060</t>
  </si>
  <si>
    <t>C-10061</t>
  </si>
  <si>
    <t>1335</t>
  </si>
  <si>
    <t>C-10063</t>
  </si>
  <si>
    <t>1338</t>
  </si>
  <si>
    <t>C-10064</t>
  </si>
  <si>
    <t>C-10065</t>
  </si>
  <si>
    <t>1304</t>
  </si>
  <si>
    <t>1326</t>
  </si>
  <si>
    <t>Low Carbon Transport (GB)</t>
  </si>
  <si>
    <t>1342</t>
  </si>
  <si>
    <t>Smart Homes (GB)</t>
  </si>
  <si>
    <t>C-10066</t>
  </si>
  <si>
    <t>C-10067</t>
  </si>
  <si>
    <t>C-10070</t>
  </si>
  <si>
    <t>C-10071</t>
  </si>
  <si>
    <t>DWR Cymru Welsh Water</t>
  </si>
  <si>
    <t>C-10073</t>
  </si>
  <si>
    <t>C-10075</t>
  </si>
  <si>
    <t>C-10076</t>
  </si>
  <si>
    <t>1048</t>
  </si>
  <si>
    <t>C-10078</t>
  </si>
  <si>
    <t>1314</t>
  </si>
  <si>
    <t>C-10080</t>
  </si>
  <si>
    <t>C-10081</t>
  </si>
  <si>
    <t>1029</t>
  </si>
  <si>
    <t>C-10082</t>
  </si>
  <si>
    <t>C-10083</t>
  </si>
  <si>
    <t>C-10084</t>
  </si>
  <si>
    <t>C-10085</t>
  </si>
  <si>
    <t>1042</t>
  </si>
  <si>
    <t>C-10086</t>
  </si>
  <si>
    <t>C-10087</t>
  </si>
  <si>
    <t>D7</t>
  </si>
  <si>
    <t>C-10088</t>
  </si>
  <si>
    <t>C-10089</t>
  </si>
  <si>
    <t>C-10090</t>
  </si>
  <si>
    <t>C-10091</t>
  </si>
  <si>
    <t>1332</t>
  </si>
  <si>
    <t>Non-Commodity Costs - Lite (GB)</t>
  </si>
  <si>
    <t>C-10095</t>
  </si>
  <si>
    <t>C-10096</t>
  </si>
  <si>
    <t>C-10098</t>
  </si>
  <si>
    <t>C-10099</t>
  </si>
  <si>
    <t>C-10101</t>
  </si>
  <si>
    <t>C-10103</t>
  </si>
  <si>
    <t>C-10104</t>
  </si>
  <si>
    <t>C-10106</t>
  </si>
  <si>
    <t>Eurosite Power Limited</t>
  </si>
  <si>
    <t>C-10110</t>
  </si>
  <si>
    <t>1047</t>
  </si>
  <si>
    <t>C-10112</t>
  </si>
  <si>
    <t>C-10113</t>
  </si>
  <si>
    <t>C-10114</t>
  </si>
  <si>
    <t>C-10115</t>
  </si>
  <si>
    <t>C-10116</t>
  </si>
  <si>
    <t>C-10117</t>
  </si>
  <si>
    <t>Ganninon Ltd</t>
  </si>
  <si>
    <t>C-10120</t>
  </si>
  <si>
    <t>C-10121</t>
  </si>
  <si>
    <t>C-10122</t>
  </si>
  <si>
    <t>C-10123</t>
  </si>
  <si>
    <t>C-10126</t>
  </si>
  <si>
    <t>C-10127</t>
  </si>
  <si>
    <t>C-10130</t>
  </si>
  <si>
    <t>C-10131</t>
  </si>
  <si>
    <t>C-10132</t>
  </si>
  <si>
    <t>C-10133</t>
  </si>
  <si>
    <t>C-10134</t>
  </si>
  <si>
    <t>C-10137</t>
  </si>
  <si>
    <t>C-10138</t>
  </si>
  <si>
    <t>C-10139</t>
  </si>
  <si>
    <t>C-10140</t>
  </si>
  <si>
    <t>Itineris</t>
  </si>
  <si>
    <t>1009</t>
  </si>
  <si>
    <t>C-10141</t>
  </si>
  <si>
    <t>C-10142</t>
  </si>
  <si>
    <t>C-10143</t>
  </si>
  <si>
    <t>C-10144</t>
  </si>
  <si>
    <t>C-10145</t>
  </si>
  <si>
    <t>C-10147</t>
  </si>
  <si>
    <t>C-10148</t>
  </si>
  <si>
    <t>C-10149</t>
  </si>
  <si>
    <t>C-10151</t>
  </si>
  <si>
    <t>C-10156</t>
  </si>
  <si>
    <t>C-10157</t>
  </si>
  <si>
    <t>C-10158</t>
  </si>
  <si>
    <t>1015</t>
  </si>
  <si>
    <t>C-10159</t>
  </si>
  <si>
    <t>C-10161</t>
  </si>
  <si>
    <t>C-10162</t>
  </si>
  <si>
    <t>C-10165</t>
  </si>
  <si>
    <t>C-10166</t>
  </si>
  <si>
    <t>MoneySuperMarket.com Limited</t>
  </si>
  <si>
    <t>1318</t>
  </si>
  <si>
    <t>Home Supply &amp; Services - Lite (GB)</t>
  </si>
  <si>
    <t>C-10167</t>
  </si>
  <si>
    <t>C-10168</t>
  </si>
  <si>
    <t>C-10169</t>
  </si>
  <si>
    <t>C-10170</t>
  </si>
  <si>
    <t>C-10171</t>
  </si>
  <si>
    <t>C-10172</t>
  </si>
  <si>
    <t>C-10174</t>
  </si>
  <si>
    <t>C-10178</t>
  </si>
  <si>
    <t>C-10179</t>
  </si>
  <si>
    <t>C-10184</t>
  </si>
  <si>
    <t>C-10185</t>
  </si>
  <si>
    <t>C-10186</t>
  </si>
  <si>
    <t>C-10188</t>
  </si>
  <si>
    <t>1040</t>
  </si>
  <si>
    <t>C-10191</t>
  </si>
  <si>
    <t>1010</t>
  </si>
  <si>
    <t>C-10192</t>
  </si>
  <si>
    <t>1306</t>
  </si>
  <si>
    <t>Business Supply &amp; Services - Lite (GB)</t>
  </si>
  <si>
    <t>C-10193</t>
  </si>
  <si>
    <t>C-10194</t>
  </si>
  <si>
    <t>C-10195</t>
  </si>
  <si>
    <t>On-site Energy Ltd</t>
  </si>
  <si>
    <t>C-10196</t>
  </si>
  <si>
    <t>C-10198</t>
  </si>
  <si>
    <t>C-10199</t>
  </si>
  <si>
    <t>C-10200</t>
  </si>
  <si>
    <t>C-10201</t>
  </si>
  <si>
    <t>Power NI Energy Limited</t>
  </si>
  <si>
    <t>C-10203</t>
  </si>
  <si>
    <t>C-10204</t>
  </si>
  <si>
    <t>C-10205</t>
  </si>
  <si>
    <t>C-10210</t>
  </si>
  <si>
    <t>C-10213</t>
  </si>
  <si>
    <t>C-10215</t>
  </si>
  <si>
    <t>C-10216</t>
  </si>
  <si>
    <t>1301</t>
  </si>
  <si>
    <t>C-10217</t>
  </si>
  <si>
    <t>C-10218</t>
  </si>
  <si>
    <t>C-10221</t>
  </si>
  <si>
    <t>C-10222</t>
  </si>
  <si>
    <t>1027</t>
  </si>
  <si>
    <t>1031</t>
  </si>
  <si>
    <t>1322</t>
  </si>
  <si>
    <t>C-10223</t>
  </si>
  <si>
    <t>C-10224</t>
  </si>
  <si>
    <t>C-10225</t>
  </si>
  <si>
    <t>C-10227</t>
  </si>
  <si>
    <t>C-10228</t>
  </si>
  <si>
    <t>C-10231</t>
  </si>
  <si>
    <t>C-10232</t>
  </si>
  <si>
    <t>Sinq Power Limited</t>
  </si>
  <si>
    <t>C-10233</t>
  </si>
  <si>
    <t>C-10234</t>
  </si>
  <si>
    <t>C-10235</t>
  </si>
  <si>
    <t>C-10236</t>
  </si>
  <si>
    <t>1049</t>
  </si>
  <si>
    <t>C-10238</t>
  </si>
  <si>
    <t>C-10239</t>
  </si>
  <si>
    <t>1014</t>
  </si>
  <si>
    <t>C-10241</t>
  </si>
  <si>
    <t>C-10243</t>
  </si>
  <si>
    <t>C-10244</t>
  </si>
  <si>
    <t>C-10248</t>
  </si>
  <si>
    <t>C-10249</t>
  </si>
  <si>
    <t>1053</t>
  </si>
  <si>
    <t>C-10250</t>
  </si>
  <si>
    <t>C-10251</t>
  </si>
  <si>
    <t>C-10253</t>
  </si>
  <si>
    <t>C-10254</t>
  </si>
  <si>
    <t>C-10255</t>
  </si>
  <si>
    <t>C-10256</t>
  </si>
  <si>
    <t>C-10257</t>
  </si>
  <si>
    <t>C-10259</t>
  </si>
  <si>
    <t>C-10260</t>
  </si>
  <si>
    <t>C-10261</t>
  </si>
  <si>
    <t>C-10262</t>
  </si>
  <si>
    <t>C-10263</t>
  </si>
  <si>
    <t>C-10265</t>
  </si>
  <si>
    <t>C-10266</t>
  </si>
  <si>
    <t>C-10267</t>
  </si>
  <si>
    <t>C-10268</t>
  </si>
  <si>
    <t>C-10270</t>
  </si>
  <si>
    <t>C-10271</t>
  </si>
  <si>
    <t>C-10273</t>
  </si>
  <si>
    <t>C-10274</t>
  </si>
  <si>
    <t>C-10275</t>
  </si>
  <si>
    <t>C-10276</t>
  </si>
  <si>
    <t>1019</t>
  </si>
  <si>
    <t>C-10277</t>
  </si>
  <si>
    <t>1026</t>
  </si>
  <si>
    <t>C-10278</t>
  </si>
  <si>
    <t>C-10279</t>
  </si>
  <si>
    <t>1022</t>
  </si>
  <si>
    <t>1044</t>
  </si>
  <si>
    <t>C-10282</t>
  </si>
  <si>
    <t>C-10283</t>
  </si>
  <si>
    <t>C-10285</t>
  </si>
  <si>
    <t>C-10286</t>
  </si>
  <si>
    <t>C-10288</t>
  </si>
  <si>
    <t>C-10291</t>
  </si>
  <si>
    <t>C-10292</t>
  </si>
  <si>
    <t>C-10293</t>
  </si>
  <si>
    <t>C-10295</t>
  </si>
  <si>
    <t>C-10299</t>
  </si>
  <si>
    <t>C-10301</t>
  </si>
  <si>
    <t>Ynni Teg</t>
  </si>
  <si>
    <t>C-10302</t>
  </si>
  <si>
    <t>C-10303</t>
  </si>
  <si>
    <t>C-10304</t>
  </si>
  <si>
    <t>C-10306</t>
  </si>
  <si>
    <t>C-10313</t>
  </si>
  <si>
    <t>C-10315</t>
  </si>
  <si>
    <t>C-10355</t>
  </si>
  <si>
    <t>1203</t>
  </si>
  <si>
    <t>Bespoke Core (White Label)</t>
  </si>
  <si>
    <t>C-10372</t>
  </si>
  <si>
    <t>C-10403</t>
  </si>
  <si>
    <t>C-10405</t>
  </si>
  <si>
    <t>C-10422</t>
  </si>
  <si>
    <t>C-10425</t>
  </si>
  <si>
    <t>C-10429</t>
  </si>
  <si>
    <t>C-10483</t>
  </si>
  <si>
    <t>C-10484</t>
  </si>
  <si>
    <t>C-10492</t>
  </si>
  <si>
    <t>C-10533</t>
  </si>
  <si>
    <t>C-10537</t>
  </si>
  <si>
    <t>C-10562</t>
  </si>
  <si>
    <t>C-10579</t>
  </si>
  <si>
    <t>C-10624</t>
  </si>
  <si>
    <t>C-10627</t>
  </si>
  <si>
    <t>C-10629</t>
  </si>
  <si>
    <t>C-10633</t>
  </si>
  <si>
    <t>C-10648</t>
  </si>
  <si>
    <t>C-10652</t>
  </si>
  <si>
    <t>HGGC LLC</t>
  </si>
  <si>
    <t>C-10653</t>
  </si>
  <si>
    <t>C-10654</t>
  </si>
  <si>
    <t>U4LUK Renewables Ltd</t>
  </si>
  <si>
    <t>C-10659</t>
  </si>
  <si>
    <t>C-10699</t>
  </si>
  <si>
    <t>C-10721</t>
  </si>
  <si>
    <t>C-10726</t>
  </si>
  <si>
    <t>C-10743</t>
  </si>
  <si>
    <t>FDF CCLA Ltd</t>
  </si>
  <si>
    <t>Supplier</t>
  </si>
  <si>
    <t>Current Spend</t>
  </si>
  <si>
    <t>Potential Additional Spend</t>
  </si>
  <si>
    <t>Shell International B.V.</t>
  </si>
  <si>
    <t>Type</t>
  </si>
  <si>
    <t>TAM no of companies</t>
  </si>
  <si>
    <t>Price £</t>
  </si>
  <si>
    <t>Check</t>
  </si>
  <si>
    <t>Industry Essentials GB</t>
  </si>
  <si>
    <t>Analysis</t>
  </si>
  <si>
    <t>Business Supplier Insight Service</t>
  </si>
  <si>
    <t>Direct market participants</t>
  </si>
  <si>
    <t>Business Market Share</t>
  </si>
  <si>
    <t>Domestic Market Share</t>
  </si>
  <si>
    <t>Flexible Asset PPA Report</t>
  </si>
  <si>
    <t>Long-term Roc</t>
  </si>
  <si>
    <t>Within-year Roc</t>
  </si>
  <si>
    <t>BESS Forecast</t>
  </si>
  <si>
    <t>Third Party Charges</t>
  </si>
  <si>
    <t>CfD Cost Forecast</t>
  </si>
  <si>
    <t>Introduction to GB Energy Markets Academy</t>
  </si>
  <si>
    <t>Training</t>
  </si>
  <si>
    <t>Flexibility Academy</t>
  </si>
  <si>
    <t>Low Carbon Generation Academy</t>
  </si>
  <si>
    <t>Net Zero Transition: Future Electricity Markets</t>
  </si>
  <si>
    <t>Power Purchase Agreements – Structures, Markets &amp; Pricing</t>
  </si>
  <si>
    <t>Net Zero Transition: Low Carbon Heat</t>
  </si>
  <si>
    <t>Net Zero Transition: E-mobility</t>
  </si>
  <si>
    <t>GB Wholesale Energy Markets &amp; Risk Management</t>
  </si>
  <si>
    <t>Introduction to GB Energy Markets Academy - Absorb</t>
  </si>
  <si>
    <t>Training subscription (analogue)</t>
  </si>
  <si>
    <t>Training subscription (digital uplift)</t>
  </si>
  <si>
    <t>Categories</t>
  </si>
  <si>
    <t>Definition</t>
  </si>
  <si>
    <t>A user of power with consumption above 10GWh/year</t>
  </si>
  <si>
    <t>Supplier of power/gas to homes/businesses</t>
  </si>
  <si>
    <t>Developer/owner/operator of renewable power assets</t>
  </si>
  <si>
    <t>Developer/owner/operator of power flexibility assets (inc hydrogen)</t>
  </si>
  <si>
    <t>Investors into the energy market, including PE, VC, debt, pension funds</t>
  </si>
  <si>
    <t>Owner/operator of energy network - local and national</t>
  </si>
  <si>
    <t>Business whose primary function is brokering suppl/generation contracts</t>
  </si>
  <si>
    <t>Professional services businesses including lawyers, financial advisors</t>
  </si>
  <si>
    <t>Public organisations including government departments, LAs, regulators</t>
  </si>
  <si>
    <t>A business in e-mobility including manufacturers, CPOs, suppliers</t>
  </si>
  <si>
    <t>Companies involved in trading power and gas</t>
  </si>
  <si>
    <t>Metering businesses, including MOPs, MAPs, smart metering, data</t>
  </si>
  <si>
    <t>Trade representatives from across energy sectors</t>
  </si>
  <si>
    <t>Demand side response business including aggregators</t>
  </si>
  <si>
    <t>Action</t>
  </si>
  <si>
    <t>Purpose</t>
  </si>
  <si>
    <t>Who</t>
  </si>
  <si>
    <t xml:space="preserve">Job roles by theme </t>
  </si>
  <si>
    <t>For GTM contact sourcing</t>
  </si>
  <si>
    <t>BH/TF</t>
  </si>
  <si>
    <t>SLG planning + Board</t>
  </si>
  <si>
    <t>Long term target setting</t>
  </si>
  <si>
    <t>Type of business</t>
  </si>
  <si>
    <t>Further filtering for GTM</t>
  </si>
  <si>
    <t>Grad/Analyst</t>
  </si>
  <si>
    <t>Attribute</t>
  </si>
  <si>
    <t>Value</t>
  </si>
  <si>
    <t>Whitespace Analysis — New Product Packaging | Active GB Subs Customers | List Price Proxy</t>
  </si>
  <si>
    <t># TAM</t>
  </si>
  <si>
    <t># Held</t>
  </si>
  <si>
    <t>Held ARR £</t>
  </si>
  <si>
    <t>White Space £</t>
  </si>
  <si>
    <t>Products Currently Held</t>
  </si>
  <si>
    <t>White Space Products</t>
  </si>
  <si>
    <t>Over-TAM (outside scope)</t>
  </si>
  <si>
    <t>Ind. Ess. (TAM)</t>
  </si>
  <si>
    <t>Ind. Ess. (Holds)</t>
  </si>
  <si>
    <t>Regulation (TAM)</t>
  </si>
  <si>
    <t>Regulation (Holds)</t>
  </si>
  <si>
    <t>ES MI (TAM)</t>
  </si>
  <si>
    <t>ES MI (Holds)</t>
  </si>
  <si>
    <t>ES Fcst (TAM)</t>
  </si>
  <si>
    <t>ES Fcst (Holds)</t>
  </si>
  <si>
    <t>RNW MI (TAM)</t>
  </si>
  <si>
    <t>RNW MI (Holds)</t>
  </si>
  <si>
    <t>RNW Fcst (TAM)</t>
  </si>
  <si>
    <t>RNW Fcst (Holds)</t>
  </si>
  <si>
    <t>Flex MI (TAM)</t>
  </si>
  <si>
    <t>Flex MI (Holds)</t>
  </si>
  <si>
    <t>Flex Fcst (TAM)</t>
  </si>
  <si>
    <t>Flex Fcst (Holds)</t>
  </si>
  <si>
    <t>EU MI (TAM)</t>
  </si>
  <si>
    <t>EU MI (Holds)</t>
  </si>
  <si>
    <t>EU Fcst (TAM)</t>
  </si>
  <si>
    <t>EU Fcst (Holds)</t>
  </si>
  <si>
    <t>Transition: Bundle Upgrades (new content gained within held products)</t>
  </si>
  <si>
    <t># Prods with Bundle Upgrade</t>
  </si>
  <si>
    <t>Regulation | Energy Supply Market Intelligence | Energy Supply Forecasts | Renewables Market Intelligence | Renewables Forecasts | Flexibility Market Intelligence | Flexibility Forecasts</t>
  </si>
  <si>
    <t>Industry Essentials: had 1 of 8 components → now gets full bundle</t>
  </si>
  <si>
    <t>Industry Essentials | Regulation | Energy Supply Market Intelligence | Energy Supply Forecasts | Renewables Forecasts | Flexibility Market Intelligence | Flexibility Forecasts</t>
  </si>
  <si>
    <t>Renewables MI: had 2 of 7 components → now gets full bundle</t>
  </si>
  <si>
    <t>Industry Essentials | Regulation | Energy Supply Market Intelligence | Energy Supply Forecasts | Renewables Market Intelligence | Flexibility Market Intelligence | Flexibility Forecasts</t>
  </si>
  <si>
    <t>Renewables Fcst: had 2 of 6 components → now gets full bundle</t>
  </si>
  <si>
    <t>Industry Essentials | Regulation | Energy Supply Market Intelligence | Energy Supply Forecasts | Flexibility Market Intelligence | Flexibility Forecasts</t>
  </si>
  <si>
    <t>Renewables MI: had 1 of 7 components → now gets full bundle</t>
  </si>
  <si>
    <t>Energy Supply Market Intelligence | Energy Supply Forecasts</t>
  </si>
  <si>
    <t>Industry Essentials | Regulation | Renewables Market Intelligence | Renewables Forecasts | Flexibility Market Intelligence | Flexibility Forecasts</t>
  </si>
  <si>
    <t>Energy Supply MI: had 4 of 7 components → now gets full bundle | Energy Supply Fcst: had 1 of 5 components → now gets full bundle</t>
  </si>
  <si>
    <t>Energy Supply MI: had 2 of 7 components → now gets full bundle</t>
  </si>
  <si>
    <t>Industry Essentials | Renewables Market Intelligence | Energy User Forecasts</t>
  </si>
  <si>
    <t>Regulation | Energy Supply Market Intelligence | Energy Supply Forecasts | Flexibility Market Intelligence | Flexibility Forecasts</t>
  </si>
  <si>
    <t>Industry Essentials: had 1 of 8 components → now gets full bundle | Renewables MI: had 1 of 7 components → now gets full bundle</t>
  </si>
  <si>
    <t>Regulation | Renewables Market Intelligence | Renewables Forecasts | Flexibility Market Intelligence | Flexibility Forecasts</t>
  </si>
  <si>
    <t>Industry Essentials | Regulation | Renewables Forecasts | Flexibility Market Intelligence | Flexibility Forecasts</t>
  </si>
  <si>
    <t>Industry Essentials | Regulation | Energy Supply Market Intelligence | Energy Supply Forecasts</t>
  </si>
  <si>
    <t>Renewables Market Intelligence | Renewables Forecasts | Flexibility Market Intelligence | Flexibility Forecasts | Energy User Forecasts</t>
  </si>
  <si>
    <t>Industry Essentials: had 1 of 8 components → now gets full bundle | Regulation: had 1 of 8 components → now gets full bundle | Energy Supply MI: had 1 of 7 components → now gets full bundle | Energy Supply Fcst: had 1 of 5 components → now gets full bundle</t>
  </si>
  <si>
    <t>Industry Essentials: had 2 of 8 components → now gets full bundle | Regulation: had 2 of 8 components → now gets full bundle | Energy Supply MI: had 6 of 7 components → now gets full bundle | Energy Supply Fcst: had 1 of 5 components → now gets full bundle</t>
  </si>
  <si>
    <t>Regulation | Renewables Market Intelligence | Renewables Forecasts | Energy User Market Intelligence | Energy User Forecasts</t>
  </si>
  <si>
    <t>Industry Essentials: had 2 of 8 components → now gets full bundle</t>
  </si>
  <si>
    <t>Industry Essentials | Renewables Forecasts</t>
  </si>
  <si>
    <t>Regulation | Energy Supply Market Intelligence | Energy Supply Forecasts | Renewables Market Intelligence | Flexibility Market Intelligence | Flexibility Forecasts</t>
  </si>
  <si>
    <t>Industry Essentials: had 1 of 8 components → now gets full bundle | Renewables Fcst: had 1 of 6 components → now gets full bundle</t>
  </si>
  <si>
    <t>Industry Essentials | Regulation | Renewables Market Intelligence | Renewables Forecasts | Energy User Market Intelligence</t>
  </si>
  <si>
    <t>—</t>
  </si>
  <si>
    <t>Industry Essentials | Regulation | Renewables Market Intelligence | Flexibility Market Intelligence | Flexibility Forecasts</t>
  </si>
  <si>
    <t>Renewables Fcst: had 1 of 6 components → now gets full bundle</t>
  </si>
  <si>
    <t>Industry Essentials | Regulation | Flexibility Market Intelligence</t>
  </si>
  <si>
    <t>Energy Supply Market Intelligence | Energy Supply Forecasts | Flexibility Forecasts | Energy User Forecasts</t>
  </si>
  <si>
    <t>Industry Essentials: had 1 of 8 components → now gets full bundle | Regulation: had 1 of 8 components → now gets full bundle | Flexibility MI: had 1 of 4 components → now gets full bundle</t>
  </si>
  <si>
    <t>Renewables Market Intelligence | Renewables Forecasts | Flexibility Market Intelligence | Flexibility Forecasts</t>
  </si>
  <si>
    <t>Regulation | Renewables Market Intelligence | Flexibility Market Intelligence | Flexibility Forecasts</t>
  </si>
  <si>
    <t>Industry Essentials | Energy Supply Market Intelligence | Renewables Market Intelligence | Flexibility Market Intelligence | Flexibility Forecasts</t>
  </si>
  <si>
    <t>Industry Essentials | Regulation | Energy Supply Market Intelligence | Renewables Market Intelligence | Flexibility Market Intelligence | Flexibility Forecasts</t>
  </si>
  <si>
    <t>Energy Supply Fcst: had 1 of 5 components → now gets full bundle</t>
  </si>
  <si>
    <t>Energy Supply Forecasts | Renewables Market Intelligence</t>
  </si>
  <si>
    <t>Energy Supply Fcst: had 2 of 5 components → now gets full bundle | Renewables MI: had 1 of 7 components → now gets full bundle</t>
  </si>
  <si>
    <t>Industry Essentials | Energy Supply Forecasts</t>
  </si>
  <si>
    <t>Regulation | Energy Supply Market Intelligence | Renewables Market Intelligence | Flexibility Market Intelligence | Flexibility Forecasts</t>
  </si>
  <si>
    <t>Industry Essentials: had 1 of 8 components → now gets full bundle | Energy Supply Fcst: had 1 of 5 components → now gets full bundle</t>
  </si>
  <si>
    <t>Industry Essentials | Energy Supply Forecasts | Renewables Forecasts</t>
  </si>
  <si>
    <t>Energy Supply Market Intelligence | Renewables Market Intelligence | Flexibility Market Intelligence | Flexibility Forecasts</t>
  </si>
  <si>
    <t>Energy Supply Forecasts | Renewables Forecasts</t>
  </si>
  <si>
    <t>Industry Essentials: had 1 of 8 components → now gets full bundle | Energy Supply Fcst: had 1 of 5 components → now gets full bundle | Renewables Fcst: had 1 of 6 components → now gets full bundle</t>
  </si>
  <si>
    <t>Industry Essentials | Regulation | Renewables Market Intelligence | Renewables Forecasts | Energy User Market Intelligence | Energy User Forecasts</t>
  </si>
  <si>
    <t>Industry Essentials | Renewables Market Intelligence</t>
  </si>
  <si>
    <t>Regulation | Renewables Forecasts | Flexibility Market Intelligence | Flexibility Forecasts</t>
  </si>
  <si>
    <t>Industry Essentials | Regulation | Energy Supply Market Intelligence | Energy Supply Forecasts | Renewables Market Intelligence</t>
  </si>
  <si>
    <t>Renewables Forecasts | Flexibility Market Intelligence | Flexibility Forecasts</t>
  </si>
  <si>
    <t>Industry Essentials: had 1 of 8 components → now gets full bundle | Regulation: had 2 of 8 components → now gets full bundle | Energy Supply MI: had 2 of 7 components → now gets full bundle | Energy Supply Fcst: had 2 of 5 components → now gets full bundle | Renewables MI: had 1 of 7 components → now gets full bundle</t>
  </si>
  <si>
    <t>Regulation | Flexibility Market Intelligence | Flexibility Forecasts</t>
  </si>
  <si>
    <t>Industry Essentials: had 2 of 8 components → now gets full bundle | Renewables Fcst: had 2 of 6 components → now gets full bundle</t>
  </si>
  <si>
    <t>Industry Essentials | Energy Supply Market Intelligence | Renewables Market Intelligence</t>
  </si>
  <si>
    <t>Energy Supply Market Intelligence | Renewables Market Intelligence</t>
  </si>
  <si>
    <t>Industry Essentials: had 1 of 8 components → now gets full bundle | Energy Supply MI: had 1 of 7 components → now gets full bundle | Renewables MI: had 1 of 7 components → now gets full bundle</t>
  </si>
  <si>
    <t>Industry Essentials | Regulation | Renewables Market Intelligence | Renewables Forecasts | Flexibility Market Intelligence</t>
  </si>
  <si>
    <t>Flexibility Fcst: had 1 of 2 components → now gets full bundle</t>
  </si>
  <si>
    <t>Industry Essentials | Renewables Market Intelligence | Renewables Forecasts</t>
  </si>
  <si>
    <t>Regulation | Energy Supply Market Intelligence | Energy Supply Forecasts | Flexibility Market Intelligence</t>
  </si>
  <si>
    <t>Renewables Market Intelligence | Renewables Forecasts</t>
  </si>
  <si>
    <t>Industry Essentials: had 1 of 8 components → now gets full bundle | Renewables MI: had 1 of 7 components → now gets full bundle | Renewables Fcst: had 1 of 6 components → now gets full bundle</t>
  </si>
  <si>
    <t>Industry Essentials: had 2 of 8 components → now gets full bundle | Renewables MI: had 2 of 7 components → now gets full bundle</t>
  </si>
  <si>
    <t>Industry Essentials | Regulation | Renewables Forecasts | Energy User Market Intelligence | Energy User Forecasts</t>
  </si>
  <si>
    <t>Renewables Forecasts | Energy User Forecasts</t>
  </si>
  <si>
    <t>Regulation | Energy Supply Market Intelligence | Energy Supply Forecasts | Energy User Market Intelligence</t>
  </si>
  <si>
    <t>Industry Essentials | Energy Supply Market Intelligence | Energy Supply Forecasts | Renewables Market Intelligence | Energy User Forecasts</t>
  </si>
  <si>
    <t>Regulation | Renewables Forecasts</t>
  </si>
  <si>
    <t>Energy Supply Market Intelligence | Energy Supply Forecasts | Energy User Forecasts</t>
  </si>
  <si>
    <t>Industry Essentials: had 1 of 8 components → now gets full bundle | Energy Supply MI: had 1 of 7 components → now gets full bundle | Energy Supply Fcst: had 1 of 5 components → now gets full bundle | Renewables MI: had 1 of 7 components → now gets full bundle</t>
  </si>
  <si>
    <t>Regulation | Renewables Forecasts | Energy User Market Intelligence | Energy User Forecasts</t>
  </si>
  <si>
    <t>Industry Essentials | Regulation | Energy User Market Intelligence | Energy User Forecasts</t>
  </si>
  <si>
    <t>Energy Supply Fcst: had 1 of 5 components → now gets full bundle | Renewables Fcst: had 1 of 6 components → now gets full bundle</t>
  </si>
  <si>
    <t>Energy Supply Market Intelligence | Energy Supply Forecasts | Energy User Market Intelligence</t>
  </si>
  <si>
    <t>Industry Essentials | Regulation | Renewables Market Intelligence | Renewables Forecasts</t>
  </si>
  <si>
    <t>Industry Essentials | Regulation | Energy Supply Forecasts | Flexibility Market Intelligence</t>
  </si>
  <si>
    <t>Energy Supply MI: had 1 of 7 components → now gets full bundle</t>
  </si>
  <si>
    <t>Industry Essentials | Regulation | Energy Supply Market Intelligence | Flexibility Market Intelligence</t>
  </si>
  <si>
    <t>Energy Supply Fcst: had 3 of 5 components → now gets full bundle</t>
  </si>
  <si>
    <t>Industry Essentials | Flexibility Market Intelligence</t>
  </si>
  <si>
    <t>Regulation | Renewables Market Intelligence | Renewables Forecasts</t>
  </si>
  <si>
    <t>Industry Essentials: had 1 of 8 components → now gets full bundle | Flexibility MI: had 1 of 4 components → now gets full bundle</t>
  </si>
  <si>
    <t>Industry Essentials | Energy Supply Forecasts | Renewables Market Intelligence | Renewables Forecasts</t>
  </si>
  <si>
    <t>Regulation | Energy User Market Intelligence | Energy User Forecasts</t>
  </si>
  <si>
    <t>Industry Essentials: had 1 of 8 components → now gets full bundle | Energy Supply Fcst: had 1 of 5 components → now gets full bundle | Renewables MI: had 1 of 7 components → now gets full bundle | Renewables Fcst: had 1 of 6 components → now gets full bundle</t>
  </si>
  <si>
    <t>Industry Essentials | Regulation | Energy Supply Market Intelligence | Renewables Market Intelligence</t>
  </si>
  <si>
    <t>Energy Supply Forecasts | Renewables Forecasts | Flexibility Market Intelligence</t>
  </si>
  <si>
    <t>Industry Essentials: had 1 of 8 components → now gets full bundle | Regulation: had 1 of 8 components → now gets full bundle | Energy Supply MI: had 1 of 7 components → now gets full bundle | Renewables MI: had 1 of 7 components → now gets full bundle</t>
  </si>
  <si>
    <t>Industry Essentials | Regulation | Renewables Market Intelligence | Energy User Market Intelligence | Energy User Forecasts</t>
  </si>
  <si>
    <t>Industry Essentials: had 1 of 8 components → now gets full bundle | Renewables MI: had 1 of 7 components → now gets full bundle | Renewables Fcst: had 2 of 6 components → now gets full bundle</t>
  </si>
  <si>
    <t>Regulation | Energy Supply Market Intelligence | Flexibility Market Intelligence</t>
  </si>
  <si>
    <t>Industry Essentials | Regulation | Renewables Forecasts</t>
  </si>
  <si>
    <t>Industry Essentials | Energy Supply Market Intelligence | Energy Supply Forecasts | Energy User Market Intelligence</t>
  </si>
  <si>
    <t>Industry Essentials | Regulation | Energy User Market Intelligence</t>
  </si>
  <si>
    <t>Industry Essentials | Regulation | Flexibility Forecasts</t>
  </si>
  <si>
    <t>Flexibility MI: had 1 of 4 components → now gets full bundle</t>
  </si>
  <si>
    <t>Renewables MI: had 1 of 7 components → now gets full bundle | Renewables Fcst: had 1 of 6 components → now gets full bundle</t>
  </si>
  <si>
    <t>Renewables MI: had 2 of 7 components → now gets full bundle | Renewables Fcst: had 2 of 6 components → now gets full bundle</t>
  </si>
  <si>
    <t>Industry Essentials: had 3 of 8 components → now gets full bundle | Renewables Fcst: had 2 of 6 components → now gets full bundle</t>
  </si>
  <si>
    <t>Renewables Market Intelligence | Flexibility Market Intelligence | Flexibility Forecasts</t>
  </si>
  <si>
    <t>Industry Essentials | Regulation | Energy Supply Market Intelligence | Energy Supply Forecasts | Renewables Forecasts</t>
  </si>
  <si>
    <t>Industry Essentials: had 1 of 8 components → now gets full bundle | Regulation: had 1 of 8 components → now gets full bundle | Energy Supply MI: had 3 of 7 components → now gets full bundle | Energy Supply Fcst: had 3 of 5 components → now gets full bundle | Renewables Fcst: had 3 of 6 components → now gets full bundle</t>
  </si>
  <si>
    <t>Industry Essentials | Regulation | Energy User Forecasts</t>
  </si>
  <si>
    <t>Energy User MI: had 1 of 2 components → now gets full bundle</t>
  </si>
  <si>
    <t>Industry Essentials | Regulation</t>
  </si>
  <si>
    <t>Renewables MI: had 1 of 7 components → now gets full bundle | Renewables Fcst: had 1 of 6 components → now gets full bundle | Flexibility MI: had 1 of 4 components → now gets full bundle | Flexibility Fcst: had 1 of 2 components → now gets full bundle</t>
  </si>
  <si>
    <t>Industry Essentials | Regulation | Renewables Market Intelligence</t>
  </si>
  <si>
    <t>Industry Essentials | Regulation | Energy Supply Forecasts</t>
  </si>
  <si>
    <t>Industry Essentials: had 1 of 8 components → now gets full bundle | Regulation: had 1 of 8 components → now gets full bundle | Energy Supply Fcst: had 1 of 5 components → now gets full bundle</t>
  </si>
  <si>
    <t>Renewables Market Intelligence | Renewables Forecasts | Energy User Forecasts</t>
  </si>
  <si>
    <t>Renewables MI: had 2 of 7 components → now gets full bundle | Renewables Fcst: had 1 of 6 components → now gets full bundle</t>
  </si>
  <si>
    <t>Industry Essentials | Energy Supply Market Intelligence | Energy Supply Forecasts | Renewables Market Intelligence | Flexibility Market Intelligence | Energy User Market Intelligence</t>
  </si>
  <si>
    <t>Renewables Market Intelligence | Energy User Market Intelligence</t>
  </si>
  <si>
    <t>Industry Essentials: had 2 of 8 components → now gets full bundle | Energy Supply MI: had 4 of 7 components → now gets full bundle | Energy Supply Fcst: had 2 of 5 components → now gets full bundle | Renewables MI: had 2 of 7 components → now gets full bundle | Flexibility MI: had 2 of 4 components → now gets full bundle</t>
  </si>
  <si>
    <t>Energy Supply Market Intelligence | Flexibility Market Intelligence</t>
  </si>
  <si>
    <t>Industry Essentials: had 1 of 8 components → now gets full bundle | Regulation: had 2 of 8 components → now gets full bundle | Energy Supply Fcst: had 1 of 5 components → now gets full bundle</t>
  </si>
  <si>
    <t>Industry Essentials: had 1 of 8 components → now gets full bundle | Regulation: had 1 of 8 components → now gets full bundle | Energy Supply Fcst: had 3 of 5 components → now gets full bundle</t>
  </si>
  <si>
    <t>Industry Essentials | Energy User Forecasts</t>
  </si>
  <si>
    <t>Regulation | Energy User Market Intelligence</t>
  </si>
  <si>
    <t>Industry Essentials | Energy Supply Market Intelligence | Energy User Market Intelligence</t>
  </si>
  <si>
    <t>Industry Essentials | Regulation | Energy Supply Market Intelligence | Energy Supply Forecasts | Renewables Market Intelligence | Renewables Forecasts | Flexibility Market Intelligence</t>
  </si>
  <si>
    <t>Industry Essentials: had 1 of 8 components → now gets full bundle | Regulation: had 1 of 8 components → now gets full bundle | Energy Supply MI: had 2 of 7 components → now gets full bundle | Energy Supply Fcst: had 3 of 5 components → now gets full bundle | Renewables MI: had 1 of 7 components → now gets full bundle | Renewables Fcst: had 3 of 6 components → now gets full bundle | Flexibility MI: had 2 of 4 components → now gets full bundle</t>
  </si>
  <si>
    <t>Industry Essentials: had 1 of 8 components → now gets full bundle | Regulation: had 1 of 8 components → now gets full bundle | Renewables MI: had 1 of 7 components → now gets full bundle</t>
  </si>
  <si>
    <t>Energy Supply Market Intelligence | Energy User Market Intelligence</t>
  </si>
  <si>
    <t>Industry Essentials: had 2 of 8 components → now gets full bundle | Energy Supply Fcst: had 1 of 5 components → now gets full bundle</t>
  </si>
  <si>
    <t>Industry Essentials: had 2 of 8 components → now gets full bundle | Regulation: had 2 of 8 components → now gets full bundle | Energy Supply MI: had 4 of 7 components → now gets full bundle | Energy Supply Fcst: had 2 of 5 components → now gets full bundle</t>
  </si>
  <si>
    <t>Industry Essentials | Energy User Market Intelligence</t>
  </si>
  <si>
    <t>Energy Supply MI: had 1 of 7 components → now gets full bundle | Energy Supply Fcst: had 1 of 5 components → now gets full bundle</t>
  </si>
  <si>
    <t>Renewables MI: had 4 of 7 components → now gets full bundle</t>
  </si>
  <si>
    <t>Unknown</t>
  </si>
  <si>
    <t>Industry Essentials: had 3 of 8 components → now gets full bundle</t>
  </si>
  <si>
    <t>Industry Essentials | Regulation | Energy Supply Market Intelligence | Energy Supply Forecasts | Renewables Market Intelligence | Renewables Forecasts | Flexibility Market Intelligence | Flexibility Forecasts</t>
  </si>
  <si>
    <t>Industry Essentials: had 1 of 8 components → now gets full bundle | Energy Supply MI: had 1 of 7 components → now gets full bundle | Energy Supply Fcst: had 1 of 5 components → now gets full bundle | Renewables MI: had 1 of 7 components → now gets full bundle | Flexibility MI: had 1 of 4 components → now gets full bundle</t>
  </si>
  <si>
    <t>Industry Essentials | Regulation | Flexibility Market Intelligence | Flexibility Forecasts</t>
  </si>
  <si>
    <t>Renewables MI: had 2 of 7 components → now gets full bundle | Flexibility MI: had 1 of 4 components → now gets full bundle</t>
  </si>
  <si>
    <t>Industry Essentials: had 4 of 8 components → now gets full bundle</t>
  </si>
  <si>
    <t>Industry Essentials: had 1 of 8 components → now gets full bundle | Energy Supply MI: had 4 of 7 components → now gets full bundle | Energy Supply Fcst: had 1 of 5 components → now gets full bundle</t>
  </si>
  <si>
    <t>Industry Essentials | Regulation | Renewables Market Intelligence | Renewables Forecasts | Flexibility Market Intelligence | Flexibility Forecasts | Energy User Market Intelligence | Energy User Forecasts</t>
  </si>
  <si>
    <t>Industry Essentials | Regulation | Energy Supply Market Intelligence | Energy Supply Forecasts | Flexibility Market Intelligence</t>
  </si>
  <si>
    <t>Industry Essentials: had 1 of 8 components → now gets full bundle | Regulation: had 1 of 8 components → now gets full bundle | Energy User MI: had 1 of 2 components → now gets full bundle</t>
  </si>
  <si>
    <t>Energy Supply MI: had 2 of 7 components → now gets full bundle | Energy Supply Fcst: had 2 of 5 components → now gets full bundle</t>
  </si>
  <si>
    <t>Industry Essentials: had 1 of 8 components → now gets full bundle | Regulation: had 1 of 8 components → now gets full bundle</t>
  </si>
  <si>
    <t>Industry Essentials: had 1 of 8 components → now gets full bundle | Regulation: had 1 of 8 components → now gets full bundle | Energy Supply MI: had 3 of 7 components → now gets full bundle | Energy Supply Fcst: had 1 of 5 components → now gets full bundle | Renewables MI: had 1 of 7 components → now gets full bundle | Flexibility MI: had 2 of 4 components → now gets full bundle</t>
  </si>
  <si>
    <t>Industry Essentials | Renewables Market Intelligence | Renewables Forecasts | Flexibility Market Intelligence | Flexibility Forecasts</t>
  </si>
  <si>
    <t>Industry Essentials: had 1 of 8 components → now gets full bundle | Energy Supply Fcst: had 1 of 5 components → now gets full bundle | Renewables MI: had 1 of 7 components → now gets full bundle</t>
  </si>
  <si>
    <t>Industry Essentials | Energy Supply Market Intelligence | Energy Supply Forecasts | Renewables Market Intelligence | Renewables Forecasts</t>
  </si>
  <si>
    <t>Industry Essentials | Energy Supply Market Intelligence</t>
  </si>
  <si>
    <t>Industry Essentials: had 1 of 8 components → now gets full bundle | Energy Supply MI: had 3 of 7 components → now gets full bundle</t>
  </si>
  <si>
    <t>Industry Essentials: had 1 of 8 components → now gets full bundle | Energy Supply MI: had 2 of 7 components → now gets full bundle | Energy Supply Fcst: had 1 of 5 components → now gets full bundle | Renewables MI: had 3 of 7 components → now gets full bundle | Renewables Fcst: had 3 of 6 components → now gets full bundle | Flexibility MI: had 2 of 4 components → now gets full bundle | Energy User MI: had 1 of 2 components → now gets full bundle</t>
  </si>
  <si>
    <t>Industry Essentials: had 1 of 8 components → now gets full bundle | Energy Supply MI: had 1 of 7 components → now gets full bundle | Energy Supply Fcst: had 1 of 5 components → now gets full bundle | Renewables Fcst: had 2 of 6 components → now gets full bundle</t>
  </si>
  <si>
    <t>Industry Essentials: had 2 of 8 components → now gets full bundle | Regulation: had 2 of 8 components → now gets full bundle | Energy Supply MI: had 2 of 7 components → now gets full bundle | Energy Supply Fcst: had 2 of 5 components → now gets full bundle | Renewables MI: had 4 of 7 components → now gets full bundle | Renewables Fcst: had 2 of 6 components → now gets full bundle</t>
  </si>
  <si>
    <t>Industry Essentials: had 1 of 8 components → now gets full bundle | Energy Supply MI: had 2 of 7 components → now gets full bundle | Energy Supply Fcst: had 2 of 5 components → now gets full bundle | Renewables Fcst: had 2 of 6 components → now gets full bundle</t>
  </si>
  <si>
    <t>Industry Essentials: had 1 of 8 components → now gets full bundle | Renewables MI: had 2 of 7 components → now gets full bundle</t>
  </si>
  <si>
    <t>Industry Essentials: had 1 of 8 components → now gets full bundle | Energy Supply MI: had 1 of 7 components → now gets full bundle</t>
  </si>
  <si>
    <t>Industry Essentials: had 2 of 8 components → now gets full bundle | Energy Supply Fcst: had 2 of 5 components → now gets full bundle | Renewables Fcst: had 2 of 6 components → now gets full bundle</t>
  </si>
  <si>
    <t>Industry Essentials: had 2 of 8 components → now gets full bundle | Energy Supply MI: had 4 of 7 components → now gets full bundle</t>
  </si>
  <si>
    <t>Industry Essentials: had 1 of 8 components → now gets full bundle | Energy Supply MI: had 2 of 7 components → now gets full bundle | Energy Supply Fcst: had 1 of 5 components → now gets full bundle | Energy User MI: had 1 of 2 components → now gets full bundle</t>
  </si>
  <si>
    <t>Industry Essentials: had 1 of 8 components → now gets full bundle | Energy Supply MI: had 1 of 7 components → now gets full bundle | Renewables MI: had 1 of 7 components → now gets full bundle | Flexibility MI: had 2 of 4 components → now gets full bundle</t>
  </si>
  <si>
    <t>Industry Essentials: had 1 of 8 components → now gets full bundle | Energy Supply MI: had 4 of 7 components → now gets full bundle | Energy Supply Fcst: had 1 of 5 components → now gets full bundle | Flexibility MI: had 1 of 4 components → now gets full bundle</t>
  </si>
  <si>
    <t>Industry Essentials: had 3 of 8 components → now gets full bundle | Regulation: had 3 of 8 components → now gets full bundle | Energy Supply MI: had 3 of 7 components → now gets full bundle | Energy Supply Fcst: had 3 of 5 components → now gets full bundle</t>
  </si>
  <si>
    <t>Industry Essentials: had 1 of 8 components → now gets full bundle | Energy Supply MI: had 3 of 7 components → now gets full bundle | Energy User MI: had 1 of 2 components → now gets full bundle</t>
  </si>
  <si>
    <t>Energy Supply MI: had 1 of 7 components → now gets full bundle | Energy Supply Fcst: had 1 of 5 components → now gets full bundle | Renewables MI: had 1 of 7 components → now gets full bundle | Renewables Fcst: had 1 of 6 components → now gets full bundle</t>
  </si>
  <si>
    <t>Industry Essentials: had 1 of 8 components → now gets full bundle | Renewables MI: had 1 of 7 components → now gets full bundle | Flexibility MI: had 1 of 4 components → now gets full bundle</t>
  </si>
  <si>
    <t>TAM Matching — Order Book Companies Not Found in Company Lists</t>
  </si>
  <si>
    <t>For each unmatched company, review the fuzzy candidates and enter the correct TAM company name in column B (or leave blank if not in TAM)</t>
  </si>
  <si>
    <t>Order Book Company</t>
  </si>
  <si>
    <t>✅ Confirmed TAM Match (type here)</t>
  </si>
  <si>
    <t>Candidate 1</t>
  </si>
  <si>
    <t>Match %</t>
  </si>
  <si>
    <t>Candidate 2</t>
  </si>
  <si>
    <t>Candidate 3</t>
  </si>
  <si>
    <t>Boralax Limited</t>
  </si>
  <si>
    <t>ChargePlace Scotland</t>
  </si>
  <si>
    <t>E.ON UK Plc</t>
  </si>
  <si>
    <t>ESB Energy</t>
  </si>
  <si>
    <t>NESO</t>
  </si>
  <si>
    <t>PricewaterhouseCoooper LLP</t>
  </si>
  <si>
    <t>Sainsbury's Smart Charge</t>
  </si>
  <si>
    <t>Smartest Energy Ltd</t>
  </si>
  <si>
    <t>Flexibility Markets Report (Digital Hub)</t>
  </si>
  <si>
    <t>Third Party Charges Forecasts (TPC)</t>
  </si>
  <si>
    <t>Regulatory Intelligence Pro (Digital Version) (GB)</t>
  </si>
  <si>
    <t>Flexible Power Markets Forecast</t>
  </si>
  <si>
    <t>Regulatory Intelligence Core (Digital Version) (GB)</t>
  </si>
  <si>
    <t>Energy User RtM Analysis</t>
  </si>
  <si>
    <t>Flexibility Core (Digital) (GB)</t>
  </si>
  <si>
    <t>Regulatory Alerts (Digital Version)</t>
  </si>
  <si>
    <t>Network Charging</t>
  </si>
  <si>
    <t>Renewables &amp; Power Market Forecast Report</t>
  </si>
  <si>
    <t>API Third Party Charges</t>
  </si>
  <si>
    <t>Green PPA Market Analysis</t>
  </si>
  <si>
    <t>Policy and Regulatory Consultations Register (Digital Version)</t>
  </si>
  <si>
    <t>Supplier Insight Service - Home</t>
  </si>
  <si>
    <t>Existing Packages</t>
  </si>
  <si>
    <t>Flexibility Core</t>
  </si>
  <si>
    <t># Products</t>
  </si>
  <si>
    <t>Opportunity Name</t>
  </si>
  <si>
    <t>New Package</t>
  </si>
  <si>
    <t>Sales Price</t>
  </si>
  <si>
    <t>Opportunity Type</t>
  </si>
  <si>
    <t>Subscription Commencement Date</t>
  </si>
  <si>
    <t>Subscription End Date</t>
  </si>
  <si>
    <t>Account Owner</t>
  </si>
  <si>
    <t>At Risk</t>
  </si>
  <si>
    <t>1Energy BEC</t>
  </si>
  <si>
    <t>Cross Sell</t>
  </si>
  <si>
    <t>Ben Reade</t>
  </si>
  <si>
    <t>RNW | Nov 25 | ARET | IE &amp; ROC Pack</t>
  </si>
  <si>
    <t>Industry Essentials (Digital Version) (IE/NI)</t>
  </si>
  <si>
    <t>Renewal</t>
  </si>
  <si>
    <t>Therese Murphy</t>
  </si>
  <si>
    <t>Mean</t>
  </si>
  <si>
    <t>XS | Aggreko | BEC</t>
  </si>
  <si>
    <t>Median</t>
  </si>
  <si>
    <t>Other Mean</t>
  </si>
  <si>
    <t>RNW | Aggreko | Industry Essentials | Oct25</t>
  </si>
  <si>
    <t>Industry Essentials (Digital Version) (GB)</t>
  </si>
  <si>
    <t>RNW | Alpha Real | GPF | MAR26</t>
  </si>
  <si>
    <t>Reinstatement</t>
  </si>
  <si>
    <t>Sam Peek</t>
  </si>
  <si>
    <t>RNW Dig Ess GB Oct 25</t>
  </si>
  <si>
    <t>Network Charges</t>
  </si>
  <si>
    <t>Mike Longson</t>
  </si>
  <si>
    <t>REN | Dig ESS | 25/26</t>
  </si>
  <si>
    <t>RNW | Asper | IED GB_IRE</t>
  </si>
  <si>
    <t>Reinstate DEC25 ABP Insight services</t>
  </si>
  <si>
    <t>RNW| OCT25 |Axpo |ES/ESI/WYROC</t>
  </si>
  <si>
    <t>CI Live 2026 Sponsorship</t>
  </si>
  <si>
    <t>CI Live 2026 – Bronze Sponsorship</t>
  </si>
  <si>
    <t>Sponsorship</t>
  </si>
  <si>
    <t>Robert Buckley</t>
  </si>
  <si>
    <t>RNW | IE Low Carbon | SEP25</t>
  </si>
  <si>
    <t>RNW AUG25 Bio Capital GCS</t>
  </si>
  <si>
    <t>RNW JAN26 Bluefield Low Carbon</t>
  </si>
  <si>
    <t>Tom Ross</t>
  </si>
  <si>
    <t>NB FEB26 Boom Networks</t>
  </si>
  <si>
    <t>XS_Boralex_Dec25_ Network Charging</t>
  </si>
  <si>
    <t>RNW NOV25 BCG IE 4 Users</t>
  </si>
  <si>
    <t>RNW intel services 2025-26 Sep 25</t>
  </si>
  <si>
    <t>RNW b2b intel JAN26</t>
  </si>
  <si>
    <t>REN Cost Forecasts Mar 26 y1/2</t>
  </si>
  <si>
    <t>RNW b2b intel JAN27 - y 2/2</t>
  </si>
  <si>
    <t>RNW OCT25 BGS Analysis &amp; Training</t>
  </si>
  <si>
    <t>Henrik Ljostad</t>
  </si>
  <si>
    <t>BSR - CM forecast</t>
  </si>
  <si>
    <t>David Ellis</t>
  </si>
  <si>
    <t>RNW SEPT25 Bute 3G</t>
  </si>
  <si>
    <t>RNW May26 CEPA IE (Year 1)</t>
  </si>
  <si>
    <t>RNW May26 CEPA IE (Year 2)</t>
  </si>
  <si>
    <t>Cargill-Flex forecast</t>
  </si>
  <si>
    <t>Peter Carr</t>
  </si>
  <si>
    <t>REN JAN 26 REVENUE STREAMS &amp; PPAs</t>
  </si>
  <si>
    <t>REN JAN 27 REVENUE STREAMS &amp; PPAs y2/2</t>
  </si>
  <si>
    <t>RNW AUG25 Cicero Group IE4</t>
  </si>
  <si>
    <t>RNW APR26 Citizens Adv Year 1/1</t>
  </si>
  <si>
    <t>RNW |Feb 26 |Click |Ind Ess IE_NI</t>
  </si>
  <si>
    <t>RNW_CCC_Industry Essentials: 2026-27</t>
  </si>
  <si>
    <t>XS NOV25 Conrad TPI</t>
  </si>
  <si>
    <t>RNW APR26 Conrad TPC, B2B, PPA</t>
  </si>
  <si>
    <t>XS JUN25 Constellation TPC</t>
  </si>
  <si>
    <t>RNW NOV25 Constellation Low Carbon 2/2</t>
  </si>
  <si>
    <t>RNW APR26 Consultus - Year 1/2 - TPI TPC</t>
  </si>
  <si>
    <t>IE &amp; Training</t>
  </si>
  <si>
    <t>100 credits</t>
  </si>
  <si>
    <t>Credits</t>
  </si>
  <si>
    <t>RNW | Coop | Jan 2026</t>
  </si>
  <si>
    <t>RNW |Nov 25 |CIP |Ind Ess GB &amp; IE/NI</t>
  </si>
  <si>
    <t>XS | Apr 26 | CIP | Ind Ess GB &amp; IE/NI - Inc User</t>
  </si>
  <si>
    <t>RNW JAN26 Corona IE,BSS,TPCC,ROC2</t>
  </si>
  <si>
    <t>RNW APR26 Crown - year 1/3</t>
  </si>
  <si>
    <t>RNW APR26 Crown - year 2/3 - Renewal</t>
  </si>
  <si>
    <t>RNW APR28 Crown - year 3/3 - Renewal</t>
  </si>
  <si>
    <t>RNW MAR26 Danske LTROC</t>
  </si>
  <si>
    <t>RNW APR26 DESNZ Insight Package</t>
  </si>
  <si>
    <t>NB | Jul 25 | DfE | Ind Ess (IE/NI)</t>
  </si>
  <si>
    <t>RNW APR26 DNV IndEss</t>
  </si>
  <si>
    <t>Energy intel services 2026-27</t>
  </si>
  <si>
    <t>RNW Apr 26 Energy intelligence y1/2</t>
  </si>
  <si>
    <t>RNW TPC April 26 yr 2/2</t>
  </si>
  <si>
    <t>RNW | Mar 26 | Echelon | SEM BPC</t>
  </si>
  <si>
    <t>Out of scope (Ireland)</t>
  </si>
  <si>
    <t>RNW Reg. &amp; intel services 2025-26</t>
  </si>
  <si>
    <t>500 credits</t>
  </si>
  <si>
    <t>RNW JAN26 EDF Wholesale/Retail yr1</t>
  </si>
  <si>
    <t>RNW JAN26 EDF Wholesale/Retail yr2</t>
  </si>
  <si>
    <t>NEW APR26 EDFPS Low Carb</t>
  </si>
  <si>
    <t>RNW JUL25 EDW White label</t>
  </si>
  <si>
    <t>RNW AUG25 Eku Energy F2</t>
  </si>
  <si>
    <t>RNW FEB25 IE TPIR 24M (Y2/2)</t>
  </si>
  <si>
    <t>RNW | AUG 25 | EAI I ESI</t>
  </si>
  <si>
    <t>RNW OCT25 Elexon Industry Essentials</t>
  </si>
  <si>
    <t>RNW MAY26 Eneco Dig Ess PPA NDSIS</t>
  </si>
  <si>
    <t>RNW|Mar 26 |Energia |Ind Ess IE_NI&amp; GB</t>
  </si>
  <si>
    <t>RNW FEB26 EDL BPC, IEGB, GCS, LTROC</t>
  </si>
  <si>
    <t>RNW | APR26 | Energy Exemplar - Year 2/2</t>
  </si>
  <si>
    <t>RNW_EIUG_1-user _Industry Essentials (Year 1)_Apr 2026</t>
  </si>
  <si>
    <t>RNW_EIUG_1-user _Industry Essentials (Year 2)_Apr 2027</t>
  </si>
  <si>
    <t>RNW (was FEB26) Melton BPC</t>
  </si>
  <si>
    <t>RNW OCT25 ESC F2&amp;3G</t>
  </si>
  <si>
    <t>RNW APR26 ESC IndEss</t>
  </si>
  <si>
    <t>RNW | Enfinium | JAN26 reinstatement</t>
  </si>
  <si>
    <t>RNW | Enfinium | JAN27</t>
  </si>
  <si>
    <t>RNW intel &amp; regs Jan26</t>
  </si>
  <si>
    <t>REN APR26 IND ESS GB &amp; TPC - analysis</t>
  </si>
  <si>
    <t>RNW Dec '25 EPEX IE 1-5 Users</t>
  </si>
  <si>
    <t>RNW OCT25 EPG REGS &amp; Bespoke briefings</t>
  </si>
  <si>
    <t>FEB26 Equinix TPC</t>
  </si>
  <si>
    <t>RNW AUG25 Equinor Low Carb 1/2</t>
  </si>
  <si>
    <t>RNW AUG26 Equinor Low Carb 2/2</t>
  </si>
  <si>
    <t>RNW SEPT25 Equitix 3G</t>
  </si>
  <si>
    <t>RNW FEB26 ERG ES, F2</t>
  </si>
  <si>
    <t>Ernst and Young - RNW - 1 Apr 26 (Y1)</t>
  </si>
  <si>
    <t>Ernst and Young - RNW - 1 Apr 26 (Y2)</t>
  </si>
  <si>
    <t>RNW | Nov 25 | Erova | Ind Ess IE/NI</t>
  </si>
  <si>
    <t>Mar 26 | ESBN | Ind Ess IE/NI &amp; Flex Hub Reinstatement</t>
  </si>
  <si>
    <t>CS | MAY 25 | ESB GT | SEM BRF</t>
  </si>
  <si>
    <t>RNW | Nov 25 | ESB GT | Ind Ess IE/NI &amp; GB</t>
  </si>
  <si>
    <t>XS | Mar 26 | ESB GT | CM Package (GB)</t>
  </si>
  <si>
    <t>Mar 26 | ESB GT | GB Networks Forecast Reinstatement</t>
  </si>
  <si>
    <t>RNW JAN26 BPG ES,10YrTPC, TPI BPC</t>
  </si>
  <si>
    <t>Founding Sponsor CI Live 2026-27 y1/2</t>
  </si>
  <si>
    <t>CI Live 2026 – Platinum Sponsorship</t>
  </si>
  <si>
    <t>RNW | Feb 26 | Fichtner | 3G</t>
  </si>
  <si>
    <t>Fidelity Energy- TPI Report</t>
  </si>
  <si>
    <t>IE 3 users</t>
  </si>
  <si>
    <t>RNW | Oct 25 | Flogas | Ind Ess IE/NI</t>
  </si>
  <si>
    <t>RNW JUL25 Forsa F2 3G</t>
  </si>
  <si>
    <t>RNW APR26 Fred Olsen TNUoS, Regs</t>
  </si>
  <si>
    <t>RNW AUG26 FE IE/BEE 4 users Y2</t>
  </si>
  <si>
    <t>FTI | Industry Essentials | 26-27</t>
  </si>
  <si>
    <t>RNW JUL25 Ganninon IndEss</t>
  </si>
  <si>
    <t>Energy Intel Services 2026-27</t>
  </si>
  <si>
    <t>RNW JUL25 Gowling IndEss (2/2)</t>
  </si>
  <si>
    <t>BEC</t>
  </si>
  <si>
    <t>RNW APR26 Green Energy - Year 1/1 (forced auto-renewal)</t>
  </si>
  <si>
    <t>CM Forecast</t>
  </si>
  <si>
    <t>Evanthia Constantinidou</t>
  </si>
  <si>
    <t>Green Peak BPC, FCAS &amp; PVC 24mths</t>
  </si>
  <si>
    <t>Bespoke Consultancy - Probabilistic Volatility Curve</t>
  </si>
  <si>
    <t>Out of scope (Australia)</t>
  </si>
  <si>
    <t>FCAS Curve</t>
  </si>
  <si>
    <t>NEM Benchmark Power Curve</t>
  </si>
  <si>
    <t>RNW | Gren Energy | BEC | DEC25</t>
  </si>
  <si>
    <t>RNW_Hartree Partners_ Feb 2026</t>
  </si>
  <si>
    <t>IS | IE 1-User | Apr 26 - Year 1</t>
  </si>
  <si>
    <t>IS | IE 1-User | Apr 26 - Year 2</t>
  </si>
  <si>
    <t>RNW | Infinis | APR26 | new package</t>
  </si>
  <si>
    <t>RNW Sep 25 Inspired Mkt Intel</t>
  </si>
  <si>
    <t>RNW MAY26 Interconnector ES4 Y2</t>
  </si>
  <si>
    <t>NB FEB26 Island Green Power IndEss</t>
  </si>
  <si>
    <t>RNW | JG Pears | BEC</t>
  </si>
  <si>
    <t>RNW JUL25 JLL 3G 1/2</t>
  </si>
  <si>
    <t>RNW JUL26 JLL 3G 2/2</t>
  </si>
  <si>
    <t>RNW NOV25 Landmark BEC Forecast</t>
  </si>
  <si>
    <t>RNW MAR26 Landmark BEC wholesale data</t>
  </si>
  <si>
    <t>RNW APR26 Laser Market Intelligence</t>
  </si>
  <si>
    <t>RNW OCT25 Last Mile Market Intel</t>
  </si>
  <si>
    <t>IE</t>
  </si>
  <si>
    <t>LGE- Industry Essentials</t>
  </si>
  <si>
    <t>RNW SEP24 LCCC IE yr2</t>
  </si>
  <si>
    <t>RNW SEP24 LCCC IE yr3</t>
  </si>
  <si>
    <t>RNW | Low Carbon | IED | DEC25</t>
  </si>
  <si>
    <t>RNW MARCH 26 - Year 1/2 - Domestic Market Share</t>
  </si>
  <si>
    <t>RNW MARCH 26 - Year 2/2 - Domestic Market Share - Renewal</t>
  </si>
  <si>
    <t>RNW | MAG | Bespoke DEC 2025-26</t>
  </si>
  <si>
    <t>Bespoke Consultancy - Delivered Energy Costs</t>
  </si>
  <si>
    <t>Bespoke Consultancy</t>
  </si>
  <si>
    <t>RNW AUG25 Manx, BPC IndESS</t>
  </si>
  <si>
    <t>RNW JUN25 Marble Packages</t>
  </si>
  <si>
    <t>RNW JAN26 Metka market intel y1</t>
  </si>
  <si>
    <t>RNW JAN27 Metka market intel - y2</t>
  </si>
  <si>
    <t>EV Flex Market Intelligence</t>
  </si>
  <si>
    <t>RNW | APR26 | Moto | BEC | year 2/2</t>
  </si>
  <si>
    <t>RNW APR26 Mutual Energy Ind Ess GB</t>
  </si>
  <si>
    <t>XS JUL25 Nadara Networks, BESS</t>
  </si>
  <si>
    <t>RNW MAR25 NEA IE 2 years y2/2</t>
  </si>
  <si>
    <t>RNW APR26 NESO Insight Package</t>
  </si>
  <si>
    <t>RNW APR27 NESO Insight Package - year 2</t>
  </si>
  <si>
    <t>RNW | NGED | DEC25 | IED (Yr 1)</t>
  </si>
  <si>
    <t>RNW | NGED | DEC25 | IED (Yr 2)</t>
  </si>
  <si>
    <t>RNW JAN26 NGI Market insight</t>
  </si>
  <si>
    <t>RNW Jun25 NIC IE 4-Users</t>
  </si>
  <si>
    <t>RNW JULY25 NextEnergy BPC</t>
  </si>
  <si>
    <t>RNW JAN26 NextEnergy IEGB</t>
  </si>
  <si>
    <t>RNW_NFU_ Feb 26 - (Y1)</t>
  </si>
  <si>
    <t>RNW_NFU_ Feb 26 - (Y2)</t>
  </si>
  <si>
    <t>RNW | NGN | MAY26 | IE REGs</t>
  </si>
  <si>
    <t>RNW JAN26 Ocean Winds Regs/3G</t>
  </si>
  <si>
    <t>RNW 2026 B2C, B2B, Regs JAN 26 yr 1/2</t>
  </si>
  <si>
    <t>RNW TPC Apr 26 yr 2/2</t>
  </si>
  <si>
    <t>RNW 2027 B2C, B2B, Regs Ess y 2/2</t>
  </si>
  <si>
    <t>RNW Dif ESS SIS Dec 25 y2/2</t>
  </si>
  <si>
    <t>NEW JULY25 Ohme Industry Essentials</t>
  </si>
  <si>
    <t>RNW JAN26 OnPath 3G &amp; IEGB</t>
  </si>
  <si>
    <t>RNW APR26 Orsted IEGB</t>
  </si>
  <si>
    <t>RNW SEPT25 Orsted WYROC &amp; LTROC</t>
  </si>
  <si>
    <t>Insight &amp; tariff cap 2025-26</t>
  </si>
  <si>
    <t>Bespoke Consultancy - Tariff Cap Forecasts</t>
  </si>
  <si>
    <t>RNW| Jan 26 |Pinergy | Ind Ess IE_NI</t>
  </si>
  <si>
    <t>RNW JAN26 PoTL MI</t>
  </si>
  <si>
    <t>RNW_PwC_Industry Essentials - 12 users</t>
  </si>
  <si>
    <t>RNW 2026_PwC_ IE - 12 users (Y1)</t>
  </si>
  <si>
    <t>RNW 2026_PwC_ IE - 12 users (Y2)</t>
  </si>
  <si>
    <t>RNW | IE | PEP | Apr 26 (Y1/2)</t>
  </si>
  <si>
    <t>RNW | IE | PEP | Apr 27 (Y2/2)</t>
  </si>
  <si>
    <t>April 2026 Industry Essentials (GB) digital</t>
  </si>
  <si>
    <t>NEW FEB26 Rolls Royce BEC</t>
  </si>
  <si>
    <t>RNW JAN26 RWE Low Carbon</t>
  </si>
  <si>
    <t>XS MAR26 RWE BEC</t>
  </si>
  <si>
    <t>RNW JUL25 S&amp;P Global IE5</t>
  </si>
  <si>
    <t>RNW APR26 Schroders IndEss GB/IRE</t>
  </si>
  <si>
    <t>RNW SGN IE APR26</t>
  </si>
  <si>
    <t>RNW IE Scottish Fuel Pov May 2026</t>
  </si>
  <si>
    <t>Business Stream - TPI Report</t>
  </si>
  <si>
    <t>RNW JUL25 Scottish Water Insight</t>
  </si>
  <si>
    <t>RNW JAN26  Energy intel services y1/2</t>
  </si>
  <si>
    <t>RNW Energy intelligence 2025-26</t>
  </si>
  <si>
    <t>RNW Energy intelligence 2026-27</t>
  </si>
  <si>
    <t>RNW JAN26 Blackfinch Network Costs</t>
  </si>
  <si>
    <t>RNW MAY26 SEFE Regs bespoke briefings</t>
  </si>
  <si>
    <t>RNW JAN26 Sembcorp IEGB</t>
  </si>
  <si>
    <t>RNW complete insight service 2026 y1/2</t>
  </si>
  <si>
    <t>RNW complete insight service 2027 y2/2</t>
  </si>
  <si>
    <t>RNW SINQ | TPC | APR26</t>
  </si>
  <si>
    <t>Slaughter&amp;May | IE| 1 April 26 (Y1)</t>
  </si>
  <si>
    <t>Slaughter&amp;May | IE | 1 April 26 (Y2)</t>
  </si>
  <si>
    <t>Smart DCC_IE_Reinstatement</t>
  </si>
  <si>
    <t>RNW MAR26 Smart Energy IE1-5 - Y1</t>
  </si>
  <si>
    <t>RNW MAR27 Smart Energy IE1-5 - Y2</t>
  </si>
  <si>
    <t>XS B2B gas survey Dec25</t>
  </si>
  <si>
    <t>RNW APR26 Smartest</t>
  </si>
  <si>
    <t>RNW APR26 Smartest - Renewal - Year 2/2</t>
  </si>
  <si>
    <t>RNW AUG25 SMS Supply &amp; Ess (Yr1/2)</t>
  </si>
  <si>
    <t>RNW APR26 SMS TPC 24M (Y 2/2)</t>
  </si>
  <si>
    <t>RNW | SNRG | BEC parent opp | Mar26</t>
  </si>
  <si>
    <t>RNW APR26 SO Energy</t>
  </si>
  <si>
    <t>RNW OCT25 Sonnedix 3G</t>
  </si>
  <si>
    <t>RNW DEC25 Sonnedix network forecast</t>
  </si>
  <si>
    <t>DEC26 Sonnedix network forecast - Renewal</t>
  </si>
  <si>
    <t>RNW FEB26 Squeaky Clean Energy TPC</t>
  </si>
  <si>
    <t>RNW OCT25 SPB InEss GB</t>
  </si>
  <si>
    <t>RNW Third Party Charges Jul26</t>
  </si>
  <si>
    <t>RNW APR26 market intel</t>
  </si>
  <si>
    <t>SSEN - Renewable Power Market Report</t>
  </si>
  <si>
    <t>RNW MAR26 Statera IndEss Networks</t>
  </si>
  <si>
    <t>RNW Jul 25 Intel 2025-26 (Yr 1/2)</t>
  </si>
  <si>
    <t>RNW JAN26 STX WYROC - Renewal</t>
  </si>
  <si>
    <t>RNW OCT25 Suez WYROC 3G (1/2)</t>
  </si>
  <si>
    <t>RNW OCT26 Suez WYROC 3G (2/2)</t>
  </si>
  <si>
    <t>NB MAY25 SwitchBGP 5YPPP</t>
  </si>
  <si>
    <t>Tedom | BEC renewal | APR26</t>
  </si>
  <si>
    <t>TEM - BEC</t>
  </si>
  <si>
    <t>RNW JAN26 Tesla Flex Regs</t>
  </si>
  <si>
    <t>RNW APR26 Thames Water BPC - Analysis</t>
  </si>
  <si>
    <t>RNW APR26 ADE IEGB</t>
  </si>
  <si>
    <t>RNW | TCE | Oct 25 new SF</t>
  </si>
  <si>
    <t>RNW JUL25 Energy Consortium IE12</t>
  </si>
  <si>
    <t>RNW Apr 2026 TEC IE12 and R&amp;P (Y1)</t>
  </si>
  <si>
    <t>RNW Apr 2026 TEC IE12 and R&amp;P (Y2)</t>
  </si>
  <si>
    <t>RNW | FDF | IE APR26 | Y1/2</t>
  </si>
  <si>
    <t>RNW | FDF | IE APR27 | Y2/2</t>
  </si>
  <si>
    <t>RNW DEC25 Thrive 3G</t>
  </si>
  <si>
    <t>RNW APR26 TMA IEGB - Year 1_Reinstatement</t>
  </si>
  <si>
    <t>Energy intel services 2025-26 yr2/2</t>
  </si>
  <si>
    <t>RNW APR26 Tradelink ES/3G</t>
  </si>
  <si>
    <t>RNW APR27 Tradelink 3G/IndEss (2/2)</t>
  </si>
  <si>
    <t>Network Charges 2025</t>
  </si>
  <si>
    <t>RNW Jan26 U4LUK - 5-year PPP</t>
  </si>
  <si>
    <t>RNW DEC25 Market Intel Package YR2</t>
  </si>
  <si>
    <t>XS Nov25 Uniper TNUoS</t>
  </si>
  <si>
    <t>XS_UGP_ Regulatory Intel (GB) '25</t>
  </si>
  <si>
    <t>RNW SEP25 UGP IE, TPC NDSF</t>
  </si>
  <si>
    <t>RNW | UU | BEC | Mar26</t>
  </si>
  <si>
    <t>RNW AUG25 UPM Kymmene ROC Forecasts</t>
  </si>
  <si>
    <t>RNW | UC | TPC_NF | Mar26 - year 1</t>
  </si>
  <si>
    <t>RNW | UC | TPC_NF | Mar27 - year 2</t>
  </si>
  <si>
    <t>RNW OCT25 Utilita Supply (1/2)</t>
  </si>
  <si>
    <t>RNW OCT25 Utilita Supply (2/2)</t>
  </si>
  <si>
    <t>NEW IE UTILITY AID MARCH 2025</t>
  </si>
  <si>
    <t>RNW NOV25 UR | Essentials GB &amp; IE/NI</t>
  </si>
  <si>
    <t>RNW JAN26 UW Insight Package</t>
  </si>
  <si>
    <t>RNW OCT25 Valda TPC</t>
  </si>
  <si>
    <t>RNW JUL25 Vattenfall Low Carbon (2/2)</t>
  </si>
  <si>
    <t>RNW FEB26 Vattenfall Regs Registers &amp; Briefings</t>
  </si>
  <si>
    <t>RNW JAN26 Vattenfall IEGB</t>
  </si>
  <si>
    <t>RNW APR26 Vestas 3G</t>
  </si>
  <si>
    <t>Viridor - TPC</t>
  </si>
  <si>
    <t>NEW JULY25 Field BRF</t>
  </si>
  <si>
    <t>BEC reinstatement</t>
  </si>
  <si>
    <t>RNW | VPI | IEGB | Apr26</t>
  </si>
  <si>
    <t>RNW | Sept 25 | VPI | Ind Ess IE/NI</t>
  </si>
  <si>
    <t>RNW APR26 W&amp;W Insight</t>
  </si>
  <si>
    <t>RNW APR26 West Mercia TPC Year 1/2</t>
  </si>
  <si>
    <t>RNW JUL25 West of England GPF/BPC</t>
  </si>
  <si>
    <t>RNW SEPT25 White &amp; Case IndE 2/2</t>
  </si>
  <si>
    <t>RNW JAN26 Windcluster GPF</t>
  </si>
  <si>
    <t>Xela Energy BPC</t>
  </si>
  <si>
    <t>Xoserve_Sept25_IE12</t>
  </si>
  <si>
    <t>RNW APR26 YnNi Teg BPC</t>
  </si>
  <si>
    <t>Yorkshire Gas and Power- TPC</t>
  </si>
  <si>
    <t>Yorkshire Gas and Power- TPC - Renewal Year 2</t>
  </si>
  <si>
    <t>Yorkshire Gas and Power- TPC Year 3 - Renewal</t>
  </si>
  <si>
    <t>Water UK DEC Forecast - yorkshire Water iteration</t>
  </si>
  <si>
    <t>Bespoke Consultancy -Briefings</t>
  </si>
  <si>
    <t>XS YU B2B Sup/RNW Non com Oct25 yr1/2</t>
  </si>
  <si>
    <t>XS YU B2B Sup/RNW Non com Oct26 yr2/2</t>
  </si>
  <si>
    <t>RNW SEP25 Zenergi TPI TPC</t>
  </si>
  <si>
    <t>RNW APR26 ZTP - Year 1/2</t>
  </si>
  <si>
    <t>Subs order book</t>
  </si>
  <si>
    <t>As of 2026-05-11 11:45:13 Greenwich Mean Time/GMT • Generated by Tim Dixon • Sorted by Subscription End Date (Ascending)</t>
  </si>
  <si>
    <t>Filtered By</t>
  </si>
  <si>
    <t>Show: All opportunities</t>
  </si>
  <si>
    <t>Opportunity Status: Any</t>
  </si>
  <si>
    <t>Probability: All</t>
  </si>
  <si>
    <t>License Type not equal to Free Trial</t>
  </si>
  <si>
    <t>Product Type equals Subscription</t>
  </si>
  <si>
    <t>Sales Price greater than GBP 1</t>
  </si>
  <si>
    <t>Stage equals Closed Won</t>
  </si>
  <si>
    <t>Subscription End Date greater or equal TODAY</t>
  </si>
  <si>
    <t>Opportunity Type equals Renewal</t>
  </si>
  <si>
    <t>Stage not equal to Closed Won,Closed Lost</t>
  </si>
  <si>
    <t>Subscription Commencement Date less than TODAY</t>
  </si>
  <si>
    <t xml:space="preserve">Account Owner contains </t>
  </si>
  <si>
    <t>31/03/2026</t>
  </si>
  <si>
    <t>21/05/2025</t>
  </si>
  <si>
    <t>20/05/2026</t>
  </si>
  <si>
    <t>NEW MAY25 NTR TNUoS (1/2)</t>
  </si>
  <si>
    <t>31/05/2026</t>
  </si>
  <si>
    <t>24/06/2025</t>
  </si>
  <si>
    <t>23/06/2026</t>
  </si>
  <si>
    <t>30/06/2026</t>
  </si>
  <si>
    <t>Corporates &amp; Public Sector (GB)</t>
  </si>
  <si>
    <t>RNW_Complete Strategy_ JUL 25 (ES)</t>
  </si>
  <si>
    <t>Energy Spectrum - Single user licence</t>
  </si>
  <si>
    <t>14/07/2025</t>
  </si>
  <si>
    <t>13/07/2026</t>
  </si>
  <si>
    <t>18/07/2025</t>
  </si>
  <si>
    <t>17/07/2026</t>
  </si>
  <si>
    <t>22/04/2025</t>
  </si>
  <si>
    <t>21/07/2026</t>
  </si>
  <si>
    <t>31/07/2025</t>
  </si>
  <si>
    <t>30/07/2026</t>
  </si>
  <si>
    <t>31/07/2026</t>
  </si>
  <si>
    <t>RNW AUG25 FE ES/ENZ 4 users Y1</t>
  </si>
  <si>
    <t>Energy: Net Zero -single user to 4 User Licenses</t>
  </si>
  <si>
    <t>Energy Spectrum - four user licence</t>
  </si>
  <si>
    <t>16/08/2025</t>
  </si>
  <si>
    <t>15/08/2026</t>
  </si>
  <si>
    <t>26/08/2025</t>
  </si>
  <si>
    <t>25/08/2026</t>
  </si>
  <si>
    <t>31/08/2026</t>
  </si>
  <si>
    <t>18/09/2025</t>
  </si>
  <si>
    <t>17/09/2026</t>
  </si>
  <si>
    <t>28/09/2025</t>
  </si>
  <si>
    <t>27/09/2026</t>
  </si>
  <si>
    <t>30/09/2025</t>
  </si>
  <si>
    <t>29/09/2026</t>
  </si>
  <si>
    <t>30/09/2026</t>
  </si>
  <si>
    <t>Energy Spectrum - standard licence 12 user</t>
  </si>
  <si>
    <t>EGG | DUoS Forecast | Oct25</t>
  </si>
  <si>
    <t>21/10/2025</t>
  </si>
  <si>
    <t>20/10/2026</t>
  </si>
  <si>
    <t>23/06/2025</t>
  </si>
  <si>
    <t>22/10/2026</t>
  </si>
  <si>
    <t>31/10/2025</t>
  </si>
  <si>
    <t>30/10/2026</t>
  </si>
  <si>
    <t>RNW NOV25 ES 1-user year 2</t>
  </si>
  <si>
    <t>31/10/2026</t>
  </si>
  <si>
    <t>14/11/2025</t>
  </si>
  <si>
    <t>13/11/2026</t>
  </si>
  <si>
    <t>25/11/2025</t>
  </si>
  <si>
    <t>24/11/2026</t>
  </si>
  <si>
    <t>30/11/2026</t>
  </si>
  <si>
    <t>15/12/2025</t>
  </si>
  <si>
    <t>14/12/2026</t>
  </si>
  <si>
    <t>16/12/2025</t>
  </si>
  <si>
    <t>15/12/2026</t>
  </si>
  <si>
    <t>17/12/2025</t>
  </si>
  <si>
    <t>16/12/2026</t>
  </si>
  <si>
    <t>22/12/2025</t>
  </si>
  <si>
    <t>21/12/2026</t>
  </si>
  <si>
    <t>Oakwood - EBC</t>
  </si>
  <si>
    <t>30/12/2026</t>
  </si>
  <si>
    <t>31/12/2026</t>
  </si>
  <si>
    <t>13/01/2026</t>
  </si>
  <si>
    <t>16/01/2026</t>
  </si>
  <si>
    <t>15/01/2027</t>
  </si>
  <si>
    <t>20/01/2026</t>
  </si>
  <si>
    <t>19/01/2027</t>
  </si>
  <si>
    <t>24/01/2026</t>
  </si>
  <si>
    <t>23/01/2027</t>
  </si>
  <si>
    <t>27/01/2026</t>
  </si>
  <si>
    <t>26/01/2027</t>
  </si>
  <si>
    <t>31/01/2026</t>
  </si>
  <si>
    <t>30/01/2027</t>
  </si>
  <si>
    <t>31/01/2027</t>
  </si>
  <si>
    <t>13/02/2026</t>
  </si>
  <si>
    <t>21/02/2026</t>
  </si>
  <si>
    <t>20/02/2027</t>
  </si>
  <si>
    <t>23/02/2026</t>
  </si>
  <si>
    <t>22/02/2027</t>
  </si>
  <si>
    <t>28/02/2026</t>
  </si>
  <si>
    <t>27/02/2027</t>
  </si>
  <si>
    <t>28/02/2027</t>
  </si>
  <si>
    <t>13/03/2026</t>
  </si>
  <si>
    <t>18/03/2026</t>
  </si>
  <si>
    <t>17/03/2027</t>
  </si>
  <si>
    <t>23/03/2026</t>
  </si>
  <si>
    <t>22/03/2027</t>
  </si>
  <si>
    <t>27/03/2026</t>
  </si>
  <si>
    <t>26/03/2027</t>
  </si>
  <si>
    <t>28/03/2026</t>
  </si>
  <si>
    <t>27/03/2027</t>
  </si>
  <si>
    <t>30/03/2027</t>
  </si>
  <si>
    <t>31/03/2027</t>
  </si>
  <si>
    <t>14/04/2026</t>
  </si>
  <si>
    <t>13/04/2027</t>
  </si>
  <si>
    <t>15/04/2026</t>
  </si>
  <si>
    <t>14/04/2027</t>
  </si>
  <si>
    <t>16/04/2026</t>
  </si>
  <si>
    <t>15/04/2027</t>
  </si>
  <si>
    <t>20/04/2026</t>
  </si>
  <si>
    <t>19/04/2027</t>
  </si>
  <si>
    <t>22/04/2026</t>
  </si>
  <si>
    <t>21/04/2027</t>
  </si>
  <si>
    <t>30/04/2026</t>
  </si>
  <si>
    <t>29/04/2027</t>
  </si>
  <si>
    <t>30/04/2027</t>
  </si>
  <si>
    <t>RNW MAY26 NTR TNUoS (2/2)</t>
  </si>
  <si>
    <t>31/05/2027</t>
  </si>
  <si>
    <t>29/06/2027</t>
  </si>
  <si>
    <t>30/06/2027</t>
  </si>
  <si>
    <t>31/07/2027</t>
  </si>
  <si>
    <t>31/08/2027</t>
  </si>
  <si>
    <t>30/09/2027</t>
  </si>
  <si>
    <t>30/11/2027</t>
  </si>
  <si>
    <t>31/12/2027</t>
  </si>
  <si>
    <t>20/01/2027</t>
  </si>
  <si>
    <t>19/01/2028</t>
  </si>
  <si>
    <t>23/02/2027</t>
  </si>
  <si>
    <t>22/02/2028</t>
  </si>
  <si>
    <t>29/02/2028</t>
  </si>
  <si>
    <t>18/03/2027</t>
  </si>
  <si>
    <t>17/03/2028</t>
  </si>
  <si>
    <t>20/03/2026</t>
  </si>
  <si>
    <t>19/03/2028</t>
  </si>
  <si>
    <t>28/03/2027</t>
  </si>
  <si>
    <t>27/03/2028</t>
  </si>
  <si>
    <t>31/03/2028</t>
  </si>
  <si>
    <t>13/04/2028</t>
  </si>
  <si>
    <t>29/04/2028</t>
  </si>
  <si>
    <t>30/04/2028</t>
  </si>
  <si>
    <t>31/05/2028</t>
  </si>
  <si>
    <t>18/03/2028</t>
  </si>
  <si>
    <t>17/03/2029</t>
  </si>
  <si>
    <t>31/03/2029</t>
  </si>
  <si>
    <t>Sum</t>
  </si>
  <si>
    <t>Unique</t>
  </si>
  <si>
    <t>Count</t>
  </si>
  <si>
    <t>Package Coverage Analysis — Current Take-up &amp; Whitespace</t>
  </si>
  <si>
    <t>Industry Essentials — Combination Analysis</t>
  </si>
  <si>
    <t>CURRENT COVERAGE — % of package components held</t>
  </si>
  <si>
    <t>WHITESPACE STATUS — vs TAM  |  ✓ Takes  ◎ Should Take  – N/A</t>
  </si>
  <si>
    <t>Account</t>
  </si>
  <si>
    <t>Package</t>
  </si>
  <si>
    <t>Count with IE</t>
  </si>
  <si>
    <t>Any other product (no IE)</t>
  </si>
  <si>
    <t>IE only (no other packages)</t>
  </si>
  <si>
    <t>IE + Combination Depth</t>
  </si>
  <si>
    <t>Combination</t>
  </si>
  <si>
    <t>%</t>
  </si>
  <si>
    <t>IE only</t>
  </si>
  <si>
    <t>IE + 1 other</t>
  </si>
  <si>
    <t>IE + 2 others</t>
  </si>
  <si>
    <t>IE + 3 others</t>
  </si>
  <si>
    <t>IE + 4 others</t>
  </si>
  <si>
    <t>IE + 5 others</t>
  </si>
  <si>
    <t>IE + 6 others</t>
  </si>
  <si>
    <t>IE + 7 others</t>
  </si>
  <si>
    <t>IE + 8 others</t>
  </si>
  <si>
    <t>IE + 9 others</t>
  </si>
  <si>
    <t>Total IE customers</t>
  </si>
  <si>
    <t>Clean Package Product Lists — Final Canonical Product Lists per New Package</t>
  </si>
  <si>
    <t>Product (canonical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</si>
</sst>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&quot;£&quot;* #,##0_-;\-&quot;£&quot;* #,##0_-;_-&quot;£&quot;* &quot;-&quot;??_-;_-@_-"/>
    <numFmt numFmtId="167" formatCode="_-* #,##0_-;\-* #,##0_-;_-* &quot;-&quot;??_-;_-@_-"/>
    <numFmt numFmtId="168" formatCode="&quot;£&quot;#,##0"/>
    <numFmt numFmtId="169" formatCode="&quot;£&quot;#,##0.00"/>
    <numFmt numFmtId="170" formatCode="#,##0,_);\(#,##0\);\-_)"/>
    <numFmt numFmtId="171" formatCode="&quot;GBP&quot;\ #,##0.00;&quot;GBP&quot;\ \-#,##0.00"/>
    <numFmt numFmtId="172" formatCode="&quot;EUR&quot;\ #,##0.00;&quot;EUR&quot;\ \-#,##0.00"/>
    <numFmt numFmtId="173" formatCode="&quot;AUD&quot;\ #,##0.00;&quot;AUD&quot;\ \-#,##0.00"/>
    <numFmt numFmtId="174" formatCode="\£#,##0"/>
  </numFmts>
  <fonts count="36">
    <font>
      <sz val="11"/>
      <color theme="1"/>
      <name val="Aptos Narrow"/>
      <family val="2"/>
      <scheme val="minor"/>
    </font>
    <font>
      <sz val="11"/>
      <color theme="1"/>
      <name val="Lato"/>
      <family val="2"/>
    </font>
    <font>
      <sz val="11"/>
      <name val="Lato"/>
      <family val="2"/>
    </font>
    <font>
      <b/>
      <sz val="11"/>
      <name val="Lato"/>
      <family val="2"/>
    </font>
    <font>
      <b/>
      <sz val="11"/>
      <color theme="1"/>
      <name val="Lato"/>
      <family val="2"/>
    </font>
    <font>
      <sz val="11"/>
      <name val="Lato"/>
      <family val="2"/>
    </font>
    <font>
      <b/>
      <sz val="11"/>
      <color theme="0"/>
      <name val="Lato"/>
      <family val="2"/>
    </font>
    <font>
      <sz val="11"/>
      <color theme="0"/>
      <name val="Lato"/>
      <family val="2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Lato"/>
      <family val="2"/>
    </font>
    <font>
      <b/>
      <sz val="14"/>
      <color theme="1"/>
      <name val="Lato"/>
      <family val="2"/>
    </font>
    <font>
      <sz val="18"/>
      <color rgb="FF56585B"/>
      <name val="Calibri"/>
      <family val="2"/>
    </font>
    <font>
      <sz val="12"/>
      <color rgb="FF56585B"/>
      <name val="Calibri"/>
      <family val="2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FF"/>
      <name val="Aptos Narrow"/>
      <family val="2"/>
      <scheme val="minor"/>
    </font>
    <font>
      <b/>
      <sz val="12"/>
      <color rgb="FFFFFFFF"/>
      <name val="Calibri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B3954"/>
      <name val="Arial"/>
      <family val="2"/>
    </font>
    <font>
      <sz val="10"/>
      <color rgb="FF0B3954"/>
      <name val="Arial"/>
      <family val="2"/>
    </font>
    <font>
      <b/>
      <sz val="10"/>
      <color theme="1"/>
      <name val="Aptos Narrow"/>
      <family val="2"/>
      <scheme val="minor"/>
    </font>
    <font>
      <sz val="10"/>
      <color rgb="FF121212"/>
      <name val="Cascadia Code"/>
      <family val="3"/>
    </font>
  </fonts>
  <fills count="2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  <fill>
      <patternFill patternType="solid">
        <fgColor rgb="FF1F3864"/>
        <bgColor indexed="64"/>
      </patternFill>
    </fill>
    <fill>
      <patternFill patternType="solid">
        <fgColor rgb="FF2F75B6"/>
        <bgColor indexed="64"/>
      </patternFill>
    </fill>
    <fill>
      <patternFill patternType="solid">
        <fgColor rgb="FFEEF4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B3954"/>
      </patternFill>
    </fill>
    <fill>
      <patternFill patternType="solid">
        <fgColor rgb="FFE6F3F6"/>
      </patternFill>
    </fill>
    <fill>
      <patternFill patternType="solid">
        <fgColor rgb="FFE8F7F2"/>
      </patternFill>
    </fill>
    <fill>
      <patternFill patternType="solid">
        <fgColor rgb="FFFFF4E6"/>
      </patternFill>
    </fill>
    <fill>
      <patternFill patternType="solid">
        <fgColor rgb="FFF5F5F5"/>
      </patternFill>
    </fill>
  </fills>
  <borders count="2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/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/>
      <bottom/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/>
      <top/>
      <bottom style="medium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4">
    <xf numFmtId="0" fontId="0" fillId="0" borderId="0"/>
    <xf numFmtId="165" fontId="9" fillId="0" borderId="0" applyFont="0" applyFill="0" applyBorder="0" applyAlignment="0" applyProtection="0"/>
    <xf numFmtId="0" fontId="11" fillId="0" borderId="0"/>
    <xf numFmtId="9" fontId="9" fillId="0" borderId="0" applyFont="0" applyFill="0" applyBorder="0" applyAlignment="0" applyProtection="0"/>
  </cellStyleXfs>
  <cellXfs count="20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/>
    <xf numFmtId="0" fontId="7" fillId="0" borderId="0" xfId="0" applyFont="1"/>
    <xf numFmtId="0" fontId="8" fillId="0" borderId="0" xfId="0" applyFont="1"/>
    <xf numFmtId="0" fontId="6" fillId="2" borderId="2" xfId="0" applyFont="1" applyFill="1" applyBorder="1"/>
    <xf numFmtId="0" fontId="6" fillId="2" borderId="1" xfId="0" applyFont="1" applyFill="1" applyBorder="1"/>
    <xf numFmtId="0" fontId="2" fillId="3" borderId="2" xfId="0" applyFont="1" applyFill="1" applyBorder="1"/>
    <xf numFmtId="0" fontId="2" fillId="3" borderId="1" xfId="0" applyFont="1" applyFill="1" applyBorder="1"/>
    <xf numFmtId="0" fontId="2" fillId="0" borderId="2" xfId="0" applyFont="1" applyBorder="1"/>
    <xf numFmtId="0" fontId="2" fillId="0" borderId="1" xfId="0" applyFont="1" applyBorder="1"/>
    <xf numFmtId="166" fontId="2" fillId="3" borderId="1" xfId="0" applyNumberFormat="1" applyFont="1" applyFill="1" applyBorder="1"/>
    <xf numFmtId="166" fontId="2" fillId="0" borderId="1" xfId="0" applyNumberFormat="1" applyFont="1" applyBorder="1"/>
    <xf numFmtId="167" fontId="2" fillId="3" borderId="1" xfId="1" applyNumberFormat="1" applyFont="1" applyFill="1" applyBorder="1"/>
    <xf numFmtId="167" fontId="2" fillId="0" borderId="1" xfId="1" applyNumberFormat="1" applyFont="1" applyBorder="1"/>
    <xf numFmtId="0" fontId="10" fillId="0" borderId="0" xfId="0" applyFont="1"/>
    <xf numFmtId="0" fontId="2" fillId="4" borderId="2" xfId="0" applyFont="1" applyFill="1" applyBorder="1"/>
    <xf numFmtId="166" fontId="1" fillId="0" borderId="0" xfId="0" applyNumberFormat="1" applyFont="1"/>
    <xf numFmtId="0" fontId="6" fillId="2" borderId="0" xfId="0" applyFont="1" applyFill="1"/>
    <xf numFmtId="0" fontId="2" fillId="4" borderId="0" xfId="0" applyFont="1" applyFill="1"/>
    <xf numFmtId="9" fontId="2" fillId="3" borderId="2" xfId="0" applyNumberFormat="1" applyFont="1" applyFill="1" applyBorder="1"/>
    <xf numFmtId="10" fontId="2" fillId="3" borderId="1" xfId="0" applyNumberFormat="1" applyFont="1" applyFill="1" applyBorder="1"/>
    <xf numFmtId="10" fontId="2" fillId="3" borderId="0" xfId="0" applyNumberFormat="1" applyFont="1" applyFill="1"/>
    <xf numFmtId="9" fontId="2" fillId="3" borderId="0" xfId="0" applyNumberFormat="1" applyFont="1" applyFill="1"/>
    <xf numFmtId="10" fontId="2" fillId="0" borderId="2" xfId="0" applyNumberFormat="1" applyFont="1" applyBorder="1"/>
    <xf numFmtId="10" fontId="2" fillId="0" borderId="1" xfId="0" applyNumberFormat="1" applyFont="1" applyBorder="1"/>
    <xf numFmtId="10" fontId="2" fillId="0" borderId="0" xfId="0" applyNumberFormat="1" applyFont="1"/>
    <xf numFmtId="9" fontId="2" fillId="0" borderId="0" xfId="0" applyNumberFormat="1" applyFont="1"/>
    <xf numFmtId="9" fontId="2" fillId="3" borderId="1" xfId="0" applyNumberFormat="1" applyFont="1" applyFill="1" applyBorder="1"/>
    <xf numFmtId="9" fontId="2" fillId="0" borderId="2" xfId="0" applyNumberFormat="1" applyFont="1" applyBorder="1"/>
    <xf numFmtId="9" fontId="2" fillId="0" borderId="1" xfId="0" applyNumberFormat="1" applyFont="1" applyBorder="1"/>
    <xf numFmtId="10" fontId="2" fillId="3" borderId="2" xfId="0" applyNumberFormat="1" applyFont="1" applyFill="1" applyBorder="1"/>
    <xf numFmtId="9" fontId="1" fillId="0" borderId="0" xfId="0" applyNumberFormat="1" applyFont="1"/>
    <xf numFmtId="168" fontId="1" fillId="0" borderId="0" xfId="0" applyNumberFormat="1" applyFont="1"/>
    <xf numFmtId="0" fontId="1" fillId="0" borderId="3" xfId="0" applyFont="1" applyBorder="1"/>
    <xf numFmtId="0" fontId="6" fillId="2" borderId="3" xfId="0" applyFont="1" applyFill="1" applyBorder="1" applyAlignment="1">
      <alignment wrapText="1"/>
    </xf>
    <xf numFmtId="168" fontId="1" fillId="0" borderId="3" xfId="0" applyNumberFormat="1" applyFont="1" applyBorder="1"/>
    <xf numFmtId="0" fontId="2" fillId="4" borderId="3" xfId="0" applyFont="1" applyFill="1" applyBorder="1"/>
    <xf numFmtId="168" fontId="2" fillId="4" borderId="2" xfId="0" applyNumberFormat="1" applyFont="1" applyFill="1" applyBorder="1"/>
    <xf numFmtId="168" fontId="3" fillId="4" borderId="2" xfId="0" applyNumberFormat="1" applyFont="1" applyFill="1" applyBorder="1"/>
    <xf numFmtId="167" fontId="2" fillId="0" borderId="1" xfId="1" applyNumberFormat="1" applyFont="1" applyFill="1" applyBorder="1"/>
    <xf numFmtId="168" fontId="2" fillId="0" borderId="0" xfId="0" applyNumberFormat="1" applyFont="1"/>
    <xf numFmtId="17" fontId="2" fillId="0" borderId="0" xfId="0" applyNumberFormat="1" applyFont="1"/>
    <xf numFmtId="0" fontId="13" fillId="0" borderId="3" xfId="0" applyFont="1" applyBorder="1"/>
    <xf numFmtId="168" fontId="0" fillId="0" borderId="3" xfId="0" applyNumberFormat="1" applyBorder="1"/>
    <xf numFmtId="0" fontId="0" fillId="0" borderId="3" xfId="0" applyBorder="1"/>
    <xf numFmtId="0" fontId="2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69" fontId="1" fillId="0" borderId="0" xfId="0" applyNumberFormat="1" applyFont="1"/>
    <xf numFmtId="0" fontId="6" fillId="2" borderId="3" xfId="0" applyFont="1" applyFill="1" applyBorder="1" applyAlignment="1">
      <alignment horizontal="center" wrapText="1"/>
    </xf>
    <xf numFmtId="168" fontId="2" fillId="4" borderId="3" xfId="1" applyNumberFormat="1" applyFont="1" applyFill="1" applyBorder="1" applyAlignment="1">
      <alignment horizontal="center"/>
    </xf>
    <xf numFmtId="168" fontId="1" fillId="0" borderId="3" xfId="1" applyNumberFormat="1" applyFont="1" applyBorder="1" applyAlignment="1">
      <alignment horizontal="center"/>
    </xf>
    <xf numFmtId="168" fontId="2" fillId="4" borderId="3" xfId="0" applyNumberFormat="1" applyFont="1" applyFill="1" applyBorder="1" applyAlignment="1">
      <alignment horizontal="center"/>
    </xf>
    <xf numFmtId="168" fontId="1" fillId="0" borderId="3" xfId="0" applyNumberFormat="1" applyFont="1" applyBorder="1" applyAlignment="1">
      <alignment horizontal="center"/>
    </xf>
    <xf numFmtId="9" fontId="2" fillId="3" borderId="3" xfId="0" applyNumberFormat="1" applyFont="1" applyFill="1" applyBorder="1" applyAlignment="1">
      <alignment horizontal="center"/>
    </xf>
    <xf numFmtId="9" fontId="1" fillId="0" borderId="3" xfId="3" applyFont="1" applyBorder="1" applyAlignment="1">
      <alignment horizontal="center"/>
    </xf>
    <xf numFmtId="0" fontId="14" fillId="0" borderId="3" xfId="0" applyFont="1" applyBorder="1" applyAlignment="1">
      <alignment horizontal="left" vertical="center" wrapText="1"/>
    </xf>
    <xf numFmtId="0" fontId="4" fillId="0" borderId="3" xfId="0" applyFont="1" applyBorder="1"/>
    <xf numFmtId="17" fontId="4" fillId="0" borderId="3" xfId="0" applyNumberFormat="1" applyFont="1" applyBorder="1" applyAlignment="1">
      <alignment horizontal="center"/>
    </xf>
    <xf numFmtId="170" fontId="1" fillId="0" borderId="3" xfId="0" applyNumberFormat="1" applyFont="1" applyBorder="1"/>
    <xf numFmtId="164" fontId="1" fillId="0" borderId="0" xfId="0" applyNumberFormat="1" applyFont="1"/>
    <xf numFmtId="166" fontId="1" fillId="0" borderId="3" xfId="0" applyNumberFormat="1" applyFont="1" applyBorder="1"/>
    <xf numFmtId="1" fontId="2" fillId="0" borderId="0" xfId="0" applyNumberFormat="1" applyFont="1"/>
    <xf numFmtId="0" fontId="4" fillId="0" borderId="3" xfId="0" applyFont="1" applyBorder="1" applyAlignment="1">
      <alignment wrapText="1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168" fontId="4" fillId="0" borderId="3" xfId="0" applyNumberFormat="1" applyFont="1" applyBorder="1" applyAlignment="1">
      <alignment horizontal="center"/>
    </xf>
    <xf numFmtId="0" fontId="15" fillId="0" borderId="0" xfId="0" applyFont="1"/>
    <xf numFmtId="166" fontId="2" fillId="4" borderId="3" xfId="0" applyNumberFormat="1" applyFont="1" applyFill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6" fontId="4" fillId="0" borderId="3" xfId="0" applyNumberFormat="1" applyFont="1" applyBorder="1" applyAlignment="1">
      <alignment horizontal="center"/>
    </xf>
    <xf numFmtId="0" fontId="13" fillId="0" borderId="0" xfId="0" applyFont="1"/>
    <xf numFmtId="168" fontId="13" fillId="0" borderId="0" xfId="0" applyNumberFormat="1" applyFont="1"/>
    <xf numFmtId="0" fontId="2" fillId="5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wrapText="1"/>
    </xf>
    <xf numFmtId="166" fontId="1" fillId="4" borderId="3" xfId="0" applyNumberFormat="1" applyFont="1" applyFill="1" applyBorder="1"/>
    <xf numFmtId="0" fontId="6" fillId="0" borderId="0" xfId="2" applyFont="1"/>
    <xf numFmtId="0" fontId="7" fillId="0" borderId="0" xfId="2" applyFont="1"/>
    <xf numFmtId="0" fontId="6" fillId="0" borderId="0" xfId="2" applyFont="1" applyAlignment="1">
      <alignment wrapText="1"/>
    </xf>
    <xf numFmtId="0" fontId="2" fillId="0" borderId="0" xfId="2" applyFont="1"/>
    <xf numFmtId="17" fontId="2" fillId="0" borderId="0" xfId="2" applyNumberFormat="1" applyFont="1"/>
    <xf numFmtId="1" fontId="2" fillId="0" borderId="0" xfId="2" applyNumberFormat="1" applyFont="1"/>
    <xf numFmtId="0" fontId="2" fillId="0" borderId="0" xfId="2" applyFont="1" applyAlignment="1">
      <alignment wrapText="1"/>
    </xf>
    <xf numFmtId="0" fontId="1" fillId="0" borderId="0" xfId="2" applyFont="1"/>
    <xf numFmtId="17" fontId="2" fillId="0" borderId="0" xfId="2" applyNumberFormat="1" applyFont="1" applyAlignment="1">
      <alignment wrapText="1"/>
    </xf>
    <xf numFmtId="1" fontId="2" fillId="0" borderId="0" xfId="2" applyNumberFormat="1" applyFont="1" applyAlignment="1">
      <alignment wrapText="1"/>
    </xf>
    <xf numFmtId="0" fontId="2" fillId="0" borderId="0" xfId="2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168" fontId="2" fillId="5" borderId="3" xfId="0" applyNumberFormat="1" applyFont="1" applyFill="1" applyBorder="1" applyAlignment="1">
      <alignment horizontal="center"/>
    </xf>
    <xf numFmtId="166" fontId="2" fillId="5" borderId="3" xfId="0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9" fontId="1" fillId="0" borderId="0" xfId="3" applyFont="1"/>
    <xf numFmtId="0" fontId="6" fillId="2" borderId="3" xfId="0" applyFont="1" applyFill="1" applyBorder="1" applyAlignment="1">
      <alignment horizontal="left" wrapText="1"/>
    </xf>
    <xf numFmtId="166" fontId="4" fillId="0" borderId="3" xfId="0" applyNumberFormat="1" applyFont="1" applyBorder="1"/>
    <xf numFmtId="0" fontId="4" fillId="0" borderId="3" xfId="0" applyFont="1" applyBorder="1" applyAlignment="1">
      <alignment horizontal="left" vertical="center"/>
    </xf>
    <xf numFmtId="0" fontId="2" fillId="6" borderId="3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vertical="center" wrapText="1"/>
    </xf>
    <xf numFmtId="1" fontId="1" fillId="0" borderId="0" xfId="0" applyNumberFormat="1" applyFont="1"/>
    <xf numFmtId="166" fontId="0" fillId="0" borderId="0" xfId="0" applyNumberFormat="1"/>
    <xf numFmtId="0" fontId="6" fillId="2" borderId="5" xfId="0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166" fontId="3" fillId="5" borderId="3" xfId="0" applyNumberFormat="1" applyFont="1" applyFill="1" applyBorder="1" applyAlignment="1">
      <alignment horizontal="center" vertical="center"/>
    </xf>
    <xf numFmtId="0" fontId="11" fillId="7" borderId="0" xfId="2" applyFill="1"/>
    <xf numFmtId="0" fontId="11" fillId="7" borderId="11" xfId="2" applyFill="1" applyBorder="1"/>
    <xf numFmtId="0" fontId="11" fillId="0" borderId="0" xfId="2"/>
    <xf numFmtId="0" fontId="16" fillId="7" borderId="0" xfId="2" applyFont="1" applyFill="1"/>
    <xf numFmtId="0" fontId="17" fillId="7" borderId="0" xfId="2" applyFont="1" applyFill="1"/>
    <xf numFmtId="0" fontId="11" fillId="7" borderId="12" xfId="2" applyFill="1" applyBorder="1"/>
    <xf numFmtId="0" fontId="11" fillId="7" borderId="13" xfId="2" applyFill="1" applyBorder="1"/>
    <xf numFmtId="0" fontId="11" fillId="8" borderId="0" xfId="2" applyFill="1"/>
    <xf numFmtId="0" fontId="11" fillId="8" borderId="11" xfId="2" applyFill="1" applyBorder="1"/>
    <xf numFmtId="0" fontId="18" fillId="8" borderId="0" xfId="2" applyFont="1" applyFill="1"/>
    <xf numFmtId="0" fontId="19" fillId="8" borderId="0" xfId="2" applyFont="1" applyFill="1"/>
    <xf numFmtId="0" fontId="18" fillId="9" borderId="14" xfId="2" applyFont="1" applyFill="1" applyBorder="1"/>
    <xf numFmtId="0" fontId="19" fillId="8" borderId="14" xfId="2" applyFont="1" applyFill="1" applyBorder="1" applyAlignment="1">
      <alignment horizontal="left"/>
    </xf>
    <xf numFmtId="171" fontId="19" fillId="8" borderId="14" xfId="2" applyNumberFormat="1" applyFont="1" applyFill="1" applyBorder="1" applyAlignment="1">
      <alignment horizontal="right"/>
    </xf>
    <xf numFmtId="0" fontId="19" fillId="8" borderId="14" xfId="2" applyFont="1" applyFill="1" applyBorder="1" applyAlignment="1">
      <alignment horizontal="center"/>
    </xf>
    <xf numFmtId="172" fontId="19" fillId="8" borderId="14" xfId="2" applyNumberFormat="1" applyFont="1" applyFill="1" applyBorder="1" applyAlignment="1">
      <alignment horizontal="right"/>
    </xf>
    <xf numFmtId="173" fontId="19" fillId="8" borderId="14" xfId="2" applyNumberFormat="1" applyFont="1" applyFill="1" applyBorder="1" applyAlignment="1">
      <alignment horizontal="right"/>
    </xf>
    <xf numFmtId="0" fontId="18" fillId="10" borderId="15" xfId="2" applyFont="1" applyFill="1" applyBorder="1"/>
    <xf numFmtId="0" fontId="17" fillId="10" borderId="16" xfId="2" applyFont="1" applyFill="1" applyBorder="1"/>
    <xf numFmtId="171" fontId="19" fillId="10" borderId="14" xfId="2" applyNumberFormat="1" applyFont="1" applyFill="1" applyBorder="1" applyAlignment="1">
      <alignment horizontal="right"/>
    </xf>
    <xf numFmtId="0" fontId="19" fillId="10" borderId="14" xfId="2" applyFont="1" applyFill="1" applyBorder="1" applyAlignment="1">
      <alignment horizontal="right"/>
    </xf>
    <xf numFmtId="0" fontId="11" fillId="10" borderId="17" xfId="2" applyFill="1" applyBorder="1"/>
    <xf numFmtId="0" fontId="11" fillId="10" borderId="18" xfId="2" applyFill="1" applyBorder="1"/>
    <xf numFmtId="0" fontId="22" fillId="12" borderId="0" xfId="0" applyFont="1" applyFill="1"/>
    <xf numFmtId="174" fontId="0" fillId="0" borderId="0" xfId="0" applyNumberFormat="1"/>
    <xf numFmtId="0" fontId="0" fillId="13" borderId="0" xfId="0" applyFill="1"/>
    <xf numFmtId="174" fontId="0" fillId="13" borderId="0" xfId="0" applyNumberFormat="1" applyFill="1"/>
    <xf numFmtId="174" fontId="13" fillId="14" borderId="0" xfId="0" applyNumberFormat="1" applyFont="1" applyFill="1"/>
    <xf numFmtId="1" fontId="0" fillId="13" borderId="0" xfId="0" applyNumberFormat="1" applyFill="1"/>
    <xf numFmtId="1" fontId="0" fillId="0" borderId="0" xfId="0" applyNumberFormat="1"/>
    <xf numFmtId="0" fontId="24" fillId="12" borderId="0" xfId="0" applyFont="1" applyFill="1"/>
    <xf numFmtId="0" fontId="25" fillId="0" borderId="0" xfId="0" applyFont="1"/>
    <xf numFmtId="9" fontId="25" fillId="0" borderId="0" xfId="0" applyNumberFormat="1" applyFont="1"/>
    <xf numFmtId="0" fontId="25" fillId="15" borderId="0" xfId="0" applyFont="1" applyFill="1"/>
    <xf numFmtId="0" fontId="25" fillId="16" borderId="0" xfId="0" applyFont="1" applyFill="1"/>
    <xf numFmtId="0" fontId="25" fillId="17" borderId="0" xfId="0" applyFont="1" applyFill="1"/>
    <xf numFmtId="9" fontId="25" fillId="17" borderId="0" xfId="0" applyNumberFormat="1" applyFont="1" applyFill="1"/>
    <xf numFmtId="0" fontId="26" fillId="18" borderId="0" xfId="0" applyFont="1" applyFill="1"/>
    <xf numFmtId="0" fontId="22" fillId="19" borderId="0" xfId="0" applyFont="1" applyFill="1"/>
    <xf numFmtId="0" fontId="27" fillId="12" borderId="14" xfId="2" applyFont="1" applyFill="1" applyBorder="1"/>
    <xf numFmtId="0" fontId="29" fillId="0" borderId="0" xfId="0" applyFont="1"/>
    <xf numFmtId="9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8" fillId="20" borderId="0" xfId="0" applyFont="1" applyFill="1" applyAlignment="1">
      <alignment wrapText="1"/>
    </xf>
    <xf numFmtId="0" fontId="28" fillId="2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8" fillId="15" borderId="0" xfId="0" applyFont="1" applyFill="1" applyAlignment="1">
      <alignment horizontal="center" wrapText="1"/>
    </xf>
    <xf numFmtId="0" fontId="20" fillId="21" borderId="19" xfId="0" applyFont="1" applyFill="1" applyBorder="1"/>
    <xf numFmtId="4" fontId="0" fillId="0" borderId="0" xfId="0" applyNumberFormat="1"/>
    <xf numFmtId="14" fontId="0" fillId="0" borderId="0" xfId="0" applyNumberFormat="1"/>
    <xf numFmtId="4" fontId="13" fillId="0" borderId="0" xfId="0" applyNumberFormat="1" applyFont="1"/>
    <xf numFmtId="0" fontId="31" fillId="22" borderId="20" xfId="0" applyFont="1" applyFill="1" applyBorder="1" applyAlignment="1">
      <alignment horizontal="left" vertical="center" wrapText="1"/>
    </xf>
    <xf numFmtId="0" fontId="32" fillId="23" borderId="20" xfId="0" applyFont="1" applyFill="1" applyBorder="1" applyAlignment="1">
      <alignment horizontal="left" vertical="top" wrapText="1"/>
    </xf>
    <xf numFmtId="0" fontId="33" fillId="23" borderId="20" xfId="0" applyFont="1" applyFill="1" applyBorder="1" applyAlignment="1">
      <alignment horizontal="left" vertical="top" wrapText="1"/>
    </xf>
    <xf numFmtId="0" fontId="32" fillId="24" borderId="20" xfId="0" applyFont="1" applyFill="1" applyBorder="1" applyAlignment="1">
      <alignment horizontal="left" vertical="top" wrapText="1"/>
    </xf>
    <xf numFmtId="0" fontId="33" fillId="24" borderId="20" xfId="0" applyFont="1" applyFill="1" applyBorder="1" applyAlignment="1">
      <alignment horizontal="left" vertical="top" wrapText="1"/>
    </xf>
    <xf numFmtId="0" fontId="32" fillId="25" borderId="20" xfId="0" applyFont="1" applyFill="1" applyBorder="1" applyAlignment="1">
      <alignment horizontal="left" vertical="top" wrapText="1"/>
    </xf>
    <xf numFmtId="0" fontId="33" fillId="25" borderId="20" xfId="0" applyFont="1" applyFill="1" applyBorder="1" applyAlignment="1">
      <alignment horizontal="left" vertical="top" wrapText="1"/>
    </xf>
    <xf numFmtId="0" fontId="32" fillId="26" borderId="20" xfId="0" applyFont="1" applyFill="1" applyBorder="1" applyAlignment="1">
      <alignment horizontal="left" vertical="top" wrapText="1"/>
    </xf>
    <xf numFmtId="0" fontId="33" fillId="26" borderId="20" xfId="0" applyFont="1" applyFill="1" applyBorder="1" applyAlignment="1">
      <alignment horizontal="left" vertical="top" wrapText="1"/>
    </xf>
    <xf numFmtId="14" fontId="19" fillId="8" borderId="14" xfId="2" applyNumberFormat="1" applyFont="1" applyFill="1" applyBorder="1" applyAlignment="1">
      <alignment horizontal="left"/>
    </xf>
    <xf numFmtId="0" fontId="34" fillId="20" borderId="0" xfId="0" applyFont="1" applyFill="1"/>
    <xf numFmtId="0" fontId="28" fillId="0" borderId="0" xfId="0" applyFont="1"/>
    <xf numFmtId="0" fontId="28" fillId="20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9" fontId="29" fillId="0" borderId="0" xfId="3" applyFont="1" applyAlignment="1">
      <alignment horizontal="center"/>
    </xf>
    <xf numFmtId="164" fontId="0" fillId="0" borderId="0" xfId="0" applyNumberFormat="1"/>
    <xf numFmtId="0" fontId="35" fillId="0" borderId="0" xfId="0" applyFont="1"/>
    <xf numFmtId="0" fontId="2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wrapText="1"/>
    </xf>
    <xf numFmtId="0" fontId="6" fillId="2" borderId="9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66" fontId="2" fillId="5" borderId="4" xfId="0" applyNumberFormat="1" applyFont="1" applyFill="1" applyBorder="1" applyAlignment="1">
      <alignment horizontal="center" vertical="center"/>
    </xf>
    <xf numFmtId="166" fontId="2" fillId="5" borderId="6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0" fillId="22" borderId="0" xfId="0" applyFont="1" applyFill="1" applyAlignment="1">
      <alignment horizontal="left" vertical="center"/>
    </xf>
    <xf numFmtId="0" fontId="21" fillId="11" borderId="0" xfId="0" applyFont="1" applyFill="1" applyAlignment="1"/>
    <xf numFmtId="0" fontId="0" fillId="0" borderId="0" xfId="0" applyAlignment="1"/>
    <xf numFmtId="0" fontId="20" fillId="11" borderId="0" xfId="0" applyFont="1" applyFill="1" applyAlignment="1"/>
    <xf numFmtId="0" fontId="23" fillId="0" borderId="0" xfId="0" applyFont="1" applyAlignment="1"/>
    <xf numFmtId="0" fontId="24" fillId="12" borderId="0" xfId="0" applyFont="1" applyFill="1" applyAlignment="1"/>
    <xf numFmtId="0" fontId="24" fillId="19" borderId="0" xfId="0" applyFont="1" applyFill="1" applyAlignment="1"/>
  </cellXfs>
  <cellStyles count="4">
    <cellStyle name="Comma" xfId="1" builtinId="3"/>
    <cellStyle name="Normal" xfId="0" builtinId="0"/>
    <cellStyle name="Normal 2" xfId="2" xr:uid="{8DBA1797-8262-474B-8AD7-0A8946FC0811}"/>
    <cellStyle name="Per cent" xfId="3" builtinId="5"/>
  </cellStyles>
  <dxfs count="89">
    <dxf>
      <font>
        <color rgb="FF999999"/>
      </font>
      <fill>
        <patternFill patternType="solid">
          <fgColor indexed="64"/>
          <bgColor rgb="FFF2F2F2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Lato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r>
              <a:rPr lang="en-GB" b="1"/>
              <a:t>TAM by Segment - June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Summary!$E$17</c:f>
              <c:strCache>
                <c:ptCount val="1"/>
                <c:pt idx="0">
                  <c:v>TAM £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Summary!$B$18:$C$38</c:f>
              <c:multiLvlStrCache>
                <c:ptCount val="21"/>
                <c:lvl>
                  <c:pt idx="0">
                    <c:v>Industry Essentials</c:v>
                  </c:pt>
                  <c:pt idx="1">
                    <c:v>Energy Supply Market Intelligence</c:v>
                  </c:pt>
                  <c:pt idx="2">
                    <c:v>Energy Supply RTM Analysis</c:v>
                  </c:pt>
                  <c:pt idx="3">
                    <c:v>Energy Supply Forecasts</c:v>
                  </c:pt>
                  <c:pt idx="4">
                    <c:v>Energy Supply Regulation</c:v>
                  </c:pt>
                  <c:pt idx="5">
                    <c:v>Energy Supply Sub-Total</c:v>
                  </c:pt>
                  <c:pt idx="6">
                    <c:v>Renewables Market Intelligence</c:v>
                  </c:pt>
                  <c:pt idx="7">
                    <c:v>Renewables RTM Analysis</c:v>
                  </c:pt>
                  <c:pt idx="8">
                    <c:v>Renewables Forecasts</c:v>
                  </c:pt>
                  <c:pt idx="9">
                    <c:v>Renewables Regulation</c:v>
                  </c:pt>
                  <c:pt idx="10">
                    <c:v>Renewables Sub-Total</c:v>
                  </c:pt>
                  <c:pt idx="11">
                    <c:v>Flexibility Market Intelligence</c:v>
                  </c:pt>
                  <c:pt idx="12">
                    <c:v>Flexibility RTM Analysis</c:v>
                  </c:pt>
                  <c:pt idx="13">
                    <c:v>Flexibility Forecasts</c:v>
                  </c:pt>
                  <c:pt idx="14">
                    <c:v>Flexibility Regulation</c:v>
                  </c:pt>
                  <c:pt idx="15">
                    <c:v>Flexibility Sub-Total</c:v>
                  </c:pt>
                  <c:pt idx="16">
                    <c:v>Business Energy Essentials</c:v>
                  </c:pt>
                  <c:pt idx="17">
                    <c:v>Energy User RTM Analysis</c:v>
                  </c:pt>
                  <c:pt idx="18">
                    <c:v>Energy User Forecasts</c:v>
                  </c:pt>
                  <c:pt idx="19">
                    <c:v>Energy User Regulation</c:v>
                  </c:pt>
                  <c:pt idx="20">
                    <c:v>Energy User Sub-Total</c:v>
                  </c:pt>
                </c:lvl>
                <c:lvl>
                  <c:pt idx="0">
                    <c:v>Multi-segment</c:v>
                  </c:pt>
                  <c:pt idx="1">
                    <c:v>Energy supply</c:v>
                  </c:pt>
                  <c:pt idx="6">
                    <c:v>Renewables Generation</c:v>
                  </c:pt>
                  <c:pt idx="11">
                    <c:v>Flex Generation &amp; Storage</c:v>
                  </c:pt>
                  <c:pt idx="16">
                    <c:v>Energy Users</c:v>
                  </c:pt>
                </c:lvl>
              </c:multiLvlStrCache>
            </c:multiLvlStrRef>
          </c:cat>
          <c:val>
            <c:numRef>
              <c:f>Summary!$E$18:$E$38</c:f>
              <c:numCache>
                <c:formatCode>"£"#,##0</c:formatCode>
                <c:ptCount val="21"/>
                <c:pt idx="0">
                  <c:v>10600000</c:v>
                </c:pt>
                <c:pt idx="1">
                  <c:v>9000000</c:v>
                </c:pt>
                <c:pt idx="2">
                  <c:v>17150000</c:v>
                </c:pt>
                <c:pt idx="3">
                  <c:v>9900000</c:v>
                </c:pt>
                <c:pt idx="4">
                  <c:v>6450000</c:v>
                </c:pt>
                <c:pt idx="5">
                  <c:v>46050000</c:v>
                </c:pt>
                <c:pt idx="6">
                  <c:v>10450000</c:v>
                </c:pt>
                <c:pt idx="7">
                  <c:v>7700000</c:v>
                </c:pt>
                <c:pt idx="8">
                  <c:v>27850000</c:v>
                </c:pt>
                <c:pt idx="9">
                  <c:v>8600000</c:v>
                </c:pt>
                <c:pt idx="10">
                  <c:v>58150000</c:v>
                </c:pt>
                <c:pt idx="11">
                  <c:v>12800000</c:v>
                </c:pt>
                <c:pt idx="12">
                  <c:v>2400000</c:v>
                </c:pt>
                <c:pt idx="13">
                  <c:v>17450000</c:v>
                </c:pt>
                <c:pt idx="14">
                  <c:v>4900000</c:v>
                </c:pt>
                <c:pt idx="15">
                  <c:v>41100000</c:v>
                </c:pt>
                <c:pt idx="16">
                  <c:v>7050000</c:v>
                </c:pt>
                <c:pt idx="17">
                  <c:v>7900000</c:v>
                </c:pt>
                <c:pt idx="18">
                  <c:v>12450000</c:v>
                </c:pt>
                <c:pt idx="19">
                  <c:v>0</c:v>
                </c:pt>
                <c:pt idx="20">
                  <c:v>27400000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E0-4111-869D-C8A7476DC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046303"/>
        <c:axId val="172048223"/>
      </c:barChart>
      <c:lineChart>
        <c:grouping val="stacked"/>
        <c:varyColors val="0"/>
        <c:ser>
          <c:idx val="0"/>
          <c:order val="0"/>
          <c:tx>
            <c:strRef>
              <c:f>Summary!$D$17</c:f>
              <c:strCache>
                <c:ptCount val="1"/>
                <c:pt idx="0">
                  <c:v>No. of companies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Summary!$B$18:$C$38</c:f>
              <c:multiLvlStrCache>
                <c:ptCount val="21"/>
                <c:lvl>
                  <c:pt idx="0">
                    <c:v>Industry Essentials</c:v>
                  </c:pt>
                  <c:pt idx="1">
                    <c:v>Energy Supply Market Intelligence</c:v>
                  </c:pt>
                  <c:pt idx="2">
                    <c:v>Energy Supply RTM Analysis</c:v>
                  </c:pt>
                  <c:pt idx="3">
                    <c:v>Energy Supply Forecasts</c:v>
                  </c:pt>
                  <c:pt idx="4">
                    <c:v>Energy Supply Regulation</c:v>
                  </c:pt>
                  <c:pt idx="5">
                    <c:v>Energy Supply Sub-Total</c:v>
                  </c:pt>
                  <c:pt idx="6">
                    <c:v>Renewables Market Intelligence</c:v>
                  </c:pt>
                  <c:pt idx="7">
                    <c:v>Renewables RTM Analysis</c:v>
                  </c:pt>
                  <c:pt idx="8">
                    <c:v>Renewables Forecasts</c:v>
                  </c:pt>
                  <c:pt idx="9">
                    <c:v>Renewables Regulation</c:v>
                  </c:pt>
                  <c:pt idx="10">
                    <c:v>Renewables Sub-Total</c:v>
                  </c:pt>
                  <c:pt idx="11">
                    <c:v>Flexibility Market Intelligence</c:v>
                  </c:pt>
                  <c:pt idx="12">
                    <c:v>Flexibility RTM Analysis</c:v>
                  </c:pt>
                  <c:pt idx="13">
                    <c:v>Flexibility Forecasts</c:v>
                  </c:pt>
                  <c:pt idx="14">
                    <c:v>Flexibility Regulation</c:v>
                  </c:pt>
                  <c:pt idx="15">
                    <c:v>Flexibility Sub-Total</c:v>
                  </c:pt>
                  <c:pt idx="16">
                    <c:v>Business Energy Essentials</c:v>
                  </c:pt>
                  <c:pt idx="17">
                    <c:v>Energy User RTM Analysis</c:v>
                  </c:pt>
                  <c:pt idx="18">
                    <c:v>Energy User Forecasts</c:v>
                  </c:pt>
                  <c:pt idx="19">
                    <c:v>Energy User Regulation</c:v>
                  </c:pt>
                  <c:pt idx="20">
                    <c:v>Energy User Sub-Total</c:v>
                  </c:pt>
                </c:lvl>
                <c:lvl>
                  <c:pt idx="0">
                    <c:v>Multi-segment</c:v>
                  </c:pt>
                  <c:pt idx="1">
                    <c:v>Energy supply</c:v>
                  </c:pt>
                  <c:pt idx="6">
                    <c:v>Renewables Generation</c:v>
                  </c:pt>
                  <c:pt idx="11">
                    <c:v>Flex Generation &amp; Storage</c:v>
                  </c:pt>
                  <c:pt idx="16">
                    <c:v>Energy Users</c:v>
                  </c:pt>
                </c:lvl>
              </c:multiLvlStrCache>
            </c:multiLvlStrRef>
          </c:cat>
          <c:val>
            <c:numRef>
              <c:f>Summary!$D$18:$D$38</c:f>
              <c:numCache>
                <c:formatCode>General</c:formatCode>
                <c:ptCount val="21"/>
                <c:pt idx="0">
                  <c:v>1179</c:v>
                </c:pt>
                <c:pt idx="1">
                  <c:v>244</c:v>
                </c:pt>
                <c:pt idx="2">
                  <c:v>272</c:v>
                </c:pt>
                <c:pt idx="3">
                  <c:v>244</c:v>
                </c:pt>
                <c:pt idx="4">
                  <c:v>140</c:v>
                </c:pt>
                <c:pt idx="5">
                  <c:v>272</c:v>
                </c:pt>
                <c:pt idx="6">
                  <c:v>553</c:v>
                </c:pt>
                <c:pt idx="7">
                  <c:v>429</c:v>
                </c:pt>
                <c:pt idx="8">
                  <c:v>553</c:v>
                </c:pt>
                <c:pt idx="9">
                  <c:v>382</c:v>
                </c:pt>
                <c:pt idx="10">
                  <c:v>553</c:v>
                </c:pt>
                <c:pt idx="11">
                  <c:v>527</c:v>
                </c:pt>
                <c:pt idx="12">
                  <c:v>268</c:v>
                </c:pt>
                <c:pt idx="13">
                  <c:v>461</c:v>
                </c:pt>
                <c:pt idx="14">
                  <c:v>228</c:v>
                </c:pt>
                <c:pt idx="15">
                  <c:v>527</c:v>
                </c:pt>
                <c:pt idx="16">
                  <c:v>522</c:v>
                </c:pt>
                <c:pt idx="17">
                  <c:v>587</c:v>
                </c:pt>
                <c:pt idx="18">
                  <c:v>531</c:v>
                </c:pt>
                <c:pt idx="19">
                  <c:v>0</c:v>
                </c:pt>
                <c:pt idx="20">
                  <c:v>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0-4111-869D-C8A7476DC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87647"/>
        <c:axId val="173586687"/>
      </c:lineChart>
      <c:catAx>
        <c:axId val="172046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b="1"/>
                  <a:t>Segments and Services</a:t>
                </a:r>
              </a:p>
            </c:rich>
          </c:tx>
          <c:layout>
            <c:manualLayout>
              <c:xMode val="edge"/>
              <c:yMode val="edge"/>
              <c:x val="0.44614341633162258"/>
              <c:y val="0.92281678559958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172048223"/>
        <c:crosses val="autoZero"/>
        <c:auto val="1"/>
        <c:lblAlgn val="ctr"/>
        <c:lblOffset val="100"/>
        <c:noMultiLvlLbl val="0"/>
      </c:catAx>
      <c:valAx>
        <c:axId val="17204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b="1"/>
                  <a:t>TAM 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172046303"/>
        <c:crosses val="autoZero"/>
        <c:crossBetween val="between"/>
      </c:valAx>
      <c:valAx>
        <c:axId val="1735866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b="1"/>
                  <a:t>TAM - no. of companies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173587647"/>
        <c:crosses val="max"/>
        <c:crossBetween val="between"/>
      </c:valAx>
      <c:catAx>
        <c:axId val="17358764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3586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Summary!$A$108</c:f>
              <c:strCache>
                <c:ptCount val="1"/>
                <c:pt idx="0">
                  <c:v>Industry Essentials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Summary!$B$108:$F$108</c:f>
              <c:numCache>
                <c:formatCode>General</c:formatCode>
                <c:ptCount val="5"/>
                <c:pt idx="0">
                  <c:v>10600000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4-4224-BF02-C6E29650F47E}"/>
            </c:ext>
          </c:extLst>
        </c:ser>
        <c:ser>
          <c:idx val="1"/>
          <c:order val="1"/>
          <c:tx>
            <c:strRef>
              <c:f>Summary!$A$109</c:f>
              <c:strCache>
                <c:ptCount val="1"/>
                <c:pt idx="0">
                  <c:v>Energy Supply Market Intilligence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Summary!$B$109:$F$109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F4-4224-BF02-C6E29650F47E}"/>
            </c:ext>
          </c:extLst>
        </c:ser>
        <c:ser>
          <c:idx val="2"/>
          <c:order val="2"/>
          <c:tx>
            <c:strRef>
              <c:f>Summary!$A$110</c:f>
              <c:strCache>
                <c:ptCount val="1"/>
                <c:pt idx="0">
                  <c:v>Energy Supply RTM Analysis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Summary!$B$110:$F$110</c:f>
              <c:numCache>
                <c:formatCode>General</c:formatCode>
                <c:ptCount val="5"/>
                <c:pt idx="0">
                  <c:v>0</c:v>
                </c:pt>
                <c:pt idx="1">
                  <c:v>17150000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F4-4224-BF02-C6E29650F47E}"/>
            </c:ext>
          </c:extLst>
        </c:ser>
        <c:ser>
          <c:idx val="3"/>
          <c:order val="3"/>
          <c:tx>
            <c:strRef>
              <c:f>Summary!$A$111</c:f>
              <c:strCache>
                <c:ptCount val="1"/>
                <c:pt idx="0">
                  <c:v>Energy Supply Forecasts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Summary!$B$111:$F$111</c:f>
              <c:numCache>
                <c:formatCode>General</c:formatCode>
                <c:ptCount val="5"/>
                <c:pt idx="0">
                  <c:v>0</c:v>
                </c:pt>
                <c:pt idx="1">
                  <c:v>9900000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F4-4224-BF02-C6E29650F47E}"/>
            </c:ext>
          </c:extLst>
        </c:ser>
        <c:ser>
          <c:idx val="4"/>
          <c:order val="4"/>
          <c:tx>
            <c:strRef>
              <c:f>Summary!$A$112</c:f>
              <c:strCache>
                <c:ptCount val="1"/>
                <c:pt idx="0">
                  <c:v>Energy Supply Regulation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Summary!$B$112:$F$112</c:f>
              <c:numCache>
                <c:formatCode>General</c:formatCode>
                <c:ptCount val="5"/>
                <c:pt idx="0">
                  <c:v>0</c:v>
                </c:pt>
                <c:pt idx="1">
                  <c:v>6450000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4F4-4224-BF02-C6E29650F47E}"/>
            </c:ext>
          </c:extLst>
        </c:ser>
        <c:ser>
          <c:idx val="5"/>
          <c:order val="5"/>
          <c:tx>
            <c:strRef>
              <c:f>Summary!$A$113</c:f>
              <c:strCache>
                <c:ptCount val="1"/>
                <c:pt idx="0">
                  <c:v>Energy Supply Sub-Total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Summary!$B$113:$F$113</c:f>
              <c:numCache>
                <c:formatCode>General</c:formatCode>
                <c:ptCount val="5"/>
                <c:pt idx="0">
                  <c:v>0</c:v>
                </c:pt>
                <c:pt idx="1">
                  <c:v>46050000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4F4-4224-BF02-C6E29650F47E}"/>
            </c:ext>
          </c:extLst>
        </c:ser>
        <c:ser>
          <c:idx val="6"/>
          <c:order val="6"/>
          <c:tx>
            <c:strRef>
              <c:f>Summary!$A$114</c:f>
              <c:strCache>
                <c:ptCount val="1"/>
                <c:pt idx="0">
                  <c:v>Renewables Market Intelligence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Summary!$B$114:$F$114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10450000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F4-4224-BF02-C6E29650F47E}"/>
            </c:ext>
          </c:extLst>
        </c:ser>
        <c:ser>
          <c:idx val="7"/>
          <c:order val="7"/>
          <c:tx>
            <c:strRef>
              <c:f>Summary!$A$115</c:f>
              <c:strCache>
                <c:ptCount val="1"/>
                <c:pt idx="0">
                  <c:v>Renewables RTM Analysis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Summary!$B$115:$F$115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7700000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4F4-4224-BF02-C6E29650F47E}"/>
            </c:ext>
          </c:extLst>
        </c:ser>
        <c:ser>
          <c:idx val="8"/>
          <c:order val="8"/>
          <c:tx>
            <c:strRef>
              <c:f>Summary!$A$116</c:f>
              <c:strCache>
                <c:ptCount val="1"/>
                <c:pt idx="0">
                  <c:v>Renewables Forecasts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Summary!$B$116:$F$116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27850000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F4-4224-BF02-C6E29650F47E}"/>
            </c:ext>
          </c:extLst>
        </c:ser>
        <c:ser>
          <c:idx val="9"/>
          <c:order val="9"/>
          <c:tx>
            <c:strRef>
              <c:f>Summary!$A$117</c:f>
              <c:strCache>
                <c:ptCount val="1"/>
                <c:pt idx="0">
                  <c:v>Renewables Regulation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Summary!$B$117:$F$117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8600000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4F4-4224-BF02-C6E29650F47E}"/>
            </c:ext>
          </c:extLst>
        </c:ser>
        <c:ser>
          <c:idx val="10"/>
          <c:order val="10"/>
          <c:tx>
            <c:strRef>
              <c:f>Summary!$A$118</c:f>
              <c:strCache>
                <c:ptCount val="1"/>
                <c:pt idx="0">
                  <c:v>Renewables Sub-Total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Summary!$B$118:$F$118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58150000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F4-4224-BF02-C6E29650F47E}"/>
            </c:ext>
          </c:extLst>
        </c:ser>
        <c:ser>
          <c:idx val="11"/>
          <c:order val="11"/>
          <c:tx>
            <c:strRef>
              <c:f>Summary!$A$119</c:f>
              <c:strCache>
                <c:ptCount val="1"/>
                <c:pt idx="0">
                  <c:v>Flexibility Market Intelligence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Summary!$B$119:$F$119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12800000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4F4-4224-BF02-C6E29650F47E}"/>
            </c:ext>
          </c:extLst>
        </c:ser>
        <c:ser>
          <c:idx val="12"/>
          <c:order val="12"/>
          <c:tx>
            <c:strRef>
              <c:f>Summary!$A$120</c:f>
              <c:strCache>
                <c:ptCount val="1"/>
                <c:pt idx="0">
                  <c:v>Flexibility RTM Analysis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Summary!$B$120:$F$120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2400000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4F4-4224-BF02-C6E29650F47E}"/>
            </c:ext>
          </c:extLst>
        </c:ser>
        <c:ser>
          <c:idx val="13"/>
          <c:order val="13"/>
          <c:tx>
            <c:strRef>
              <c:f>Summary!$A$121</c:f>
              <c:strCache>
                <c:ptCount val="1"/>
                <c:pt idx="0">
                  <c:v>Flexibility Forecasts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Summary!$B$121:$F$121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17450000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4F4-4224-BF02-C6E29650F47E}"/>
            </c:ext>
          </c:extLst>
        </c:ser>
        <c:ser>
          <c:idx val="14"/>
          <c:order val="14"/>
          <c:tx>
            <c:strRef>
              <c:f>Summary!$A$122</c:f>
              <c:strCache>
                <c:ptCount val="1"/>
                <c:pt idx="0">
                  <c:v>Flexibility Regulation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Summary!$B$122:$F$122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4900000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4F4-4224-BF02-C6E29650F47E}"/>
            </c:ext>
          </c:extLst>
        </c:ser>
        <c:ser>
          <c:idx val="15"/>
          <c:order val="15"/>
          <c:tx>
            <c:strRef>
              <c:f>Summary!$A$123</c:f>
              <c:strCache>
                <c:ptCount val="1"/>
                <c:pt idx="0">
                  <c:v>Flexibility Sub-Total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Summary!$B$123:$F$123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41100000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4F4-4224-BF02-C6E29650F47E}"/>
            </c:ext>
          </c:extLst>
        </c:ser>
        <c:ser>
          <c:idx val="16"/>
          <c:order val="16"/>
          <c:tx>
            <c:strRef>
              <c:f>Summary!$A$124</c:f>
              <c:strCache>
                <c:ptCount val="1"/>
                <c:pt idx="0">
                  <c:v>Business Energy Essentials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Summary!$B$124:$F$124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4F4-4224-BF02-C6E29650F47E}"/>
            </c:ext>
          </c:extLst>
        </c:ser>
        <c:ser>
          <c:idx val="17"/>
          <c:order val="17"/>
          <c:tx>
            <c:strRef>
              <c:f>Summary!$A$125</c:f>
              <c:strCache>
                <c:ptCount val="1"/>
                <c:pt idx="0">
                  <c:v>Energy User RTM Analysis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Summary!$B$125:$F$125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4F4-4224-BF02-C6E29650F47E}"/>
            </c:ext>
          </c:extLst>
        </c:ser>
        <c:ser>
          <c:idx val="18"/>
          <c:order val="18"/>
          <c:tx>
            <c:strRef>
              <c:f>Summary!$A$126</c:f>
              <c:strCache>
                <c:ptCount val="1"/>
                <c:pt idx="0">
                  <c:v>Energy User Forecasts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Summary!$B$126:$F$126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4F4-4224-BF02-C6E29650F47E}"/>
            </c:ext>
          </c:extLst>
        </c:ser>
        <c:ser>
          <c:idx val="19"/>
          <c:order val="19"/>
          <c:tx>
            <c:strRef>
              <c:f>Summary!$A$127</c:f>
              <c:strCache>
                <c:ptCount val="1"/>
                <c:pt idx="0">
                  <c:v>Energy User Regulation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Summary!$B$127:$F$127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4F4-4224-BF02-C6E29650F47E}"/>
            </c:ext>
          </c:extLst>
        </c:ser>
        <c:ser>
          <c:idx val="20"/>
          <c:order val="20"/>
          <c:tx>
            <c:strRef>
              <c:f>Summary!$A$128</c:f>
              <c:strCache>
                <c:ptCount val="1"/>
                <c:pt idx="0">
                  <c:v>Energy User Sub-Total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Summary!$B$107:$F$107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Summary!$B$128:$F$128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27400000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4F4-4224-BF02-C6E29650F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5059888"/>
        <c:axId val="735060368"/>
      </c:barChart>
      <c:catAx>
        <c:axId val="7350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60368"/>
        <c:crosses val="autoZero"/>
        <c:auto val="1"/>
        <c:lblAlgn val="ctr"/>
        <c:lblOffset val="100"/>
        <c:noMultiLvlLbl val="0"/>
      </c:catAx>
      <c:valAx>
        <c:axId val="73506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05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Summary!$A$133</c:f>
              <c:strCache>
                <c:ptCount val="1"/>
                <c:pt idx="0">
                  <c:v>Industry Essentials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Summary!$B$132:$F$132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Summary!$B$133:$F$133</c:f>
              <c:numCache>
                <c:formatCode>General</c:formatCode>
                <c:ptCount val="5"/>
                <c:pt idx="0">
                  <c:v>10600000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17-465C-A9EB-BEAAC8B4A7DE}"/>
            </c:ext>
          </c:extLst>
        </c:ser>
        <c:ser>
          <c:idx val="1"/>
          <c:order val="1"/>
          <c:tx>
            <c:strRef>
              <c:f>Summary!$A$134</c:f>
              <c:strCache>
                <c:ptCount val="1"/>
                <c:pt idx="0">
                  <c:v>Market Intelligence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Summary!$B$132:$F$132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Summary!$B$134:$F$134</c:f>
              <c:numCache>
                <c:formatCode>General</c:formatCode>
                <c:ptCount val="5"/>
                <c:pt idx="1">
                  <c:v>0</c:v>
                </c:pt>
                <c:pt idx="2">
                  <c:v>10450000</c:v>
                </c:pt>
                <c:pt idx="3">
                  <c:v>12800000</c:v>
                </c:pt>
                <c:pt idx="4">
                  <c:v>7050000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17-465C-A9EB-BEAAC8B4A7DE}"/>
            </c:ext>
          </c:extLst>
        </c:ser>
        <c:ser>
          <c:idx val="2"/>
          <c:order val="2"/>
          <c:tx>
            <c:strRef>
              <c:f>Summary!$A$135</c:f>
              <c:strCache>
                <c:ptCount val="1"/>
                <c:pt idx="0">
                  <c:v>RTM Analysis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Summary!$B$132:$F$132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Summary!$B$135:$F$135</c:f>
              <c:numCache>
                <c:formatCode>General</c:formatCode>
                <c:ptCount val="5"/>
                <c:pt idx="1">
                  <c:v>17150000</c:v>
                </c:pt>
                <c:pt idx="2">
                  <c:v>7700000</c:v>
                </c:pt>
                <c:pt idx="3">
                  <c:v>2400000</c:v>
                </c:pt>
                <c:pt idx="4">
                  <c:v>7900000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17-465C-A9EB-BEAAC8B4A7DE}"/>
            </c:ext>
          </c:extLst>
        </c:ser>
        <c:ser>
          <c:idx val="3"/>
          <c:order val="3"/>
          <c:tx>
            <c:strRef>
              <c:f>Summary!$A$136</c:f>
              <c:strCache>
                <c:ptCount val="1"/>
                <c:pt idx="0">
                  <c:v>Forecasts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Summary!$B$132:$F$132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Summary!$B$136:$F$136</c:f>
              <c:numCache>
                <c:formatCode>General</c:formatCode>
                <c:ptCount val="5"/>
                <c:pt idx="1">
                  <c:v>9900000</c:v>
                </c:pt>
                <c:pt idx="2">
                  <c:v>27850000</c:v>
                </c:pt>
                <c:pt idx="3">
                  <c:v>17450000</c:v>
                </c:pt>
                <c:pt idx="4">
                  <c:v>12450000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17-465C-A9EB-BEAAC8B4A7DE}"/>
            </c:ext>
          </c:extLst>
        </c:ser>
        <c:ser>
          <c:idx val="4"/>
          <c:order val="4"/>
          <c:tx>
            <c:strRef>
              <c:f>Summary!$A$137</c:f>
              <c:strCache>
                <c:ptCount val="1"/>
                <c:pt idx="0">
                  <c:v>Regulation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Summary!$B$132:$F$132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Summary!$B$137:$F$137</c:f>
              <c:numCache>
                <c:formatCode>General</c:formatCode>
                <c:ptCount val="5"/>
                <c:pt idx="1">
                  <c:v>6450000</c:v>
                </c:pt>
                <c:pt idx="2">
                  <c:v>8600000</c:v>
                </c:pt>
                <c:pt idx="3">
                  <c:v>4900000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17-465C-A9EB-BEAAC8B4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7450880"/>
        <c:axId val="657451840"/>
      </c:barChart>
      <c:lineChart>
        <c:grouping val="standard"/>
        <c:varyColors val="0"/>
        <c:ser>
          <c:idx val="5"/>
          <c:order val="5"/>
          <c:tx>
            <c:strRef>
              <c:f>Summary!$A$138</c:f>
              <c:strCache>
                <c:ptCount val="1"/>
                <c:pt idx="0">
                  <c:v>Max no. companies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Summary!$B$132:$F$132</c:f>
              <c:strCache>
                <c:ptCount val="5"/>
                <c:pt idx="0">
                  <c:v>Multi-segment</c:v>
                </c:pt>
                <c:pt idx="1">
                  <c:v>Energy supply</c:v>
                </c:pt>
                <c:pt idx="2">
                  <c:v>Renewables Generation</c:v>
                </c:pt>
                <c:pt idx="3">
                  <c:v>Flex Generation &amp; Storage</c:v>
                </c:pt>
                <c:pt idx="4">
                  <c:v>Energy Users</c:v>
                </c:pt>
              </c:strCache>
            </c:strRef>
          </c:cat>
          <c:val>
            <c:numRef>
              <c:f>Summary!$B$138:$F$138</c:f>
              <c:numCache>
                <c:formatCode>General</c:formatCode>
                <c:ptCount val="5"/>
                <c:pt idx="0">
                  <c:v>1179</c:v>
                </c:pt>
                <c:pt idx="1">
                  <c:v>272</c:v>
                </c:pt>
                <c:pt idx="2">
                  <c:v>553</c:v>
                </c:pt>
                <c:pt idx="3">
                  <c:v>527</c:v>
                </c:pt>
                <c:pt idx="4">
                  <c:v>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717-465C-A9EB-BEAAC8B4A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498752"/>
        <c:axId val="111497312"/>
      </c:lineChart>
      <c:catAx>
        <c:axId val="6574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657451840"/>
        <c:crosses val="autoZero"/>
        <c:auto val="1"/>
        <c:lblAlgn val="ctr"/>
        <c:lblOffset val="100"/>
        <c:noMultiLvlLbl val="0"/>
      </c:catAx>
      <c:valAx>
        <c:axId val="6574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b="1"/>
                  <a:t>TAM (£mn)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657450880"/>
        <c:crosses val="autoZero"/>
        <c:crossBetween val="between"/>
        <c:dispUnits>
          <c:builtInUnit val="millions"/>
        </c:dispUnits>
      </c:valAx>
      <c:valAx>
        <c:axId val="1114973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b="1"/>
                  <a:t>Max no. of companies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111498752"/>
        <c:crosses val="max"/>
        <c:crossBetween val="between"/>
      </c:valAx>
      <c:catAx>
        <c:axId val="1114987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497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0"/>
          <c:tx>
            <c:strRef>
              <c:f>SummaryNew!$C$23</c:f>
              <c:strCache>
                <c:ptCount val="1"/>
                <c:pt idx="0">
                  <c:v>OB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6-4E30-A04E-6AE316A70768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306-4E30-A04E-6AE316A70768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306-4E30-A04E-6AE316A70768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306-4E30-A04E-6AE316A70768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306-4E30-A04E-6AE316A7076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306-4E30-A04E-6AE316A70768}"/>
              </c:ext>
            </c:extLst>
          </c:dPt>
          <c:cat>
            <c:strRef>
              <c:f>SummaryNew!$B$24:$B$30</c:f>
              <c:strCache>
                <c:ptCount val="7"/>
                <c:pt idx="0">
                  <c:v>Order Book</c:v>
                </c:pt>
                <c:pt idx="1">
                  <c:v>Industry Essentials</c:v>
                </c:pt>
                <c:pt idx="2">
                  <c:v>Energy Supply</c:v>
                </c:pt>
                <c:pt idx="3">
                  <c:v>Renewables</c:v>
                </c:pt>
                <c:pt idx="4">
                  <c:v>Flexibility</c:v>
                </c:pt>
                <c:pt idx="5">
                  <c:v>Energy Users</c:v>
                </c:pt>
                <c:pt idx="6">
                  <c:v>Total</c:v>
                </c:pt>
              </c:strCache>
            </c:strRef>
          </c:cat>
          <c:val>
            <c:numRef>
              <c:f>SummaryNew!$C$24:$C$30</c:f>
              <c:numCache>
                <c:formatCode>_-"£"* #,##0_-;\-"£"* #,##0_-;_-"£"* "-"??_-;_-@_-</c:formatCode>
                <c:ptCount val="7"/>
                <c:pt idx="0">
                  <c:v>5750000</c:v>
                </c:pt>
                <c:pt idx="1">
                  <c:v>5750000</c:v>
                </c:pt>
                <c:pt idx="2">
                  <c:v>6850000</c:v>
                </c:pt>
                <c:pt idx="3">
                  <c:v>9250000</c:v>
                </c:pt>
                <c:pt idx="4">
                  <c:v>12650000</c:v>
                </c:pt>
                <c:pt idx="5">
                  <c:v>15250000</c:v>
                </c:pt>
                <c:pt idx="6">
                  <c:v>16400000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06-4E30-A04E-6AE316A70768}"/>
            </c:ext>
          </c:extLst>
        </c:ser>
        <c:ser>
          <c:idx val="1"/>
          <c:order val="1"/>
          <c:tx>
            <c:strRef>
              <c:f>SummaryNew!$E$23</c:f>
              <c:strCache>
                <c:ptCount val="1"/>
                <c:pt idx="0">
                  <c:v>Upsell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SummaryNew!$B$24:$B$30</c:f>
              <c:strCache>
                <c:ptCount val="7"/>
                <c:pt idx="0">
                  <c:v>Order Book</c:v>
                </c:pt>
                <c:pt idx="1">
                  <c:v>Industry Essentials</c:v>
                </c:pt>
                <c:pt idx="2">
                  <c:v>Energy Supply</c:v>
                </c:pt>
                <c:pt idx="3">
                  <c:v>Renewables</c:v>
                </c:pt>
                <c:pt idx="4">
                  <c:v>Flexibility</c:v>
                </c:pt>
                <c:pt idx="5">
                  <c:v>Energy Users</c:v>
                </c:pt>
                <c:pt idx="6">
                  <c:v>Total</c:v>
                </c:pt>
              </c:strCache>
            </c:strRef>
          </c:cat>
          <c:val>
            <c:numRef>
              <c:f>SummaryNew!$E$24:$E$29</c:f>
              <c:numCache>
                <c:formatCode>_-"£"* #,##0_-;\-"£"* #,##0_-;_-"£"* "-"??_-;_-@_-</c:formatCode>
                <c:ptCount val="6"/>
                <c:pt idx="1">
                  <c:v>500000</c:v>
                </c:pt>
                <c:pt idx="2">
                  <c:v>1500000</c:v>
                </c:pt>
                <c:pt idx="3">
                  <c:v>1350000</c:v>
                </c:pt>
                <c:pt idx="4">
                  <c:v>1450000</c:v>
                </c:pt>
                <c:pt idx="5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06-4E30-A04E-6AE316A70768}"/>
            </c:ext>
          </c:extLst>
        </c:ser>
        <c:ser>
          <c:idx val="0"/>
          <c:order val="2"/>
          <c:tx>
            <c:strRef>
              <c:f>SummaryNew!$D$23</c:f>
              <c:strCache>
                <c:ptCount val="1"/>
                <c:pt idx="0">
                  <c:v>New 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SummaryNew!$B$24:$B$30</c:f>
              <c:strCache>
                <c:ptCount val="7"/>
                <c:pt idx="0">
                  <c:v>Order Book</c:v>
                </c:pt>
                <c:pt idx="1">
                  <c:v>Industry Essentials</c:v>
                </c:pt>
                <c:pt idx="2">
                  <c:v>Energy Supply</c:v>
                </c:pt>
                <c:pt idx="3">
                  <c:v>Renewables</c:v>
                </c:pt>
                <c:pt idx="4">
                  <c:v>Flexibility</c:v>
                </c:pt>
                <c:pt idx="5">
                  <c:v>Energy Users</c:v>
                </c:pt>
                <c:pt idx="6">
                  <c:v>Total</c:v>
                </c:pt>
              </c:strCache>
            </c:strRef>
          </c:cat>
          <c:val>
            <c:numRef>
              <c:f>SummaryNew!$D$24:$D$29</c:f>
              <c:numCache>
                <c:formatCode>_-"£"* #,##0_-;\-"£"* #,##0_-;_-"£"* "-"??_-;_-@_-</c:formatCode>
                <c:ptCount val="6"/>
                <c:pt idx="1">
                  <c:v>600000</c:v>
                </c:pt>
                <c:pt idx="2">
                  <c:v>900000</c:v>
                </c:pt>
                <c:pt idx="3">
                  <c:v>2050000</c:v>
                </c:pt>
                <c:pt idx="4">
                  <c:v>1150000</c:v>
                </c:pt>
                <c:pt idx="5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6-4E30-A04E-6AE316A70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1223039"/>
        <c:axId val="961221119"/>
      </c:barChart>
      <c:catAx>
        <c:axId val="96122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21119"/>
        <c:crosses val="autoZero"/>
        <c:auto val="1"/>
        <c:lblAlgn val="ctr"/>
        <c:lblOffset val="100"/>
        <c:noMultiLvlLbl val="0"/>
      </c:catAx>
      <c:valAx>
        <c:axId val="96122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122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SummaryNew!$C$40</c:f>
              <c:strCache>
                <c:ptCount val="1"/>
                <c:pt idx="0">
                  <c:v>OB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33F-429B-A4A6-42FF629FE390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3F-429B-A4A6-42FF629FE390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33F-429B-A4A6-42FF629FE390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3F-429B-A4A6-42FF629FE390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33F-429B-A4A6-42FF629FE390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3F-429B-A4A6-42FF629FE390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3F-429B-A4A6-42FF629FE390}"/>
              </c:ext>
            </c:extLst>
          </c:dPt>
          <c:cat>
            <c:strRef>
              <c:f>SummaryNew!$B$41:$B$47</c:f>
              <c:strCache>
                <c:ptCount val="7"/>
                <c:pt idx="0">
                  <c:v>Order Book</c:v>
                </c:pt>
                <c:pt idx="1">
                  <c:v>Industry News &amp; Analysis</c:v>
                </c:pt>
                <c:pt idx="2">
                  <c:v>Market Intelligence</c:v>
                </c:pt>
                <c:pt idx="3">
                  <c:v>RTM Analysis</c:v>
                </c:pt>
                <c:pt idx="4">
                  <c:v>Forecasts</c:v>
                </c:pt>
                <c:pt idx="5">
                  <c:v>Regulation</c:v>
                </c:pt>
                <c:pt idx="6">
                  <c:v>Total</c:v>
                </c:pt>
              </c:strCache>
            </c:strRef>
          </c:cat>
          <c:val>
            <c:numRef>
              <c:f>SummaryNew!$C$41:$C$47</c:f>
              <c:numCache>
                <c:formatCode>_-"£"* #,##0_-;\-"£"* #,##0_-;_-"£"* "-"??_-;_-@_-</c:formatCode>
                <c:ptCount val="7"/>
                <c:pt idx="0">
                  <c:v>5750000</c:v>
                </c:pt>
                <c:pt idx="1">
                  <c:v>5750000</c:v>
                </c:pt>
                <c:pt idx="2">
                  <c:v>6850000</c:v>
                </c:pt>
                <c:pt idx="3">
                  <c:v>9050000</c:v>
                </c:pt>
                <c:pt idx="4">
                  <c:v>11250000</c:v>
                </c:pt>
                <c:pt idx="5">
                  <c:v>14700000</c:v>
                </c:pt>
                <c:pt idx="6">
                  <c:v>16400000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F-429B-A4A6-42FF629FE390}"/>
            </c:ext>
          </c:extLst>
        </c:ser>
        <c:ser>
          <c:idx val="2"/>
          <c:order val="1"/>
          <c:tx>
            <c:strRef>
              <c:f>SummaryNew!$E$40</c:f>
              <c:strCache>
                <c:ptCount val="1"/>
                <c:pt idx="0">
                  <c:v>Upsell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SummaryNew!$B$41:$B$47</c:f>
              <c:strCache>
                <c:ptCount val="7"/>
                <c:pt idx="0">
                  <c:v>Order Book</c:v>
                </c:pt>
                <c:pt idx="1">
                  <c:v>Industry News &amp; Analysis</c:v>
                </c:pt>
                <c:pt idx="2">
                  <c:v>Market Intelligence</c:v>
                </c:pt>
                <c:pt idx="3">
                  <c:v>RTM Analysis</c:v>
                </c:pt>
                <c:pt idx="4">
                  <c:v>Forecasts</c:v>
                </c:pt>
                <c:pt idx="5">
                  <c:v>Regulation</c:v>
                </c:pt>
                <c:pt idx="6">
                  <c:v>Total</c:v>
                </c:pt>
              </c:strCache>
            </c:strRef>
          </c:cat>
          <c:val>
            <c:numRef>
              <c:f>SummaryNew!$E$41:$E$47</c:f>
              <c:numCache>
                <c:formatCode>_-"£"* #,##0_-;\-"£"* #,##0_-;_-"£"* "-"??_-;_-@_-</c:formatCode>
                <c:ptCount val="7"/>
                <c:pt idx="1">
                  <c:v>500000</c:v>
                </c:pt>
                <c:pt idx="2">
                  <c:v>1150000</c:v>
                </c:pt>
                <c:pt idx="3">
                  <c:v>1450000</c:v>
                </c:pt>
                <c:pt idx="4">
                  <c:v>1600000</c:v>
                </c:pt>
                <c:pt idx="5">
                  <c:v>950000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3F-429B-A4A6-42FF629FE390}"/>
            </c:ext>
          </c:extLst>
        </c:ser>
        <c:ser>
          <c:idx val="1"/>
          <c:order val="2"/>
          <c:tx>
            <c:strRef>
              <c:f>SummaryNew!$D$40</c:f>
              <c:strCache>
                <c:ptCount val="1"/>
                <c:pt idx="0">
                  <c:v>New Business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SummaryNew!$B$41:$B$47</c:f>
              <c:strCache>
                <c:ptCount val="7"/>
                <c:pt idx="0">
                  <c:v>Order Book</c:v>
                </c:pt>
                <c:pt idx="1">
                  <c:v>Industry News &amp; Analysis</c:v>
                </c:pt>
                <c:pt idx="2">
                  <c:v>Market Intelligence</c:v>
                </c:pt>
                <c:pt idx="3">
                  <c:v>RTM Analysis</c:v>
                </c:pt>
                <c:pt idx="4">
                  <c:v>Forecasts</c:v>
                </c:pt>
                <c:pt idx="5">
                  <c:v>Regulation</c:v>
                </c:pt>
                <c:pt idx="6">
                  <c:v>Total</c:v>
                </c:pt>
              </c:strCache>
            </c:strRef>
          </c:cat>
          <c:val>
            <c:numRef>
              <c:f>SummaryNew!$D$41:$D$47</c:f>
              <c:numCache>
                <c:formatCode>_-"£"* #,##0_-;\-"£"* #,##0_-;_-"£"* "-"??_-;_-@_-</c:formatCode>
                <c:ptCount val="7"/>
                <c:pt idx="1">
                  <c:v>600000</c:v>
                </c:pt>
                <c:pt idx="2">
                  <c:v>1050000</c:v>
                </c:pt>
                <c:pt idx="3">
                  <c:v>750000</c:v>
                </c:pt>
                <c:pt idx="4">
                  <c:v>1850000</c:v>
                </c:pt>
                <c:pt idx="5">
                  <c:v>750000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3F-429B-A4A6-42FF629FE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131263"/>
        <c:axId val="159132703"/>
      </c:barChart>
      <c:catAx>
        <c:axId val="15913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2703"/>
        <c:crosses val="autoZero"/>
        <c:auto val="1"/>
        <c:lblAlgn val="ctr"/>
        <c:lblOffset val="100"/>
        <c:noMultiLvlLbl val="0"/>
      </c:catAx>
      <c:valAx>
        <c:axId val="15913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3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SummaryNew!$B$20</c:f>
              <c:strCache>
                <c:ptCount val="1"/>
                <c:pt idx="0">
                  <c:v>Totals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extLst>
                <c:ext xmlns:c15="http://schemas.microsoft.com/office/drawing/2012/chart" uri="{02D57815-91ED-43cb-92C2-25804820EDAC}">
                  <c15:fullRef>
                    <c15:sqref>SummaryNew!$C$1:$P$2</c15:sqref>
                  </c15:fullRef>
                </c:ext>
              </c:extLst>
              <c:f>(SummaryNew!$C$1:$C$2,SummaryNew!$E$1:$E$2,SummaryNew!$I$1:$I$2,SummaryNew!$O$1:$O$2)</c:f>
              <c:multiLvlStrCache>
                <c:ptCount val="4"/>
                <c:lvl>
                  <c:pt idx="0">
                    <c:v>£</c:v>
                  </c:pt>
                  <c:pt idx="1">
                    <c:v>£</c:v>
                  </c:pt>
                  <c:pt idx="2">
                    <c:v>£</c:v>
                  </c:pt>
                  <c:pt idx="3">
                    <c:v>£</c:v>
                  </c:pt>
                </c:lvl>
                <c:lvl>
                  <c:pt idx="0">
                    <c:v>TAM</c:v>
                  </c:pt>
                  <c:pt idx="1">
                    <c:v>SAM</c:v>
                  </c:pt>
                  <c:pt idx="2">
                    <c:v>Order Book (end FY25)</c:v>
                  </c:pt>
                  <c:pt idx="3">
                    <c:v>SOM (pt. 2)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SummaryNew!$C$20:$P$20</c15:sqref>
                  </c15:fullRef>
                </c:ext>
              </c:extLst>
              <c:f>(SummaryNew!$C$20,SummaryNew!$E$20,SummaryNew!$I$20,SummaryNew!$O$20)</c:f>
              <c:numCache>
                <c:formatCode>General</c:formatCode>
                <c:ptCount val="4"/>
                <c:pt idx="0" formatCode="_-&quot;£&quot;* #,##0_-;\-&quot;£&quot;* #,##0_-;_-&quot;£&quot;* &quot;-&quot;??_-;_-@_-">
                  <c:v>170350000</c:v>
                </c:pt>
                <c:pt idx="1" formatCode="_-&quot;£&quot;* #,##0_-;\-&quot;£&quot;* #,##0_-;_-&quot;£&quot;* &quot;-&quot;??_-;_-@_-">
                  <c:v>90000000</c:v>
                </c:pt>
                <c:pt idx="2" formatCode="_-&quot;£&quot;* #,##0_-;\-&quot;£&quot;* #,##0_-;_-&quot;£&quot;* &quot;-&quot;??_-;_-@_-">
                  <c:v>5750000</c:v>
                </c:pt>
                <c:pt idx="3" formatCode="_-&quot;£&quot;* #,##0_-;\-&quot;£&quot;* #,##0_-;_-&quot;£&quot;* &quot;-&quot;??_-;_-@_-">
                  <c:v>16400000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B-4A21-BBCF-3308583A9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2176367"/>
        <c:axId val="332175887"/>
      </c:barChart>
      <c:catAx>
        <c:axId val="33217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75887"/>
        <c:crosses val="autoZero"/>
        <c:auto val="1"/>
        <c:lblAlgn val="ctr"/>
        <c:lblOffset val="100"/>
        <c:noMultiLvlLbl val="0"/>
      </c:catAx>
      <c:valAx>
        <c:axId val="33217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£&quot;* #,##0_-;\-&quot;£&quot;* #,##0_-;_-&quot;£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176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SummaryNew!$C$57</c:f>
              <c:strCache>
                <c:ptCount val="1"/>
                <c:pt idx="0">
                  <c:v>Turnover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SummaryNew!$B$58:$B$62</c:f>
              <c:strCache>
                <c:ptCount val="5"/>
                <c:pt idx="0">
                  <c:v>Aurora Energy Research (UK) (2023)</c:v>
                </c:pt>
                <c:pt idx="1">
                  <c:v>LCP Delta (2023)</c:v>
                </c:pt>
                <c:pt idx="2">
                  <c:v>Cornwall Insight SOM (2028/2030)</c:v>
                </c:pt>
                <c:pt idx="3">
                  <c:v>Cornwall Insight Order Book (FY25)</c:v>
                </c:pt>
                <c:pt idx="4">
                  <c:v>Modo (2023)</c:v>
                </c:pt>
              </c:strCache>
            </c:strRef>
          </c:cat>
          <c:val>
            <c:numRef>
              <c:f>SummaryNew!$C$58:$C$62</c:f>
              <c:numCache>
                <c:formatCode>General</c:formatCode>
                <c:ptCount val="5"/>
                <c:pt idx="0">
                  <c:v>24300000</c:v>
                </c:pt>
                <c:pt idx="1">
                  <c:v>20000000</c:v>
                </c:pt>
                <c:pt idx="2">
                  <c:v>16050000</c:v>
                </c:pt>
                <c:pt idx="3">
                  <c:v>5750000</c:v>
                </c:pt>
                <c:pt idx="4">
                  <c:v>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B-4CB5-B4C1-5ABCBBAEA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1226687"/>
        <c:axId val="1544382863"/>
      </c:barChart>
      <c:catAx>
        <c:axId val="33122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82863"/>
        <c:crosses val="autoZero"/>
        <c:auto val="1"/>
        <c:lblAlgn val="ctr"/>
        <c:lblOffset val="100"/>
        <c:noMultiLvlLbl val="0"/>
      </c:catAx>
      <c:valAx>
        <c:axId val="154438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22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SummaryNew!$B$64:$B$66</c:f>
              <c:strCache>
                <c:ptCount val="3"/>
                <c:pt idx="0">
                  <c:v>Cornwall Insight Order Book (Flexibility )(FY25)</c:v>
                </c:pt>
                <c:pt idx="1">
                  <c:v>Cornwall Insight SOM (Flexibility)</c:v>
                </c:pt>
                <c:pt idx="2">
                  <c:v>Modo (2023)</c:v>
                </c:pt>
              </c:strCache>
            </c:strRef>
          </c:cat>
          <c:val>
            <c:numRef>
              <c:f>SummaryNew!$C$64:$C$66</c:f>
              <c:numCache>
                <c:formatCode>General</c:formatCode>
                <c:ptCount val="3"/>
                <c:pt idx="0">
                  <c:v>300000</c:v>
                </c:pt>
                <c:pt idx="1">
                  <c:v>3050000</c:v>
                </c:pt>
                <c:pt idx="2">
                  <c:v>4000000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4-4ADF-A3E1-7FD7104BC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6314799"/>
        <c:axId val="1146315279"/>
      </c:barChart>
      <c:catAx>
        <c:axId val="114631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15279"/>
        <c:crosses val="autoZero"/>
        <c:auto val="1"/>
        <c:lblAlgn val="ctr"/>
        <c:lblOffset val="100"/>
        <c:noMultiLvlLbl val="0"/>
      </c:catAx>
      <c:valAx>
        <c:axId val="114631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1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90-4AD5-BD4E-372D62BC1C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90-4AD5-BD4E-372D62BC1C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90-4AD5-BD4E-372D62BC1C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C90-4AD5-BD4E-372D62BC1C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C90-4AD5-BD4E-372D62BC1C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C90-4AD5-BD4E-372D62BC1C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C90-4AD5-BD4E-372D62BC1C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C90-4AD5-BD4E-372D62BC1CA0}"/>
              </c:ext>
            </c:extLst>
          </c:dPt>
          <c:cat>
            <c:strRef>
              <c:f>PieCharts!$A$2:$A$9</c:f>
              <c:strCache>
                <c:ptCount val="8"/>
                <c:pt idx="0">
                  <c:v>Energy supplier</c:v>
                </c:pt>
                <c:pt idx="1">
                  <c:v>Flexibility generator/developer</c:v>
                </c:pt>
                <c:pt idx="2">
                  <c:v>Energy traders</c:v>
                </c:pt>
                <c:pt idx="3">
                  <c:v>Renewables generator/developer</c:v>
                </c:pt>
                <c:pt idx="4">
                  <c:v>Investor</c:v>
                </c:pt>
                <c:pt idx="5">
                  <c:v>Public body</c:v>
                </c:pt>
                <c:pt idx="6">
                  <c:v>End user</c:v>
                </c:pt>
                <c:pt idx="7">
                  <c:v>E-mobility</c:v>
                </c:pt>
              </c:strCache>
            </c:strRef>
          </c:cat>
          <c:val>
            <c:numRef>
              <c:f>PieCharts!$B$2:$B$9</c:f>
              <c:numCache>
                <c:formatCode>General</c:formatCode>
                <c:ptCount val="8"/>
                <c:pt idx="0">
                  <c:v>53</c:v>
                </c:pt>
                <c:pt idx="1">
                  <c:v>20</c:v>
                </c:pt>
                <c:pt idx="2">
                  <c:v>16</c:v>
                </c:pt>
                <c:pt idx="3">
                  <c:v>97</c:v>
                </c:pt>
                <c:pt idx="4">
                  <c:v>16</c:v>
                </c:pt>
                <c:pt idx="5">
                  <c:v>4</c:v>
                </c:pt>
                <c:pt idx="6">
                  <c:v>38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BD-4CB0-84D6-1DDAE47A8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Consulting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5E-4F45-8419-BF411DB4FA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5E-4F45-8419-BF411DB4FA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5E-4F45-8419-BF411DB4FA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E5E-4F45-8419-BF411DB4FA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E5E-4F45-8419-BF411DB4FA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E5E-4F45-8419-BF411DB4FA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E5E-4F45-8419-BF411DB4FA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E5E-4F45-8419-BF411DB4FA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E5E-4F45-8419-BF411DB4FA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E5E-4F45-8419-BF411DB4FA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E5E-4F45-8419-BF411DB4FA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E5E-4F45-8419-BF411DB4FAF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E5E-4F45-8419-BF411DB4FAF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E5E-4F45-8419-BF411DB4FAFD}"/>
              </c:ext>
            </c:extLst>
          </c:dPt>
          <c:cat>
            <c:strRef>
              <c:f>PieCharts!$A$2:$A$15</c:f>
              <c:strCache>
                <c:ptCount val="14"/>
                <c:pt idx="0">
                  <c:v>Energy supplier</c:v>
                </c:pt>
                <c:pt idx="1">
                  <c:v>Flexibility generator/developer</c:v>
                </c:pt>
                <c:pt idx="2">
                  <c:v>Energy traders</c:v>
                </c:pt>
                <c:pt idx="3">
                  <c:v>Renewables generator/developer</c:v>
                </c:pt>
                <c:pt idx="4">
                  <c:v>Investor</c:v>
                </c:pt>
                <c:pt idx="5">
                  <c:v>Public body</c:v>
                </c:pt>
                <c:pt idx="6">
                  <c:v>End user</c:v>
                </c:pt>
                <c:pt idx="7">
                  <c:v>E-mobility</c:v>
                </c:pt>
                <c:pt idx="8">
                  <c:v>DSR</c:v>
                </c:pt>
                <c:pt idx="9">
                  <c:v>Network company</c:v>
                </c:pt>
                <c:pt idx="10">
                  <c:v>TPI</c:v>
                </c:pt>
                <c:pt idx="11">
                  <c:v>Metering</c:v>
                </c:pt>
                <c:pt idx="12">
                  <c:v>Professional services</c:v>
                </c:pt>
                <c:pt idx="13">
                  <c:v>Trade body</c:v>
                </c:pt>
              </c:strCache>
            </c:strRef>
          </c:cat>
          <c:val>
            <c:numRef>
              <c:f>PieCharts!$C$2:$C$15</c:f>
              <c:numCache>
                <c:formatCode>General</c:formatCode>
                <c:ptCount val="14"/>
                <c:pt idx="0">
                  <c:v>11</c:v>
                </c:pt>
                <c:pt idx="1">
                  <c:v>39</c:v>
                </c:pt>
                <c:pt idx="2">
                  <c:v>0</c:v>
                </c:pt>
                <c:pt idx="3">
                  <c:v>65</c:v>
                </c:pt>
                <c:pt idx="4">
                  <c:v>39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1-41D6-9282-A85453DC2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'New pivot'!$V$1</c:f>
              <c:strCache>
                <c:ptCount val="1"/>
                <c:pt idx="0">
                  <c:v>TAM £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pivot'!$R$2:$R$18</c:f>
              <c:strCache>
                <c:ptCount val="17"/>
                <c:pt idx="0">
                  <c:v>Industry Essentials</c:v>
                </c:pt>
                <c:pt idx="1">
                  <c:v>Energy Supply Market Intelligence</c:v>
                </c:pt>
                <c:pt idx="2">
                  <c:v>Energy Supply RTM Analysis</c:v>
                </c:pt>
                <c:pt idx="3">
                  <c:v>Energy Supply Forecasts</c:v>
                </c:pt>
                <c:pt idx="4">
                  <c:v>Energy Supply Regulation</c:v>
                </c:pt>
                <c:pt idx="5">
                  <c:v>Renewables Market Intelligence</c:v>
                </c:pt>
                <c:pt idx="6">
                  <c:v>Renewables RTM Analysis</c:v>
                </c:pt>
                <c:pt idx="7">
                  <c:v>Renewables Forecasts</c:v>
                </c:pt>
                <c:pt idx="8">
                  <c:v>Renewables Regulation</c:v>
                </c:pt>
                <c:pt idx="9">
                  <c:v>Flexibility Market Intelligence</c:v>
                </c:pt>
                <c:pt idx="10">
                  <c:v>Flexibility RTM Analysis</c:v>
                </c:pt>
                <c:pt idx="11">
                  <c:v>Flexibility Forecasts</c:v>
                </c:pt>
                <c:pt idx="12">
                  <c:v>Flexibility Regulation</c:v>
                </c:pt>
                <c:pt idx="13">
                  <c:v>Business Energy Essentials</c:v>
                </c:pt>
                <c:pt idx="14">
                  <c:v>Energy User RTM Analysis</c:v>
                </c:pt>
                <c:pt idx="15">
                  <c:v>Energy User Forecasts</c:v>
                </c:pt>
                <c:pt idx="16">
                  <c:v>Energy User Regulation</c:v>
                </c:pt>
              </c:strCache>
            </c:strRef>
          </c:cat>
          <c:val>
            <c:numRef>
              <c:f>'New pivot'!$V$2:$V$18</c:f>
              <c:numCache>
                <c:formatCode>"£"#,##0</c:formatCode>
                <c:ptCount val="17"/>
                <c:pt idx="0">
                  <c:v>10600000</c:v>
                </c:pt>
                <c:pt idx="1">
                  <c:v>9000000</c:v>
                </c:pt>
                <c:pt idx="2">
                  <c:v>17150000</c:v>
                </c:pt>
                <c:pt idx="3">
                  <c:v>9900000</c:v>
                </c:pt>
                <c:pt idx="4">
                  <c:v>6450000</c:v>
                </c:pt>
                <c:pt idx="5">
                  <c:v>10450000</c:v>
                </c:pt>
                <c:pt idx="6">
                  <c:v>7700000</c:v>
                </c:pt>
                <c:pt idx="7">
                  <c:v>27850000</c:v>
                </c:pt>
                <c:pt idx="8">
                  <c:v>8600000</c:v>
                </c:pt>
                <c:pt idx="9">
                  <c:v>12800000</c:v>
                </c:pt>
                <c:pt idx="10">
                  <c:v>2400000</c:v>
                </c:pt>
                <c:pt idx="11">
                  <c:v>17450000</c:v>
                </c:pt>
                <c:pt idx="12">
                  <c:v>4900000</c:v>
                </c:pt>
                <c:pt idx="13">
                  <c:v>7050000</c:v>
                </c:pt>
                <c:pt idx="14">
                  <c:v>7900000</c:v>
                </c:pt>
                <c:pt idx="15">
                  <c:v>12450000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55-4DED-A0F7-BB77F29D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5496527"/>
        <c:axId val="50327055"/>
      </c:barChart>
      <c:lineChart>
        <c:grouping val="standard"/>
        <c:varyColors val="0"/>
        <c:ser>
          <c:idx val="0"/>
          <c:order val="0"/>
          <c:tx>
            <c:strRef>
              <c:f>'New pivot'!$S$1</c:f>
              <c:strCache>
                <c:ptCount val="1"/>
                <c:pt idx="0">
                  <c:v>RRP (Lower Tier, Enterprise)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'New pivot'!$R$2:$R$18</c:f>
              <c:strCache>
                <c:ptCount val="17"/>
                <c:pt idx="0">
                  <c:v>Industry Essentials</c:v>
                </c:pt>
                <c:pt idx="1">
                  <c:v>Energy Supply Market Intelligence</c:v>
                </c:pt>
                <c:pt idx="2">
                  <c:v>Energy Supply RTM Analysis</c:v>
                </c:pt>
                <c:pt idx="3">
                  <c:v>Energy Supply Forecasts</c:v>
                </c:pt>
                <c:pt idx="4">
                  <c:v>Energy Supply Regulation</c:v>
                </c:pt>
                <c:pt idx="5">
                  <c:v>Renewables Market Intelligence</c:v>
                </c:pt>
                <c:pt idx="6">
                  <c:v>Renewables RTM Analysis</c:v>
                </c:pt>
                <c:pt idx="7">
                  <c:v>Renewables Forecasts</c:v>
                </c:pt>
                <c:pt idx="8">
                  <c:v>Renewables Regulation</c:v>
                </c:pt>
                <c:pt idx="9">
                  <c:v>Flexibility Market Intelligence</c:v>
                </c:pt>
                <c:pt idx="10">
                  <c:v>Flexibility RTM Analysis</c:v>
                </c:pt>
                <c:pt idx="11">
                  <c:v>Flexibility Forecasts</c:v>
                </c:pt>
                <c:pt idx="12">
                  <c:v>Flexibility Regulation</c:v>
                </c:pt>
                <c:pt idx="13">
                  <c:v>Business Energy Essentials</c:v>
                </c:pt>
                <c:pt idx="14">
                  <c:v>Energy User RTM Analysis</c:v>
                </c:pt>
                <c:pt idx="15">
                  <c:v>Energy User Forecasts</c:v>
                </c:pt>
                <c:pt idx="16">
                  <c:v>Energy User Regulation</c:v>
                </c:pt>
              </c:strCache>
            </c:strRef>
          </c:cat>
          <c:val>
            <c:numRef>
              <c:f>'New pivot'!$S$2:$S$18</c:f>
              <c:numCache>
                <c:formatCode>"£"#,##0</c:formatCode>
                <c:ptCount val="17"/>
                <c:pt idx="0">
                  <c:v>10000</c:v>
                </c:pt>
                <c:pt idx="1">
                  <c:v>41000</c:v>
                </c:pt>
                <c:pt idx="2">
                  <c:v>70000</c:v>
                </c:pt>
                <c:pt idx="3">
                  <c:v>45000</c:v>
                </c:pt>
                <c:pt idx="4">
                  <c:v>51000</c:v>
                </c:pt>
                <c:pt idx="5">
                  <c:v>21000</c:v>
                </c:pt>
                <c:pt idx="6">
                  <c:v>20000</c:v>
                </c:pt>
                <c:pt idx="7">
                  <c:v>56000</c:v>
                </c:pt>
                <c:pt idx="8">
                  <c:v>25000</c:v>
                </c:pt>
                <c:pt idx="9">
                  <c:v>27000</c:v>
                </c:pt>
                <c:pt idx="10">
                  <c:v>10000</c:v>
                </c:pt>
                <c:pt idx="11">
                  <c:v>42000</c:v>
                </c:pt>
                <c:pt idx="12">
                  <c:v>24000</c:v>
                </c:pt>
                <c:pt idx="13">
                  <c:v>15000</c:v>
                </c:pt>
                <c:pt idx="14">
                  <c:v>15000</c:v>
                </c:pt>
                <c:pt idx="15">
                  <c:v>26000</c:v>
                </c:pt>
                <c:pt idx="16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5-4DED-A0F7-BB77F29D43E8}"/>
            </c:ext>
          </c:extLst>
        </c:ser>
        <c:ser>
          <c:idx val="1"/>
          <c:order val="1"/>
          <c:tx>
            <c:strRef>
              <c:f>'New pivot'!$T$1</c:f>
              <c:strCache>
                <c:ptCount val="1"/>
                <c:pt idx="0">
                  <c:v>Achieved price (£/yr)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'New pivot'!$R$2:$R$18</c:f>
              <c:strCache>
                <c:ptCount val="17"/>
                <c:pt idx="0">
                  <c:v>Industry Essentials</c:v>
                </c:pt>
                <c:pt idx="1">
                  <c:v>Energy Supply Market Intelligence</c:v>
                </c:pt>
                <c:pt idx="2">
                  <c:v>Energy Supply RTM Analysis</c:v>
                </c:pt>
                <c:pt idx="3">
                  <c:v>Energy Supply Forecasts</c:v>
                </c:pt>
                <c:pt idx="4">
                  <c:v>Energy Supply Regulation</c:v>
                </c:pt>
                <c:pt idx="5">
                  <c:v>Renewables Market Intelligence</c:v>
                </c:pt>
                <c:pt idx="6">
                  <c:v>Renewables RTM Analysis</c:v>
                </c:pt>
                <c:pt idx="7">
                  <c:v>Renewables Forecasts</c:v>
                </c:pt>
                <c:pt idx="8">
                  <c:v>Renewables Regulation</c:v>
                </c:pt>
                <c:pt idx="9">
                  <c:v>Flexibility Market Intelligence</c:v>
                </c:pt>
                <c:pt idx="10">
                  <c:v>Flexibility RTM Analysis</c:v>
                </c:pt>
                <c:pt idx="11">
                  <c:v>Flexibility Forecasts</c:v>
                </c:pt>
                <c:pt idx="12">
                  <c:v>Flexibility Regulation</c:v>
                </c:pt>
                <c:pt idx="13">
                  <c:v>Business Energy Essentials</c:v>
                </c:pt>
                <c:pt idx="14">
                  <c:v>Energy User RTM Analysis</c:v>
                </c:pt>
                <c:pt idx="15">
                  <c:v>Energy User Forecasts</c:v>
                </c:pt>
                <c:pt idx="16">
                  <c:v>Energy User Regulation</c:v>
                </c:pt>
              </c:strCache>
            </c:strRef>
          </c:cat>
          <c:val>
            <c:numRef>
              <c:f>'New pivot'!$T$2:$T$18</c:f>
              <c:numCache>
                <c:formatCode>"£"#,##0</c:formatCode>
                <c:ptCount val="17"/>
                <c:pt idx="0">
                  <c:v>9000</c:v>
                </c:pt>
                <c:pt idx="1">
                  <c:v>36900</c:v>
                </c:pt>
                <c:pt idx="2">
                  <c:v>63000</c:v>
                </c:pt>
                <c:pt idx="3">
                  <c:v>40500</c:v>
                </c:pt>
                <c:pt idx="4">
                  <c:v>45900</c:v>
                </c:pt>
                <c:pt idx="5">
                  <c:v>18900</c:v>
                </c:pt>
                <c:pt idx="6">
                  <c:v>18000</c:v>
                </c:pt>
                <c:pt idx="7">
                  <c:v>50400</c:v>
                </c:pt>
                <c:pt idx="8">
                  <c:v>22500</c:v>
                </c:pt>
                <c:pt idx="9">
                  <c:v>24300</c:v>
                </c:pt>
                <c:pt idx="10">
                  <c:v>9000</c:v>
                </c:pt>
                <c:pt idx="11">
                  <c:v>37800</c:v>
                </c:pt>
                <c:pt idx="12">
                  <c:v>21600</c:v>
                </c:pt>
                <c:pt idx="13">
                  <c:v>13500</c:v>
                </c:pt>
                <c:pt idx="14">
                  <c:v>13500</c:v>
                </c:pt>
                <c:pt idx="15">
                  <c:v>23400</c:v>
                </c:pt>
                <c:pt idx="16">
                  <c:v>5400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5-4DED-A0F7-BB77F29D43E8}"/>
            </c:ext>
          </c:extLst>
        </c:ser>
        <c:ser>
          <c:idx val="2"/>
          <c:order val="2"/>
          <c:tx>
            <c:strRef>
              <c:f>'New pivot'!$U$1</c:f>
              <c:strCache>
                <c:ptCount val="1"/>
                <c:pt idx="0">
                  <c:v>TAM no. companies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'New pivot'!$R$2:$R$18</c:f>
              <c:strCache>
                <c:ptCount val="17"/>
                <c:pt idx="0">
                  <c:v>Industry Essentials</c:v>
                </c:pt>
                <c:pt idx="1">
                  <c:v>Energy Supply Market Intelligence</c:v>
                </c:pt>
                <c:pt idx="2">
                  <c:v>Energy Supply RTM Analysis</c:v>
                </c:pt>
                <c:pt idx="3">
                  <c:v>Energy Supply Forecasts</c:v>
                </c:pt>
                <c:pt idx="4">
                  <c:v>Energy Supply Regulation</c:v>
                </c:pt>
                <c:pt idx="5">
                  <c:v>Renewables Market Intelligence</c:v>
                </c:pt>
                <c:pt idx="6">
                  <c:v>Renewables RTM Analysis</c:v>
                </c:pt>
                <c:pt idx="7">
                  <c:v>Renewables Forecasts</c:v>
                </c:pt>
                <c:pt idx="8">
                  <c:v>Renewables Regulation</c:v>
                </c:pt>
                <c:pt idx="9">
                  <c:v>Flexibility Market Intelligence</c:v>
                </c:pt>
                <c:pt idx="10">
                  <c:v>Flexibility RTM Analysis</c:v>
                </c:pt>
                <c:pt idx="11">
                  <c:v>Flexibility Forecasts</c:v>
                </c:pt>
                <c:pt idx="12">
                  <c:v>Flexibility Regulation</c:v>
                </c:pt>
                <c:pt idx="13">
                  <c:v>Business Energy Essentials</c:v>
                </c:pt>
                <c:pt idx="14">
                  <c:v>Energy User RTM Analysis</c:v>
                </c:pt>
                <c:pt idx="15">
                  <c:v>Energy User Forecasts</c:v>
                </c:pt>
                <c:pt idx="16">
                  <c:v>Energy User Regulation</c:v>
                </c:pt>
              </c:strCache>
            </c:strRef>
          </c:cat>
          <c:val>
            <c:numRef>
              <c:f>'New pivot'!$U$2:$U$18</c:f>
              <c:numCache>
                <c:formatCode>General</c:formatCode>
                <c:ptCount val="17"/>
                <c:pt idx="0">
                  <c:v>1179</c:v>
                </c:pt>
                <c:pt idx="1">
                  <c:v>244</c:v>
                </c:pt>
                <c:pt idx="2">
                  <c:v>272</c:v>
                </c:pt>
                <c:pt idx="3">
                  <c:v>244</c:v>
                </c:pt>
                <c:pt idx="4">
                  <c:v>140</c:v>
                </c:pt>
                <c:pt idx="5">
                  <c:v>553</c:v>
                </c:pt>
                <c:pt idx="6">
                  <c:v>429</c:v>
                </c:pt>
                <c:pt idx="7">
                  <c:v>553</c:v>
                </c:pt>
                <c:pt idx="8">
                  <c:v>382</c:v>
                </c:pt>
                <c:pt idx="9">
                  <c:v>527</c:v>
                </c:pt>
                <c:pt idx="10">
                  <c:v>268</c:v>
                </c:pt>
                <c:pt idx="11">
                  <c:v>461</c:v>
                </c:pt>
                <c:pt idx="12">
                  <c:v>228</c:v>
                </c:pt>
                <c:pt idx="13">
                  <c:v>522</c:v>
                </c:pt>
                <c:pt idx="14">
                  <c:v>587</c:v>
                </c:pt>
                <c:pt idx="15">
                  <c:v>531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5-4DED-A0F7-BB77F29D4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422415"/>
        <c:axId val="1963231615"/>
      </c:lineChart>
      <c:catAx>
        <c:axId val="1962422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sz="1200" b="1"/>
                  <a:t>Services</a:t>
                </a:r>
              </a:p>
            </c:rich>
          </c:tx>
          <c:layout>
            <c:manualLayout>
              <c:xMode val="edge"/>
              <c:yMode val="edge"/>
              <c:x val="0.46977443578312095"/>
              <c:y val="0.944361123470047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1963231615"/>
        <c:crosses val="autoZero"/>
        <c:auto val="1"/>
        <c:lblAlgn val="ctr"/>
        <c:lblOffset val="100"/>
        <c:noMultiLvlLbl val="0"/>
      </c:catAx>
      <c:valAx>
        <c:axId val="19632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sz="1200" b="1"/>
                  <a:t>TAM - No. of companies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1962422415"/>
        <c:crosses val="autoZero"/>
        <c:crossBetween val="between"/>
      </c:valAx>
      <c:valAx>
        <c:axId val="50327055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r>
                  <a:rPr lang="en-GB" sz="1200" b="1"/>
                  <a:t>TAM 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Lato" panose="020F0502020204030203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Lato" panose="020F0502020204030203" pitchFamily="34" charset="0"/>
                <a:ea typeface="+mn-ea"/>
                <a:cs typeface="+mn-cs"/>
              </a:defRPr>
            </a:pPr>
            <a:endParaRPr lang="en-US"/>
          </a:p>
        </c:txPr>
        <c:crossAx val="215496527"/>
        <c:crosses val="max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Lato" panose="020F050202020403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215496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3270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Lato" panose="020F0502020204030203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Lato" panose="020F050202020403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Top30Customers!$N$2</c:f>
              <c:strCache>
                <c:ptCount val="1"/>
                <c:pt idx="0">
                  <c:v>Current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Top30Customers!$A$3:$A$27</c:f>
              <c:strCache>
                <c:ptCount val="25"/>
                <c:pt idx="0">
                  <c:v>British Gas Trading Ltd</c:v>
                </c:pt>
                <c:pt idx="1">
                  <c:v>Centrica Energy Limited</c:v>
                </c:pt>
                <c:pt idx="2">
                  <c:v>Conrad Energy Limited</c:v>
                </c:pt>
                <c:pt idx="3">
                  <c:v>Corona Energy Retail 1 Ltd</c:v>
                </c:pt>
                <c:pt idx="4">
                  <c:v>Drax Power Limited</c:v>
                </c:pt>
                <c:pt idx="5">
                  <c:v>E.ON Connecting Energies Ltd.</c:v>
                </c:pt>
                <c:pt idx="6">
                  <c:v>E.ON UK PLC</c:v>
                </c:pt>
                <c:pt idx="7">
                  <c:v>EDF Energy Customers Limited</c:v>
                </c:pt>
                <c:pt idx="8">
                  <c:v>EDF Energy Limited</c:v>
                </c:pt>
                <c:pt idx="9">
                  <c:v>ENGIE Power Limited</c:v>
                </c:pt>
                <c:pt idx="10">
                  <c:v>NPower Limited</c:v>
                </c:pt>
                <c:pt idx="11">
                  <c:v>Octopus Energy Ltd</c:v>
                </c:pt>
                <c:pt idx="12">
                  <c:v>Opus Energy</c:v>
                </c:pt>
                <c:pt idx="13">
                  <c:v>OVO Energy Limited</c:v>
                </c:pt>
                <c:pt idx="14">
                  <c:v>RWE Supply &amp; Trading GmbH</c:v>
                </c:pt>
                <c:pt idx="15">
                  <c:v>ScottishPower Limited</c:v>
                </c:pt>
                <c:pt idx="16">
                  <c:v>SEFE Energy Ltd</c:v>
                </c:pt>
                <c:pt idx="17">
                  <c:v>Shell International B.V.</c:v>
                </c:pt>
                <c:pt idx="18">
                  <c:v>Smartest Energy Limited</c:v>
                </c:pt>
                <c:pt idx="19">
                  <c:v>SSE plc</c:v>
                </c:pt>
                <c:pt idx="20">
                  <c:v>SSE Energy Supply Ltd</c:v>
                </c:pt>
                <c:pt idx="21">
                  <c:v>TotalEnergies Gas &amp; Power Ltd</c:v>
                </c:pt>
                <c:pt idx="22">
                  <c:v>Utilita Energy Limited</c:v>
                </c:pt>
                <c:pt idx="23">
                  <c:v>Utility Warehouse Limited</c:v>
                </c:pt>
                <c:pt idx="24">
                  <c:v>BP Gas Marketing Limited</c:v>
                </c:pt>
              </c:strCache>
            </c:strRef>
          </c:cat>
          <c:val>
            <c:numRef>
              <c:f>Top30Customers!$N$3:$N$27</c:f>
              <c:numCache>
                <c:formatCode>General</c:formatCode>
                <c:ptCount val="25"/>
                <c:pt idx="0">
                  <c:v>241800</c:v>
                </c:pt>
                <c:pt idx="1">
                  <c:v>7200.96</c:v>
                </c:pt>
                <c:pt idx="2">
                  <c:v>20800</c:v>
                </c:pt>
                <c:pt idx="3">
                  <c:v>82400</c:v>
                </c:pt>
                <c:pt idx="4">
                  <c:v>73430</c:v>
                </c:pt>
                <c:pt idx="5">
                  <c:v>6114.88</c:v>
                </c:pt>
                <c:pt idx="6">
                  <c:v>75000</c:v>
                </c:pt>
                <c:pt idx="7">
                  <c:v>72100</c:v>
                </c:pt>
                <c:pt idx="8">
                  <c:v>165625</c:v>
                </c:pt>
                <c:pt idx="9">
                  <c:v>112050.08007518796</c:v>
                </c:pt>
                <c:pt idx="10">
                  <c:v>16625</c:v>
                </c:pt>
                <c:pt idx="11">
                  <c:v>123085</c:v>
                </c:pt>
                <c:pt idx="12">
                  <c:v>4187.5</c:v>
                </c:pt>
                <c:pt idx="13">
                  <c:v>82333.329999999987</c:v>
                </c:pt>
                <c:pt idx="14">
                  <c:v>25100</c:v>
                </c:pt>
                <c:pt idx="15">
                  <c:v>181590.98999999993</c:v>
                </c:pt>
                <c:pt idx="16">
                  <c:v>94638.546000000002</c:v>
                </c:pt>
                <c:pt idx="17">
                  <c:v>245000</c:v>
                </c:pt>
                <c:pt idx="18">
                  <c:v>84250</c:v>
                </c:pt>
                <c:pt idx="19">
                  <c:v>123491.19999999998</c:v>
                </c:pt>
                <c:pt idx="20">
                  <c:v>7500</c:v>
                </c:pt>
                <c:pt idx="21">
                  <c:v>96995</c:v>
                </c:pt>
                <c:pt idx="22">
                  <c:v>115865.01999999999</c:v>
                </c:pt>
                <c:pt idx="23">
                  <c:v>114120</c:v>
                </c:pt>
                <c:pt idx="24">
                  <c:v>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1-4078-A07F-0FC87C28C0B2}"/>
            </c:ext>
          </c:extLst>
        </c:ser>
        <c:ser>
          <c:idx val="1"/>
          <c:order val="1"/>
          <c:tx>
            <c:strRef>
              <c:f>Top30Customers!$O$2</c:f>
              <c:strCache>
                <c:ptCount val="1"/>
                <c:pt idx="0">
                  <c:v>Potential Additional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Top30Customers!$A$3:$A$27</c:f>
              <c:strCache>
                <c:ptCount val="25"/>
                <c:pt idx="0">
                  <c:v>British Gas Trading Ltd</c:v>
                </c:pt>
                <c:pt idx="1">
                  <c:v>Centrica Energy Limited</c:v>
                </c:pt>
                <c:pt idx="2">
                  <c:v>Conrad Energy Limited</c:v>
                </c:pt>
                <c:pt idx="3">
                  <c:v>Corona Energy Retail 1 Ltd</c:v>
                </c:pt>
                <c:pt idx="4">
                  <c:v>Drax Power Limited</c:v>
                </c:pt>
                <c:pt idx="5">
                  <c:v>E.ON Connecting Energies Ltd.</c:v>
                </c:pt>
                <c:pt idx="6">
                  <c:v>E.ON UK PLC</c:v>
                </c:pt>
                <c:pt idx="7">
                  <c:v>EDF Energy Customers Limited</c:v>
                </c:pt>
                <c:pt idx="8">
                  <c:v>EDF Energy Limited</c:v>
                </c:pt>
                <c:pt idx="9">
                  <c:v>ENGIE Power Limited</c:v>
                </c:pt>
                <c:pt idx="10">
                  <c:v>NPower Limited</c:v>
                </c:pt>
                <c:pt idx="11">
                  <c:v>Octopus Energy Ltd</c:v>
                </c:pt>
                <c:pt idx="12">
                  <c:v>Opus Energy</c:v>
                </c:pt>
                <c:pt idx="13">
                  <c:v>OVO Energy Limited</c:v>
                </c:pt>
                <c:pt idx="14">
                  <c:v>RWE Supply &amp; Trading GmbH</c:v>
                </c:pt>
                <c:pt idx="15">
                  <c:v>ScottishPower Limited</c:v>
                </c:pt>
                <c:pt idx="16">
                  <c:v>SEFE Energy Ltd</c:v>
                </c:pt>
                <c:pt idx="17">
                  <c:v>Shell International B.V.</c:v>
                </c:pt>
                <c:pt idx="18">
                  <c:v>Smartest Energy Limited</c:v>
                </c:pt>
                <c:pt idx="19">
                  <c:v>SSE plc</c:v>
                </c:pt>
                <c:pt idx="20">
                  <c:v>SSE Energy Supply Ltd</c:v>
                </c:pt>
                <c:pt idx="21">
                  <c:v>TotalEnergies Gas &amp; Power Ltd</c:v>
                </c:pt>
                <c:pt idx="22">
                  <c:v>Utilita Energy Limited</c:v>
                </c:pt>
                <c:pt idx="23">
                  <c:v>Utility Warehouse Limited</c:v>
                </c:pt>
                <c:pt idx="24">
                  <c:v>BP Gas Marketing Limited</c:v>
                </c:pt>
              </c:strCache>
            </c:strRef>
          </c:cat>
          <c:val>
            <c:numRef>
              <c:f>Top30Customers!$O$3:$O$27</c:f>
              <c:numCache>
                <c:formatCode>General</c:formatCode>
                <c:ptCount val="25"/>
                <c:pt idx="0">
                  <c:v>8200</c:v>
                </c:pt>
                <c:pt idx="1">
                  <c:v>242799.04</c:v>
                </c:pt>
                <c:pt idx="2">
                  <c:v>229200</c:v>
                </c:pt>
                <c:pt idx="3">
                  <c:v>167600</c:v>
                </c:pt>
                <c:pt idx="4">
                  <c:v>176570</c:v>
                </c:pt>
                <c:pt idx="5">
                  <c:v>243885.12</c:v>
                </c:pt>
                <c:pt idx="6">
                  <c:v>175000</c:v>
                </c:pt>
                <c:pt idx="7">
                  <c:v>177900</c:v>
                </c:pt>
                <c:pt idx="8">
                  <c:v>84375</c:v>
                </c:pt>
                <c:pt idx="9">
                  <c:v>137949.91992481204</c:v>
                </c:pt>
                <c:pt idx="10">
                  <c:v>16625</c:v>
                </c:pt>
                <c:pt idx="11">
                  <c:v>123085</c:v>
                </c:pt>
                <c:pt idx="12">
                  <c:v>5812.5</c:v>
                </c:pt>
                <c:pt idx="13">
                  <c:v>82333.329999999987</c:v>
                </c:pt>
                <c:pt idx="14">
                  <c:v>25100</c:v>
                </c:pt>
                <c:pt idx="15">
                  <c:v>181590.98999999993</c:v>
                </c:pt>
                <c:pt idx="16">
                  <c:v>94638.546000000002</c:v>
                </c:pt>
                <c:pt idx="17">
                  <c:v>245000</c:v>
                </c:pt>
                <c:pt idx="18">
                  <c:v>84250</c:v>
                </c:pt>
                <c:pt idx="19">
                  <c:v>123491.19999999998</c:v>
                </c:pt>
                <c:pt idx="20">
                  <c:v>2500</c:v>
                </c:pt>
                <c:pt idx="21">
                  <c:v>96995</c:v>
                </c:pt>
                <c:pt idx="22">
                  <c:v>115865.01999999999</c:v>
                </c:pt>
                <c:pt idx="23">
                  <c:v>114120</c:v>
                </c:pt>
                <c:pt idx="24">
                  <c:v>46250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1-4078-A07F-0FC87C28C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4949888"/>
        <c:axId val="1904946528"/>
      </c:barChart>
      <c:catAx>
        <c:axId val="190494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946528"/>
        <c:crosses val="autoZero"/>
        <c:auto val="1"/>
        <c:lblAlgn val="ctr"/>
        <c:lblOffset val="100"/>
        <c:noMultiLvlLbl val="0"/>
      </c:catAx>
      <c:valAx>
        <c:axId val="190494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94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Top30Customers!$V$2</c:f>
              <c:strCache>
                <c:ptCount val="1"/>
                <c:pt idx="0">
                  <c:v>Current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Top30Customers!$U$3:$U$32</c:f>
              <c:strCache>
                <c:ptCount val="30"/>
                <c:pt idx="0">
                  <c:v>British Gas Trading Ltd</c:v>
                </c:pt>
                <c:pt idx="1">
                  <c:v>Brook Green Supply Limited</c:v>
                </c:pt>
                <c:pt idx="2">
                  <c:v>Business Power and Gas Limited</c:v>
                </c:pt>
                <c:pt idx="3">
                  <c:v>Conrad Energy Limited</c:v>
                </c:pt>
                <c:pt idx="4">
                  <c:v>Corona Energy Retail 1 Ltd</c:v>
                </c:pt>
                <c:pt idx="5">
                  <c:v>Crown Gas &amp; Power Ltd</c:v>
                </c:pt>
                <c:pt idx="6">
                  <c:v>Drax Power Limited</c:v>
                </c:pt>
                <c:pt idx="7">
                  <c:v>E.ON UK PLC</c:v>
                </c:pt>
                <c:pt idx="8">
                  <c:v>Ecotricity Group Ltd</c:v>
                </c:pt>
                <c:pt idx="9">
                  <c:v>EDF Energy Customers Limited</c:v>
                </c:pt>
                <c:pt idx="10">
                  <c:v>EDF Energy Limited</c:v>
                </c:pt>
                <c:pt idx="11">
                  <c:v>EDF Trading Ltd</c:v>
                </c:pt>
                <c:pt idx="12">
                  <c:v>ENGIE Global Energy Management (UK) Ltd</c:v>
                </c:pt>
                <c:pt idx="13">
                  <c:v>ENGIE Power Limited</c:v>
                </c:pt>
                <c:pt idx="14">
                  <c:v>EPG Energy Limited</c:v>
                </c:pt>
                <c:pt idx="15">
                  <c:v>Equinor UK Limited</c:v>
                </c:pt>
                <c:pt idx="16">
                  <c:v>F&amp;S Energy</c:v>
                </c:pt>
                <c:pt idx="17">
                  <c:v>Good Energy Limited</c:v>
                </c:pt>
                <c:pt idx="18">
                  <c:v>NPower Limited</c:v>
                </c:pt>
                <c:pt idx="19">
                  <c:v>Octopus Energy Ltd</c:v>
                </c:pt>
                <c:pt idx="20">
                  <c:v>OVO Energy Limited</c:v>
                </c:pt>
                <c:pt idx="21">
                  <c:v>RWE Supply &amp; Trading GmbH</c:v>
                </c:pt>
                <c:pt idx="22">
                  <c:v>ScottishPower Limited</c:v>
                </c:pt>
                <c:pt idx="23">
                  <c:v>SEFE Energy Ltd</c:v>
                </c:pt>
                <c:pt idx="24">
                  <c:v>Shell International B.V.</c:v>
                </c:pt>
                <c:pt idx="25">
                  <c:v>Smartest Energy Limited</c:v>
                </c:pt>
                <c:pt idx="26">
                  <c:v>SSE plc</c:v>
                </c:pt>
                <c:pt idx="27">
                  <c:v>TotalEnergies Gas &amp; Power Ltd</c:v>
                </c:pt>
                <c:pt idx="28">
                  <c:v>Utilita Energy Limited</c:v>
                </c:pt>
                <c:pt idx="29">
                  <c:v>Utility Warehouse Limited</c:v>
                </c:pt>
              </c:strCache>
            </c:strRef>
          </c:cat>
          <c:val>
            <c:numRef>
              <c:f>Top30Customers!$V$3:$V$32</c:f>
              <c:numCache>
                <c:formatCode>General</c:formatCode>
                <c:ptCount val="30"/>
                <c:pt idx="0">
                  <c:v>241800</c:v>
                </c:pt>
                <c:pt idx="1">
                  <c:v>78990</c:v>
                </c:pt>
                <c:pt idx="2">
                  <c:v>70350</c:v>
                </c:pt>
                <c:pt idx="3">
                  <c:v>20800</c:v>
                </c:pt>
                <c:pt idx="4">
                  <c:v>82400</c:v>
                </c:pt>
                <c:pt idx="5">
                  <c:v>50750</c:v>
                </c:pt>
                <c:pt idx="6">
                  <c:v>73430</c:v>
                </c:pt>
                <c:pt idx="7">
                  <c:v>75000</c:v>
                </c:pt>
                <c:pt idx="8">
                  <c:v>72100</c:v>
                </c:pt>
                <c:pt idx="9">
                  <c:v>72100</c:v>
                </c:pt>
                <c:pt idx="10">
                  <c:v>165625</c:v>
                </c:pt>
                <c:pt idx="11">
                  <c:v>165625</c:v>
                </c:pt>
                <c:pt idx="12">
                  <c:v>24520</c:v>
                </c:pt>
                <c:pt idx="13">
                  <c:v>112050.08007518796</c:v>
                </c:pt>
                <c:pt idx="14">
                  <c:v>35145</c:v>
                </c:pt>
                <c:pt idx="15">
                  <c:v>53700</c:v>
                </c:pt>
                <c:pt idx="16">
                  <c:v>21000</c:v>
                </c:pt>
                <c:pt idx="17">
                  <c:v>21500</c:v>
                </c:pt>
                <c:pt idx="18">
                  <c:v>16625</c:v>
                </c:pt>
                <c:pt idx="19">
                  <c:v>123085</c:v>
                </c:pt>
                <c:pt idx="20">
                  <c:v>82333.329999999987</c:v>
                </c:pt>
                <c:pt idx="21">
                  <c:v>25100</c:v>
                </c:pt>
                <c:pt idx="22">
                  <c:v>181590.98999999993</c:v>
                </c:pt>
                <c:pt idx="23">
                  <c:v>94638.546000000002</c:v>
                </c:pt>
                <c:pt idx="24">
                  <c:v>245000</c:v>
                </c:pt>
                <c:pt idx="25">
                  <c:v>84250</c:v>
                </c:pt>
                <c:pt idx="26">
                  <c:v>123491.19999999998</c:v>
                </c:pt>
                <c:pt idx="27">
                  <c:v>96995</c:v>
                </c:pt>
                <c:pt idx="28">
                  <c:v>115865.01999999999</c:v>
                </c:pt>
                <c:pt idx="29">
                  <c:v>114120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7-4CF0-9858-3653E55B9207}"/>
            </c:ext>
          </c:extLst>
        </c:ser>
        <c:ser>
          <c:idx val="1"/>
          <c:order val="1"/>
          <c:tx>
            <c:strRef>
              <c:f>Top30Customers!$W$2</c:f>
              <c:strCache>
                <c:ptCount val="1"/>
                <c:pt idx="0">
                  <c:v>Potential Additional 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Top30Customers!$U$3:$U$32</c:f>
              <c:strCache>
                <c:ptCount val="30"/>
                <c:pt idx="0">
                  <c:v>British Gas Trading Ltd</c:v>
                </c:pt>
                <c:pt idx="1">
                  <c:v>Brook Green Supply Limited</c:v>
                </c:pt>
                <c:pt idx="2">
                  <c:v>Business Power and Gas Limited</c:v>
                </c:pt>
                <c:pt idx="3">
                  <c:v>Conrad Energy Limited</c:v>
                </c:pt>
                <c:pt idx="4">
                  <c:v>Corona Energy Retail 1 Ltd</c:v>
                </c:pt>
                <c:pt idx="5">
                  <c:v>Crown Gas &amp; Power Ltd</c:v>
                </c:pt>
                <c:pt idx="6">
                  <c:v>Drax Power Limited</c:v>
                </c:pt>
                <c:pt idx="7">
                  <c:v>E.ON UK PLC</c:v>
                </c:pt>
                <c:pt idx="8">
                  <c:v>Ecotricity Group Ltd</c:v>
                </c:pt>
                <c:pt idx="9">
                  <c:v>EDF Energy Customers Limited</c:v>
                </c:pt>
                <c:pt idx="10">
                  <c:v>EDF Energy Limited</c:v>
                </c:pt>
                <c:pt idx="11">
                  <c:v>EDF Trading Ltd</c:v>
                </c:pt>
                <c:pt idx="12">
                  <c:v>ENGIE Global Energy Management (UK) Ltd</c:v>
                </c:pt>
                <c:pt idx="13">
                  <c:v>ENGIE Power Limited</c:v>
                </c:pt>
                <c:pt idx="14">
                  <c:v>EPG Energy Limited</c:v>
                </c:pt>
                <c:pt idx="15">
                  <c:v>Equinor UK Limited</c:v>
                </c:pt>
                <c:pt idx="16">
                  <c:v>F&amp;S Energy</c:v>
                </c:pt>
                <c:pt idx="17">
                  <c:v>Good Energy Limited</c:v>
                </c:pt>
                <c:pt idx="18">
                  <c:v>NPower Limited</c:v>
                </c:pt>
                <c:pt idx="19">
                  <c:v>Octopus Energy Ltd</c:v>
                </c:pt>
                <c:pt idx="20">
                  <c:v>OVO Energy Limited</c:v>
                </c:pt>
                <c:pt idx="21">
                  <c:v>RWE Supply &amp; Trading GmbH</c:v>
                </c:pt>
                <c:pt idx="22">
                  <c:v>ScottishPower Limited</c:v>
                </c:pt>
                <c:pt idx="23">
                  <c:v>SEFE Energy Ltd</c:v>
                </c:pt>
                <c:pt idx="24">
                  <c:v>Shell International B.V.</c:v>
                </c:pt>
                <c:pt idx="25">
                  <c:v>Smartest Energy Limited</c:v>
                </c:pt>
                <c:pt idx="26">
                  <c:v>SSE plc</c:v>
                </c:pt>
                <c:pt idx="27">
                  <c:v>TotalEnergies Gas &amp; Power Ltd</c:v>
                </c:pt>
                <c:pt idx="28">
                  <c:v>Utilita Energy Limited</c:v>
                </c:pt>
                <c:pt idx="29">
                  <c:v>Utility Warehouse Limited</c:v>
                </c:pt>
              </c:strCache>
            </c:strRef>
          </c:cat>
          <c:val>
            <c:numRef>
              <c:f>Top30Customers!$W$3:$W$32</c:f>
              <c:numCache>
                <c:formatCode>General</c:formatCode>
                <c:ptCount val="30"/>
                <c:pt idx="0">
                  <c:v>8200</c:v>
                </c:pt>
                <c:pt idx="1">
                  <c:v>71010</c:v>
                </c:pt>
                <c:pt idx="2">
                  <c:v>79650</c:v>
                </c:pt>
                <c:pt idx="3">
                  <c:v>229200</c:v>
                </c:pt>
                <c:pt idx="4">
                  <c:v>167600</c:v>
                </c:pt>
                <c:pt idx="5">
                  <c:v>99250</c:v>
                </c:pt>
                <c:pt idx="6">
                  <c:v>176570</c:v>
                </c:pt>
                <c:pt idx="7">
                  <c:v>175000</c:v>
                </c:pt>
                <c:pt idx="8">
                  <c:v>77900</c:v>
                </c:pt>
                <c:pt idx="9">
                  <c:v>77900</c:v>
                </c:pt>
                <c:pt idx="10">
                  <c:v>84375</c:v>
                </c:pt>
                <c:pt idx="11">
                  <c:v>84375</c:v>
                </c:pt>
                <c:pt idx="12">
                  <c:v>125480</c:v>
                </c:pt>
                <c:pt idx="13">
                  <c:v>137949.91992481204</c:v>
                </c:pt>
                <c:pt idx="14">
                  <c:v>114855</c:v>
                </c:pt>
                <c:pt idx="15">
                  <c:v>196300</c:v>
                </c:pt>
                <c:pt idx="16">
                  <c:v>129000</c:v>
                </c:pt>
                <c:pt idx="17">
                  <c:v>128500</c:v>
                </c:pt>
                <c:pt idx="18">
                  <c:v>233375</c:v>
                </c:pt>
                <c:pt idx="19">
                  <c:v>126915</c:v>
                </c:pt>
                <c:pt idx="20">
                  <c:v>167666.67000000001</c:v>
                </c:pt>
                <c:pt idx="21">
                  <c:v>115300</c:v>
                </c:pt>
                <c:pt idx="22">
                  <c:v>68409.010000000068</c:v>
                </c:pt>
                <c:pt idx="23">
                  <c:v>155361.454</c:v>
                </c:pt>
                <c:pt idx="24">
                  <c:v>5000</c:v>
                </c:pt>
                <c:pt idx="25">
                  <c:v>165750</c:v>
                </c:pt>
                <c:pt idx="26">
                  <c:v>16908.800000000017</c:v>
                </c:pt>
                <c:pt idx="27">
                  <c:v>153005</c:v>
                </c:pt>
                <c:pt idx="28">
                  <c:v>134134.98000000001</c:v>
                </c:pt>
                <c:pt idx="29">
                  <c:v>135880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7-4CF0-9858-3653E55B9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6304992"/>
        <c:axId val="1906305472"/>
      </c:barChart>
      <c:catAx>
        <c:axId val="19063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05472"/>
        <c:crosses val="autoZero"/>
        <c:auto val="1"/>
        <c:lblAlgn val="ctr"/>
        <c:lblOffset val="100"/>
        <c:noMultiLvlLbl val="0"/>
      </c:catAx>
      <c:valAx>
        <c:axId val="190630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30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Order book to SOM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Order book to SOM</a:t>
          </a:r>
        </a:p>
      </cx:txPr>
    </cx:title>
    <cx:plotArea>
      <cx:plotAreaRegion>
        <cx:series layoutId="waterfall" uniqueId="{DC1C6A61-A829-4610-A10F-C8F7A4C9E03A}">
          <cx:dataPt idx="0">
            <cx:spPr>
              <a:solidFill>
                <a:srgbClr val="0F9ED5"/>
              </a:solidFill>
            </cx:spPr>
          </cx:dataPt>
          <cx:dataLabels pos="outEnd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>
              <cx:idx val="6"/>
            </cx:subtotals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units unit="millions"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203457</xdr:colOff>
      <xdr:row>1</xdr:row>
      <xdr:rowOff>28287</xdr:rowOff>
    </xdr:from>
    <xdr:to>
      <xdr:col>18</xdr:col>
      <xdr:colOff>813954</xdr:colOff>
      <xdr:row>29</xdr:row>
      <xdr:rowOff>62923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B60AFB-44A9-0980-9913-52E757BB6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510427</xdr:colOff>
      <xdr:row>56</xdr:row>
      <xdr:rowOff>154641</xdr:rowOff>
    </xdr:from>
    <xdr:to>
      <xdr:col>22</xdr:col>
      <xdr:colOff>681878</xdr:colOff>
      <xdr:row>85</xdr:row>
      <xdr:rowOff>42022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FBE6D368-018D-ED64-8AAA-63DFE1E0F350}"/>
            </a:ext>
            <a:ext uri="{147F2762-F138-4A5C-976F-8EAC2B608ADB}">
              <a16:predDERef xmlns:a16="http://schemas.microsoft.com/office/drawing/2014/main" pred="{A7B60AFB-44A9-0980-9913-52E757BB6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197408</xdr:colOff>
      <xdr:row>30</xdr:row>
      <xdr:rowOff>46201</xdr:rowOff>
    </xdr:from>
    <xdr:to>
      <xdr:col>18</xdr:col>
      <xdr:colOff>836633</xdr:colOff>
      <xdr:row>55</xdr:row>
      <xdr:rowOff>88955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C45B62-72F7-BFBF-F940-AE23BFA8B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578505</xdr:colOff>
      <xdr:row>90</xdr:row>
      <xdr:rowOff>561</xdr:rowOff>
    </xdr:from>
    <xdr:to>
      <xdr:col>17</xdr:col>
      <xdr:colOff>1031643</xdr:colOff>
      <xdr:row>107</xdr:row>
      <xdr:rowOff>152260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9" name="Chart 13">
              <a:extLst>
                <a:ext uri="{FF2B5EF4-FFF2-40B4-BE49-F238E27FC236}">
                  <a16:creationId xmlns:a16="http://schemas.microsoft.com/office/drawing/2014/main" id="{12A79743-3233-5073-402A-921F284B84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96371</xdr:colOff>
      <xdr:row>28</xdr:row>
      <xdr:rowOff>31937</xdr:rowOff>
    </xdr:from>
    <xdr:to>
      <xdr:col>26</xdr:col>
      <xdr:colOff>216273</xdr:colOff>
      <xdr:row>53</xdr:row>
      <xdr:rowOff>127187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C40C8-AF0C-E455-7DBB-33A404B46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392206</xdr:colOff>
      <xdr:row>20</xdr:row>
      <xdr:rowOff>96370</xdr:rowOff>
    </xdr:from>
    <xdr:to>
      <xdr:col>11</xdr:col>
      <xdr:colOff>274544</xdr:colOff>
      <xdr:row>49</xdr:row>
      <xdr:rowOff>67235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B5D1E2-4640-F398-0825-5B614F0DC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840441</xdr:colOff>
      <xdr:row>20</xdr:row>
      <xdr:rowOff>96370</xdr:rowOff>
    </xdr:from>
    <xdr:to>
      <xdr:col>11</xdr:col>
      <xdr:colOff>274544</xdr:colOff>
      <xdr:row>48</xdr:row>
      <xdr:rowOff>100853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4179E8-AA81-973C-C0A9-68D22EF21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521073</xdr:colOff>
      <xdr:row>51</xdr:row>
      <xdr:rowOff>141194</xdr:rowOff>
    </xdr:from>
    <xdr:to>
      <xdr:col>11</xdr:col>
      <xdr:colOff>442632</xdr:colOff>
      <xdr:row>67</xdr:row>
      <xdr:rowOff>26894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733F7E1-BF13-7E95-F41A-C1B9FEC58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352985</xdr:colOff>
      <xdr:row>47</xdr:row>
      <xdr:rowOff>96371</xdr:rowOff>
    </xdr:from>
    <xdr:to>
      <xdr:col>11</xdr:col>
      <xdr:colOff>274544</xdr:colOff>
      <xdr:row>62</xdr:row>
      <xdr:rowOff>172571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2D0783B-B639-7E98-EA5C-D7C66C21B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0</xdr:row>
      <xdr:rowOff>0</xdr:rowOff>
    </xdr:from>
    <xdr:to>
      <xdr:col>9</xdr:col>
      <xdr:colOff>152400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3B4E6-D106-256B-5C27-C7A17A82A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190499</xdr:colOff>
      <xdr:row>0</xdr:row>
      <xdr:rowOff>0</xdr:rowOff>
    </xdr:from>
    <xdr:to>
      <xdr:col>14</xdr:col>
      <xdr:colOff>336550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94FF0E-47D2-BBC2-0556-5E5B8001F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333373</xdr:colOff>
      <xdr:row>0</xdr:row>
      <xdr:rowOff>16326</xdr:rowOff>
    </xdr:from>
    <xdr:to>
      <xdr:col>58</xdr:col>
      <xdr:colOff>449035</xdr:colOff>
      <xdr:row>29</xdr:row>
      <xdr:rowOff>54427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0D17F7-0F43-D34B-196E-C625DCCA0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977871</xdr:colOff>
      <xdr:row>49</xdr:row>
      <xdr:rowOff>136153</xdr:rowOff>
    </xdr:from>
    <xdr:to>
      <xdr:col>24</xdr:col>
      <xdr:colOff>514107</xdr:colOff>
      <xdr:row>76</xdr:row>
      <xdr:rowOff>2803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59C13-2782-F4C5-67C1-1E93B57ECA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197303</xdr:colOff>
      <xdr:row>13</xdr:row>
      <xdr:rowOff>122464</xdr:rowOff>
    </xdr:from>
    <xdr:to>
      <xdr:col>45</xdr:col>
      <xdr:colOff>381000</xdr:colOff>
      <xdr:row>46</xdr:row>
      <xdr:rowOff>44904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82D5FB-03E1-4E02-AA34-DA1BB7B16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en Hall" id="{D6CFC4EB-C64F-4466-A3D3-81A3468C621D}" userId="S::b.hall@cornwall-insight.com::1000adc0-9755-4e62-9e57-03301ea70c86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6C53C8C-6E62-4798-A54C-723FB3F60E5F}" autoFormatId="16" applyNumberFormats="0" applyBorderFormats="0" applyFontFormats="0" applyPatternFormats="0" applyAlignmentFormats="0" applyWidthHeightFormats="0">
  <queryTableRefresh nextId="6">
    <queryTableFields count="3">
      <queryTableField id="1" name="Product/Package" tableColumnId="1"/>
      <queryTableField id="4" name="Attribute" tableColumnId="2"/>
      <queryTableField id="3" name="Value" tableColumnId="3"/>
    </queryTableFields>
    <queryTableDeletedFields count="1">
      <deletedField name="Attribute"/>
    </queryTableDeleted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2DE5DC-49E5-4D66-BC7A-FD1D97CE8DAC}" name="Table3" displayName="Table3" ref="A2:BD1561" totalsRowShown="0" headerRowDxfId="88" dataDxfId="87">
  <autoFilter ref="A2:BD1561" xr:uid="{852DE5DC-49E5-4D66-BC7A-FD1D97CE8DAC}"/>
  <sortState xmlns:xlrd2="http://schemas.microsoft.com/office/spreadsheetml/2017/richdata2" ref="A3:BD1559">
    <sortCondition descending="1" ref="L2:L1561"/>
  </sortState>
  <tableColumns count="56">
    <tableColumn id="1" xr3:uid="{4EF3CA70-5EAE-4ABE-98B1-1AC41B489618}" name="Company name" dataDxfId="86"/>
    <tableColumn id="2" xr3:uid="{543104FF-77C2-4CCF-BC03-2A9F7B7AF0E4}" name="CI subs customer? (existing and past 2 years)" dataDxfId="85"/>
    <tableColumn id="42" xr3:uid="{17460488-D107-4BE6-AF03-778ED9F18F3E}" name="Consulting client? (past 2 years)" dataDxfId="84"/>
    <tableColumn id="52" xr3:uid="{D9D72AC6-A424-4508-B5C1-89D9F1BF29E8}" name="Date added" dataDxfId="83"/>
    <tableColumn id="32" xr3:uid="{819D4F2C-E8CF-4F3F-9FB8-94AF386C89ED}" name="Scale" dataDxfId="82"/>
    <tableColumn id="27" xr3:uid="{B4C9EA86-0103-469A-8410-797C6727A94F}" name="Column19" dataDxfId="81">
      <calculatedColumnFormula>INDEX(Definitions!$G$13:$G$17,MATCH(Table3[[#This Row],[Propensity to buy/ buyer readiness]],Definitions!$A$13:$A$17,0))</calculatedColumnFormula>
    </tableColumn>
    <tableColumn id="30" xr3:uid="{CFD83021-C836-4D99-B70F-6A57135F6330}" name="Strategic priority segment" dataDxfId="80"/>
    <tableColumn id="28" xr3:uid="{640426FA-30B8-4382-A51F-57D9F7FE5B29}" name="Product fit" dataDxfId="79"/>
    <tableColumn id="29" xr3:uid="{61BBA45D-2542-4465-A3F1-907AF4F476C6}" name="Brand reach" dataDxfId="78"/>
    <tableColumn id="31" xr3:uid="{053D144D-EE3C-4025-BECE-B2C9F3405558}" name="Competitive advantage" dataDxfId="77"/>
    <tableColumn id="33" xr3:uid="{83C382B3-107E-4A34-8A41-1F97A087E7A8}" name="Propensity to buy/ buyer readiness" dataDxfId="76">
      <calculatedColumnFormula>SUM(Table3[[#This Row],[Column19]:[Competitive advantage]])</calculatedColumnFormula>
    </tableColumn>
    <tableColumn id="34" xr3:uid="{028A52FB-2807-43E0-85D8-4FB0BC5D30C5}" name="Overall scoring priority" dataDxfId="75">
      <calculatedColumnFormula>SUM(Table3[[#This Row],[Strategic priority segment]:[Propensity to buy/ buyer readiness]])</calculatedColumnFormula>
    </tableColumn>
    <tableColumn id="3" xr3:uid="{31211E01-BA03-4B6D-9E1D-B2672182B5D6}" name="CI Segment" dataDxfId="74"/>
    <tableColumn id="4" xr3:uid="{BBDA01DF-8C3C-4A37-92D6-4F89C866BF95}" name="Primary theme/sector" dataDxfId="73"/>
    <tableColumn id="5" xr3:uid="{D113C1B6-FD86-4C0B-B309-B78BAE35D328}" name="Secondary theme/sector (1)" dataDxfId="72"/>
    <tableColumn id="6" xr3:uid="{3FB4EF03-887E-44AA-8405-956A116721C5}" name="Secondary theme/sector (2)" dataDxfId="71"/>
    <tableColumn id="7" xr3:uid="{FF90CEF8-8C3D-4A57-B598-396AA73DB592}" name="Secondary theme/sector (3)" dataDxfId="70"/>
    <tableColumn id="8" xr3:uid="{70C38392-EB2A-48BE-B047-E1A6D232156E}" name="Secondary theme/sector (4)" dataDxfId="69"/>
    <tableColumn id="9" xr3:uid="{CB276933-3C18-4D8B-870D-E495EE9A45C6}" name="Secondary theme/sector (5)" dataDxfId="68"/>
    <tableColumn id="10" xr3:uid="{BD47146D-4DBF-4C10-B2C0-1D157E04C14C}" name="Column1" dataDxfId="67">
      <calculatedColumnFormula>IF(OR(IFERROR(MATCH($M3, 'New pivot'!$B$2:$P$2,0),0)&gt;0, IFERROR(MATCH($N3, 'New pivot'!$B$2:$P$2,0),0)&gt;0, IFERROR(MATCH($O3, 'New pivot'!$B$2:$P$2,0),0)&gt;0, IFERROR(MATCH($P3, 'New pivot'!$B$2:$P$2,0),0)&gt;0, IFERROR(MATCH($Q3, 'New pivot'!$B$2:$P$2,0),0)&gt;0, IFERROR(MATCH($R3, 'New pivot'!$B$2:$P$2,0),0)&gt;0), 1, 0)</calculatedColumnFormula>
    </tableColumn>
    <tableColumn id="11" xr3:uid="{A2847BBC-9FA6-4C16-A66E-01065E8CDCEA}" name="Industry Essentials" dataDxfId="66">
      <calculatedColumnFormula>IF(OR(IFERROR(MATCH($M3, 'New pivot'!$B$3:$P$3,0),0)&gt;0, IFERROR(MATCH($N3, 'New pivot'!$B$3:$P$3,0),0)&gt;0, IFERROR(MATCH($O3, 'New pivot'!$B$3:$P$3,0),0)&gt;0, IFERROR(MATCH($P3, 'New pivot'!$B$3:$P$3,0),0)&gt;0, IFERROR(MATCH($Q3, 'New pivot'!$B$3:$P$3,0),0)&gt;0, IFERROR(MATCH($R3, 'New pivot'!$B$3:$P$3,0),0)&gt;0), 1, 0)</calculatedColumnFormula>
    </tableColumn>
    <tableColumn id="12" xr3:uid="{75CD5744-3BF0-4847-B642-21064D1F3AA4}" name="Energy Supply Market Intelligence" dataDxfId="65">
      <calculatedColumnFormula>IF(OR(IFERROR(MATCH($M3, 'New pivot'!$B$4:$P$4,0),0)&gt;0, IFERROR(MATCH($N3, 'New pivot'!$B$4:$P$4,0),0)&gt;0, IFERROR(MATCH($O3, 'New pivot'!$B$4:$P$4,0),0)&gt;0, IFERROR(MATCH($P3, 'New pivot'!$B$4:$P$4,0),0)&gt;0, IFERROR(MATCH($Q3, 'New pivot'!$B$4:$P$4,0),0)&gt;0, IFERROR(MATCH($R3, 'New pivot'!$B$4:$P$4,0),0)&gt;0), 1, 0)</calculatedColumnFormula>
    </tableColumn>
    <tableColumn id="13" xr3:uid="{5B255025-E9BE-4103-8A39-0649484E58F3}" name="Energy Supply RTM Analysis" dataDxfId="64">
      <calculatedColumnFormula>IF(OR(IFERROR(MATCH($M3, 'New pivot'!$B$5:$P$5,0),0)&gt;0, IFERROR(MATCH($N3, 'New pivot'!$B$5:$P$5,0),0)&gt;0, IFERROR(MATCH($O3, 'New pivot'!$B$5:$P$5,0),0)&gt;0, IFERROR(MATCH($P3, 'New pivot'!$B$5:$P$5,0),0)&gt;0, IFERROR(MATCH($Q3, 'New pivot'!$B$5:$P$5,0),0)&gt;0, IFERROR(MATCH($R3, 'New pivot'!$B$5:$P$5,0),0)&gt;0), 1, 0)</calculatedColumnFormula>
    </tableColumn>
    <tableColumn id="14" xr3:uid="{7E078B56-436C-4CFF-98F7-DD4663E8AAF4}" name="Energy Supply Forecasts" dataDxfId="63">
      <calculatedColumnFormula>IF(OR(IFERROR(MATCH($M3, 'New pivot'!$B$6:$P$6,0),0)&gt;0, IFERROR(MATCH($N3, 'New pivot'!$B$6:$P$6,0),0)&gt;0, IFERROR(MATCH($O3, 'New pivot'!$B$6:$P$6,0),0)&gt;0, IFERROR(MATCH($P3, 'New pivot'!$B$6:$P$6,0),0)&gt;0, IFERROR(MATCH($Q3, 'New pivot'!$B$6:$P$6,0),0)&gt;0, IFERROR(MATCH($R3, 'New pivot'!$B$6:$P$6,0),0)&gt;0), 1, 0)</calculatedColumnFormula>
    </tableColumn>
    <tableColumn id="15" xr3:uid="{AADEF3B2-2D99-47AA-9748-FD7F5746DEB3}" name="Energy Supply Regulation" dataDxfId="62">
      <calculatedColumnFormula>IF(OR(IFERROR(MATCH($M3, 'New pivot'!$B$7:$P$7,0),0)&gt;0, IFERROR(MATCH($N3, 'New pivot'!$B$7:$P$7,0),0)&gt;0, IFERROR(MATCH($O3, 'New pivot'!$B$7:$P$7,0),0)&gt;0, IFERROR(MATCH($P3, 'New pivot'!$B$7:$P$7,0),0)&gt;0, IFERROR(MATCH($Q3, 'New pivot'!$B$7:$P$7,0),0)&gt;0, IFERROR(MATCH($R3, 'New pivot'!$B$7:$P$7,0),0)&gt;0), 1, 0)</calculatedColumnFormula>
    </tableColumn>
    <tableColumn id="16" xr3:uid="{896C8DD2-D32F-460A-8FA0-1E07121043F8}" name="Renewables Market Intelligence" dataDxfId="61">
      <calculatedColumnFormula>IF(OR(IFERROR(MATCH($M3, 'New pivot'!$B$8:$P$8,0),0)&gt;0, IFERROR(MATCH($N3, 'New pivot'!$B$8:$P$8,0),0)&gt;0, IFERROR(MATCH($O3, 'New pivot'!$B$8:$P$8,0),0)&gt;0, IFERROR(MATCH($P3, 'New pivot'!$B$8:$P$8,0),0)&gt;0, IFERROR(MATCH($Q3, 'New pivot'!$B$8:$P$8,0),0)&gt;0, IFERROR(MATCH($R3, 'New pivot'!$B$8:$P$8,0),0)&gt;0), 1, 0)</calculatedColumnFormula>
    </tableColumn>
    <tableColumn id="17" xr3:uid="{31CA3207-AE35-419C-ACC8-ACE3D1278E65}" name="Renewables RTM Analysis" dataDxfId="60">
      <calculatedColumnFormula>IF(OR(IFERROR(MATCH($M3, 'New pivot'!$B$9:$P$9,0),0)&gt;0, IFERROR(MATCH($N3, 'New pivot'!$B$9:$P$9,0),0)&gt;0, IFERROR(MATCH($O3, 'New pivot'!$B$9:$P$9,0),0)&gt;0, IFERROR(MATCH($P3, 'New pivot'!$B$9:$P$9,0),0)&gt;0, IFERROR(MATCH($Q3, 'New pivot'!$B$9:$P$9,0),0)&gt;0, IFERROR(MATCH($R3, 'New pivot'!$B$9:$P$9,0),0)&gt;0), 1, 0)</calculatedColumnFormula>
    </tableColumn>
    <tableColumn id="18" xr3:uid="{3E3F2C22-4BCC-4F51-B0F9-5A94C6BDD3CC}" name="Renewables Forecasts" dataDxfId="59">
      <calculatedColumnFormula>IF(OR(IFERROR(MATCH($M3, 'New pivot'!$B$10:$P$10,0),0)&gt;0, IFERROR(MATCH($N3, 'New pivot'!$B$10:$P$10,0),0)&gt;0, IFERROR(MATCH($O3, 'New pivot'!$B$10:$P$10,0),0)&gt;0, IFERROR(MATCH($P3, 'New pivot'!$B$10:$P$10,0),0)&gt;0, IFERROR(MATCH($Q3, 'New pivot'!$B$10:$P$10,0),0)&gt;0, IFERROR(MATCH($R3, 'New pivot'!$B$10:$P$10,0),0)&gt;0), 1, 0)</calculatedColumnFormula>
    </tableColumn>
    <tableColumn id="19" xr3:uid="{35988349-B9E8-403E-A643-9395CB158B02}" name="Renewables Regulation" dataDxfId="58">
      <calculatedColumnFormula>IF(OR(IFERROR(MATCH($M3, 'New pivot'!$B$11:$P$11,0),0)&gt;0, IFERROR(MATCH($N3, 'New pivot'!$B$11:$P$11,0),0)&gt;0, IFERROR(MATCH($O3, 'New pivot'!$B$11:$P$11,0),0)&gt;0, IFERROR(MATCH($P3, 'New pivot'!$B$11:$P$11,0),0)&gt;0, IFERROR(MATCH($Q3, 'New pivot'!$B$11:$P$11,0),0)&gt;0, IFERROR(MATCH($R3, 'New pivot'!$B$11:$P$11,0),0)&gt;0), 1, 0)</calculatedColumnFormula>
    </tableColumn>
    <tableColumn id="20" xr3:uid="{747F4078-B360-4CDE-AFDD-E424D3F9B073}" name="Flexibility Market Intelligence" dataDxfId="57">
      <calculatedColumnFormula>IF(OR(IFERROR(MATCH($M3, 'New pivot'!$B$12:$P$12,0),0)&gt;0, IFERROR(MATCH($N3, 'New pivot'!$B$12:$P$12,0),0)&gt;0, IFERROR(MATCH($O3, 'New pivot'!$B$12:$P$12,0),0)&gt;0, IFERROR(MATCH($P3, 'New pivot'!$B$12:$P$12,0),0)&gt;0, IFERROR(MATCH($Q3, 'New pivot'!$B$12:$P$12,0),0)&gt;0, IFERROR(MATCH($R3, 'New pivot'!$B$12:$P$12,0),0)&gt;0), 1, 0)</calculatedColumnFormula>
    </tableColumn>
    <tableColumn id="21" xr3:uid="{8655610B-B346-477E-99EB-0F7F2A74B1FB}" name="Flexibility RTM Analysis" dataDxfId="56">
      <calculatedColumnFormula>IF(OR(IFERROR(MATCH($M3, 'New pivot'!$B$13:$P$13,0),0)&gt;0, IFERROR(MATCH($N3, 'New pivot'!$B$13:$P$13,0),0)&gt;0, IFERROR(MATCH($O3, 'New pivot'!$B$13:$P$13,0),0)&gt;0, IFERROR(MATCH($P3, 'New pivot'!$B$13:$P$13,0),0)&gt;0, IFERROR(MATCH($Q3, 'New pivot'!$B$13:$P$13,0),0)&gt;0, IFERROR(MATCH($R3, 'New pivot'!$B$13:$P$13,0),0)&gt;0), 1, 0)</calculatedColumnFormula>
    </tableColumn>
    <tableColumn id="22" xr3:uid="{2DE07F14-456D-4574-A1FC-1BDC6E94C849}" name="Flexibility Forecasts" dataDxfId="55">
      <calculatedColumnFormula>IF(OR(IFERROR(MATCH($M3, 'New pivot'!$B$14:$P$14,0),0)&gt;0, IFERROR(MATCH($N3, 'New pivot'!$B$14:$P$14,0),0)&gt;0, IFERROR(MATCH($O3, 'New pivot'!$B$14:$P$14,0),0)&gt;0, IFERROR(MATCH($P3, 'New pivot'!$B$14:$P$14,0),0)&gt;0, IFERROR(MATCH($Q3, 'New pivot'!$B$14:$P$14,0),0)&gt;0, IFERROR(MATCH($R3, 'New pivot'!$B$14:$P$14,0),0)&gt;0), 1, 0)</calculatedColumnFormula>
    </tableColumn>
    <tableColumn id="23" xr3:uid="{D40250D2-AB70-43B3-9005-00DA01DEF335}" name="Flexibility Regulation" dataDxfId="54">
      <calculatedColumnFormula>IF(OR(IFERROR(MATCH($M3, 'New pivot'!$B$15:$P$15,0),0)&gt;0, IFERROR(MATCH($N3, 'New pivot'!$B$15:$P$15,0),0)&gt;0, IFERROR(MATCH($O3, 'New pivot'!$B$15:$P$15,0),0)&gt;0, IFERROR(MATCH($P3, 'New pivot'!$B$15:$P$15,0),0)&gt;0, IFERROR(MATCH($Q3, 'New pivot'!$B$15:$P$15,0),0)&gt;0, IFERROR(MATCH($R3, 'New pivot'!$B$15:$P$15,0),0)&gt;0), 1, 0)</calculatedColumnFormula>
    </tableColumn>
    <tableColumn id="24" xr3:uid="{B4043882-03F4-4C1D-92AE-9BCA73E16E08}" name="Business Energy Essentials" dataDxfId="53">
      <calculatedColumnFormula>IF(OR(IFERROR(MATCH($M3, 'New pivot'!$B$16:$P$16,0),0)&gt;0, IFERROR(MATCH($N3, 'New pivot'!$B$16:$P$16,0),0)&gt;0, IFERROR(MATCH($O3, 'New pivot'!$B$16:$P$16,0),0)&gt;0, IFERROR(MATCH($P3, 'New pivot'!$B$16:$P$16,0),0)&gt;0, IFERROR(MATCH($Q3, 'New pivot'!$B$16:$P$16,0),0)&gt;0, IFERROR(MATCH($R3, 'New pivot'!$B$16:$P$16,0),0)&gt;0), 1, 0)</calculatedColumnFormula>
    </tableColumn>
    <tableColumn id="25" xr3:uid="{A75DF79A-25A1-4E82-BFFC-F2AD433A71BE}" name="Energy User RTM Analysis" dataDxfId="52">
      <calculatedColumnFormula>IF(OR(IFERROR(MATCH($M3, 'New pivot'!$B$17:$P$17,0),0)&gt;0, IFERROR(MATCH($N3, 'New pivot'!$B$17:$P$17,0),0)&gt;0, IFERROR(MATCH($O3, 'New pivot'!$B$17:$P$17,0),0)&gt;0, IFERROR(MATCH($P3, 'New pivot'!$B$17:$P$17,0),0)&gt;0, IFERROR(MATCH($Q3, 'New pivot'!$B$17:$P$17,0),0)&gt;0, IFERROR(MATCH($R3, 'New pivot'!$B$17:$P$17,0),0)&gt;0), 1, 0)</calculatedColumnFormula>
    </tableColumn>
    <tableColumn id="26" xr3:uid="{1931A570-410E-465A-98DD-9D4B0CD19B8C}" name="Energy User Forecasts" dataDxfId="51">
      <calculatedColumnFormula>IF(OR(IFERROR(MATCH($M3, 'New pivot'!$B$18:$P$18,0),0)&gt;0, IFERROR(MATCH($N3, 'New pivot'!$B$18:$P$18,0),0)&gt;0, IFERROR(MATCH($O3, 'New pivot'!$B$18:$P$18,0),0)&gt;0, IFERROR(MATCH($P3, 'New pivot'!$B$18:$P$18,0),0)&gt;0, IFERROR(MATCH($Q3, 'New pivot'!$B$18:$P$18,0),0)&gt;0, IFERROR(MATCH($R3, 'New pivot'!$B$18:$P$18,0),0)&gt;0), 1, 0)</calculatedColumnFormula>
    </tableColumn>
    <tableColumn id="43" xr3:uid="{8110CAA4-18B5-4CB4-AF5B-A746FACC14C5}" name="Energy User Regulation" dataDxfId="50">
      <calculatedColumnFormula array="1">_xlfn.IFS(SUMPRODUCT((Table1_1[[Product/Package]:[Product/Package]]=AK$2)*(Table1_1[[Value]:[Value]]=$M3))=1,1,SUMPRODUCT((Table1_1[[Product/Package]:[Product/Package]]=AK$2)*(Table1_1[[Value]:[Value]]=$N3))=1,1,SUMPRODUCT((Table1_1[[Product/Package]:[Product/Package]]=AK$2)*(Table1_1[[Value]:[Value]]=$O3))=1,1,SUMPRODUCT((Table1_1[[Product/Package]:[Product/Package]]=AK$2)*(Table1_1[[Value]:[Value]]=$P3))=1,1,SUMPRODUCT((Table1_1[[Product/Package]:[Product/Package]]=AK$2)*(Table1_1[[Value]:[Value]]=$Q3))=1,1,SUMPRODUCT((Table1_1[[Product/Package]:[Product/Package]]=AK$2)*(Table1_1[[Value]:[Value]]=$R3))&lt;&gt;1,0)</calculatedColumnFormula>
    </tableColumn>
    <tableColumn id="44" xr3:uid="{DF7160D7-09F9-4BA8-9DC2-52D262368788}" name="Column2" dataDxfId="49">
      <calculatedColumnFormula array="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calculatedColumnFormula>
    </tableColumn>
    <tableColumn id="45" xr3:uid="{65BBB282-6221-47DF-9809-D30E62D6CB81}" name="Column3" dataDxfId="48">
      <calculatedColumnFormula array="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calculatedColumnFormula>
    </tableColumn>
    <tableColumn id="46" xr3:uid="{8E51F061-22BC-493A-A1C5-3AFE5E649BDA}" name="Column4" dataDxfId="47">
      <calculatedColumnFormula array="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calculatedColumnFormula>
    </tableColumn>
    <tableColumn id="47" xr3:uid="{CF6C5463-F54B-4699-B759-FE120BB465F9}" name="Column5" dataDxfId="46">
      <calculatedColumnFormula array="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calculatedColumnFormula>
    </tableColumn>
    <tableColumn id="48" xr3:uid="{4F32F7A3-39E7-4323-AAD9-A188688DFFC3}" name="Column6" dataDxfId="45">
      <calculatedColumnFormula array="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calculatedColumnFormula>
    </tableColumn>
    <tableColumn id="49" xr3:uid="{8E1800AE-4028-465F-A26A-D19D44DA5D96}" name="Column7" dataDxfId="44">
      <calculatedColumnFormula array="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calculatedColumnFormula>
    </tableColumn>
    <tableColumn id="50" xr3:uid="{AC3D5DDC-C573-45E3-98E4-39A97E6C1309}" name="Column8" dataDxfId="43">
      <calculatedColumnFormula array="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calculatedColumnFormula>
    </tableColumn>
    <tableColumn id="51" xr3:uid="{59A1F306-099F-4678-93BE-21D0A26EDFA6}" name="Column9" dataDxfId="42">
      <calculatedColumnFormula array="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calculatedColumnFormula>
    </tableColumn>
    <tableColumn id="35" xr3:uid="{BE5B0A78-32D5-4407-ACD1-192613CDEEB2}" name="Column10" dataDxfId="41">
      <calculatedColumnFormula array="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calculatedColumnFormula>
    </tableColumn>
    <tableColumn id="36" xr3:uid="{4C7CE542-B9F2-41D5-A63C-20F46EA465EE}" name="Column11" dataDxfId="40">
      <calculatedColumnFormula array="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calculatedColumnFormula>
    </tableColumn>
    <tableColumn id="37" xr3:uid="{5FDB415A-41BB-4019-8B44-F78A0047F23B}" name="Column12" dataDxfId="39">
      <calculatedColumnFormula array="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calculatedColumnFormula>
    </tableColumn>
    <tableColumn id="38" xr3:uid="{B60FA9BC-C645-4B1E-A9A1-6AEC883AE27C}" name="Column13" dataDxfId="38">
      <calculatedColumnFormula array="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calculatedColumnFormula>
    </tableColumn>
    <tableColumn id="39" xr3:uid="{DC43323A-832B-4C3C-AA21-D0EE07F03AD4}" name="Column14" dataDxfId="37">
      <calculatedColumnFormula array="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calculatedColumnFormula>
    </tableColumn>
    <tableColumn id="40" xr3:uid="{BF990849-35AB-4E6E-BA03-B1AB53FAA87F}" name="Column15" dataDxfId="36">
      <calculatedColumnFormula array="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calculatedColumnFormula>
    </tableColumn>
    <tableColumn id="41" xr3:uid="{D6A15BE0-B5A5-4E5C-9E1F-00E4D3F1B931}" name="Column16" dataDxfId="35">
      <calculatedColumnFormula array="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calculatedColumnFormula>
    </tableColumn>
    <tableColumn id="53" xr3:uid="{2DA5830E-BD34-4CA8-B052-015D18C2FD43}" name="Column17" dataDxfId="34">
      <calculatedColumnFormula array="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calculatedColumnFormula>
    </tableColumn>
    <tableColumn id="54" xr3:uid="{E55FEBF3-F9A3-466E-BC92-15921332DE71}" name="Column18" dataDxfId="33">
      <calculatedColumnFormula array="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calculatedColumnFormula>
    </tableColumn>
    <tableColumn id="55" xr3:uid="{6B593019-E7C3-4F8F-8D4D-A7EB095CC807}" name="Total Spend" dataDxfId="32">
      <calculatedColumnFormula>IF(SUM(Table3[[#This Row],[Column2]:[Column18]])&gt;Table3[[#This Row],[Column19]],Table3[[#This Row],[Column19]],SUM(Table3[[#This Row],[Column2]:[Column18]]))</calculatedColumnFormula>
    </tableColumn>
    <tableColumn id="56" xr3:uid="{E6D19921-D41E-4D23-A9CE-158E7BF5C189}" name="Multiplier" dataDxfId="31">
      <calculatedColumnFormula>Table3[[#This Row],[Total Spend]]/SUM(Table3[[#This Row],[Column2]:[Column18]])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359FEE9-C763-4EF3-8B13-0A35CF41D4D8}" name="Table15" displayName="Table15" ref="A1:P19" totalsRowShown="0">
  <autoFilter ref="A1:P19" xr:uid="{4359FEE9-C763-4EF3-8B13-0A35CF41D4D8}"/>
  <tableColumns count="16">
    <tableColumn id="1" xr3:uid="{87894C80-0902-4C49-BDA6-38A7ACD518D9}" name="Product/Package" dataDxfId="30"/>
    <tableColumn id="2" xr3:uid="{B4EC574D-8C4A-48CC-8831-D6B84B68A9CD}" name="Segments"/>
    <tableColumn id="3" xr3:uid="{341460AF-6931-4C25-8618-5A7150714A83}" name="Segments2"/>
    <tableColumn id="4" xr3:uid="{4C6C6189-6498-4E02-B1B3-1E286E28F2D1}" name="Segments3"/>
    <tableColumn id="5" xr3:uid="{E433AEE6-1C23-4706-A7E0-99B6041849FA}" name="Segments4"/>
    <tableColumn id="6" xr3:uid="{A04BA938-1F2B-46E9-9BF6-AB9BCDDE2211}" name="Segments5"/>
    <tableColumn id="7" xr3:uid="{211A9E69-CCEF-4E19-828B-2F42DE34BB66}" name="Segments6"/>
    <tableColumn id="8" xr3:uid="{7E3F93C7-35B2-4BE7-8EE9-0163DFC4ACC8}" name="Segments7"/>
    <tableColumn id="9" xr3:uid="{0178CCCF-DF09-4526-B330-DC2F14C1A0BE}" name="Segments8"/>
    <tableColumn id="10" xr3:uid="{06FB0B14-16F0-4B7F-B28E-5DF06AF5710C}" name="Segments9"/>
    <tableColumn id="11" xr3:uid="{1C10C0C4-5DAA-460F-9D3F-E26AAB663DA8}" name="Segments10"/>
    <tableColumn id="12" xr3:uid="{3A910FA0-FCD4-4B9B-BFEA-B40F7D2DE96F}" name="Segments11"/>
    <tableColumn id="13" xr3:uid="{1B1079FA-24CF-4CB7-9605-3394D9BAFECE}" name="Segments12"/>
    <tableColumn id="14" xr3:uid="{9D4FA006-D240-4C7D-8832-340BD7D6CD96}" name="Segments13"/>
    <tableColumn id="15" xr3:uid="{651F78EE-E439-4823-85E9-8BA707349B2F}" name="Segments14"/>
    <tableColumn id="16" xr3:uid="{2594C489-12D8-49F6-9324-F304D19C2C1D}" name="Segments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D9924F9-6AB5-4B5D-B181-5336AA8AC3DD}" name="Table156" displayName="Table156" ref="A20:P37" totalsRowShown="0">
  <autoFilter ref="A20:P37" xr:uid="{AD9924F9-6AB5-4B5D-B181-5336AA8AC3DD}"/>
  <tableColumns count="16">
    <tableColumn id="1" xr3:uid="{1C55CE3C-305C-4C14-BA85-CB91267B7DA6}" name="Product/Package" dataDxfId="29"/>
    <tableColumn id="2" xr3:uid="{68E6A2E9-B8CA-4F50-8A0C-F5152F4E617B}" name="Segments" dataDxfId="28">
      <calculatedColumnFormula>IFERROR(INDEX(Categories!$E$2:$E$15, MATCH('New pivot'!B2, Users,0)),0)</calculatedColumnFormula>
    </tableColumn>
    <tableColumn id="3" xr3:uid="{05071ABB-E769-4B95-8447-912509CB43FE}" name="Segments2">
      <calculatedColumnFormula>IFERROR(INDEX(Categories!$E$2:$E$15, MATCH('New pivot'!C2, Users,0)),0)</calculatedColumnFormula>
    </tableColumn>
    <tableColumn id="4" xr3:uid="{70A16678-DC59-4716-B20C-9BF375434C8D}" name="Segments3">
      <calculatedColumnFormula>IFERROR(INDEX(Categories!$E$2:$E$15, MATCH('New pivot'!D2, Users,0)),0)</calculatedColumnFormula>
    </tableColumn>
    <tableColumn id="5" xr3:uid="{FEB25F60-78BD-4548-86AB-CA0A681EE478}" name="Segments4">
      <calculatedColumnFormula>IFERROR(INDEX(Categories!$E$2:$E$15, MATCH('New pivot'!E2, Users,0)),0)</calculatedColumnFormula>
    </tableColumn>
    <tableColumn id="6" xr3:uid="{56E44C6C-FBE2-4286-AC96-A2AD470DEDBA}" name="Segments5">
      <calculatedColumnFormula>IFERROR(INDEX(Categories!$E$2:$E$15, MATCH('New pivot'!F2, Users,0)),0)</calculatedColumnFormula>
    </tableColumn>
    <tableColumn id="7" xr3:uid="{35BA33C4-60A5-42C3-A4FD-79E7279945A4}" name="Segments6">
      <calculatedColumnFormula>IFERROR(INDEX(Categories!$E$2:$E$15, MATCH('New pivot'!G2, Users,0)),0)</calculatedColumnFormula>
    </tableColumn>
    <tableColumn id="8" xr3:uid="{9942DE08-B53F-4F94-8FF0-127E732A2A0C}" name="Segments7">
      <calculatedColumnFormula>IFERROR(INDEX(Categories!$E$2:$E$15, MATCH('New pivot'!H2, Users,0)),0)</calculatedColumnFormula>
    </tableColumn>
    <tableColumn id="9" xr3:uid="{E67D70EC-A397-4EBE-AD29-11662CA8C4A4}" name="Segments8">
      <calculatedColumnFormula>IFERROR(INDEX(Categories!$E$2:$E$15, MATCH('New pivot'!I2, Users,0)),0)</calculatedColumnFormula>
    </tableColumn>
    <tableColumn id="10" xr3:uid="{C3D45120-BC47-484F-8543-A87C3449DF7F}" name="Segments9">
      <calculatedColumnFormula>IFERROR(INDEX(Categories!$E$2:$E$15, MATCH('New pivot'!J2, Users,0)),0)</calculatedColumnFormula>
    </tableColumn>
    <tableColumn id="11" xr3:uid="{9D5372DA-5A73-4BEB-91F2-7365FBEDFB05}" name="Segments10">
      <calculatedColumnFormula>IFERROR(INDEX(Categories!$E$2:$E$15, MATCH('New pivot'!K2, Users,0)),0)</calculatedColumnFormula>
    </tableColumn>
    <tableColumn id="12" xr3:uid="{8DE81BF7-FD48-4727-A34A-7C389B1061F4}" name="Segments11">
      <calculatedColumnFormula>IFERROR(INDEX(Categories!$E$2:$E$15, MATCH('New pivot'!L2, Users,0)),0)</calculatedColumnFormula>
    </tableColumn>
    <tableColumn id="13" xr3:uid="{04E5627F-7BDC-48AE-83BE-E445C6D0C9A4}" name="Segments12">
      <calculatedColumnFormula>IFERROR(INDEX(Categories!$E$2:$E$15, MATCH('New pivot'!M2, Users,0)),0)</calculatedColumnFormula>
    </tableColumn>
    <tableColumn id="14" xr3:uid="{2B82C737-D05B-4001-9879-94E321A0532C}" name="Segments13">
      <calculatedColumnFormula>IFERROR(INDEX(Categories!$E$2:$E$15, MATCH('New pivot'!N2, Users,0)),0)</calculatedColumnFormula>
    </tableColumn>
    <tableColumn id="15" xr3:uid="{0144F641-C989-48E3-82F9-D0C7503DF915}" name="Segments14">
      <calculatedColumnFormula>IFERROR(INDEX(Categories!$E$2:$E$15, MATCH('New pivot'!O2, Users,0)),0)</calculatedColumnFormula>
    </tableColumn>
    <tableColumn id="16" xr3:uid="{ADCFB5A2-A12F-4730-860E-EC415BD5AC74}" name="Segments15">
      <calculatedColumnFormula>IFERROR(INDEX(Categories!$E$2:$E$15, MATCH('New pivot'!P2, Users,0)),0)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1A4116-D0D0-4003-80C2-9F2928BAA11E}" name="Table1567" displayName="Table1567" ref="A39:P56" totalsRowShown="0">
  <autoFilter ref="A39:P56" xr:uid="{601A4116-D0D0-4003-80C2-9F2928BAA11E}"/>
  <tableColumns count="16">
    <tableColumn id="1" xr3:uid="{806C8633-748B-4760-8820-774A41271FD5}" name="Product/Package" dataDxfId="27"/>
    <tableColumn id="2" xr3:uid="{EA73A713-0E1B-45B5-B65C-28FD31E62ED7}" name="Segments" dataDxfId="26">
      <calculatedColumnFormula>IFERROR(INDEX(Categories!$F$2:$F$15, MATCH('New pivot'!B2, Users,0)),0)</calculatedColumnFormula>
    </tableColumn>
    <tableColumn id="3" xr3:uid="{BECA4674-DC59-44B9-9C61-C822CD2B9467}" name="Segments2">
      <calculatedColumnFormula>IFERROR(INDEX(Categories!$F$2:$F$15, MATCH('New pivot'!C2, Users,0)),0)</calculatedColumnFormula>
    </tableColumn>
    <tableColumn id="4" xr3:uid="{AE37FC03-D309-411D-8EB1-E1437DC123F5}" name="Segments3">
      <calculatedColumnFormula>IFERROR(INDEX(Categories!$F$2:$F$15, MATCH('New pivot'!D2, Users,0)),0)</calculatedColumnFormula>
    </tableColumn>
    <tableColumn id="5" xr3:uid="{82E6F04C-9019-44A6-880E-DCC2B585F870}" name="Segments4">
      <calculatedColumnFormula>IFERROR(INDEX(Categories!$F$2:$F$15, MATCH('New pivot'!E2, Users,0)),0)</calculatedColumnFormula>
    </tableColumn>
    <tableColumn id="6" xr3:uid="{F1BE9F69-BC95-4C06-8306-A324C09AEA80}" name="Segments5">
      <calculatedColumnFormula>IFERROR(INDEX(Categories!$F$2:$F$15, MATCH('New pivot'!F2, Users,0)),0)</calculatedColumnFormula>
    </tableColumn>
    <tableColumn id="7" xr3:uid="{C34E2E5B-7CFC-4BF5-A487-093673A5BA2D}" name="Segments6">
      <calculatedColumnFormula>IFERROR(INDEX(Categories!$F$2:$F$15, MATCH('New pivot'!G2, Users,0)),0)</calculatedColumnFormula>
    </tableColumn>
    <tableColumn id="8" xr3:uid="{E372E5BD-8C57-4DC4-8364-08280F2CA45D}" name="Segments7">
      <calculatedColumnFormula>IFERROR(INDEX(Categories!$F$2:$F$15, MATCH('New pivot'!H2, Users,0)),0)</calculatedColumnFormula>
    </tableColumn>
    <tableColumn id="9" xr3:uid="{1F8779E0-9EC2-45C7-854A-0B670827D52C}" name="Segments8">
      <calculatedColumnFormula>IFERROR(INDEX(Categories!$F$2:$F$15, MATCH('New pivot'!I2, Users,0)),0)</calculatedColumnFormula>
    </tableColumn>
    <tableColumn id="10" xr3:uid="{78C8941D-42D3-496E-B843-19221467CF55}" name="Segments9">
      <calculatedColumnFormula>IFERROR(INDEX(Categories!$F$2:$F$15, MATCH('New pivot'!J2, Users,0)),0)</calculatedColumnFormula>
    </tableColumn>
    <tableColumn id="11" xr3:uid="{40229387-E8F9-4731-BF9B-DF639090C5A2}" name="Segments10">
      <calculatedColumnFormula>IFERROR(INDEX(Categories!$F$2:$F$15, MATCH('New pivot'!K2, Users,0)),0)</calculatedColumnFormula>
    </tableColumn>
    <tableColumn id="12" xr3:uid="{6EACB4A6-D918-4704-9811-8C7FB8681B91}" name="Segments11">
      <calculatedColumnFormula>IFERROR(INDEX(Categories!$F$2:$F$15, MATCH('New pivot'!L2, Users,0)),0)</calculatedColumnFormula>
    </tableColumn>
    <tableColumn id="13" xr3:uid="{A88F65DE-FB78-4B25-86D3-F5D494D82CF7}" name="Segments12">
      <calculatedColumnFormula>IFERROR(INDEX(Categories!$F$2:$F$15, MATCH('New pivot'!M2, Users,0)),0)</calculatedColumnFormula>
    </tableColumn>
    <tableColumn id="14" xr3:uid="{8D923B0D-DC20-47A3-ACA5-58F0111675FE}" name="Segments13">
      <calculatedColumnFormula>IFERROR(INDEX(Categories!$F$2:$F$15, MATCH('New pivot'!N2, Users,0)),0)</calculatedColumnFormula>
    </tableColumn>
    <tableColumn id="15" xr3:uid="{079918E2-8B2A-486D-88CB-D9C57504E071}" name="Segments14">
      <calculatedColumnFormula>IFERROR(INDEX(Categories!$F$2:$F$15, MATCH('New pivot'!O2, Users,0)),0)</calculatedColumnFormula>
    </tableColumn>
    <tableColumn id="16" xr3:uid="{1C855858-0820-44FE-803C-A76159C174B3}" name="Segments15">
      <calculatedColumnFormula>IFERROR(INDEX(Categories!$F$2:$F$15, MATCH('New pivot'!P2, Users,0)),0)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16A98B8-0E7D-4BD3-8F02-D789D9556BB9}" name="Table7" displayName="Table7" ref="AK10:BA234" totalsRowShown="0" headerRowDxfId="25" dataDxfId="24">
  <autoFilter ref="AK10:BA234" xr:uid="{616A98B8-0E7D-4BD3-8F02-D789D9556BB9}"/>
  <tableColumns count="17">
    <tableColumn id="1" xr3:uid="{44562C57-2B38-425B-A223-6A33E0254D53}" name="Industry Essentials" dataDxfId="23">
      <calculatedColumnFormula>IF(COUNTIFS($J$7:$J$510,Table7[[#Headers],[Industry Essentials]],$C$7:$C$510,$L11)&gt;0,0,MROUND(R11,100))</calculatedColumnFormula>
    </tableColumn>
    <tableColumn id="2" xr3:uid="{9A478A03-ADE9-4155-800D-D9E84239A847}" name="Energy Supply Market Intelligence" dataDxfId="22">
      <calculatedColumnFormula>IF(COUNTIFS($J$7:$J$510,Table7[[#Headers],[Energy Supply Market Intelligence]],$C$7:$C$510,$L11)&gt;0,0,MROUND(IFERROR(S11*($P11/$AI11),0),100))</calculatedColumnFormula>
    </tableColumn>
    <tableColumn id="3" xr3:uid="{05ADA7C1-980E-4929-B111-FBE6D175F521}" name="Energy Supply RTM Analysis" dataDxfId="21">
      <calculatedColumnFormula>IF(COUNTIFS($J$7:$J$510,Table7[[#Headers],[Energy Supply RTM Analysis]],$C$7:$C$510,$L11)&gt;0,0,MROUND(IFERROR(T11*($P11/$AI11),0),100))</calculatedColumnFormula>
    </tableColumn>
    <tableColumn id="4" xr3:uid="{EDEC71E9-CAE4-483C-B671-A82494A15C94}" name="Energy Supply Forecasts" dataDxfId="20">
      <calculatedColumnFormula>IF(COUNTIFS($J$7:$J$510,Table7[[#Headers],[Energy Supply Forecasts]],$C$7:$C$510,$L11)&gt;0,0,MROUND(IFERROR(U11*($P11/$AI11),0),100))</calculatedColumnFormula>
    </tableColumn>
    <tableColumn id="5" xr3:uid="{F111CE31-25B4-4304-90D6-C7655BE6D0F6}" name="Energy Supply Regulation" dataDxfId="19">
      <calculatedColumnFormula>IF(COUNTIFS($J$7:$J$510,Table7[[#Headers],[Energy Supply Regulation]],$C$7:$C$510,$L11)&gt;0,0,MROUND(IFERROR(V11*($P11/$AI11),0),100))</calculatedColumnFormula>
    </tableColumn>
    <tableColumn id="6" xr3:uid="{FE5491DC-667B-4CB0-B492-A12F9CB7CA81}" name="Renewables Market Intelligence" dataDxfId="18">
      <calculatedColumnFormula>IF(COUNTIFS($J$7:$J$510,Table7[[#Headers],[Renewables Market Intelligence]],$C$7:$C$510,$L11)&gt;0,0,MROUND(IFERROR(W11*($P11/$AI11),0),100))</calculatedColumnFormula>
    </tableColumn>
    <tableColumn id="7" xr3:uid="{DBE109FE-733D-4D38-A427-51C9E63698BF}" name="Renewables RTM Analysis" dataDxfId="17">
      <calculatedColumnFormula>IF(COUNTIFS($J$7:$J$510,Table7[[#Headers],[Renewables RTM Analysis]],$C$7:$C$510,$L11)&gt;0,0,MROUND(IFERROR(X11*($P11/$AI11),0),100))</calculatedColumnFormula>
    </tableColumn>
    <tableColumn id="8" xr3:uid="{B24FDA92-8F28-4D07-82FC-77DD592CB8F9}" name="Renewables Forecasts" dataDxfId="16">
      <calculatedColumnFormula>IF(COUNTIFS($J$7:$J$510,Table7[[#Headers],[Renewables Forecasts]],$C$7:$C$510,$L11)&gt;0,0,MROUND(IFERROR(Y11*($P11/$AI11),0),100))</calculatedColumnFormula>
    </tableColumn>
    <tableColumn id="9" xr3:uid="{79DE59C2-0C88-44BE-8177-23408C6F0EB3}" name="Renewables Regulation" dataDxfId="15">
      <calculatedColumnFormula>IF(COUNTIFS($J$7:$J$510,Table7[[#Headers],[Renewables Regulation]],$C$7:$C$510,$L11)&gt;0,0,MROUND(IFERROR(Z11*($P11/$AI11),0),100))</calculatedColumnFormula>
    </tableColumn>
    <tableColumn id="10" xr3:uid="{7C9100FE-7B77-4B7A-B1AB-C60800840FAC}" name="Flexibility Market Intelligence" dataDxfId="14">
      <calculatedColumnFormula>IF(COUNTIFS($J$7:$J$510,Table7[[#Headers],[Flexibility Market Intelligence]],$C$7:$C$510,$L11)&gt;0,0,MROUND(IFERROR(AA11*($P11/$AI11),0),100))</calculatedColumnFormula>
    </tableColumn>
    <tableColumn id="11" xr3:uid="{72EA5DD3-2445-4DC7-ACA0-3331C2FE9A60}" name="Flexibility RTM Analysis" dataDxfId="13">
      <calculatedColumnFormula>IF(COUNTIFS($J$7:$J$510,Table7[[#Headers],[Flexibility RTM Analysis]],$C$7:$C$510,$L11)&gt;0,0,MROUND(IFERROR(AB11*($P11/$AI11),0),100))</calculatedColumnFormula>
    </tableColumn>
    <tableColumn id="12" xr3:uid="{E3546769-4B26-4983-9794-199B1A595B5C}" name="Flexibility Forecasts" dataDxfId="12">
      <calculatedColumnFormula>IF(COUNTIFS($J$7:$J$510,Table7[[#Headers],[Flexibility Forecasts]],$C$7:$C$510,$L11)&gt;0,0,MROUND(IFERROR(AC11*($P11/$AI11),0),100))</calculatedColumnFormula>
    </tableColumn>
    <tableColumn id="13" xr3:uid="{B56551F8-B598-4AAC-9C49-B68D8E849466}" name="Flexibility Regulation" dataDxfId="11">
      <calculatedColumnFormula>IF(COUNTIFS($J$7:$J$510,Table7[[#Headers],[Flexibility Regulation]],$C$7:$C$510,$L11)&gt;0,0,MROUND(IFERROR(AD11*($P11/$AI11),0),100))</calculatedColumnFormula>
    </tableColumn>
    <tableColumn id="14" xr3:uid="{F5AAE1F9-9C24-4FF4-9F97-B89E345B695E}" name="Business Energy Essentials" dataDxfId="10">
      <calculatedColumnFormula>IF(COUNTIFS($J$7:$J$510,Table7[[#Headers],[Business Energy Essentials]],$C$7:$C$510,$L11)&gt;0,0,MROUND(IFERROR(AE11*($P11/$AI11),0),100))</calculatedColumnFormula>
    </tableColumn>
    <tableColumn id="15" xr3:uid="{64FF6C2D-B1D0-49BF-83DD-7E63614D66ED}" name="Energy User RTM Analysis" dataDxfId="9">
      <calculatedColumnFormula>IF(COUNTIFS($J$7:$J$510,Table7[[#Headers],[Energy User RTM Analysis]],$C$7:$C$510,$L11)&gt;0,0,MROUND(IFERROR(AF11*($P11/$AI11),0),100))</calculatedColumnFormula>
    </tableColumn>
    <tableColumn id="16" xr3:uid="{DFB5521C-5C68-423E-B071-78868A579A8F}" name="Energy User Forecasts" dataDxfId="8">
      <calculatedColumnFormula>IF(COUNTIFS($J$7:$J$510,Table7[[#Headers],[Energy User Forecasts]],$C$7:$C$510,$L11)&gt;0,0,MROUND(IFERROR(AG11*($P11/$AI11),0),100))</calculatedColumnFormula>
    </tableColumn>
    <tableColumn id="17" xr3:uid="{F1623DE5-283A-43C5-9ABA-C87F5F9BE6E2}" name="Energy User Regulation" dataDxfId="7">
      <calculatedColumnFormula>IF(COUNTIFS($J$7:$J$510,Table7[[#Headers],[Energy User Regulation]],$C$7:$C$510,$L11)&gt;0,0,MROUND(IFERROR(AH11*($P11/$AI11),0),100))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4B398-DBFD-4F4F-9887-28447D37D00B}" name="Table1" displayName="Table1" ref="A1:N42" totalsRowShown="0">
  <autoFilter ref="A1:N42" xr:uid="{B584B398-DBFD-4F4F-9887-28447D37D00B}"/>
  <tableColumns count="14">
    <tableColumn id="1" xr3:uid="{3C148311-4464-4361-B9E1-F69557FF06D0}" name="Product/Package" dataDxfId="6"/>
    <tableColumn id="2" xr3:uid="{35626391-5296-4791-86E6-CA951EEB650D}" name="Segments"/>
    <tableColumn id="3" xr3:uid="{FBD52E33-0648-44AC-A832-7A57806F755A}" name="Segments2"/>
    <tableColumn id="4" xr3:uid="{AE6D49A7-7C5D-4F44-8F22-EAC04563A36B}" name="Segments3"/>
    <tableColumn id="5" xr3:uid="{A8989FEF-520A-4418-9122-38EF90F3DC28}" name="Segments4"/>
    <tableColumn id="6" xr3:uid="{17C03C25-AC56-491C-A4E8-6288DAD9BD11}" name="Segments5"/>
    <tableColumn id="7" xr3:uid="{6B643B65-BB95-485E-BEE0-2B2C2BC24ADF}" name="Segments6"/>
    <tableColumn id="8" xr3:uid="{22732177-8552-41CF-AE97-E8E62EC3F9AF}" name="Segments7"/>
    <tableColumn id="9" xr3:uid="{5F45F9A7-B8D0-4CDA-A369-2BB8FED0EDC7}" name="Segments8"/>
    <tableColumn id="10" xr3:uid="{B77E5858-CDC0-45B5-89D7-684654438AE1}" name="Segments9"/>
    <tableColumn id="11" xr3:uid="{C69E5C57-E394-4DD4-BD4A-C65998C50970}" name="Segments10"/>
    <tableColumn id="12" xr3:uid="{21240133-D8A8-41BF-94D8-17A8D7E514A8}" name="Segments11"/>
    <tableColumn id="13" xr3:uid="{434C20EA-AB8F-4CDA-815D-967528AF3B80}" name="Segments12"/>
    <tableColumn id="14" xr3:uid="{F2039E7E-7F03-4532-AC05-29A75DE83713}" name="Segments1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FE361-49B7-4B40-94B3-0133031CF3E3}" name="Table1_1" displayName="Table1_1" ref="Q2:S132" tableType="queryTable" totalsRowShown="0">
  <autoFilter ref="Q2:S132" xr:uid="{D7FFE361-49B7-4B40-94B3-0133031CF3E3}"/>
  <tableColumns count="3">
    <tableColumn id="1" xr3:uid="{618BBDD7-B2CC-4BB0-82F2-92D1097ECD0C}" uniqueName="1" name="Product/Package" queryTableFieldId="1" dataDxfId="5"/>
    <tableColumn id="2" xr3:uid="{0C5EA91A-ACF4-4177-B761-C259DA9F610A}" uniqueName="2" name="Attribute" queryTableFieldId="4" dataDxfId="4"/>
    <tableColumn id="3" xr3:uid="{1F3EE3DA-4D15-40EB-BC28-D9628E7AE09B}" uniqueName="3" name="Value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" dT="2024-10-24T18:55:43.50" personId="{D6CFC4EB-C64F-4466-A3D3-81A3468C621D}" id="{52754E10-BDB9-41C4-A6E2-B20B62AA93CB}">
    <text>Likely to phase out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9EA23A-B6B0-488C-B8AC-1AD8F83D780B}">
  <we:reference id="29673e3c-d826-4f00-92ee-162334a52b1a" version="1.0.0.8" store="EXCatalog" storeType="EXCatalog"/>
  <we:alternateReferences>
    <we:reference id="WA200009404" version="1.0.0.8" store="en-GB" storeType="OMEX"/>
  </we:alternateReferences>
  <we:properties>
    <we:property name="claude.fileId" value="&quot;ae7e9d3a-a009-46ad-b24e-5e56a98a5c3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6777-8CBA-46F1-AB8D-C813F97F891F}">
  <sheetPr>
    <tabColor theme="5"/>
  </sheetPr>
  <dimension ref="A1:BD1577"/>
  <sheetViews>
    <sheetView topLeftCell="A2" zoomScale="99" zoomScaleNormal="70" workbookViewId="0">
      <selection activeCell="H13" sqref="H13"/>
    </sheetView>
  </sheetViews>
  <sheetFormatPr defaultColWidth="8.7109375" defaultRowHeight="14.25"/>
  <cols>
    <col min="1" max="1" width="29" style="2" customWidth="1"/>
    <col min="2" max="2" width="11.28515625" style="2" customWidth="1"/>
    <col min="3" max="11" width="9.42578125" style="2" customWidth="1"/>
    <col min="12" max="12" width="13.7109375" style="2" customWidth="1"/>
    <col min="13" max="13" width="31.7109375" style="2" customWidth="1"/>
    <col min="14" max="14" width="33.5703125" style="2" customWidth="1"/>
    <col min="15" max="15" width="32.5703125" style="2" customWidth="1"/>
    <col min="16" max="16" width="30.5703125" style="2" customWidth="1"/>
    <col min="17" max="18" width="29.140625" style="2" customWidth="1"/>
    <col min="19" max="19" width="11.42578125" style="2" customWidth="1"/>
    <col min="20" max="20" width="23.140625" style="2" customWidth="1"/>
    <col min="21" max="21" width="23.7109375" style="2" customWidth="1"/>
    <col min="22" max="22" width="32" style="2" customWidth="1"/>
    <col min="23" max="23" width="23.42578125" style="2" customWidth="1"/>
    <col min="24" max="24" width="14" style="2" customWidth="1"/>
    <col min="25" max="25" width="13.140625" style="2" customWidth="1"/>
    <col min="26" max="26" width="32.7109375" style="2" customWidth="1"/>
    <col min="27" max="27" width="23.7109375" style="2" customWidth="1"/>
    <col min="28" max="28" width="24.140625" style="2" customWidth="1"/>
    <col min="29" max="29" width="28.7109375" style="2" customWidth="1"/>
    <col min="30" max="30" width="25.5703125" style="2" customWidth="1"/>
    <col min="31" max="31" width="30.7109375" style="2" customWidth="1"/>
    <col min="32" max="32" width="25.7109375" style="2" customWidth="1"/>
    <col min="33" max="33" width="23.140625" style="2" customWidth="1"/>
    <col min="34" max="34" width="26.7109375" style="2" customWidth="1"/>
    <col min="35" max="35" width="16.42578125" style="2" customWidth="1"/>
    <col min="36" max="36" width="18" style="2" customWidth="1"/>
    <col min="37" max="38" width="11.140625" style="2" bestFit="1" customWidth="1"/>
    <col min="39" max="39" width="10.7109375" style="2" bestFit="1" customWidth="1"/>
    <col min="40" max="40" width="11.140625" style="2" bestFit="1" customWidth="1"/>
    <col min="41" max="41" width="17.42578125" style="2" customWidth="1"/>
    <col min="42" max="42" width="12.42578125" style="2" bestFit="1" customWidth="1"/>
    <col min="43" max="44" width="11.140625" style="2" bestFit="1" customWidth="1"/>
    <col min="45" max="16384" width="8.7109375" style="2"/>
  </cols>
  <sheetData>
    <row r="1" spans="1:56" hidden="1">
      <c r="T1" s="2">
        <f>SUM(Table3[Column1])</f>
        <v>0</v>
      </c>
      <c r="U1" s="2">
        <f>SUM(Table3[Industry Essentials])</f>
        <v>1179</v>
      </c>
      <c r="V1" s="2">
        <f>SUM(Table3[Energy Supply Market Intelligence])</f>
        <v>244</v>
      </c>
      <c r="W1" s="2">
        <f>SUM(Table3[Energy Supply RTM Analysis])</f>
        <v>272</v>
      </c>
      <c r="X1" s="2">
        <f>SUM(Table3[Energy Supply Forecasts])</f>
        <v>244</v>
      </c>
      <c r="Y1" s="2">
        <f>SUM(Table3[Energy Supply Regulation])</f>
        <v>140</v>
      </c>
      <c r="Z1" s="2">
        <f>SUM(Table3[Renewables Market Intelligence])</f>
        <v>553</v>
      </c>
      <c r="AA1" s="2">
        <f>SUM(Table3[Renewables RTM Analysis])</f>
        <v>429</v>
      </c>
      <c r="AB1" s="2">
        <f>SUM(Table3[Renewables Forecasts])</f>
        <v>553</v>
      </c>
      <c r="AC1" s="2">
        <f>SUM(Table3[Renewables Regulation])</f>
        <v>382</v>
      </c>
      <c r="AD1" s="2">
        <f>SUM(Table3[Flexibility Market Intelligence])</f>
        <v>527</v>
      </c>
      <c r="AE1" s="2">
        <f>SUM(Table3[Flexibility RTM Analysis])</f>
        <v>268</v>
      </c>
      <c r="AF1" s="2">
        <f>SUM(Table3[Flexibility Forecasts])</f>
        <v>461</v>
      </c>
      <c r="AG1" s="2">
        <f>SUM(Table3[Flexibility Regulation])</f>
        <v>228</v>
      </c>
      <c r="AH1" s="2">
        <f>SUM(Table3[Business Energy Essentials])</f>
        <v>522</v>
      </c>
      <c r="AI1" s="2">
        <f>SUM(Table3[Energy User RTM Analysis])</f>
        <v>587</v>
      </c>
      <c r="AJ1" s="2">
        <f>SUM(Table3[Energy User Forecasts])</f>
        <v>531</v>
      </c>
    </row>
    <row r="2" spans="1:56" s="7" customFormat="1" ht="41.45" customHeight="1">
      <c r="A2" s="81" t="s">
        <v>0</v>
      </c>
      <c r="B2" s="81" t="s">
        <v>1</v>
      </c>
      <c r="C2" s="81" t="s">
        <v>2</v>
      </c>
      <c r="D2" s="81" t="s">
        <v>3</v>
      </c>
      <c r="E2" s="81" t="s">
        <v>4</v>
      </c>
      <c r="F2" s="81" t="s">
        <v>5</v>
      </c>
      <c r="G2" s="81" t="s">
        <v>6</v>
      </c>
      <c r="H2" s="81" t="s">
        <v>7</v>
      </c>
      <c r="I2" s="81" t="s">
        <v>8</v>
      </c>
      <c r="J2" s="81" t="s">
        <v>9</v>
      </c>
      <c r="K2" s="81" t="s">
        <v>10</v>
      </c>
      <c r="L2" s="81" t="s">
        <v>11</v>
      </c>
      <c r="M2" s="81" t="s">
        <v>12</v>
      </c>
      <c r="N2" s="81" t="s">
        <v>13</v>
      </c>
      <c r="O2" s="81" t="s">
        <v>14</v>
      </c>
      <c r="P2" s="81" t="s">
        <v>15</v>
      </c>
      <c r="Q2" s="81" t="s">
        <v>16</v>
      </c>
      <c r="R2" s="81" t="s">
        <v>17</v>
      </c>
      <c r="S2" s="81" t="s">
        <v>18</v>
      </c>
      <c r="T2" s="82" t="s">
        <v>19</v>
      </c>
      <c r="U2" s="83" t="s">
        <v>20</v>
      </c>
      <c r="V2" s="83" t="s">
        <v>21</v>
      </c>
      <c r="W2" s="83" t="s">
        <v>22</v>
      </c>
      <c r="X2" s="83" t="s">
        <v>23</v>
      </c>
      <c r="Y2" s="83" t="s">
        <v>24</v>
      </c>
      <c r="Z2" s="83" t="s">
        <v>25</v>
      </c>
      <c r="AA2" s="83" t="s">
        <v>26</v>
      </c>
      <c r="AB2" s="83" t="s">
        <v>27</v>
      </c>
      <c r="AC2" s="83" t="s">
        <v>28</v>
      </c>
      <c r="AD2" s="83" t="s">
        <v>29</v>
      </c>
      <c r="AE2" s="83" t="s">
        <v>30</v>
      </c>
      <c r="AF2" s="83" t="s">
        <v>31</v>
      </c>
      <c r="AG2" s="83" t="s">
        <v>32</v>
      </c>
      <c r="AH2" s="83" t="s">
        <v>33</v>
      </c>
      <c r="AI2" s="83" t="s">
        <v>34</v>
      </c>
      <c r="AJ2" s="83" t="s">
        <v>35</v>
      </c>
      <c r="AK2" s="83" t="s">
        <v>36</v>
      </c>
      <c r="AL2" s="83" t="s">
        <v>37</v>
      </c>
      <c r="AM2" s="83" t="s">
        <v>38</v>
      </c>
      <c r="AN2" s="83" t="s">
        <v>39</v>
      </c>
      <c r="AO2" s="83" t="s">
        <v>40</v>
      </c>
      <c r="AP2" s="83" t="s">
        <v>41</v>
      </c>
      <c r="AQ2" s="83" t="s">
        <v>42</v>
      </c>
      <c r="AR2" s="83" t="s">
        <v>43</v>
      </c>
      <c r="AS2" s="83" t="s">
        <v>44</v>
      </c>
      <c r="AT2" s="83" t="s">
        <v>45</v>
      </c>
      <c r="AU2" s="83" t="s">
        <v>46</v>
      </c>
      <c r="AV2" s="83" t="s">
        <v>47</v>
      </c>
      <c r="AW2" s="83" t="s">
        <v>48</v>
      </c>
      <c r="AX2" s="83" t="s">
        <v>49</v>
      </c>
      <c r="AY2" s="83" t="s">
        <v>50</v>
      </c>
      <c r="AZ2" s="83" t="s">
        <v>51</v>
      </c>
      <c r="BA2" s="83" t="s">
        <v>52</v>
      </c>
      <c r="BB2" s="83" t="s">
        <v>53</v>
      </c>
      <c r="BC2" s="83" t="s">
        <v>54</v>
      </c>
      <c r="BD2" s="112" t="s">
        <v>55</v>
      </c>
    </row>
    <row r="3" spans="1:56" ht="15.75" customHeight="1">
      <c r="A3" s="84" t="s">
        <v>56</v>
      </c>
      <c r="B3" s="84" t="s">
        <v>57</v>
      </c>
      <c r="C3" s="84"/>
      <c r="D3" s="85">
        <v>45566</v>
      </c>
      <c r="E3" s="85" t="s">
        <v>58</v>
      </c>
      <c r="F3" s="84">
        <f>INDEX(Definitions!$G$13:$G$17,MATCH(Table3[[#This Row],[Propensity to buy/ buyer readiness]],Definitions!$A$13:$A$17,0))</f>
        <v>250000</v>
      </c>
      <c r="G3" s="86">
        <v>5</v>
      </c>
      <c r="H3" s="86">
        <v>5</v>
      </c>
      <c r="I3" s="86">
        <v>5</v>
      </c>
      <c r="J3" s="86">
        <v>5</v>
      </c>
      <c r="K3" s="86">
        <v>5</v>
      </c>
      <c r="L3" s="86">
        <f>SUM(Table3[[#This Row],[Strategic priority segment]:[Propensity to buy/ buyer readiness]])</f>
        <v>25</v>
      </c>
      <c r="M3" s="86" t="s">
        <v>59</v>
      </c>
      <c r="N3" s="84" t="s">
        <v>60</v>
      </c>
      <c r="O3" s="84" t="s">
        <v>61</v>
      </c>
      <c r="P3" s="87" t="s">
        <v>62</v>
      </c>
      <c r="Q3" s="87" t="s">
        <v>63</v>
      </c>
      <c r="R3" s="84"/>
      <c r="S3" s="87"/>
      <c r="T3" s="87"/>
      <c r="U3" s="84">
        <v>1</v>
      </c>
      <c r="V3" s="84">
        <v>1</v>
      </c>
      <c r="W3" s="84">
        <v>1</v>
      </c>
      <c r="X3" s="84">
        <v>1</v>
      </c>
      <c r="Y3" s="84">
        <v>1</v>
      </c>
      <c r="Z3" s="84">
        <v>1</v>
      </c>
      <c r="AA3" s="84">
        <v>1</v>
      </c>
      <c r="AB3" s="84">
        <v>1</v>
      </c>
      <c r="AC3" s="84">
        <v>1</v>
      </c>
      <c r="AD3" s="84">
        <v>1</v>
      </c>
      <c r="AE3" s="84">
        <v>1</v>
      </c>
      <c r="AF3" s="84">
        <v>1</v>
      </c>
      <c r="AG3" s="84">
        <v>1</v>
      </c>
      <c r="AH3" s="84">
        <v>0</v>
      </c>
      <c r="AI3" s="84">
        <v>0</v>
      </c>
      <c r="AJ3" s="84">
        <v>0</v>
      </c>
      <c r="AK3" s="84">
        <v>0</v>
      </c>
      <c r="AL3" s="84" cm="1">
        <f t="array" ref="AL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" s="84" cm="1">
        <f t="array" ref="AM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3" s="84" cm="1">
        <f t="array" ref="AN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" s="84" cm="1">
        <f t="array" ref="AO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3" s="84" cm="1">
        <f t="array" ref="AP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3" s="84" cm="1">
        <f t="array" ref="AQ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" s="84" cm="1">
        <f t="array" ref="AR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" s="84" cm="1">
        <f t="array" ref="AS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" s="84" cm="1">
        <f t="array" ref="AT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" s="84" cm="1">
        <f t="array" ref="AU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" s="84" cm="1">
        <f t="array" ref="AV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" s="84" cm="1">
        <f t="array" ref="AW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" s="84" cm="1">
        <f t="array" ref="AX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" s="84" cm="1">
        <f t="array" ref="AY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" s="84" cm="1">
        <f t="array" ref="AZ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" s="84" cm="1">
        <f t="array" ref="BA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" s="84" cm="1">
        <f t="array" ref="BB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" s="84">
        <f>IF(SUM(Table3[[#This Row],[Column2]:[Column18]])&gt;Table3[[#This Row],[Column19]],Table3[[#This Row],[Column19]],SUM(Table3[[#This Row],[Column2]:[Column18]]))</f>
        <v>250000</v>
      </c>
      <c r="BD3" s="2">
        <f>Table3[[#This Row],[Total Spend]]/SUM(Table3[[#This Row],[Column2]:[Column18]])</f>
        <v>0.51824212271973469</v>
      </c>
    </row>
    <row r="4" spans="1:56" ht="16.5" customHeight="1">
      <c r="A4" s="84" t="s">
        <v>64</v>
      </c>
      <c r="B4" s="84" t="s">
        <v>57</v>
      </c>
      <c r="C4" s="84" t="s">
        <v>57</v>
      </c>
      <c r="D4" s="85">
        <v>45566</v>
      </c>
      <c r="E4" s="85" t="s">
        <v>58</v>
      </c>
      <c r="F4" s="84">
        <f>INDEX(Definitions!$G$13:$G$17,MATCH(Table3[[#This Row],[Propensity to buy/ buyer readiness]],Definitions!$A$13:$A$17,0))</f>
        <v>250000</v>
      </c>
      <c r="G4" s="86">
        <v>5</v>
      </c>
      <c r="H4" s="86">
        <v>5</v>
      </c>
      <c r="I4" s="86">
        <v>5</v>
      </c>
      <c r="J4" s="86">
        <v>5</v>
      </c>
      <c r="K4" s="86">
        <v>5</v>
      </c>
      <c r="L4" s="86">
        <f>SUM(Table3[[#This Row],[Strategic priority segment]:[Propensity to buy/ buyer readiness]])</f>
        <v>25</v>
      </c>
      <c r="M4" s="86" t="s">
        <v>59</v>
      </c>
      <c r="N4" s="84" t="s">
        <v>60</v>
      </c>
      <c r="O4" s="84" t="s">
        <v>61</v>
      </c>
      <c r="P4" s="87" t="s">
        <v>62</v>
      </c>
      <c r="Q4" s="87" t="s">
        <v>63</v>
      </c>
      <c r="R4" s="84"/>
      <c r="S4" s="87"/>
      <c r="T4" s="87"/>
      <c r="U4" s="84">
        <v>1</v>
      </c>
      <c r="V4" s="84">
        <v>1</v>
      </c>
      <c r="W4" s="84">
        <v>1</v>
      </c>
      <c r="X4" s="84">
        <v>1</v>
      </c>
      <c r="Y4" s="84">
        <v>1</v>
      </c>
      <c r="Z4" s="84">
        <v>1</v>
      </c>
      <c r="AA4" s="84">
        <v>1</v>
      </c>
      <c r="AB4" s="84">
        <v>1</v>
      </c>
      <c r="AC4" s="84">
        <v>1</v>
      </c>
      <c r="AD4" s="84">
        <v>1</v>
      </c>
      <c r="AE4" s="84">
        <v>1</v>
      </c>
      <c r="AF4" s="84">
        <v>1</v>
      </c>
      <c r="AG4" s="84">
        <v>1</v>
      </c>
      <c r="AH4" s="84">
        <v>0</v>
      </c>
      <c r="AI4" s="84">
        <v>0</v>
      </c>
      <c r="AJ4" s="84">
        <v>0</v>
      </c>
      <c r="AK4" s="84">
        <v>0</v>
      </c>
      <c r="AL4" s="84" cm="1">
        <f t="array" ref="AL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" s="84" cm="1">
        <f t="array" ref="AM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4" s="84" cm="1">
        <f t="array" ref="AN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4" s="84" cm="1">
        <f t="array" ref="AO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4" s="84" cm="1">
        <f t="array" ref="AP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4" s="84" cm="1">
        <f t="array" ref="AQ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" s="84" cm="1">
        <f t="array" ref="AR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" s="84" cm="1">
        <f t="array" ref="AS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" s="84" cm="1">
        <f t="array" ref="AT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4" s="84" cm="1">
        <f t="array" ref="AU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" s="84" cm="1">
        <f t="array" ref="AV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" s="84" cm="1">
        <f t="array" ref="AW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" s="84" cm="1">
        <f t="array" ref="AX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4" s="84" cm="1">
        <f t="array" ref="AY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" s="84" cm="1">
        <f t="array" ref="AZ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" s="84" cm="1">
        <f t="array" ref="BA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" s="84" cm="1">
        <f t="array" ref="BB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" s="84">
        <f>IF(SUM(Table3[[#This Row],[Column2]:[Column18]])&gt;Table3[[#This Row],[Column19]],Table3[[#This Row],[Column19]],SUM(Table3[[#This Row],[Column2]:[Column18]]))</f>
        <v>250000</v>
      </c>
      <c r="BD4" s="2">
        <f>Table3[[#This Row],[Total Spend]]/SUM(Table3[[#This Row],[Column2]:[Column18]])</f>
        <v>0.51824212271973469</v>
      </c>
    </row>
    <row r="5" spans="1:56">
      <c r="A5" s="84" t="s">
        <v>65</v>
      </c>
      <c r="B5" s="84" t="s">
        <v>57</v>
      </c>
      <c r="C5" s="84" t="s">
        <v>57</v>
      </c>
      <c r="D5" s="85">
        <v>45566</v>
      </c>
      <c r="E5" s="85" t="s">
        <v>58</v>
      </c>
      <c r="F5" s="84">
        <f>INDEX(Definitions!$G$13:$G$17,MATCH(Table3[[#This Row],[Propensity to buy/ buyer readiness]],Definitions!$A$13:$A$17,0))</f>
        <v>250000</v>
      </c>
      <c r="G5" s="86">
        <v>5</v>
      </c>
      <c r="H5" s="86">
        <v>5</v>
      </c>
      <c r="I5" s="86">
        <v>5</v>
      </c>
      <c r="J5" s="86">
        <v>5</v>
      </c>
      <c r="K5" s="86">
        <v>5</v>
      </c>
      <c r="L5" s="86">
        <f>SUM(Table3[[#This Row],[Strategic priority segment]:[Propensity to buy/ buyer readiness]])</f>
        <v>25</v>
      </c>
      <c r="M5" s="86" t="s">
        <v>66</v>
      </c>
      <c r="N5" s="84" t="s">
        <v>62</v>
      </c>
      <c r="O5" s="84" t="s">
        <v>63</v>
      </c>
      <c r="P5" s="87" t="s">
        <v>60</v>
      </c>
      <c r="Q5" s="87"/>
      <c r="R5" s="84"/>
      <c r="S5" s="87"/>
      <c r="T5" s="87"/>
      <c r="U5" s="84">
        <v>1</v>
      </c>
      <c r="V5" s="84">
        <v>1</v>
      </c>
      <c r="W5" s="84">
        <v>1</v>
      </c>
      <c r="X5" s="84">
        <v>1</v>
      </c>
      <c r="Y5" s="84">
        <v>1</v>
      </c>
      <c r="Z5" s="84">
        <v>0</v>
      </c>
      <c r="AA5" s="84">
        <v>1</v>
      </c>
      <c r="AB5" s="84">
        <v>0</v>
      </c>
      <c r="AC5" s="84">
        <v>0</v>
      </c>
      <c r="AD5" s="84">
        <v>1</v>
      </c>
      <c r="AE5" s="84">
        <v>1</v>
      </c>
      <c r="AF5" s="84">
        <v>1</v>
      </c>
      <c r="AG5" s="84">
        <v>1</v>
      </c>
      <c r="AH5" s="84">
        <v>0</v>
      </c>
      <c r="AI5" s="84">
        <v>0</v>
      </c>
      <c r="AJ5" s="84">
        <v>0</v>
      </c>
      <c r="AK5" s="84">
        <v>0</v>
      </c>
      <c r="AL5" s="84" cm="1">
        <f t="array" ref="AL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" s="84" cm="1">
        <f t="array" ref="AM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5" s="84" cm="1">
        <f t="array" ref="AN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5" s="84" cm="1">
        <f t="array" ref="AO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5" s="84" cm="1">
        <f t="array" ref="AP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5" s="84" cm="1">
        <f t="array" ref="AQ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" s="84" cm="1">
        <f t="array" ref="AR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" s="84" cm="1">
        <f t="array" ref="AS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" s="84" cm="1">
        <f t="array" ref="AT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" s="84" cm="1">
        <f t="array" ref="AU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" s="84" cm="1">
        <f t="array" ref="AV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" s="84" cm="1">
        <f t="array" ref="AW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" s="84" cm="1">
        <f t="array" ref="AX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" s="84" cm="1">
        <f t="array" ref="AY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" s="84" cm="1">
        <f t="array" ref="AZ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" s="84" cm="1">
        <f t="array" ref="BA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" s="84" cm="1">
        <f t="array" ref="BB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" s="84">
        <f>IF(SUM(Table3[[#This Row],[Column2]:[Column18]])&gt;Table3[[#This Row],[Column19]],Table3[[#This Row],[Column19]],SUM(Table3[[#This Row],[Column2]:[Column18]]))</f>
        <v>250000</v>
      </c>
      <c r="BD5" s="2">
        <f>Table3[[#This Row],[Total Spend]]/SUM(Table3[[#This Row],[Column2]:[Column18]])</f>
        <v>0.66934404283801874</v>
      </c>
    </row>
    <row r="6" spans="1:56">
      <c r="A6" s="84" t="s">
        <v>67</v>
      </c>
      <c r="B6" s="84" t="s">
        <v>57</v>
      </c>
      <c r="C6" s="84"/>
      <c r="D6" s="85">
        <v>45566</v>
      </c>
      <c r="E6" s="85" t="s">
        <v>58</v>
      </c>
      <c r="F6" s="84">
        <f>INDEX(Definitions!$G$13:$G$17,MATCH(Table3[[#This Row],[Propensity to buy/ buyer readiness]],Definitions!$A$13:$A$17,0))</f>
        <v>250000</v>
      </c>
      <c r="G6" s="86">
        <v>5</v>
      </c>
      <c r="H6" s="86">
        <v>5</v>
      </c>
      <c r="I6" s="86">
        <v>5</v>
      </c>
      <c r="J6" s="86">
        <v>5</v>
      </c>
      <c r="K6" s="86">
        <v>5</v>
      </c>
      <c r="L6" s="86">
        <f>SUM(Table3[[#This Row],[Strategic priority segment]:[Propensity to buy/ buyer readiness]])</f>
        <v>25</v>
      </c>
      <c r="M6" s="86" t="s">
        <v>59</v>
      </c>
      <c r="N6" s="84" t="s">
        <v>60</v>
      </c>
      <c r="O6" s="84" t="s">
        <v>63</v>
      </c>
      <c r="P6" s="87"/>
      <c r="Q6" s="87"/>
      <c r="R6" s="84"/>
      <c r="S6" s="87"/>
      <c r="T6" s="87"/>
      <c r="U6" s="84">
        <v>1</v>
      </c>
      <c r="V6" s="84">
        <v>1</v>
      </c>
      <c r="W6" s="84">
        <v>1</v>
      </c>
      <c r="X6" s="84">
        <v>1</v>
      </c>
      <c r="Y6" s="84">
        <v>1</v>
      </c>
      <c r="Z6" s="84">
        <v>0</v>
      </c>
      <c r="AA6" s="84">
        <v>1</v>
      </c>
      <c r="AB6" s="84">
        <v>0</v>
      </c>
      <c r="AC6" s="84">
        <v>0</v>
      </c>
      <c r="AD6" s="84">
        <v>1</v>
      </c>
      <c r="AE6" s="84">
        <v>1</v>
      </c>
      <c r="AF6" s="84">
        <v>1</v>
      </c>
      <c r="AG6" s="84">
        <v>0</v>
      </c>
      <c r="AH6" s="84">
        <v>0</v>
      </c>
      <c r="AI6" s="84">
        <v>0</v>
      </c>
      <c r="AJ6" s="84">
        <v>0</v>
      </c>
      <c r="AK6" s="84">
        <v>0</v>
      </c>
      <c r="AL6" s="84" cm="1">
        <f t="array" ref="AL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" s="84" cm="1">
        <f t="array" ref="AM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6" s="84" cm="1">
        <f t="array" ref="AN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6" s="84" cm="1">
        <f t="array" ref="AO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6" s="84" cm="1">
        <f t="array" ref="AP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6" s="84" cm="1">
        <f t="array" ref="AQ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" s="84" cm="1">
        <f t="array" ref="AR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" s="84" cm="1">
        <f t="array" ref="AS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" s="84" cm="1">
        <f t="array" ref="AT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" s="84" cm="1">
        <f t="array" ref="AU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" s="84" cm="1">
        <f t="array" ref="AV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6" s="84" cm="1">
        <f t="array" ref="AW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" s="84" cm="1">
        <f t="array" ref="AX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" s="84" cm="1">
        <f t="array" ref="AY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" s="84" cm="1">
        <f t="array" ref="AZ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" s="84" cm="1">
        <f t="array" ref="BA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" s="84" cm="1">
        <f t="array" ref="BB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" s="84">
        <f>IF(SUM(Table3[[#This Row],[Column2]:[Column18]])&gt;Table3[[#This Row],[Column19]],Table3[[#This Row],[Column19]],SUM(Table3[[#This Row],[Column2]:[Column18]]))</f>
        <v>250000</v>
      </c>
      <c r="BD6" s="2">
        <f>Table3[[#This Row],[Total Spend]]/SUM(Table3[[#This Row],[Column2]:[Column18]])</f>
        <v>0.7407407407407407</v>
      </c>
    </row>
    <row r="7" spans="1:56">
      <c r="A7" s="84" t="s">
        <v>68</v>
      </c>
      <c r="B7" s="84" t="s">
        <v>57</v>
      </c>
      <c r="C7" s="84"/>
      <c r="D7" s="85">
        <v>45566</v>
      </c>
      <c r="E7" s="85" t="s">
        <v>58</v>
      </c>
      <c r="F7" s="84">
        <f>INDEX(Definitions!$G$13:$G$17,MATCH(Table3[[#This Row],[Propensity to buy/ buyer readiness]],Definitions!$A$13:$A$17,0))</f>
        <v>250000</v>
      </c>
      <c r="G7" s="86">
        <v>5</v>
      </c>
      <c r="H7" s="86">
        <v>5</v>
      </c>
      <c r="I7" s="86">
        <v>5</v>
      </c>
      <c r="J7" s="86">
        <v>5</v>
      </c>
      <c r="K7" s="86">
        <v>5</v>
      </c>
      <c r="L7" s="86">
        <f>SUM(Table3[[#This Row],[Strategic priority segment]:[Propensity to buy/ buyer readiness]])</f>
        <v>25</v>
      </c>
      <c r="M7" s="86" t="s">
        <v>66</v>
      </c>
      <c r="N7" s="84" t="s">
        <v>62</v>
      </c>
      <c r="O7" s="84" t="s">
        <v>61</v>
      </c>
      <c r="P7" s="87" t="s">
        <v>60</v>
      </c>
      <c r="Q7" s="87" t="s">
        <v>63</v>
      </c>
      <c r="R7" s="84"/>
      <c r="S7" s="87"/>
      <c r="T7" s="87"/>
      <c r="U7" s="84">
        <v>1</v>
      </c>
      <c r="V7" s="84">
        <v>1</v>
      </c>
      <c r="W7" s="84">
        <v>1</v>
      </c>
      <c r="X7" s="84">
        <v>1</v>
      </c>
      <c r="Y7" s="84">
        <v>1</v>
      </c>
      <c r="Z7" s="84">
        <v>1</v>
      </c>
      <c r="AA7" s="84">
        <v>1</v>
      </c>
      <c r="AB7" s="84">
        <v>1</v>
      </c>
      <c r="AC7" s="84">
        <v>1</v>
      </c>
      <c r="AD7" s="84">
        <v>1</v>
      </c>
      <c r="AE7" s="84">
        <v>1</v>
      </c>
      <c r="AF7" s="84">
        <v>1</v>
      </c>
      <c r="AG7" s="84">
        <v>1</v>
      </c>
      <c r="AH7" s="84">
        <v>0</v>
      </c>
      <c r="AI7" s="84">
        <v>0</v>
      </c>
      <c r="AJ7" s="84">
        <v>0</v>
      </c>
      <c r="AK7" s="84">
        <v>0</v>
      </c>
      <c r="AL7" s="84" cm="1">
        <f t="array" ref="AL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" s="84" cm="1">
        <f t="array" ref="AM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" s="84" cm="1">
        <f t="array" ref="AN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" s="84" cm="1">
        <f t="array" ref="AO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" s="84" cm="1">
        <f t="array" ref="AP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7" s="84" cm="1">
        <f t="array" ref="AQ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" s="84" cm="1">
        <f t="array" ref="AR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" s="84" cm="1">
        <f t="array" ref="AS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" s="84" cm="1">
        <f t="array" ref="AT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" s="84" cm="1">
        <f t="array" ref="AU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" s="84" cm="1">
        <f t="array" ref="AV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" s="84" cm="1">
        <f t="array" ref="AW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" s="84" cm="1">
        <f t="array" ref="AX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7" s="84" cm="1">
        <f t="array" ref="AY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" s="84" cm="1">
        <f t="array" ref="AZ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" s="84" cm="1">
        <f t="array" ref="BA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" s="84" cm="1">
        <f t="array" ref="BB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" s="84">
        <f>IF(SUM(Table3[[#This Row],[Column2]:[Column18]])&gt;Table3[[#This Row],[Column19]],Table3[[#This Row],[Column19]],SUM(Table3[[#This Row],[Column2]:[Column18]]))</f>
        <v>250000</v>
      </c>
      <c r="BD7" s="2">
        <f>Table3[[#This Row],[Total Spend]]/SUM(Table3[[#This Row],[Column2]:[Column18]])</f>
        <v>0.51824212271973469</v>
      </c>
    </row>
    <row r="8" spans="1:56" ht="15.75" customHeight="1">
      <c r="A8" s="84" t="s">
        <v>69</v>
      </c>
      <c r="B8" s="84" t="s">
        <v>57</v>
      </c>
      <c r="C8" s="84"/>
      <c r="D8" s="85">
        <v>45566</v>
      </c>
      <c r="E8" s="85" t="s">
        <v>58</v>
      </c>
      <c r="F8" s="84">
        <f>INDEX(Definitions!$G$13:$G$17,MATCH(Table3[[#This Row],[Propensity to buy/ buyer readiness]],Definitions!$A$13:$A$17,0))</f>
        <v>250000</v>
      </c>
      <c r="G8" s="86">
        <v>5</v>
      </c>
      <c r="H8" s="86">
        <v>5</v>
      </c>
      <c r="I8" s="86">
        <v>5</v>
      </c>
      <c r="J8" s="86">
        <v>5</v>
      </c>
      <c r="K8" s="86">
        <v>5</v>
      </c>
      <c r="L8" s="86">
        <f>SUM(Table3[[#This Row],[Strategic priority segment]:[Propensity to buy/ buyer readiness]])</f>
        <v>25</v>
      </c>
      <c r="M8" s="86" t="s">
        <v>59</v>
      </c>
      <c r="N8" s="84" t="s">
        <v>60</v>
      </c>
      <c r="O8" s="87" t="s">
        <v>62</v>
      </c>
      <c r="P8" s="87" t="s">
        <v>61</v>
      </c>
      <c r="Q8" s="87" t="s">
        <v>63</v>
      </c>
      <c r="R8" s="84"/>
      <c r="S8" s="87"/>
      <c r="T8" s="87"/>
      <c r="U8" s="84">
        <v>1</v>
      </c>
      <c r="V8" s="84">
        <v>1</v>
      </c>
      <c r="W8" s="84">
        <v>1</v>
      </c>
      <c r="X8" s="84">
        <v>1</v>
      </c>
      <c r="Y8" s="84">
        <v>1</v>
      </c>
      <c r="Z8" s="84">
        <v>1</v>
      </c>
      <c r="AA8" s="84">
        <v>1</v>
      </c>
      <c r="AB8" s="84">
        <v>1</v>
      </c>
      <c r="AC8" s="84">
        <v>1</v>
      </c>
      <c r="AD8" s="84">
        <v>1</v>
      </c>
      <c r="AE8" s="84">
        <v>1</v>
      </c>
      <c r="AF8" s="84">
        <v>1</v>
      </c>
      <c r="AG8" s="84">
        <v>1</v>
      </c>
      <c r="AH8" s="84">
        <v>0</v>
      </c>
      <c r="AI8" s="84">
        <v>0</v>
      </c>
      <c r="AJ8" s="84">
        <v>0</v>
      </c>
      <c r="AK8" s="84">
        <v>0</v>
      </c>
      <c r="AL8" s="84" cm="1">
        <f t="array" ref="AL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" s="84" cm="1">
        <f t="array" ref="AM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" s="84" cm="1">
        <f t="array" ref="AN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" s="84" cm="1">
        <f t="array" ref="AO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" s="84" cm="1">
        <f t="array" ref="AP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8" s="84" cm="1">
        <f t="array" ref="AQ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" s="84" cm="1">
        <f t="array" ref="AR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8" s="84" cm="1">
        <f t="array" ref="AS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" s="84" cm="1">
        <f t="array" ref="AT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8" s="84" cm="1">
        <f t="array" ref="AU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" s="84" cm="1">
        <f t="array" ref="AV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8" s="84" cm="1">
        <f t="array" ref="AW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" s="84" cm="1">
        <f t="array" ref="AX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8" s="84" cm="1">
        <f t="array" ref="AY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" s="84" cm="1">
        <f t="array" ref="AZ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" s="84" cm="1">
        <f t="array" ref="BA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" s="84" cm="1">
        <f t="array" ref="BB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" s="84">
        <f>IF(SUM(Table3[[#This Row],[Column2]:[Column18]])&gt;Table3[[#This Row],[Column19]],Table3[[#This Row],[Column19]],SUM(Table3[[#This Row],[Column2]:[Column18]]))</f>
        <v>250000</v>
      </c>
      <c r="BD8" s="2">
        <f>Table3[[#This Row],[Total Spend]]/SUM(Table3[[#This Row],[Column2]:[Column18]])</f>
        <v>0.51824212271973469</v>
      </c>
    </row>
    <row r="9" spans="1:56" ht="15" customHeight="1">
      <c r="A9" s="84" t="s">
        <v>70</v>
      </c>
      <c r="B9" s="84" t="s">
        <v>57</v>
      </c>
      <c r="C9" s="84"/>
      <c r="D9" s="85">
        <v>45566</v>
      </c>
      <c r="E9" s="85" t="s">
        <v>58</v>
      </c>
      <c r="F9" s="84">
        <f>INDEX(Definitions!$G$13:$G$17,MATCH(Table3[[#This Row],[Propensity to buy/ buyer readiness]],Definitions!$A$13:$A$17,0))</f>
        <v>250000</v>
      </c>
      <c r="G9" s="86">
        <v>5</v>
      </c>
      <c r="H9" s="86">
        <v>5</v>
      </c>
      <c r="I9" s="86">
        <v>5</v>
      </c>
      <c r="J9" s="86">
        <v>5</v>
      </c>
      <c r="K9" s="86">
        <v>5</v>
      </c>
      <c r="L9" s="86">
        <f>SUM(Table3[[#This Row],[Strategic priority segment]:[Propensity to buy/ buyer readiness]])</f>
        <v>25</v>
      </c>
      <c r="M9" s="86" t="s">
        <v>59</v>
      </c>
      <c r="N9" s="84" t="s">
        <v>60</v>
      </c>
      <c r="O9" s="87" t="s">
        <v>62</v>
      </c>
      <c r="P9" s="87" t="s">
        <v>61</v>
      </c>
      <c r="Q9" s="87" t="s">
        <v>63</v>
      </c>
      <c r="R9" s="84"/>
      <c r="S9" s="87"/>
      <c r="T9" s="87"/>
      <c r="U9" s="84">
        <v>1</v>
      </c>
      <c r="V9" s="84">
        <v>1</v>
      </c>
      <c r="W9" s="84">
        <v>1</v>
      </c>
      <c r="X9" s="84">
        <v>1</v>
      </c>
      <c r="Y9" s="84">
        <v>1</v>
      </c>
      <c r="Z9" s="84">
        <v>1</v>
      </c>
      <c r="AA9" s="84">
        <v>1</v>
      </c>
      <c r="AB9" s="84">
        <v>1</v>
      </c>
      <c r="AC9" s="84">
        <v>1</v>
      </c>
      <c r="AD9" s="84">
        <v>1</v>
      </c>
      <c r="AE9" s="84">
        <v>1</v>
      </c>
      <c r="AF9" s="84">
        <v>1</v>
      </c>
      <c r="AG9" s="84">
        <v>1</v>
      </c>
      <c r="AH9" s="84">
        <v>0</v>
      </c>
      <c r="AI9" s="84">
        <v>0</v>
      </c>
      <c r="AJ9" s="84">
        <v>0</v>
      </c>
      <c r="AK9" s="84">
        <v>0</v>
      </c>
      <c r="AL9" s="84" cm="1">
        <f t="array" ref="AL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" s="84" cm="1">
        <f t="array" ref="AM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9" s="84" cm="1">
        <f t="array" ref="AN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9" s="84" cm="1">
        <f t="array" ref="AO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9" s="84" cm="1">
        <f t="array" ref="AP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9" s="84" cm="1">
        <f t="array" ref="AQ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" s="84" cm="1">
        <f t="array" ref="AR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9" s="84" cm="1">
        <f t="array" ref="AS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" s="84" cm="1">
        <f t="array" ref="AT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9" s="84" cm="1">
        <f t="array" ref="AU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" s="84" cm="1">
        <f t="array" ref="AV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9" s="84" cm="1">
        <f t="array" ref="AW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" s="84" cm="1">
        <f t="array" ref="AX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9" s="84" cm="1">
        <f t="array" ref="AY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" s="84" cm="1">
        <f t="array" ref="AZ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" s="84" cm="1">
        <f t="array" ref="BA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" s="84" cm="1">
        <f t="array" ref="BB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" s="84">
        <f>IF(SUM(Table3[[#This Row],[Column2]:[Column18]])&gt;Table3[[#This Row],[Column19]],Table3[[#This Row],[Column19]],SUM(Table3[[#This Row],[Column2]:[Column18]]))</f>
        <v>250000</v>
      </c>
      <c r="BD9" s="2">
        <f>Table3[[#This Row],[Total Spend]]/SUM(Table3[[#This Row],[Column2]:[Column18]])</f>
        <v>0.51824212271973469</v>
      </c>
    </row>
    <row r="10" spans="1:56">
      <c r="A10" s="84" t="s">
        <v>71</v>
      </c>
      <c r="B10" s="84" t="s">
        <v>57</v>
      </c>
      <c r="C10" s="84"/>
      <c r="D10" s="85">
        <v>45566</v>
      </c>
      <c r="E10" s="85" t="s">
        <v>58</v>
      </c>
      <c r="F10" s="84">
        <f>INDEX(Definitions!$G$13:$G$17,MATCH(Table3[[#This Row],[Propensity to buy/ buyer readiness]],Definitions!$A$13:$A$17,0))</f>
        <v>250000</v>
      </c>
      <c r="G10" s="86">
        <v>5</v>
      </c>
      <c r="H10" s="86">
        <v>5</v>
      </c>
      <c r="I10" s="86">
        <v>5</v>
      </c>
      <c r="J10" s="86">
        <v>5</v>
      </c>
      <c r="K10" s="86">
        <v>5</v>
      </c>
      <c r="L10" s="86">
        <f>SUM(Table3[[#This Row],[Strategic priority segment]:[Propensity to buy/ buyer readiness]])</f>
        <v>25</v>
      </c>
      <c r="M10" s="86" t="s">
        <v>59</v>
      </c>
      <c r="N10" s="84" t="s">
        <v>60</v>
      </c>
      <c r="O10" s="84"/>
      <c r="P10" s="87"/>
      <c r="Q10" s="87"/>
      <c r="R10" s="84"/>
      <c r="S10" s="87"/>
      <c r="T10" s="87"/>
      <c r="U10" s="84">
        <v>1</v>
      </c>
      <c r="V10" s="84">
        <v>1</v>
      </c>
      <c r="W10" s="84">
        <v>1</v>
      </c>
      <c r="X10" s="84">
        <v>1</v>
      </c>
      <c r="Y10" s="84">
        <v>1</v>
      </c>
      <c r="Z10" s="84">
        <v>0</v>
      </c>
      <c r="AA10" s="84">
        <v>0</v>
      </c>
      <c r="AB10" s="84">
        <v>0</v>
      </c>
      <c r="AC10" s="84">
        <v>0</v>
      </c>
      <c r="AD10" s="84">
        <v>1</v>
      </c>
      <c r="AE10" s="84">
        <v>0</v>
      </c>
      <c r="AF10" s="84">
        <v>0</v>
      </c>
      <c r="AG10" s="84">
        <v>0</v>
      </c>
      <c r="AH10" s="84">
        <v>0</v>
      </c>
      <c r="AI10" s="84">
        <v>0</v>
      </c>
      <c r="AJ10" s="84">
        <v>0</v>
      </c>
      <c r="AK10" s="84">
        <v>0</v>
      </c>
      <c r="AL10" s="84" cm="1">
        <f t="array" ref="AL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" s="84" cm="1">
        <f t="array" ref="AM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0" s="84" cm="1">
        <f t="array" ref="AN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0" s="84" cm="1">
        <f t="array" ref="AO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0" s="84" cm="1">
        <f t="array" ref="AP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0" s="84" cm="1">
        <f t="array" ref="AQ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" s="84" cm="1">
        <f t="array" ref="AR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" s="84" cm="1">
        <f t="array" ref="AS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" s="84" cm="1">
        <f t="array" ref="AT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" s="84" cm="1">
        <f t="array" ref="AU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" s="84" cm="1">
        <f t="array" ref="AV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" s="84" cm="1">
        <f t="array" ref="AW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" s="84" cm="1">
        <f t="array" ref="AX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" s="84" cm="1">
        <f t="array" ref="AY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" s="84" cm="1">
        <f t="array" ref="AZ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" s="84" cm="1">
        <f t="array" ref="BA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" s="84" cm="1">
        <f t="array" ref="BB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" s="84">
        <f>IF(SUM(Table3[[#This Row],[Column2]:[Column18]])&gt;Table3[[#This Row],[Column19]],Table3[[#This Row],[Column19]],SUM(Table3[[#This Row],[Column2]:[Column18]]))</f>
        <v>250000</v>
      </c>
      <c r="BD10" s="2">
        <f>Table3[[#This Row],[Total Spend]]/SUM(Table3[[#This Row],[Column2]:[Column18]])</f>
        <v>0.95456281023291334</v>
      </c>
    </row>
    <row r="11" spans="1:56" ht="16.5" customHeight="1">
      <c r="A11" s="84" t="s">
        <v>72</v>
      </c>
      <c r="B11" s="84" t="s">
        <v>57</v>
      </c>
      <c r="C11" s="84"/>
      <c r="D11" s="85">
        <v>45566</v>
      </c>
      <c r="E11" s="85" t="s">
        <v>58</v>
      </c>
      <c r="F11" s="84">
        <f>INDEX(Definitions!$G$13:$G$17,MATCH(Table3[[#This Row],[Propensity to buy/ buyer readiness]],Definitions!$A$13:$A$17,0))</f>
        <v>250000</v>
      </c>
      <c r="G11" s="86">
        <v>5</v>
      </c>
      <c r="H11" s="86">
        <v>5</v>
      </c>
      <c r="I11" s="86">
        <v>5</v>
      </c>
      <c r="J11" s="86">
        <v>5</v>
      </c>
      <c r="K11" s="86">
        <v>5</v>
      </c>
      <c r="L11" s="86">
        <f>SUM(Table3[[#This Row],[Strategic priority segment]:[Propensity to buy/ buyer readiness]])</f>
        <v>25</v>
      </c>
      <c r="M11" s="86" t="s">
        <v>59</v>
      </c>
      <c r="N11" s="84" t="s">
        <v>60</v>
      </c>
      <c r="O11" s="84" t="s">
        <v>63</v>
      </c>
      <c r="P11" s="87" t="s">
        <v>62</v>
      </c>
      <c r="Q11" s="87" t="s">
        <v>61</v>
      </c>
      <c r="R11" s="84"/>
      <c r="S11" s="87"/>
      <c r="T11" s="87"/>
      <c r="U11" s="84">
        <v>1</v>
      </c>
      <c r="V11" s="84">
        <v>1</v>
      </c>
      <c r="W11" s="84">
        <v>1</v>
      </c>
      <c r="X11" s="84">
        <v>1</v>
      </c>
      <c r="Y11" s="84">
        <v>1</v>
      </c>
      <c r="Z11" s="84">
        <v>1</v>
      </c>
      <c r="AA11" s="84">
        <v>1</v>
      </c>
      <c r="AB11" s="84">
        <v>1</v>
      </c>
      <c r="AC11" s="84">
        <v>1</v>
      </c>
      <c r="AD11" s="84">
        <v>1</v>
      </c>
      <c r="AE11" s="84">
        <v>1</v>
      </c>
      <c r="AF11" s="84">
        <v>1</v>
      </c>
      <c r="AG11" s="84">
        <v>1</v>
      </c>
      <c r="AH11" s="84">
        <v>0</v>
      </c>
      <c r="AI11" s="84">
        <v>0</v>
      </c>
      <c r="AJ11" s="84">
        <v>0</v>
      </c>
      <c r="AK11" s="84">
        <v>0</v>
      </c>
      <c r="AL11" s="84" cm="1">
        <f t="array" ref="AL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" s="84" cm="1">
        <f t="array" ref="AM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1" s="84" cm="1">
        <f t="array" ref="AN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1" s="84" cm="1">
        <f t="array" ref="AO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1" s="84" cm="1">
        <f t="array" ref="AP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1" s="84" cm="1">
        <f t="array" ref="AQ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" s="84" cm="1">
        <f t="array" ref="AR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1" s="84" cm="1">
        <f t="array" ref="AS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" s="84" cm="1">
        <f t="array" ref="AT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1" s="84" cm="1">
        <f t="array" ref="AU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" s="84" cm="1">
        <f t="array" ref="AV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1" s="84" cm="1">
        <f t="array" ref="AW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" s="84" cm="1">
        <f t="array" ref="AX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1" s="84" cm="1">
        <f t="array" ref="AY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" s="84" cm="1">
        <f t="array" ref="AZ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" s="84" cm="1">
        <f t="array" ref="BA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" s="84" cm="1">
        <f t="array" ref="BB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" s="84">
        <f>IF(SUM(Table3[[#This Row],[Column2]:[Column18]])&gt;Table3[[#This Row],[Column19]],Table3[[#This Row],[Column19]],SUM(Table3[[#This Row],[Column2]:[Column18]]))</f>
        <v>250000</v>
      </c>
      <c r="BD11" s="2">
        <f>Table3[[#This Row],[Total Spend]]/SUM(Table3[[#This Row],[Column2]:[Column18]])</f>
        <v>0.51824212271973469</v>
      </c>
    </row>
    <row r="12" spans="1:56" ht="14.25" customHeight="1">
      <c r="A12" s="84" t="s">
        <v>73</v>
      </c>
      <c r="B12" s="84" t="s">
        <v>57</v>
      </c>
      <c r="C12" s="84"/>
      <c r="D12" s="85">
        <v>45566</v>
      </c>
      <c r="E12" s="85" t="s">
        <v>58</v>
      </c>
      <c r="F12" s="84">
        <f>INDEX(Definitions!$G$13:$G$17,MATCH(Table3[[#This Row],[Propensity to buy/ buyer readiness]],Definitions!$A$13:$A$17,0))</f>
        <v>250000</v>
      </c>
      <c r="G12" s="86">
        <v>5</v>
      </c>
      <c r="H12" s="86">
        <v>5</v>
      </c>
      <c r="I12" s="86">
        <v>5</v>
      </c>
      <c r="J12" s="86">
        <v>5</v>
      </c>
      <c r="K12" s="86">
        <v>5</v>
      </c>
      <c r="L12" s="86">
        <f>SUM(Table3[[#This Row],[Strategic priority segment]:[Propensity to buy/ buyer readiness]])</f>
        <v>25</v>
      </c>
      <c r="M12" s="86" t="s">
        <v>59</v>
      </c>
      <c r="N12" s="84" t="s">
        <v>60</v>
      </c>
      <c r="O12" s="84" t="s">
        <v>61</v>
      </c>
      <c r="P12" s="87" t="s">
        <v>62</v>
      </c>
      <c r="Q12" s="87" t="s">
        <v>63</v>
      </c>
      <c r="R12" s="84"/>
      <c r="S12" s="87"/>
      <c r="T12" s="87"/>
      <c r="U12" s="84">
        <v>1</v>
      </c>
      <c r="V12" s="84">
        <v>1</v>
      </c>
      <c r="W12" s="84">
        <v>1</v>
      </c>
      <c r="X12" s="84">
        <v>1</v>
      </c>
      <c r="Y12" s="84">
        <v>1</v>
      </c>
      <c r="Z12" s="84">
        <v>1</v>
      </c>
      <c r="AA12" s="84">
        <v>1</v>
      </c>
      <c r="AB12" s="84">
        <v>1</v>
      </c>
      <c r="AC12" s="84">
        <v>1</v>
      </c>
      <c r="AD12" s="84">
        <v>1</v>
      </c>
      <c r="AE12" s="84">
        <v>1</v>
      </c>
      <c r="AF12" s="84">
        <v>1</v>
      </c>
      <c r="AG12" s="84">
        <v>1</v>
      </c>
      <c r="AH12" s="84">
        <v>0</v>
      </c>
      <c r="AI12" s="84">
        <v>0</v>
      </c>
      <c r="AJ12" s="84">
        <v>0</v>
      </c>
      <c r="AK12" s="84">
        <v>0</v>
      </c>
      <c r="AL12" s="84" cm="1">
        <f t="array" ref="AL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" s="84" cm="1">
        <f t="array" ref="AM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2" s="84" cm="1">
        <f t="array" ref="AN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2" s="84" cm="1">
        <f t="array" ref="AO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2" s="84" cm="1">
        <f t="array" ref="AP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2" s="84" cm="1">
        <f t="array" ref="AQ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" s="84" cm="1">
        <f t="array" ref="AR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2" s="84" cm="1">
        <f t="array" ref="AS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" s="84" cm="1">
        <f t="array" ref="AT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2" s="84" cm="1">
        <f t="array" ref="AU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" s="84" cm="1">
        <f t="array" ref="AV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2" s="84" cm="1">
        <f t="array" ref="AW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" s="84" cm="1">
        <f t="array" ref="AX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2" s="84" cm="1">
        <f t="array" ref="AY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" s="84" cm="1">
        <f t="array" ref="AZ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" s="84" cm="1">
        <f t="array" ref="BA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" s="84" cm="1">
        <f t="array" ref="BB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" s="84">
        <f>IF(SUM(Table3[[#This Row],[Column2]:[Column18]])&gt;Table3[[#This Row],[Column19]],Table3[[#This Row],[Column19]],SUM(Table3[[#This Row],[Column2]:[Column18]]))</f>
        <v>250000</v>
      </c>
      <c r="BD12" s="2">
        <f>Table3[[#This Row],[Total Spend]]/SUM(Table3[[#This Row],[Column2]:[Column18]])</f>
        <v>0.51824212271973469</v>
      </c>
    </row>
    <row r="13" spans="1:56">
      <c r="A13" s="84" t="s">
        <v>74</v>
      </c>
      <c r="B13" s="84" t="s">
        <v>57</v>
      </c>
      <c r="C13" s="84"/>
      <c r="D13" s="85">
        <v>45566</v>
      </c>
      <c r="E13" s="85" t="s">
        <v>58</v>
      </c>
      <c r="F13" s="84">
        <f>INDEX(Definitions!$G$13:$G$17,MATCH(Table3[[#This Row],[Propensity to buy/ buyer readiness]],Definitions!$A$13:$A$17,0))</f>
        <v>250000</v>
      </c>
      <c r="G13" s="86">
        <v>5</v>
      </c>
      <c r="H13" s="86">
        <v>5</v>
      </c>
      <c r="I13" s="86">
        <v>5</v>
      </c>
      <c r="J13" s="86">
        <v>5</v>
      </c>
      <c r="K13" s="86">
        <v>5</v>
      </c>
      <c r="L13" s="86">
        <f>SUM(Table3[[#This Row],[Strategic priority segment]:[Propensity to buy/ buyer readiness]])</f>
        <v>25</v>
      </c>
      <c r="M13" s="86" t="s">
        <v>59</v>
      </c>
      <c r="N13" s="84" t="s">
        <v>60</v>
      </c>
      <c r="O13" s="84"/>
      <c r="P13" s="87"/>
      <c r="Q13" s="87"/>
      <c r="R13" s="84"/>
      <c r="S13" s="84"/>
      <c r="T13" s="87"/>
      <c r="U13" s="84">
        <v>1</v>
      </c>
      <c r="V13" s="84">
        <v>1</v>
      </c>
      <c r="W13" s="84">
        <v>1</v>
      </c>
      <c r="X13" s="84">
        <v>1</v>
      </c>
      <c r="Y13" s="84">
        <v>1</v>
      </c>
      <c r="Z13" s="84">
        <v>0</v>
      </c>
      <c r="AA13" s="84">
        <v>0</v>
      </c>
      <c r="AB13" s="84">
        <v>0</v>
      </c>
      <c r="AC13" s="84">
        <v>0</v>
      </c>
      <c r="AD13" s="84">
        <v>1</v>
      </c>
      <c r="AE13" s="84">
        <v>0</v>
      </c>
      <c r="AF13" s="84">
        <v>0</v>
      </c>
      <c r="AG13" s="84">
        <v>0</v>
      </c>
      <c r="AH13" s="84">
        <v>0</v>
      </c>
      <c r="AI13" s="84">
        <v>0</v>
      </c>
      <c r="AJ13" s="84">
        <v>0</v>
      </c>
      <c r="AK13" s="84">
        <v>0</v>
      </c>
      <c r="AL13" s="84" cm="1">
        <f t="array" ref="AL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" s="84" cm="1">
        <f t="array" ref="AM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3" s="84" cm="1">
        <f t="array" ref="AN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3" s="84" cm="1">
        <f t="array" ref="AO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3" s="84" cm="1">
        <f t="array" ref="AP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3" s="84" cm="1">
        <f t="array" ref="AQ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" s="84" cm="1">
        <f t="array" ref="AR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" s="84" cm="1">
        <f t="array" ref="AS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" s="84" cm="1">
        <f t="array" ref="AT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" s="84" cm="1">
        <f t="array" ref="AU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3" s="84" cm="1">
        <f t="array" ref="AV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" s="84" cm="1">
        <f t="array" ref="AW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" s="84" cm="1">
        <f t="array" ref="AX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" s="84" cm="1">
        <f t="array" ref="AY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" s="84" cm="1">
        <f t="array" ref="AZ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" s="84" cm="1">
        <f t="array" ref="BA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" s="84" cm="1">
        <f t="array" ref="BB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" s="84">
        <f>IF(SUM(Table3[[#This Row],[Column2]:[Column18]])&gt;Table3[[#This Row],[Column19]],Table3[[#This Row],[Column19]],SUM(Table3[[#This Row],[Column2]:[Column18]]))</f>
        <v>250000</v>
      </c>
      <c r="BD13" s="2">
        <f>Table3[[#This Row],[Total Spend]]/SUM(Table3[[#This Row],[Column2]:[Column18]])</f>
        <v>0.95456281023291334</v>
      </c>
    </row>
    <row r="14" spans="1:56">
      <c r="A14" s="84" t="s">
        <v>75</v>
      </c>
      <c r="B14" s="84" t="s">
        <v>57</v>
      </c>
      <c r="C14" s="84" t="s">
        <v>57</v>
      </c>
      <c r="D14" s="85">
        <v>45566</v>
      </c>
      <c r="E14" s="85" t="s">
        <v>58</v>
      </c>
      <c r="F14" s="84">
        <f>INDEX(Definitions!$G$13:$G$17,MATCH(Table3[[#This Row],[Propensity to buy/ buyer readiness]],Definitions!$A$13:$A$17,0))</f>
        <v>250000</v>
      </c>
      <c r="G14" s="86">
        <v>5</v>
      </c>
      <c r="H14" s="86">
        <v>5</v>
      </c>
      <c r="I14" s="86">
        <v>5</v>
      </c>
      <c r="J14" s="86">
        <v>5</v>
      </c>
      <c r="K14" s="86">
        <v>5</v>
      </c>
      <c r="L14" s="86">
        <f>SUM(Table3[[#This Row],[Strategic priority segment]:[Propensity to buy/ buyer readiness]])</f>
        <v>25</v>
      </c>
      <c r="M14" s="86" t="s">
        <v>59</v>
      </c>
      <c r="N14" s="84" t="s">
        <v>60</v>
      </c>
      <c r="O14" s="84" t="s">
        <v>61</v>
      </c>
      <c r="P14" s="87" t="s">
        <v>76</v>
      </c>
      <c r="Q14" s="87" t="s">
        <v>63</v>
      </c>
      <c r="R14" s="84"/>
      <c r="S14" s="84"/>
      <c r="T14" s="87"/>
      <c r="U14" s="84">
        <v>1</v>
      </c>
      <c r="V14" s="84">
        <v>1</v>
      </c>
      <c r="W14" s="84">
        <v>1</v>
      </c>
      <c r="X14" s="84">
        <v>1</v>
      </c>
      <c r="Y14" s="84">
        <v>1</v>
      </c>
      <c r="Z14" s="84">
        <v>1</v>
      </c>
      <c r="AA14" s="84">
        <v>1</v>
      </c>
      <c r="AB14" s="84">
        <v>1</v>
      </c>
      <c r="AC14" s="84">
        <v>1</v>
      </c>
      <c r="AD14" s="84">
        <v>1</v>
      </c>
      <c r="AE14" s="84">
        <v>1</v>
      </c>
      <c r="AF14" s="84">
        <v>1</v>
      </c>
      <c r="AG14" s="84">
        <v>0</v>
      </c>
      <c r="AH14" s="84">
        <v>1</v>
      </c>
      <c r="AI14" s="84">
        <v>0</v>
      </c>
      <c r="AJ14" s="84">
        <v>1</v>
      </c>
      <c r="AK14" s="84">
        <v>0</v>
      </c>
      <c r="AL14" s="84" cm="1">
        <f t="array" ref="AL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4" s="84" cm="1">
        <f t="array" ref="AM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4" s="84" cm="1">
        <f t="array" ref="AN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4" s="84" cm="1">
        <f t="array" ref="AO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4" s="84" cm="1">
        <f t="array" ref="AP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4" s="84" cm="1">
        <f t="array" ref="AQ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4" s="84" cm="1">
        <f t="array" ref="AR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4" s="84" cm="1">
        <f t="array" ref="AS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4" s="84" cm="1">
        <f t="array" ref="AT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4" s="84" cm="1">
        <f t="array" ref="AU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4" s="84" cm="1">
        <f t="array" ref="AV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4" s="84" cm="1">
        <f t="array" ref="AW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4" s="84" cm="1">
        <f t="array" ref="AX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" s="84" cm="1">
        <f t="array" ref="AY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4" s="84" cm="1">
        <f t="array" ref="AZ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" s="84" cm="1">
        <f t="array" ref="BA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4" s="84" cm="1">
        <f t="array" ref="BB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" s="84">
        <f>IF(SUM(Table3[[#This Row],[Column2]:[Column18]])&gt;Table3[[#This Row],[Column19]],Table3[[#This Row],[Column19]],SUM(Table3[[#This Row],[Column2]:[Column18]]))</f>
        <v>250000</v>
      </c>
      <c r="BD14" s="2">
        <f>Table3[[#This Row],[Total Spend]]/SUM(Table3[[#This Row],[Column2]:[Column18]])</f>
        <v>0.51156128504194798</v>
      </c>
    </row>
    <row r="15" spans="1:56">
      <c r="A15" s="84" t="s">
        <v>77</v>
      </c>
      <c r="B15" s="84" t="s">
        <v>57</v>
      </c>
      <c r="C15" s="84"/>
      <c r="D15" s="85">
        <v>45566</v>
      </c>
      <c r="E15" s="85" t="s">
        <v>58</v>
      </c>
      <c r="F15" s="84">
        <f>INDEX(Definitions!$G$13:$G$17,MATCH(Table3[[#This Row],[Propensity to buy/ buyer readiness]],Definitions!$A$13:$A$17,0))</f>
        <v>250000</v>
      </c>
      <c r="G15" s="86">
        <v>5</v>
      </c>
      <c r="H15" s="86">
        <v>5</v>
      </c>
      <c r="I15" s="86">
        <v>5</v>
      </c>
      <c r="J15" s="86">
        <v>5</v>
      </c>
      <c r="K15" s="86">
        <v>5</v>
      </c>
      <c r="L15" s="86">
        <f>SUM(Table3[[#This Row],[Strategic priority segment]:[Propensity to buy/ buyer readiness]])</f>
        <v>25</v>
      </c>
      <c r="M15" s="86" t="s">
        <v>59</v>
      </c>
      <c r="N15" s="84" t="s">
        <v>60</v>
      </c>
      <c r="O15" s="84"/>
      <c r="P15" s="87"/>
      <c r="Q15" s="87"/>
      <c r="R15" s="84"/>
      <c r="S15" s="84"/>
      <c r="T15" s="87"/>
      <c r="U15" s="84">
        <v>1</v>
      </c>
      <c r="V15" s="84">
        <v>1</v>
      </c>
      <c r="W15" s="84">
        <v>1</v>
      </c>
      <c r="X15" s="84">
        <v>1</v>
      </c>
      <c r="Y15" s="84">
        <v>1</v>
      </c>
      <c r="Z15" s="84">
        <v>0</v>
      </c>
      <c r="AA15" s="84">
        <v>0</v>
      </c>
      <c r="AB15" s="84">
        <v>0</v>
      </c>
      <c r="AC15" s="84">
        <v>0</v>
      </c>
      <c r="AD15" s="84">
        <v>1</v>
      </c>
      <c r="AE15" s="84">
        <v>0</v>
      </c>
      <c r="AF15" s="84">
        <v>0</v>
      </c>
      <c r="AG15" s="84">
        <v>0</v>
      </c>
      <c r="AH15" s="84">
        <v>0</v>
      </c>
      <c r="AI15" s="84">
        <v>0</v>
      </c>
      <c r="AJ15" s="84">
        <v>0</v>
      </c>
      <c r="AK15" s="84">
        <v>0</v>
      </c>
      <c r="AL15" s="84" cm="1">
        <f t="array" ref="AL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5" s="84" cm="1">
        <f t="array" ref="AM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5" s="84" cm="1">
        <f t="array" ref="AN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5" s="84" cm="1">
        <f t="array" ref="AO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5" s="84" cm="1">
        <f t="array" ref="AP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5" s="84" cm="1">
        <f t="array" ref="AQ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" s="84" cm="1">
        <f t="array" ref="AR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" s="84" cm="1">
        <f t="array" ref="AS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" s="84" cm="1">
        <f t="array" ref="AT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" s="84" cm="1">
        <f t="array" ref="AU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5" s="84" cm="1">
        <f t="array" ref="AV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" s="84" cm="1">
        <f t="array" ref="AW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" s="84" cm="1">
        <f t="array" ref="AX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" s="84" cm="1">
        <f t="array" ref="AY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" s="84" cm="1">
        <f t="array" ref="AZ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" s="84" cm="1">
        <f t="array" ref="BA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" s="84" cm="1">
        <f t="array" ref="BB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" s="84">
        <f>IF(SUM(Table3[[#This Row],[Column2]:[Column18]])&gt;Table3[[#This Row],[Column19]],Table3[[#This Row],[Column19]],SUM(Table3[[#This Row],[Column2]:[Column18]]))</f>
        <v>250000</v>
      </c>
      <c r="BD15" s="2">
        <f>Table3[[#This Row],[Total Spend]]/SUM(Table3[[#This Row],[Column2]:[Column18]])</f>
        <v>0.95456281023291334</v>
      </c>
    </row>
    <row r="16" spans="1:56" ht="16.5" customHeight="1">
      <c r="A16" s="84" t="s">
        <v>78</v>
      </c>
      <c r="B16" s="84" t="s">
        <v>57</v>
      </c>
      <c r="C16" s="84" t="s">
        <v>57</v>
      </c>
      <c r="D16" s="85">
        <v>45566</v>
      </c>
      <c r="E16" s="85" t="s">
        <v>58</v>
      </c>
      <c r="F16" s="84">
        <f>INDEX(Definitions!$G$13:$G$17,MATCH(Table3[[#This Row],[Propensity to buy/ buyer readiness]],Definitions!$A$13:$A$17,0))</f>
        <v>250000</v>
      </c>
      <c r="G16" s="86">
        <v>5</v>
      </c>
      <c r="H16" s="86">
        <v>5</v>
      </c>
      <c r="I16" s="86">
        <v>5</v>
      </c>
      <c r="J16" s="86">
        <v>5</v>
      </c>
      <c r="K16" s="86">
        <v>5</v>
      </c>
      <c r="L16" s="86">
        <f>SUM(Table3[[#This Row],[Strategic priority segment]:[Propensity to buy/ buyer readiness]])</f>
        <v>25</v>
      </c>
      <c r="M16" s="86" t="s">
        <v>59</v>
      </c>
      <c r="N16" s="84" t="s">
        <v>60</v>
      </c>
      <c r="O16" s="84" t="s">
        <v>76</v>
      </c>
      <c r="P16" s="87" t="s">
        <v>63</v>
      </c>
      <c r="Q16" s="87" t="s">
        <v>61</v>
      </c>
      <c r="R16" s="84"/>
      <c r="S16" s="84"/>
      <c r="T16" s="84"/>
      <c r="U16" s="84">
        <v>1</v>
      </c>
      <c r="V16" s="84">
        <v>1</v>
      </c>
      <c r="W16" s="84">
        <v>1</v>
      </c>
      <c r="X16" s="84">
        <v>1</v>
      </c>
      <c r="Y16" s="84">
        <v>1</v>
      </c>
      <c r="Z16" s="84">
        <v>1</v>
      </c>
      <c r="AA16" s="84">
        <v>1</v>
      </c>
      <c r="AB16" s="84">
        <v>1</v>
      </c>
      <c r="AC16" s="84">
        <v>1</v>
      </c>
      <c r="AD16" s="84">
        <v>1</v>
      </c>
      <c r="AE16" s="84">
        <v>1</v>
      </c>
      <c r="AF16" s="84">
        <v>1</v>
      </c>
      <c r="AG16" s="84">
        <v>0</v>
      </c>
      <c r="AH16" s="84">
        <v>1</v>
      </c>
      <c r="AI16" s="84">
        <v>0</v>
      </c>
      <c r="AJ16" s="84">
        <v>1</v>
      </c>
      <c r="AK16" s="84">
        <v>0</v>
      </c>
      <c r="AL16" s="84" cm="1">
        <f t="array" ref="AL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6" s="84" cm="1">
        <f t="array" ref="AM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6" s="84" cm="1">
        <f t="array" ref="AN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6" s="84" cm="1">
        <f t="array" ref="AO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6" s="84" cm="1">
        <f t="array" ref="AP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6" s="84" cm="1">
        <f t="array" ref="AQ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6" s="84" cm="1">
        <f t="array" ref="AR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6" s="84" cm="1">
        <f t="array" ref="AS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6" s="84" cm="1">
        <f t="array" ref="AT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6" s="84" cm="1">
        <f t="array" ref="AU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6" s="84" cm="1">
        <f t="array" ref="AV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6" s="84" cm="1">
        <f t="array" ref="AW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6" s="84" cm="1">
        <f t="array" ref="AX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" s="84" cm="1">
        <f t="array" ref="AY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6" s="84" cm="1">
        <f t="array" ref="AZ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" s="84" cm="1">
        <f t="array" ref="BA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6" s="84" cm="1">
        <f t="array" ref="BB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" s="84">
        <f>IF(SUM(Table3[[#This Row],[Column2]:[Column18]])&gt;Table3[[#This Row],[Column19]],Table3[[#This Row],[Column19]],SUM(Table3[[#This Row],[Column2]:[Column18]]))</f>
        <v>250000</v>
      </c>
      <c r="BD16" s="2">
        <f>Table3[[#This Row],[Total Spend]]/SUM(Table3[[#This Row],[Column2]:[Column18]])</f>
        <v>0.51156128504194798</v>
      </c>
    </row>
    <row r="17" spans="1:56">
      <c r="A17" s="84" t="s">
        <v>79</v>
      </c>
      <c r="B17" s="84" t="s">
        <v>57</v>
      </c>
      <c r="C17" s="84"/>
      <c r="D17" s="85">
        <v>45566</v>
      </c>
      <c r="E17" s="85" t="s">
        <v>58</v>
      </c>
      <c r="F17" s="84">
        <f>INDEX(Definitions!$G$13:$G$17,MATCH(Table3[[#This Row],[Propensity to buy/ buyer readiness]],Definitions!$A$13:$A$17,0))</f>
        <v>250000</v>
      </c>
      <c r="G17" s="86">
        <v>5</v>
      </c>
      <c r="H17" s="86">
        <v>5</v>
      </c>
      <c r="I17" s="86">
        <v>5</v>
      </c>
      <c r="J17" s="86">
        <v>5</v>
      </c>
      <c r="K17" s="86">
        <v>5</v>
      </c>
      <c r="L17" s="86">
        <f>SUM(Table3[[#This Row],[Strategic priority segment]:[Propensity to buy/ buyer readiness]])</f>
        <v>25</v>
      </c>
      <c r="M17" s="86" t="s">
        <v>59</v>
      </c>
      <c r="N17" s="84" t="s">
        <v>60</v>
      </c>
      <c r="O17" s="84" t="s">
        <v>63</v>
      </c>
      <c r="P17" s="87"/>
      <c r="Q17" s="87"/>
      <c r="R17" s="84"/>
      <c r="S17" s="84"/>
      <c r="T17" s="84"/>
      <c r="U17" s="84">
        <v>1</v>
      </c>
      <c r="V17" s="84">
        <v>1</v>
      </c>
      <c r="W17" s="84">
        <v>1</v>
      </c>
      <c r="X17" s="84">
        <v>1</v>
      </c>
      <c r="Y17" s="84">
        <v>1</v>
      </c>
      <c r="Z17" s="84">
        <v>0</v>
      </c>
      <c r="AA17" s="84">
        <v>1</v>
      </c>
      <c r="AB17" s="84">
        <v>0</v>
      </c>
      <c r="AC17" s="84">
        <v>0</v>
      </c>
      <c r="AD17" s="84">
        <v>1</v>
      </c>
      <c r="AE17" s="84">
        <v>1</v>
      </c>
      <c r="AF17" s="84">
        <v>1</v>
      </c>
      <c r="AG17" s="84">
        <v>0</v>
      </c>
      <c r="AH17" s="84">
        <v>0</v>
      </c>
      <c r="AI17" s="84">
        <v>0</v>
      </c>
      <c r="AJ17" s="84">
        <v>0</v>
      </c>
      <c r="AK17" s="84">
        <v>0</v>
      </c>
      <c r="AL17" s="84" cm="1">
        <f t="array" ref="AL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7" s="84" cm="1">
        <f t="array" ref="AM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7" s="84" cm="1">
        <f t="array" ref="AN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7" s="84" cm="1">
        <f t="array" ref="AO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7" s="84" cm="1">
        <f t="array" ref="AP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7" s="84" cm="1">
        <f t="array" ref="AQ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7" s="84" cm="1">
        <f t="array" ref="AR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7" s="84" cm="1">
        <f t="array" ref="AS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7" s="84" cm="1">
        <f t="array" ref="AT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7" s="84" cm="1">
        <f t="array" ref="AU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7" s="84" cm="1">
        <f t="array" ref="AV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7" s="84" cm="1">
        <f t="array" ref="AW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7" s="84" cm="1">
        <f t="array" ref="AX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" s="84" cm="1">
        <f t="array" ref="AY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" s="84" cm="1">
        <f t="array" ref="AZ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" s="84" cm="1">
        <f t="array" ref="BA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" s="84" cm="1">
        <f t="array" ref="BB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" s="84">
        <f>IF(SUM(Table3[[#This Row],[Column2]:[Column18]])&gt;Table3[[#This Row],[Column19]],Table3[[#This Row],[Column19]],SUM(Table3[[#This Row],[Column2]:[Column18]]))</f>
        <v>250000</v>
      </c>
      <c r="BD17" s="2">
        <f>Table3[[#This Row],[Total Spend]]/SUM(Table3[[#This Row],[Column2]:[Column18]])</f>
        <v>0.7407407407407407</v>
      </c>
    </row>
    <row r="18" spans="1:56">
      <c r="A18" s="84" t="s">
        <v>80</v>
      </c>
      <c r="B18" s="84" t="s">
        <v>57</v>
      </c>
      <c r="C18" s="84"/>
      <c r="D18" s="85">
        <v>45566</v>
      </c>
      <c r="E18" s="85" t="s">
        <v>58</v>
      </c>
      <c r="F18" s="84">
        <f>INDEX(Definitions!$G$13:$G$17,MATCH(Table3[[#This Row],[Propensity to buy/ buyer readiness]],Definitions!$A$13:$A$17,0))</f>
        <v>250000</v>
      </c>
      <c r="G18" s="86">
        <v>5</v>
      </c>
      <c r="H18" s="86">
        <v>5</v>
      </c>
      <c r="I18" s="86">
        <v>5</v>
      </c>
      <c r="J18" s="86">
        <v>5</v>
      </c>
      <c r="K18" s="86">
        <v>5</v>
      </c>
      <c r="L18" s="86">
        <f>SUM(Table3[[#This Row],[Strategic priority segment]:[Propensity to buy/ buyer readiness]])</f>
        <v>25</v>
      </c>
      <c r="M18" s="86" t="s">
        <v>59</v>
      </c>
      <c r="N18" s="84" t="s">
        <v>60</v>
      </c>
      <c r="O18" s="84"/>
      <c r="P18" s="87"/>
      <c r="Q18" s="87"/>
      <c r="R18" s="84"/>
      <c r="S18" s="84"/>
      <c r="T18" s="84"/>
      <c r="U18" s="84">
        <v>1</v>
      </c>
      <c r="V18" s="84">
        <v>1</v>
      </c>
      <c r="W18" s="84">
        <v>1</v>
      </c>
      <c r="X18" s="84">
        <v>1</v>
      </c>
      <c r="Y18" s="84">
        <v>1</v>
      </c>
      <c r="Z18" s="84">
        <v>0</v>
      </c>
      <c r="AA18" s="84">
        <v>0</v>
      </c>
      <c r="AB18" s="84">
        <v>0</v>
      </c>
      <c r="AC18" s="84">
        <v>0</v>
      </c>
      <c r="AD18" s="84">
        <v>1</v>
      </c>
      <c r="AE18" s="84">
        <v>0</v>
      </c>
      <c r="AF18" s="84">
        <v>0</v>
      </c>
      <c r="AG18" s="84">
        <v>0</v>
      </c>
      <c r="AH18" s="84">
        <v>0</v>
      </c>
      <c r="AI18" s="84">
        <v>0</v>
      </c>
      <c r="AJ18" s="84">
        <v>0</v>
      </c>
      <c r="AK18" s="84">
        <v>0</v>
      </c>
      <c r="AL18" s="84" cm="1">
        <f t="array" ref="AL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8" s="84" cm="1">
        <f t="array" ref="AM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8" s="84" cm="1">
        <f t="array" ref="AN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8" s="84" cm="1">
        <f t="array" ref="AO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8" s="84" cm="1">
        <f t="array" ref="AP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8" s="84" cm="1">
        <f t="array" ref="AQ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8" s="84" cm="1">
        <f t="array" ref="AR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8" s="84" cm="1">
        <f t="array" ref="AS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8" s="84" cm="1">
        <f t="array" ref="AT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8" s="84" cm="1">
        <f t="array" ref="AU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8" s="84" cm="1">
        <f t="array" ref="AV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" s="84" cm="1">
        <f t="array" ref="AW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8" s="84" cm="1">
        <f t="array" ref="AX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" s="84" cm="1">
        <f t="array" ref="AY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" s="84" cm="1">
        <f t="array" ref="AZ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" s="84" cm="1">
        <f t="array" ref="BA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" s="84" cm="1">
        <f t="array" ref="BB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" s="84">
        <f>IF(SUM(Table3[[#This Row],[Column2]:[Column18]])&gt;Table3[[#This Row],[Column19]],Table3[[#This Row],[Column19]],SUM(Table3[[#This Row],[Column2]:[Column18]]))</f>
        <v>250000</v>
      </c>
      <c r="BD18" s="2">
        <f>Table3[[#This Row],[Total Spend]]/SUM(Table3[[#This Row],[Column2]:[Column18]])</f>
        <v>0.95456281023291334</v>
      </c>
    </row>
    <row r="19" spans="1:56">
      <c r="A19" s="84" t="s">
        <v>81</v>
      </c>
      <c r="B19" s="84" t="s">
        <v>57</v>
      </c>
      <c r="C19" s="84"/>
      <c r="D19" s="85">
        <v>45566</v>
      </c>
      <c r="E19" s="85" t="s">
        <v>58</v>
      </c>
      <c r="F19" s="84">
        <f>INDEX(Definitions!$G$13:$G$17,MATCH(Table3[[#This Row],[Propensity to buy/ buyer readiness]],Definitions!$A$13:$A$17,0))</f>
        <v>250000</v>
      </c>
      <c r="G19" s="86">
        <v>5</v>
      </c>
      <c r="H19" s="86">
        <v>5</v>
      </c>
      <c r="I19" s="86">
        <v>5</v>
      </c>
      <c r="J19" s="86">
        <v>5</v>
      </c>
      <c r="K19" s="86">
        <v>5</v>
      </c>
      <c r="L19" s="86">
        <f>SUM(Table3[[#This Row],[Strategic priority segment]:[Propensity to buy/ buyer readiness]])</f>
        <v>25</v>
      </c>
      <c r="M19" s="86" t="s">
        <v>59</v>
      </c>
      <c r="N19" s="84" t="s">
        <v>60</v>
      </c>
      <c r="O19" s="84" t="s">
        <v>63</v>
      </c>
      <c r="P19" s="87"/>
      <c r="Q19" s="87"/>
      <c r="R19" s="84"/>
      <c r="S19" s="84"/>
      <c r="T19" s="87"/>
      <c r="U19" s="84">
        <v>1</v>
      </c>
      <c r="V19" s="84">
        <v>1</v>
      </c>
      <c r="W19" s="84">
        <v>1</v>
      </c>
      <c r="X19" s="84">
        <v>1</v>
      </c>
      <c r="Y19" s="84">
        <v>1</v>
      </c>
      <c r="Z19" s="84">
        <v>0</v>
      </c>
      <c r="AA19" s="84">
        <v>1</v>
      </c>
      <c r="AB19" s="84">
        <v>0</v>
      </c>
      <c r="AC19" s="84">
        <v>0</v>
      </c>
      <c r="AD19" s="84">
        <v>1</v>
      </c>
      <c r="AE19" s="84">
        <v>1</v>
      </c>
      <c r="AF19" s="84">
        <v>1</v>
      </c>
      <c r="AG19" s="84">
        <v>0</v>
      </c>
      <c r="AH19" s="84">
        <v>0</v>
      </c>
      <c r="AI19" s="84">
        <v>0</v>
      </c>
      <c r="AJ19" s="84">
        <v>0</v>
      </c>
      <c r="AK19" s="84">
        <v>0</v>
      </c>
      <c r="AL19" s="84" cm="1">
        <f t="array" ref="AL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9" s="84" cm="1">
        <f t="array" ref="AM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9" s="84" cm="1">
        <f t="array" ref="AN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9" s="84" cm="1">
        <f t="array" ref="AO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9" s="84" cm="1">
        <f t="array" ref="AP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9" s="84" cm="1">
        <f t="array" ref="AQ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9" s="84" cm="1">
        <f t="array" ref="AR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9" s="84" cm="1">
        <f t="array" ref="AS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9" s="84" cm="1">
        <f t="array" ref="AT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9" s="84" cm="1">
        <f t="array" ref="AU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9" s="84" cm="1">
        <f t="array" ref="AV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9" s="84" cm="1">
        <f t="array" ref="AW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9" s="84" cm="1">
        <f t="array" ref="AX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" s="84" cm="1">
        <f t="array" ref="AY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" s="84" cm="1">
        <f t="array" ref="AZ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" s="84" cm="1">
        <f t="array" ref="BA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" s="84" cm="1">
        <f t="array" ref="BB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" s="84">
        <f>IF(SUM(Table3[[#This Row],[Column2]:[Column18]])&gt;Table3[[#This Row],[Column19]],Table3[[#This Row],[Column19]],SUM(Table3[[#This Row],[Column2]:[Column18]]))</f>
        <v>250000</v>
      </c>
      <c r="BD19" s="2">
        <f>Table3[[#This Row],[Total Spend]]/SUM(Table3[[#This Row],[Column2]:[Column18]])</f>
        <v>0.7407407407407407</v>
      </c>
    </row>
    <row r="20" spans="1:56">
      <c r="A20" s="84" t="s">
        <v>82</v>
      </c>
      <c r="B20" s="84" t="s">
        <v>57</v>
      </c>
      <c r="C20" s="84"/>
      <c r="D20" s="85">
        <v>45566</v>
      </c>
      <c r="E20" s="85" t="s">
        <v>58</v>
      </c>
      <c r="F20" s="84">
        <f>INDEX(Definitions!$G$13:$G$17,MATCH(Table3[[#This Row],[Propensity to buy/ buyer readiness]],Definitions!$A$13:$A$17,0))</f>
        <v>250000</v>
      </c>
      <c r="G20" s="86">
        <v>5</v>
      </c>
      <c r="H20" s="86">
        <v>5</v>
      </c>
      <c r="I20" s="86">
        <v>5</v>
      </c>
      <c r="J20" s="86">
        <v>5</v>
      </c>
      <c r="K20" s="86">
        <v>5</v>
      </c>
      <c r="L20" s="86">
        <f>SUM(Table3[[#This Row],[Strategic priority segment]:[Propensity to buy/ buyer readiness]])</f>
        <v>25</v>
      </c>
      <c r="M20" s="86" t="s">
        <v>59</v>
      </c>
      <c r="N20" s="84" t="s">
        <v>60</v>
      </c>
      <c r="O20" s="84"/>
      <c r="P20" s="87"/>
      <c r="Q20" s="87"/>
      <c r="R20" s="84"/>
      <c r="S20" s="84"/>
      <c r="T20" s="84"/>
      <c r="U20" s="84">
        <v>1</v>
      </c>
      <c r="V20" s="84">
        <v>1</v>
      </c>
      <c r="W20" s="84">
        <v>1</v>
      </c>
      <c r="X20" s="84">
        <v>1</v>
      </c>
      <c r="Y20" s="84">
        <v>1</v>
      </c>
      <c r="Z20" s="84">
        <v>0</v>
      </c>
      <c r="AA20" s="84">
        <v>0</v>
      </c>
      <c r="AB20" s="84">
        <v>0</v>
      </c>
      <c r="AC20" s="84">
        <v>0</v>
      </c>
      <c r="AD20" s="84">
        <v>1</v>
      </c>
      <c r="AE20" s="84">
        <v>0</v>
      </c>
      <c r="AF20" s="84">
        <v>0</v>
      </c>
      <c r="AG20" s="84">
        <v>0</v>
      </c>
      <c r="AH20" s="84">
        <v>0</v>
      </c>
      <c r="AI20" s="84">
        <v>0</v>
      </c>
      <c r="AJ20" s="84">
        <v>0</v>
      </c>
      <c r="AK20" s="84">
        <v>0</v>
      </c>
      <c r="AL20" s="84" cm="1">
        <f t="array" ref="AL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0" s="84" cm="1">
        <f t="array" ref="AM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0" s="84" cm="1">
        <f t="array" ref="AN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0" s="84" cm="1">
        <f t="array" ref="AO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0" s="84" cm="1">
        <f t="array" ref="AP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0" s="84" cm="1">
        <f t="array" ref="AQ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0" s="84" cm="1">
        <f t="array" ref="AR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0" s="84" cm="1">
        <f t="array" ref="AS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0" s="84" cm="1">
        <f t="array" ref="AT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0" s="84" cm="1">
        <f t="array" ref="AU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0" s="84" cm="1">
        <f t="array" ref="AV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" s="84" cm="1">
        <f t="array" ref="AW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" s="84" cm="1">
        <f t="array" ref="AX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" s="84" cm="1">
        <f t="array" ref="AY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" s="84" cm="1">
        <f t="array" ref="AZ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" s="84" cm="1">
        <f t="array" ref="BA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" s="84" cm="1">
        <f t="array" ref="BB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" s="84">
        <f>IF(SUM(Table3[[#This Row],[Column2]:[Column18]])&gt;Table3[[#This Row],[Column19]],Table3[[#This Row],[Column19]],SUM(Table3[[#This Row],[Column2]:[Column18]]))</f>
        <v>250000</v>
      </c>
      <c r="BD20" s="2">
        <f>Table3[[#This Row],[Total Spend]]/SUM(Table3[[#This Row],[Column2]:[Column18]])</f>
        <v>0.95456281023291334</v>
      </c>
    </row>
    <row r="21" spans="1:56">
      <c r="A21" s="84" t="s">
        <v>83</v>
      </c>
      <c r="B21" s="84" t="s">
        <v>57</v>
      </c>
      <c r="C21" s="84" t="s">
        <v>57</v>
      </c>
      <c r="D21" s="85">
        <v>45566</v>
      </c>
      <c r="E21" s="85" t="s">
        <v>58</v>
      </c>
      <c r="F21" s="84">
        <f>INDEX(Definitions!$G$13:$G$17,MATCH(Table3[[#This Row],[Propensity to buy/ buyer readiness]],Definitions!$A$13:$A$17,0))</f>
        <v>250000</v>
      </c>
      <c r="G21" s="86">
        <v>5</v>
      </c>
      <c r="H21" s="86">
        <v>5</v>
      </c>
      <c r="I21" s="86">
        <v>5</v>
      </c>
      <c r="J21" s="86">
        <v>5</v>
      </c>
      <c r="K21" s="86">
        <v>5</v>
      </c>
      <c r="L21" s="86">
        <f>SUM(Table3[[#This Row],[Strategic priority segment]:[Propensity to buy/ buyer readiness]])</f>
        <v>25</v>
      </c>
      <c r="M21" s="86" t="s">
        <v>59</v>
      </c>
      <c r="N21" s="84" t="s">
        <v>60</v>
      </c>
      <c r="O21" s="84" t="s">
        <v>63</v>
      </c>
      <c r="P21" s="87"/>
      <c r="Q21" s="87"/>
      <c r="R21" s="84"/>
      <c r="S21" s="84"/>
      <c r="T21" s="87"/>
      <c r="U21" s="84">
        <v>1</v>
      </c>
      <c r="V21" s="84">
        <v>1</v>
      </c>
      <c r="W21" s="84">
        <v>1</v>
      </c>
      <c r="X21" s="84">
        <v>1</v>
      </c>
      <c r="Y21" s="84">
        <v>1</v>
      </c>
      <c r="Z21" s="84">
        <v>0</v>
      </c>
      <c r="AA21" s="84">
        <v>1</v>
      </c>
      <c r="AB21" s="84">
        <v>0</v>
      </c>
      <c r="AC21" s="84">
        <v>0</v>
      </c>
      <c r="AD21" s="84">
        <v>1</v>
      </c>
      <c r="AE21" s="84">
        <v>1</v>
      </c>
      <c r="AF21" s="84">
        <v>1</v>
      </c>
      <c r="AG21" s="84">
        <v>0</v>
      </c>
      <c r="AH21" s="84">
        <v>0</v>
      </c>
      <c r="AI21" s="84">
        <v>0</v>
      </c>
      <c r="AJ21" s="84">
        <v>0</v>
      </c>
      <c r="AK21" s="84">
        <v>0</v>
      </c>
      <c r="AL21" s="84" cm="1">
        <f t="array" ref="AL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1" s="84" cm="1">
        <f t="array" ref="AM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1" s="84" cm="1">
        <f t="array" ref="AN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1" s="84" cm="1">
        <f t="array" ref="AO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1" s="84" cm="1">
        <f t="array" ref="AP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1" s="84" cm="1">
        <f t="array" ref="AQ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1" s="84" cm="1">
        <f t="array" ref="AR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1" s="84" cm="1">
        <f t="array" ref="AS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1" s="84" cm="1">
        <f t="array" ref="AT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1" s="84" cm="1">
        <f t="array" ref="AU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1" s="84" cm="1">
        <f t="array" ref="AV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1" s="84" cm="1">
        <f t="array" ref="AW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1" s="84" cm="1">
        <f t="array" ref="AX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" s="84" cm="1">
        <f t="array" ref="AY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1" s="84" cm="1">
        <f t="array" ref="AZ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1" s="84" cm="1">
        <f t="array" ref="BA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1" s="84" cm="1">
        <f t="array" ref="BB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1" s="84">
        <f>IF(SUM(Table3[[#This Row],[Column2]:[Column18]])&gt;Table3[[#This Row],[Column19]],Table3[[#This Row],[Column19]],SUM(Table3[[#This Row],[Column2]:[Column18]]))</f>
        <v>250000</v>
      </c>
      <c r="BD21" s="2">
        <f>Table3[[#This Row],[Total Spend]]/SUM(Table3[[#This Row],[Column2]:[Column18]])</f>
        <v>0.7407407407407407</v>
      </c>
    </row>
    <row r="22" spans="1:56">
      <c r="A22" s="84" t="s">
        <v>84</v>
      </c>
      <c r="B22" s="84" t="s">
        <v>57</v>
      </c>
      <c r="C22" s="84" t="s">
        <v>57</v>
      </c>
      <c r="D22" s="85">
        <v>45566</v>
      </c>
      <c r="E22" s="85" t="s">
        <v>58</v>
      </c>
      <c r="F22" s="84">
        <f>INDEX(Definitions!$G$13:$G$17,MATCH(Table3[[#This Row],[Propensity to buy/ buyer readiness]],Definitions!$A$13:$A$17,0))</f>
        <v>250000</v>
      </c>
      <c r="G22" s="86">
        <v>5</v>
      </c>
      <c r="H22" s="86">
        <v>5</v>
      </c>
      <c r="I22" s="86">
        <v>5</v>
      </c>
      <c r="J22" s="86">
        <v>5</v>
      </c>
      <c r="K22" s="86">
        <v>5</v>
      </c>
      <c r="L22" s="86">
        <f>SUM(Table3[[#This Row],[Strategic priority segment]:[Propensity to buy/ buyer readiness]])</f>
        <v>25</v>
      </c>
      <c r="M22" s="86" t="s">
        <v>59</v>
      </c>
      <c r="N22" s="84" t="s">
        <v>60</v>
      </c>
      <c r="O22" s="84" t="s">
        <v>63</v>
      </c>
      <c r="P22" s="87" t="s">
        <v>85</v>
      </c>
      <c r="Q22" s="87"/>
      <c r="R22" s="84"/>
      <c r="S22" s="84"/>
      <c r="T22" s="84"/>
      <c r="U22" s="84">
        <v>1</v>
      </c>
      <c r="V22" s="84">
        <v>1</v>
      </c>
      <c r="W22" s="84">
        <v>1</v>
      </c>
      <c r="X22" s="84">
        <v>1</v>
      </c>
      <c r="Y22" s="84">
        <v>1</v>
      </c>
      <c r="Z22" s="84">
        <v>0</v>
      </c>
      <c r="AA22" s="84">
        <v>1</v>
      </c>
      <c r="AB22" s="84">
        <v>0</v>
      </c>
      <c r="AC22" s="84">
        <v>0</v>
      </c>
      <c r="AD22" s="84">
        <v>1</v>
      </c>
      <c r="AE22" s="84">
        <v>1</v>
      </c>
      <c r="AF22" s="84">
        <v>1</v>
      </c>
      <c r="AG22" s="84">
        <v>0</v>
      </c>
      <c r="AH22" s="84">
        <v>0</v>
      </c>
      <c r="AI22" s="84">
        <v>0</v>
      </c>
      <c r="AJ22" s="84">
        <v>0</v>
      </c>
      <c r="AK22" s="84">
        <v>0</v>
      </c>
      <c r="AL22" s="84" cm="1">
        <f t="array" ref="AL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2" s="84" cm="1">
        <f t="array" ref="AM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2" s="84" cm="1">
        <f t="array" ref="AN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2" s="84" cm="1">
        <f t="array" ref="AO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2" s="84" cm="1">
        <f t="array" ref="AP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2" s="84" cm="1">
        <f t="array" ref="AQ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2" s="84" cm="1">
        <f t="array" ref="AR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2" s="84" cm="1">
        <f t="array" ref="AS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2" s="84" cm="1">
        <f t="array" ref="AT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2" s="84" cm="1">
        <f t="array" ref="AU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2" s="84" cm="1">
        <f t="array" ref="AV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2" s="84" cm="1">
        <f t="array" ref="AW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2" s="84" cm="1">
        <f t="array" ref="AX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" s="84" cm="1">
        <f t="array" ref="AY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" s="84" cm="1">
        <f t="array" ref="AZ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" s="84" cm="1">
        <f t="array" ref="BA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" s="84" cm="1">
        <f t="array" ref="BB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" s="84">
        <f>IF(SUM(Table3[[#This Row],[Column2]:[Column18]])&gt;Table3[[#This Row],[Column19]],Table3[[#This Row],[Column19]],SUM(Table3[[#This Row],[Column2]:[Column18]]))</f>
        <v>250000</v>
      </c>
      <c r="BD22" s="2">
        <f>Table3[[#This Row],[Total Spend]]/SUM(Table3[[#This Row],[Column2]:[Column18]])</f>
        <v>0.7407407407407407</v>
      </c>
    </row>
    <row r="23" spans="1:56">
      <c r="A23" s="84" t="s">
        <v>86</v>
      </c>
      <c r="B23" s="84" t="s">
        <v>57</v>
      </c>
      <c r="C23" s="84" t="s">
        <v>57</v>
      </c>
      <c r="D23" s="85">
        <v>45566</v>
      </c>
      <c r="E23" s="85" t="s">
        <v>58</v>
      </c>
      <c r="F23" s="84">
        <f>INDEX(Definitions!$G$13:$G$17,MATCH(Table3[[#This Row],[Propensity to buy/ buyer readiness]],Definitions!$A$13:$A$17,0))</f>
        <v>250000</v>
      </c>
      <c r="G23" s="86">
        <v>5</v>
      </c>
      <c r="H23" s="86">
        <v>5</v>
      </c>
      <c r="I23" s="86">
        <v>5</v>
      </c>
      <c r="J23" s="86">
        <v>5</v>
      </c>
      <c r="K23" s="86">
        <v>5</v>
      </c>
      <c r="L23" s="86">
        <f>SUM(Table3[[#This Row],[Strategic priority segment]:[Propensity to buy/ buyer readiness]])</f>
        <v>25</v>
      </c>
      <c r="M23" s="86" t="s">
        <v>59</v>
      </c>
      <c r="N23" s="84" t="s">
        <v>60</v>
      </c>
      <c r="O23" s="84" t="s">
        <v>63</v>
      </c>
      <c r="P23" s="87"/>
      <c r="Q23" s="87"/>
      <c r="R23" s="84"/>
      <c r="S23" s="84"/>
      <c r="T23" s="87"/>
      <c r="U23" s="84">
        <v>1</v>
      </c>
      <c r="V23" s="84">
        <v>1</v>
      </c>
      <c r="W23" s="84">
        <v>1</v>
      </c>
      <c r="X23" s="84">
        <v>1</v>
      </c>
      <c r="Y23" s="84">
        <v>1</v>
      </c>
      <c r="Z23" s="84">
        <v>0</v>
      </c>
      <c r="AA23" s="84">
        <v>1</v>
      </c>
      <c r="AB23" s="84">
        <v>0</v>
      </c>
      <c r="AC23" s="84">
        <v>0</v>
      </c>
      <c r="AD23" s="84">
        <v>1</v>
      </c>
      <c r="AE23" s="84">
        <v>1</v>
      </c>
      <c r="AF23" s="84">
        <v>1</v>
      </c>
      <c r="AG23" s="84">
        <v>0</v>
      </c>
      <c r="AH23" s="84">
        <v>0</v>
      </c>
      <c r="AI23" s="84">
        <v>0</v>
      </c>
      <c r="AJ23" s="84">
        <v>0</v>
      </c>
      <c r="AK23" s="84">
        <v>0</v>
      </c>
      <c r="AL23" s="84" cm="1">
        <f t="array" ref="AL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3" s="84" cm="1">
        <f t="array" ref="AM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3" s="84" cm="1">
        <f t="array" ref="AN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3" s="84" cm="1">
        <f t="array" ref="AO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3" s="84" cm="1">
        <f t="array" ref="AP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3" s="84" cm="1">
        <f t="array" ref="AQ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3" s="84" cm="1">
        <f t="array" ref="AR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3" s="84" cm="1">
        <f t="array" ref="AS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3" s="84" cm="1">
        <f t="array" ref="AT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3" s="84" cm="1">
        <f t="array" ref="AU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3" s="84" cm="1">
        <f t="array" ref="AV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3" s="84" cm="1">
        <f t="array" ref="AW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3" s="84" cm="1">
        <f t="array" ref="AX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" s="84" cm="1">
        <f t="array" ref="AY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" s="84" cm="1">
        <f t="array" ref="AZ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" s="84" cm="1">
        <f t="array" ref="BA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" s="84" cm="1">
        <f t="array" ref="BB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" s="84">
        <f>IF(SUM(Table3[[#This Row],[Column2]:[Column18]])&gt;Table3[[#This Row],[Column19]],Table3[[#This Row],[Column19]],SUM(Table3[[#This Row],[Column2]:[Column18]]))</f>
        <v>250000</v>
      </c>
      <c r="BD23" s="2">
        <f>Table3[[#This Row],[Total Spend]]/SUM(Table3[[#This Row],[Column2]:[Column18]])</f>
        <v>0.7407407407407407</v>
      </c>
    </row>
    <row r="24" spans="1:56">
      <c r="A24" s="84" t="s">
        <v>87</v>
      </c>
      <c r="B24" s="84" t="s">
        <v>57</v>
      </c>
      <c r="C24" s="84"/>
      <c r="D24" s="85">
        <v>45566</v>
      </c>
      <c r="E24" s="85" t="s">
        <v>58</v>
      </c>
      <c r="F24" s="84">
        <f>INDEX(Definitions!$G$13:$G$17,MATCH(Table3[[#This Row],[Propensity to buy/ buyer readiness]],Definitions!$A$13:$A$17,0))</f>
        <v>250000</v>
      </c>
      <c r="G24" s="86">
        <v>5</v>
      </c>
      <c r="H24" s="86">
        <v>5</v>
      </c>
      <c r="I24" s="86">
        <v>5</v>
      </c>
      <c r="J24" s="86">
        <v>5</v>
      </c>
      <c r="K24" s="86">
        <v>5</v>
      </c>
      <c r="L24" s="86">
        <f>SUM(Table3[[#This Row],[Strategic priority segment]:[Propensity to buy/ buyer readiness]])</f>
        <v>25</v>
      </c>
      <c r="M24" s="86" t="s">
        <v>59</v>
      </c>
      <c r="N24" s="84" t="s">
        <v>60</v>
      </c>
      <c r="O24" s="84" t="s">
        <v>61</v>
      </c>
      <c r="P24" s="87" t="s">
        <v>63</v>
      </c>
      <c r="Q24" s="87"/>
      <c r="R24" s="84"/>
      <c r="S24" s="84"/>
      <c r="T24" s="84"/>
      <c r="U24" s="84">
        <v>1</v>
      </c>
      <c r="V24" s="84">
        <v>1</v>
      </c>
      <c r="W24" s="84">
        <v>1</v>
      </c>
      <c r="X24" s="84">
        <v>1</v>
      </c>
      <c r="Y24" s="84">
        <v>1</v>
      </c>
      <c r="Z24" s="84">
        <v>1</v>
      </c>
      <c r="AA24" s="84">
        <v>1</v>
      </c>
      <c r="AB24" s="84">
        <v>1</v>
      </c>
      <c r="AC24" s="84">
        <v>1</v>
      </c>
      <c r="AD24" s="84">
        <v>1</v>
      </c>
      <c r="AE24" s="84">
        <v>1</v>
      </c>
      <c r="AF24" s="84">
        <v>1</v>
      </c>
      <c r="AG24" s="84">
        <v>0</v>
      </c>
      <c r="AH24" s="84">
        <v>0</v>
      </c>
      <c r="AI24" s="84">
        <v>0</v>
      </c>
      <c r="AJ24" s="84">
        <v>0</v>
      </c>
      <c r="AK24" s="84">
        <v>0</v>
      </c>
      <c r="AL24" s="84" cm="1">
        <f t="array" ref="AL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4" s="84" cm="1">
        <f t="array" ref="AM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4" s="84" cm="1">
        <f t="array" ref="AN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4" s="84" cm="1">
        <f t="array" ref="AO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4" s="84" cm="1">
        <f t="array" ref="AP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4" s="84" cm="1">
        <f t="array" ref="AQ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4" s="84" cm="1">
        <f t="array" ref="AR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4" s="84" cm="1">
        <f t="array" ref="AS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4" s="84" cm="1">
        <f t="array" ref="AT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4" s="84" cm="1">
        <f t="array" ref="AU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4" s="84" cm="1">
        <f t="array" ref="AV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4" s="84" cm="1">
        <f t="array" ref="AW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4" s="84" cm="1">
        <f t="array" ref="AX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" s="84" cm="1">
        <f t="array" ref="AY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" s="84" cm="1">
        <f t="array" ref="AZ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" s="84" cm="1">
        <f t="array" ref="BA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" s="84" cm="1">
        <f t="array" ref="BB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" s="84">
        <f>IF(SUM(Table3[[#This Row],[Column2]:[Column18]])&gt;Table3[[#This Row],[Column19]],Table3[[#This Row],[Column19]],SUM(Table3[[#This Row],[Column2]:[Column18]]))</f>
        <v>250000</v>
      </c>
      <c r="BD24" s="2">
        <f>Table3[[#This Row],[Total Spend]]/SUM(Table3[[#This Row],[Column2]:[Column18]])</f>
        <v>0.56003584229390679</v>
      </c>
    </row>
    <row r="25" spans="1:56">
      <c r="A25" s="84" t="s">
        <v>88</v>
      </c>
      <c r="B25" s="84" t="s">
        <v>57</v>
      </c>
      <c r="C25" s="84"/>
      <c r="D25" s="85">
        <v>45566</v>
      </c>
      <c r="E25" s="85" t="s">
        <v>58</v>
      </c>
      <c r="F25" s="84">
        <f>INDEX(Definitions!$G$13:$G$17,MATCH(Table3[[#This Row],[Propensity to buy/ buyer readiness]],Definitions!$A$13:$A$17,0))</f>
        <v>250000</v>
      </c>
      <c r="G25" s="86">
        <v>5</v>
      </c>
      <c r="H25" s="86">
        <v>5</v>
      </c>
      <c r="I25" s="86">
        <v>5</v>
      </c>
      <c r="J25" s="86">
        <v>5</v>
      </c>
      <c r="K25" s="86">
        <v>5</v>
      </c>
      <c r="L25" s="86">
        <f>SUM(Table3[[#This Row],[Strategic priority segment]:[Propensity to buy/ buyer readiness]])</f>
        <v>25</v>
      </c>
      <c r="M25" s="86" t="s">
        <v>59</v>
      </c>
      <c r="N25" s="84" t="s">
        <v>60</v>
      </c>
      <c r="O25" s="84"/>
      <c r="P25" s="87"/>
      <c r="Q25" s="87"/>
      <c r="R25" s="84"/>
      <c r="S25" s="84"/>
      <c r="T25" s="87"/>
      <c r="U25" s="84">
        <v>1</v>
      </c>
      <c r="V25" s="84">
        <v>1</v>
      </c>
      <c r="W25" s="84">
        <v>1</v>
      </c>
      <c r="X25" s="84">
        <v>1</v>
      </c>
      <c r="Y25" s="84">
        <v>1</v>
      </c>
      <c r="Z25" s="84">
        <v>0</v>
      </c>
      <c r="AA25" s="84">
        <v>0</v>
      </c>
      <c r="AB25" s="84">
        <v>0</v>
      </c>
      <c r="AC25" s="84">
        <v>0</v>
      </c>
      <c r="AD25" s="84">
        <v>1</v>
      </c>
      <c r="AE25" s="84">
        <v>0</v>
      </c>
      <c r="AF25" s="84">
        <v>0</v>
      </c>
      <c r="AG25" s="84">
        <v>0</v>
      </c>
      <c r="AH25" s="84">
        <v>0</v>
      </c>
      <c r="AI25" s="84">
        <v>0</v>
      </c>
      <c r="AJ25" s="84">
        <v>0</v>
      </c>
      <c r="AK25" s="84">
        <v>0</v>
      </c>
      <c r="AL25" s="84" cm="1">
        <f t="array" ref="AL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5" s="84" cm="1">
        <f t="array" ref="AM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5" s="84" cm="1">
        <f t="array" ref="AN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5" s="84" cm="1">
        <f t="array" ref="AO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5" s="84" cm="1">
        <f t="array" ref="AP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5" s="84" cm="1">
        <f t="array" ref="AQ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5" s="84" cm="1">
        <f t="array" ref="AR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5" s="84" cm="1">
        <f t="array" ref="AS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5" s="84" cm="1">
        <f t="array" ref="AT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5" s="84" cm="1">
        <f t="array" ref="AU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5" s="84" cm="1">
        <f t="array" ref="AV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" s="84" cm="1">
        <f t="array" ref="AW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" s="84" cm="1">
        <f t="array" ref="AX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" s="84" cm="1">
        <f t="array" ref="AY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" s="84" cm="1">
        <f t="array" ref="AZ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" s="84" cm="1">
        <f t="array" ref="BA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" s="84" cm="1">
        <f t="array" ref="BB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" s="84">
        <f>IF(SUM(Table3[[#This Row],[Column2]:[Column18]])&gt;Table3[[#This Row],[Column19]],Table3[[#This Row],[Column19]],SUM(Table3[[#This Row],[Column2]:[Column18]]))</f>
        <v>250000</v>
      </c>
      <c r="BD25" s="2">
        <f>Table3[[#This Row],[Total Spend]]/SUM(Table3[[#This Row],[Column2]:[Column18]])</f>
        <v>0.95456281023291334</v>
      </c>
    </row>
    <row r="26" spans="1:56">
      <c r="A26" s="84" t="s">
        <v>89</v>
      </c>
      <c r="B26" s="84" t="s">
        <v>57</v>
      </c>
      <c r="C26" s="84" t="s">
        <v>57</v>
      </c>
      <c r="D26" s="85">
        <v>45566</v>
      </c>
      <c r="E26" s="85" t="s">
        <v>58</v>
      </c>
      <c r="F26" s="84">
        <f>INDEX(Definitions!$G$13:$G$17,MATCH(Table3[[#This Row],[Propensity to buy/ buyer readiness]],Definitions!$A$13:$A$17,0))</f>
        <v>250000</v>
      </c>
      <c r="G26" s="86">
        <v>5</v>
      </c>
      <c r="H26" s="86">
        <v>5</v>
      </c>
      <c r="I26" s="86">
        <v>5</v>
      </c>
      <c r="J26" s="86">
        <v>5</v>
      </c>
      <c r="K26" s="86">
        <v>5</v>
      </c>
      <c r="L26" s="86">
        <f>SUM(Table3[[#This Row],[Strategic priority segment]:[Propensity to buy/ buyer readiness]])</f>
        <v>25</v>
      </c>
      <c r="M26" s="86" t="s">
        <v>59</v>
      </c>
      <c r="N26" s="84" t="s">
        <v>60</v>
      </c>
      <c r="O26" s="84"/>
      <c r="P26" s="87"/>
      <c r="Q26" s="87"/>
      <c r="R26" s="84"/>
      <c r="S26" s="84"/>
      <c r="T26" s="87"/>
      <c r="U26" s="84">
        <v>1</v>
      </c>
      <c r="V26" s="84">
        <v>1</v>
      </c>
      <c r="W26" s="84">
        <v>1</v>
      </c>
      <c r="X26" s="84">
        <v>1</v>
      </c>
      <c r="Y26" s="84">
        <v>1</v>
      </c>
      <c r="Z26" s="84">
        <v>0</v>
      </c>
      <c r="AA26" s="84">
        <v>0</v>
      </c>
      <c r="AB26" s="84">
        <v>0</v>
      </c>
      <c r="AC26" s="84">
        <v>0</v>
      </c>
      <c r="AD26" s="84">
        <v>1</v>
      </c>
      <c r="AE26" s="84">
        <v>0</v>
      </c>
      <c r="AF26" s="84">
        <v>0</v>
      </c>
      <c r="AG26" s="84">
        <v>0</v>
      </c>
      <c r="AH26" s="84">
        <v>0</v>
      </c>
      <c r="AI26" s="84">
        <v>0</v>
      </c>
      <c r="AJ26" s="84">
        <v>0</v>
      </c>
      <c r="AK26" s="84">
        <v>0</v>
      </c>
      <c r="AL26" s="84" cm="1">
        <f t="array" ref="AL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6" s="84" cm="1">
        <f t="array" ref="AM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6" s="84" cm="1">
        <f t="array" ref="AN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6" s="84" cm="1">
        <f t="array" ref="AO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6" s="84" cm="1">
        <f t="array" ref="AP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6" s="84" cm="1">
        <f t="array" ref="AQ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" s="84" cm="1">
        <f t="array" ref="AR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" s="84" cm="1">
        <f t="array" ref="AS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" s="84" cm="1">
        <f t="array" ref="AT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" s="84" cm="1">
        <f t="array" ref="AU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6" s="84" cm="1">
        <f t="array" ref="AV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" s="84" cm="1">
        <f t="array" ref="AW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6" s="84" cm="1">
        <f t="array" ref="AX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" s="84" cm="1">
        <f t="array" ref="AY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" s="84" cm="1">
        <f t="array" ref="AZ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" s="84" cm="1">
        <f t="array" ref="BA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" s="84" cm="1">
        <f t="array" ref="BB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" s="84">
        <f>IF(SUM(Table3[[#This Row],[Column2]:[Column18]])&gt;Table3[[#This Row],[Column19]],Table3[[#This Row],[Column19]],SUM(Table3[[#This Row],[Column2]:[Column18]]))</f>
        <v>250000</v>
      </c>
      <c r="BD26" s="2">
        <f>Table3[[#This Row],[Total Spend]]/SUM(Table3[[#This Row],[Column2]:[Column18]])</f>
        <v>0.95456281023291334</v>
      </c>
    </row>
    <row r="27" spans="1:56">
      <c r="A27" s="84" t="s">
        <v>90</v>
      </c>
      <c r="B27" s="84" t="s">
        <v>57</v>
      </c>
      <c r="C27" s="84"/>
      <c r="D27" s="85">
        <v>45566</v>
      </c>
      <c r="E27" s="85" t="s">
        <v>58</v>
      </c>
      <c r="F27" s="84">
        <f>INDEX(Definitions!$G$13:$G$17,MATCH(Table3[[#This Row],[Propensity to buy/ buyer readiness]],Definitions!$A$13:$A$17,0))</f>
        <v>250000</v>
      </c>
      <c r="G27" s="86">
        <v>5</v>
      </c>
      <c r="H27" s="86">
        <v>4</v>
      </c>
      <c r="I27" s="86">
        <v>5</v>
      </c>
      <c r="J27" s="86">
        <v>5</v>
      </c>
      <c r="K27" s="86">
        <v>5</v>
      </c>
      <c r="L27" s="86">
        <f>SUM(Table3[[#This Row],[Strategic priority segment]:[Propensity to buy/ buyer readiness]])</f>
        <v>24</v>
      </c>
      <c r="M27" s="86" t="s">
        <v>59</v>
      </c>
      <c r="N27" s="84" t="s">
        <v>60</v>
      </c>
      <c r="O27" s="84" t="s">
        <v>63</v>
      </c>
      <c r="P27" s="87"/>
      <c r="Q27" s="87"/>
      <c r="R27" s="84"/>
      <c r="S27" s="87"/>
      <c r="T27" s="87"/>
      <c r="U27" s="84">
        <v>1</v>
      </c>
      <c r="V27" s="84">
        <v>1</v>
      </c>
      <c r="W27" s="84">
        <v>1</v>
      </c>
      <c r="X27" s="84">
        <v>1</v>
      </c>
      <c r="Y27" s="84">
        <v>1</v>
      </c>
      <c r="Z27" s="84">
        <v>0</v>
      </c>
      <c r="AA27" s="84">
        <v>1</v>
      </c>
      <c r="AB27" s="84">
        <v>0</v>
      </c>
      <c r="AC27" s="84">
        <v>0</v>
      </c>
      <c r="AD27" s="84">
        <v>1</v>
      </c>
      <c r="AE27" s="84">
        <v>1</v>
      </c>
      <c r="AF27" s="84">
        <v>1</v>
      </c>
      <c r="AG27" s="84">
        <v>0</v>
      </c>
      <c r="AH27" s="84">
        <v>0</v>
      </c>
      <c r="AI27" s="84">
        <v>0</v>
      </c>
      <c r="AJ27" s="84">
        <v>0</v>
      </c>
      <c r="AK27" s="84">
        <v>0</v>
      </c>
      <c r="AL27" s="84" cm="1">
        <f t="array" ref="AL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7" s="84" cm="1">
        <f t="array" ref="AM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7" s="84" cm="1">
        <f t="array" ref="AN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7" s="84" cm="1">
        <f t="array" ref="AO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7" s="84" cm="1">
        <f t="array" ref="AP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7" s="84" cm="1">
        <f t="array" ref="AQ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7" s="84" cm="1">
        <f t="array" ref="AR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7" s="84" cm="1">
        <f t="array" ref="AS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7" s="84" cm="1">
        <f t="array" ref="AT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7" s="84" cm="1">
        <f t="array" ref="AU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7" s="84" cm="1">
        <f t="array" ref="AV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7" s="84" cm="1">
        <f t="array" ref="AW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7" s="84" cm="1">
        <f t="array" ref="AX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" s="84" cm="1">
        <f t="array" ref="AY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" s="84" cm="1">
        <f t="array" ref="AZ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" s="84" cm="1">
        <f t="array" ref="BA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" s="84" cm="1">
        <f t="array" ref="BB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" s="84">
        <f>IF(SUM(Table3[[#This Row],[Column2]:[Column18]])&gt;Table3[[#This Row],[Column19]],Table3[[#This Row],[Column19]],SUM(Table3[[#This Row],[Column2]:[Column18]]))</f>
        <v>250000</v>
      </c>
      <c r="BD27" s="2">
        <f>Table3[[#This Row],[Total Spend]]/SUM(Table3[[#This Row],[Column2]:[Column18]])</f>
        <v>0.7407407407407407</v>
      </c>
    </row>
    <row r="28" spans="1:56">
      <c r="A28" s="84" t="s">
        <v>91</v>
      </c>
      <c r="B28" s="84" t="s">
        <v>57</v>
      </c>
      <c r="C28" s="84"/>
      <c r="D28" s="85">
        <v>45566</v>
      </c>
      <c r="E28" s="85" t="s">
        <v>92</v>
      </c>
      <c r="F28" s="84">
        <f>INDEX(Definitions!$G$13:$G$17,MATCH(Table3[[#This Row],[Propensity to buy/ buyer readiness]],Definitions!$A$13:$A$17,0))</f>
        <v>150000</v>
      </c>
      <c r="G28" s="86">
        <v>5</v>
      </c>
      <c r="H28" s="86">
        <v>5</v>
      </c>
      <c r="I28" s="86">
        <v>5</v>
      </c>
      <c r="J28" s="86">
        <v>5</v>
      </c>
      <c r="K28" s="86">
        <v>4</v>
      </c>
      <c r="L28" s="86">
        <f>SUM(Table3[[#This Row],[Strategic priority segment]:[Propensity to buy/ buyer readiness]])</f>
        <v>24</v>
      </c>
      <c r="M28" s="86" t="s">
        <v>59</v>
      </c>
      <c r="N28" s="84" t="s">
        <v>60</v>
      </c>
      <c r="O28" s="84" t="s">
        <v>63</v>
      </c>
      <c r="P28" s="87"/>
      <c r="Q28" s="87"/>
      <c r="R28" s="84"/>
      <c r="S28" s="87"/>
      <c r="T28" s="87"/>
      <c r="U28" s="84">
        <v>1</v>
      </c>
      <c r="V28" s="84">
        <v>1</v>
      </c>
      <c r="W28" s="84">
        <v>1</v>
      </c>
      <c r="X28" s="84">
        <v>1</v>
      </c>
      <c r="Y28" s="84">
        <v>1</v>
      </c>
      <c r="Z28" s="84">
        <v>0</v>
      </c>
      <c r="AA28" s="84">
        <v>1</v>
      </c>
      <c r="AB28" s="84">
        <v>0</v>
      </c>
      <c r="AC28" s="84">
        <v>0</v>
      </c>
      <c r="AD28" s="84">
        <v>1</v>
      </c>
      <c r="AE28" s="84">
        <v>1</v>
      </c>
      <c r="AF28" s="84">
        <v>1</v>
      </c>
      <c r="AG28" s="84">
        <v>0</v>
      </c>
      <c r="AH28" s="84">
        <v>0</v>
      </c>
      <c r="AI28" s="84">
        <v>0</v>
      </c>
      <c r="AJ28" s="84">
        <v>0</v>
      </c>
      <c r="AK28" s="84">
        <v>0</v>
      </c>
      <c r="AL28" s="84" cm="1">
        <f t="array" ref="AL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" s="84" cm="1">
        <f t="array" ref="AM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8" s="84" cm="1">
        <f t="array" ref="AN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8" s="84" cm="1">
        <f t="array" ref="AO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8" s="84" cm="1">
        <f t="array" ref="AP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8" s="84" cm="1">
        <f t="array" ref="AQ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8" s="84" cm="1">
        <f t="array" ref="AR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" s="84" cm="1">
        <f t="array" ref="AS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8" s="84" cm="1">
        <f t="array" ref="AT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8" s="84" cm="1">
        <f t="array" ref="AU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8" s="84" cm="1">
        <f t="array" ref="AV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8" s="84" cm="1">
        <f t="array" ref="AW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8" s="84" cm="1">
        <f t="array" ref="AX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" s="84" cm="1">
        <f t="array" ref="AY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" s="84" cm="1">
        <f t="array" ref="AZ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" s="84" cm="1">
        <f t="array" ref="BA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" s="84" cm="1">
        <f t="array" ref="BB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" s="84">
        <f>IF(SUM(Table3[[#This Row],[Column2]:[Column18]])&gt;Table3[[#This Row],[Column19]],Table3[[#This Row],[Column19]],SUM(Table3[[#This Row],[Column2]:[Column18]]))</f>
        <v>150000</v>
      </c>
      <c r="BD28" s="2">
        <f>Table3[[#This Row],[Total Spend]]/SUM(Table3[[#This Row],[Column2]:[Column18]])</f>
        <v>0.62073246430788331</v>
      </c>
    </row>
    <row r="29" spans="1:56">
      <c r="A29" s="84" t="s">
        <v>93</v>
      </c>
      <c r="B29" s="84" t="s">
        <v>57</v>
      </c>
      <c r="C29" s="84"/>
      <c r="D29" s="85">
        <v>45566</v>
      </c>
      <c r="E29" s="85" t="s">
        <v>92</v>
      </c>
      <c r="F29" s="84">
        <f>INDEX(Definitions!$G$13:$G$17,MATCH(Table3[[#This Row],[Propensity to buy/ buyer readiness]],Definitions!$A$13:$A$17,0))</f>
        <v>150000</v>
      </c>
      <c r="G29" s="86">
        <v>5</v>
      </c>
      <c r="H29" s="86">
        <v>5</v>
      </c>
      <c r="I29" s="86">
        <v>5</v>
      </c>
      <c r="J29" s="86">
        <v>5</v>
      </c>
      <c r="K29" s="86">
        <v>4</v>
      </c>
      <c r="L29" s="86">
        <f>SUM(Table3[[#This Row],[Strategic priority segment]:[Propensity to buy/ buyer readiness]])</f>
        <v>24</v>
      </c>
      <c r="M29" s="86" t="s">
        <v>59</v>
      </c>
      <c r="N29" s="84" t="s">
        <v>60</v>
      </c>
      <c r="O29" s="84"/>
      <c r="P29" s="87"/>
      <c r="Q29" s="87"/>
      <c r="R29" s="84"/>
      <c r="S29" s="87"/>
      <c r="T29" s="87"/>
      <c r="U29" s="84">
        <v>1</v>
      </c>
      <c r="V29" s="84">
        <v>1</v>
      </c>
      <c r="W29" s="84">
        <v>1</v>
      </c>
      <c r="X29" s="84">
        <v>1</v>
      </c>
      <c r="Y29" s="84">
        <v>1</v>
      </c>
      <c r="Z29" s="84">
        <v>0</v>
      </c>
      <c r="AA29" s="84">
        <v>0</v>
      </c>
      <c r="AB29" s="84">
        <v>0</v>
      </c>
      <c r="AC29" s="84">
        <v>0</v>
      </c>
      <c r="AD29" s="84">
        <v>1</v>
      </c>
      <c r="AE29" s="84">
        <v>0</v>
      </c>
      <c r="AF29" s="84">
        <v>0</v>
      </c>
      <c r="AG29" s="84">
        <v>0</v>
      </c>
      <c r="AH29" s="84">
        <v>0</v>
      </c>
      <c r="AI29" s="84">
        <v>0</v>
      </c>
      <c r="AJ29" s="84">
        <v>0</v>
      </c>
      <c r="AK29" s="84">
        <v>0</v>
      </c>
      <c r="AL29" s="84" cm="1">
        <f t="array" ref="AL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" s="84" cm="1">
        <f t="array" ref="AM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9" s="84" cm="1">
        <f t="array" ref="AN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9" s="84" cm="1">
        <f t="array" ref="AO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9" s="84" cm="1">
        <f t="array" ref="AP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9" s="84" cm="1">
        <f t="array" ref="AQ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" s="84" cm="1">
        <f t="array" ref="AR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" s="84" cm="1">
        <f t="array" ref="AS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" s="84" cm="1">
        <f t="array" ref="AT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" s="84" cm="1">
        <f t="array" ref="AU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9" s="84" cm="1">
        <f t="array" ref="AV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" s="84" cm="1">
        <f t="array" ref="AW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" s="84" cm="1">
        <f t="array" ref="AX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" s="84" cm="1">
        <f t="array" ref="AY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" s="84" cm="1">
        <f t="array" ref="AZ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" s="84" cm="1">
        <f t="array" ref="BA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" s="84" cm="1">
        <f t="array" ref="BB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" s="84">
        <f>IF(SUM(Table3[[#This Row],[Column2]:[Column18]])&gt;Table3[[#This Row],[Column19]],Table3[[#This Row],[Column19]],SUM(Table3[[#This Row],[Column2]:[Column18]]))</f>
        <v>150000</v>
      </c>
      <c r="BD29" s="2">
        <f>Table3[[#This Row],[Total Spend]]/SUM(Table3[[#This Row],[Column2]:[Column18]])</f>
        <v>0.80128205128205132</v>
      </c>
    </row>
    <row r="30" spans="1:56">
      <c r="A30" s="84" t="s">
        <v>94</v>
      </c>
      <c r="B30" s="84" t="s">
        <v>57</v>
      </c>
      <c r="C30" s="84"/>
      <c r="D30" s="85">
        <v>45566</v>
      </c>
      <c r="E30" s="85" t="s">
        <v>92</v>
      </c>
      <c r="F30" s="84">
        <f>INDEX(Definitions!$G$13:$G$17,MATCH(Table3[[#This Row],[Propensity to buy/ buyer readiness]],Definitions!$A$13:$A$17,0))</f>
        <v>150000</v>
      </c>
      <c r="G30" s="86">
        <v>5</v>
      </c>
      <c r="H30" s="86">
        <v>5</v>
      </c>
      <c r="I30" s="86">
        <v>5</v>
      </c>
      <c r="J30" s="86">
        <v>5</v>
      </c>
      <c r="K30" s="86">
        <v>4</v>
      </c>
      <c r="L30" s="86">
        <f>SUM(Table3[[#This Row],[Strategic priority segment]:[Propensity to buy/ buyer readiness]])</f>
        <v>24</v>
      </c>
      <c r="M30" s="86" t="s">
        <v>59</v>
      </c>
      <c r="N30" s="84" t="s">
        <v>60</v>
      </c>
      <c r="O30" s="84"/>
      <c r="P30" s="87"/>
      <c r="Q30" s="87"/>
      <c r="R30" s="84"/>
      <c r="S30" s="87"/>
      <c r="T30" s="87"/>
      <c r="U30" s="84">
        <v>1</v>
      </c>
      <c r="V30" s="84">
        <v>1</v>
      </c>
      <c r="W30" s="84">
        <v>1</v>
      </c>
      <c r="X30" s="84">
        <v>1</v>
      </c>
      <c r="Y30" s="84">
        <v>1</v>
      </c>
      <c r="Z30" s="84">
        <v>0</v>
      </c>
      <c r="AA30" s="84">
        <v>0</v>
      </c>
      <c r="AB30" s="84">
        <v>0</v>
      </c>
      <c r="AC30" s="84">
        <v>0</v>
      </c>
      <c r="AD30" s="84">
        <v>1</v>
      </c>
      <c r="AE30" s="84">
        <v>0</v>
      </c>
      <c r="AF30" s="84">
        <v>0</v>
      </c>
      <c r="AG30" s="84">
        <v>0</v>
      </c>
      <c r="AH30" s="84">
        <v>0</v>
      </c>
      <c r="AI30" s="84">
        <v>0</v>
      </c>
      <c r="AJ30" s="84">
        <v>0</v>
      </c>
      <c r="AK30" s="84">
        <v>0</v>
      </c>
      <c r="AL30" s="84" cm="1">
        <f t="array" ref="AL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0" s="84" cm="1">
        <f t="array" ref="AM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0" s="84" cm="1">
        <f t="array" ref="AN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0" s="84" cm="1">
        <f t="array" ref="AO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0" s="84" cm="1">
        <f t="array" ref="AP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0" s="84" cm="1">
        <f t="array" ref="AQ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0" s="84" cm="1">
        <f t="array" ref="AR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" s="84" cm="1">
        <f t="array" ref="AS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0" s="84" cm="1">
        <f t="array" ref="AT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" s="84" cm="1">
        <f t="array" ref="AU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0" s="84" cm="1">
        <f t="array" ref="AV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" s="84" cm="1">
        <f t="array" ref="AW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0" s="84" cm="1">
        <f t="array" ref="AX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" s="84" cm="1">
        <f t="array" ref="AY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" s="84" cm="1">
        <f t="array" ref="AZ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" s="84" cm="1">
        <f t="array" ref="BA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" s="84" cm="1">
        <f t="array" ref="BB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" s="84">
        <f>IF(SUM(Table3[[#This Row],[Column2]:[Column18]])&gt;Table3[[#This Row],[Column19]],Table3[[#This Row],[Column19]],SUM(Table3[[#This Row],[Column2]:[Column18]]))</f>
        <v>150000</v>
      </c>
      <c r="BD30" s="2">
        <f>Table3[[#This Row],[Total Spend]]/SUM(Table3[[#This Row],[Column2]:[Column18]])</f>
        <v>0.80128205128205132</v>
      </c>
    </row>
    <row r="31" spans="1:56">
      <c r="A31" s="84" t="s">
        <v>95</v>
      </c>
      <c r="B31" s="84" t="s">
        <v>57</v>
      </c>
      <c r="C31" s="84"/>
      <c r="D31" s="85">
        <v>45566</v>
      </c>
      <c r="E31" s="85" t="s">
        <v>92</v>
      </c>
      <c r="F31" s="84">
        <f>INDEX(Definitions!$G$13:$G$17,MATCH(Table3[[#This Row],[Propensity to buy/ buyer readiness]],Definitions!$A$13:$A$17,0))</f>
        <v>150000</v>
      </c>
      <c r="G31" s="86">
        <v>5</v>
      </c>
      <c r="H31" s="86">
        <v>5</v>
      </c>
      <c r="I31" s="86">
        <v>5</v>
      </c>
      <c r="J31" s="86">
        <v>5</v>
      </c>
      <c r="K31" s="86">
        <v>4</v>
      </c>
      <c r="L31" s="86">
        <f>SUM(Table3[[#This Row],[Strategic priority segment]:[Propensity to buy/ buyer readiness]])</f>
        <v>24</v>
      </c>
      <c r="M31" s="86" t="s">
        <v>59</v>
      </c>
      <c r="N31" s="84" t="s">
        <v>60</v>
      </c>
      <c r="O31" s="84"/>
      <c r="P31" s="87"/>
      <c r="Q31" s="87"/>
      <c r="R31" s="84"/>
      <c r="S31" s="87"/>
      <c r="T31" s="87"/>
      <c r="U31" s="84">
        <v>1</v>
      </c>
      <c r="V31" s="84">
        <v>1</v>
      </c>
      <c r="W31" s="84">
        <v>1</v>
      </c>
      <c r="X31" s="84">
        <v>1</v>
      </c>
      <c r="Y31" s="84">
        <v>1</v>
      </c>
      <c r="Z31" s="84">
        <v>0</v>
      </c>
      <c r="AA31" s="84">
        <v>0</v>
      </c>
      <c r="AB31" s="84">
        <v>0</v>
      </c>
      <c r="AC31" s="84">
        <v>0</v>
      </c>
      <c r="AD31" s="84">
        <v>1</v>
      </c>
      <c r="AE31" s="84">
        <v>0</v>
      </c>
      <c r="AF31" s="84">
        <v>0</v>
      </c>
      <c r="AG31" s="84">
        <v>0</v>
      </c>
      <c r="AH31" s="84">
        <v>0</v>
      </c>
      <c r="AI31" s="84">
        <v>0</v>
      </c>
      <c r="AJ31" s="84">
        <v>0</v>
      </c>
      <c r="AK31" s="84">
        <v>0</v>
      </c>
      <c r="AL31" s="84" cm="1">
        <f t="array" ref="AL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1" s="84" cm="1">
        <f t="array" ref="AM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1" s="84" cm="1">
        <f t="array" ref="AN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1" s="84" cm="1">
        <f t="array" ref="AO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1" s="84" cm="1">
        <f t="array" ref="AP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1" s="84" cm="1">
        <f t="array" ref="AQ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1" s="84" cm="1">
        <f t="array" ref="AR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" s="84" cm="1">
        <f t="array" ref="AS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1" s="84" cm="1">
        <f t="array" ref="AT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" s="84" cm="1">
        <f t="array" ref="AU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1" s="84" cm="1">
        <f t="array" ref="AV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" s="84" cm="1">
        <f t="array" ref="AW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1" s="84" cm="1">
        <f t="array" ref="AX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" s="84" cm="1">
        <f t="array" ref="AY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" s="84" cm="1">
        <f t="array" ref="AZ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" s="84" cm="1">
        <f t="array" ref="BA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" s="84" cm="1">
        <f t="array" ref="BB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" s="84">
        <f>IF(SUM(Table3[[#This Row],[Column2]:[Column18]])&gt;Table3[[#This Row],[Column19]],Table3[[#This Row],[Column19]],SUM(Table3[[#This Row],[Column2]:[Column18]]))</f>
        <v>150000</v>
      </c>
      <c r="BD31" s="2">
        <f>Table3[[#This Row],[Total Spend]]/SUM(Table3[[#This Row],[Column2]:[Column18]])</f>
        <v>0.80128205128205132</v>
      </c>
    </row>
    <row r="32" spans="1:56">
      <c r="A32" s="84" t="s">
        <v>96</v>
      </c>
      <c r="B32" s="84" t="s">
        <v>57</v>
      </c>
      <c r="C32" s="84"/>
      <c r="D32" s="85">
        <v>45566</v>
      </c>
      <c r="E32" s="85" t="s">
        <v>92</v>
      </c>
      <c r="F32" s="84">
        <f>INDEX(Definitions!$G$13:$G$17,MATCH(Table3[[#This Row],[Propensity to buy/ buyer readiness]],Definitions!$A$13:$A$17,0))</f>
        <v>150000</v>
      </c>
      <c r="G32" s="86">
        <v>5</v>
      </c>
      <c r="H32" s="86">
        <v>5</v>
      </c>
      <c r="I32" s="86">
        <v>5</v>
      </c>
      <c r="J32" s="86">
        <v>5</v>
      </c>
      <c r="K32" s="86">
        <v>4</v>
      </c>
      <c r="L32" s="86">
        <f>SUM(Table3[[#This Row],[Strategic priority segment]:[Propensity to buy/ buyer readiness]])</f>
        <v>24</v>
      </c>
      <c r="M32" s="86" t="s">
        <v>59</v>
      </c>
      <c r="N32" s="84" t="s">
        <v>60</v>
      </c>
      <c r="O32" s="84"/>
      <c r="P32" s="87"/>
      <c r="Q32" s="87"/>
      <c r="R32" s="84"/>
      <c r="S32" s="87"/>
      <c r="T32" s="87"/>
      <c r="U32" s="84">
        <v>1</v>
      </c>
      <c r="V32" s="84">
        <v>1</v>
      </c>
      <c r="W32" s="84">
        <v>1</v>
      </c>
      <c r="X32" s="84">
        <v>1</v>
      </c>
      <c r="Y32" s="84">
        <v>1</v>
      </c>
      <c r="Z32" s="84">
        <v>0</v>
      </c>
      <c r="AA32" s="84">
        <v>0</v>
      </c>
      <c r="AB32" s="84">
        <v>0</v>
      </c>
      <c r="AC32" s="84">
        <v>0</v>
      </c>
      <c r="AD32" s="84">
        <v>1</v>
      </c>
      <c r="AE32" s="84">
        <v>0</v>
      </c>
      <c r="AF32" s="84">
        <v>0</v>
      </c>
      <c r="AG32" s="84">
        <v>0</v>
      </c>
      <c r="AH32" s="84">
        <v>0</v>
      </c>
      <c r="AI32" s="84">
        <v>0</v>
      </c>
      <c r="AJ32" s="84">
        <v>0</v>
      </c>
      <c r="AK32" s="84">
        <v>0</v>
      </c>
      <c r="AL32" s="84" cm="1">
        <f t="array" ref="AL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2" s="84" cm="1">
        <f t="array" ref="AM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2" s="84" cm="1">
        <f t="array" ref="AN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2" s="84" cm="1">
        <f t="array" ref="AO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2" s="84" cm="1">
        <f t="array" ref="AP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2" s="84" cm="1">
        <f t="array" ref="AQ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" s="84" cm="1">
        <f t="array" ref="AR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" s="84" cm="1">
        <f t="array" ref="AS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" s="84" cm="1">
        <f t="array" ref="AT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" s="84" cm="1">
        <f t="array" ref="AU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2" s="84" cm="1">
        <f t="array" ref="AV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" s="84" cm="1">
        <f t="array" ref="AW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" s="84" cm="1">
        <f t="array" ref="AX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" s="84" cm="1">
        <f t="array" ref="AY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" s="84" cm="1">
        <f t="array" ref="AZ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" s="84" cm="1">
        <f t="array" ref="BA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" s="84" cm="1">
        <f t="array" ref="BB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" s="84">
        <f>IF(SUM(Table3[[#This Row],[Column2]:[Column18]])&gt;Table3[[#This Row],[Column19]],Table3[[#This Row],[Column19]],SUM(Table3[[#This Row],[Column2]:[Column18]]))</f>
        <v>150000</v>
      </c>
      <c r="BD32" s="2">
        <f>Table3[[#This Row],[Total Spend]]/SUM(Table3[[#This Row],[Column2]:[Column18]])</f>
        <v>0.80128205128205132</v>
      </c>
    </row>
    <row r="33" spans="1:56">
      <c r="A33" s="84" t="s">
        <v>97</v>
      </c>
      <c r="B33" s="84" t="s">
        <v>57</v>
      </c>
      <c r="C33" s="84"/>
      <c r="D33" s="85">
        <v>45566</v>
      </c>
      <c r="E33" s="85" t="s">
        <v>92</v>
      </c>
      <c r="F33" s="84">
        <f>INDEX(Definitions!$G$13:$G$17,MATCH(Table3[[#This Row],[Propensity to buy/ buyer readiness]],Definitions!$A$13:$A$17,0))</f>
        <v>150000</v>
      </c>
      <c r="G33" s="86">
        <v>5</v>
      </c>
      <c r="H33" s="86">
        <v>5</v>
      </c>
      <c r="I33" s="86">
        <v>5</v>
      </c>
      <c r="J33" s="86">
        <v>5</v>
      </c>
      <c r="K33" s="86">
        <v>4</v>
      </c>
      <c r="L33" s="86">
        <f>SUM(Table3[[#This Row],[Strategic priority segment]:[Propensity to buy/ buyer readiness]])</f>
        <v>24</v>
      </c>
      <c r="M33" s="86" t="s">
        <v>59</v>
      </c>
      <c r="N33" s="84" t="s">
        <v>60</v>
      </c>
      <c r="O33" s="84" t="s">
        <v>61</v>
      </c>
      <c r="P33" s="87"/>
      <c r="Q33" s="87"/>
      <c r="R33" s="84"/>
      <c r="S33" s="87"/>
      <c r="T33" s="87"/>
      <c r="U33" s="84">
        <v>1</v>
      </c>
      <c r="V33" s="84">
        <v>1</v>
      </c>
      <c r="W33" s="84">
        <v>1</v>
      </c>
      <c r="X33" s="84">
        <v>1</v>
      </c>
      <c r="Y33" s="84">
        <v>1</v>
      </c>
      <c r="Z33" s="84">
        <v>1</v>
      </c>
      <c r="AA33" s="84">
        <v>1</v>
      </c>
      <c r="AB33" s="84">
        <v>1</v>
      </c>
      <c r="AC33" s="84">
        <v>1</v>
      </c>
      <c r="AD33" s="84">
        <v>1</v>
      </c>
      <c r="AE33" s="84">
        <v>0</v>
      </c>
      <c r="AF33" s="84">
        <v>0</v>
      </c>
      <c r="AG33" s="84">
        <v>0</v>
      </c>
      <c r="AH33" s="84">
        <v>0</v>
      </c>
      <c r="AI33" s="84">
        <v>0</v>
      </c>
      <c r="AJ33" s="84">
        <v>0</v>
      </c>
      <c r="AK33" s="84">
        <v>0</v>
      </c>
      <c r="AL33" s="84" cm="1">
        <f t="array" ref="AL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" s="84" cm="1">
        <f t="array" ref="AM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3" s="84" cm="1">
        <f t="array" ref="AN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3" s="84" cm="1">
        <f t="array" ref="AO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3" s="84" cm="1">
        <f t="array" ref="AP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3" s="84" cm="1">
        <f t="array" ref="AQ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3" s="84" cm="1">
        <f t="array" ref="AR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3" s="84" cm="1">
        <f t="array" ref="AS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3" s="84" cm="1">
        <f t="array" ref="AT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3" s="84" cm="1">
        <f t="array" ref="AU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3" s="84" cm="1">
        <f t="array" ref="AV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" s="84" cm="1">
        <f t="array" ref="AW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" s="84" cm="1">
        <f t="array" ref="AX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" s="84" cm="1">
        <f t="array" ref="AY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" s="84" cm="1">
        <f t="array" ref="AZ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" s="84" cm="1">
        <f t="array" ref="BA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" s="84" cm="1">
        <f t="array" ref="BB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" s="84">
        <f>IF(SUM(Table3[[#This Row],[Column2]:[Column18]])&gt;Table3[[#This Row],[Column19]],Table3[[#This Row],[Column19]],SUM(Table3[[#This Row],[Column2]:[Column18]]))</f>
        <v>150000</v>
      </c>
      <c r="BD33" s="2">
        <f>Table3[[#This Row],[Total Spend]]/SUM(Table3[[#This Row],[Column2]:[Column18]])</f>
        <v>0.53418803418803418</v>
      </c>
    </row>
    <row r="34" spans="1:56">
      <c r="A34" s="84" t="s">
        <v>98</v>
      </c>
      <c r="B34" s="84" t="s">
        <v>57</v>
      </c>
      <c r="C34" s="84"/>
      <c r="D34" s="85">
        <v>45566</v>
      </c>
      <c r="E34" s="85" t="s">
        <v>58</v>
      </c>
      <c r="F34" s="84">
        <f>INDEX(Definitions!$G$13:$G$17,MATCH(Table3[[#This Row],[Propensity to buy/ buyer readiness]],Definitions!$A$13:$A$17,0))</f>
        <v>250000</v>
      </c>
      <c r="G34" s="86">
        <v>5</v>
      </c>
      <c r="H34" s="86">
        <v>5</v>
      </c>
      <c r="I34" s="86">
        <v>5</v>
      </c>
      <c r="J34" s="86">
        <v>4</v>
      </c>
      <c r="K34" s="86">
        <v>5</v>
      </c>
      <c r="L34" s="86">
        <f>SUM(Table3[[#This Row],[Strategic priority segment]:[Propensity to buy/ buyer readiness]])</f>
        <v>24</v>
      </c>
      <c r="M34" s="86" t="s">
        <v>59</v>
      </c>
      <c r="N34" s="84" t="s">
        <v>63</v>
      </c>
      <c r="O34" s="84"/>
      <c r="P34" s="87"/>
      <c r="Q34" s="87"/>
      <c r="R34" s="84"/>
      <c r="S34" s="87"/>
      <c r="T34" s="87"/>
      <c r="U34" s="84">
        <v>1</v>
      </c>
      <c r="V34" s="84">
        <v>0</v>
      </c>
      <c r="W34" s="84">
        <v>1</v>
      </c>
      <c r="X34" s="84">
        <v>0</v>
      </c>
      <c r="Y34" s="84">
        <v>0</v>
      </c>
      <c r="Z34" s="84">
        <v>0</v>
      </c>
      <c r="AA34" s="84">
        <v>1</v>
      </c>
      <c r="AB34" s="84">
        <v>0</v>
      </c>
      <c r="AC34" s="84">
        <v>0</v>
      </c>
      <c r="AD34" s="84">
        <v>1</v>
      </c>
      <c r="AE34" s="84">
        <v>1</v>
      </c>
      <c r="AF34" s="84">
        <v>1</v>
      </c>
      <c r="AG34" s="84">
        <v>0</v>
      </c>
      <c r="AH34" s="84">
        <v>0</v>
      </c>
      <c r="AI34" s="84">
        <v>0</v>
      </c>
      <c r="AJ34" s="84">
        <v>0</v>
      </c>
      <c r="AK34" s="84">
        <v>0</v>
      </c>
      <c r="AL34" s="84" cm="1">
        <f t="array" ref="AL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4" s="84" cm="1">
        <f t="array" ref="AM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" s="84" cm="1">
        <f t="array" ref="AN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4" s="84" cm="1">
        <f t="array" ref="AO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" s="84" cm="1">
        <f t="array" ref="AP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" s="84" cm="1">
        <f t="array" ref="AQ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4" s="84" cm="1">
        <f t="array" ref="AR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4" s="84" cm="1">
        <f t="array" ref="AS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4" s="84" cm="1">
        <f t="array" ref="AT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4" s="84" cm="1">
        <f t="array" ref="AU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4" s="84" cm="1">
        <f t="array" ref="AV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4" s="84" cm="1">
        <f t="array" ref="AW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4" s="84" cm="1">
        <f t="array" ref="AX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" s="84" cm="1">
        <f t="array" ref="AY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" s="84" cm="1">
        <f t="array" ref="AZ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" s="84" cm="1">
        <f t="array" ref="BA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" s="84" cm="1">
        <f t="array" ref="BB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" s="84">
        <f>IF(SUM(Table3[[#This Row],[Column2]:[Column18]])&gt;Table3[[#This Row],[Column19]],Table3[[#This Row],[Column19]],SUM(Table3[[#This Row],[Column2]:[Column18]]))</f>
        <v>189900</v>
      </c>
      <c r="BD34" s="2">
        <f>Table3[[#This Row],[Total Spend]]/SUM(Table3[[#This Row],[Column2]:[Column18]])</f>
        <v>1</v>
      </c>
    </row>
    <row r="35" spans="1:56">
      <c r="A35" s="84" t="s">
        <v>99</v>
      </c>
      <c r="B35" s="84" t="s">
        <v>57</v>
      </c>
      <c r="C35" s="84"/>
      <c r="D35" s="85">
        <v>45566</v>
      </c>
      <c r="E35" s="85" t="s">
        <v>58</v>
      </c>
      <c r="F35" s="84">
        <f>INDEX(Definitions!$G$13:$G$17,MATCH(Table3[[#This Row],[Propensity to buy/ buyer readiness]],Definitions!$A$13:$A$17,0))</f>
        <v>250000</v>
      </c>
      <c r="G35" s="86">
        <v>5</v>
      </c>
      <c r="H35" s="86">
        <v>5</v>
      </c>
      <c r="I35" s="86">
        <v>5</v>
      </c>
      <c r="J35" s="86">
        <v>4</v>
      </c>
      <c r="K35" s="86">
        <v>5</v>
      </c>
      <c r="L35" s="86">
        <f>SUM(Table3[[#This Row],[Strategic priority segment]:[Propensity to buy/ buyer readiness]])</f>
        <v>24</v>
      </c>
      <c r="M35" s="86" t="s">
        <v>59</v>
      </c>
      <c r="N35" s="84" t="s">
        <v>63</v>
      </c>
      <c r="O35" s="84"/>
      <c r="P35" s="87"/>
      <c r="Q35" s="87"/>
      <c r="R35" s="84"/>
      <c r="S35" s="87"/>
      <c r="T35" s="87"/>
      <c r="U35" s="84">
        <v>1</v>
      </c>
      <c r="V35" s="84">
        <v>0</v>
      </c>
      <c r="W35" s="84">
        <v>1</v>
      </c>
      <c r="X35" s="84">
        <v>0</v>
      </c>
      <c r="Y35" s="84">
        <v>0</v>
      </c>
      <c r="Z35" s="84">
        <v>0</v>
      </c>
      <c r="AA35" s="84">
        <v>1</v>
      </c>
      <c r="AB35" s="84">
        <v>0</v>
      </c>
      <c r="AC35" s="84">
        <v>0</v>
      </c>
      <c r="AD35" s="84">
        <v>1</v>
      </c>
      <c r="AE35" s="84">
        <v>1</v>
      </c>
      <c r="AF35" s="84">
        <v>1</v>
      </c>
      <c r="AG35" s="84">
        <v>0</v>
      </c>
      <c r="AH35" s="84">
        <v>0</v>
      </c>
      <c r="AI35" s="84">
        <v>0</v>
      </c>
      <c r="AJ35" s="84">
        <v>0</v>
      </c>
      <c r="AK35" s="84">
        <v>0</v>
      </c>
      <c r="AL35" s="84" cm="1">
        <f t="array" ref="AL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5" s="84" cm="1">
        <f t="array" ref="AM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" s="84" cm="1">
        <f t="array" ref="AN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5" s="84" cm="1">
        <f t="array" ref="AO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" s="84" cm="1">
        <f t="array" ref="AP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" s="84" cm="1">
        <f t="array" ref="AQ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5" s="84" cm="1">
        <f t="array" ref="AR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5" s="84" cm="1">
        <f t="array" ref="AS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5" s="84" cm="1">
        <f t="array" ref="AT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5" s="84" cm="1">
        <f t="array" ref="AU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5" s="84" cm="1">
        <f t="array" ref="AV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5" s="84" cm="1">
        <f t="array" ref="AW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5" s="84" cm="1">
        <f t="array" ref="AX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" s="84" cm="1">
        <f t="array" ref="AY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" s="84" cm="1">
        <f t="array" ref="AZ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" s="84" cm="1">
        <f t="array" ref="BA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" s="84" cm="1">
        <f t="array" ref="BB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" s="84">
        <f>IF(SUM(Table3[[#This Row],[Column2]:[Column18]])&gt;Table3[[#This Row],[Column19]],Table3[[#This Row],[Column19]],SUM(Table3[[#This Row],[Column2]:[Column18]]))</f>
        <v>189900</v>
      </c>
      <c r="BD35" s="2">
        <f>Table3[[#This Row],[Total Spend]]/SUM(Table3[[#This Row],[Column2]:[Column18]])</f>
        <v>1</v>
      </c>
    </row>
    <row r="36" spans="1:56">
      <c r="A36" s="84" t="s">
        <v>100</v>
      </c>
      <c r="B36" s="84" t="s">
        <v>57</v>
      </c>
      <c r="C36" s="84" t="s">
        <v>57</v>
      </c>
      <c r="D36" s="85">
        <v>45566</v>
      </c>
      <c r="E36" s="85" t="s">
        <v>92</v>
      </c>
      <c r="F36" s="84">
        <f>INDEX(Definitions!$G$13:$G$17,MATCH(Table3[[#This Row],[Propensity to buy/ buyer readiness]],Definitions!$A$13:$A$17,0))</f>
        <v>150000</v>
      </c>
      <c r="G36" s="86">
        <v>5</v>
      </c>
      <c r="H36" s="86">
        <v>5</v>
      </c>
      <c r="I36" s="86">
        <v>5</v>
      </c>
      <c r="J36" s="86">
        <v>5</v>
      </c>
      <c r="K36" s="86">
        <v>4</v>
      </c>
      <c r="L36" s="86">
        <f>SUM(Table3[[#This Row],[Strategic priority segment]:[Propensity to buy/ buyer readiness]])</f>
        <v>24</v>
      </c>
      <c r="M36" s="86" t="s">
        <v>59</v>
      </c>
      <c r="N36" s="84" t="s">
        <v>60</v>
      </c>
      <c r="O36" s="84" t="s">
        <v>63</v>
      </c>
      <c r="P36" s="87"/>
      <c r="Q36" s="87"/>
      <c r="R36" s="84"/>
      <c r="S36" s="87"/>
      <c r="T36" s="87"/>
      <c r="U36" s="84">
        <v>1</v>
      </c>
      <c r="V36" s="84">
        <v>1</v>
      </c>
      <c r="W36" s="84">
        <v>1</v>
      </c>
      <c r="X36" s="84">
        <v>1</v>
      </c>
      <c r="Y36" s="84">
        <v>1</v>
      </c>
      <c r="Z36" s="84">
        <v>0</v>
      </c>
      <c r="AA36" s="84">
        <v>1</v>
      </c>
      <c r="AB36" s="84">
        <v>0</v>
      </c>
      <c r="AC36" s="84">
        <v>0</v>
      </c>
      <c r="AD36" s="84">
        <v>1</v>
      </c>
      <c r="AE36" s="84">
        <v>1</v>
      </c>
      <c r="AF36" s="84">
        <v>1</v>
      </c>
      <c r="AG36" s="84">
        <v>0</v>
      </c>
      <c r="AH36" s="84">
        <v>0</v>
      </c>
      <c r="AI36" s="84">
        <v>0</v>
      </c>
      <c r="AJ36" s="84">
        <v>0</v>
      </c>
      <c r="AK36" s="84">
        <v>0</v>
      </c>
      <c r="AL36" s="84" cm="1">
        <f t="array" ref="AL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" s="84" cm="1">
        <f t="array" ref="AM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6" s="84" cm="1">
        <f t="array" ref="AN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6" s="84" cm="1">
        <f t="array" ref="AO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6" s="84" cm="1">
        <f t="array" ref="AP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6" s="84" cm="1">
        <f t="array" ref="AQ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6" s="84" cm="1">
        <f t="array" ref="AR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6" s="84" cm="1">
        <f t="array" ref="AS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6" s="84" cm="1">
        <f t="array" ref="AT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" s="84" cm="1">
        <f t="array" ref="AU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6" s="84" cm="1">
        <f t="array" ref="AV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6" s="84" cm="1">
        <f t="array" ref="AW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6" s="84" cm="1">
        <f t="array" ref="AX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" s="84" cm="1">
        <f t="array" ref="AY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6" s="84" cm="1">
        <f t="array" ref="AZ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6" s="84" cm="1">
        <f t="array" ref="BA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6" s="84" cm="1">
        <f t="array" ref="BB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6" s="84">
        <f>IF(SUM(Table3[[#This Row],[Column2]:[Column18]])&gt;Table3[[#This Row],[Column19]],Table3[[#This Row],[Column19]],SUM(Table3[[#This Row],[Column2]:[Column18]]))</f>
        <v>150000</v>
      </c>
      <c r="BD36" s="2">
        <f>Table3[[#This Row],[Total Spend]]/SUM(Table3[[#This Row],[Column2]:[Column18]])</f>
        <v>0.62073246430788331</v>
      </c>
    </row>
    <row r="37" spans="1:56">
      <c r="A37" s="84" t="s">
        <v>101</v>
      </c>
      <c r="B37" s="84" t="s">
        <v>57</v>
      </c>
      <c r="C37" s="84" t="s">
        <v>57</v>
      </c>
      <c r="D37" s="85">
        <v>45566</v>
      </c>
      <c r="E37" s="85" t="s">
        <v>58</v>
      </c>
      <c r="F37" s="84">
        <f>INDEX(Definitions!$G$13:$G$17,MATCH(Table3[[#This Row],[Propensity to buy/ buyer readiness]],Definitions!$A$13:$A$17,0))</f>
        <v>250000</v>
      </c>
      <c r="G37" s="86">
        <v>5</v>
      </c>
      <c r="H37" s="86">
        <v>5</v>
      </c>
      <c r="I37" s="86">
        <v>5</v>
      </c>
      <c r="J37" s="86">
        <v>4</v>
      </c>
      <c r="K37" s="86">
        <v>5</v>
      </c>
      <c r="L37" s="86">
        <f>SUM(Table3[[#This Row],[Strategic priority segment]:[Propensity to buy/ buyer readiness]])</f>
        <v>24</v>
      </c>
      <c r="M37" s="86" t="s">
        <v>102</v>
      </c>
      <c r="N37" s="84" t="s">
        <v>61</v>
      </c>
      <c r="O37" s="84" t="s">
        <v>62</v>
      </c>
      <c r="P37" s="87" t="s">
        <v>63</v>
      </c>
      <c r="Q37" s="87" t="s">
        <v>60</v>
      </c>
      <c r="R37" s="84"/>
      <c r="S37" s="87"/>
      <c r="T37" s="87"/>
      <c r="U37" s="84">
        <v>1</v>
      </c>
      <c r="V37" s="84">
        <v>1</v>
      </c>
      <c r="W37" s="84">
        <v>1</v>
      </c>
      <c r="X37" s="84">
        <v>1</v>
      </c>
      <c r="Y37" s="84">
        <v>1</v>
      </c>
      <c r="Z37" s="84">
        <v>1</v>
      </c>
      <c r="AA37" s="84">
        <v>1</v>
      </c>
      <c r="AB37" s="84">
        <v>1</v>
      </c>
      <c r="AC37" s="84">
        <v>1</v>
      </c>
      <c r="AD37" s="84">
        <v>1</v>
      </c>
      <c r="AE37" s="84">
        <v>1</v>
      </c>
      <c r="AF37" s="84">
        <v>1</v>
      </c>
      <c r="AG37" s="84">
        <v>1</v>
      </c>
      <c r="AH37" s="84">
        <v>0</v>
      </c>
      <c r="AI37" s="84">
        <v>0</v>
      </c>
      <c r="AJ37" s="84">
        <v>0</v>
      </c>
      <c r="AK37" s="84">
        <v>0</v>
      </c>
      <c r="AL37" s="84" cm="1">
        <f t="array" ref="AL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7" s="84" cm="1">
        <f t="array" ref="AM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37" s="84" cm="1">
        <f t="array" ref="AN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7" s="84" cm="1">
        <f t="array" ref="AO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37" s="84" cm="1">
        <f t="array" ref="AP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37" s="84" cm="1">
        <f t="array" ref="AQ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7" s="84" cm="1">
        <f t="array" ref="AR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7" s="84" cm="1">
        <f t="array" ref="AS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7" s="84" cm="1">
        <f t="array" ref="AT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7" s="84" cm="1">
        <f t="array" ref="AU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7" s="84" cm="1">
        <f t="array" ref="AV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7" s="84" cm="1">
        <f t="array" ref="AW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7" s="84" cm="1">
        <f t="array" ref="AX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7" s="84" cm="1">
        <f t="array" ref="AY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" s="84" cm="1">
        <f t="array" ref="AZ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" s="84" cm="1">
        <f t="array" ref="BA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" s="84" cm="1">
        <f t="array" ref="BB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" s="84">
        <f>IF(SUM(Table3[[#This Row],[Column2]:[Column18]])&gt;Table3[[#This Row],[Column19]],Table3[[#This Row],[Column19]],SUM(Table3[[#This Row],[Column2]:[Column18]]))</f>
        <v>250000</v>
      </c>
      <c r="BD37" s="2">
        <f>Table3[[#This Row],[Total Spend]]/SUM(Table3[[#This Row],[Column2]:[Column18]])</f>
        <v>0.51824212271973469</v>
      </c>
    </row>
    <row r="38" spans="1:56">
      <c r="A38" s="84" t="s">
        <v>103</v>
      </c>
      <c r="B38" s="84" t="s">
        <v>57</v>
      </c>
      <c r="C38" s="84" t="s">
        <v>57</v>
      </c>
      <c r="D38" s="85">
        <v>45566</v>
      </c>
      <c r="E38" s="85" t="s">
        <v>58</v>
      </c>
      <c r="F38" s="84">
        <f>INDEX(Definitions!$G$13:$G$17,MATCH(Table3[[#This Row],[Propensity to buy/ buyer readiness]],Definitions!$A$13:$A$17,0))</f>
        <v>250000</v>
      </c>
      <c r="G38" s="86">
        <v>5</v>
      </c>
      <c r="H38" s="86">
        <v>5</v>
      </c>
      <c r="I38" s="86">
        <v>5</v>
      </c>
      <c r="J38" s="86">
        <v>4</v>
      </c>
      <c r="K38" s="86">
        <v>5</v>
      </c>
      <c r="L38" s="86">
        <f>SUM(Table3[[#This Row],[Strategic priority segment]:[Propensity to buy/ buyer readiness]])</f>
        <v>24</v>
      </c>
      <c r="M38" s="86" t="s">
        <v>102</v>
      </c>
      <c r="N38" s="84" t="s">
        <v>61</v>
      </c>
      <c r="O38" s="84" t="s">
        <v>62</v>
      </c>
      <c r="P38" s="87" t="s">
        <v>63</v>
      </c>
      <c r="Q38" s="87" t="s">
        <v>60</v>
      </c>
      <c r="R38" s="84"/>
      <c r="S38" s="87"/>
      <c r="T38" s="87"/>
      <c r="U38" s="84">
        <v>1</v>
      </c>
      <c r="V38" s="84">
        <v>1</v>
      </c>
      <c r="W38" s="84">
        <v>1</v>
      </c>
      <c r="X38" s="84">
        <v>1</v>
      </c>
      <c r="Y38" s="84">
        <v>1</v>
      </c>
      <c r="Z38" s="84">
        <v>1</v>
      </c>
      <c r="AA38" s="84">
        <v>1</v>
      </c>
      <c r="AB38" s="84">
        <v>1</v>
      </c>
      <c r="AC38" s="84">
        <v>1</v>
      </c>
      <c r="AD38" s="84">
        <v>1</v>
      </c>
      <c r="AE38" s="84">
        <v>1</v>
      </c>
      <c r="AF38" s="84">
        <v>1</v>
      </c>
      <c r="AG38" s="84">
        <v>1</v>
      </c>
      <c r="AH38" s="84">
        <v>0</v>
      </c>
      <c r="AI38" s="84">
        <v>0</v>
      </c>
      <c r="AJ38" s="84">
        <v>0</v>
      </c>
      <c r="AK38" s="84">
        <v>0</v>
      </c>
      <c r="AL38" s="84" cm="1">
        <f t="array" ref="AL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" s="84" cm="1">
        <f t="array" ref="AM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38" s="84" cm="1">
        <f t="array" ref="AN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8" s="84" cm="1">
        <f t="array" ref="AO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38" s="84" cm="1">
        <f t="array" ref="AP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38" s="84" cm="1">
        <f t="array" ref="AQ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8" s="84" cm="1">
        <f t="array" ref="AR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8" s="84" cm="1">
        <f t="array" ref="AS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8" s="84" cm="1">
        <f t="array" ref="AT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8" s="84" cm="1">
        <f t="array" ref="AU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8" s="84" cm="1">
        <f t="array" ref="AV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8" s="84" cm="1">
        <f t="array" ref="AW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8" s="84" cm="1">
        <f t="array" ref="AX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8" s="84" cm="1">
        <f t="array" ref="AY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" s="84" cm="1">
        <f t="array" ref="AZ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" s="84" cm="1">
        <f t="array" ref="BA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" s="84" cm="1">
        <f t="array" ref="BB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" s="84">
        <f>IF(SUM(Table3[[#This Row],[Column2]:[Column18]])&gt;Table3[[#This Row],[Column19]],Table3[[#This Row],[Column19]],SUM(Table3[[#This Row],[Column2]:[Column18]]))</f>
        <v>250000</v>
      </c>
      <c r="BD38" s="2">
        <f>Table3[[#This Row],[Total Spend]]/SUM(Table3[[#This Row],[Column2]:[Column18]])</f>
        <v>0.51824212271973469</v>
      </c>
    </row>
    <row r="39" spans="1:56">
      <c r="A39" s="84" t="s">
        <v>104</v>
      </c>
      <c r="B39" s="84" t="s">
        <v>57</v>
      </c>
      <c r="C39" s="84"/>
      <c r="D39" s="85">
        <v>45566</v>
      </c>
      <c r="E39" s="85" t="s">
        <v>92</v>
      </c>
      <c r="F39" s="84">
        <f>INDEX(Definitions!$G$13:$G$17,MATCH(Table3[[#This Row],[Propensity to buy/ buyer readiness]],Definitions!$A$13:$A$17,0))</f>
        <v>150000</v>
      </c>
      <c r="G39" s="86">
        <v>5</v>
      </c>
      <c r="H39" s="86">
        <v>5</v>
      </c>
      <c r="I39" s="86">
        <v>5</v>
      </c>
      <c r="J39" s="86">
        <v>5</v>
      </c>
      <c r="K39" s="86">
        <v>4</v>
      </c>
      <c r="L39" s="86">
        <f>SUM(Table3[[#This Row],[Strategic priority segment]:[Propensity to buy/ buyer readiness]])</f>
        <v>24</v>
      </c>
      <c r="M39" s="86" t="s">
        <v>59</v>
      </c>
      <c r="N39" s="84" t="s">
        <v>60</v>
      </c>
      <c r="O39" s="84" t="s">
        <v>63</v>
      </c>
      <c r="P39" s="87"/>
      <c r="Q39" s="87"/>
      <c r="R39" s="84"/>
      <c r="S39" s="87"/>
      <c r="T39" s="87"/>
      <c r="U39" s="84">
        <v>1</v>
      </c>
      <c r="V39" s="84">
        <v>1</v>
      </c>
      <c r="W39" s="84">
        <v>1</v>
      </c>
      <c r="X39" s="84">
        <v>1</v>
      </c>
      <c r="Y39" s="84">
        <v>1</v>
      </c>
      <c r="Z39" s="84">
        <v>0</v>
      </c>
      <c r="AA39" s="84">
        <v>1</v>
      </c>
      <c r="AB39" s="84">
        <v>0</v>
      </c>
      <c r="AC39" s="84">
        <v>0</v>
      </c>
      <c r="AD39" s="84">
        <v>1</v>
      </c>
      <c r="AE39" s="84">
        <v>1</v>
      </c>
      <c r="AF39" s="84">
        <v>1</v>
      </c>
      <c r="AG39" s="84">
        <v>0</v>
      </c>
      <c r="AH39" s="84">
        <v>0</v>
      </c>
      <c r="AI39" s="84">
        <v>0</v>
      </c>
      <c r="AJ39" s="84">
        <v>0</v>
      </c>
      <c r="AK39" s="84">
        <v>0</v>
      </c>
      <c r="AL39" s="84" cm="1">
        <f t="array" ref="AL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9" s="84" cm="1">
        <f t="array" ref="AM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9" s="84" cm="1">
        <f t="array" ref="AN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9" s="84" cm="1">
        <f t="array" ref="AO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9" s="84" cm="1">
        <f t="array" ref="AP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9" s="84" cm="1">
        <f t="array" ref="AQ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" s="84" cm="1">
        <f t="array" ref="AR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9" s="84" cm="1">
        <f t="array" ref="AS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" s="84" cm="1">
        <f t="array" ref="AT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" s="84" cm="1">
        <f t="array" ref="AU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9" s="84" cm="1">
        <f t="array" ref="AV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9" s="84" cm="1">
        <f t="array" ref="AW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9" s="84" cm="1">
        <f t="array" ref="AX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" s="84" cm="1">
        <f t="array" ref="AY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" s="84" cm="1">
        <f t="array" ref="AZ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" s="84" cm="1">
        <f t="array" ref="BA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" s="84" cm="1">
        <f t="array" ref="BB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" s="84">
        <f>IF(SUM(Table3[[#This Row],[Column2]:[Column18]])&gt;Table3[[#This Row],[Column19]],Table3[[#This Row],[Column19]],SUM(Table3[[#This Row],[Column2]:[Column18]]))</f>
        <v>150000</v>
      </c>
      <c r="BD39" s="2">
        <f>Table3[[#This Row],[Total Spend]]/SUM(Table3[[#This Row],[Column2]:[Column18]])</f>
        <v>0.62073246430788331</v>
      </c>
    </row>
    <row r="40" spans="1:56">
      <c r="A40" s="84" t="s">
        <v>105</v>
      </c>
      <c r="B40" s="84" t="s">
        <v>57</v>
      </c>
      <c r="C40" s="84"/>
      <c r="D40" s="85">
        <v>45566</v>
      </c>
      <c r="E40" s="85" t="s">
        <v>92</v>
      </c>
      <c r="F40" s="84">
        <f>INDEX(Definitions!$G$13:$G$17,MATCH(Table3[[#This Row],[Propensity to buy/ buyer readiness]],Definitions!$A$13:$A$17,0))</f>
        <v>150000</v>
      </c>
      <c r="G40" s="86">
        <v>5</v>
      </c>
      <c r="H40" s="86">
        <v>5</v>
      </c>
      <c r="I40" s="86">
        <v>5</v>
      </c>
      <c r="J40" s="86">
        <v>5</v>
      </c>
      <c r="K40" s="86">
        <v>4</v>
      </c>
      <c r="L40" s="86">
        <f>SUM(Table3[[#This Row],[Strategic priority segment]:[Propensity to buy/ buyer readiness]])</f>
        <v>24</v>
      </c>
      <c r="M40" s="86" t="s">
        <v>59</v>
      </c>
      <c r="N40" s="84" t="s">
        <v>60</v>
      </c>
      <c r="O40" s="84" t="s">
        <v>63</v>
      </c>
      <c r="P40" s="87"/>
      <c r="Q40" s="87"/>
      <c r="R40" s="84"/>
      <c r="S40" s="87"/>
      <c r="T40" s="87"/>
      <c r="U40" s="84">
        <v>1</v>
      </c>
      <c r="V40" s="84">
        <v>1</v>
      </c>
      <c r="W40" s="84">
        <v>1</v>
      </c>
      <c r="X40" s="84">
        <v>1</v>
      </c>
      <c r="Y40" s="84">
        <v>1</v>
      </c>
      <c r="Z40" s="84">
        <v>0</v>
      </c>
      <c r="AA40" s="84">
        <v>1</v>
      </c>
      <c r="AB40" s="84">
        <v>0</v>
      </c>
      <c r="AC40" s="84">
        <v>0</v>
      </c>
      <c r="AD40" s="84">
        <v>1</v>
      </c>
      <c r="AE40" s="84">
        <v>1</v>
      </c>
      <c r="AF40" s="84">
        <v>1</v>
      </c>
      <c r="AG40" s="84">
        <v>0</v>
      </c>
      <c r="AH40" s="84">
        <v>0</v>
      </c>
      <c r="AI40" s="84">
        <v>0</v>
      </c>
      <c r="AJ40" s="84">
        <v>0</v>
      </c>
      <c r="AK40" s="84">
        <v>0</v>
      </c>
      <c r="AL40" s="84" cm="1">
        <f t="array" ref="AL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" s="84" cm="1">
        <f t="array" ref="AM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40" s="84" cm="1">
        <f t="array" ref="AN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0" s="84" cm="1">
        <f t="array" ref="AO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40" s="84" cm="1">
        <f t="array" ref="AP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40" s="84" cm="1">
        <f t="array" ref="AQ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0" s="84" cm="1">
        <f t="array" ref="AR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" s="84" cm="1">
        <f t="array" ref="AS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0" s="84" cm="1">
        <f t="array" ref="AT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0" s="84" cm="1">
        <f t="array" ref="AU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0" s="84" cm="1">
        <f t="array" ref="AV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0" s="84" cm="1">
        <f t="array" ref="AW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0" s="84" cm="1">
        <f t="array" ref="AX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" s="84" cm="1">
        <f t="array" ref="AY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" s="84" cm="1">
        <f t="array" ref="AZ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" s="84" cm="1">
        <f t="array" ref="BA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" s="84" cm="1">
        <f t="array" ref="BB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" s="84">
        <f>IF(SUM(Table3[[#This Row],[Column2]:[Column18]])&gt;Table3[[#This Row],[Column19]],Table3[[#This Row],[Column19]],SUM(Table3[[#This Row],[Column2]:[Column18]]))</f>
        <v>150000</v>
      </c>
      <c r="BD40" s="2">
        <f>Table3[[#This Row],[Total Spend]]/SUM(Table3[[#This Row],[Column2]:[Column18]])</f>
        <v>0.62073246430788331</v>
      </c>
    </row>
    <row r="41" spans="1:56">
      <c r="A41" s="84" t="s">
        <v>106</v>
      </c>
      <c r="B41" s="84" t="s">
        <v>57</v>
      </c>
      <c r="C41" s="84"/>
      <c r="D41" s="85">
        <v>45566</v>
      </c>
      <c r="E41" s="85" t="s">
        <v>58</v>
      </c>
      <c r="F41" s="84">
        <f>INDEX(Definitions!$G$13:$G$17,MATCH(Table3[[#This Row],[Propensity to buy/ buyer readiness]],Definitions!$A$13:$A$17,0))</f>
        <v>150000</v>
      </c>
      <c r="G41" s="86">
        <v>5</v>
      </c>
      <c r="H41" s="86">
        <v>5</v>
      </c>
      <c r="I41" s="86">
        <v>5</v>
      </c>
      <c r="J41" s="86">
        <v>5</v>
      </c>
      <c r="K41" s="86">
        <v>4</v>
      </c>
      <c r="L41" s="86">
        <f>SUM(Table3[[#This Row],[Strategic priority segment]:[Propensity to buy/ buyer readiness]])</f>
        <v>24</v>
      </c>
      <c r="M41" s="86" t="s">
        <v>59</v>
      </c>
      <c r="N41" s="84" t="s">
        <v>60</v>
      </c>
      <c r="O41" s="84" t="s">
        <v>63</v>
      </c>
      <c r="P41" s="87"/>
      <c r="Q41" s="87"/>
      <c r="R41" s="84"/>
      <c r="S41" s="84"/>
      <c r="T41" s="87"/>
      <c r="U41" s="84">
        <v>1</v>
      </c>
      <c r="V41" s="84">
        <v>1</v>
      </c>
      <c r="W41" s="84">
        <v>1</v>
      </c>
      <c r="X41" s="84">
        <v>1</v>
      </c>
      <c r="Y41" s="84">
        <v>1</v>
      </c>
      <c r="Z41" s="84">
        <v>0</v>
      </c>
      <c r="AA41" s="84">
        <v>1</v>
      </c>
      <c r="AB41" s="84">
        <v>0</v>
      </c>
      <c r="AC41" s="84">
        <v>0</v>
      </c>
      <c r="AD41" s="84">
        <v>1</v>
      </c>
      <c r="AE41" s="84">
        <v>1</v>
      </c>
      <c r="AF41" s="84">
        <v>1</v>
      </c>
      <c r="AG41" s="84">
        <v>0</v>
      </c>
      <c r="AH41" s="84">
        <v>0</v>
      </c>
      <c r="AI41" s="84">
        <v>0</v>
      </c>
      <c r="AJ41" s="84">
        <v>0</v>
      </c>
      <c r="AK41" s="84">
        <v>0</v>
      </c>
      <c r="AL41" s="84" cm="1">
        <f t="array" ref="AL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1" s="84" cm="1">
        <f t="array" ref="AM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41" s="84" cm="1">
        <f t="array" ref="AN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41" s="84" cm="1">
        <f t="array" ref="AO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41" s="84" cm="1">
        <f t="array" ref="AP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41" s="84" cm="1">
        <f t="array" ref="AQ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1" s="84" cm="1">
        <f t="array" ref="AR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1" s="84" cm="1">
        <f t="array" ref="AS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1" s="84" cm="1">
        <f t="array" ref="AT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1" s="84" cm="1">
        <f t="array" ref="AU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1" s="84" cm="1">
        <f t="array" ref="AV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1" s="84" cm="1">
        <f t="array" ref="AW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1" s="84" cm="1">
        <f t="array" ref="AX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" s="84" cm="1">
        <f t="array" ref="AY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" s="84" cm="1">
        <f t="array" ref="AZ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" s="84" cm="1">
        <f t="array" ref="BA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" s="84" cm="1">
        <f t="array" ref="BB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" s="84">
        <f>IF(SUM(Table3[[#This Row],[Column2]:[Column18]])&gt;Table3[[#This Row],[Column19]],Table3[[#This Row],[Column19]],SUM(Table3[[#This Row],[Column2]:[Column18]]))</f>
        <v>150000</v>
      </c>
      <c r="BD41" s="2">
        <f>Table3[[#This Row],[Total Spend]]/SUM(Table3[[#This Row],[Column2]:[Column18]])</f>
        <v>0.44444444444444442</v>
      </c>
    </row>
    <row r="42" spans="1:56">
      <c r="A42" s="84" t="s">
        <v>107</v>
      </c>
      <c r="B42" s="84" t="s">
        <v>57</v>
      </c>
      <c r="C42" s="84"/>
      <c r="D42" s="85">
        <v>45566</v>
      </c>
      <c r="E42" s="85" t="s">
        <v>92</v>
      </c>
      <c r="F42" s="84">
        <f>INDEX(Definitions!$G$13:$G$17,MATCH(Table3[[#This Row],[Propensity to buy/ buyer readiness]],Definitions!$A$13:$A$17,0))</f>
        <v>150000</v>
      </c>
      <c r="G42" s="86">
        <v>5</v>
      </c>
      <c r="H42" s="86">
        <v>5</v>
      </c>
      <c r="I42" s="86">
        <v>5</v>
      </c>
      <c r="J42" s="86">
        <v>5</v>
      </c>
      <c r="K42" s="86">
        <v>4</v>
      </c>
      <c r="L42" s="86">
        <f>SUM(Table3[[#This Row],[Strategic priority segment]:[Propensity to buy/ buyer readiness]])</f>
        <v>24</v>
      </c>
      <c r="M42" s="86" t="s">
        <v>59</v>
      </c>
      <c r="N42" s="84" t="s">
        <v>60</v>
      </c>
      <c r="O42" s="84"/>
      <c r="P42" s="87"/>
      <c r="Q42" s="87"/>
      <c r="R42" s="84"/>
      <c r="S42" s="84"/>
      <c r="T42" s="87"/>
      <c r="U42" s="84">
        <v>1</v>
      </c>
      <c r="V42" s="84">
        <v>1</v>
      </c>
      <c r="W42" s="84">
        <v>1</v>
      </c>
      <c r="X42" s="84">
        <v>1</v>
      </c>
      <c r="Y42" s="84">
        <v>1</v>
      </c>
      <c r="Z42" s="84">
        <v>0</v>
      </c>
      <c r="AA42" s="84">
        <v>0</v>
      </c>
      <c r="AB42" s="84">
        <v>0</v>
      </c>
      <c r="AC42" s="84">
        <v>0</v>
      </c>
      <c r="AD42" s="84">
        <v>1</v>
      </c>
      <c r="AE42" s="84">
        <v>0</v>
      </c>
      <c r="AF42" s="84">
        <v>0</v>
      </c>
      <c r="AG42" s="84">
        <v>0</v>
      </c>
      <c r="AH42" s="84">
        <v>0</v>
      </c>
      <c r="AI42" s="84">
        <v>0</v>
      </c>
      <c r="AJ42" s="84">
        <v>0</v>
      </c>
      <c r="AK42" s="84">
        <v>0</v>
      </c>
      <c r="AL42" s="84" cm="1">
        <f t="array" ref="AL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" s="84" cm="1">
        <f t="array" ref="AM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42" s="84" cm="1">
        <f t="array" ref="AN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2" s="84" cm="1">
        <f t="array" ref="AO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42" s="84" cm="1">
        <f t="array" ref="AP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42" s="84" cm="1">
        <f t="array" ref="AQ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2" s="84" cm="1">
        <f t="array" ref="AR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2" s="84" cm="1">
        <f t="array" ref="AS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2" s="84" cm="1">
        <f t="array" ref="AT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2" s="84" cm="1">
        <f t="array" ref="AU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2" s="84" cm="1">
        <f t="array" ref="AV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" s="84" cm="1">
        <f t="array" ref="AW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" s="84" cm="1">
        <f t="array" ref="AX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" s="84" cm="1">
        <f t="array" ref="AY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" s="84" cm="1">
        <f t="array" ref="AZ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" s="84" cm="1">
        <f t="array" ref="BA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" s="84" cm="1">
        <f t="array" ref="BB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" s="84">
        <f>IF(SUM(Table3[[#This Row],[Column2]:[Column18]])&gt;Table3[[#This Row],[Column19]],Table3[[#This Row],[Column19]],SUM(Table3[[#This Row],[Column2]:[Column18]]))</f>
        <v>150000</v>
      </c>
      <c r="BD42" s="2">
        <f>Table3[[#This Row],[Total Spend]]/SUM(Table3[[#This Row],[Column2]:[Column18]])</f>
        <v>0.80128205128205132</v>
      </c>
    </row>
    <row r="43" spans="1:56">
      <c r="A43" s="84" t="s">
        <v>108</v>
      </c>
      <c r="B43" s="84" t="s">
        <v>57</v>
      </c>
      <c r="C43" s="84"/>
      <c r="D43" s="85">
        <v>45566</v>
      </c>
      <c r="E43" s="85" t="s">
        <v>92</v>
      </c>
      <c r="F43" s="84">
        <f>INDEX(Definitions!$G$13:$G$17,MATCH(Table3[[#This Row],[Propensity to buy/ buyer readiness]],Definitions!$A$13:$A$17,0))</f>
        <v>150000</v>
      </c>
      <c r="G43" s="86">
        <v>5</v>
      </c>
      <c r="H43" s="86">
        <v>5</v>
      </c>
      <c r="I43" s="86">
        <v>5</v>
      </c>
      <c r="J43" s="86">
        <v>5</v>
      </c>
      <c r="K43" s="86">
        <v>4</v>
      </c>
      <c r="L43" s="86">
        <f>SUM(Table3[[#This Row],[Strategic priority segment]:[Propensity to buy/ buyer readiness]])</f>
        <v>24</v>
      </c>
      <c r="M43" s="86" t="s">
        <v>59</v>
      </c>
      <c r="N43" s="84" t="s">
        <v>60</v>
      </c>
      <c r="O43" s="84"/>
      <c r="P43" s="87"/>
      <c r="Q43" s="87"/>
      <c r="R43" s="84"/>
      <c r="S43" s="84"/>
      <c r="T43" s="84"/>
      <c r="U43" s="84">
        <v>1</v>
      </c>
      <c r="V43" s="84">
        <v>1</v>
      </c>
      <c r="W43" s="84">
        <v>1</v>
      </c>
      <c r="X43" s="84">
        <v>1</v>
      </c>
      <c r="Y43" s="84">
        <v>1</v>
      </c>
      <c r="Z43" s="84">
        <v>0</v>
      </c>
      <c r="AA43" s="84">
        <v>0</v>
      </c>
      <c r="AB43" s="84">
        <v>0</v>
      </c>
      <c r="AC43" s="84">
        <v>0</v>
      </c>
      <c r="AD43" s="84">
        <v>1</v>
      </c>
      <c r="AE43" s="84">
        <v>0</v>
      </c>
      <c r="AF43" s="84">
        <v>0</v>
      </c>
      <c r="AG43" s="84">
        <v>0</v>
      </c>
      <c r="AH43" s="84">
        <v>0</v>
      </c>
      <c r="AI43" s="84">
        <v>0</v>
      </c>
      <c r="AJ43" s="84">
        <v>0</v>
      </c>
      <c r="AK43" s="84">
        <v>0</v>
      </c>
      <c r="AL43" s="84" cm="1">
        <f t="array" ref="AL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" s="84" cm="1">
        <f t="array" ref="AM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43" s="84" cm="1">
        <f t="array" ref="AN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3" s="84" cm="1">
        <f t="array" ref="AO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43" s="84" cm="1">
        <f t="array" ref="AP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43" s="84" cm="1">
        <f t="array" ref="AQ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3" s="84" cm="1">
        <f t="array" ref="AR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3" s="84" cm="1">
        <f t="array" ref="AS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3" s="84" cm="1">
        <f t="array" ref="AT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3" s="84" cm="1">
        <f t="array" ref="AU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3" s="84" cm="1">
        <f t="array" ref="AV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" s="84" cm="1">
        <f t="array" ref="AW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" s="84" cm="1">
        <f t="array" ref="AX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" s="84" cm="1">
        <f t="array" ref="AY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" s="84" cm="1">
        <f t="array" ref="AZ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" s="84" cm="1">
        <f t="array" ref="BA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" s="84" cm="1">
        <f t="array" ref="BB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" s="84">
        <f>IF(SUM(Table3[[#This Row],[Column2]:[Column18]])&gt;Table3[[#This Row],[Column19]],Table3[[#This Row],[Column19]],SUM(Table3[[#This Row],[Column2]:[Column18]]))</f>
        <v>150000</v>
      </c>
      <c r="BD43" s="2">
        <f>Table3[[#This Row],[Total Spend]]/SUM(Table3[[#This Row],[Column2]:[Column18]])</f>
        <v>0.80128205128205132</v>
      </c>
    </row>
    <row r="44" spans="1:56">
      <c r="A44" s="84" t="s">
        <v>109</v>
      </c>
      <c r="B44" s="84" t="s">
        <v>57</v>
      </c>
      <c r="C44" s="84" t="s">
        <v>57</v>
      </c>
      <c r="D44" s="85">
        <v>45566</v>
      </c>
      <c r="E44" s="85" t="s">
        <v>92</v>
      </c>
      <c r="F44" s="84">
        <f>INDEX(Definitions!$G$13:$G$17,MATCH(Table3[[#This Row],[Propensity to buy/ buyer readiness]],Definitions!$A$13:$A$17,0))</f>
        <v>150000</v>
      </c>
      <c r="G44" s="86">
        <v>5</v>
      </c>
      <c r="H44" s="86">
        <v>5</v>
      </c>
      <c r="I44" s="86">
        <v>5</v>
      </c>
      <c r="J44" s="86">
        <v>5</v>
      </c>
      <c r="K44" s="86">
        <v>4</v>
      </c>
      <c r="L44" s="86">
        <f>SUM(Table3[[#This Row],[Strategic priority segment]:[Propensity to buy/ buyer readiness]])</f>
        <v>24</v>
      </c>
      <c r="M44" s="86" t="s">
        <v>59</v>
      </c>
      <c r="N44" s="84" t="s">
        <v>60</v>
      </c>
      <c r="O44" s="87" t="s">
        <v>85</v>
      </c>
      <c r="P44" s="87"/>
      <c r="Q44" s="87"/>
      <c r="R44" s="84"/>
      <c r="S44" s="87"/>
      <c r="T44" s="87"/>
      <c r="U44" s="84">
        <v>1</v>
      </c>
      <c r="V44" s="84">
        <v>1</v>
      </c>
      <c r="W44" s="84">
        <v>1</v>
      </c>
      <c r="X44" s="84">
        <v>1</v>
      </c>
      <c r="Y44" s="84">
        <v>1</v>
      </c>
      <c r="Z44" s="84">
        <v>0</v>
      </c>
      <c r="AA44" s="84">
        <v>0</v>
      </c>
      <c r="AB44" s="84">
        <v>0</v>
      </c>
      <c r="AC44" s="84">
        <v>0</v>
      </c>
      <c r="AD44" s="84">
        <v>1</v>
      </c>
      <c r="AE44" s="84">
        <v>0</v>
      </c>
      <c r="AF44" s="84">
        <v>0</v>
      </c>
      <c r="AG44" s="84">
        <v>0</v>
      </c>
      <c r="AH44" s="84">
        <v>0</v>
      </c>
      <c r="AI44" s="84">
        <v>0</v>
      </c>
      <c r="AJ44" s="84">
        <v>0</v>
      </c>
      <c r="AK44" s="84">
        <v>0</v>
      </c>
      <c r="AL44" s="84" cm="1">
        <f t="array" ref="AL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" s="84" cm="1">
        <f t="array" ref="AM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44" s="84" cm="1">
        <f t="array" ref="AN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4" s="84" cm="1">
        <f t="array" ref="AO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44" s="84" cm="1">
        <f t="array" ref="AP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44" s="84" cm="1">
        <f t="array" ref="AQ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4" s="84" cm="1">
        <f t="array" ref="AR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4" s="84" cm="1">
        <f t="array" ref="AS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4" s="84" cm="1">
        <f t="array" ref="AT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4" s="84" cm="1">
        <f t="array" ref="AU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4" s="84" cm="1">
        <f t="array" ref="AV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" s="84" cm="1">
        <f t="array" ref="AW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" s="84" cm="1">
        <f t="array" ref="AX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" s="84" cm="1">
        <f t="array" ref="AY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" s="84" cm="1">
        <f t="array" ref="AZ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" s="84" cm="1">
        <f t="array" ref="BA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" s="84" cm="1">
        <f t="array" ref="BB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" s="84">
        <f>IF(SUM(Table3[[#This Row],[Column2]:[Column18]])&gt;Table3[[#This Row],[Column19]],Table3[[#This Row],[Column19]],SUM(Table3[[#This Row],[Column2]:[Column18]]))</f>
        <v>150000</v>
      </c>
      <c r="BD44" s="2">
        <f>Table3[[#This Row],[Total Spend]]/SUM(Table3[[#This Row],[Column2]:[Column18]])</f>
        <v>0.80128205128205132</v>
      </c>
    </row>
    <row r="45" spans="1:56">
      <c r="A45" s="84" t="s">
        <v>110</v>
      </c>
      <c r="B45" s="84" t="s">
        <v>57</v>
      </c>
      <c r="C45" s="84" t="s">
        <v>57</v>
      </c>
      <c r="D45" s="85">
        <v>45566</v>
      </c>
      <c r="E45" s="85" t="s">
        <v>58</v>
      </c>
      <c r="F45" s="84">
        <f>INDEX(Definitions!$G$13:$G$17,MATCH(Table3[[#This Row],[Propensity to buy/ buyer readiness]],Definitions!$A$13:$A$17,0))</f>
        <v>250000</v>
      </c>
      <c r="G45" s="86">
        <v>5</v>
      </c>
      <c r="H45" s="86">
        <v>5</v>
      </c>
      <c r="I45" s="86">
        <v>5</v>
      </c>
      <c r="J45" s="86">
        <v>4</v>
      </c>
      <c r="K45" s="86">
        <v>5</v>
      </c>
      <c r="L45" s="86">
        <f>SUM(Table3[[#This Row],[Strategic priority segment]:[Propensity to buy/ buyer readiness]])</f>
        <v>24</v>
      </c>
      <c r="M45" s="86" t="s">
        <v>102</v>
      </c>
      <c r="N45" s="84" t="s">
        <v>61</v>
      </c>
      <c r="O45" s="84"/>
      <c r="P45" s="87"/>
      <c r="Q45" s="87"/>
      <c r="R45" s="84"/>
      <c r="S45" s="84"/>
      <c r="T45" s="87"/>
      <c r="U45" s="84">
        <v>1</v>
      </c>
      <c r="V45" s="84">
        <v>0</v>
      </c>
      <c r="W45" s="84">
        <v>0</v>
      </c>
      <c r="X45" s="84">
        <v>0</v>
      </c>
      <c r="Y45" s="84">
        <v>0</v>
      </c>
      <c r="Z45" s="84">
        <v>1</v>
      </c>
      <c r="AA45" s="84">
        <v>1</v>
      </c>
      <c r="AB45" s="84">
        <v>1</v>
      </c>
      <c r="AC45" s="84">
        <v>1</v>
      </c>
      <c r="AD45" s="84">
        <v>0</v>
      </c>
      <c r="AE45" s="84">
        <v>0</v>
      </c>
      <c r="AF45" s="84">
        <v>0</v>
      </c>
      <c r="AG45" s="84">
        <v>0</v>
      </c>
      <c r="AH45" s="84">
        <v>0</v>
      </c>
      <c r="AI45" s="84">
        <v>0</v>
      </c>
      <c r="AJ45" s="84">
        <v>0</v>
      </c>
      <c r="AK45" s="84">
        <v>0</v>
      </c>
      <c r="AL45" s="84" cm="1">
        <f t="array" ref="AL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5" s="84" cm="1">
        <f t="array" ref="AM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" s="84" cm="1">
        <f t="array" ref="AN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" s="84" cm="1">
        <f t="array" ref="AO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" s="84" cm="1">
        <f t="array" ref="AP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" s="84" cm="1">
        <f t="array" ref="AQ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5" s="84" cm="1">
        <f t="array" ref="AR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5" s="84" cm="1">
        <f t="array" ref="AS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5" s="84" cm="1">
        <f t="array" ref="AT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45" s="84" cm="1">
        <f t="array" ref="AU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" s="84" cm="1">
        <f t="array" ref="AV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" s="84" cm="1">
        <f t="array" ref="AW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" s="84" cm="1">
        <f t="array" ref="AX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" s="84" cm="1">
        <f t="array" ref="AY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" s="84" cm="1">
        <f t="array" ref="AZ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" s="84" cm="1">
        <f t="array" ref="BA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" s="84" cm="1">
        <f t="array" ref="BB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" s="84">
        <f>IF(SUM(Table3[[#This Row],[Column2]:[Column18]])&gt;Table3[[#This Row],[Column19]],Table3[[#This Row],[Column19]],SUM(Table3[[#This Row],[Column2]:[Column18]]))</f>
        <v>140400</v>
      </c>
      <c r="BD45" s="2">
        <f>Table3[[#This Row],[Total Spend]]/SUM(Table3[[#This Row],[Column2]:[Column18]])</f>
        <v>1</v>
      </c>
    </row>
    <row r="46" spans="1:56">
      <c r="A46" s="84" t="s">
        <v>111</v>
      </c>
      <c r="B46" s="84" t="s">
        <v>57</v>
      </c>
      <c r="C46" s="84" t="s">
        <v>57</v>
      </c>
      <c r="D46" s="85">
        <v>45566</v>
      </c>
      <c r="E46" s="86" t="s">
        <v>58</v>
      </c>
      <c r="F46" s="86">
        <f>INDEX(Definitions!$G$13:$G$17,MATCH(Table3[[#This Row],[Propensity to buy/ buyer readiness]],Definitions!$A$13:$A$17,0))</f>
        <v>250000</v>
      </c>
      <c r="G46" s="86">
        <v>5</v>
      </c>
      <c r="H46" s="86">
        <v>5</v>
      </c>
      <c r="I46" s="86">
        <v>5</v>
      </c>
      <c r="J46" s="86">
        <v>4</v>
      </c>
      <c r="K46" s="86">
        <v>5</v>
      </c>
      <c r="L46" s="86">
        <f>SUM(Table3[[#This Row],[Strategic priority segment]:[Propensity to buy/ buyer readiness]])</f>
        <v>24</v>
      </c>
      <c r="M46" s="86" t="s">
        <v>59</v>
      </c>
      <c r="N46" s="84" t="s">
        <v>63</v>
      </c>
      <c r="O46" s="84" t="s">
        <v>61</v>
      </c>
      <c r="P46" s="87" t="s">
        <v>60</v>
      </c>
      <c r="Q46" s="87"/>
      <c r="R46" s="84"/>
      <c r="S46" s="84"/>
      <c r="T46" s="87"/>
      <c r="U46" s="84">
        <v>1</v>
      </c>
      <c r="V46" s="84">
        <v>1</v>
      </c>
      <c r="W46" s="84">
        <v>1</v>
      </c>
      <c r="X46" s="84">
        <v>1</v>
      </c>
      <c r="Y46" s="84">
        <v>1</v>
      </c>
      <c r="Z46" s="84">
        <v>1</v>
      </c>
      <c r="AA46" s="84">
        <v>1</v>
      </c>
      <c r="AB46" s="84">
        <v>1</v>
      </c>
      <c r="AC46" s="84">
        <v>1</v>
      </c>
      <c r="AD46" s="84">
        <v>1</v>
      </c>
      <c r="AE46" s="84">
        <v>1</v>
      </c>
      <c r="AF46" s="84">
        <v>1</v>
      </c>
      <c r="AG46" s="84">
        <v>0</v>
      </c>
      <c r="AH46" s="84">
        <v>0</v>
      </c>
      <c r="AI46" s="84">
        <v>0</v>
      </c>
      <c r="AJ46" s="84">
        <v>0</v>
      </c>
      <c r="AK46" s="84">
        <v>0</v>
      </c>
      <c r="AL46" s="84" cm="1">
        <f t="array" ref="AL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6" s="84" cm="1">
        <f t="array" ref="AM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46" s="84" cm="1">
        <f t="array" ref="AN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46" s="84" cm="1">
        <f t="array" ref="AO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46" s="84" cm="1">
        <f t="array" ref="AP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46" s="84" cm="1">
        <f t="array" ref="AQ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6" s="84" cm="1">
        <f t="array" ref="AR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6" s="84" cm="1">
        <f t="array" ref="AS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6" s="84" cm="1">
        <f t="array" ref="AT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46" s="84" cm="1">
        <f t="array" ref="AU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6" s="84" cm="1">
        <f t="array" ref="AV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6" s="84" cm="1">
        <f t="array" ref="AW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6" s="84" cm="1">
        <f t="array" ref="AX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" s="84" cm="1">
        <f t="array" ref="AY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" s="84" cm="1">
        <f t="array" ref="AZ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" s="84" cm="1">
        <f t="array" ref="BA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" s="84" cm="1">
        <f t="array" ref="BB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" s="84">
        <f>IF(SUM(Table3[[#This Row],[Column2]:[Column18]])&gt;Table3[[#This Row],[Column19]],Table3[[#This Row],[Column19]],SUM(Table3[[#This Row],[Column2]:[Column18]]))</f>
        <v>250000</v>
      </c>
      <c r="BD46" s="2">
        <f>Table3[[#This Row],[Total Spend]]/SUM(Table3[[#This Row],[Column2]:[Column18]])</f>
        <v>0.56003584229390679</v>
      </c>
    </row>
    <row r="47" spans="1:56">
      <c r="A47" s="84" t="s">
        <v>112</v>
      </c>
      <c r="B47" s="84" t="s">
        <v>57</v>
      </c>
      <c r="C47" s="84" t="s">
        <v>57</v>
      </c>
      <c r="D47" s="85">
        <v>45566</v>
      </c>
      <c r="E47" s="86" t="s">
        <v>58</v>
      </c>
      <c r="F47" s="86">
        <f>INDEX(Definitions!$G$13:$G$17,MATCH(Table3[[#This Row],[Propensity to buy/ buyer readiness]],Definitions!$A$13:$A$17,0))</f>
        <v>250000</v>
      </c>
      <c r="G47" s="86">
        <v>5</v>
      </c>
      <c r="H47" s="86">
        <v>5</v>
      </c>
      <c r="I47" s="86">
        <v>5</v>
      </c>
      <c r="J47" s="86">
        <v>4</v>
      </c>
      <c r="K47" s="86">
        <v>5</v>
      </c>
      <c r="L47" s="86">
        <f>SUM(Table3[[#This Row],[Strategic priority segment]:[Propensity to buy/ buyer readiness]])</f>
        <v>24</v>
      </c>
      <c r="M47" s="86" t="s">
        <v>59</v>
      </c>
      <c r="N47" s="84" t="s">
        <v>63</v>
      </c>
      <c r="O47" s="84" t="s">
        <v>61</v>
      </c>
      <c r="P47" s="87" t="s">
        <v>60</v>
      </c>
      <c r="Q47" s="87"/>
      <c r="R47" s="84"/>
      <c r="S47" s="84"/>
      <c r="T47" s="87"/>
      <c r="U47" s="84">
        <v>1</v>
      </c>
      <c r="V47" s="84">
        <v>1</v>
      </c>
      <c r="W47" s="84">
        <v>1</v>
      </c>
      <c r="X47" s="84">
        <v>1</v>
      </c>
      <c r="Y47" s="84">
        <v>1</v>
      </c>
      <c r="Z47" s="84">
        <v>1</v>
      </c>
      <c r="AA47" s="84">
        <v>1</v>
      </c>
      <c r="AB47" s="84">
        <v>1</v>
      </c>
      <c r="AC47" s="84">
        <v>1</v>
      </c>
      <c r="AD47" s="84">
        <v>1</v>
      </c>
      <c r="AE47" s="84">
        <v>1</v>
      </c>
      <c r="AF47" s="84">
        <v>1</v>
      </c>
      <c r="AG47" s="84">
        <v>0</v>
      </c>
      <c r="AH47" s="84">
        <v>0</v>
      </c>
      <c r="AI47" s="84">
        <v>0</v>
      </c>
      <c r="AJ47" s="84">
        <v>0</v>
      </c>
      <c r="AK47" s="84">
        <v>0</v>
      </c>
      <c r="AL47" s="84" cm="1">
        <f t="array" ref="AL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7" s="84" cm="1">
        <f t="array" ref="AM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47" s="84" cm="1">
        <f t="array" ref="AN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47" s="84" cm="1">
        <f t="array" ref="AO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47" s="84" cm="1">
        <f t="array" ref="AP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47" s="84" cm="1">
        <f t="array" ref="AQ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7" s="84" cm="1">
        <f t="array" ref="AR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7" s="84" cm="1">
        <f t="array" ref="AS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7" s="84" cm="1">
        <f t="array" ref="AT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47" s="84" cm="1">
        <f t="array" ref="AU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7" s="84" cm="1">
        <f t="array" ref="AV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7" s="84" cm="1">
        <f t="array" ref="AW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7" s="84" cm="1">
        <f t="array" ref="AX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" s="84" cm="1">
        <f t="array" ref="AY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" s="84" cm="1">
        <f t="array" ref="AZ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" s="84" cm="1">
        <f t="array" ref="BA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" s="84" cm="1">
        <f t="array" ref="BB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" s="84">
        <f>IF(SUM(Table3[[#This Row],[Column2]:[Column18]])&gt;Table3[[#This Row],[Column19]],Table3[[#This Row],[Column19]],SUM(Table3[[#This Row],[Column2]:[Column18]]))</f>
        <v>250000</v>
      </c>
      <c r="BD47" s="2">
        <f>Table3[[#This Row],[Total Spend]]/SUM(Table3[[#This Row],[Column2]:[Column18]])</f>
        <v>0.56003584229390679</v>
      </c>
    </row>
    <row r="48" spans="1:56">
      <c r="A48" s="84" t="s">
        <v>113</v>
      </c>
      <c r="B48" s="84" t="s">
        <v>57</v>
      </c>
      <c r="C48" s="84"/>
      <c r="D48" s="85">
        <v>45566</v>
      </c>
      <c r="E48" s="85" t="s">
        <v>92</v>
      </c>
      <c r="F48" s="84">
        <f>INDEX(Definitions!$G$13:$G$17,MATCH(Table3[[#This Row],[Propensity to buy/ buyer readiness]],Definitions!$A$13:$A$17,0))</f>
        <v>150000</v>
      </c>
      <c r="G48" s="86">
        <v>5</v>
      </c>
      <c r="H48" s="86">
        <v>5</v>
      </c>
      <c r="I48" s="86">
        <v>5</v>
      </c>
      <c r="J48" s="86">
        <v>5</v>
      </c>
      <c r="K48" s="86">
        <v>4</v>
      </c>
      <c r="L48" s="86">
        <f>SUM(Table3[[#This Row],[Strategic priority segment]:[Propensity to buy/ buyer readiness]])</f>
        <v>24</v>
      </c>
      <c r="M48" s="86" t="s">
        <v>59</v>
      </c>
      <c r="N48" s="84" t="s">
        <v>60</v>
      </c>
      <c r="O48" s="84"/>
      <c r="P48" s="87"/>
      <c r="Q48" s="87"/>
      <c r="R48" s="84"/>
      <c r="S48" s="84"/>
      <c r="T48" s="87"/>
      <c r="U48" s="84">
        <v>1</v>
      </c>
      <c r="V48" s="84">
        <v>1</v>
      </c>
      <c r="W48" s="84">
        <v>1</v>
      </c>
      <c r="X48" s="84">
        <v>1</v>
      </c>
      <c r="Y48" s="84">
        <v>1</v>
      </c>
      <c r="Z48" s="84">
        <v>0</v>
      </c>
      <c r="AA48" s="84">
        <v>0</v>
      </c>
      <c r="AB48" s="84">
        <v>0</v>
      </c>
      <c r="AC48" s="84">
        <v>0</v>
      </c>
      <c r="AD48" s="84">
        <v>1</v>
      </c>
      <c r="AE48" s="84">
        <v>0</v>
      </c>
      <c r="AF48" s="84">
        <v>0</v>
      </c>
      <c r="AG48" s="84">
        <v>0</v>
      </c>
      <c r="AH48" s="84">
        <v>0</v>
      </c>
      <c r="AI48" s="84">
        <v>0</v>
      </c>
      <c r="AJ48" s="84">
        <v>0</v>
      </c>
      <c r="AK48" s="84">
        <v>0</v>
      </c>
      <c r="AL48" s="84" cm="1">
        <f t="array" ref="AL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" s="84" cm="1">
        <f t="array" ref="AM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48" s="84" cm="1">
        <f t="array" ref="AN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8" s="84" cm="1">
        <f t="array" ref="AO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48" s="84" cm="1">
        <f t="array" ref="AP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48" s="84" cm="1">
        <f t="array" ref="AQ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8" s="84" cm="1">
        <f t="array" ref="AR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8" s="84" cm="1">
        <f t="array" ref="AS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8" s="84" cm="1">
        <f t="array" ref="AT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8" s="84" cm="1">
        <f t="array" ref="AU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8" s="84" cm="1">
        <f t="array" ref="AV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" s="84" cm="1">
        <f t="array" ref="AW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" s="84" cm="1">
        <f t="array" ref="AX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" s="84" cm="1">
        <f t="array" ref="AY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" s="84" cm="1">
        <f t="array" ref="AZ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" s="84" cm="1">
        <f t="array" ref="BA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" s="84" cm="1">
        <f t="array" ref="BB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" s="84">
        <f>IF(SUM(Table3[[#This Row],[Column2]:[Column18]])&gt;Table3[[#This Row],[Column19]],Table3[[#This Row],[Column19]],SUM(Table3[[#This Row],[Column2]:[Column18]]))</f>
        <v>150000</v>
      </c>
      <c r="BD48" s="2">
        <f>Table3[[#This Row],[Total Spend]]/SUM(Table3[[#This Row],[Column2]:[Column18]])</f>
        <v>0.80128205128205132</v>
      </c>
    </row>
    <row r="49" spans="1:56">
      <c r="A49" s="84" t="s">
        <v>114</v>
      </c>
      <c r="B49" s="84" t="s">
        <v>57</v>
      </c>
      <c r="C49" s="84"/>
      <c r="D49" s="85">
        <v>45566</v>
      </c>
      <c r="E49" s="85" t="s">
        <v>58</v>
      </c>
      <c r="F49" s="84">
        <f>INDEX(Definitions!$G$13:$G$17,MATCH(Table3[[#This Row],[Propensity to buy/ buyer readiness]],Definitions!$A$13:$A$17,0))</f>
        <v>250000</v>
      </c>
      <c r="G49" s="86">
        <v>5</v>
      </c>
      <c r="H49" s="86">
        <v>5</v>
      </c>
      <c r="I49" s="86">
        <v>5</v>
      </c>
      <c r="J49" s="86">
        <v>4</v>
      </c>
      <c r="K49" s="86">
        <v>5</v>
      </c>
      <c r="L49" s="86">
        <f>SUM(Table3[[#This Row],[Strategic priority segment]:[Propensity to buy/ buyer readiness]])</f>
        <v>24</v>
      </c>
      <c r="M49" s="86" t="s">
        <v>59</v>
      </c>
      <c r="N49" s="84" t="s">
        <v>63</v>
      </c>
      <c r="O49" s="84"/>
      <c r="P49" s="87"/>
      <c r="Q49" s="87"/>
      <c r="R49" s="84"/>
      <c r="S49" s="84"/>
      <c r="T49" s="87"/>
      <c r="U49" s="84">
        <v>1</v>
      </c>
      <c r="V49" s="84">
        <v>0</v>
      </c>
      <c r="W49" s="84">
        <v>1</v>
      </c>
      <c r="X49" s="84">
        <v>0</v>
      </c>
      <c r="Y49" s="84">
        <v>0</v>
      </c>
      <c r="Z49" s="84">
        <v>0</v>
      </c>
      <c r="AA49" s="84">
        <v>1</v>
      </c>
      <c r="AB49" s="84">
        <v>0</v>
      </c>
      <c r="AC49" s="84">
        <v>0</v>
      </c>
      <c r="AD49" s="84">
        <v>1</v>
      </c>
      <c r="AE49" s="84">
        <v>1</v>
      </c>
      <c r="AF49" s="84">
        <v>1</v>
      </c>
      <c r="AG49" s="84">
        <v>0</v>
      </c>
      <c r="AH49" s="84">
        <v>0</v>
      </c>
      <c r="AI49" s="84">
        <v>0</v>
      </c>
      <c r="AJ49" s="84">
        <v>0</v>
      </c>
      <c r="AK49" s="84">
        <v>0</v>
      </c>
      <c r="AL49" s="84" cm="1">
        <f t="array" ref="AL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9" s="84" cm="1">
        <f t="array" ref="AM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" s="84" cm="1">
        <f t="array" ref="AN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49" s="84" cm="1">
        <f t="array" ref="AO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" s="84" cm="1">
        <f t="array" ref="AP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" s="84" cm="1">
        <f t="array" ref="AQ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9" s="84" cm="1">
        <f t="array" ref="AR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9" s="84" cm="1">
        <f t="array" ref="AS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9" s="84" cm="1">
        <f t="array" ref="AT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9" s="84" cm="1">
        <f t="array" ref="AU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9" s="84" cm="1">
        <f t="array" ref="AV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9" s="84" cm="1">
        <f t="array" ref="AW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9" s="84" cm="1">
        <f t="array" ref="AX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" s="84" cm="1">
        <f t="array" ref="AY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" s="84" cm="1">
        <f t="array" ref="AZ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" s="84" cm="1">
        <f t="array" ref="BA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" s="84" cm="1">
        <f t="array" ref="BB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" s="84">
        <f>IF(SUM(Table3[[#This Row],[Column2]:[Column18]])&gt;Table3[[#This Row],[Column19]],Table3[[#This Row],[Column19]],SUM(Table3[[#This Row],[Column2]:[Column18]]))</f>
        <v>189900</v>
      </c>
      <c r="BD49" s="2">
        <f>Table3[[#This Row],[Total Spend]]/SUM(Table3[[#This Row],[Column2]:[Column18]])</f>
        <v>1</v>
      </c>
    </row>
    <row r="50" spans="1:56" ht="28.5">
      <c r="A50" s="84" t="s">
        <v>115</v>
      </c>
      <c r="B50" s="84" t="s">
        <v>57</v>
      </c>
      <c r="C50" s="84" t="s">
        <v>57</v>
      </c>
      <c r="D50" s="85">
        <v>45566</v>
      </c>
      <c r="E50" s="85" t="s">
        <v>58</v>
      </c>
      <c r="F50" s="84">
        <f>INDEX(Definitions!$G$13:$G$17,MATCH(Table3[[#This Row],[Propensity to buy/ buyer readiness]],Definitions!$A$13:$A$17,0))</f>
        <v>250000</v>
      </c>
      <c r="G50" s="86">
        <v>5</v>
      </c>
      <c r="H50" s="86">
        <v>5</v>
      </c>
      <c r="I50" s="86">
        <v>5</v>
      </c>
      <c r="J50" s="86">
        <v>4</v>
      </c>
      <c r="K50" s="86">
        <v>5</v>
      </c>
      <c r="L50" s="86">
        <f>SUM(Table3[[#This Row],[Strategic priority segment]:[Propensity to buy/ buyer readiness]])</f>
        <v>24</v>
      </c>
      <c r="M50" s="86" t="s">
        <v>102</v>
      </c>
      <c r="N50" s="84" t="s">
        <v>61</v>
      </c>
      <c r="O50" s="84" t="s">
        <v>60</v>
      </c>
      <c r="P50" s="87" t="s">
        <v>63</v>
      </c>
      <c r="Q50" s="87" t="s">
        <v>62</v>
      </c>
      <c r="R50" s="84"/>
      <c r="S50" s="84"/>
      <c r="T50" s="87"/>
      <c r="U50" s="84">
        <v>1</v>
      </c>
      <c r="V50" s="84">
        <v>1</v>
      </c>
      <c r="W50" s="84">
        <v>1</v>
      </c>
      <c r="X50" s="84">
        <v>1</v>
      </c>
      <c r="Y50" s="84">
        <v>1</v>
      </c>
      <c r="Z50" s="84">
        <v>1</v>
      </c>
      <c r="AA50" s="84">
        <v>1</v>
      </c>
      <c r="AB50" s="84">
        <v>1</v>
      </c>
      <c r="AC50" s="84">
        <v>1</v>
      </c>
      <c r="AD50" s="84">
        <v>1</v>
      </c>
      <c r="AE50" s="84">
        <v>1</v>
      </c>
      <c r="AF50" s="84">
        <v>1</v>
      </c>
      <c r="AG50" s="84">
        <v>1</v>
      </c>
      <c r="AH50" s="84">
        <v>0</v>
      </c>
      <c r="AI50" s="84">
        <v>0</v>
      </c>
      <c r="AJ50" s="84">
        <v>0</v>
      </c>
      <c r="AK50" s="84">
        <v>0</v>
      </c>
      <c r="AL50" s="84" cm="1">
        <f t="array" ref="AL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0" s="84" cm="1">
        <f t="array" ref="AM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50" s="84" cm="1">
        <f t="array" ref="AN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50" s="84" cm="1">
        <f t="array" ref="AO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50" s="84" cm="1">
        <f t="array" ref="AP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50" s="84" cm="1">
        <f t="array" ref="AQ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0" s="84" cm="1">
        <f t="array" ref="AR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0" s="84" cm="1">
        <f t="array" ref="AS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0" s="84" cm="1">
        <f t="array" ref="AT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0" s="84" cm="1">
        <f t="array" ref="AU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0" s="84" cm="1">
        <f t="array" ref="AV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0" s="84" cm="1">
        <f t="array" ref="AW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0" s="84" cm="1">
        <f t="array" ref="AX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0" s="84" cm="1">
        <f t="array" ref="AY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" s="84" cm="1">
        <f t="array" ref="AZ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" s="84" cm="1">
        <f t="array" ref="BA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" s="84" cm="1">
        <f t="array" ref="BB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" s="84">
        <f>IF(SUM(Table3[[#This Row],[Column2]:[Column18]])&gt;Table3[[#This Row],[Column19]],Table3[[#This Row],[Column19]],SUM(Table3[[#This Row],[Column2]:[Column18]]))</f>
        <v>250000</v>
      </c>
      <c r="BD50" s="2">
        <f>Table3[[#This Row],[Total Spend]]/SUM(Table3[[#This Row],[Column2]:[Column18]])</f>
        <v>0.51824212271973469</v>
      </c>
    </row>
    <row r="51" spans="1:56">
      <c r="A51" s="84" t="s">
        <v>116</v>
      </c>
      <c r="B51" s="84" t="s">
        <v>57</v>
      </c>
      <c r="C51" s="84"/>
      <c r="D51" s="85">
        <v>45566</v>
      </c>
      <c r="E51" s="85" t="s">
        <v>92</v>
      </c>
      <c r="F51" s="84">
        <f>INDEX(Definitions!$G$13:$G$17,MATCH(Table3[[#This Row],[Propensity to buy/ buyer readiness]],Definitions!$A$13:$A$17,0))</f>
        <v>150000</v>
      </c>
      <c r="G51" s="86">
        <v>5</v>
      </c>
      <c r="H51" s="86">
        <v>5</v>
      </c>
      <c r="I51" s="86">
        <v>5</v>
      </c>
      <c r="J51" s="86">
        <v>5</v>
      </c>
      <c r="K51" s="86">
        <v>4</v>
      </c>
      <c r="L51" s="86">
        <f>SUM(Table3[[#This Row],[Strategic priority segment]:[Propensity to buy/ buyer readiness]])</f>
        <v>24</v>
      </c>
      <c r="M51" s="86" t="s">
        <v>59</v>
      </c>
      <c r="N51" s="84" t="s">
        <v>60</v>
      </c>
      <c r="O51" s="84"/>
      <c r="P51" s="87"/>
      <c r="Q51" s="87"/>
      <c r="R51" s="84"/>
      <c r="S51" s="84"/>
      <c r="T51" s="87"/>
      <c r="U51" s="84">
        <v>1</v>
      </c>
      <c r="V51" s="84">
        <v>1</v>
      </c>
      <c r="W51" s="84">
        <v>1</v>
      </c>
      <c r="X51" s="84">
        <v>1</v>
      </c>
      <c r="Y51" s="84">
        <v>1</v>
      </c>
      <c r="Z51" s="84">
        <v>0</v>
      </c>
      <c r="AA51" s="84">
        <v>0</v>
      </c>
      <c r="AB51" s="84">
        <v>0</v>
      </c>
      <c r="AC51" s="84">
        <v>0</v>
      </c>
      <c r="AD51" s="84">
        <v>1</v>
      </c>
      <c r="AE51" s="84">
        <v>0</v>
      </c>
      <c r="AF51" s="84">
        <v>0</v>
      </c>
      <c r="AG51" s="84">
        <v>0</v>
      </c>
      <c r="AH51" s="84">
        <v>0</v>
      </c>
      <c r="AI51" s="84">
        <v>0</v>
      </c>
      <c r="AJ51" s="84">
        <v>0</v>
      </c>
      <c r="AK51" s="84">
        <v>0</v>
      </c>
      <c r="AL51" s="84" cm="1">
        <f t="array" ref="AL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" s="84" cm="1">
        <f t="array" ref="AM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51" s="84" cm="1">
        <f t="array" ref="AN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51" s="84" cm="1">
        <f t="array" ref="AO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51" s="84" cm="1">
        <f t="array" ref="AP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51" s="84" cm="1">
        <f t="array" ref="AQ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1" s="84" cm="1">
        <f t="array" ref="AR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1" s="84" cm="1">
        <f t="array" ref="AS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1" s="84" cm="1">
        <f t="array" ref="AT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1" s="84" cm="1">
        <f t="array" ref="AU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1" s="84" cm="1">
        <f t="array" ref="AV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" s="84" cm="1">
        <f t="array" ref="AW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" s="84" cm="1">
        <f t="array" ref="AX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" s="84" cm="1">
        <f t="array" ref="AY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" s="84" cm="1">
        <f t="array" ref="AZ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" s="84" cm="1">
        <f t="array" ref="BA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" s="84" cm="1">
        <f t="array" ref="BB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" s="84">
        <f>IF(SUM(Table3[[#This Row],[Column2]:[Column18]])&gt;Table3[[#This Row],[Column19]],Table3[[#This Row],[Column19]],SUM(Table3[[#This Row],[Column2]:[Column18]]))</f>
        <v>150000</v>
      </c>
      <c r="BD51" s="2">
        <f>Table3[[#This Row],[Total Spend]]/SUM(Table3[[#This Row],[Column2]:[Column18]])</f>
        <v>0.80128205128205132</v>
      </c>
    </row>
    <row r="52" spans="1:56" ht="28.5">
      <c r="A52" s="84" t="s">
        <v>117</v>
      </c>
      <c r="B52" s="84" t="s">
        <v>57</v>
      </c>
      <c r="C52" s="84"/>
      <c r="D52" s="85">
        <v>45566</v>
      </c>
      <c r="E52" s="85" t="s">
        <v>58</v>
      </c>
      <c r="F52" s="84">
        <f>INDEX(Definitions!$G$13:$G$17,MATCH(Table3[[#This Row],[Propensity to buy/ buyer readiness]],Definitions!$A$13:$A$17,0))</f>
        <v>250000</v>
      </c>
      <c r="G52" s="86">
        <v>5</v>
      </c>
      <c r="H52" s="86">
        <v>5</v>
      </c>
      <c r="I52" s="86">
        <v>5</v>
      </c>
      <c r="J52" s="86">
        <v>4</v>
      </c>
      <c r="K52" s="86">
        <v>5</v>
      </c>
      <c r="L52" s="86">
        <f>SUM(Table3[[#This Row],[Strategic priority segment]:[Propensity to buy/ buyer readiness]])</f>
        <v>24</v>
      </c>
      <c r="M52" s="86" t="s">
        <v>59</v>
      </c>
      <c r="N52" s="84" t="s">
        <v>63</v>
      </c>
      <c r="O52" s="84" t="s">
        <v>60</v>
      </c>
      <c r="P52" s="87" t="s">
        <v>62</v>
      </c>
      <c r="Q52" s="87"/>
      <c r="R52" s="84"/>
      <c r="S52" s="84"/>
      <c r="T52" s="87"/>
      <c r="U52" s="84">
        <v>1</v>
      </c>
      <c r="V52" s="84">
        <v>1</v>
      </c>
      <c r="W52" s="84">
        <v>1</v>
      </c>
      <c r="X52" s="84">
        <v>1</v>
      </c>
      <c r="Y52" s="84">
        <v>1</v>
      </c>
      <c r="Z52" s="84">
        <v>0</v>
      </c>
      <c r="AA52" s="84">
        <v>1</v>
      </c>
      <c r="AB52" s="84">
        <v>0</v>
      </c>
      <c r="AC52" s="84">
        <v>0</v>
      </c>
      <c r="AD52" s="84">
        <v>1</v>
      </c>
      <c r="AE52" s="84">
        <v>1</v>
      </c>
      <c r="AF52" s="84">
        <v>1</v>
      </c>
      <c r="AG52" s="84">
        <v>1</v>
      </c>
      <c r="AH52" s="84">
        <v>0</v>
      </c>
      <c r="AI52" s="84">
        <v>0</v>
      </c>
      <c r="AJ52" s="84">
        <v>0</v>
      </c>
      <c r="AK52" s="84">
        <v>0</v>
      </c>
      <c r="AL52" s="84" cm="1">
        <f t="array" ref="AL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2" s="84" cm="1">
        <f t="array" ref="AM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52" s="84" cm="1">
        <f t="array" ref="AN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52" s="84" cm="1">
        <f t="array" ref="AO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52" s="84" cm="1">
        <f t="array" ref="AP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52" s="84" cm="1">
        <f t="array" ref="AQ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2" s="84" cm="1">
        <f t="array" ref="AR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2" s="84" cm="1">
        <f t="array" ref="AS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2" s="84" cm="1">
        <f t="array" ref="AT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2" s="84" cm="1">
        <f t="array" ref="AU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2" s="84" cm="1">
        <f t="array" ref="AV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2" s="84" cm="1">
        <f t="array" ref="AW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2" s="84" cm="1">
        <f t="array" ref="AX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2" s="84" cm="1">
        <f t="array" ref="AY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" s="84" cm="1">
        <f t="array" ref="AZ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" s="84" cm="1">
        <f t="array" ref="BA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" s="84" cm="1">
        <f t="array" ref="BB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" s="84">
        <f>IF(SUM(Table3[[#This Row],[Column2]:[Column18]])&gt;Table3[[#This Row],[Column19]],Table3[[#This Row],[Column19]],SUM(Table3[[#This Row],[Column2]:[Column18]]))</f>
        <v>250000</v>
      </c>
      <c r="BD52" s="2">
        <f>Table3[[#This Row],[Total Spend]]/SUM(Table3[[#This Row],[Column2]:[Column18]])</f>
        <v>0.66934404283801874</v>
      </c>
    </row>
    <row r="53" spans="1:56">
      <c r="A53" s="84" t="s">
        <v>118</v>
      </c>
      <c r="B53" s="84" t="s">
        <v>57</v>
      </c>
      <c r="C53" s="84"/>
      <c r="D53" s="85">
        <v>45566</v>
      </c>
      <c r="E53" s="85" t="s">
        <v>92</v>
      </c>
      <c r="F53" s="84">
        <f>INDEX(Definitions!$G$13:$G$17,MATCH(Table3[[#This Row],[Propensity to buy/ buyer readiness]],Definitions!$A$13:$A$17,0))</f>
        <v>150000</v>
      </c>
      <c r="G53" s="86">
        <v>5</v>
      </c>
      <c r="H53" s="86">
        <v>5</v>
      </c>
      <c r="I53" s="86">
        <v>5</v>
      </c>
      <c r="J53" s="86">
        <v>5</v>
      </c>
      <c r="K53" s="86">
        <v>4</v>
      </c>
      <c r="L53" s="86">
        <f>SUM(Table3[[#This Row],[Strategic priority segment]:[Propensity to buy/ buyer readiness]])</f>
        <v>24</v>
      </c>
      <c r="M53" s="86" t="s">
        <v>59</v>
      </c>
      <c r="N53" s="84" t="s">
        <v>60</v>
      </c>
      <c r="O53" s="84"/>
      <c r="P53" s="87"/>
      <c r="Q53" s="87"/>
      <c r="R53" s="84"/>
      <c r="S53" s="84"/>
      <c r="T53" s="84"/>
      <c r="U53" s="84">
        <v>1</v>
      </c>
      <c r="V53" s="84">
        <v>1</v>
      </c>
      <c r="W53" s="84">
        <v>1</v>
      </c>
      <c r="X53" s="84">
        <v>1</v>
      </c>
      <c r="Y53" s="84">
        <v>1</v>
      </c>
      <c r="Z53" s="84">
        <v>0</v>
      </c>
      <c r="AA53" s="84">
        <v>0</v>
      </c>
      <c r="AB53" s="84">
        <v>0</v>
      </c>
      <c r="AC53" s="84">
        <v>0</v>
      </c>
      <c r="AD53" s="84">
        <v>1</v>
      </c>
      <c r="AE53" s="84">
        <v>0</v>
      </c>
      <c r="AF53" s="84">
        <v>0</v>
      </c>
      <c r="AG53" s="84">
        <v>0</v>
      </c>
      <c r="AH53" s="84">
        <v>0</v>
      </c>
      <c r="AI53" s="84">
        <v>0</v>
      </c>
      <c r="AJ53" s="84">
        <v>0</v>
      </c>
      <c r="AK53" s="84">
        <v>0</v>
      </c>
      <c r="AL53" s="84" cm="1">
        <f t="array" ref="AL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" s="84" cm="1">
        <f t="array" ref="AM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53" s="84" cm="1">
        <f t="array" ref="AN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53" s="84" cm="1">
        <f t="array" ref="AO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53" s="84" cm="1">
        <f t="array" ref="AP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53" s="84" cm="1">
        <f t="array" ref="AQ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3" s="84" cm="1">
        <f t="array" ref="AR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3" s="84" cm="1">
        <f t="array" ref="AS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3" s="84" cm="1">
        <f t="array" ref="AT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3" s="84" cm="1">
        <f t="array" ref="AU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3" s="84" cm="1">
        <f t="array" ref="AV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" s="84" cm="1">
        <f t="array" ref="AW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" s="84" cm="1">
        <f t="array" ref="AX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" s="84" cm="1">
        <f t="array" ref="AY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" s="84" cm="1">
        <f t="array" ref="AZ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" s="84" cm="1">
        <f t="array" ref="BA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" s="84" cm="1">
        <f t="array" ref="BB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" s="84">
        <f>IF(SUM(Table3[[#This Row],[Column2]:[Column18]])&gt;Table3[[#This Row],[Column19]],Table3[[#This Row],[Column19]],SUM(Table3[[#This Row],[Column2]:[Column18]]))</f>
        <v>150000</v>
      </c>
      <c r="BD53" s="2">
        <f>Table3[[#This Row],[Total Spend]]/SUM(Table3[[#This Row],[Column2]:[Column18]])</f>
        <v>0.80128205128205132</v>
      </c>
    </row>
    <row r="54" spans="1:56">
      <c r="A54" s="84" t="s">
        <v>119</v>
      </c>
      <c r="B54" s="84" t="s">
        <v>57</v>
      </c>
      <c r="C54" s="84"/>
      <c r="D54" s="85">
        <v>45566</v>
      </c>
      <c r="E54" s="85" t="s">
        <v>92</v>
      </c>
      <c r="F54" s="84">
        <f>INDEX(Definitions!$G$13:$G$17,MATCH(Table3[[#This Row],[Propensity to buy/ buyer readiness]],Definitions!$A$13:$A$17,0))</f>
        <v>150000</v>
      </c>
      <c r="G54" s="86">
        <v>5</v>
      </c>
      <c r="H54" s="86">
        <v>5</v>
      </c>
      <c r="I54" s="86">
        <v>5</v>
      </c>
      <c r="J54" s="86">
        <v>5</v>
      </c>
      <c r="K54" s="86">
        <v>4</v>
      </c>
      <c r="L54" s="86">
        <f>SUM(Table3[[#This Row],[Strategic priority segment]:[Propensity to buy/ buyer readiness]])</f>
        <v>24</v>
      </c>
      <c r="M54" s="86" t="s">
        <v>59</v>
      </c>
      <c r="N54" s="84" t="s">
        <v>60</v>
      </c>
      <c r="O54" s="84"/>
      <c r="P54" s="87"/>
      <c r="Q54" s="87"/>
      <c r="R54" s="84"/>
      <c r="S54" s="84"/>
      <c r="T54" s="84"/>
      <c r="U54" s="84">
        <v>1</v>
      </c>
      <c r="V54" s="84">
        <v>1</v>
      </c>
      <c r="W54" s="84">
        <v>1</v>
      </c>
      <c r="X54" s="84">
        <v>1</v>
      </c>
      <c r="Y54" s="84">
        <v>1</v>
      </c>
      <c r="Z54" s="84">
        <v>0</v>
      </c>
      <c r="AA54" s="84">
        <v>0</v>
      </c>
      <c r="AB54" s="84">
        <v>0</v>
      </c>
      <c r="AC54" s="84">
        <v>0</v>
      </c>
      <c r="AD54" s="84">
        <v>1</v>
      </c>
      <c r="AE54" s="84">
        <v>0</v>
      </c>
      <c r="AF54" s="84">
        <v>0</v>
      </c>
      <c r="AG54" s="84">
        <v>0</v>
      </c>
      <c r="AH54" s="84">
        <v>0</v>
      </c>
      <c r="AI54" s="84">
        <v>0</v>
      </c>
      <c r="AJ54" s="84">
        <v>0</v>
      </c>
      <c r="AK54" s="84">
        <v>0</v>
      </c>
      <c r="AL54" s="84" cm="1">
        <f t="array" ref="AL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" s="84" cm="1">
        <f t="array" ref="AM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54" s="84" cm="1">
        <f t="array" ref="AN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54" s="84" cm="1">
        <f t="array" ref="AO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54" s="84" cm="1">
        <f t="array" ref="AP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54" s="84" cm="1">
        <f t="array" ref="AQ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4" s="84" cm="1">
        <f t="array" ref="AR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4" s="84" cm="1">
        <f t="array" ref="AS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4" s="84" cm="1">
        <f t="array" ref="AT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4" s="84" cm="1">
        <f t="array" ref="AU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4" s="84" cm="1">
        <f t="array" ref="AV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" s="84" cm="1">
        <f t="array" ref="AW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" s="84" cm="1">
        <f t="array" ref="AX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" s="84" cm="1">
        <f t="array" ref="AY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" s="84" cm="1">
        <f t="array" ref="AZ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" s="84" cm="1">
        <f t="array" ref="BA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" s="84" cm="1">
        <f t="array" ref="BB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" s="84">
        <f>IF(SUM(Table3[[#This Row],[Column2]:[Column18]])&gt;Table3[[#This Row],[Column19]],Table3[[#This Row],[Column19]],SUM(Table3[[#This Row],[Column2]:[Column18]]))</f>
        <v>150000</v>
      </c>
      <c r="BD54" s="2">
        <f>Table3[[#This Row],[Total Spend]]/SUM(Table3[[#This Row],[Column2]:[Column18]])</f>
        <v>0.80128205128205132</v>
      </c>
    </row>
    <row r="55" spans="1:56">
      <c r="A55" s="84" t="s">
        <v>120</v>
      </c>
      <c r="B55" s="84" t="s">
        <v>57</v>
      </c>
      <c r="C55" s="84"/>
      <c r="D55" s="85">
        <v>45566</v>
      </c>
      <c r="E55" s="85" t="s">
        <v>92</v>
      </c>
      <c r="F55" s="84">
        <f>INDEX(Definitions!$G$13:$G$17,MATCH(Table3[[#This Row],[Propensity to buy/ buyer readiness]],Definitions!$A$13:$A$17,0))</f>
        <v>150000</v>
      </c>
      <c r="G55" s="86">
        <v>5</v>
      </c>
      <c r="H55" s="86">
        <v>4</v>
      </c>
      <c r="I55" s="86">
        <v>5</v>
      </c>
      <c r="J55" s="86">
        <v>5</v>
      </c>
      <c r="K55" s="86">
        <v>4</v>
      </c>
      <c r="L55" s="86">
        <f>SUM(Table3[[#This Row],[Strategic priority segment]:[Propensity to buy/ buyer readiness]])</f>
        <v>23</v>
      </c>
      <c r="M55" s="86" t="s">
        <v>59</v>
      </c>
      <c r="N55" s="84" t="s">
        <v>60</v>
      </c>
      <c r="O55" s="84" t="s">
        <v>63</v>
      </c>
      <c r="P55" s="87"/>
      <c r="Q55" s="87"/>
      <c r="R55" s="84"/>
      <c r="S55" s="87"/>
      <c r="T55" s="87"/>
      <c r="U55" s="84">
        <v>1</v>
      </c>
      <c r="V55" s="84">
        <v>1</v>
      </c>
      <c r="W55" s="84">
        <v>1</v>
      </c>
      <c r="X55" s="84">
        <v>1</v>
      </c>
      <c r="Y55" s="84">
        <v>1</v>
      </c>
      <c r="Z55" s="84">
        <v>0</v>
      </c>
      <c r="AA55" s="84">
        <v>1</v>
      </c>
      <c r="AB55" s="84">
        <v>0</v>
      </c>
      <c r="AC55" s="84">
        <v>0</v>
      </c>
      <c r="AD55" s="84">
        <v>1</v>
      </c>
      <c r="AE55" s="84">
        <v>1</v>
      </c>
      <c r="AF55" s="84">
        <v>1</v>
      </c>
      <c r="AG55" s="84">
        <v>0</v>
      </c>
      <c r="AH55" s="84">
        <v>0</v>
      </c>
      <c r="AI55" s="84">
        <v>0</v>
      </c>
      <c r="AJ55" s="84">
        <v>0</v>
      </c>
      <c r="AK55" s="84">
        <v>0</v>
      </c>
      <c r="AL55" s="84" cm="1">
        <f t="array" ref="AL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" s="84" cm="1">
        <f t="array" ref="AM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55" s="84" cm="1">
        <f t="array" ref="AN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55" s="84" cm="1">
        <f t="array" ref="AO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55" s="84" cm="1">
        <f t="array" ref="AP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55" s="84" cm="1">
        <f t="array" ref="AQ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5" s="84" cm="1">
        <f t="array" ref="AR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5" s="84" cm="1">
        <f t="array" ref="AS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5" s="84" cm="1">
        <f t="array" ref="AT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5" s="84" cm="1">
        <f t="array" ref="AU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5" s="84" cm="1">
        <f t="array" ref="AV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5" s="84" cm="1">
        <f t="array" ref="AW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5" s="84" cm="1">
        <f t="array" ref="AX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" s="84" cm="1">
        <f t="array" ref="AY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" s="84" cm="1">
        <f t="array" ref="AZ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" s="84" cm="1">
        <f t="array" ref="BA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" s="84" cm="1">
        <f t="array" ref="BB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" s="84">
        <f>IF(SUM(Table3[[#This Row],[Column2]:[Column18]])&gt;Table3[[#This Row],[Column19]],Table3[[#This Row],[Column19]],SUM(Table3[[#This Row],[Column2]:[Column18]]))</f>
        <v>150000</v>
      </c>
      <c r="BD55" s="2">
        <f>Table3[[#This Row],[Total Spend]]/SUM(Table3[[#This Row],[Column2]:[Column18]])</f>
        <v>0.62073246430788331</v>
      </c>
    </row>
    <row r="56" spans="1:56">
      <c r="A56" s="84" t="s">
        <v>121</v>
      </c>
      <c r="B56" s="84" t="s">
        <v>57</v>
      </c>
      <c r="C56" s="84" t="s">
        <v>57</v>
      </c>
      <c r="D56" s="85">
        <v>45566</v>
      </c>
      <c r="E56" s="85" t="s">
        <v>58</v>
      </c>
      <c r="F56" s="84">
        <f>INDEX(Definitions!$G$13:$G$17,MATCH(Table3[[#This Row],[Propensity to buy/ buyer readiness]],Definitions!$A$13:$A$17,0))</f>
        <v>150000</v>
      </c>
      <c r="G56" s="86">
        <v>5</v>
      </c>
      <c r="H56" s="86">
        <v>5</v>
      </c>
      <c r="I56" s="86">
        <v>5</v>
      </c>
      <c r="J56" s="86">
        <v>4</v>
      </c>
      <c r="K56" s="86">
        <v>4</v>
      </c>
      <c r="L56" s="86">
        <f>SUM(Table3[[#This Row],[Strategic priority segment]:[Propensity to buy/ buyer readiness]])</f>
        <v>23</v>
      </c>
      <c r="M56" s="86" t="s">
        <v>102</v>
      </c>
      <c r="N56" s="84" t="s">
        <v>61</v>
      </c>
      <c r="O56" s="84" t="s">
        <v>62</v>
      </c>
      <c r="P56" s="87" t="s">
        <v>122</v>
      </c>
      <c r="Q56" s="87"/>
      <c r="R56" s="84"/>
      <c r="S56" s="87"/>
      <c r="T56" s="87"/>
      <c r="U56" s="84">
        <v>1</v>
      </c>
      <c r="V56" s="84">
        <v>0</v>
      </c>
      <c r="W56" s="84">
        <v>0</v>
      </c>
      <c r="X56" s="84">
        <v>0</v>
      </c>
      <c r="Y56" s="84">
        <v>0</v>
      </c>
      <c r="Z56" s="84">
        <v>1</v>
      </c>
      <c r="AA56" s="84">
        <v>1</v>
      </c>
      <c r="AB56" s="84">
        <v>1</v>
      </c>
      <c r="AC56" s="84">
        <v>1</v>
      </c>
      <c r="AD56" s="84">
        <v>1</v>
      </c>
      <c r="AE56" s="84">
        <v>1</v>
      </c>
      <c r="AF56" s="84">
        <v>1</v>
      </c>
      <c r="AG56" s="84">
        <v>1</v>
      </c>
      <c r="AH56" s="84">
        <v>0</v>
      </c>
      <c r="AI56" s="84">
        <v>0</v>
      </c>
      <c r="AJ56" s="84">
        <v>0</v>
      </c>
      <c r="AK56" s="84">
        <v>0</v>
      </c>
      <c r="AL56" s="84" cm="1">
        <f t="array" ref="AL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6" s="84" cm="1">
        <f t="array" ref="AM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" s="84" cm="1">
        <f t="array" ref="AN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" s="84" cm="1">
        <f t="array" ref="AO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" s="84" cm="1">
        <f t="array" ref="AP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" s="84" cm="1">
        <f t="array" ref="AQ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6" s="84" cm="1">
        <f t="array" ref="AR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6" s="84" cm="1">
        <f t="array" ref="AS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6" s="84" cm="1">
        <f t="array" ref="AT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6" s="84" cm="1">
        <f t="array" ref="AU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6" s="84" cm="1">
        <f t="array" ref="AV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6" s="84" cm="1">
        <f t="array" ref="AW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6" s="84" cm="1">
        <f t="array" ref="AX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6" s="84" cm="1">
        <f t="array" ref="AY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" s="84" cm="1">
        <f t="array" ref="AZ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" s="84" cm="1">
        <f t="array" ref="BA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" s="84" cm="1">
        <f t="array" ref="BB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" s="84">
        <f>IF(SUM(Table3[[#This Row],[Column2]:[Column18]])&gt;Table3[[#This Row],[Column19]],Table3[[#This Row],[Column19]],SUM(Table3[[#This Row],[Column2]:[Column18]]))</f>
        <v>150000</v>
      </c>
      <c r="BD56" s="2">
        <f>Table3[[#This Row],[Total Spend]]/SUM(Table3[[#This Row],[Column2]:[Column18]])</f>
        <v>0.57471264367816088</v>
      </c>
    </row>
    <row r="57" spans="1:56">
      <c r="A57" s="84" t="s">
        <v>123</v>
      </c>
      <c r="B57" s="84" t="s">
        <v>57</v>
      </c>
      <c r="C57" s="84"/>
      <c r="D57" s="85">
        <v>45566</v>
      </c>
      <c r="E57" s="85" t="s">
        <v>92</v>
      </c>
      <c r="F57" s="84">
        <f>INDEX(Definitions!$G$13:$G$17,MATCH(Table3[[#This Row],[Propensity to buy/ buyer readiness]],Definitions!$A$13:$A$17,0))</f>
        <v>50000</v>
      </c>
      <c r="G57" s="86">
        <v>5</v>
      </c>
      <c r="H57" s="86">
        <v>5</v>
      </c>
      <c r="I57" s="86">
        <v>5</v>
      </c>
      <c r="J57" s="86">
        <v>5</v>
      </c>
      <c r="K57" s="86">
        <v>3</v>
      </c>
      <c r="L57" s="86">
        <f>SUM(Table3[[#This Row],[Strategic priority segment]:[Propensity to buy/ buyer readiness]])</f>
        <v>23</v>
      </c>
      <c r="M57" s="86" t="s">
        <v>59</v>
      </c>
      <c r="N57" s="84" t="s">
        <v>60</v>
      </c>
      <c r="O57" s="84"/>
      <c r="P57" s="87"/>
      <c r="Q57" s="87"/>
      <c r="R57" s="84"/>
      <c r="S57" s="87"/>
      <c r="T57" s="87"/>
      <c r="U57" s="84">
        <v>1</v>
      </c>
      <c r="V57" s="84">
        <v>1</v>
      </c>
      <c r="W57" s="84">
        <v>1</v>
      </c>
      <c r="X57" s="84">
        <v>1</v>
      </c>
      <c r="Y57" s="84">
        <v>1</v>
      </c>
      <c r="Z57" s="84">
        <v>0</v>
      </c>
      <c r="AA57" s="84">
        <v>0</v>
      </c>
      <c r="AB57" s="84">
        <v>0</v>
      </c>
      <c r="AC57" s="84">
        <v>0</v>
      </c>
      <c r="AD57" s="84">
        <v>1</v>
      </c>
      <c r="AE57" s="84">
        <v>0</v>
      </c>
      <c r="AF57" s="84">
        <v>0</v>
      </c>
      <c r="AG57" s="84">
        <v>0</v>
      </c>
      <c r="AH57" s="84">
        <v>0</v>
      </c>
      <c r="AI57" s="84">
        <v>0</v>
      </c>
      <c r="AJ57" s="84">
        <v>0</v>
      </c>
      <c r="AK57" s="84">
        <v>0</v>
      </c>
      <c r="AL57" s="84" cm="1">
        <f t="array" ref="AL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7" s="84" cm="1">
        <f t="array" ref="AM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57" s="84" cm="1">
        <f t="array" ref="AN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57" s="84" cm="1">
        <f t="array" ref="AO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57" s="84" cm="1">
        <f t="array" ref="AP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57" s="84" cm="1">
        <f t="array" ref="AQ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" s="84" cm="1">
        <f t="array" ref="AR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" s="84" cm="1">
        <f t="array" ref="AS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" s="84" cm="1">
        <f t="array" ref="AT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" s="84" cm="1">
        <f t="array" ref="AU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7" s="84" cm="1">
        <f t="array" ref="AV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" s="84" cm="1">
        <f t="array" ref="AW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" s="84" cm="1">
        <f t="array" ref="AX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" s="84" cm="1">
        <f t="array" ref="AY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7" s="84" cm="1">
        <f t="array" ref="AZ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7" s="84" cm="1">
        <f t="array" ref="BA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7" s="84" cm="1">
        <f t="array" ref="BB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7" s="84">
        <f>IF(SUM(Table3[[#This Row],[Column2]:[Column18]])&gt;Table3[[#This Row],[Column19]],Table3[[#This Row],[Column19]],SUM(Table3[[#This Row],[Column2]:[Column18]]))</f>
        <v>50000</v>
      </c>
      <c r="BD57" s="2">
        <f>Table3[[#This Row],[Total Spend]]/SUM(Table3[[#This Row],[Column2]:[Column18]])</f>
        <v>0.26709401709401709</v>
      </c>
    </row>
    <row r="58" spans="1:56">
      <c r="A58" s="84" t="s">
        <v>124</v>
      </c>
      <c r="B58" s="84" t="s">
        <v>57</v>
      </c>
      <c r="C58" s="84"/>
      <c r="D58" s="85">
        <v>45566</v>
      </c>
      <c r="E58" s="85" t="s">
        <v>58</v>
      </c>
      <c r="F58" s="84">
        <f>INDEX(Definitions!$G$13:$G$17,MATCH(Table3[[#This Row],[Propensity to buy/ buyer readiness]],Definitions!$A$13:$A$17,0))</f>
        <v>250000</v>
      </c>
      <c r="G58" s="86">
        <v>5</v>
      </c>
      <c r="H58" s="86">
        <v>5</v>
      </c>
      <c r="I58" s="86">
        <v>4</v>
      </c>
      <c r="J58" s="86">
        <v>4</v>
      </c>
      <c r="K58" s="86">
        <v>5</v>
      </c>
      <c r="L58" s="86">
        <f>SUM(Table3[[#This Row],[Strategic priority segment]:[Propensity to buy/ buyer readiness]])</f>
        <v>23</v>
      </c>
      <c r="M58" s="86" t="s">
        <v>102</v>
      </c>
      <c r="N58" s="84" t="s">
        <v>61</v>
      </c>
      <c r="O58" s="84"/>
      <c r="P58" s="87"/>
      <c r="Q58" s="87"/>
      <c r="R58" s="84"/>
      <c r="S58" s="87"/>
      <c r="T58" s="87"/>
      <c r="U58" s="84">
        <v>1</v>
      </c>
      <c r="V58" s="84">
        <v>0</v>
      </c>
      <c r="W58" s="84">
        <v>0</v>
      </c>
      <c r="X58" s="84">
        <v>0</v>
      </c>
      <c r="Y58" s="84">
        <v>0</v>
      </c>
      <c r="Z58" s="84">
        <v>1</v>
      </c>
      <c r="AA58" s="84">
        <v>1</v>
      </c>
      <c r="AB58" s="84">
        <v>1</v>
      </c>
      <c r="AC58" s="84">
        <v>1</v>
      </c>
      <c r="AD58" s="84">
        <v>0</v>
      </c>
      <c r="AE58" s="84">
        <v>0</v>
      </c>
      <c r="AF58" s="84">
        <v>0</v>
      </c>
      <c r="AG58" s="84">
        <v>0</v>
      </c>
      <c r="AH58" s="84">
        <v>0</v>
      </c>
      <c r="AI58" s="84">
        <v>0</v>
      </c>
      <c r="AJ58" s="84">
        <v>0</v>
      </c>
      <c r="AK58" s="84">
        <v>0</v>
      </c>
      <c r="AL58" s="84" cm="1">
        <f t="array" ref="AL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8" s="84" cm="1">
        <f t="array" ref="AM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" s="84" cm="1">
        <f t="array" ref="AN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" s="84" cm="1">
        <f t="array" ref="AO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" s="84" cm="1">
        <f t="array" ref="AP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" s="84" cm="1">
        <f t="array" ref="AQ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8" s="84" cm="1">
        <f t="array" ref="AR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8" s="84" cm="1">
        <f t="array" ref="AS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8" s="84" cm="1">
        <f t="array" ref="AT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8" s="84" cm="1">
        <f t="array" ref="AU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" s="84" cm="1">
        <f t="array" ref="AV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" s="84" cm="1">
        <f t="array" ref="AW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" s="84" cm="1">
        <f t="array" ref="AX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" s="84" cm="1">
        <f t="array" ref="AY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8" s="84" cm="1">
        <f t="array" ref="AZ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8" s="84" cm="1">
        <f t="array" ref="BA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8" s="84" cm="1">
        <f t="array" ref="BB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8" s="84">
        <f>IF(SUM(Table3[[#This Row],[Column2]:[Column18]])&gt;Table3[[#This Row],[Column19]],Table3[[#This Row],[Column19]],SUM(Table3[[#This Row],[Column2]:[Column18]]))</f>
        <v>140400</v>
      </c>
      <c r="BD58" s="2">
        <f>Table3[[#This Row],[Total Spend]]/SUM(Table3[[#This Row],[Column2]:[Column18]])</f>
        <v>1</v>
      </c>
    </row>
    <row r="59" spans="1:56">
      <c r="A59" s="84" t="s">
        <v>125</v>
      </c>
      <c r="B59" s="84" t="s">
        <v>57</v>
      </c>
      <c r="C59" s="84" t="s">
        <v>57</v>
      </c>
      <c r="D59" s="85">
        <v>45566</v>
      </c>
      <c r="E59" s="85" t="s">
        <v>58</v>
      </c>
      <c r="F59" s="84">
        <f>INDEX(Definitions!$G$13:$G$17,MATCH(Table3[[#This Row],[Propensity to buy/ buyer readiness]],Definitions!$A$13:$A$17,0))</f>
        <v>250000</v>
      </c>
      <c r="G59" s="86">
        <v>5</v>
      </c>
      <c r="H59" s="86">
        <v>5</v>
      </c>
      <c r="I59" s="86">
        <v>4</v>
      </c>
      <c r="J59" s="86">
        <v>4</v>
      </c>
      <c r="K59" s="86">
        <v>5</v>
      </c>
      <c r="L59" s="86">
        <f>SUM(Table3[[#This Row],[Strategic priority segment]:[Propensity to buy/ buyer readiness]])</f>
        <v>23</v>
      </c>
      <c r="M59" s="86" t="s">
        <v>102</v>
      </c>
      <c r="N59" s="84" t="s">
        <v>61</v>
      </c>
      <c r="O59" s="84"/>
      <c r="P59" s="87"/>
      <c r="Q59" s="87"/>
      <c r="R59" s="84"/>
      <c r="S59" s="87"/>
      <c r="T59" s="87"/>
      <c r="U59" s="84">
        <v>1</v>
      </c>
      <c r="V59" s="84">
        <v>0</v>
      </c>
      <c r="W59" s="84">
        <v>0</v>
      </c>
      <c r="X59" s="84">
        <v>0</v>
      </c>
      <c r="Y59" s="84">
        <v>0</v>
      </c>
      <c r="Z59" s="84">
        <v>1</v>
      </c>
      <c r="AA59" s="84">
        <v>1</v>
      </c>
      <c r="AB59" s="84">
        <v>1</v>
      </c>
      <c r="AC59" s="84">
        <v>1</v>
      </c>
      <c r="AD59" s="84">
        <v>0</v>
      </c>
      <c r="AE59" s="84">
        <v>0</v>
      </c>
      <c r="AF59" s="84">
        <v>0</v>
      </c>
      <c r="AG59" s="84">
        <v>0</v>
      </c>
      <c r="AH59" s="84">
        <v>0</v>
      </c>
      <c r="AI59" s="84">
        <v>0</v>
      </c>
      <c r="AJ59" s="84">
        <v>0</v>
      </c>
      <c r="AK59" s="84">
        <v>0</v>
      </c>
      <c r="AL59" s="84" cm="1">
        <f t="array" ref="AL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9" s="84" cm="1">
        <f t="array" ref="AM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" s="84" cm="1">
        <f t="array" ref="AN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" s="84" cm="1">
        <f t="array" ref="AO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" s="84" cm="1">
        <f t="array" ref="AP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" s="84" cm="1">
        <f t="array" ref="AQ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9" s="84" cm="1">
        <f t="array" ref="AR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9" s="84" cm="1">
        <f t="array" ref="AS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9" s="84" cm="1">
        <f t="array" ref="AT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9" s="84" cm="1">
        <f t="array" ref="AU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" s="84" cm="1">
        <f t="array" ref="AV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" s="84" cm="1">
        <f t="array" ref="AW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" s="84" cm="1">
        <f t="array" ref="AX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" s="84" cm="1">
        <f t="array" ref="AY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9" s="84" cm="1">
        <f t="array" ref="AZ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9" s="84" cm="1">
        <f t="array" ref="BA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9" s="84" cm="1">
        <f t="array" ref="BB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9" s="84">
        <f>IF(SUM(Table3[[#This Row],[Column2]:[Column18]])&gt;Table3[[#This Row],[Column19]],Table3[[#This Row],[Column19]],SUM(Table3[[#This Row],[Column2]:[Column18]]))</f>
        <v>140400</v>
      </c>
      <c r="BD59" s="2">
        <f>Table3[[#This Row],[Total Spend]]/SUM(Table3[[#This Row],[Column2]:[Column18]])</f>
        <v>1</v>
      </c>
    </row>
    <row r="60" spans="1:56">
      <c r="A60" s="84" t="s">
        <v>126</v>
      </c>
      <c r="B60" s="84"/>
      <c r="C60" s="84"/>
      <c r="D60" s="85">
        <v>45809</v>
      </c>
      <c r="E60" s="85" t="s">
        <v>58</v>
      </c>
      <c r="F60" s="84">
        <f>INDEX(Definitions!$G$13:$G$17,MATCH(Table3[[#This Row],[Propensity to buy/ buyer readiness]],Definitions!$A$13:$A$17,0))</f>
        <v>250000</v>
      </c>
      <c r="G60" s="86">
        <v>5</v>
      </c>
      <c r="H60" s="86">
        <v>4</v>
      </c>
      <c r="I60" s="86">
        <v>4</v>
      </c>
      <c r="J60" s="86">
        <v>5</v>
      </c>
      <c r="K60" s="86">
        <v>5</v>
      </c>
      <c r="L60" s="86">
        <f>SUM(Table3[[#This Row],[Strategic priority segment]:[Propensity to buy/ buyer readiness]])</f>
        <v>23</v>
      </c>
      <c r="M60" s="86" t="s">
        <v>59</v>
      </c>
      <c r="N60" s="84" t="s">
        <v>60</v>
      </c>
      <c r="O60" s="84" t="s">
        <v>61</v>
      </c>
      <c r="P60" s="84"/>
      <c r="Q60" s="84"/>
      <c r="R60" s="84"/>
      <c r="S60" s="84"/>
      <c r="T60" s="87"/>
      <c r="U60" s="84">
        <v>1</v>
      </c>
      <c r="V60" s="84">
        <v>1</v>
      </c>
      <c r="W60" s="84">
        <v>1</v>
      </c>
      <c r="X60" s="84">
        <v>1</v>
      </c>
      <c r="Y60" s="84">
        <v>1</v>
      </c>
      <c r="Z60" s="84">
        <v>1</v>
      </c>
      <c r="AA60" s="84">
        <v>1</v>
      </c>
      <c r="AB60" s="84">
        <v>1</v>
      </c>
      <c r="AC60" s="84">
        <v>1</v>
      </c>
      <c r="AD60" s="84">
        <v>1</v>
      </c>
      <c r="AE60" s="84">
        <v>0</v>
      </c>
      <c r="AF60" s="84">
        <v>0</v>
      </c>
      <c r="AG60" s="84">
        <v>0</v>
      </c>
      <c r="AH60" s="84">
        <v>0</v>
      </c>
      <c r="AI60" s="84">
        <v>0</v>
      </c>
      <c r="AJ60" s="84">
        <v>0</v>
      </c>
      <c r="AK60" s="84">
        <v>0</v>
      </c>
      <c r="AL60" s="84" cm="1">
        <f t="array" ref="AL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0" s="84" cm="1">
        <f t="array" ref="AM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60" s="84" cm="1">
        <f t="array" ref="AN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60" s="84" cm="1">
        <f t="array" ref="AO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60" s="84" cm="1">
        <f t="array" ref="AP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60" s="84" cm="1">
        <f t="array" ref="AQ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0" s="84" cm="1">
        <f t="array" ref="AR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0" s="84" cm="1">
        <f t="array" ref="AS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0" s="84" cm="1">
        <f t="array" ref="AT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0" s="84" cm="1">
        <f t="array" ref="AU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0" s="84" cm="1">
        <f t="array" ref="AV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" s="84" cm="1">
        <f t="array" ref="AW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" s="84" cm="1">
        <f t="array" ref="AX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" s="84" cm="1">
        <f t="array" ref="AY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0" s="84" cm="1">
        <f t="array" ref="AZ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0" s="84" cm="1">
        <f t="array" ref="BA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0" s="84" cm="1">
        <f t="array" ref="BB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0" s="84">
        <f>IF(SUM(Table3[[#This Row],[Column2]:[Column18]])&gt;Table3[[#This Row],[Column19]],Table3[[#This Row],[Column19]],SUM(Table3[[#This Row],[Column2]:[Column18]]))</f>
        <v>250000</v>
      </c>
      <c r="BD60" s="2">
        <f>Table3[[#This Row],[Total Spend]]/SUM(Table3[[#This Row],[Column2]:[Column18]])</f>
        <v>0.63856960408684549</v>
      </c>
    </row>
    <row r="61" spans="1:56">
      <c r="A61" s="84" t="s">
        <v>127</v>
      </c>
      <c r="B61" s="84" t="s">
        <v>57</v>
      </c>
      <c r="C61" s="84"/>
      <c r="D61" s="85">
        <v>45566</v>
      </c>
      <c r="E61" s="85" t="s">
        <v>92</v>
      </c>
      <c r="F61" s="84">
        <f>INDEX(Definitions!$G$13:$G$17,MATCH(Table3[[#This Row],[Propensity to buy/ buyer readiness]],Definitions!$A$13:$A$17,0))</f>
        <v>150000</v>
      </c>
      <c r="G61" s="86">
        <v>5</v>
      </c>
      <c r="H61" s="86">
        <v>4</v>
      </c>
      <c r="I61" s="86">
        <v>5</v>
      </c>
      <c r="J61" s="86">
        <v>5</v>
      </c>
      <c r="K61" s="86">
        <v>4</v>
      </c>
      <c r="L61" s="86">
        <f>SUM(Table3[[#This Row],[Strategic priority segment]:[Propensity to buy/ buyer readiness]])</f>
        <v>23</v>
      </c>
      <c r="M61" s="86" t="s">
        <v>59</v>
      </c>
      <c r="N61" s="84" t="s">
        <v>63</v>
      </c>
      <c r="O61" s="84" t="s">
        <v>60</v>
      </c>
      <c r="P61" s="87"/>
      <c r="Q61" s="87"/>
      <c r="R61" s="84"/>
      <c r="S61" s="87"/>
      <c r="T61" s="87"/>
      <c r="U61" s="84">
        <v>1</v>
      </c>
      <c r="V61" s="84">
        <v>1</v>
      </c>
      <c r="W61" s="84">
        <v>1</v>
      </c>
      <c r="X61" s="84">
        <v>1</v>
      </c>
      <c r="Y61" s="84">
        <v>1</v>
      </c>
      <c r="Z61" s="84">
        <v>0</v>
      </c>
      <c r="AA61" s="84">
        <v>1</v>
      </c>
      <c r="AB61" s="84">
        <v>0</v>
      </c>
      <c r="AC61" s="84">
        <v>0</v>
      </c>
      <c r="AD61" s="84">
        <v>1</v>
      </c>
      <c r="AE61" s="84">
        <v>1</v>
      </c>
      <c r="AF61" s="84">
        <v>1</v>
      </c>
      <c r="AG61" s="84">
        <v>0</v>
      </c>
      <c r="AH61" s="84">
        <v>0</v>
      </c>
      <c r="AI61" s="84">
        <v>0</v>
      </c>
      <c r="AJ61" s="84">
        <v>0</v>
      </c>
      <c r="AK61" s="84">
        <v>0</v>
      </c>
      <c r="AL61" s="84" cm="1">
        <f t="array" ref="AL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" s="84" cm="1">
        <f t="array" ref="AM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61" s="84" cm="1">
        <f t="array" ref="AN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1" s="84" cm="1">
        <f t="array" ref="AO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61" s="84" cm="1">
        <f t="array" ref="AP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61" s="84" cm="1">
        <f t="array" ref="AQ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" s="84" cm="1">
        <f t="array" ref="AR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1" s="84" cm="1">
        <f t="array" ref="AS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" s="84" cm="1">
        <f t="array" ref="AT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" s="84" cm="1">
        <f t="array" ref="AU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" s="84" cm="1">
        <f t="array" ref="AV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" s="84" cm="1">
        <f t="array" ref="AW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" s="84" cm="1">
        <f t="array" ref="AX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1" s="84" cm="1">
        <f t="array" ref="AY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" s="84" cm="1">
        <f t="array" ref="AZ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" s="84" cm="1">
        <f t="array" ref="BA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" s="84" cm="1">
        <f t="array" ref="BB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" s="84">
        <f>IF(SUM(Table3[[#This Row],[Column2]:[Column18]])&gt;Table3[[#This Row],[Column19]],Table3[[#This Row],[Column19]],SUM(Table3[[#This Row],[Column2]:[Column18]]))</f>
        <v>150000</v>
      </c>
      <c r="BD61" s="2">
        <f>Table3[[#This Row],[Total Spend]]/SUM(Table3[[#This Row],[Column2]:[Column18]])</f>
        <v>0.62073246430788331</v>
      </c>
    </row>
    <row r="62" spans="1:56">
      <c r="A62" s="84" t="s">
        <v>128</v>
      </c>
      <c r="B62" s="84" t="s">
        <v>57</v>
      </c>
      <c r="C62" s="84"/>
      <c r="D62" s="85">
        <v>45566</v>
      </c>
      <c r="E62" s="85" t="s">
        <v>58</v>
      </c>
      <c r="F62" s="84">
        <f>INDEX(Definitions!$G$13:$G$17,MATCH(Table3[[#This Row],[Propensity to buy/ buyer readiness]],Definitions!$A$13:$A$17,0))</f>
        <v>250000</v>
      </c>
      <c r="G62" s="86">
        <v>5</v>
      </c>
      <c r="H62" s="86">
        <v>5</v>
      </c>
      <c r="I62" s="86">
        <v>4</v>
      </c>
      <c r="J62" s="86">
        <v>4</v>
      </c>
      <c r="K62" s="86">
        <v>5</v>
      </c>
      <c r="L62" s="86">
        <f>SUM(Table3[[#This Row],[Strategic priority segment]:[Propensity to buy/ buyer readiness]])</f>
        <v>23</v>
      </c>
      <c r="M62" s="86" t="s">
        <v>102</v>
      </c>
      <c r="N62" s="84" t="s">
        <v>61</v>
      </c>
      <c r="O62" s="84"/>
      <c r="P62" s="87"/>
      <c r="Q62" s="87"/>
      <c r="R62" s="84"/>
      <c r="S62" s="84"/>
      <c r="T62" s="87"/>
      <c r="U62" s="84">
        <v>1</v>
      </c>
      <c r="V62" s="84">
        <v>0</v>
      </c>
      <c r="W62" s="84">
        <v>0</v>
      </c>
      <c r="X62" s="84">
        <v>0</v>
      </c>
      <c r="Y62" s="84">
        <v>0</v>
      </c>
      <c r="Z62" s="84">
        <v>1</v>
      </c>
      <c r="AA62" s="84">
        <v>1</v>
      </c>
      <c r="AB62" s="84">
        <v>1</v>
      </c>
      <c r="AC62" s="84">
        <v>1</v>
      </c>
      <c r="AD62" s="84">
        <v>0</v>
      </c>
      <c r="AE62" s="84">
        <v>0</v>
      </c>
      <c r="AF62" s="84">
        <v>0</v>
      </c>
      <c r="AG62" s="84">
        <v>0</v>
      </c>
      <c r="AH62" s="84">
        <v>0</v>
      </c>
      <c r="AI62" s="84">
        <v>0</v>
      </c>
      <c r="AJ62" s="84">
        <v>0</v>
      </c>
      <c r="AK62" s="84">
        <v>0</v>
      </c>
      <c r="AL62" s="84" cm="1">
        <f t="array" ref="AL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2" s="84" cm="1">
        <f t="array" ref="AM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" s="84" cm="1">
        <f t="array" ref="AN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" s="84" cm="1">
        <f t="array" ref="AO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" s="84" cm="1">
        <f t="array" ref="AP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" s="84" cm="1">
        <f t="array" ref="AQ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2" s="84" cm="1">
        <f t="array" ref="AR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2" s="84" cm="1">
        <f t="array" ref="AS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2" s="84" cm="1">
        <f t="array" ref="AT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2" s="84" cm="1">
        <f t="array" ref="AU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" s="84" cm="1">
        <f t="array" ref="AV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" s="84" cm="1">
        <f t="array" ref="AW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" s="84" cm="1">
        <f t="array" ref="AX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" s="84" cm="1">
        <f t="array" ref="AY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2" s="84" cm="1">
        <f t="array" ref="AZ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2" s="84" cm="1">
        <f t="array" ref="BA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2" s="84" cm="1">
        <f t="array" ref="BB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2" s="84">
        <f>IF(SUM(Table3[[#This Row],[Column2]:[Column18]])&gt;Table3[[#This Row],[Column19]],Table3[[#This Row],[Column19]],SUM(Table3[[#This Row],[Column2]:[Column18]]))</f>
        <v>140400</v>
      </c>
      <c r="BD62" s="2">
        <f>Table3[[#This Row],[Total Spend]]/SUM(Table3[[#This Row],[Column2]:[Column18]])</f>
        <v>1</v>
      </c>
    </row>
    <row r="63" spans="1:56">
      <c r="A63" s="84" t="s">
        <v>129</v>
      </c>
      <c r="B63" s="84" t="s">
        <v>57</v>
      </c>
      <c r="C63" s="84" t="s">
        <v>57</v>
      </c>
      <c r="D63" s="85">
        <v>45566</v>
      </c>
      <c r="E63" s="85" t="s">
        <v>92</v>
      </c>
      <c r="F63" s="84">
        <f>INDEX(Definitions!$G$13:$G$17,MATCH(Table3[[#This Row],[Propensity to buy/ buyer readiness]],Definitions!$A$13:$A$17,0))</f>
        <v>150000</v>
      </c>
      <c r="G63" s="86">
        <v>5</v>
      </c>
      <c r="H63" s="86">
        <v>4</v>
      </c>
      <c r="I63" s="86">
        <v>5</v>
      </c>
      <c r="J63" s="86">
        <v>5</v>
      </c>
      <c r="K63" s="86">
        <v>4</v>
      </c>
      <c r="L63" s="86">
        <f>SUM(Table3[[#This Row],[Strategic priority segment]:[Propensity to buy/ buyer readiness]])</f>
        <v>23</v>
      </c>
      <c r="M63" s="86" t="s">
        <v>59</v>
      </c>
      <c r="N63" s="84" t="s">
        <v>60</v>
      </c>
      <c r="O63" s="84" t="s">
        <v>130</v>
      </c>
      <c r="P63" s="87"/>
      <c r="Q63" s="87"/>
      <c r="R63" s="84"/>
      <c r="S63" s="84"/>
      <c r="T63" s="84"/>
      <c r="U63" s="84">
        <v>1</v>
      </c>
      <c r="V63" s="84">
        <v>1</v>
      </c>
      <c r="W63" s="84">
        <v>1</v>
      </c>
      <c r="X63" s="84">
        <v>1</v>
      </c>
      <c r="Y63" s="84">
        <v>1</v>
      </c>
      <c r="Z63" s="84">
        <v>0</v>
      </c>
      <c r="AA63" s="84">
        <v>0</v>
      </c>
      <c r="AB63" s="84">
        <v>0</v>
      </c>
      <c r="AC63" s="84">
        <v>0</v>
      </c>
      <c r="AD63" s="84">
        <v>1</v>
      </c>
      <c r="AE63" s="84">
        <v>0</v>
      </c>
      <c r="AF63" s="84">
        <v>0</v>
      </c>
      <c r="AG63" s="84">
        <v>0</v>
      </c>
      <c r="AH63" s="84">
        <v>0</v>
      </c>
      <c r="AI63" s="84">
        <v>0</v>
      </c>
      <c r="AJ63" s="84">
        <v>0</v>
      </c>
      <c r="AK63" s="84">
        <v>0</v>
      </c>
      <c r="AL63" s="84" cm="1">
        <f t="array" ref="AL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3" s="84" cm="1">
        <f t="array" ref="AM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63" s="84" cm="1">
        <f t="array" ref="AN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3" s="84" cm="1">
        <f t="array" ref="AO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63" s="84" cm="1">
        <f t="array" ref="AP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63" s="84" cm="1">
        <f t="array" ref="AQ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" s="84" cm="1">
        <f t="array" ref="AR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" s="84" cm="1">
        <f t="array" ref="AS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" s="84" cm="1">
        <f t="array" ref="AT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" s="84" cm="1">
        <f t="array" ref="AU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3" s="84" cm="1">
        <f t="array" ref="AV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" s="84" cm="1">
        <f t="array" ref="AW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" s="84" cm="1">
        <f t="array" ref="AX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" s="84" cm="1">
        <f t="array" ref="AY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3" s="84" cm="1">
        <f t="array" ref="AZ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3" s="84" cm="1">
        <f t="array" ref="BA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3" s="84" cm="1">
        <f t="array" ref="BB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3" s="84">
        <f>IF(SUM(Table3[[#This Row],[Column2]:[Column18]])&gt;Table3[[#This Row],[Column19]],Table3[[#This Row],[Column19]],SUM(Table3[[#This Row],[Column2]:[Column18]]))</f>
        <v>150000</v>
      </c>
      <c r="BD63" s="2">
        <f>Table3[[#This Row],[Total Spend]]/SUM(Table3[[#This Row],[Column2]:[Column18]])</f>
        <v>0.80128205128205132</v>
      </c>
    </row>
    <row r="64" spans="1:56">
      <c r="A64" s="84" t="s">
        <v>131</v>
      </c>
      <c r="B64" s="84" t="s">
        <v>57</v>
      </c>
      <c r="C64" s="84" t="s">
        <v>57</v>
      </c>
      <c r="D64" s="85">
        <v>45566</v>
      </c>
      <c r="E64" s="86" t="s">
        <v>58</v>
      </c>
      <c r="F64" s="86">
        <f>INDEX(Definitions!$G$13:$G$17,MATCH(Table3[[#This Row],[Propensity to buy/ buyer readiness]],Definitions!$A$13:$A$17,0))</f>
        <v>250000</v>
      </c>
      <c r="G64" s="86">
        <v>5</v>
      </c>
      <c r="H64" s="86">
        <v>5</v>
      </c>
      <c r="I64" s="86">
        <v>4</v>
      </c>
      <c r="J64" s="86">
        <v>4</v>
      </c>
      <c r="K64" s="86">
        <v>5</v>
      </c>
      <c r="L64" s="86">
        <f>SUM(Table3[[#This Row],[Strategic priority segment]:[Propensity to buy/ buyer readiness]])</f>
        <v>23</v>
      </c>
      <c r="M64" s="86" t="s">
        <v>102</v>
      </c>
      <c r="N64" s="84" t="s">
        <v>61</v>
      </c>
      <c r="O64" s="84" t="s">
        <v>62</v>
      </c>
      <c r="P64" s="87" t="s">
        <v>60</v>
      </c>
      <c r="Q64" s="87" t="s">
        <v>63</v>
      </c>
      <c r="R64" s="84"/>
      <c r="S64" s="84"/>
      <c r="T64" s="84"/>
      <c r="U64" s="84">
        <v>1</v>
      </c>
      <c r="V64" s="84">
        <v>1</v>
      </c>
      <c r="W64" s="84">
        <v>1</v>
      </c>
      <c r="X64" s="84">
        <v>1</v>
      </c>
      <c r="Y64" s="84">
        <v>1</v>
      </c>
      <c r="Z64" s="84">
        <v>1</v>
      </c>
      <c r="AA64" s="84">
        <v>1</v>
      </c>
      <c r="AB64" s="84">
        <v>1</v>
      </c>
      <c r="AC64" s="84">
        <v>1</v>
      </c>
      <c r="AD64" s="84">
        <v>1</v>
      </c>
      <c r="AE64" s="84">
        <v>1</v>
      </c>
      <c r="AF64" s="84">
        <v>1</v>
      </c>
      <c r="AG64" s="84">
        <v>1</v>
      </c>
      <c r="AH64" s="84">
        <v>0</v>
      </c>
      <c r="AI64" s="84">
        <v>0</v>
      </c>
      <c r="AJ64" s="84">
        <v>0</v>
      </c>
      <c r="AK64" s="84">
        <v>0</v>
      </c>
      <c r="AL64" s="84" cm="1">
        <f t="array" ref="AL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4" s="84" cm="1">
        <f t="array" ref="AM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64" s="84" cm="1">
        <f t="array" ref="AN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64" s="84" cm="1">
        <f t="array" ref="AO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64" s="84" cm="1">
        <f t="array" ref="AP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64" s="84" cm="1">
        <f t="array" ref="AQ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4" s="84" cm="1">
        <f t="array" ref="AR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4" s="84" cm="1">
        <f t="array" ref="AS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4" s="84" cm="1">
        <f t="array" ref="AT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4" s="84" cm="1">
        <f t="array" ref="AU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4" s="84" cm="1">
        <f t="array" ref="AV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64" s="84" cm="1">
        <f t="array" ref="AW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4" s="84" cm="1">
        <f t="array" ref="AX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64" s="84" cm="1">
        <f t="array" ref="AY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4" s="84" cm="1">
        <f t="array" ref="AZ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4" s="84" cm="1">
        <f t="array" ref="BA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4" s="84" cm="1">
        <f t="array" ref="BB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4" s="84">
        <f>IF(SUM(Table3[[#This Row],[Column2]:[Column18]])&gt;Table3[[#This Row],[Column19]],Table3[[#This Row],[Column19]],SUM(Table3[[#This Row],[Column2]:[Column18]]))</f>
        <v>250000</v>
      </c>
      <c r="BD64" s="2">
        <f>Table3[[#This Row],[Total Spend]]/SUM(Table3[[#This Row],[Column2]:[Column18]])</f>
        <v>0.51824212271973469</v>
      </c>
    </row>
    <row r="65" spans="1:56">
      <c r="A65" s="84" t="s">
        <v>132</v>
      </c>
      <c r="B65" s="84" t="s">
        <v>57</v>
      </c>
      <c r="C65" s="84"/>
      <c r="D65" s="85">
        <v>45566</v>
      </c>
      <c r="E65" s="86" t="s">
        <v>58</v>
      </c>
      <c r="F65" s="86">
        <f>INDEX(Definitions!$G$13:$G$17,MATCH(Table3[[#This Row],[Propensity to buy/ buyer readiness]],Definitions!$A$13:$A$17,0))</f>
        <v>250000</v>
      </c>
      <c r="G65" s="86">
        <v>5</v>
      </c>
      <c r="H65" s="86">
        <v>5</v>
      </c>
      <c r="I65" s="86">
        <v>4</v>
      </c>
      <c r="J65" s="86">
        <v>4</v>
      </c>
      <c r="K65" s="86">
        <v>5</v>
      </c>
      <c r="L65" s="86">
        <f>SUM(Table3[[#This Row],[Strategic priority segment]:[Propensity to buy/ buyer readiness]])</f>
        <v>23</v>
      </c>
      <c r="M65" s="86" t="s">
        <v>102</v>
      </c>
      <c r="N65" s="84" t="s">
        <v>61</v>
      </c>
      <c r="O65" s="84" t="s">
        <v>62</v>
      </c>
      <c r="P65" s="87" t="s">
        <v>60</v>
      </c>
      <c r="Q65" s="87" t="s">
        <v>63</v>
      </c>
      <c r="R65" s="84"/>
      <c r="S65" s="84"/>
      <c r="T65" s="87"/>
      <c r="U65" s="84">
        <v>1</v>
      </c>
      <c r="V65" s="84">
        <v>1</v>
      </c>
      <c r="W65" s="84">
        <v>1</v>
      </c>
      <c r="X65" s="84">
        <v>1</v>
      </c>
      <c r="Y65" s="84">
        <v>1</v>
      </c>
      <c r="Z65" s="84">
        <v>1</v>
      </c>
      <c r="AA65" s="84">
        <v>1</v>
      </c>
      <c r="AB65" s="84">
        <v>1</v>
      </c>
      <c r="AC65" s="84">
        <v>1</v>
      </c>
      <c r="AD65" s="84">
        <v>1</v>
      </c>
      <c r="AE65" s="84">
        <v>1</v>
      </c>
      <c r="AF65" s="84">
        <v>1</v>
      </c>
      <c r="AG65" s="84">
        <v>1</v>
      </c>
      <c r="AH65" s="84">
        <v>0</v>
      </c>
      <c r="AI65" s="84">
        <v>0</v>
      </c>
      <c r="AJ65" s="84">
        <v>0</v>
      </c>
      <c r="AK65" s="84">
        <v>0</v>
      </c>
      <c r="AL65" s="84" cm="1">
        <f t="array" ref="AL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5" s="84" cm="1">
        <f t="array" ref="AM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65" s="84" cm="1">
        <f t="array" ref="AN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65" s="84" cm="1">
        <f t="array" ref="AO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65" s="84" cm="1">
        <f t="array" ref="AP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65" s="84" cm="1">
        <f t="array" ref="AQ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5" s="84" cm="1">
        <f t="array" ref="AR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5" s="84" cm="1">
        <f t="array" ref="AS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5" s="84" cm="1">
        <f t="array" ref="AT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5" s="84" cm="1">
        <f t="array" ref="AU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5" s="84" cm="1">
        <f t="array" ref="AV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65" s="84" cm="1">
        <f t="array" ref="AW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5" s="84" cm="1">
        <f t="array" ref="AX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65" s="84" cm="1">
        <f t="array" ref="AY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5" s="84" cm="1">
        <f t="array" ref="AZ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5" s="84" cm="1">
        <f t="array" ref="BA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5" s="84" cm="1">
        <f t="array" ref="BB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5" s="84">
        <f>IF(SUM(Table3[[#This Row],[Column2]:[Column18]])&gt;Table3[[#This Row],[Column19]],Table3[[#This Row],[Column19]],SUM(Table3[[#This Row],[Column2]:[Column18]]))</f>
        <v>250000</v>
      </c>
      <c r="BD65" s="2">
        <f>Table3[[#This Row],[Total Spend]]/SUM(Table3[[#This Row],[Column2]:[Column18]])</f>
        <v>0.51824212271973469</v>
      </c>
    </row>
    <row r="66" spans="1:56">
      <c r="A66" s="84" t="s">
        <v>133</v>
      </c>
      <c r="B66" s="84" t="s">
        <v>57</v>
      </c>
      <c r="C66" s="84"/>
      <c r="D66" s="85">
        <v>45566</v>
      </c>
      <c r="E66" s="85" t="s">
        <v>92</v>
      </c>
      <c r="F66" s="84">
        <f>INDEX(Definitions!$G$13:$G$17,MATCH(Table3[[#This Row],[Propensity to buy/ buyer readiness]],Definitions!$A$13:$A$17,0))</f>
        <v>150000</v>
      </c>
      <c r="G66" s="86">
        <v>5</v>
      </c>
      <c r="H66" s="86">
        <v>4</v>
      </c>
      <c r="I66" s="86">
        <v>5</v>
      </c>
      <c r="J66" s="86">
        <v>5</v>
      </c>
      <c r="K66" s="86">
        <v>4</v>
      </c>
      <c r="L66" s="86">
        <f>SUM(Table3[[#This Row],[Strategic priority segment]:[Propensity to buy/ buyer readiness]])</f>
        <v>23</v>
      </c>
      <c r="M66" s="86" t="s">
        <v>59</v>
      </c>
      <c r="N66" s="84" t="s">
        <v>60</v>
      </c>
      <c r="O66" s="84"/>
      <c r="P66" s="87"/>
      <c r="Q66" s="87"/>
      <c r="R66" s="84"/>
      <c r="S66" s="84"/>
      <c r="T66" s="87"/>
      <c r="U66" s="84">
        <v>1</v>
      </c>
      <c r="V66" s="84">
        <v>1</v>
      </c>
      <c r="W66" s="84">
        <v>1</v>
      </c>
      <c r="X66" s="84">
        <v>1</v>
      </c>
      <c r="Y66" s="84">
        <v>1</v>
      </c>
      <c r="Z66" s="84">
        <v>0</v>
      </c>
      <c r="AA66" s="84">
        <v>0</v>
      </c>
      <c r="AB66" s="84">
        <v>0</v>
      </c>
      <c r="AC66" s="84">
        <v>0</v>
      </c>
      <c r="AD66" s="84">
        <v>1</v>
      </c>
      <c r="AE66" s="84">
        <v>0</v>
      </c>
      <c r="AF66" s="84">
        <v>0</v>
      </c>
      <c r="AG66" s="84">
        <v>0</v>
      </c>
      <c r="AH66" s="84">
        <v>0</v>
      </c>
      <c r="AI66" s="84">
        <v>0</v>
      </c>
      <c r="AJ66" s="84">
        <v>0</v>
      </c>
      <c r="AK66" s="84">
        <v>0</v>
      </c>
      <c r="AL66" s="84" cm="1">
        <f t="array" ref="AL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6" s="84" cm="1">
        <f t="array" ref="AM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66" s="84" cm="1">
        <f t="array" ref="AN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6" s="84" cm="1">
        <f t="array" ref="AO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66" s="84" cm="1">
        <f t="array" ref="AP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66" s="84" cm="1">
        <f t="array" ref="AQ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" s="84" cm="1">
        <f t="array" ref="AR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" s="84" cm="1">
        <f t="array" ref="AS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" s="84" cm="1">
        <f t="array" ref="AT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" s="84" cm="1">
        <f t="array" ref="AU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6" s="84" cm="1">
        <f t="array" ref="AV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" s="84" cm="1">
        <f t="array" ref="AW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" s="84" cm="1">
        <f t="array" ref="AX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" s="84" cm="1">
        <f t="array" ref="AY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6" s="84" cm="1">
        <f t="array" ref="AZ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6" s="84" cm="1">
        <f t="array" ref="BA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6" s="84" cm="1">
        <f t="array" ref="BB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6" s="84">
        <f>IF(SUM(Table3[[#This Row],[Column2]:[Column18]])&gt;Table3[[#This Row],[Column19]],Table3[[#This Row],[Column19]],SUM(Table3[[#This Row],[Column2]:[Column18]]))</f>
        <v>150000</v>
      </c>
      <c r="BD66" s="2">
        <f>Table3[[#This Row],[Total Spend]]/SUM(Table3[[#This Row],[Column2]:[Column18]])</f>
        <v>0.80128205128205132</v>
      </c>
    </row>
    <row r="67" spans="1:56">
      <c r="A67" s="84" t="s">
        <v>134</v>
      </c>
      <c r="B67" s="84" t="s">
        <v>57</v>
      </c>
      <c r="C67" s="84"/>
      <c r="D67" s="85">
        <v>45566</v>
      </c>
      <c r="E67" s="85" t="s">
        <v>92</v>
      </c>
      <c r="F67" s="84">
        <f>INDEX(Definitions!$G$13:$G$17,MATCH(Table3[[#This Row],[Propensity to buy/ buyer readiness]],Definitions!$A$13:$A$17,0))</f>
        <v>150000</v>
      </c>
      <c r="G67" s="86">
        <v>5</v>
      </c>
      <c r="H67" s="86">
        <v>4</v>
      </c>
      <c r="I67" s="86">
        <v>5</v>
      </c>
      <c r="J67" s="86">
        <v>5</v>
      </c>
      <c r="K67" s="86">
        <v>4</v>
      </c>
      <c r="L67" s="86">
        <f>SUM(Table3[[#This Row],[Strategic priority segment]:[Propensity to buy/ buyer readiness]])</f>
        <v>23</v>
      </c>
      <c r="M67" s="86" t="s">
        <v>59</v>
      </c>
      <c r="N67" s="84" t="s">
        <v>60</v>
      </c>
      <c r="O67" s="84" t="s">
        <v>135</v>
      </c>
      <c r="P67" s="87"/>
      <c r="Q67" s="87"/>
      <c r="R67" s="84"/>
      <c r="S67" s="84"/>
      <c r="T67" s="84"/>
      <c r="U67" s="84">
        <v>1</v>
      </c>
      <c r="V67" s="84">
        <v>1</v>
      </c>
      <c r="W67" s="84">
        <v>1</v>
      </c>
      <c r="X67" s="84">
        <v>1</v>
      </c>
      <c r="Y67" s="84">
        <v>1</v>
      </c>
      <c r="Z67" s="84">
        <v>0</v>
      </c>
      <c r="AA67" s="84">
        <v>0</v>
      </c>
      <c r="AB67" s="84">
        <v>0</v>
      </c>
      <c r="AC67" s="84">
        <v>0</v>
      </c>
      <c r="AD67" s="84">
        <v>1</v>
      </c>
      <c r="AE67" s="84">
        <v>0</v>
      </c>
      <c r="AF67" s="84">
        <v>0</v>
      </c>
      <c r="AG67" s="84">
        <v>0</v>
      </c>
      <c r="AH67" s="84">
        <v>1</v>
      </c>
      <c r="AI67" s="84">
        <v>1</v>
      </c>
      <c r="AJ67" s="84">
        <v>1</v>
      </c>
      <c r="AK67" s="84">
        <v>1</v>
      </c>
      <c r="AL67" s="84" cm="1">
        <f t="array" ref="AL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7" s="84" cm="1">
        <f t="array" ref="AM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67" s="84" cm="1">
        <f t="array" ref="AN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7" s="84" cm="1">
        <f t="array" ref="AO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67" s="84" cm="1">
        <f t="array" ref="AP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67" s="84" cm="1">
        <f t="array" ref="AQ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" s="84" cm="1">
        <f t="array" ref="AR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" s="84" cm="1">
        <f t="array" ref="AS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" s="84" cm="1">
        <f t="array" ref="AT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" s="84" cm="1">
        <f t="array" ref="AU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7" s="84" cm="1">
        <f t="array" ref="AV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" s="84" cm="1">
        <f t="array" ref="AW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" s="84" cm="1">
        <f t="array" ref="AX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" s="84" cm="1">
        <f t="array" ref="AY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67" s="84" cm="1">
        <f t="array" ref="AZ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67" s="84" cm="1">
        <f t="array" ref="BA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67" s="84" cm="1">
        <f t="array" ref="BB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67" s="84">
        <f>IF(SUM(Table3[[#This Row],[Column2]:[Column18]])&gt;Table3[[#This Row],[Column19]],Table3[[#This Row],[Column19]],SUM(Table3[[#This Row],[Column2]:[Column18]]))</f>
        <v>150000</v>
      </c>
      <c r="BD67" s="2">
        <f>Table3[[#This Row],[Total Spend]]/SUM(Table3[[#This Row],[Column2]:[Column18]])</f>
        <v>0.64226075786769432</v>
      </c>
    </row>
    <row r="68" spans="1:56">
      <c r="A68" s="84" t="s">
        <v>136</v>
      </c>
      <c r="B68" s="84" t="s">
        <v>57</v>
      </c>
      <c r="C68" s="84"/>
      <c r="D68" s="85">
        <v>45566</v>
      </c>
      <c r="E68" s="85" t="s">
        <v>58</v>
      </c>
      <c r="F68" s="84">
        <f>INDEX(Definitions!$G$13:$G$17,MATCH(Table3[[#This Row],[Propensity to buy/ buyer readiness]],Definitions!$A$13:$A$17,0))</f>
        <v>250000</v>
      </c>
      <c r="G68" s="86">
        <v>5</v>
      </c>
      <c r="H68" s="86">
        <v>5</v>
      </c>
      <c r="I68" s="86">
        <v>4</v>
      </c>
      <c r="J68" s="86">
        <v>4</v>
      </c>
      <c r="K68" s="86">
        <v>5</v>
      </c>
      <c r="L68" s="86">
        <f>SUM(Table3[[#This Row],[Strategic priority segment]:[Propensity to buy/ buyer readiness]])</f>
        <v>23</v>
      </c>
      <c r="M68" s="86" t="s">
        <v>102</v>
      </c>
      <c r="N68" s="84" t="s">
        <v>61</v>
      </c>
      <c r="O68" s="84" t="s">
        <v>62</v>
      </c>
      <c r="P68" s="87"/>
      <c r="Q68" s="87"/>
      <c r="R68" s="84"/>
      <c r="S68" s="84"/>
      <c r="T68" s="87"/>
      <c r="U68" s="84">
        <v>1</v>
      </c>
      <c r="V68" s="84">
        <v>0</v>
      </c>
      <c r="W68" s="84">
        <v>0</v>
      </c>
      <c r="X68" s="84">
        <v>0</v>
      </c>
      <c r="Y68" s="84">
        <v>0</v>
      </c>
      <c r="Z68" s="84">
        <v>1</v>
      </c>
      <c r="AA68" s="84">
        <v>1</v>
      </c>
      <c r="AB68" s="84">
        <v>1</v>
      </c>
      <c r="AC68" s="84">
        <v>1</v>
      </c>
      <c r="AD68" s="84">
        <v>1</v>
      </c>
      <c r="AE68" s="84">
        <v>1</v>
      </c>
      <c r="AF68" s="84">
        <v>1</v>
      </c>
      <c r="AG68" s="84">
        <v>1</v>
      </c>
      <c r="AH68" s="84">
        <v>0</v>
      </c>
      <c r="AI68" s="84">
        <v>0</v>
      </c>
      <c r="AJ68" s="84">
        <v>0</v>
      </c>
      <c r="AK68" s="84">
        <v>0</v>
      </c>
      <c r="AL68" s="84" cm="1">
        <f t="array" ref="AL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8" s="84" cm="1">
        <f t="array" ref="AM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" s="84" cm="1">
        <f t="array" ref="AN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" s="84" cm="1">
        <f t="array" ref="AO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" s="84" cm="1">
        <f t="array" ref="AP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" s="84" cm="1">
        <f t="array" ref="AQ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8" s="84" cm="1">
        <f t="array" ref="AR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8" s="84" cm="1">
        <f t="array" ref="AS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8" s="84" cm="1">
        <f t="array" ref="AT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8" s="84" cm="1">
        <f t="array" ref="AU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8" s="84" cm="1">
        <f t="array" ref="AV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68" s="84" cm="1">
        <f t="array" ref="AW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8" s="84" cm="1">
        <f t="array" ref="AX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68" s="84" cm="1">
        <f t="array" ref="AY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8" s="84" cm="1">
        <f t="array" ref="AZ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8" s="84" cm="1">
        <f t="array" ref="BA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8" s="84" cm="1">
        <f t="array" ref="BB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8" s="84">
        <f>IF(SUM(Table3[[#This Row],[Column2]:[Column18]])&gt;Table3[[#This Row],[Column19]],Table3[[#This Row],[Column19]],SUM(Table3[[#This Row],[Column2]:[Column18]]))</f>
        <v>250000</v>
      </c>
      <c r="BD68" s="2">
        <f>Table3[[#This Row],[Total Spend]]/SUM(Table3[[#This Row],[Column2]:[Column18]])</f>
        <v>0.95785440613026818</v>
      </c>
    </row>
    <row r="69" spans="1:56">
      <c r="A69" s="84" t="s">
        <v>137</v>
      </c>
      <c r="B69" s="84" t="s">
        <v>57</v>
      </c>
      <c r="C69" s="84"/>
      <c r="D69" s="85">
        <v>45566</v>
      </c>
      <c r="E69" s="85" t="s">
        <v>58</v>
      </c>
      <c r="F69" s="84">
        <f>INDEX(Definitions!$G$13:$G$17,MATCH(Table3[[#This Row],[Propensity to buy/ buyer readiness]],Definitions!$A$13:$A$17,0))</f>
        <v>250000</v>
      </c>
      <c r="G69" s="86">
        <v>5</v>
      </c>
      <c r="H69" s="86">
        <v>5</v>
      </c>
      <c r="I69" s="86">
        <v>4</v>
      </c>
      <c r="J69" s="86">
        <v>4</v>
      </c>
      <c r="K69" s="86">
        <v>5</v>
      </c>
      <c r="L69" s="86">
        <f>SUM(Table3[[#This Row],[Strategic priority segment]:[Propensity to buy/ buyer readiness]])</f>
        <v>23</v>
      </c>
      <c r="M69" s="86" t="s">
        <v>102</v>
      </c>
      <c r="N69" s="84" t="s">
        <v>61</v>
      </c>
      <c r="O69" s="84"/>
      <c r="P69" s="87"/>
      <c r="Q69" s="87"/>
      <c r="R69" s="84"/>
      <c r="S69" s="84"/>
      <c r="T69" s="87"/>
      <c r="U69" s="84">
        <v>1</v>
      </c>
      <c r="V69" s="84">
        <v>0</v>
      </c>
      <c r="W69" s="84">
        <v>0</v>
      </c>
      <c r="X69" s="84">
        <v>0</v>
      </c>
      <c r="Y69" s="84">
        <v>0</v>
      </c>
      <c r="Z69" s="84">
        <v>1</v>
      </c>
      <c r="AA69" s="84">
        <v>1</v>
      </c>
      <c r="AB69" s="84">
        <v>1</v>
      </c>
      <c r="AC69" s="84">
        <v>1</v>
      </c>
      <c r="AD69" s="84">
        <v>0</v>
      </c>
      <c r="AE69" s="84">
        <v>0</v>
      </c>
      <c r="AF69" s="84">
        <v>0</v>
      </c>
      <c r="AG69" s="84">
        <v>0</v>
      </c>
      <c r="AH69" s="84">
        <v>0</v>
      </c>
      <c r="AI69" s="84">
        <v>0</v>
      </c>
      <c r="AJ69" s="84">
        <v>0</v>
      </c>
      <c r="AK69" s="84">
        <v>0</v>
      </c>
      <c r="AL69" s="84" cm="1">
        <f t="array" ref="AL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9" s="84" cm="1">
        <f t="array" ref="AM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" s="84" cm="1">
        <f t="array" ref="AN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" s="84" cm="1">
        <f t="array" ref="AO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" s="84" cm="1">
        <f t="array" ref="AP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" s="84" cm="1">
        <f t="array" ref="AQ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9" s="84" cm="1">
        <f t="array" ref="AR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9" s="84" cm="1">
        <f t="array" ref="AS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9" s="84" cm="1">
        <f t="array" ref="AT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9" s="84" cm="1">
        <f t="array" ref="AU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" s="84" cm="1">
        <f t="array" ref="AV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" s="84" cm="1">
        <f t="array" ref="AW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" s="84" cm="1">
        <f t="array" ref="AX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" s="84" cm="1">
        <f t="array" ref="AY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9" s="84" cm="1">
        <f t="array" ref="AZ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9" s="84" cm="1">
        <f t="array" ref="BA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9" s="84" cm="1">
        <f t="array" ref="BB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9" s="84">
        <f>IF(SUM(Table3[[#This Row],[Column2]:[Column18]])&gt;Table3[[#This Row],[Column19]],Table3[[#This Row],[Column19]],SUM(Table3[[#This Row],[Column2]:[Column18]]))</f>
        <v>140400</v>
      </c>
      <c r="BD69" s="2">
        <f>Table3[[#This Row],[Total Spend]]/SUM(Table3[[#This Row],[Column2]:[Column18]])</f>
        <v>1</v>
      </c>
    </row>
    <row r="70" spans="1:56">
      <c r="A70" s="84" t="s">
        <v>138</v>
      </c>
      <c r="B70" s="84" t="s">
        <v>57</v>
      </c>
      <c r="C70" s="84"/>
      <c r="D70" s="85">
        <v>45566</v>
      </c>
      <c r="E70" s="85" t="s">
        <v>58</v>
      </c>
      <c r="F70" s="84">
        <f>INDEX(Definitions!$G$13:$G$17,MATCH(Table3[[#This Row],[Propensity to buy/ buyer readiness]],Definitions!$A$13:$A$17,0))</f>
        <v>250000</v>
      </c>
      <c r="G70" s="86">
        <v>5</v>
      </c>
      <c r="H70" s="86">
        <v>5</v>
      </c>
      <c r="I70" s="86">
        <v>4</v>
      </c>
      <c r="J70" s="86">
        <v>4</v>
      </c>
      <c r="K70" s="86">
        <v>5</v>
      </c>
      <c r="L70" s="86">
        <f>SUM(Table3[[#This Row],[Strategic priority segment]:[Propensity to buy/ buyer readiness]])</f>
        <v>23</v>
      </c>
      <c r="M70" s="86" t="s">
        <v>102</v>
      </c>
      <c r="N70" s="84" t="s">
        <v>61</v>
      </c>
      <c r="O70" s="84"/>
      <c r="P70" s="87"/>
      <c r="Q70" s="87"/>
      <c r="R70" s="84"/>
      <c r="S70" s="84"/>
      <c r="T70" s="87"/>
      <c r="U70" s="84">
        <v>1</v>
      </c>
      <c r="V70" s="84">
        <v>0</v>
      </c>
      <c r="W70" s="84">
        <v>0</v>
      </c>
      <c r="X70" s="84">
        <v>0</v>
      </c>
      <c r="Y70" s="84">
        <v>0</v>
      </c>
      <c r="Z70" s="84">
        <v>1</v>
      </c>
      <c r="AA70" s="84">
        <v>1</v>
      </c>
      <c r="AB70" s="84">
        <v>1</v>
      </c>
      <c r="AC70" s="84">
        <v>1</v>
      </c>
      <c r="AD70" s="84">
        <v>0</v>
      </c>
      <c r="AE70" s="84">
        <v>0</v>
      </c>
      <c r="AF70" s="84">
        <v>0</v>
      </c>
      <c r="AG70" s="84">
        <v>0</v>
      </c>
      <c r="AH70" s="84">
        <v>0</v>
      </c>
      <c r="AI70" s="84">
        <v>0</v>
      </c>
      <c r="AJ70" s="84">
        <v>0</v>
      </c>
      <c r="AK70" s="84">
        <v>0</v>
      </c>
      <c r="AL70" s="84" cm="1">
        <f t="array" ref="AL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0" s="84" cm="1">
        <f t="array" ref="AM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" s="84" cm="1">
        <f t="array" ref="AN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" s="84" cm="1">
        <f t="array" ref="AO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" s="84" cm="1">
        <f t="array" ref="AP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" s="84" cm="1">
        <f t="array" ref="AQ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0" s="84" cm="1">
        <f t="array" ref="AR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0" s="84" cm="1">
        <f t="array" ref="AS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0" s="84" cm="1">
        <f t="array" ref="AT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0" s="84" cm="1">
        <f t="array" ref="AU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0" s="84" cm="1">
        <f t="array" ref="AV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0" s="84" cm="1">
        <f t="array" ref="AW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0" s="84" cm="1">
        <f t="array" ref="AX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0" s="84" cm="1">
        <f t="array" ref="AY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" s="84" cm="1">
        <f t="array" ref="AZ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" s="84" cm="1">
        <f t="array" ref="BA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" s="84" cm="1">
        <f t="array" ref="BB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" s="84">
        <f>IF(SUM(Table3[[#This Row],[Column2]:[Column18]])&gt;Table3[[#This Row],[Column19]],Table3[[#This Row],[Column19]],SUM(Table3[[#This Row],[Column2]:[Column18]]))</f>
        <v>140400</v>
      </c>
      <c r="BD70" s="2">
        <f>Table3[[#This Row],[Total Spend]]/SUM(Table3[[#This Row],[Column2]:[Column18]])</f>
        <v>1</v>
      </c>
    </row>
    <row r="71" spans="1:56">
      <c r="A71" s="84" t="s">
        <v>139</v>
      </c>
      <c r="B71" s="84"/>
      <c r="C71" s="84"/>
      <c r="D71" s="85">
        <v>45566</v>
      </c>
      <c r="E71" s="85" t="s">
        <v>92</v>
      </c>
      <c r="F71" s="84">
        <f>INDEX(Definitions!$G$13:$G$17,MATCH(Table3[[#This Row],[Propensity to buy/ buyer readiness]],Definitions!$A$13:$A$17,0))</f>
        <v>150000</v>
      </c>
      <c r="G71" s="86">
        <v>5</v>
      </c>
      <c r="H71" s="86">
        <v>5</v>
      </c>
      <c r="I71" s="86">
        <v>4</v>
      </c>
      <c r="J71" s="86">
        <v>5</v>
      </c>
      <c r="K71" s="86">
        <v>4</v>
      </c>
      <c r="L71" s="86">
        <f>SUM(Table3[[#This Row],[Strategic priority segment]:[Propensity to buy/ buyer readiness]])</f>
        <v>23</v>
      </c>
      <c r="M71" s="86" t="s">
        <v>59</v>
      </c>
      <c r="N71" s="84" t="s">
        <v>60</v>
      </c>
      <c r="O71" s="87"/>
      <c r="P71" s="87"/>
      <c r="Q71" s="87"/>
      <c r="R71" s="84"/>
      <c r="S71" s="87"/>
      <c r="T71" s="84"/>
      <c r="U71" s="84">
        <v>1</v>
      </c>
      <c r="V71" s="84">
        <v>1</v>
      </c>
      <c r="W71" s="84">
        <v>1</v>
      </c>
      <c r="X71" s="84">
        <v>1</v>
      </c>
      <c r="Y71" s="84">
        <v>1</v>
      </c>
      <c r="Z71" s="84">
        <v>0</v>
      </c>
      <c r="AA71" s="84">
        <v>0</v>
      </c>
      <c r="AB71" s="84">
        <v>0</v>
      </c>
      <c r="AC71" s="84">
        <v>0</v>
      </c>
      <c r="AD71" s="84">
        <v>1</v>
      </c>
      <c r="AE71" s="84">
        <v>0</v>
      </c>
      <c r="AF71" s="84">
        <v>0</v>
      </c>
      <c r="AG71" s="84">
        <v>0</v>
      </c>
      <c r="AH71" s="84">
        <v>0</v>
      </c>
      <c r="AI71" s="84">
        <v>0</v>
      </c>
      <c r="AJ71" s="84">
        <v>0</v>
      </c>
      <c r="AK71" s="84">
        <v>0</v>
      </c>
      <c r="AL71" s="84" cm="1">
        <f t="array" ref="AL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1" s="84" cm="1">
        <f t="array" ref="AM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71" s="84" cm="1">
        <f t="array" ref="AN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1" s="84" cm="1">
        <f t="array" ref="AO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71" s="84" cm="1">
        <f t="array" ref="AP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71" s="84" cm="1">
        <f t="array" ref="AQ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" s="84" cm="1">
        <f t="array" ref="AR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" s="84" cm="1">
        <f t="array" ref="AS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" s="84" cm="1">
        <f t="array" ref="AT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" s="84" cm="1">
        <f t="array" ref="AU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1" s="84" cm="1">
        <f t="array" ref="AV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" s="84" cm="1">
        <f t="array" ref="AW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" s="84" cm="1">
        <f t="array" ref="AX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" s="84" cm="1">
        <f t="array" ref="AY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1" s="84" cm="1">
        <f t="array" ref="AZ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1" s="84" cm="1">
        <f t="array" ref="BA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1" s="84" cm="1">
        <f t="array" ref="BB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1" s="84">
        <f>IF(SUM(Table3[[#This Row],[Column2]:[Column18]])&gt;Table3[[#This Row],[Column19]],Table3[[#This Row],[Column19]],SUM(Table3[[#This Row],[Column2]:[Column18]]))</f>
        <v>150000</v>
      </c>
      <c r="BD71" s="2">
        <f>Table3[[#This Row],[Total Spend]]/SUM(Table3[[#This Row],[Column2]:[Column18]])</f>
        <v>0.80128205128205132</v>
      </c>
    </row>
    <row r="72" spans="1:56">
      <c r="A72" s="84" t="s">
        <v>140</v>
      </c>
      <c r="B72" s="84" t="s">
        <v>57</v>
      </c>
      <c r="C72" s="84"/>
      <c r="D72" s="85">
        <v>45566</v>
      </c>
      <c r="E72" s="85" t="s">
        <v>92</v>
      </c>
      <c r="F72" s="84">
        <f>INDEX(Definitions!$G$13:$G$17,MATCH(Table3[[#This Row],[Propensity to buy/ buyer readiness]],Definitions!$A$13:$A$17,0))</f>
        <v>150000</v>
      </c>
      <c r="G72" s="86">
        <v>5</v>
      </c>
      <c r="H72" s="86">
        <v>4</v>
      </c>
      <c r="I72" s="86">
        <v>5</v>
      </c>
      <c r="J72" s="86">
        <v>5</v>
      </c>
      <c r="K72" s="86">
        <v>4</v>
      </c>
      <c r="L72" s="86">
        <f>SUM(Table3[[#This Row],[Strategic priority segment]:[Propensity to buy/ buyer readiness]])</f>
        <v>23</v>
      </c>
      <c r="M72" s="86" t="s">
        <v>59</v>
      </c>
      <c r="N72" s="84" t="s">
        <v>60</v>
      </c>
      <c r="O72" s="84"/>
      <c r="P72" s="87"/>
      <c r="Q72" s="87"/>
      <c r="R72" s="84"/>
      <c r="S72" s="84"/>
      <c r="T72" s="87"/>
      <c r="U72" s="84">
        <v>1</v>
      </c>
      <c r="V72" s="84">
        <v>1</v>
      </c>
      <c r="W72" s="84">
        <v>1</v>
      </c>
      <c r="X72" s="84">
        <v>1</v>
      </c>
      <c r="Y72" s="84">
        <v>1</v>
      </c>
      <c r="Z72" s="84">
        <v>0</v>
      </c>
      <c r="AA72" s="84">
        <v>0</v>
      </c>
      <c r="AB72" s="84">
        <v>0</v>
      </c>
      <c r="AC72" s="84">
        <v>0</v>
      </c>
      <c r="AD72" s="84">
        <v>1</v>
      </c>
      <c r="AE72" s="84">
        <v>0</v>
      </c>
      <c r="AF72" s="84">
        <v>0</v>
      </c>
      <c r="AG72" s="84">
        <v>0</v>
      </c>
      <c r="AH72" s="84">
        <v>0</v>
      </c>
      <c r="AI72" s="84">
        <v>0</v>
      </c>
      <c r="AJ72" s="84">
        <v>0</v>
      </c>
      <c r="AK72" s="84">
        <v>0</v>
      </c>
      <c r="AL72" s="84" cm="1">
        <f t="array" ref="AL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2" s="84" cm="1">
        <f t="array" ref="AM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72" s="84" cm="1">
        <f t="array" ref="AN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2" s="84" cm="1">
        <f t="array" ref="AO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72" s="84" cm="1">
        <f t="array" ref="AP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72" s="84" cm="1">
        <f t="array" ref="AQ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" s="84" cm="1">
        <f t="array" ref="AR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" s="84" cm="1">
        <f t="array" ref="AS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" s="84" cm="1">
        <f t="array" ref="AT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" s="84" cm="1">
        <f t="array" ref="AU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2" s="84" cm="1">
        <f t="array" ref="AV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" s="84" cm="1">
        <f t="array" ref="AW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" s="84" cm="1">
        <f t="array" ref="AX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" s="84" cm="1">
        <f t="array" ref="AY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2" s="84" cm="1">
        <f t="array" ref="AZ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2" s="84" cm="1">
        <f t="array" ref="BA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2" s="84" cm="1">
        <f t="array" ref="BB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2" s="84">
        <f>IF(SUM(Table3[[#This Row],[Column2]:[Column18]])&gt;Table3[[#This Row],[Column19]],Table3[[#This Row],[Column19]],SUM(Table3[[#This Row],[Column2]:[Column18]]))</f>
        <v>150000</v>
      </c>
      <c r="BD72" s="2">
        <f>Table3[[#This Row],[Total Spend]]/SUM(Table3[[#This Row],[Column2]:[Column18]])</f>
        <v>0.80128205128205132</v>
      </c>
    </row>
    <row r="73" spans="1:56">
      <c r="A73" s="84" t="s">
        <v>141</v>
      </c>
      <c r="B73" s="84" t="s">
        <v>57</v>
      </c>
      <c r="C73" s="84"/>
      <c r="D73" s="85">
        <v>45566</v>
      </c>
      <c r="E73" s="85" t="s">
        <v>58</v>
      </c>
      <c r="F73" s="84">
        <f>INDEX(Definitions!$G$13:$G$17,MATCH(Table3[[#This Row],[Propensity to buy/ buyer readiness]],Definitions!$A$13:$A$17,0))</f>
        <v>250000</v>
      </c>
      <c r="G73" s="86">
        <v>5</v>
      </c>
      <c r="H73" s="86">
        <v>5</v>
      </c>
      <c r="I73" s="86">
        <v>4</v>
      </c>
      <c r="J73" s="86">
        <v>4</v>
      </c>
      <c r="K73" s="86">
        <v>5</v>
      </c>
      <c r="L73" s="86">
        <f>SUM(Table3[[#This Row],[Strategic priority segment]:[Propensity to buy/ buyer readiness]])</f>
        <v>23</v>
      </c>
      <c r="M73" s="86" t="s">
        <v>102</v>
      </c>
      <c r="N73" s="84" t="s">
        <v>61</v>
      </c>
      <c r="O73" s="84" t="s">
        <v>62</v>
      </c>
      <c r="P73" s="87"/>
      <c r="Q73" s="87"/>
      <c r="R73" s="84"/>
      <c r="S73" s="84"/>
      <c r="T73" s="87"/>
      <c r="U73" s="84">
        <v>1</v>
      </c>
      <c r="V73" s="84">
        <v>0</v>
      </c>
      <c r="W73" s="84">
        <v>0</v>
      </c>
      <c r="X73" s="84">
        <v>0</v>
      </c>
      <c r="Y73" s="84">
        <v>0</v>
      </c>
      <c r="Z73" s="84">
        <v>1</v>
      </c>
      <c r="AA73" s="84">
        <v>1</v>
      </c>
      <c r="AB73" s="84">
        <v>1</v>
      </c>
      <c r="AC73" s="84">
        <v>1</v>
      </c>
      <c r="AD73" s="84">
        <v>1</v>
      </c>
      <c r="AE73" s="84">
        <v>1</v>
      </c>
      <c r="AF73" s="84">
        <v>1</v>
      </c>
      <c r="AG73" s="84">
        <v>1</v>
      </c>
      <c r="AH73" s="84">
        <v>0</v>
      </c>
      <c r="AI73" s="84">
        <v>0</v>
      </c>
      <c r="AJ73" s="84">
        <v>0</v>
      </c>
      <c r="AK73" s="84">
        <v>0</v>
      </c>
      <c r="AL73" s="84" cm="1">
        <f t="array" ref="AL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3" s="84" cm="1">
        <f t="array" ref="AM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" s="84" cm="1">
        <f t="array" ref="AN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" s="84" cm="1">
        <f t="array" ref="AO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" s="84" cm="1">
        <f t="array" ref="AP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" s="84" cm="1">
        <f t="array" ref="AQ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3" s="84" cm="1">
        <f t="array" ref="AR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3" s="84" cm="1">
        <f t="array" ref="AS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3" s="84" cm="1">
        <f t="array" ref="AT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3" s="84" cm="1">
        <f t="array" ref="AU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3" s="84" cm="1">
        <f t="array" ref="AV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3" s="84" cm="1">
        <f t="array" ref="AW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3" s="84" cm="1">
        <f t="array" ref="AX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73" s="84" cm="1">
        <f t="array" ref="AY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3" s="84" cm="1">
        <f t="array" ref="AZ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3" s="84" cm="1">
        <f t="array" ref="BA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3" s="84" cm="1">
        <f t="array" ref="BB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3" s="84">
        <f>IF(SUM(Table3[[#This Row],[Column2]:[Column18]])&gt;Table3[[#This Row],[Column19]],Table3[[#This Row],[Column19]],SUM(Table3[[#This Row],[Column2]:[Column18]]))</f>
        <v>250000</v>
      </c>
      <c r="BD73" s="2">
        <f>Table3[[#This Row],[Total Spend]]/SUM(Table3[[#This Row],[Column2]:[Column18]])</f>
        <v>0.95785440613026818</v>
      </c>
    </row>
    <row r="74" spans="1:56">
      <c r="A74" s="84" t="s">
        <v>142</v>
      </c>
      <c r="B74" s="84" t="s">
        <v>57</v>
      </c>
      <c r="C74" s="84" t="s">
        <v>57</v>
      </c>
      <c r="D74" s="85">
        <v>45566</v>
      </c>
      <c r="E74" s="85" t="s">
        <v>92</v>
      </c>
      <c r="F74" s="84">
        <f>INDEX(Definitions!$G$13:$G$17,MATCH(Table3[[#This Row],[Propensity to buy/ buyer readiness]],Definitions!$A$13:$A$17,0))</f>
        <v>150000</v>
      </c>
      <c r="G74" s="86">
        <v>5</v>
      </c>
      <c r="H74" s="86">
        <v>4</v>
      </c>
      <c r="I74" s="86">
        <v>5</v>
      </c>
      <c r="J74" s="86">
        <v>5</v>
      </c>
      <c r="K74" s="86">
        <v>4</v>
      </c>
      <c r="L74" s="86">
        <f>SUM(Table3[[#This Row],[Strategic priority segment]:[Propensity to buy/ buyer readiness]])</f>
        <v>23</v>
      </c>
      <c r="M74" s="86" t="s">
        <v>59</v>
      </c>
      <c r="N74" s="84" t="s">
        <v>60</v>
      </c>
      <c r="O74" s="84"/>
      <c r="P74" s="87"/>
      <c r="Q74" s="87"/>
      <c r="R74" s="84"/>
      <c r="S74" s="84"/>
      <c r="T74" s="87"/>
      <c r="U74" s="84">
        <v>1</v>
      </c>
      <c r="V74" s="84">
        <v>1</v>
      </c>
      <c r="W74" s="84">
        <v>1</v>
      </c>
      <c r="X74" s="84">
        <v>1</v>
      </c>
      <c r="Y74" s="84">
        <v>1</v>
      </c>
      <c r="Z74" s="84">
        <v>0</v>
      </c>
      <c r="AA74" s="84">
        <v>0</v>
      </c>
      <c r="AB74" s="84">
        <v>0</v>
      </c>
      <c r="AC74" s="84">
        <v>0</v>
      </c>
      <c r="AD74" s="84">
        <v>1</v>
      </c>
      <c r="AE74" s="84">
        <v>0</v>
      </c>
      <c r="AF74" s="84">
        <v>0</v>
      </c>
      <c r="AG74" s="84">
        <v>0</v>
      </c>
      <c r="AH74" s="84">
        <v>0</v>
      </c>
      <c r="AI74" s="84">
        <v>0</v>
      </c>
      <c r="AJ74" s="84">
        <v>0</v>
      </c>
      <c r="AK74" s="84">
        <v>0</v>
      </c>
      <c r="AL74" s="84" cm="1">
        <f t="array" ref="AL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4" s="84" cm="1">
        <f t="array" ref="AM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74" s="84" cm="1">
        <f t="array" ref="AN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4" s="84" cm="1">
        <f t="array" ref="AO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74" s="84" cm="1">
        <f t="array" ref="AP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74" s="84" cm="1">
        <f t="array" ref="AQ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" s="84" cm="1">
        <f t="array" ref="AR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" s="84" cm="1">
        <f t="array" ref="AS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" s="84" cm="1">
        <f t="array" ref="AT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" s="84" cm="1">
        <f t="array" ref="AU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4" s="84" cm="1">
        <f t="array" ref="AV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" s="84" cm="1">
        <f t="array" ref="AW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4" s="84" cm="1">
        <f t="array" ref="AX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" s="84" cm="1">
        <f t="array" ref="AY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" s="84" cm="1">
        <f t="array" ref="AZ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4" s="84" cm="1">
        <f t="array" ref="BA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" s="84" cm="1">
        <f t="array" ref="BB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" s="84">
        <f>IF(SUM(Table3[[#This Row],[Column2]:[Column18]])&gt;Table3[[#This Row],[Column19]],Table3[[#This Row],[Column19]],SUM(Table3[[#This Row],[Column2]:[Column18]]))</f>
        <v>150000</v>
      </c>
      <c r="BD74" s="2">
        <f>Table3[[#This Row],[Total Spend]]/SUM(Table3[[#This Row],[Column2]:[Column18]])</f>
        <v>0.80128205128205132</v>
      </c>
    </row>
    <row r="75" spans="1:56">
      <c r="A75" s="84" t="s">
        <v>143</v>
      </c>
      <c r="B75" s="84" t="s">
        <v>57</v>
      </c>
      <c r="C75" s="84"/>
      <c r="D75" s="85">
        <v>45566</v>
      </c>
      <c r="E75" s="85" t="s">
        <v>58</v>
      </c>
      <c r="F75" s="84">
        <f>INDEX(Definitions!$G$13:$G$17,MATCH(Table3[[#This Row],[Propensity to buy/ buyer readiness]],Definitions!$A$13:$A$17,0))</f>
        <v>150000</v>
      </c>
      <c r="G75" s="86">
        <v>5</v>
      </c>
      <c r="H75" s="86">
        <v>4</v>
      </c>
      <c r="I75" s="86">
        <v>5</v>
      </c>
      <c r="J75" s="86">
        <v>4</v>
      </c>
      <c r="K75" s="86">
        <v>4</v>
      </c>
      <c r="L75" s="86">
        <f>SUM(Table3[[#This Row],[Strategic priority segment]:[Propensity to buy/ buyer readiness]])</f>
        <v>22</v>
      </c>
      <c r="M75" s="86" t="s">
        <v>66</v>
      </c>
      <c r="N75" s="84" t="s">
        <v>62</v>
      </c>
      <c r="O75" s="84" t="s">
        <v>61</v>
      </c>
      <c r="P75" s="87" t="s">
        <v>135</v>
      </c>
      <c r="Q75" s="87" t="s">
        <v>144</v>
      </c>
      <c r="R75" s="84"/>
      <c r="S75" s="87"/>
      <c r="T75" s="87"/>
      <c r="U75" s="84">
        <v>1</v>
      </c>
      <c r="V75" s="84">
        <v>0</v>
      </c>
      <c r="W75" s="84">
        <v>0</v>
      </c>
      <c r="X75" s="84">
        <v>0</v>
      </c>
      <c r="Y75" s="84">
        <v>0</v>
      </c>
      <c r="Z75" s="84">
        <v>1</v>
      </c>
      <c r="AA75" s="84">
        <v>1</v>
      </c>
      <c r="AB75" s="84">
        <v>1</v>
      </c>
      <c r="AC75" s="84">
        <v>1</v>
      </c>
      <c r="AD75" s="84">
        <v>1</v>
      </c>
      <c r="AE75" s="84">
        <v>1</v>
      </c>
      <c r="AF75" s="84">
        <v>1</v>
      </c>
      <c r="AG75" s="84">
        <v>1</v>
      </c>
      <c r="AH75" s="84">
        <v>1</v>
      </c>
      <c r="AI75" s="84">
        <v>1</v>
      </c>
      <c r="AJ75" s="84">
        <v>1</v>
      </c>
      <c r="AK75" s="84">
        <v>1</v>
      </c>
      <c r="AL75" s="84" cm="1">
        <f t="array" ref="AL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5" s="84" cm="1">
        <f t="array" ref="AM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" s="84" cm="1">
        <f t="array" ref="AN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" s="84" cm="1">
        <f t="array" ref="AO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" s="84" cm="1">
        <f t="array" ref="AP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" s="84" cm="1">
        <f t="array" ref="AQ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5" s="84" cm="1">
        <f t="array" ref="AR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5" s="84" cm="1">
        <f t="array" ref="AS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5" s="84" cm="1">
        <f t="array" ref="AT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5" s="84" cm="1">
        <f t="array" ref="AU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5" s="84" cm="1">
        <f t="array" ref="AV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5" s="84" cm="1">
        <f t="array" ref="AW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5" s="84" cm="1">
        <f t="array" ref="AX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75" s="84" cm="1">
        <f t="array" ref="AY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5" s="84" cm="1">
        <f t="array" ref="AZ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5" s="84" cm="1">
        <f t="array" ref="BA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5" s="84" cm="1">
        <f t="array" ref="BB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5" s="84">
        <f>IF(SUM(Table3[[#This Row],[Column2]:[Column18]])&gt;Table3[[#This Row],[Column19]],Table3[[#This Row],[Column19]],SUM(Table3[[#This Row],[Column2]:[Column18]]))</f>
        <v>150000</v>
      </c>
      <c r="BD75" s="2">
        <f>Table3[[#This Row],[Total Spend]]/SUM(Table3[[#This Row],[Column2]:[Column18]])</f>
        <v>0.46104195481788846</v>
      </c>
    </row>
    <row r="76" spans="1:56">
      <c r="A76" s="84" t="s">
        <v>145</v>
      </c>
      <c r="B76" s="84" t="s">
        <v>57</v>
      </c>
      <c r="C76" s="84"/>
      <c r="D76" s="85">
        <v>45566</v>
      </c>
      <c r="E76" s="85" t="s">
        <v>92</v>
      </c>
      <c r="F76" s="84">
        <f>INDEX(Definitions!$G$13:$G$17,MATCH(Table3[[#This Row],[Propensity to buy/ buyer readiness]],Definitions!$A$13:$A$17,0))</f>
        <v>50000</v>
      </c>
      <c r="G76" s="86">
        <v>5</v>
      </c>
      <c r="H76" s="86">
        <v>4</v>
      </c>
      <c r="I76" s="86">
        <v>5</v>
      </c>
      <c r="J76" s="86">
        <v>5</v>
      </c>
      <c r="K76" s="86">
        <v>3</v>
      </c>
      <c r="L76" s="86">
        <f>SUM(Table3[[#This Row],[Strategic priority segment]:[Propensity to buy/ buyer readiness]])</f>
        <v>22</v>
      </c>
      <c r="M76" s="86" t="s">
        <v>59</v>
      </c>
      <c r="N76" s="84" t="s">
        <v>60</v>
      </c>
      <c r="O76" s="84"/>
      <c r="P76" s="87"/>
      <c r="Q76" s="87"/>
      <c r="R76" s="84"/>
      <c r="S76" s="87"/>
      <c r="T76" s="87"/>
      <c r="U76" s="84">
        <v>1</v>
      </c>
      <c r="V76" s="84">
        <v>1</v>
      </c>
      <c r="W76" s="84">
        <v>1</v>
      </c>
      <c r="X76" s="84">
        <v>1</v>
      </c>
      <c r="Y76" s="84">
        <v>1</v>
      </c>
      <c r="Z76" s="84">
        <v>0</v>
      </c>
      <c r="AA76" s="84">
        <v>0</v>
      </c>
      <c r="AB76" s="84">
        <v>0</v>
      </c>
      <c r="AC76" s="84">
        <v>0</v>
      </c>
      <c r="AD76" s="84">
        <v>1</v>
      </c>
      <c r="AE76" s="84">
        <v>0</v>
      </c>
      <c r="AF76" s="84">
        <v>0</v>
      </c>
      <c r="AG76" s="84">
        <v>0</v>
      </c>
      <c r="AH76" s="84">
        <v>0</v>
      </c>
      <c r="AI76" s="84">
        <v>0</v>
      </c>
      <c r="AJ76" s="84">
        <v>0</v>
      </c>
      <c r="AK76" s="84">
        <v>0</v>
      </c>
      <c r="AL76" s="84" cm="1">
        <f t="array" ref="AL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" s="84" cm="1">
        <f t="array" ref="AM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76" s="84" cm="1">
        <f t="array" ref="AN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6" s="84" cm="1">
        <f t="array" ref="AO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76" s="84" cm="1">
        <f t="array" ref="AP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76" s="84" cm="1">
        <f t="array" ref="AQ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" s="84" cm="1">
        <f t="array" ref="AR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" s="84" cm="1">
        <f t="array" ref="AS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" s="84" cm="1">
        <f t="array" ref="AT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" s="84" cm="1">
        <f t="array" ref="AU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" s="84" cm="1">
        <f t="array" ref="AV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6" s="84" cm="1">
        <f t="array" ref="AW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6" s="84" cm="1">
        <f t="array" ref="AX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6" s="84" cm="1">
        <f t="array" ref="AY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" s="84" cm="1">
        <f t="array" ref="AZ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" s="84" cm="1">
        <f t="array" ref="BA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" s="84" cm="1">
        <f t="array" ref="BB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" s="84">
        <f>IF(SUM(Table3[[#This Row],[Column2]:[Column18]])&gt;Table3[[#This Row],[Column19]],Table3[[#This Row],[Column19]],SUM(Table3[[#This Row],[Column2]:[Column18]]))</f>
        <v>50000</v>
      </c>
      <c r="BD76" s="2">
        <f>Table3[[#This Row],[Total Spend]]/SUM(Table3[[#This Row],[Column2]:[Column18]])</f>
        <v>0.26709401709401709</v>
      </c>
    </row>
    <row r="77" spans="1:56">
      <c r="A77" s="84" t="s">
        <v>146</v>
      </c>
      <c r="B77" s="84" t="s">
        <v>57</v>
      </c>
      <c r="C77" s="84" t="s">
        <v>57</v>
      </c>
      <c r="D77" s="85">
        <v>45566</v>
      </c>
      <c r="E77" s="85" t="s">
        <v>58</v>
      </c>
      <c r="F77" s="84">
        <f>INDEX(Definitions!$G$13:$G$17,MATCH(Table3[[#This Row],[Propensity to buy/ buyer readiness]],Definitions!$A$13:$A$17,0))</f>
        <v>150000</v>
      </c>
      <c r="G77" s="86">
        <v>5</v>
      </c>
      <c r="H77" s="86">
        <v>5</v>
      </c>
      <c r="I77" s="86">
        <v>4</v>
      </c>
      <c r="J77" s="86">
        <v>4</v>
      </c>
      <c r="K77" s="86">
        <v>4</v>
      </c>
      <c r="L77" s="86">
        <f>SUM(Table3[[#This Row],[Strategic priority segment]:[Propensity to buy/ buyer readiness]])</f>
        <v>22</v>
      </c>
      <c r="M77" s="86" t="s">
        <v>102</v>
      </c>
      <c r="N77" s="84" t="s">
        <v>61</v>
      </c>
      <c r="O77" s="84" t="s">
        <v>62</v>
      </c>
      <c r="P77" s="87"/>
      <c r="Q77" s="87"/>
      <c r="R77" s="84"/>
      <c r="S77" s="87"/>
      <c r="T77" s="87"/>
      <c r="U77" s="84">
        <v>1</v>
      </c>
      <c r="V77" s="84">
        <v>0</v>
      </c>
      <c r="W77" s="84">
        <v>0</v>
      </c>
      <c r="X77" s="84">
        <v>0</v>
      </c>
      <c r="Y77" s="84">
        <v>0</v>
      </c>
      <c r="Z77" s="84">
        <v>1</v>
      </c>
      <c r="AA77" s="84">
        <v>1</v>
      </c>
      <c r="AB77" s="84">
        <v>1</v>
      </c>
      <c r="AC77" s="84">
        <v>1</v>
      </c>
      <c r="AD77" s="84">
        <v>1</v>
      </c>
      <c r="AE77" s="84">
        <v>1</v>
      </c>
      <c r="AF77" s="84">
        <v>1</v>
      </c>
      <c r="AG77" s="84">
        <v>1</v>
      </c>
      <c r="AH77" s="84">
        <v>0</v>
      </c>
      <c r="AI77" s="84">
        <v>0</v>
      </c>
      <c r="AJ77" s="84">
        <v>0</v>
      </c>
      <c r="AK77" s="84">
        <v>0</v>
      </c>
      <c r="AL77" s="84" cm="1">
        <f t="array" ref="AL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7" s="84" cm="1">
        <f t="array" ref="AM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" s="84" cm="1">
        <f t="array" ref="AN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" s="84" cm="1">
        <f t="array" ref="AO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" s="84" cm="1">
        <f t="array" ref="AP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" s="84" cm="1">
        <f t="array" ref="AQ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7" s="84" cm="1">
        <f t="array" ref="AR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7" s="84" cm="1">
        <f t="array" ref="AS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7" s="84" cm="1">
        <f t="array" ref="AT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7" s="84" cm="1">
        <f t="array" ref="AU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7" s="84" cm="1">
        <f t="array" ref="AV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7" s="84" cm="1">
        <f t="array" ref="AW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7" s="84" cm="1">
        <f t="array" ref="AX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77" s="84" cm="1">
        <f t="array" ref="AY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" s="84" cm="1">
        <f t="array" ref="AZ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7" s="84" cm="1">
        <f t="array" ref="BA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" s="84" cm="1">
        <f t="array" ref="BB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" s="84">
        <f>IF(SUM(Table3[[#This Row],[Column2]:[Column18]])&gt;Table3[[#This Row],[Column19]],Table3[[#This Row],[Column19]],SUM(Table3[[#This Row],[Column2]:[Column18]]))</f>
        <v>150000</v>
      </c>
      <c r="BD77" s="2">
        <f>Table3[[#This Row],[Total Spend]]/SUM(Table3[[#This Row],[Column2]:[Column18]])</f>
        <v>0.57471264367816088</v>
      </c>
    </row>
    <row r="78" spans="1:56" ht="28.5">
      <c r="A78" s="84" t="s">
        <v>147</v>
      </c>
      <c r="B78" s="84"/>
      <c r="C78" s="84"/>
      <c r="D78" s="85">
        <v>45566</v>
      </c>
      <c r="E78" s="85" t="s">
        <v>58</v>
      </c>
      <c r="F78" s="84">
        <f>INDEX(Definitions!$G$13:$G$17,MATCH(Table3[[#This Row],[Propensity to buy/ buyer readiness]],Definitions!$A$13:$A$17,0))</f>
        <v>250000</v>
      </c>
      <c r="G78" s="86">
        <v>5</v>
      </c>
      <c r="H78" s="86">
        <v>4</v>
      </c>
      <c r="I78" s="86">
        <v>4</v>
      </c>
      <c r="J78" s="86">
        <v>4</v>
      </c>
      <c r="K78" s="86">
        <v>5</v>
      </c>
      <c r="L78" s="86">
        <f>SUM(Table3[[#This Row],[Strategic priority segment]:[Propensity to buy/ buyer readiness]])</f>
        <v>22</v>
      </c>
      <c r="M78" s="86" t="s">
        <v>59</v>
      </c>
      <c r="N78" s="84" t="s">
        <v>63</v>
      </c>
      <c r="O78" s="87" t="s">
        <v>61</v>
      </c>
      <c r="P78" s="87" t="s">
        <v>60</v>
      </c>
      <c r="Q78" s="87"/>
      <c r="R78" s="84"/>
      <c r="S78" s="87"/>
      <c r="T78" s="87"/>
      <c r="U78" s="84">
        <v>1</v>
      </c>
      <c r="V78" s="84">
        <v>1</v>
      </c>
      <c r="W78" s="84">
        <v>1</v>
      </c>
      <c r="X78" s="84">
        <v>1</v>
      </c>
      <c r="Y78" s="84">
        <v>1</v>
      </c>
      <c r="Z78" s="84">
        <v>1</v>
      </c>
      <c r="AA78" s="84">
        <v>1</v>
      </c>
      <c r="AB78" s="84">
        <v>1</v>
      </c>
      <c r="AC78" s="84">
        <v>1</v>
      </c>
      <c r="AD78" s="84">
        <v>1</v>
      </c>
      <c r="AE78" s="84">
        <v>1</v>
      </c>
      <c r="AF78" s="84">
        <v>1</v>
      </c>
      <c r="AG78" s="84">
        <v>0</v>
      </c>
      <c r="AH78" s="84">
        <v>0</v>
      </c>
      <c r="AI78" s="84">
        <v>0</v>
      </c>
      <c r="AJ78" s="84">
        <v>0</v>
      </c>
      <c r="AK78" s="84">
        <v>0</v>
      </c>
      <c r="AL78" s="84" cm="1">
        <f t="array" ref="AL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" s="84" cm="1">
        <f t="array" ref="AM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8" s="84" cm="1">
        <f t="array" ref="AN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8" s="84" cm="1">
        <f t="array" ref="AO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8" s="84" cm="1">
        <f t="array" ref="AP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78" s="84" cm="1">
        <f t="array" ref="AQ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8" s="84" cm="1">
        <f t="array" ref="AR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8" s="84" cm="1">
        <f t="array" ref="AS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8" s="84" cm="1">
        <f t="array" ref="AT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8" s="84" cm="1">
        <f t="array" ref="AU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8" s="84" cm="1">
        <f t="array" ref="AV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8" s="84" cm="1">
        <f t="array" ref="AW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8" s="84" cm="1">
        <f t="array" ref="AX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" s="84" cm="1">
        <f t="array" ref="AY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" s="84" cm="1">
        <f t="array" ref="AZ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" s="84" cm="1">
        <f t="array" ref="BA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" s="84" cm="1">
        <f t="array" ref="BB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" s="84">
        <f>IF(SUM(Table3[[#This Row],[Column2]:[Column18]])&gt;Table3[[#This Row],[Column19]],Table3[[#This Row],[Column19]],SUM(Table3[[#This Row],[Column2]:[Column18]]))</f>
        <v>250000</v>
      </c>
      <c r="BD78" s="2">
        <f>Table3[[#This Row],[Total Spend]]/SUM(Table3[[#This Row],[Column2]:[Column18]])</f>
        <v>0.56003584229390679</v>
      </c>
    </row>
    <row r="79" spans="1:56">
      <c r="A79" s="84" t="s">
        <v>148</v>
      </c>
      <c r="B79" s="84"/>
      <c r="C79" s="84"/>
      <c r="D79" s="85">
        <v>45566</v>
      </c>
      <c r="E79" s="85" t="s">
        <v>92</v>
      </c>
      <c r="F79" s="84">
        <f>INDEX(Definitions!$G$13:$G$17,MATCH(Table3[[#This Row],[Propensity to buy/ buyer readiness]],Definitions!$A$13:$A$17,0))</f>
        <v>50000</v>
      </c>
      <c r="G79" s="86">
        <v>5</v>
      </c>
      <c r="H79" s="86">
        <v>4</v>
      </c>
      <c r="I79" s="86">
        <v>5</v>
      </c>
      <c r="J79" s="86">
        <v>5</v>
      </c>
      <c r="K79" s="86">
        <v>3</v>
      </c>
      <c r="L79" s="86">
        <f>SUM(Table3[[#This Row],[Strategic priority segment]:[Propensity to buy/ buyer readiness]])</f>
        <v>22</v>
      </c>
      <c r="M79" s="86" t="s">
        <v>59</v>
      </c>
      <c r="N79" s="84" t="s">
        <v>60</v>
      </c>
      <c r="O79" s="87"/>
      <c r="P79" s="87"/>
      <c r="Q79" s="87"/>
      <c r="R79" s="84"/>
      <c r="S79" s="87"/>
      <c r="T79" s="87"/>
      <c r="U79" s="84">
        <v>1</v>
      </c>
      <c r="V79" s="84">
        <v>1</v>
      </c>
      <c r="W79" s="84">
        <v>1</v>
      </c>
      <c r="X79" s="84">
        <v>1</v>
      </c>
      <c r="Y79" s="84">
        <v>1</v>
      </c>
      <c r="Z79" s="84">
        <v>0</v>
      </c>
      <c r="AA79" s="84">
        <v>0</v>
      </c>
      <c r="AB79" s="84">
        <v>0</v>
      </c>
      <c r="AC79" s="84">
        <v>0</v>
      </c>
      <c r="AD79" s="84">
        <v>1</v>
      </c>
      <c r="AE79" s="84">
        <v>0</v>
      </c>
      <c r="AF79" s="84">
        <v>0</v>
      </c>
      <c r="AG79" s="84">
        <v>0</v>
      </c>
      <c r="AH79" s="84">
        <v>0</v>
      </c>
      <c r="AI79" s="84">
        <v>0</v>
      </c>
      <c r="AJ79" s="84">
        <v>0</v>
      </c>
      <c r="AK79" s="84">
        <v>0</v>
      </c>
      <c r="AL79" s="84" cm="1">
        <f t="array" ref="AL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9" s="84" cm="1">
        <f t="array" ref="AM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79" s="84" cm="1">
        <f t="array" ref="AN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9" s="84" cm="1">
        <f t="array" ref="AO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79" s="84" cm="1">
        <f t="array" ref="AP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79" s="84" cm="1">
        <f t="array" ref="AQ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" s="84" cm="1">
        <f t="array" ref="AR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" s="84" cm="1">
        <f t="array" ref="AS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" s="84" cm="1">
        <f t="array" ref="AT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" s="84" cm="1">
        <f t="array" ref="AU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9" s="84" cm="1">
        <f t="array" ref="AV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" s="84" cm="1">
        <f t="array" ref="AW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9" s="84" cm="1">
        <f t="array" ref="AX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" s="84" cm="1">
        <f t="array" ref="AY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" s="84" cm="1">
        <f t="array" ref="AZ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" s="84" cm="1">
        <f t="array" ref="BA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" s="84" cm="1">
        <f t="array" ref="BB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" s="84">
        <f>IF(SUM(Table3[[#This Row],[Column2]:[Column18]])&gt;Table3[[#This Row],[Column19]],Table3[[#This Row],[Column19]],SUM(Table3[[#This Row],[Column2]:[Column18]]))</f>
        <v>50000</v>
      </c>
      <c r="BD79" s="2">
        <f>Table3[[#This Row],[Total Spend]]/SUM(Table3[[#This Row],[Column2]:[Column18]])</f>
        <v>0.26709401709401709</v>
      </c>
    </row>
    <row r="80" spans="1:56">
      <c r="A80" s="84" t="s">
        <v>149</v>
      </c>
      <c r="B80" s="84" t="s">
        <v>57</v>
      </c>
      <c r="C80" s="84"/>
      <c r="D80" s="85">
        <v>45566</v>
      </c>
      <c r="E80" s="85" t="s">
        <v>58</v>
      </c>
      <c r="F80" s="84">
        <f>INDEX(Definitions!$G$13:$G$17,MATCH(Table3[[#This Row],[Propensity to buy/ buyer readiness]],Definitions!$A$13:$A$17,0))</f>
        <v>150000</v>
      </c>
      <c r="G80" s="86">
        <v>5</v>
      </c>
      <c r="H80" s="86">
        <v>5</v>
      </c>
      <c r="I80" s="86">
        <v>4</v>
      </c>
      <c r="J80" s="86">
        <v>4</v>
      </c>
      <c r="K80" s="86">
        <v>4</v>
      </c>
      <c r="L80" s="86">
        <f>SUM(Table3[[#This Row],[Strategic priority segment]:[Propensity to buy/ buyer readiness]])</f>
        <v>22</v>
      </c>
      <c r="M80" s="86" t="s">
        <v>102</v>
      </c>
      <c r="N80" s="84" t="s">
        <v>61</v>
      </c>
      <c r="O80" s="84" t="s">
        <v>62</v>
      </c>
      <c r="P80" s="87"/>
      <c r="Q80" s="87"/>
      <c r="R80" s="84"/>
      <c r="S80" s="87"/>
      <c r="T80" s="87"/>
      <c r="U80" s="84">
        <v>1</v>
      </c>
      <c r="V80" s="84">
        <v>0</v>
      </c>
      <c r="W80" s="84">
        <v>0</v>
      </c>
      <c r="X80" s="84">
        <v>0</v>
      </c>
      <c r="Y80" s="84">
        <v>0</v>
      </c>
      <c r="Z80" s="84">
        <v>1</v>
      </c>
      <c r="AA80" s="84">
        <v>1</v>
      </c>
      <c r="AB80" s="84">
        <v>1</v>
      </c>
      <c r="AC80" s="84">
        <v>1</v>
      </c>
      <c r="AD80" s="84">
        <v>1</v>
      </c>
      <c r="AE80" s="84">
        <v>1</v>
      </c>
      <c r="AF80" s="84">
        <v>1</v>
      </c>
      <c r="AG80" s="84">
        <v>1</v>
      </c>
      <c r="AH80" s="84">
        <v>0</v>
      </c>
      <c r="AI80" s="84">
        <v>0</v>
      </c>
      <c r="AJ80" s="84">
        <v>0</v>
      </c>
      <c r="AK80" s="84">
        <v>0</v>
      </c>
      <c r="AL80" s="84" cm="1">
        <f t="array" ref="AL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0" s="84" cm="1">
        <f t="array" ref="AM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" s="84" cm="1">
        <f t="array" ref="AN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" s="84" cm="1">
        <f t="array" ref="AO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" s="84" cm="1">
        <f t="array" ref="AP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" s="84" cm="1">
        <f t="array" ref="AQ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0" s="84" cm="1">
        <f t="array" ref="AR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80" s="84" cm="1">
        <f t="array" ref="AS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0" s="84" cm="1">
        <f t="array" ref="AT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80" s="84" cm="1">
        <f t="array" ref="AU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0" s="84" cm="1">
        <f t="array" ref="AV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80" s="84" cm="1">
        <f t="array" ref="AW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0" s="84" cm="1">
        <f t="array" ref="AX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80" s="84" cm="1">
        <f t="array" ref="AY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" s="84" cm="1">
        <f t="array" ref="AZ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" s="84" cm="1">
        <f t="array" ref="BA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" s="84" cm="1">
        <f t="array" ref="BB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" s="84">
        <f>IF(SUM(Table3[[#This Row],[Column2]:[Column18]])&gt;Table3[[#This Row],[Column19]],Table3[[#This Row],[Column19]],SUM(Table3[[#This Row],[Column2]:[Column18]]))</f>
        <v>150000</v>
      </c>
      <c r="BD80" s="2">
        <f>Table3[[#This Row],[Total Spend]]/SUM(Table3[[#This Row],[Column2]:[Column18]])</f>
        <v>0.57471264367816088</v>
      </c>
    </row>
    <row r="81" spans="1:56">
      <c r="A81" s="84" t="s">
        <v>150</v>
      </c>
      <c r="B81" s="84" t="s">
        <v>57</v>
      </c>
      <c r="C81" s="84"/>
      <c r="D81" s="85">
        <v>45566</v>
      </c>
      <c r="E81" s="85" t="s">
        <v>58</v>
      </c>
      <c r="F81" s="84">
        <f>INDEX(Definitions!$G$13:$G$17,MATCH(Table3[[#This Row],[Propensity to buy/ buyer readiness]],Definitions!$A$13:$A$17,0))</f>
        <v>250000</v>
      </c>
      <c r="G81" s="86">
        <v>5</v>
      </c>
      <c r="H81" s="86">
        <v>4</v>
      </c>
      <c r="I81" s="86">
        <v>4</v>
      </c>
      <c r="J81" s="86">
        <v>4</v>
      </c>
      <c r="K81" s="86">
        <v>5</v>
      </c>
      <c r="L81" s="86">
        <f>SUM(Table3[[#This Row],[Strategic priority segment]:[Propensity to buy/ buyer readiness]])</f>
        <v>22</v>
      </c>
      <c r="M81" s="86" t="s">
        <v>102</v>
      </c>
      <c r="N81" s="84" t="s">
        <v>122</v>
      </c>
      <c r="O81" s="84" t="s">
        <v>61</v>
      </c>
      <c r="P81" s="87"/>
      <c r="Q81" s="87"/>
      <c r="R81" s="84"/>
      <c r="S81" s="87"/>
      <c r="T81" s="87"/>
      <c r="U81" s="84">
        <v>1</v>
      </c>
      <c r="V81" s="84">
        <v>0</v>
      </c>
      <c r="W81" s="84">
        <v>0</v>
      </c>
      <c r="X81" s="84">
        <v>0</v>
      </c>
      <c r="Y81" s="84">
        <v>0</v>
      </c>
      <c r="Z81" s="84">
        <v>1</v>
      </c>
      <c r="AA81" s="84">
        <v>1</v>
      </c>
      <c r="AB81" s="84">
        <v>1</v>
      </c>
      <c r="AC81" s="84">
        <v>1</v>
      </c>
      <c r="AD81" s="84">
        <v>1</v>
      </c>
      <c r="AE81" s="84">
        <v>0</v>
      </c>
      <c r="AF81" s="84">
        <v>1</v>
      </c>
      <c r="AG81" s="84">
        <v>0</v>
      </c>
      <c r="AH81" s="84">
        <v>0</v>
      </c>
      <c r="AI81" s="84">
        <v>0</v>
      </c>
      <c r="AJ81" s="84">
        <v>0</v>
      </c>
      <c r="AK81" s="84">
        <v>0</v>
      </c>
      <c r="AL81" s="84" cm="1">
        <f t="array" ref="AL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1" s="84" cm="1">
        <f t="array" ref="AM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" s="84" cm="1">
        <f t="array" ref="AN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" s="84" cm="1">
        <f t="array" ref="AO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" s="84" cm="1">
        <f t="array" ref="AP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" s="84" cm="1">
        <f t="array" ref="AQ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1" s="84" cm="1">
        <f t="array" ref="AR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81" s="84" cm="1">
        <f t="array" ref="AS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1" s="84" cm="1">
        <f t="array" ref="AT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81" s="84" cm="1">
        <f t="array" ref="AU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1" s="84" cm="1">
        <f t="array" ref="AV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1" s="84" cm="1">
        <f t="array" ref="AW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1" s="84" cm="1">
        <f t="array" ref="AX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1" s="84" cm="1">
        <f t="array" ref="AY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" s="84" cm="1">
        <f t="array" ref="AZ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" s="84" cm="1">
        <f t="array" ref="BA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" s="84" cm="1">
        <f t="array" ref="BB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" s="84">
        <f>IF(SUM(Table3[[#This Row],[Column2]:[Column18]])&gt;Table3[[#This Row],[Column19]],Table3[[#This Row],[Column19]],SUM(Table3[[#This Row],[Column2]:[Column18]]))</f>
        <v>214200</v>
      </c>
      <c r="BD81" s="2">
        <f>Table3[[#This Row],[Total Spend]]/SUM(Table3[[#This Row],[Column2]:[Column18]])</f>
        <v>1</v>
      </c>
    </row>
    <row r="82" spans="1:56">
      <c r="A82" s="84" t="s">
        <v>151</v>
      </c>
      <c r="B82" s="84" t="s">
        <v>57</v>
      </c>
      <c r="C82" s="84" t="s">
        <v>57</v>
      </c>
      <c r="D82" s="85">
        <v>45566</v>
      </c>
      <c r="E82" s="85" t="s">
        <v>58</v>
      </c>
      <c r="F82" s="84">
        <f>INDEX(Definitions!$G$13:$G$17,MATCH(Table3[[#This Row],[Propensity to buy/ buyer readiness]],Definitions!$A$13:$A$17,0))</f>
        <v>250000</v>
      </c>
      <c r="G82" s="86">
        <v>5</v>
      </c>
      <c r="H82" s="86">
        <v>4</v>
      </c>
      <c r="I82" s="86">
        <v>4</v>
      </c>
      <c r="J82" s="86">
        <v>4</v>
      </c>
      <c r="K82" s="86">
        <v>5</v>
      </c>
      <c r="L82" s="86">
        <f>SUM(Table3[[#This Row],[Strategic priority segment]:[Propensity to buy/ buyer readiness]])</f>
        <v>22</v>
      </c>
      <c r="M82" s="86" t="s">
        <v>152</v>
      </c>
      <c r="N82" s="84" t="s">
        <v>153</v>
      </c>
      <c r="O82" s="84"/>
      <c r="P82" s="87"/>
      <c r="Q82" s="87"/>
      <c r="R82" s="84"/>
      <c r="S82" s="87"/>
      <c r="T82" s="87"/>
      <c r="U82" s="84">
        <v>1</v>
      </c>
      <c r="V82" s="84">
        <v>0</v>
      </c>
      <c r="W82" s="84">
        <v>0</v>
      </c>
      <c r="X82" s="84">
        <v>0</v>
      </c>
      <c r="Y82" s="84">
        <v>0</v>
      </c>
      <c r="Z82" s="84">
        <v>0</v>
      </c>
      <c r="AA82" s="84">
        <v>0</v>
      </c>
      <c r="AB82" s="84">
        <v>0</v>
      </c>
      <c r="AC82" s="84">
        <v>0</v>
      </c>
      <c r="AD82" s="84">
        <v>0</v>
      </c>
      <c r="AE82" s="84">
        <v>0</v>
      </c>
      <c r="AF82" s="84">
        <v>0</v>
      </c>
      <c r="AG82" s="84">
        <v>0</v>
      </c>
      <c r="AH82" s="84">
        <v>0</v>
      </c>
      <c r="AI82" s="84">
        <v>0</v>
      </c>
      <c r="AJ82" s="84">
        <v>0</v>
      </c>
      <c r="AK82" s="84">
        <v>0</v>
      </c>
      <c r="AL82" s="84" cm="1">
        <f t="array" ref="AL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" s="84" cm="1">
        <f t="array" ref="AM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" s="84" cm="1">
        <f t="array" ref="AN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" s="84" cm="1">
        <f t="array" ref="AO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" s="84" cm="1">
        <f t="array" ref="AP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" s="84" cm="1">
        <f t="array" ref="AQ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" s="84" cm="1">
        <f t="array" ref="AR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" s="84" cm="1">
        <f t="array" ref="AS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" s="84" cm="1">
        <f t="array" ref="AT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" s="84" cm="1">
        <f t="array" ref="AU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2" s="84" cm="1">
        <f t="array" ref="AV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" s="84" cm="1">
        <f t="array" ref="AW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2" s="84" cm="1">
        <f t="array" ref="AX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" s="84" cm="1">
        <f t="array" ref="AY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" s="84" cm="1">
        <f t="array" ref="AZ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" s="84" cm="1">
        <f t="array" ref="BA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" s="84" cm="1">
        <f t="array" ref="BB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" s="84">
        <f>IF(SUM(Table3[[#This Row],[Column2]:[Column18]])&gt;Table3[[#This Row],[Column19]],Table3[[#This Row],[Column19]],SUM(Table3[[#This Row],[Column2]:[Column18]]))</f>
        <v>10800</v>
      </c>
      <c r="BD82" s="2">
        <f>Table3[[#This Row],[Total Spend]]/SUM(Table3[[#This Row],[Column2]:[Column18]])</f>
        <v>1</v>
      </c>
    </row>
    <row r="83" spans="1:56" ht="28.5">
      <c r="A83" s="84" t="s">
        <v>154</v>
      </c>
      <c r="B83" s="84" t="s">
        <v>57</v>
      </c>
      <c r="C83" s="84" t="s">
        <v>57</v>
      </c>
      <c r="D83" s="85">
        <v>45566</v>
      </c>
      <c r="E83" s="85" t="s">
        <v>58</v>
      </c>
      <c r="F83" s="84">
        <f>INDEX(Definitions!$G$13:$G$17,MATCH(Table3[[#This Row],[Propensity to buy/ buyer readiness]],Definitions!$A$13:$A$17,0))</f>
        <v>250000</v>
      </c>
      <c r="G83" s="86">
        <v>5</v>
      </c>
      <c r="H83" s="86">
        <v>4</v>
      </c>
      <c r="I83" s="86">
        <v>4</v>
      </c>
      <c r="J83" s="86">
        <v>4</v>
      </c>
      <c r="K83" s="86">
        <v>5</v>
      </c>
      <c r="L83" s="86">
        <f>SUM(Table3[[#This Row],[Strategic priority segment]:[Propensity to buy/ buyer readiness]])</f>
        <v>22</v>
      </c>
      <c r="M83" s="86" t="s">
        <v>102</v>
      </c>
      <c r="N83" s="84" t="s">
        <v>122</v>
      </c>
      <c r="O83" s="84" t="s">
        <v>61</v>
      </c>
      <c r="P83" s="87" t="s">
        <v>62</v>
      </c>
      <c r="Q83" s="87"/>
      <c r="R83" s="84"/>
      <c r="S83" s="87"/>
      <c r="T83" s="87"/>
      <c r="U83" s="84">
        <v>1</v>
      </c>
      <c r="V83" s="84">
        <v>0</v>
      </c>
      <c r="W83" s="84">
        <v>0</v>
      </c>
      <c r="X83" s="84">
        <v>0</v>
      </c>
      <c r="Y83" s="84">
        <v>0</v>
      </c>
      <c r="Z83" s="84">
        <v>1</v>
      </c>
      <c r="AA83" s="84">
        <v>1</v>
      </c>
      <c r="AB83" s="84">
        <v>1</v>
      </c>
      <c r="AC83" s="84">
        <v>1</v>
      </c>
      <c r="AD83" s="84">
        <v>1</v>
      </c>
      <c r="AE83" s="84">
        <v>1</v>
      </c>
      <c r="AF83" s="84">
        <v>1</v>
      </c>
      <c r="AG83" s="84">
        <v>1</v>
      </c>
      <c r="AH83" s="84">
        <v>0</v>
      </c>
      <c r="AI83" s="84">
        <v>0</v>
      </c>
      <c r="AJ83" s="84">
        <v>0</v>
      </c>
      <c r="AK83" s="84">
        <v>0</v>
      </c>
      <c r="AL83" s="84" cm="1">
        <f t="array" ref="AL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3" s="84" cm="1">
        <f t="array" ref="AM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" s="84" cm="1">
        <f t="array" ref="AN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" s="84" cm="1">
        <f t="array" ref="AO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" s="84" cm="1">
        <f t="array" ref="AP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" s="84" cm="1">
        <f t="array" ref="AQ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3" s="84" cm="1">
        <f t="array" ref="AR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83" s="84" cm="1">
        <f t="array" ref="AS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3" s="84" cm="1">
        <f t="array" ref="AT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83" s="84" cm="1">
        <f t="array" ref="AU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3" s="84" cm="1">
        <f t="array" ref="AV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83" s="84" cm="1">
        <f t="array" ref="AW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3" s="84" cm="1">
        <f t="array" ref="AX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83" s="84" cm="1">
        <f t="array" ref="AY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" s="84" cm="1">
        <f t="array" ref="AZ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" s="84" cm="1">
        <f t="array" ref="BA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" s="84" cm="1">
        <f t="array" ref="BB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" s="84">
        <f>IF(SUM(Table3[[#This Row],[Column2]:[Column18]])&gt;Table3[[#This Row],[Column19]],Table3[[#This Row],[Column19]],SUM(Table3[[#This Row],[Column2]:[Column18]]))</f>
        <v>250000</v>
      </c>
      <c r="BD83" s="2">
        <f>Table3[[#This Row],[Total Spend]]/SUM(Table3[[#This Row],[Column2]:[Column18]])</f>
        <v>0.95785440613026818</v>
      </c>
    </row>
    <row r="84" spans="1:56">
      <c r="A84" s="84" t="s">
        <v>155</v>
      </c>
      <c r="B84" s="84" t="s">
        <v>57</v>
      </c>
      <c r="C84" s="84"/>
      <c r="D84" s="85">
        <v>45566</v>
      </c>
      <c r="E84" s="85" t="s">
        <v>58</v>
      </c>
      <c r="F84" s="84">
        <f>INDEX(Definitions!$G$13:$G$17,MATCH(Table3[[#This Row],[Propensity to buy/ buyer readiness]],Definitions!$A$13:$A$17,0))</f>
        <v>250000</v>
      </c>
      <c r="G84" s="86">
        <v>5</v>
      </c>
      <c r="H84" s="86">
        <v>4</v>
      </c>
      <c r="I84" s="86">
        <v>5</v>
      </c>
      <c r="J84" s="86">
        <v>3</v>
      </c>
      <c r="K84" s="86">
        <v>5</v>
      </c>
      <c r="L84" s="86">
        <f>SUM(Table3[[#This Row],[Strategic priority segment]:[Propensity to buy/ buyer readiness]])</f>
        <v>22</v>
      </c>
      <c r="M84" s="86" t="s">
        <v>66</v>
      </c>
      <c r="N84" s="84" t="s">
        <v>62</v>
      </c>
      <c r="O84" s="84"/>
      <c r="P84" s="87"/>
      <c r="Q84" s="87"/>
      <c r="R84" s="84"/>
      <c r="S84" s="87"/>
      <c r="T84" s="87"/>
      <c r="U84" s="84">
        <v>1</v>
      </c>
      <c r="V84" s="84">
        <v>0</v>
      </c>
      <c r="W84" s="84">
        <v>0</v>
      </c>
      <c r="X84" s="84">
        <v>0</v>
      </c>
      <c r="Y84" s="84">
        <v>0</v>
      </c>
      <c r="Z84" s="84">
        <v>0</v>
      </c>
      <c r="AA84" s="84">
        <v>0</v>
      </c>
      <c r="AB84" s="84">
        <v>0</v>
      </c>
      <c r="AC84" s="84">
        <v>0</v>
      </c>
      <c r="AD84" s="84">
        <v>1</v>
      </c>
      <c r="AE84" s="84">
        <v>1</v>
      </c>
      <c r="AF84" s="84">
        <v>1</v>
      </c>
      <c r="AG84" s="84">
        <v>1</v>
      </c>
      <c r="AH84" s="84">
        <v>0</v>
      </c>
      <c r="AI84" s="84">
        <v>0</v>
      </c>
      <c r="AJ84" s="84">
        <v>0</v>
      </c>
      <c r="AK84" s="84">
        <v>0</v>
      </c>
      <c r="AL84" s="84" cm="1">
        <f t="array" ref="AL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" s="84" cm="1">
        <f t="array" ref="AM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" s="84" cm="1">
        <f t="array" ref="AN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" s="84" cm="1">
        <f t="array" ref="AO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" s="84" cm="1">
        <f t="array" ref="AP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" s="84" cm="1">
        <f t="array" ref="AQ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" s="84" cm="1">
        <f t="array" ref="AR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" s="84" cm="1">
        <f t="array" ref="AS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" s="84" cm="1">
        <f t="array" ref="AT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" s="84" cm="1">
        <f t="array" ref="AU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4" s="84" cm="1">
        <f t="array" ref="AV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84" s="84" cm="1">
        <f t="array" ref="AW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4" s="84" cm="1">
        <f t="array" ref="AX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84" s="84" cm="1">
        <f t="array" ref="AY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" s="84" cm="1">
        <f t="array" ref="AZ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4" s="84" cm="1">
        <f t="array" ref="BA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" s="84" cm="1">
        <f t="array" ref="BB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" s="84">
        <f>IF(SUM(Table3[[#This Row],[Column2]:[Column18]])&gt;Table3[[#This Row],[Column19]],Table3[[#This Row],[Column19]],SUM(Table3[[#This Row],[Column2]:[Column18]]))</f>
        <v>131400</v>
      </c>
      <c r="BD84" s="2">
        <f>Table3[[#This Row],[Total Spend]]/SUM(Table3[[#This Row],[Column2]:[Column18]])</f>
        <v>1</v>
      </c>
    </row>
    <row r="85" spans="1:56">
      <c r="A85" s="84" t="s">
        <v>156</v>
      </c>
      <c r="B85" s="84" t="s">
        <v>57</v>
      </c>
      <c r="C85" s="84"/>
      <c r="D85" s="85">
        <v>45566</v>
      </c>
      <c r="E85" s="85" t="s">
        <v>92</v>
      </c>
      <c r="F85" s="84">
        <f>INDEX(Definitions!$G$13:$G$17,MATCH(Table3[[#This Row],[Propensity to buy/ buyer readiness]],Definitions!$A$13:$A$17,0))</f>
        <v>50000</v>
      </c>
      <c r="G85" s="86">
        <v>5</v>
      </c>
      <c r="H85" s="86">
        <v>5</v>
      </c>
      <c r="I85" s="86">
        <v>5</v>
      </c>
      <c r="J85" s="86">
        <v>4</v>
      </c>
      <c r="K85" s="86">
        <v>3</v>
      </c>
      <c r="L85" s="86">
        <f>SUM(Table3[[#This Row],[Strategic priority segment]:[Propensity to buy/ buyer readiness]])</f>
        <v>22</v>
      </c>
      <c r="M85" s="86" t="s">
        <v>102</v>
      </c>
      <c r="N85" s="84" t="s">
        <v>61</v>
      </c>
      <c r="O85" s="84" t="s">
        <v>60</v>
      </c>
      <c r="P85" s="87"/>
      <c r="Q85" s="87"/>
      <c r="R85" s="84"/>
      <c r="S85" s="87"/>
      <c r="T85" s="87"/>
      <c r="U85" s="84">
        <v>1</v>
      </c>
      <c r="V85" s="84">
        <v>1</v>
      </c>
      <c r="W85" s="84">
        <v>1</v>
      </c>
      <c r="X85" s="84">
        <v>1</v>
      </c>
      <c r="Y85" s="84">
        <v>1</v>
      </c>
      <c r="Z85" s="84">
        <v>1</v>
      </c>
      <c r="AA85" s="84">
        <v>1</v>
      </c>
      <c r="AB85" s="84">
        <v>1</v>
      </c>
      <c r="AC85" s="84">
        <v>1</v>
      </c>
      <c r="AD85" s="84">
        <v>1</v>
      </c>
      <c r="AE85" s="84">
        <v>0</v>
      </c>
      <c r="AF85" s="84">
        <v>0</v>
      </c>
      <c r="AG85" s="84">
        <v>0</v>
      </c>
      <c r="AH85" s="84">
        <v>0</v>
      </c>
      <c r="AI85" s="84">
        <v>0</v>
      </c>
      <c r="AJ85" s="84">
        <v>0</v>
      </c>
      <c r="AK85" s="84">
        <v>0</v>
      </c>
      <c r="AL85" s="84" cm="1">
        <f t="array" ref="AL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5" s="84" cm="1">
        <f t="array" ref="AM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5" s="84" cm="1">
        <f t="array" ref="AN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5" s="84" cm="1">
        <f t="array" ref="AO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5" s="84" cm="1">
        <f t="array" ref="AP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85" s="84" cm="1">
        <f t="array" ref="AQ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5" s="84" cm="1">
        <f t="array" ref="AR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5" s="84" cm="1">
        <f t="array" ref="AS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5" s="84" cm="1">
        <f t="array" ref="AT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5" s="84" cm="1">
        <f t="array" ref="AU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5" s="84" cm="1">
        <f t="array" ref="AV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" s="84" cm="1">
        <f t="array" ref="AW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" s="84" cm="1">
        <f t="array" ref="AX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" s="84" cm="1">
        <f t="array" ref="AY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5" s="84" cm="1">
        <f t="array" ref="AZ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5" s="84" cm="1">
        <f t="array" ref="BA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5" s="84" cm="1">
        <f t="array" ref="BB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5" s="84">
        <f>IF(SUM(Table3[[#This Row],[Column2]:[Column18]])&gt;Table3[[#This Row],[Column19]],Table3[[#This Row],[Column19]],SUM(Table3[[#This Row],[Column2]:[Column18]]))</f>
        <v>50000</v>
      </c>
      <c r="BD85" s="2">
        <f>Table3[[#This Row],[Total Spend]]/SUM(Table3[[#This Row],[Column2]:[Column18]])</f>
        <v>0.17806267806267806</v>
      </c>
    </row>
    <row r="86" spans="1:56" ht="28.5">
      <c r="A86" s="84" t="s">
        <v>157</v>
      </c>
      <c r="B86" s="84" t="s">
        <v>57</v>
      </c>
      <c r="C86" s="84" t="s">
        <v>57</v>
      </c>
      <c r="D86" s="85">
        <v>45566</v>
      </c>
      <c r="E86" s="85" t="s">
        <v>58</v>
      </c>
      <c r="F86" s="84">
        <f>INDEX(Definitions!$G$13:$G$17,MATCH(Table3[[#This Row],[Propensity to buy/ buyer readiness]],Definitions!$A$13:$A$17,0))</f>
        <v>250000</v>
      </c>
      <c r="G86" s="86">
        <v>5</v>
      </c>
      <c r="H86" s="86">
        <v>4</v>
      </c>
      <c r="I86" s="86">
        <v>4</v>
      </c>
      <c r="J86" s="86">
        <v>4</v>
      </c>
      <c r="K86" s="86">
        <v>5</v>
      </c>
      <c r="L86" s="86">
        <f>SUM(Table3[[#This Row],[Strategic priority segment]:[Propensity to buy/ buyer readiness]])</f>
        <v>22</v>
      </c>
      <c r="M86" s="86" t="s">
        <v>102</v>
      </c>
      <c r="N86" s="84" t="s">
        <v>122</v>
      </c>
      <c r="O86" s="84" t="s">
        <v>61</v>
      </c>
      <c r="P86" s="87" t="s">
        <v>62</v>
      </c>
      <c r="Q86" s="87"/>
      <c r="R86" s="84"/>
      <c r="S86" s="87"/>
      <c r="T86" s="87"/>
      <c r="U86" s="84">
        <v>1</v>
      </c>
      <c r="V86" s="84">
        <v>0</v>
      </c>
      <c r="W86" s="84">
        <v>0</v>
      </c>
      <c r="X86" s="84">
        <v>0</v>
      </c>
      <c r="Y86" s="84">
        <v>0</v>
      </c>
      <c r="Z86" s="84">
        <v>1</v>
      </c>
      <c r="AA86" s="84">
        <v>1</v>
      </c>
      <c r="AB86" s="84">
        <v>1</v>
      </c>
      <c r="AC86" s="84">
        <v>1</v>
      </c>
      <c r="AD86" s="84">
        <v>1</v>
      </c>
      <c r="AE86" s="84">
        <v>1</v>
      </c>
      <c r="AF86" s="84">
        <v>1</v>
      </c>
      <c r="AG86" s="84">
        <v>1</v>
      </c>
      <c r="AH86" s="84">
        <v>0</v>
      </c>
      <c r="AI86" s="84">
        <v>0</v>
      </c>
      <c r="AJ86" s="84">
        <v>0</v>
      </c>
      <c r="AK86" s="84">
        <v>0</v>
      </c>
      <c r="AL86" s="84" cm="1">
        <f t="array" ref="AL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" s="84" cm="1">
        <f t="array" ref="AM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" s="84" cm="1">
        <f t="array" ref="AN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" s="84" cm="1">
        <f t="array" ref="AO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" s="84" cm="1">
        <f t="array" ref="AP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" s="84" cm="1">
        <f t="array" ref="AQ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6" s="84" cm="1">
        <f t="array" ref="AR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86" s="84" cm="1">
        <f t="array" ref="AS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6" s="84" cm="1">
        <f t="array" ref="AT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86" s="84" cm="1">
        <f t="array" ref="AU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6" s="84" cm="1">
        <f t="array" ref="AV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86" s="84" cm="1">
        <f t="array" ref="AW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6" s="84" cm="1">
        <f t="array" ref="AX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86" s="84" cm="1">
        <f t="array" ref="AY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" s="84" cm="1">
        <f t="array" ref="AZ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" s="84" cm="1">
        <f t="array" ref="BA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" s="84" cm="1">
        <f t="array" ref="BB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" s="84">
        <f>IF(SUM(Table3[[#This Row],[Column2]:[Column18]])&gt;Table3[[#This Row],[Column19]],Table3[[#This Row],[Column19]],SUM(Table3[[#This Row],[Column2]:[Column18]]))</f>
        <v>250000</v>
      </c>
      <c r="BD86" s="2">
        <f>Table3[[#This Row],[Total Spend]]/SUM(Table3[[#This Row],[Column2]:[Column18]])</f>
        <v>0.95785440613026818</v>
      </c>
    </row>
    <row r="87" spans="1:56">
      <c r="A87" s="84" t="s">
        <v>158</v>
      </c>
      <c r="B87" s="84" t="s">
        <v>57</v>
      </c>
      <c r="C87" s="84" t="s">
        <v>57</v>
      </c>
      <c r="D87" s="85">
        <v>45566</v>
      </c>
      <c r="E87" s="85" t="s">
        <v>92</v>
      </c>
      <c r="F87" s="84">
        <f>INDEX(Definitions!$G$13:$G$17,MATCH(Table3[[#This Row],[Propensity to buy/ buyer readiness]],Definitions!$A$13:$A$17,0))</f>
        <v>150000</v>
      </c>
      <c r="G87" s="86">
        <v>5</v>
      </c>
      <c r="H87" s="86">
        <v>5</v>
      </c>
      <c r="I87" s="86">
        <v>4</v>
      </c>
      <c r="J87" s="86">
        <v>4</v>
      </c>
      <c r="K87" s="86">
        <v>4</v>
      </c>
      <c r="L87" s="86">
        <f>SUM(Table3[[#This Row],[Strategic priority segment]:[Propensity to buy/ buyer readiness]])</f>
        <v>22</v>
      </c>
      <c r="M87" s="86" t="s">
        <v>102</v>
      </c>
      <c r="N87" s="84" t="s">
        <v>61</v>
      </c>
      <c r="O87" s="84"/>
      <c r="P87" s="87"/>
      <c r="Q87" s="87"/>
      <c r="R87" s="84"/>
      <c r="S87" s="87"/>
      <c r="T87" s="87"/>
      <c r="U87" s="84">
        <v>1</v>
      </c>
      <c r="V87" s="84">
        <v>0</v>
      </c>
      <c r="W87" s="84">
        <v>0</v>
      </c>
      <c r="X87" s="84">
        <v>0</v>
      </c>
      <c r="Y87" s="84">
        <v>0</v>
      </c>
      <c r="Z87" s="84">
        <v>1</v>
      </c>
      <c r="AA87" s="84">
        <v>1</v>
      </c>
      <c r="AB87" s="84">
        <v>1</v>
      </c>
      <c r="AC87" s="84">
        <v>1</v>
      </c>
      <c r="AD87" s="84">
        <v>0</v>
      </c>
      <c r="AE87" s="84">
        <v>0</v>
      </c>
      <c r="AF87" s="84">
        <v>0</v>
      </c>
      <c r="AG87" s="84">
        <v>0</v>
      </c>
      <c r="AH87" s="84">
        <v>0</v>
      </c>
      <c r="AI87" s="84">
        <v>0</v>
      </c>
      <c r="AJ87" s="84">
        <v>0</v>
      </c>
      <c r="AK87" s="84">
        <v>0</v>
      </c>
      <c r="AL87" s="84" cm="1">
        <f t="array" ref="AL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7" s="84" cm="1">
        <f t="array" ref="AM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" s="84" cm="1">
        <f t="array" ref="AN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" s="84" cm="1">
        <f t="array" ref="AO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" s="84" cm="1">
        <f t="array" ref="AP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" s="84" cm="1">
        <f t="array" ref="AQ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7" s="84" cm="1">
        <f t="array" ref="AR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7" s="84" cm="1">
        <f t="array" ref="AS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7" s="84" cm="1">
        <f t="array" ref="AT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7" s="84" cm="1">
        <f t="array" ref="AU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" s="84" cm="1">
        <f t="array" ref="AV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" s="84" cm="1">
        <f t="array" ref="AW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" s="84" cm="1">
        <f t="array" ref="AX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" s="84" cm="1">
        <f t="array" ref="AY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7" s="84" cm="1">
        <f t="array" ref="AZ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7" s="84" cm="1">
        <f t="array" ref="BA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7" s="84" cm="1">
        <f t="array" ref="BB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7" s="84">
        <f>IF(SUM(Table3[[#This Row],[Column2]:[Column18]])&gt;Table3[[#This Row],[Column19]],Table3[[#This Row],[Column19]],SUM(Table3[[#This Row],[Column2]:[Column18]]))</f>
        <v>101700</v>
      </c>
      <c r="BD87" s="2">
        <f>Table3[[#This Row],[Total Spend]]/SUM(Table3[[#This Row],[Column2]:[Column18]])</f>
        <v>1</v>
      </c>
    </row>
    <row r="88" spans="1:56">
      <c r="A88" s="84" t="s">
        <v>159</v>
      </c>
      <c r="B88" s="84" t="s">
        <v>57</v>
      </c>
      <c r="C88" s="84"/>
      <c r="D88" s="85">
        <v>45566</v>
      </c>
      <c r="E88" s="85" t="s">
        <v>92</v>
      </c>
      <c r="F88" s="84">
        <f>INDEX(Definitions!$G$13:$G$17,MATCH(Table3[[#This Row],[Propensity to buy/ buyer readiness]],Definitions!$A$13:$A$17,0))</f>
        <v>150000</v>
      </c>
      <c r="G88" s="86">
        <v>5</v>
      </c>
      <c r="H88" s="86">
        <v>5</v>
      </c>
      <c r="I88" s="86">
        <v>4</v>
      </c>
      <c r="J88" s="86">
        <v>4</v>
      </c>
      <c r="K88" s="86">
        <v>4</v>
      </c>
      <c r="L88" s="86">
        <f>SUM(Table3[[#This Row],[Strategic priority segment]:[Propensity to buy/ buyer readiness]])</f>
        <v>22</v>
      </c>
      <c r="M88" s="86" t="s">
        <v>102</v>
      </c>
      <c r="N88" s="84" t="s">
        <v>61</v>
      </c>
      <c r="O88" s="84"/>
      <c r="P88" s="87"/>
      <c r="Q88" s="87"/>
      <c r="R88" s="84"/>
      <c r="S88" s="87"/>
      <c r="T88" s="87"/>
      <c r="U88" s="84">
        <v>1</v>
      </c>
      <c r="V88" s="84">
        <v>0</v>
      </c>
      <c r="W88" s="84">
        <v>0</v>
      </c>
      <c r="X88" s="84">
        <v>0</v>
      </c>
      <c r="Y88" s="84">
        <v>0</v>
      </c>
      <c r="Z88" s="84">
        <v>1</v>
      </c>
      <c r="AA88" s="84">
        <v>1</v>
      </c>
      <c r="AB88" s="84">
        <v>1</v>
      </c>
      <c r="AC88" s="84">
        <v>1</v>
      </c>
      <c r="AD88" s="84">
        <v>0</v>
      </c>
      <c r="AE88" s="84">
        <v>0</v>
      </c>
      <c r="AF88" s="84">
        <v>0</v>
      </c>
      <c r="AG88" s="84">
        <v>0</v>
      </c>
      <c r="AH88" s="84">
        <v>0</v>
      </c>
      <c r="AI88" s="84">
        <v>0</v>
      </c>
      <c r="AJ88" s="84">
        <v>0</v>
      </c>
      <c r="AK88" s="84">
        <v>0</v>
      </c>
      <c r="AL88" s="84" cm="1">
        <f t="array" ref="AL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" s="84" cm="1">
        <f t="array" ref="AM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" s="84" cm="1">
        <f t="array" ref="AN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" s="84" cm="1">
        <f t="array" ref="AO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" s="84" cm="1">
        <f t="array" ref="AP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" s="84" cm="1">
        <f t="array" ref="AQ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8" s="84" cm="1">
        <f t="array" ref="AR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8" s="84" cm="1">
        <f t="array" ref="AS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8" s="84" cm="1">
        <f t="array" ref="AT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8" s="84" cm="1">
        <f t="array" ref="AU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" s="84" cm="1">
        <f t="array" ref="AV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" s="84" cm="1">
        <f t="array" ref="AW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" s="84" cm="1">
        <f t="array" ref="AX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" s="84" cm="1">
        <f t="array" ref="AY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" s="84" cm="1">
        <f t="array" ref="AZ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8" s="84" cm="1">
        <f t="array" ref="BA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" s="84" cm="1">
        <f t="array" ref="BB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" s="84">
        <f>IF(SUM(Table3[[#This Row],[Column2]:[Column18]])&gt;Table3[[#This Row],[Column19]],Table3[[#This Row],[Column19]],SUM(Table3[[#This Row],[Column2]:[Column18]]))</f>
        <v>101700</v>
      </c>
      <c r="BD88" s="2">
        <f>Table3[[#This Row],[Total Spend]]/SUM(Table3[[#This Row],[Column2]:[Column18]])</f>
        <v>1</v>
      </c>
    </row>
    <row r="89" spans="1:56">
      <c r="A89" s="84" t="s">
        <v>160</v>
      </c>
      <c r="B89" s="84"/>
      <c r="C89" s="84" t="s">
        <v>57</v>
      </c>
      <c r="D89" s="85">
        <v>45566</v>
      </c>
      <c r="E89" s="85" t="s">
        <v>92</v>
      </c>
      <c r="F89" s="84">
        <f>INDEX(Definitions!$G$13:$G$17,MATCH(Table3[[#This Row],[Propensity to buy/ buyer readiness]],Definitions!$A$13:$A$17,0))</f>
        <v>150000</v>
      </c>
      <c r="G89" s="86">
        <v>5</v>
      </c>
      <c r="H89" s="86">
        <v>5</v>
      </c>
      <c r="I89" s="86">
        <v>4</v>
      </c>
      <c r="J89" s="86">
        <v>4</v>
      </c>
      <c r="K89" s="86">
        <v>4</v>
      </c>
      <c r="L89" s="86">
        <f>SUM(Table3[[#This Row],[Strategic priority segment]:[Propensity to buy/ buyer readiness]])</f>
        <v>22</v>
      </c>
      <c r="M89" s="86" t="s">
        <v>102</v>
      </c>
      <c r="N89" s="84" t="s">
        <v>61</v>
      </c>
      <c r="O89" s="84" t="s">
        <v>62</v>
      </c>
      <c r="P89" s="87"/>
      <c r="Q89" s="87"/>
      <c r="R89" s="84"/>
      <c r="S89" s="87"/>
      <c r="T89" s="87"/>
      <c r="U89" s="84">
        <v>1</v>
      </c>
      <c r="V89" s="84">
        <v>0</v>
      </c>
      <c r="W89" s="84">
        <v>0</v>
      </c>
      <c r="X89" s="84">
        <v>0</v>
      </c>
      <c r="Y89" s="84">
        <v>0</v>
      </c>
      <c r="Z89" s="84">
        <v>1</v>
      </c>
      <c r="AA89" s="84">
        <v>1</v>
      </c>
      <c r="AB89" s="84">
        <v>1</v>
      </c>
      <c r="AC89" s="84">
        <v>1</v>
      </c>
      <c r="AD89" s="84">
        <v>1</v>
      </c>
      <c r="AE89" s="84">
        <v>1</v>
      </c>
      <c r="AF89" s="84">
        <v>1</v>
      </c>
      <c r="AG89" s="84">
        <v>1</v>
      </c>
      <c r="AH89" s="84">
        <v>0</v>
      </c>
      <c r="AI89" s="84">
        <v>0</v>
      </c>
      <c r="AJ89" s="84">
        <v>0</v>
      </c>
      <c r="AK89" s="84">
        <v>0</v>
      </c>
      <c r="AL89" s="84" cm="1">
        <f t="array" ref="AL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" s="84" cm="1">
        <f t="array" ref="AM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" s="84" cm="1">
        <f t="array" ref="AN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" s="84" cm="1">
        <f t="array" ref="AO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" s="84" cm="1">
        <f t="array" ref="AP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" s="84" cm="1">
        <f t="array" ref="AQ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9" s="84" cm="1">
        <f t="array" ref="AR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9" s="84" cm="1">
        <f t="array" ref="AS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9" s="84" cm="1">
        <f t="array" ref="AT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9" s="84" cm="1">
        <f t="array" ref="AU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9" s="84" cm="1">
        <f t="array" ref="AV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9" s="84" cm="1">
        <f t="array" ref="AW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9" s="84" cm="1">
        <f t="array" ref="AX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9" s="84" cm="1">
        <f t="array" ref="AY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" s="84" cm="1">
        <f t="array" ref="AZ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" s="84" cm="1">
        <f t="array" ref="BA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" s="84" cm="1">
        <f t="array" ref="BB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" s="84">
        <f>IF(SUM(Table3[[#This Row],[Column2]:[Column18]])&gt;Table3[[#This Row],[Column19]],Table3[[#This Row],[Column19]],SUM(Table3[[#This Row],[Column2]:[Column18]]))</f>
        <v>150000</v>
      </c>
      <c r="BD89" s="2">
        <f>Table3[[#This Row],[Total Spend]]/SUM(Table3[[#This Row],[Column2]:[Column18]])</f>
        <v>0.79936051159072741</v>
      </c>
    </row>
    <row r="90" spans="1:56">
      <c r="A90" s="84" t="s">
        <v>161</v>
      </c>
      <c r="B90" s="84" t="s">
        <v>57</v>
      </c>
      <c r="C90" s="84"/>
      <c r="D90" s="85">
        <v>45566</v>
      </c>
      <c r="E90" s="85" t="s">
        <v>92</v>
      </c>
      <c r="F90" s="84">
        <f>INDEX(Definitions!$G$13:$G$17,MATCH(Table3[[#This Row],[Propensity to buy/ buyer readiness]],Definitions!$A$13:$A$17,0))</f>
        <v>50000</v>
      </c>
      <c r="G90" s="86">
        <v>5</v>
      </c>
      <c r="H90" s="86">
        <v>4</v>
      </c>
      <c r="I90" s="86">
        <v>5</v>
      </c>
      <c r="J90" s="86">
        <v>5</v>
      </c>
      <c r="K90" s="86">
        <v>3</v>
      </c>
      <c r="L90" s="86">
        <f>SUM(Table3[[#This Row],[Strategic priority segment]:[Propensity to buy/ buyer readiness]])</f>
        <v>22</v>
      </c>
      <c r="M90" s="86" t="s">
        <v>59</v>
      </c>
      <c r="N90" s="84" t="s">
        <v>60</v>
      </c>
      <c r="O90" s="84"/>
      <c r="P90" s="87"/>
      <c r="Q90" s="87"/>
      <c r="R90" s="84"/>
      <c r="S90" s="87"/>
      <c r="T90" s="87"/>
      <c r="U90" s="84">
        <v>1</v>
      </c>
      <c r="V90" s="84">
        <v>1</v>
      </c>
      <c r="W90" s="84">
        <v>1</v>
      </c>
      <c r="X90" s="84">
        <v>1</v>
      </c>
      <c r="Y90" s="84">
        <v>1</v>
      </c>
      <c r="Z90" s="84">
        <v>0</v>
      </c>
      <c r="AA90" s="84">
        <v>0</v>
      </c>
      <c r="AB90" s="84">
        <v>0</v>
      </c>
      <c r="AC90" s="84">
        <v>0</v>
      </c>
      <c r="AD90" s="84">
        <v>1</v>
      </c>
      <c r="AE90" s="84">
        <v>0</v>
      </c>
      <c r="AF90" s="84">
        <v>0</v>
      </c>
      <c r="AG90" s="84">
        <v>0</v>
      </c>
      <c r="AH90" s="84">
        <v>0</v>
      </c>
      <c r="AI90" s="84">
        <v>0</v>
      </c>
      <c r="AJ90" s="84">
        <v>0</v>
      </c>
      <c r="AK90" s="84">
        <v>0</v>
      </c>
      <c r="AL90" s="84" cm="1">
        <f t="array" ref="AL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0" s="84" cm="1">
        <f t="array" ref="AM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0" s="84" cm="1">
        <f t="array" ref="AN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0" s="84" cm="1">
        <f t="array" ref="AO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0" s="84" cm="1">
        <f t="array" ref="AP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90" s="84" cm="1">
        <f t="array" ref="AQ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" s="84" cm="1">
        <f t="array" ref="AR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" s="84" cm="1">
        <f t="array" ref="AS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" s="84" cm="1">
        <f t="array" ref="AT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" s="84" cm="1">
        <f t="array" ref="AU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0" s="84" cm="1">
        <f t="array" ref="AV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" s="84" cm="1">
        <f t="array" ref="AW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" s="84" cm="1">
        <f t="array" ref="AX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" s="84" cm="1">
        <f t="array" ref="AY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0" s="84" cm="1">
        <f t="array" ref="AZ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0" s="84" cm="1">
        <f t="array" ref="BA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0" s="84" cm="1">
        <f t="array" ref="BB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0" s="84">
        <f>IF(SUM(Table3[[#This Row],[Column2]:[Column18]])&gt;Table3[[#This Row],[Column19]],Table3[[#This Row],[Column19]],SUM(Table3[[#This Row],[Column2]:[Column18]]))</f>
        <v>50000</v>
      </c>
      <c r="BD90" s="2">
        <f>Table3[[#This Row],[Total Spend]]/SUM(Table3[[#This Row],[Column2]:[Column18]])</f>
        <v>0.26709401709401709</v>
      </c>
    </row>
    <row r="91" spans="1:56">
      <c r="A91" s="84" t="s">
        <v>162</v>
      </c>
      <c r="B91" s="84" t="s">
        <v>57</v>
      </c>
      <c r="C91" s="84"/>
      <c r="D91" s="85">
        <v>45566</v>
      </c>
      <c r="E91" s="85" t="s">
        <v>92</v>
      </c>
      <c r="F91" s="84">
        <f>INDEX(Definitions!$G$13:$G$17,MATCH(Table3[[#This Row],[Propensity to buy/ buyer readiness]],Definitions!$A$13:$A$17,0))</f>
        <v>150000</v>
      </c>
      <c r="G91" s="86">
        <v>5</v>
      </c>
      <c r="H91" s="86">
        <v>5</v>
      </c>
      <c r="I91" s="86">
        <v>4</v>
      </c>
      <c r="J91" s="86">
        <v>4</v>
      </c>
      <c r="K91" s="86">
        <v>4</v>
      </c>
      <c r="L91" s="86">
        <f>SUM(Table3[[#This Row],[Strategic priority segment]:[Propensity to buy/ buyer readiness]])</f>
        <v>22</v>
      </c>
      <c r="M91" s="86" t="s">
        <v>102</v>
      </c>
      <c r="N91" s="84" t="s">
        <v>61</v>
      </c>
      <c r="O91" s="84"/>
      <c r="P91" s="87"/>
      <c r="Q91" s="87"/>
      <c r="R91" s="84"/>
      <c r="S91" s="84"/>
      <c r="T91" s="87"/>
      <c r="U91" s="84">
        <v>1</v>
      </c>
      <c r="V91" s="84">
        <v>0</v>
      </c>
      <c r="W91" s="84">
        <v>0</v>
      </c>
      <c r="X91" s="84">
        <v>0</v>
      </c>
      <c r="Y91" s="84">
        <v>0</v>
      </c>
      <c r="Z91" s="84">
        <v>1</v>
      </c>
      <c r="AA91" s="84">
        <v>1</v>
      </c>
      <c r="AB91" s="84">
        <v>1</v>
      </c>
      <c r="AC91" s="84">
        <v>1</v>
      </c>
      <c r="AD91" s="84">
        <v>0</v>
      </c>
      <c r="AE91" s="84">
        <v>0</v>
      </c>
      <c r="AF91" s="84">
        <v>0</v>
      </c>
      <c r="AG91" s="84">
        <v>0</v>
      </c>
      <c r="AH91" s="84">
        <v>0</v>
      </c>
      <c r="AI91" s="84">
        <v>0</v>
      </c>
      <c r="AJ91" s="84">
        <v>0</v>
      </c>
      <c r="AK91" s="84">
        <v>0</v>
      </c>
      <c r="AL91" s="84" cm="1">
        <f t="array" ref="AL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1" s="84" cm="1">
        <f t="array" ref="AM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" s="84" cm="1">
        <f t="array" ref="AN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1" s="84" cm="1">
        <f t="array" ref="AO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" s="84" cm="1">
        <f t="array" ref="AP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" s="84" cm="1">
        <f t="array" ref="AQ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1" s="84" cm="1">
        <f t="array" ref="AR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91" s="84" cm="1">
        <f t="array" ref="AS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1" s="84" cm="1">
        <f t="array" ref="AT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91" s="84" cm="1">
        <f t="array" ref="AU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" s="84" cm="1">
        <f t="array" ref="AV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" s="84" cm="1">
        <f t="array" ref="AW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" s="84" cm="1">
        <f t="array" ref="AX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" s="84" cm="1">
        <f t="array" ref="AY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" s="84" cm="1">
        <f t="array" ref="AZ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1" s="84" cm="1">
        <f t="array" ref="BA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" s="84" cm="1">
        <f t="array" ref="BB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" s="84">
        <f>IF(SUM(Table3[[#This Row],[Column2]:[Column18]])&gt;Table3[[#This Row],[Column19]],Table3[[#This Row],[Column19]],SUM(Table3[[#This Row],[Column2]:[Column18]]))</f>
        <v>101700</v>
      </c>
      <c r="BD91" s="2">
        <f>Table3[[#This Row],[Total Spend]]/SUM(Table3[[#This Row],[Column2]:[Column18]])</f>
        <v>1</v>
      </c>
    </row>
    <row r="92" spans="1:56">
      <c r="A92" s="84" t="s">
        <v>163</v>
      </c>
      <c r="B92" s="84"/>
      <c r="C92" s="84" t="s">
        <v>57</v>
      </c>
      <c r="D92" s="85">
        <v>45809</v>
      </c>
      <c r="E92" s="85" t="s">
        <v>92</v>
      </c>
      <c r="F92" s="84">
        <f>INDEX(Definitions!$G$13:$G$17,MATCH(Table3[[#This Row],[Propensity to buy/ buyer readiness]],Definitions!$A$13:$A$17,0))</f>
        <v>250000</v>
      </c>
      <c r="G92" s="86">
        <v>5</v>
      </c>
      <c r="H92" s="86">
        <v>3</v>
      </c>
      <c r="I92" s="86">
        <v>4</v>
      </c>
      <c r="J92" s="86">
        <v>5</v>
      </c>
      <c r="K92" s="86">
        <v>5</v>
      </c>
      <c r="L92" s="86">
        <f>SUM(Table3[[#This Row],[Strategic priority segment]:[Propensity to buy/ buyer readiness]])</f>
        <v>22</v>
      </c>
      <c r="M92" s="86" t="s">
        <v>59</v>
      </c>
      <c r="N92" s="84" t="s">
        <v>60</v>
      </c>
      <c r="O92" s="84" t="s">
        <v>63</v>
      </c>
      <c r="P92" s="84" t="s">
        <v>122</v>
      </c>
      <c r="Q92" s="84"/>
      <c r="R92" s="84"/>
      <c r="S92" s="84"/>
      <c r="T92" s="84"/>
      <c r="U92" s="84">
        <v>1</v>
      </c>
      <c r="V92" s="84">
        <v>1</v>
      </c>
      <c r="W92" s="84">
        <v>1</v>
      </c>
      <c r="X92" s="84">
        <v>1</v>
      </c>
      <c r="Y92" s="84">
        <v>1</v>
      </c>
      <c r="Z92" s="84">
        <v>1</v>
      </c>
      <c r="AA92" s="84">
        <v>1</v>
      </c>
      <c r="AB92" s="84">
        <v>1</v>
      </c>
      <c r="AC92" s="84">
        <v>0</v>
      </c>
      <c r="AD92" s="84">
        <v>1</v>
      </c>
      <c r="AE92" s="84">
        <v>1</v>
      </c>
      <c r="AF92" s="84">
        <v>1</v>
      </c>
      <c r="AG92" s="84">
        <v>0</v>
      </c>
      <c r="AH92" s="84">
        <v>0</v>
      </c>
      <c r="AI92" s="84">
        <v>0</v>
      </c>
      <c r="AJ92" s="84">
        <v>0</v>
      </c>
      <c r="AK92" s="84">
        <v>0</v>
      </c>
      <c r="AL92" s="84" cm="1">
        <f t="array" ref="AL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2" s="84" cm="1">
        <f t="array" ref="AM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2" s="84" cm="1">
        <f t="array" ref="AN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2" s="84" cm="1">
        <f t="array" ref="AO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2" s="84" cm="1">
        <f t="array" ref="AP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92" s="84" cm="1">
        <f t="array" ref="AQ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2" s="84" cm="1">
        <f t="array" ref="AR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92" s="84" cm="1">
        <f t="array" ref="AS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2" s="84" cm="1">
        <f t="array" ref="AT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" s="84" cm="1">
        <f t="array" ref="AU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2" s="84" cm="1">
        <f t="array" ref="AV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92" s="84" cm="1">
        <f t="array" ref="AW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2" s="84" cm="1">
        <f t="array" ref="AX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" s="84" cm="1">
        <f t="array" ref="AY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" s="84" cm="1">
        <f t="array" ref="AZ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" s="84" cm="1">
        <f t="array" ref="BA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" s="84" cm="1">
        <f t="array" ref="BB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" s="84">
        <f>IF(SUM(Table3[[#This Row],[Column2]:[Column18]])&gt;Table3[[#This Row],[Column19]],Table3[[#This Row],[Column19]],SUM(Table3[[#This Row],[Column2]:[Column18]]))</f>
        <v>250000</v>
      </c>
      <c r="BD92" s="2">
        <f>Table3[[#This Row],[Total Spend]]/SUM(Table3[[#This Row],[Column2]:[Column18]])</f>
        <v>0.83042683939544926</v>
      </c>
    </row>
    <row r="93" spans="1:56">
      <c r="A93" s="84" t="s">
        <v>164</v>
      </c>
      <c r="B93" s="84"/>
      <c r="C93" s="84" t="s">
        <v>57</v>
      </c>
      <c r="D93" s="85">
        <v>45566</v>
      </c>
      <c r="E93" s="85" t="s">
        <v>58</v>
      </c>
      <c r="F93" s="84">
        <f>INDEX(Definitions!$G$13:$G$17,MATCH(Table3[[#This Row],[Propensity to buy/ buyer readiness]],Definitions!$A$13:$A$17,0))</f>
        <v>150000</v>
      </c>
      <c r="G93" s="86">
        <v>5</v>
      </c>
      <c r="H93" s="86">
        <v>5</v>
      </c>
      <c r="I93" s="86">
        <v>4</v>
      </c>
      <c r="J93" s="86">
        <v>4</v>
      </c>
      <c r="K93" s="86">
        <v>4</v>
      </c>
      <c r="L93" s="86">
        <f>SUM(Table3[[#This Row],[Strategic priority segment]:[Propensity to buy/ buyer readiness]])</f>
        <v>22</v>
      </c>
      <c r="M93" s="86" t="s">
        <v>102</v>
      </c>
      <c r="N93" s="84" t="s">
        <v>61</v>
      </c>
      <c r="O93" s="84"/>
      <c r="P93" s="87"/>
      <c r="Q93" s="87"/>
      <c r="R93" s="84"/>
      <c r="S93" s="87"/>
      <c r="T93" s="87"/>
      <c r="U93" s="84">
        <v>1</v>
      </c>
      <c r="V93" s="84">
        <v>0</v>
      </c>
      <c r="W93" s="84">
        <v>0</v>
      </c>
      <c r="X93" s="84">
        <v>0</v>
      </c>
      <c r="Y93" s="84">
        <v>0</v>
      </c>
      <c r="Z93" s="84">
        <v>1</v>
      </c>
      <c r="AA93" s="84">
        <v>1</v>
      </c>
      <c r="AB93" s="84">
        <v>1</v>
      </c>
      <c r="AC93" s="84">
        <v>1</v>
      </c>
      <c r="AD93" s="84">
        <v>0</v>
      </c>
      <c r="AE93" s="84">
        <v>0</v>
      </c>
      <c r="AF93" s="84">
        <v>0</v>
      </c>
      <c r="AG93" s="84">
        <v>0</v>
      </c>
      <c r="AH93" s="84">
        <v>0</v>
      </c>
      <c r="AI93" s="84">
        <v>0</v>
      </c>
      <c r="AJ93" s="84">
        <v>0</v>
      </c>
      <c r="AK93" s="84">
        <v>0</v>
      </c>
      <c r="AL93" s="84" cm="1">
        <f t="array" ref="AL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3" s="84" cm="1">
        <f t="array" ref="AM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" s="84" cm="1">
        <f t="array" ref="AN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" s="84" cm="1">
        <f t="array" ref="AO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" s="84" cm="1">
        <f t="array" ref="AP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" s="84" cm="1">
        <f t="array" ref="AQ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3" s="84" cm="1">
        <f t="array" ref="AR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93" s="84" cm="1">
        <f t="array" ref="AS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3" s="84" cm="1">
        <f t="array" ref="AT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93" s="84" cm="1">
        <f t="array" ref="AU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" s="84" cm="1">
        <f t="array" ref="AV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" s="84" cm="1">
        <f t="array" ref="AW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" s="84" cm="1">
        <f t="array" ref="AX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" s="84" cm="1">
        <f t="array" ref="AY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" s="84" cm="1">
        <f t="array" ref="AZ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" s="84" cm="1">
        <f t="array" ref="BA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" s="84" cm="1">
        <f t="array" ref="BB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" s="84">
        <f>IF(SUM(Table3[[#This Row],[Column2]:[Column18]])&gt;Table3[[#This Row],[Column19]],Table3[[#This Row],[Column19]],SUM(Table3[[#This Row],[Column2]:[Column18]]))</f>
        <v>140400</v>
      </c>
      <c r="BD93" s="2">
        <f>Table3[[#This Row],[Total Spend]]/SUM(Table3[[#This Row],[Column2]:[Column18]])</f>
        <v>1</v>
      </c>
    </row>
    <row r="94" spans="1:56">
      <c r="A94" s="84" t="s">
        <v>165</v>
      </c>
      <c r="B94" s="84" t="s">
        <v>57</v>
      </c>
      <c r="C94" s="84" t="s">
        <v>57</v>
      </c>
      <c r="D94" s="85">
        <v>45566</v>
      </c>
      <c r="E94" s="85" t="s">
        <v>58</v>
      </c>
      <c r="F94" s="84">
        <f>INDEX(Definitions!$G$13:$G$17,MATCH(Table3[[#This Row],[Propensity to buy/ buyer readiness]],Definitions!$A$13:$A$17,0))</f>
        <v>150000</v>
      </c>
      <c r="G94" s="86">
        <v>5</v>
      </c>
      <c r="H94" s="86">
        <v>5</v>
      </c>
      <c r="I94" s="86">
        <v>4</v>
      </c>
      <c r="J94" s="86">
        <v>4</v>
      </c>
      <c r="K94" s="86">
        <v>4</v>
      </c>
      <c r="L94" s="86">
        <f>SUM(Table3[[#This Row],[Strategic priority segment]:[Propensity to buy/ buyer readiness]])</f>
        <v>22</v>
      </c>
      <c r="M94" s="86" t="s">
        <v>102</v>
      </c>
      <c r="N94" s="84" t="s">
        <v>61</v>
      </c>
      <c r="O94" s="84"/>
      <c r="P94" s="87"/>
      <c r="Q94" s="87"/>
      <c r="R94" s="84"/>
      <c r="S94" s="84"/>
      <c r="T94" s="87"/>
      <c r="U94" s="84">
        <v>1</v>
      </c>
      <c r="V94" s="84">
        <v>0</v>
      </c>
      <c r="W94" s="84">
        <v>0</v>
      </c>
      <c r="X94" s="84">
        <v>0</v>
      </c>
      <c r="Y94" s="84">
        <v>0</v>
      </c>
      <c r="Z94" s="84">
        <v>1</v>
      </c>
      <c r="AA94" s="84">
        <v>1</v>
      </c>
      <c r="AB94" s="84">
        <v>1</v>
      </c>
      <c r="AC94" s="84">
        <v>1</v>
      </c>
      <c r="AD94" s="84">
        <v>0</v>
      </c>
      <c r="AE94" s="84">
        <v>0</v>
      </c>
      <c r="AF94" s="84">
        <v>0</v>
      </c>
      <c r="AG94" s="84">
        <v>0</v>
      </c>
      <c r="AH94" s="84">
        <v>0</v>
      </c>
      <c r="AI94" s="84">
        <v>0</v>
      </c>
      <c r="AJ94" s="84">
        <v>0</v>
      </c>
      <c r="AK94" s="84">
        <v>0</v>
      </c>
      <c r="AL94" s="84" cm="1">
        <f t="array" ref="AL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4" s="84" cm="1">
        <f t="array" ref="AM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4" s="84" cm="1">
        <f t="array" ref="AN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4" s="84" cm="1">
        <f t="array" ref="AO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4" s="84" cm="1">
        <f t="array" ref="AP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" s="84" cm="1">
        <f t="array" ref="AQ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4" s="84" cm="1">
        <f t="array" ref="AR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94" s="84" cm="1">
        <f t="array" ref="AS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4" s="84" cm="1">
        <f t="array" ref="AT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94" s="84" cm="1">
        <f t="array" ref="AU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" s="84" cm="1">
        <f t="array" ref="AV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" s="84" cm="1">
        <f t="array" ref="AW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" s="84" cm="1">
        <f t="array" ref="AX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" s="84" cm="1">
        <f t="array" ref="AY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" s="84" cm="1">
        <f t="array" ref="AZ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4" s="84" cm="1">
        <f t="array" ref="BA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" s="84" cm="1">
        <f t="array" ref="BB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" s="84">
        <f>IF(SUM(Table3[[#This Row],[Column2]:[Column18]])&gt;Table3[[#This Row],[Column19]],Table3[[#This Row],[Column19]],SUM(Table3[[#This Row],[Column2]:[Column18]]))</f>
        <v>140400</v>
      </c>
      <c r="BD94" s="2">
        <f>Table3[[#This Row],[Total Spend]]/SUM(Table3[[#This Row],[Column2]:[Column18]])</f>
        <v>1</v>
      </c>
    </row>
    <row r="95" spans="1:56">
      <c r="A95" s="84" t="s">
        <v>166</v>
      </c>
      <c r="B95" s="84" t="s">
        <v>57</v>
      </c>
      <c r="C95" s="84" t="s">
        <v>57</v>
      </c>
      <c r="D95" s="85">
        <v>45566</v>
      </c>
      <c r="E95" s="85" t="s">
        <v>92</v>
      </c>
      <c r="F95" s="84">
        <f>INDEX(Definitions!$G$13:$G$17,MATCH(Table3[[#This Row],[Propensity to buy/ buyer readiness]],Definitions!$A$13:$A$17,0))</f>
        <v>150000</v>
      </c>
      <c r="G95" s="86">
        <v>5</v>
      </c>
      <c r="H95" s="86">
        <v>5</v>
      </c>
      <c r="I95" s="86">
        <v>4</v>
      </c>
      <c r="J95" s="86">
        <v>4</v>
      </c>
      <c r="K95" s="86">
        <v>4</v>
      </c>
      <c r="L95" s="86">
        <f>SUM(Table3[[#This Row],[Strategic priority segment]:[Propensity to buy/ buyer readiness]])</f>
        <v>22</v>
      </c>
      <c r="M95" s="86" t="s">
        <v>102</v>
      </c>
      <c r="N95" s="84" t="s">
        <v>61</v>
      </c>
      <c r="O95" s="84" t="s">
        <v>62</v>
      </c>
      <c r="P95" s="87"/>
      <c r="Q95" s="87"/>
      <c r="R95" s="84"/>
      <c r="S95" s="84"/>
      <c r="T95" s="87"/>
      <c r="U95" s="84">
        <v>1</v>
      </c>
      <c r="V95" s="84">
        <v>0</v>
      </c>
      <c r="W95" s="84">
        <v>0</v>
      </c>
      <c r="X95" s="84">
        <v>0</v>
      </c>
      <c r="Y95" s="84">
        <v>0</v>
      </c>
      <c r="Z95" s="84">
        <v>1</v>
      </c>
      <c r="AA95" s="84">
        <v>1</v>
      </c>
      <c r="AB95" s="84">
        <v>1</v>
      </c>
      <c r="AC95" s="84">
        <v>1</v>
      </c>
      <c r="AD95" s="84">
        <v>1</v>
      </c>
      <c r="AE95" s="84">
        <v>1</v>
      </c>
      <c r="AF95" s="84">
        <v>1</v>
      </c>
      <c r="AG95" s="84">
        <v>1</v>
      </c>
      <c r="AH95" s="84">
        <v>0</v>
      </c>
      <c r="AI95" s="84">
        <v>0</v>
      </c>
      <c r="AJ95" s="84">
        <v>0</v>
      </c>
      <c r="AK95" s="84">
        <v>0</v>
      </c>
      <c r="AL95" s="84" cm="1">
        <f t="array" ref="AL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5" s="84" cm="1">
        <f t="array" ref="AM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" s="84" cm="1">
        <f t="array" ref="AN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" s="84" cm="1">
        <f t="array" ref="AO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" s="84" cm="1">
        <f t="array" ref="AP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" s="84" cm="1">
        <f t="array" ref="AQ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5" s="84" cm="1">
        <f t="array" ref="AR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95" s="84" cm="1">
        <f t="array" ref="AS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5" s="84" cm="1">
        <f t="array" ref="AT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95" s="84" cm="1">
        <f t="array" ref="AU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5" s="84" cm="1">
        <f t="array" ref="AV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95" s="84" cm="1">
        <f t="array" ref="AW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5" s="84" cm="1">
        <f t="array" ref="AX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95" s="84" cm="1">
        <f t="array" ref="AY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" s="84" cm="1">
        <f t="array" ref="AZ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" s="84" cm="1">
        <f t="array" ref="BA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" s="84" cm="1">
        <f t="array" ref="BB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" s="84">
        <f>IF(SUM(Table3[[#This Row],[Column2]:[Column18]])&gt;Table3[[#This Row],[Column19]],Table3[[#This Row],[Column19]],SUM(Table3[[#This Row],[Column2]:[Column18]]))</f>
        <v>150000</v>
      </c>
      <c r="BD95" s="2">
        <f>Table3[[#This Row],[Total Spend]]/SUM(Table3[[#This Row],[Column2]:[Column18]])</f>
        <v>0.79936051159072741</v>
      </c>
    </row>
    <row r="96" spans="1:56" ht="28.5">
      <c r="A96" s="84" t="s">
        <v>167</v>
      </c>
      <c r="B96" s="84" t="s">
        <v>57</v>
      </c>
      <c r="C96" s="84"/>
      <c r="D96" s="85">
        <v>45566</v>
      </c>
      <c r="E96" s="85" t="s">
        <v>58</v>
      </c>
      <c r="F96" s="84">
        <f>INDEX(Definitions!$G$13:$G$17,MATCH(Table3[[#This Row],[Propensity to buy/ buyer readiness]],Definitions!$A$13:$A$17,0))</f>
        <v>250000</v>
      </c>
      <c r="G96" s="86">
        <v>5</v>
      </c>
      <c r="H96" s="86">
        <v>4</v>
      </c>
      <c r="I96" s="86">
        <v>4</v>
      </c>
      <c r="J96" s="86">
        <v>4</v>
      </c>
      <c r="K96" s="86">
        <v>5</v>
      </c>
      <c r="L96" s="86">
        <f>SUM(Table3[[#This Row],[Strategic priority segment]:[Propensity to buy/ buyer readiness]])</f>
        <v>22</v>
      </c>
      <c r="M96" s="86" t="s">
        <v>102</v>
      </c>
      <c r="N96" s="84" t="s">
        <v>122</v>
      </c>
      <c r="O96" s="84" t="s">
        <v>61</v>
      </c>
      <c r="P96" s="87" t="s">
        <v>62</v>
      </c>
      <c r="Q96" s="87"/>
      <c r="R96" s="84"/>
      <c r="S96" s="84"/>
      <c r="T96" s="84"/>
      <c r="U96" s="84">
        <v>1</v>
      </c>
      <c r="V96" s="84">
        <v>0</v>
      </c>
      <c r="W96" s="84">
        <v>0</v>
      </c>
      <c r="X96" s="84">
        <v>0</v>
      </c>
      <c r="Y96" s="84">
        <v>0</v>
      </c>
      <c r="Z96" s="84">
        <v>1</v>
      </c>
      <c r="AA96" s="84">
        <v>1</v>
      </c>
      <c r="AB96" s="84">
        <v>1</v>
      </c>
      <c r="AC96" s="84">
        <v>1</v>
      </c>
      <c r="AD96" s="84">
        <v>1</v>
      </c>
      <c r="AE96" s="84">
        <v>1</v>
      </c>
      <c r="AF96" s="84">
        <v>1</v>
      </c>
      <c r="AG96" s="84">
        <v>1</v>
      </c>
      <c r="AH96" s="84">
        <v>0</v>
      </c>
      <c r="AI96" s="84">
        <v>0</v>
      </c>
      <c r="AJ96" s="84">
        <v>0</v>
      </c>
      <c r="AK96" s="84">
        <v>0</v>
      </c>
      <c r="AL96" s="84" cm="1">
        <f t="array" ref="AL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" s="84" cm="1">
        <f t="array" ref="AM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" s="84" cm="1">
        <f t="array" ref="AN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" s="84" cm="1">
        <f t="array" ref="AO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" s="84" cm="1">
        <f t="array" ref="AP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" s="84" cm="1">
        <f t="array" ref="AQ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6" s="84" cm="1">
        <f t="array" ref="AR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96" s="84" cm="1">
        <f t="array" ref="AS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6" s="84" cm="1">
        <f t="array" ref="AT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96" s="84" cm="1">
        <f t="array" ref="AU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6" s="84" cm="1">
        <f t="array" ref="AV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96" s="84" cm="1">
        <f t="array" ref="AW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6" s="84" cm="1">
        <f t="array" ref="AX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96" s="84" cm="1">
        <f t="array" ref="AY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" s="84" cm="1">
        <f t="array" ref="AZ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" s="84" cm="1">
        <f t="array" ref="BA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" s="84" cm="1">
        <f t="array" ref="BB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" s="84">
        <f>IF(SUM(Table3[[#This Row],[Column2]:[Column18]])&gt;Table3[[#This Row],[Column19]],Table3[[#This Row],[Column19]],SUM(Table3[[#This Row],[Column2]:[Column18]]))</f>
        <v>250000</v>
      </c>
      <c r="BD96" s="2">
        <f>Table3[[#This Row],[Total Spend]]/SUM(Table3[[#This Row],[Column2]:[Column18]])</f>
        <v>0.95785440613026818</v>
      </c>
    </row>
    <row r="97" spans="1:56">
      <c r="A97" s="84" t="s">
        <v>168</v>
      </c>
      <c r="B97" s="84" t="s">
        <v>57</v>
      </c>
      <c r="C97" s="84"/>
      <c r="D97" s="85">
        <v>45566</v>
      </c>
      <c r="E97" s="86" t="s">
        <v>92</v>
      </c>
      <c r="F97" s="86">
        <f>INDEX(Definitions!$G$13:$G$17,MATCH(Table3[[#This Row],[Propensity to buy/ buyer readiness]],Definitions!$A$13:$A$17,0))</f>
        <v>150000</v>
      </c>
      <c r="G97" s="86">
        <v>5</v>
      </c>
      <c r="H97" s="86">
        <v>4</v>
      </c>
      <c r="I97" s="86">
        <v>5</v>
      </c>
      <c r="J97" s="86">
        <v>4</v>
      </c>
      <c r="K97" s="86">
        <v>4</v>
      </c>
      <c r="L97" s="86">
        <f>SUM(Table3[[#This Row],[Strategic priority segment]:[Propensity to buy/ buyer readiness]])</f>
        <v>22</v>
      </c>
      <c r="M97" s="86" t="s">
        <v>66</v>
      </c>
      <c r="N97" s="84" t="s">
        <v>62</v>
      </c>
      <c r="O97" s="84" t="s">
        <v>63</v>
      </c>
      <c r="P97" s="87" t="s">
        <v>60</v>
      </c>
      <c r="Q97" s="87"/>
      <c r="R97" s="84"/>
      <c r="S97" s="84"/>
      <c r="T97" s="87"/>
      <c r="U97" s="84">
        <v>1</v>
      </c>
      <c r="V97" s="84">
        <v>1</v>
      </c>
      <c r="W97" s="84">
        <v>1</v>
      </c>
      <c r="X97" s="84">
        <v>1</v>
      </c>
      <c r="Y97" s="84">
        <v>1</v>
      </c>
      <c r="Z97" s="84">
        <v>0</v>
      </c>
      <c r="AA97" s="84">
        <v>1</v>
      </c>
      <c r="AB97" s="84">
        <v>0</v>
      </c>
      <c r="AC97" s="84">
        <v>0</v>
      </c>
      <c r="AD97" s="84">
        <v>1</v>
      </c>
      <c r="AE97" s="84">
        <v>1</v>
      </c>
      <c r="AF97" s="84">
        <v>1</v>
      </c>
      <c r="AG97" s="84">
        <v>1</v>
      </c>
      <c r="AH97" s="84">
        <v>0</v>
      </c>
      <c r="AI97" s="84">
        <v>0</v>
      </c>
      <c r="AJ97" s="84">
        <v>0</v>
      </c>
      <c r="AK97" s="84">
        <v>0</v>
      </c>
      <c r="AL97" s="84" cm="1">
        <f t="array" ref="AL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7" s="84" cm="1">
        <f t="array" ref="AM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7" s="84" cm="1">
        <f t="array" ref="AN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7" s="84" cm="1">
        <f t="array" ref="AO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7" s="84" cm="1">
        <f t="array" ref="AP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97" s="84" cm="1">
        <f t="array" ref="AQ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" s="84" cm="1">
        <f t="array" ref="AR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97" s="84" cm="1">
        <f t="array" ref="AS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" s="84" cm="1">
        <f t="array" ref="AT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" s="84" cm="1">
        <f t="array" ref="AU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7" s="84" cm="1">
        <f t="array" ref="AV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97" s="84" cm="1">
        <f t="array" ref="AW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7" s="84" cm="1">
        <f t="array" ref="AX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97" s="84" cm="1">
        <f t="array" ref="AY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" s="84" cm="1">
        <f t="array" ref="AZ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7" s="84" cm="1">
        <f t="array" ref="BA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" s="84" cm="1">
        <f t="array" ref="BB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" s="84">
        <f>IF(SUM(Table3[[#This Row],[Column2]:[Column18]])&gt;Table3[[#This Row],[Column19]],Table3[[#This Row],[Column19]],SUM(Table3[[#This Row],[Column2]:[Column18]]))</f>
        <v>150000</v>
      </c>
      <c r="BD97" s="2">
        <f>Table3[[#This Row],[Total Spend]]/SUM(Table3[[#This Row],[Column2]:[Column18]])</f>
        <v>0.56211354693648119</v>
      </c>
    </row>
    <row r="98" spans="1:56">
      <c r="A98" s="84" t="s">
        <v>169</v>
      </c>
      <c r="B98" s="84" t="s">
        <v>57</v>
      </c>
      <c r="C98" s="84"/>
      <c r="D98" s="85">
        <v>45566</v>
      </c>
      <c r="E98" s="85" t="s">
        <v>58</v>
      </c>
      <c r="F98" s="84">
        <f>INDEX(Definitions!$G$13:$G$17,MATCH(Table3[[#This Row],[Propensity to buy/ buyer readiness]],Definitions!$A$13:$A$17,0))</f>
        <v>150000</v>
      </c>
      <c r="G98" s="86">
        <v>5</v>
      </c>
      <c r="H98" s="86">
        <v>5</v>
      </c>
      <c r="I98" s="86">
        <v>4</v>
      </c>
      <c r="J98" s="86">
        <v>4</v>
      </c>
      <c r="K98" s="86">
        <v>4</v>
      </c>
      <c r="L98" s="86">
        <f>SUM(Table3[[#This Row],[Strategic priority segment]:[Propensity to buy/ buyer readiness]])</f>
        <v>22</v>
      </c>
      <c r="M98" s="86" t="s">
        <v>102</v>
      </c>
      <c r="N98" s="84" t="s">
        <v>61</v>
      </c>
      <c r="O98" s="84" t="s">
        <v>62</v>
      </c>
      <c r="P98" s="87"/>
      <c r="Q98" s="87"/>
      <c r="R98" s="84"/>
      <c r="S98" s="84"/>
      <c r="T98" s="87"/>
      <c r="U98" s="84">
        <v>1</v>
      </c>
      <c r="V98" s="84">
        <v>0</v>
      </c>
      <c r="W98" s="84">
        <v>0</v>
      </c>
      <c r="X98" s="84">
        <v>0</v>
      </c>
      <c r="Y98" s="84">
        <v>0</v>
      </c>
      <c r="Z98" s="84">
        <v>1</v>
      </c>
      <c r="AA98" s="84">
        <v>1</v>
      </c>
      <c r="AB98" s="84">
        <v>1</v>
      </c>
      <c r="AC98" s="84">
        <v>1</v>
      </c>
      <c r="AD98" s="84">
        <v>1</v>
      </c>
      <c r="AE98" s="84">
        <v>1</v>
      </c>
      <c r="AF98" s="84">
        <v>1</v>
      </c>
      <c r="AG98" s="84">
        <v>1</v>
      </c>
      <c r="AH98" s="84">
        <v>0</v>
      </c>
      <c r="AI98" s="84">
        <v>0</v>
      </c>
      <c r="AJ98" s="84">
        <v>0</v>
      </c>
      <c r="AK98" s="84">
        <v>0</v>
      </c>
      <c r="AL98" s="84" cm="1">
        <f t="array" ref="AL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8" s="84" cm="1">
        <f t="array" ref="AM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" s="84" cm="1">
        <f t="array" ref="AN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" s="84" cm="1">
        <f t="array" ref="AO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" s="84" cm="1">
        <f t="array" ref="AP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" s="84" cm="1">
        <f t="array" ref="AQ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8" s="84" cm="1">
        <f t="array" ref="AR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98" s="84" cm="1">
        <f t="array" ref="AS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8" s="84" cm="1">
        <f t="array" ref="AT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98" s="84" cm="1">
        <f t="array" ref="AU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8" s="84" cm="1">
        <f t="array" ref="AV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98" s="84" cm="1">
        <f t="array" ref="AW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8" s="84" cm="1">
        <f t="array" ref="AX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98" s="84" cm="1">
        <f t="array" ref="AY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" s="84" cm="1">
        <f t="array" ref="AZ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8" s="84" cm="1">
        <f t="array" ref="BA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" s="84" cm="1">
        <f t="array" ref="BB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" s="84">
        <f>IF(SUM(Table3[[#This Row],[Column2]:[Column18]])&gt;Table3[[#This Row],[Column19]],Table3[[#This Row],[Column19]],SUM(Table3[[#This Row],[Column2]:[Column18]]))</f>
        <v>150000</v>
      </c>
      <c r="BD98" s="2">
        <f>Table3[[#This Row],[Total Spend]]/SUM(Table3[[#This Row],[Column2]:[Column18]])</f>
        <v>0.57471264367816088</v>
      </c>
    </row>
    <row r="99" spans="1:56">
      <c r="A99" s="88" t="s">
        <v>170</v>
      </c>
      <c r="B99" s="88" t="s">
        <v>57</v>
      </c>
      <c r="C99" s="88" t="s">
        <v>57</v>
      </c>
      <c r="D99" s="85">
        <v>45566</v>
      </c>
      <c r="E99" s="85" t="s">
        <v>58</v>
      </c>
      <c r="F99" s="84">
        <f>INDEX(Definitions!$G$13:$G$17,MATCH(Table3[[#This Row],[Propensity to buy/ buyer readiness]],Definitions!$A$13:$A$17,0))</f>
        <v>150000</v>
      </c>
      <c r="G99" s="86">
        <v>5</v>
      </c>
      <c r="H99" s="86">
        <v>5</v>
      </c>
      <c r="I99" s="86">
        <v>4</v>
      </c>
      <c r="J99" s="86">
        <v>4</v>
      </c>
      <c r="K99" s="86">
        <v>4</v>
      </c>
      <c r="L99" s="86">
        <f>SUM(Table3[[#This Row],[Strategic priority segment]:[Propensity to buy/ buyer readiness]])</f>
        <v>22</v>
      </c>
      <c r="M99" s="86" t="s">
        <v>102</v>
      </c>
      <c r="N99" s="84" t="s">
        <v>61</v>
      </c>
      <c r="O99" s="84" t="s">
        <v>62</v>
      </c>
      <c r="P99" s="87"/>
      <c r="Q99" s="87"/>
      <c r="R99" s="84"/>
      <c r="S99" s="87"/>
      <c r="T99" s="87"/>
      <c r="U99" s="84">
        <v>1</v>
      </c>
      <c r="V99" s="84">
        <v>0</v>
      </c>
      <c r="W99" s="84">
        <v>0</v>
      </c>
      <c r="X99" s="84">
        <v>0</v>
      </c>
      <c r="Y99" s="84">
        <v>0</v>
      </c>
      <c r="Z99" s="84">
        <v>1</v>
      </c>
      <c r="AA99" s="84">
        <v>1</v>
      </c>
      <c r="AB99" s="84">
        <v>1</v>
      </c>
      <c r="AC99" s="84">
        <v>1</v>
      </c>
      <c r="AD99" s="84">
        <v>1</v>
      </c>
      <c r="AE99" s="84">
        <v>1</v>
      </c>
      <c r="AF99" s="84">
        <v>1</v>
      </c>
      <c r="AG99" s="84">
        <v>1</v>
      </c>
      <c r="AH99" s="84">
        <v>0</v>
      </c>
      <c r="AI99" s="84">
        <v>0</v>
      </c>
      <c r="AJ99" s="84">
        <v>0</v>
      </c>
      <c r="AK99" s="84">
        <v>0</v>
      </c>
      <c r="AL99" s="84" cm="1">
        <f t="array" ref="AL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" s="84" cm="1">
        <f t="array" ref="AM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" s="84" cm="1">
        <f t="array" ref="AN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" s="84" cm="1">
        <f t="array" ref="AO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" s="84" cm="1">
        <f t="array" ref="AP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" s="84" cm="1">
        <f t="array" ref="AQ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9" s="84" cm="1">
        <f t="array" ref="AR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99" s="84" cm="1">
        <f t="array" ref="AS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9" s="84" cm="1">
        <f t="array" ref="AT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99" s="84" cm="1">
        <f t="array" ref="AU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9" s="84" cm="1">
        <f t="array" ref="AV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99" s="84" cm="1">
        <f t="array" ref="AW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9" s="84" cm="1">
        <f t="array" ref="AX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99" s="84" cm="1">
        <f t="array" ref="AY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" s="84" cm="1">
        <f t="array" ref="AZ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" s="84" cm="1">
        <f t="array" ref="BA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" s="84" cm="1">
        <f t="array" ref="BB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" s="84">
        <f>IF(SUM(Table3[[#This Row],[Column2]:[Column18]])&gt;Table3[[#This Row],[Column19]],Table3[[#This Row],[Column19]],SUM(Table3[[#This Row],[Column2]:[Column18]]))</f>
        <v>150000</v>
      </c>
      <c r="BD99" s="2">
        <f>Table3[[#This Row],[Total Spend]]/SUM(Table3[[#This Row],[Column2]:[Column18]])</f>
        <v>0.57471264367816088</v>
      </c>
    </row>
    <row r="100" spans="1:56">
      <c r="A100" s="84" t="s">
        <v>171</v>
      </c>
      <c r="B100" s="84" t="s">
        <v>57</v>
      </c>
      <c r="C100" s="84"/>
      <c r="D100" s="85">
        <v>45566</v>
      </c>
      <c r="E100" s="85" t="s">
        <v>92</v>
      </c>
      <c r="F100" s="84">
        <f>INDEX(Definitions!$G$13:$G$17,MATCH(Table3[[#This Row],[Propensity to buy/ buyer readiness]],Definitions!$A$13:$A$17,0))</f>
        <v>150000</v>
      </c>
      <c r="G100" s="86">
        <v>5</v>
      </c>
      <c r="H100" s="86">
        <v>5</v>
      </c>
      <c r="I100" s="86">
        <v>4</v>
      </c>
      <c r="J100" s="86">
        <v>4</v>
      </c>
      <c r="K100" s="86">
        <v>4</v>
      </c>
      <c r="L100" s="86">
        <f>SUM(Table3[[#This Row],[Strategic priority segment]:[Propensity to buy/ buyer readiness]])</f>
        <v>22</v>
      </c>
      <c r="M100" s="86" t="s">
        <v>102</v>
      </c>
      <c r="N100" s="84" t="s">
        <v>61</v>
      </c>
      <c r="O100" s="84"/>
      <c r="P100" s="87"/>
      <c r="Q100" s="87"/>
      <c r="R100" s="84"/>
      <c r="S100" s="84"/>
      <c r="T100" s="84"/>
      <c r="U100" s="84">
        <v>1</v>
      </c>
      <c r="V100" s="84">
        <v>0</v>
      </c>
      <c r="W100" s="84">
        <v>0</v>
      </c>
      <c r="X100" s="84">
        <v>0</v>
      </c>
      <c r="Y100" s="84">
        <v>0</v>
      </c>
      <c r="Z100" s="84">
        <v>1</v>
      </c>
      <c r="AA100" s="84">
        <v>1</v>
      </c>
      <c r="AB100" s="84">
        <v>1</v>
      </c>
      <c r="AC100" s="84">
        <v>1</v>
      </c>
      <c r="AD100" s="84">
        <v>0</v>
      </c>
      <c r="AE100" s="84">
        <v>0</v>
      </c>
      <c r="AF100" s="84">
        <v>0</v>
      </c>
      <c r="AG100" s="84">
        <v>0</v>
      </c>
      <c r="AH100" s="84">
        <v>0</v>
      </c>
      <c r="AI100" s="84">
        <v>0</v>
      </c>
      <c r="AJ100" s="84">
        <v>0</v>
      </c>
      <c r="AK100" s="84">
        <v>0</v>
      </c>
      <c r="AL100" s="84" cm="1">
        <f t="array" ref="AL1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0" s="84" cm="1">
        <f t="array" ref="AM1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0" s="84" cm="1">
        <f t="array" ref="AN1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0" s="84" cm="1">
        <f t="array" ref="AO1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0" s="84" cm="1">
        <f t="array" ref="AP1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" s="84" cm="1">
        <f t="array" ref="AQ1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0" s="84" cm="1">
        <f t="array" ref="AR1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0" s="84" cm="1">
        <f t="array" ref="AS1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0" s="84" cm="1">
        <f t="array" ref="AT1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0" s="84" cm="1">
        <f t="array" ref="AU1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" s="84" cm="1">
        <f t="array" ref="AV1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" s="84" cm="1">
        <f t="array" ref="AW1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" s="84" cm="1">
        <f t="array" ref="AX1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" s="84" cm="1">
        <f t="array" ref="AY1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" s="84" cm="1">
        <f t="array" ref="AZ1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0" s="84" cm="1">
        <f t="array" ref="BA1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" s="84" cm="1">
        <f t="array" ref="BB1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" s="84">
        <f>IF(SUM(Table3[[#This Row],[Column2]:[Column18]])&gt;Table3[[#This Row],[Column19]],Table3[[#This Row],[Column19]],SUM(Table3[[#This Row],[Column2]:[Column18]]))</f>
        <v>101700</v>
      </c>
      <c r="BD100" s="2">
        <f>Table3[[#This Row],[Total Spend]]/SUM(Table3[[#This Row],[Column2]:[Column18]])</f>
        <v>1</v>
      </c>
    </row>
    <row r="101" spans="1:56">
      <c r="A101" s="84" t="s">
        <v>172</v>
      </c>
      <c r="B101" s="84" t="s">
        <v>57</v>
      </c>
      <c r="C101" s="84"/>
      <c r="D101" s="85">
        <v>45566</v>
      </c>
      <c r="E101" s="85" t="s">
        <v>92</v>
      </c>
      <c r="F101" s="84">
        <f>INDEX(Definitions!$G$13:$G$17,MATCH(Table3[[#This Row],[Propensity to buy/ buyer readiness]],Definitions!$A$13:$A$17,0))</f>
        <v>150000</v>
      </c>
      <c r="G101" s="86">
        <v>5</v>
      </c>
      <c r="H101" s="86">
        <v>5</v>
      </c>
      <c r="I101" s="86">
        <v>4</v>
      </c>
      <c r="J101" s="86">
        <v>4</v>
      </c>
      <c r="K101" s="86">
        <v>4</v>
      </c>
      <c r="L101" s="86">
        <f>SUM(Table3[[#This Row],[Strategic priority segment]:[Propensity to buy/ buyer readiness]])</f>
        <v>22</v>
      </c>
      <c r="M101" s="86" t="s">
        <v>102</v>
      </c>
      <c r="N101" s="84" t="s">
        <v>61</v>
      </c>
      <c r="O101" s="84" t="s">
        <v>62</v>
      </c>
      <c r="P101" s="87"/>
      <c r="Q101" s="87"/>
      <c r="R101" s="84"/>
      <c r="S101" s="84"/>
      <c r="T101" s="84"/>
      <c r="U101" s="84">
        <v>1</v>
      </c>
      <c r="V101" s="84">
        <v>0</v>
      </c>
      <c r="W101" s="84">
        <v>0</v>
      </c>
      <c r="X101" s="84">
        <v>0</v>
      </c>
      <c r="Y101" s="84">
        <v>0</v>
      </c>
      <c r="Z101" s="84">
        <v>1</v>
      </c>
      <c r="AA101" s="84">
        <v>1</v>
      </c>
      <c r="AB101" s="84">
        <v>1</v>
      </c>
      <c r="AC101" s="84">
        <v>1</v>
      </c>
      <c r="AD101" s="84">
        <v>1</v>
      </c>
      <c r="AE101" s="84">
        <v>1</v>
      </c>
      <c r="AF101" s="84">
        <v>1</v>
      </c>
      <c r="AG101" s="84">
        <v>1</v>
      </c>
      <c r="AH101" s="84">
        <v>0</v>
      </c>
      <c r="AI101" s="84">
        <v>0</v>
      </c>
      <c r="AJ101" s="84">
        <v>0</v>
      </c>
      <c r="AK101" s="84">
        <v>0</v>
      </c>
      <c r="AL101" s="84" cm="1">
        <f t="array" ref="AL1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1" s="84" cm="1">
        <f t="array" ref="AM1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" s="84" cm="1">
        <f t="array" ref="AN1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" s="84" cm="1">
        <f t="array" ref="AO1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" s="84" cm="1">
        <f t="array" ref="AP1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" s="84" cm="1">
        <f t="array" ref="AQ1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1" s="84" cm="1">
        <f t="array" ref="AR1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1" s="84" cm="1">
        <f t="array" ref="AS1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1" s="84" cm="1">
        <f t="array" ref="AT1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1" s="84" cm="1">
        <f t="array" ref="AU1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1" s="84" cm="1">
        <f t="array" ref="AV1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01" s="84" cm="1">
        <f t="array" ref="AW1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1" s="84" cm="1">
        <f t="array" ref="AX1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01" s="84" cm="1">
        <f t="array" ref="AY1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" s="84" cm="1">
        <f t="array" ref="AZ1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" s="84" cm="1">
        <f t="array" ref="BA1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" s="84" cm="1">
        <f t="array" ref="BB1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" s="84">
        <f>IF(SUM(Table3[[#This Row],[Column2]:[Column18]])&gt;Table3[[#This Row],[Column19]],Table3[[#This Row],[Column19]],SUM(Table3[[#This Row],[Column2]:[Column18]]))</f>
        <v>150000</v>
      </c>
      <c r="BD101" s="2">
        <f>Table3[[#This Row],[Total Spend]]/SUM(Table3[[#This Row],[Column2]:[Column18]])</f>
        <v>0.79936051159072741</v>
      </c>
    </row>
    <row r="102" spans="1:56">
      <c r="A102" s="84" t="s">
        <v>173</v>
      </c>
      <c r="B102" s="84" t="s">
        <v>57</v>
      </c>
      <c r="C102" s="84"/>
      <c r="D102" s="85">
        <v>45566</v>
      </c>
      <c r="E102" s="85" t="s">
        <v>92</v>
      </c>
      <c r="F102" s="84">
        <f>INDEX(Definitions!$G$13:$G$17,MATCH(Table3[[#This Row],[Propensity to buy/ buyer readiness]],Definitions!$A$13:$A$17,0))</f>
        <v>150000</v>
      </c>
      <c r="G102" s="86">
        <v>5</v>
      </c>
      <c r="H102" s="86">
        <v>5</v>
      </c>
      <c r="I102" s="86">
        <v>4</v>
      </c>
      <c r="J102" s="86">
        <v>4</v>
      </c>
      <c r="K102" s="86">
        <v>4</v>
      </c>
      <c r="L102" s="86">
        <f>SUM(Table3[[#This Row],[Strategic priority segment]:[Propensity to buy/ buyer readiness]])</f>
        <v>22</v>
      </c>
      <c r="M102" s="86" t="s">
        <v>102</v>
      </c>
      <c r="N102" s="84" t="s">
        <v>61</v>
      </c>
      <c r="O102" s="84" t="s">
        <v>62</v>
      </c>
      <c r="P102" s="87"/>
      <c r="Q102" s="87"/>
      <c r="R102" s="84"/>
      <c r="S102" s="84"/>
      <c r="T102" s="87"/>
      <c r="U102" s="84">
        <v>1</v>
      </c>
      <c r="V102" s="84">
        <v>0</v>
      </c>
      <c r="W102" s="84">
        <v>0</v>
      </c>
      <c r="X102" s="84">
        <v>0</v>
      </c>
      <c r="Y102" s="84">
        <v>0</v>
      </c>
      <c r="Z102" s="84">
        <v>1</v>
      </c>
      <c r="AA102" s="84">
        <v>1</v>
      </c>
      <c r="AB102" s="84">
        <v>1</v>
      </c>
      <c r="AC102" s="84">
        <v>1</v>
      </c>
      <c r="AD102" s="84">
        <v>1</v>
      </c>
      <c r="AE102" s="84">
        <v>1</v>
      </c>
      <c r="AF102" s="84">
        <v>1</v>
      </c>
      <c r="AG102" s="84">
        <v>1</v>
      </c>
      <c r="AH102" s="84">
        <v>0</v>
      </c>
      <c r="AI102" s="84">
        <v>0</v>
      </c>
      <c r="AJ102" s="84">
        <v>0</v>
      </c>
      <c r="AK102" s="84">
        <v>0</v>
      </c>
      <c r="AL102" s="84" cm="1">
        <f t="array" ref="AL1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2" s="84" cm="1">
        <f t="array" ref="AM1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2" s="84" cm="1">
        <f t="array" ref="AN1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2" s="84" cm="1">
        <f t="array" ref="AO1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2" s="84" cm="1">
        <f t="array" ref="AP1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" s="84" cm="1">
        <f t="array" ref="AQ1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2" s="84" cm="1">
        <f t="array" ref="AR1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2" s="84" cm="1">
        <f t="array" ref="AS1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2" s="84" cm="1">
        <f t="array" ref="AT1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2" s="84" cm="1">
        <f t="array" ref="AU1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2" s="84" cm="1">
        <f t="array" ref="AV1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02" s="84" cm="1">
        <f t="array" ref="AW1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2" s="84" cm="1">
        <f t="array" ref="AX1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02" s="84" cm="1">
        <f t="array" ref="AY1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" s="84" cm="1">
        <f t="array" ref="AZ1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2" s="84" cm="1">
        <f t="array" ref="BA1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" s="84" cm="1">
        <f t="array" ref="BB1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" s="84">
        <f>IF(SUM(Table3[[#This Row],[Column2]:[Column18]])&gt;Table3[[#This Row],[Column19]],Table3[[#This Row],[Column19]],SUM(Table3[[#This Row],[Column2]:[Column18]]))</f>
        <v>150000</v>
      </c>
      <c r="BD102" s="2">
        <f>Table3[[#This Row],[Total Spend]]/SUM(Table3[[#This Row],[Column2]:[Column18]])</f>
        <v>0.79936051159072741</v>
      </c>
    </row>
    <row r="103" spans="1:56">
      <c r="A103" s="84" t="s">
        <v>174</v>
      </c>
      <c r="B103" s="84"/>
      <c r="C103" s="84" t="s">
        <v>57</v>
      </c>
      <c r="D103" s="85">
        <v>45566</v>
      </c>
      <c r="E103" s="85" t="s">
        <v>92</v>
      </c>
      <c r="F103" s="84">
        <f>INDEX(Definitions!$G$13:$G$17,MATCH(Table3[[#This Row],[Propensity to buy/ buyer readiness]],Definitions!$A$13:$A$17,0))</f>
        <v>150000</v>
      </c>
      <c r="G103" s="86">
        <v>5</v>
      </c>
      <c r="H103" s="86">
        <v>5</v>
      </c>
      <c r="I103" s="86">
        <v>4</v>
      </c>
      <c r="J103" s="86">
        <v>4</v>
      </c>
      <c r="K103" s="86">
        <v>4</v>
      </c>
      <c r="L103" s="86">
        <f>SUM(Table3[[#This Row],[Strategic priority segment]:[Propensity to buy/ buyer readiness]])</f>
        <v>22</v>
      </c>
      <c r="M103" s="86" t="s">
        <v>102</v>
      </c>
      <c r="N103" s="84" t="s">
        <v>61</v>
      </c>
      <c r="O103" s="84"/>
      <c r="P103" s="84"/>
      <c r="Q103" s="84"/>
      <c r="R103" s="84"/>
      <c r="S103" s="84"/>
      <c r="T103" s="87"/>
      <c r="U103" s="84">
        <v>1</v>
      </c>
      <c r="V103" s="84">
        <v>0</v>
      </c>
      <c r="W103" s="84">
        <v>0</v>
      </c>
      <c r="X103" s="84">
        <v>0</v>
      </c>
      <c r="Y103" s="84">
        <v>0</v>
      </c>
      <c r="Z103" s="84">
        <v>1</v>
      </c>
      <c r="AA103" s="84">
        <v>1</v>
      </c>
      <c r="AB103" s="84">
        <v>1</v>
      </c>
      <c r="AC103" s="84">
        <v>1</v>
      </c>
      <c r="AD103" s="84">
        <v>0</v>
      </c>
      <c r="AE103" s="84">
        <v>0</v>
      </c>
      <c r="AF103" s="84">
        <v>0</v>
      </c>
      <c r="AG103" s="84">
        <v>0</v>
      </c>
      <c r="AH103" s="84">
        <v>0</v>
      </c>
      <c r="AI103" s="84">
        <v>0</v>
      </c>
      <c r="AJ103" s="84">
        <v>0</v>
      </c>
      <c r="AK103" s="84">
        <v>0</v>
      </c>
      <c r="AL103" s="84" cm="1">
        <f t="array" ref="AL1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3" s="84" cm="1">
        <f t="array" ref="AM1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" s="84" cm="1">
        <f t="array" ref="AN1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" s="84" cm="1">
        <f t="array" ref="AO1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" s="84" cm="1">
        <f t="array" ref="AP1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" s="84" cm="1">
        <f t="array" ref="AQ1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3" s="84" cm="1">
        <f t="array" ref="AR1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3" s="84" cm="1">
        <f t="array" ref="AS1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3" s="84" cm="1">
        <f t="array" ref="AT1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3" s="84" cm="1">
        <f t="array" ref="AU1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" s="84" cm="1">
        <f t="array" ref="AV1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" s="84" cm="1">
        <f t="array" ref="AW1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" s="84" cm="1">
        <f t="array" ref="AX1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" s="84" cm="1">
        <f t="array" ref="AY1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" s="84" cm="1">
        <f t="array" ref="AZ1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3" s="84" cm="1">
        <f t="array" ref="BA1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" s="84" cm="1">
        <f t="array" ref="BB1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" s="84">
        <f>IF(SUM(Table3[[#This Row],[Column2]:[Column18]])&gt;Table3[[#This Row],[Column19]],Table3[[#This Row],[Column19]],SUM(Table3[[#This Row],[Column2]:[Column18]]))</f>
        <v>101700</v>
      </c>
      <c r="BD103" s="2">
        <f>Table3[[#This Row],[Total Spend]]/SUM(Table3[[#This Row],[Column2]:[Column18]])</f>
        <v>1</v>
      </c>
    </row>
    <row r="104" spans="1:56" ht="28.5">
      <c r="A104" s="84" t="s">
        <v>175</v>
      </c>
      <c r="B104" s="84" t="s">
        <v>57</v>
      </c>
      <c r="C104" s="84" t="s">
        <v>57</v>
      </c>
      <c r="D104" s="85">
        <v>45566</v>
      </c>
      <c r="E104" s="85" t="s">
        <v>58</v>
      </c>
      <c r="F104" s="84">
        <f>INDEX(Definitions!$G$13:$G$17,MATCH(Table3[[#This Row],[Propensity to buy/ buyer readiness]],Definitions!$A$13:$A$17,0))</f>
        <v>250000</v>
      </c>
      <c r="G104" s="86">
        <v>5</v>
      </c>
      <c r="H104" s="86">
        <v>4</v>
      </c>
      <c r="I104" s="86">
        <v>4</v>
      </c>
      <c r="J104" s="86">
        <v>4</v>
      </c>
      <c r="K104" s="86">
        <v>5</v>
      </c>
      <c r="L104" s="86">
        <f>SUM(Table3[[#This Row],[Strategic priority segment]:[Propensity to buy/ buyer readiness]])</f>
        <v>22</v>
      </c>
      <c r="M104" s="86" t="s">
        <v>102</v>
      </c>
      <c r="N104" s="84" t="s">
        <v>122</v>
      </c>
      <c r="O104" s="84" t="s">
        <v>61</v>
      </c>
      <c r="P104" s="87" t="s">
        <v>62</v>
      </c>
      <c r="Q104" s="87"/>
      <c r="R104" s="84"/>
      <c r="S104" s="84"/>
      <c r="T104" s="87"/>
      <c r="U104" s="84">
        <v>1</v>
      </c>
      <c r="V104" s="84">
        <v>0</v>
      </c>
      <c r="W104" s="84">
        <v>0</v>
      </c>
      <c r="X104" s="84">
        <v>0</v>
      </c>
      <c r="Y104" s="84">
        <v>0</v>
      </c>
      <c r="Z104" s="84">
        <v>1</v>
      </c>
      <c r="AA104" s="84">
        <v>1</v>
      </c>
      <c r="AB104" s="84">
        <v>1</v>
      </c>
      <c r="AC104" s="84">
        <v>1</v>
      </c>
      <c r="AD104" s="84">
        <v>1</v>
      </c>
      <c r="AE104" s="84">
        <v>1</v>
      </c>
      <c r="AF104" s="84">
        <v>1</v>
      </c>
      <c r="AG104" s="84">
        <v>1</v>
      </c>
      <c r="AH104" s="84">
        <v>0</v>
      </c>
      <c r="AI104" s="84">
        <v>0</v>
      </c>
      <c r="AJ104" s="84">
        <v>0</v>
      </c>
      <c r="AK104" s="84">
        <v>0</v>
      </c>
      <c r="AL104" s="84" cm="1">
        <f t="array" ref="AL1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4" s="84" cm="1">
        <f t="array" ref="AM1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4" s="84" cm="1">
        <f t="array" ref="AN1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4" s="84" cm="1">
        <f t="array" ref="AO1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4" s="84" cm="1">
        <f t="array" ref="AP1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" s="84" cm="1">
        <f t="array" ref="AQ1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4" s="84" cm="1">
        <f t="array" ref="AR1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04" s="84" cm="1">
        <f t="array" ref="AS1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4" s="84" cm="1">
        <f t="array" ref="AT1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04" s="84" cm="1">
        <f t="array" ref="AU1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4" s="84" cm="1">
        <f t="array" ref="AV1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04" s="84" cm="1">
        <f t="array" ref="AW1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4" s="84" cm="1">
        <f t="array" ref="AX1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04" s="84" cm="1">
        <f t="array" ref="AY1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" s="84" cm="1">
        <f t="array" ref="AZ1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4" s="84" cm="1">
        <f t="array" ref="BA1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" s="84" cm="1">
        <f t="array" ref="BB1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" s="84">
        <f>IF(SUM(Table3[[#This Row],[Column2]:[Column18]])&gt;Table3[[#This Row],[Column19]],Table3[[#This Row],[Column19]],SUM(Table3[[#This Row],[Column2]:[Column18]]))</f>
        <v>250000</v>
      </c>
      <c r="BD104" s="2">
        <f>Table3[[#This Row],[Total Spend]]/SUM(Table3[[#This Row],[Column2]:[Column18]])</f>
        <v>0.95785440613026818</v>
      </c>
    </row>
    <row r="105" spans="1:56">
      <c r="A105" s="84" t="s">
        <v>176</v>
      </c>
      <c r="B105" s="84" t="s">
        <v>57</v>
      </c>
      <c r="C105" s="84"/>
      <c r="D105" s="85">
        <v>45566</v>
      </c>
      <c r="E105" s="85" t="s">
        <v>58</v>
      </c>
      <c r="F105" s="84">
        <f>INDEX(Definitions!$G$13:$G$17,MATCH(Table3[[#This Row],[Propensity to buy/ buyer readiness]],Definitions!$A$13:$A$17,0))</f>
        <v>150000</v>
      </c>
      <c r="G105" s="86">
        <v>5</v>
      </c>
      <c r="H105" s="86">
        <v>5</v>
      </c>
      <c r="I105" s="86">
        <v>4</v>
      </c>
      <c r="J105" s="86">
        <v>4</v>
      </c>
      <c r="K105" s="86">
        <v>4</v>
      </c>
      <c r="L105" s="86">
        <f>SUM(Table3[[#This Row],[Strategic priority segment]:[Propensity to buy/ buyer readiness]])</f>
        <v>22</v>
      </c>
      <c r="M105" s="86" t="s">
        <v>102</v>
      </c>
      <c r="N105" s="84" t="s">
        <v>61</v>
      </c>
      <c r="O105" s="84"/>
      <c r="P105" s="87"/>
      <c r="Q105" s="87"/>
      <c r="R105" s="84"/>
      <c r="S105" s="84"/>
      <c r="T105" s="87"/>
      <c r="U105" s="84">
        <v>1</v>
      </c>
      <c r="V105" s="84">
        <v>0</v>
      </c>
      <c r="W105" s="84">
        <v>0</v>
      </c>
      <c r="X105" s="84">
        <v>0</v>
      </c>
      <c r="Y105" s="84">
        <v>0</v>
      </c>
      <c r="Z105" s="84">
        <v>1</v>
      </c>
      <c r="AA105" s="84">
        <v>1</v>
      </c>
      <c r="AB105" s="84">
        <v>1</v>
      </c>
      <c r="AC105" s="84">
        <v>1</v>
      </c>
      <c r="AD105" s="84">
        <v>0</v>
      </c>
      <c r="AE105" s="84">
        <v>0</v>
      </c>
      <c r="AF105" s="84">
        <v>0</v>
      </c>
      <c r="AG105" s="84">
        <v>0</v>
      </c>
      <c r="AH105" s="84">
        <v>0</v>
      </c>
      <c r="AI105" s="84">
        <v>0</v>
      </c>
      <c r="AJ105" s="84">
        <v>0</v>
      </c>
      <c r="AK105" s="84">
        <v>0</v>
      </c>
      <c r="AL105" s="84" cm="1">
        <f t="array" ref="AL1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5" s="84" cm="1">
        <f t="array" ref="AM1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" s="84" cm="1">
        <f t="array" ref="AN1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" s="84" cm="1">
        <f t="array" ref="AO1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" s="84" cm="1">
        <f t="array" ref="AP1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" s="84" cm="1">
        <f t="array" ref="AQ1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5" s="84" cm="1">
        <f t="array" ref="AR1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05" s="84" cm="1">
        <f t="array" ref="AS1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5" s="84" cm="1">
        <f t="array" ref="AT1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05" s="84" cm="1">
        <f t="array" ref="AU1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" s="84" cm="1">
        <f t="array" ref="AV1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" s="84" cm="1">
        <f t="array" ref="AW1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" s="84" cm="1">
        <f t="array" ref="AX1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" s="84" cm="1">
        <f t="array" ref="AY1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" s="84" cm="1">
        <f t="array" ref="AZ1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" s="84" cm="1">
        <f t="array" ref="BA1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" s="84" cm="1">
        <f t="array" ref="BB1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" s="84">
        <f>IF(SUM(Table3[[#This Row],[Column2]:[Column18]])&gt;Table3[[#This Row],[Column19]],Table3[[#This Row],[Column19]],SUM(Table3[[#This Row],[Column2]:[Column18]]))</f>
        <v>140400</v>
      </c>
      <c r="BD105" s="2">
        <f>Table3[[#This Row],[Total Spend]]/SUM(Table3[[#This Row],[Column2]:[Column18]])</f>
        <v>1</v>
      </c>
    </row>
    <row r="106" spans="1:56">
      <c r="A106" s="84" t="s">
        <v>177</v>
      </c>
      <c r="B106" s="84" t="s">
        <v>57</v>
      </c>
      <c r="C106" s="84"/>
      <c r="D106" s="85">
        <v>45566</v>
      </c>
      <c r="E106" s="85" t="s">
        <v>92</v>
      </c>
      <c r="F106" s="84">
        <f>INDEX(Definitions!$G$13:$G$17,MATCH(Table3[[#This Row],[Propensity to buy/ buyer readiness]],Definitions!$A$13:$A$17,0))</f>
        <v>150000</v>
      </c>
      <c r="G106" s="86">
        <v>5</v>
      </c>
      <c r="H106" s="86">
        <v>5</v>
      </c>
      <c r="I106" s="86">
        <v>4</v>
      </c>
      <c r="J106" s="86">
        <v>4</v>
      </c>
      <c r="K106" s="86">
        <v>4</v>
      </c>
      <c r="L106" s="86">
        <f>SUM(Table3[[#This Row],[Strategic priority segment]:[Propensity to buy/ buyer readiness]])</f>
        <v>22</v>
      </c>
      <c r="M106" s="86" t="s">
        <v>102</v>
      </c>
      <c r="N106" s="84" t="s">
        <v>61</v>
      </c>
      <c r="O106" s="84"/>
      <c r="P106" s="87"/>
      <c r="Q106" s="87"/>
      <c r="R106" s="84"/>
      <c r="S106" s="84"/>
      <c r="T106" s="84"/>
      <c r="U106" s="84">
        <v>1</v>
      </c>
      <c r="V106" s="84">
        <v>0</v>
      </c>
      <c r="W106" s="84">
        <v>0</v>
      </c>
      <c r="X106" s="84">
        <v>0</v>
      </c>
      <c r="Y106" s="84">
        <v>0</v>
      </c>
      <c r="Z106" s="84">
        <v>1</v>
      </c>
      <c r="AA106" s="84">
        <v>1</v>
      </c>
      <c r="AB106" s="84">
        <v>1</v>
      </c>
      <c r="AC106" s="84">
        <v>1</v>
      </c>
      <c r="AD106" s="84">
        <v>0</v>
      </c>
      <c r="AE106" s="84">
        <v>0</v>
      </c>
      <c r="AF106" s="84">
        <v>0</v>
      </c>
      <c r="AG106" s="84">
        <v>0</v>
      </c>
      <c r="AH106" s="84">
        <v>0</v>
      </c>
      <c r="AI106" s="84">
        <v>0</v>
      </c>
      <c r="AJ106" s="84">
        <v>0</v>
      </c>
      <c r="AK106" s="84">
        <v>0</v>
      </c>
      <c r="AL106" s="84" cm="1">
        <f t="array" ref="AL1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6" s="84" cm="1">
        <f t="array" ref="AM1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" s="84" cm="1">
        <f t="array" ref="AN1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" s="84" cm="1">
        <f t="array" ref="AO1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" s="84" cm="1">
        <f t="array" ref="AP1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" s="84" cm="1">
        <f t="array" ref="AQ1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6" s="84" cm="1">
        <f t="array" ref="AR1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6" s="84" cm="1">
        <f t="array" ref="AS1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6" s="84" cm="1">
        <f t="array" ref="AT1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6" s="84" cm="1">
        <f t="array" ref="AU1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6" s="84" cm="1">
        <f t="array" ref="AV1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" s="84" cm="1">
        <f t="array" ref="AW1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6" s="84" cm="1">
        <f t="array" ref="AX1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" s="84" cm="1">
        <f t="array" ref="AY1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" s="84" cm="1">
        <f t="array" ref="AZ1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" s="84" cm="1">
        <f t="array" ref="BA1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" s="84" cm="1">
        <f t="array" ref="BB1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" s="84">
        <f>IF(SUM(Table3[[#This Row],[Column2]:[Column18]])&gt;Table3[[#This Row],[Column19]],Table3[[#This Row],[Column19]],SUM(Table3[[#This Row],[Column2]:[Column18]]))</f>
        <v>101700</v>
      </c>
      <c r="BD106" s="2">
        <f>Table3[[#This Row],[Total Spend]]/SUM(Table3[[#This Row],[Column2]:[Column18]])</f>
        <v>1</v>
      </c>
    </row>
    <row r="107" spans="1:56">
      <c r="A107" s="84" t="s">
        <v>178</v>
      </c>
      <c r="B107" s="84" t="s">
        <v>57</v>
      </c>
      <c r="C107" s="84"/>
      <c r="D107" s="85">
        <v>45566</v>
      </c>
      <c r="E107" s="85" t="s">
        <v>92</v>
      </c>
      <c r="F107" s="84">
        <f>INDEX(Definitions!$G$13:$G$17,MATCH(Table3[[#This Row],[Propensity to buy/ buyer readiness]],Definitions!$A$13:$A$17,0))</f>
        <v>150000</v>
      </c>
      <c r="G107" s="86">
        <v>5</v>
      </c>
      <c r="H107" s="86">
        <v>5</v>
      </c>
      <c r="I107" s="86">
        <v>4</v>
      </c>
      <c r="J107" s="86">
        <v>4</v>
      </c>
      <c r="K107" s="86">
        <v>4</v>
      </c>
      <c r="L107" s="86">
        <f>SUM(Table3[[#This Row],[Strategic priority segment]:[Propensity to buy/ buyer readiness]])</f>
        <v>22</v>
      </c>
      <c r="M107" s="86" t="s">
        <v>102</v>
      </c>
      <c r="N107" s="84" t="s">
        <v>61</v>
      </c>
      <c r="O107" s="84" t="s">
        <v>62</v>
      </c>
      <c r="P107" s="87"/>
      <c r="Q107" s="87"/>
      <c r="R107" s="84"/>
      <c r="S107" s="84"/>
      <c r="T107" s="87"/>
      <c r="U107" s="84">
        <v>1</v>
      </c>
      <c r="V107" s="84">
        <v>0</v>
      </c>
      <c r="W107" s="84">
        <v>0</v>
      </c>
      <c r="X107" s="84">
        <v>0</v>
      </c>
      <c r="Y107" s="84">
        <v>0</v>
      </c>
      <c r="Z107" s="84">
        <v>1</v>
      </c>
      <c r="AA107" s="84">
        <v>1</v>
      </c>
      <c r="AB107" s="84">
        <v>1</v>
      </c>
      <c r="AC107" s="84">
        <v>1</v>
      </c>
      <c r="AD107" s="84">
        <v>1</v>
      </c>
      <c r="AE107" s="84">
        <v>1</v>
      </c>
      <c r="AF107" s="84">
        <v>1</v>
      </c>
      <c r="AG107" s="84">
        <v>1</v>
      </c>
      <c r="AH107" s="84">
        <v>0</v>
      </c>
      <c r="AI107" s="84">
        <v>0</v>
      </c>
      <c r="AJ107" s="84">
        <v>0</v>
      </c>
      <c r="AK107" s="84">
        <v>0</v>
      </c>
      <c r="AL107" s="84" cm="1">
        <f t="array" ref="AL1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7" s="84" cm="1">
        <f t="array" ref="AM1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" s="84" cm="1">
        <f t="array" ref="AN1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" s="84" cm="1">
        <f t="array" ref="AO1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" s="84" cm="1">
        <f t="array" ref="AP1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" s="84" cm="1">
        <f t="array" ref="AQ1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7" s="84" cm="1">
        <f t="array" ref="AR1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7" s="84" cm="1">
        <f t="array" ref="AS1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7" s="84" cm="1">
        <f t="array" ref="AT1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7" s="84" cm="1">
        <f t="array" ref="AU1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7" s="84" cm="1">
        <f t="array" ref="AV1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07" s="84" cm="1">
        <f t="array" ref="AW1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7" s="84" cm="1">
        <f t="array" ref="AX1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07" s="84" cm="1">
        <f t="array" ref="AY1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" s="84" cm="1">
        <f t="array" ref="AZ1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7" s="84" cm="1">
        <f t="array" ref="BA1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" s="84" cm="1">
        <f t="array" ref="BB1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" s="84">
        <f>IF(SUM(Table3[[#This Row],[Column2]:[Column18]])&gt;Table3[[#This Row],[Column19]],Table3[[#This Row],[Column19]],SUM(Table3[[#This Row],[Column2]:[Column18]]))</f>
        <v>150000</v>
      </c>
      <c r="BD107" s="2">
        <f>Table3[[#This Row],[Total Spend]]/SUM(Table3[[#This Row],[Column2]:[Column18]])</f>
        <v>0.79936051159072741</v>
      </c>
    </row>
    <row r="108" spans="1:56">
      <c r="A108" s="84" t="s">
        <v>179</v>
      </c>
      <c r="B108" s="84" t="s">
        <v>57</v>
      </c>
      <c r="C108" s="84"/>
      <c r="D108" s="85">
        <v>45566</v>
      </c>
      <c r="E108" s="85" t="s">
        <v>92</v>
      </c>
      <c r="F108" s="84">
        <f>INDEX(Definitions!$G$13:$G$17,MATCH(Table3[[#This Row],[Propensity to buy/ buyer readiness]],Definitions!$A$13:$A$17,0))</f>
        <v>150000</v>
      </c>
      <c r="G108" s="86">
        <v>5</v>
      </c>
      <c r="H108" s="86">
        <v>4</v>
      </c>
      <c r="I108" s="86">
        <v>5</v>
      </c>
      <c r="J108" s="86">
        <v>4</v>
      </c>
      <c r="K108" s="86">
        <v>4</v>
      </c>
      <c r="L108" s="86">
        <f>SUM(Table3[[#This Row],[Strategic priority segment]:[Propensity to buy/ buyer readiness]])</f>
        <v>22</v>
      </c>
      <c r="M108" s="86" t="s">
        <v>59</v>
      </c>
      <c r="N108" s="84" t="s">
        <v>63</v>
      </c>
      <c r="O108" s="84" t="s">
        <v>60</v>
      </c>
      <c r="P108" s="87"/>
      <c r="Q108" s="87"/>
      <c r="R108" s="84"/>
      <c r="S108" s="84"/>
      <c r="T108" s="87"/>
      <c r="U108" s="84">
        <v>1</v>
      </c>
      <c r="V108" s="84">
        <v>1</v>
      </c>
      <c r="W108" s="84">
        <v>1</v>
      </c>
      <c r="X108" s="84">
        <v>1</v>
      </c>
      <c r="Y108" s="84">
        <v>1</v>
      </c>
      <c r="Z108" s="84">
        <v>0</v>
      </c>
      <c r="AA108" s="84">
        <v>1</v>
      </c>
      <c r="AB108" s="84">
        <v>0</v>
      </c>
      <c r="AC108" s="84">
        <v>0</v>
      </c>
      <c r="AD108" s="84">
        <v>1</v>
      </c>
      <c r="AE108" s="84">
        <v>1</v>
      </c>
      <c r="AF108" s="84">
        <v>1</v>
      </c>
      <c r="AG108" s="84">
        <v>0</v>
      </c>
      <c r="AH108" s="84">
        <v>0</v>
      </c>
      <c r="AI108" s="84">
        <v>0</v>
      </c>
      <c r="AJ108" s="84">
        <v>0</v>
      </c>
      <c r="AK108" s="84">
        <v>0</v>
      </c>
      <c r="AL108" s="84" cm="1">
        <f t="array" ref="AL1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" s="84" cm="1">
        <f t="array" ref="AM1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8" s="84" cm="1">
        <f t="array" ref="AN1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8" s="84" cm="1">
        <f t="array" ref="AO1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8" s="84" cm="1">
        <f t="array" ref="AP1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08" s="84" cm="1">
        <f t="array" ref="AQ1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" s="84" cm="1">
        <f t="array" ref="AR1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8" s="84" cm="1">
        <f t="array" ref="AS1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" s="84" cm="1">
        <f t="array" ref="AT1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" s="84" cm="1">
        <f t="array" ref="AU1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8" s="84" cm="1">
        <f t="array" ref="AV1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08" s="84" cm="1">
        <f t="array" ref="AW1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8" s="84" cm="1">
        <f t="array" ref="AX1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" s="84" cm="1">
        <f t="array" ref="AY1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" s="84" cm="1">
        <f t="array" ref="AZ1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8" s="84" cm="1">
        <f t="array" ref="BA1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" s="84" cm="1">
        <f t="array" ref="BB1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" s="84">
        <f>IF(SUM(Table3[[#This Row],[Column2]:[Column18]])&gt;Table3[[#This Row],[Column19]],Table3[[#This Row],[Column19]],SUM(Table3[[#This Row],[Column2]:[Column18]]))</f>
        <v>150000</v>
      </c>
      <c r="BD108" s="2">
        <f>Table3[[#This Row],[Total Spend]]/SUM(Table3[[#This Row],[Column2]:[Column18]])</f>
        <v>0.62073246430788331</v>
      </c>
    </row>
    <row r="109" spans="1:56">
      <c r="A109" s="88" t="s">
        <v>180</v>
      </c>
      <c r="B109" s="88"/>
      <c r="C109" s="88"/>
      <c r="D109" s="85">
        <v>45566</v>
      </c>
      <c r="E109" s="85" t="s">
        <v>58</v>
      </c>
      <c r="F109" s="84">
        <f>INDEX(Definitions!$G$13:$G$17,MATCH(Table3[[#This Row],[Propensity to buy/ buyer readiness]],Definitions!$A$13:$A$17,0))</f>
        <v>250000</v>
      </c>
      <c r="G109" s="86">
        <v>5</v>
      </c>
      <c r="H109" s="86">
        <v>5</v>
      </c>
      <c r="I109" s="86">
        <v>3</v>
      </c>
      <c r="J109" s="86">
        <v>4</v>
      </c>
      <c r="K109" s="86">
        <v>5</v>
      </c>
      <c r="L109" s="86">
        <f>SUM(Table3[[#This Row],[Strategic priority segment]:[Propensity to buy/ buyer readiness]])</f>
        <v>22</v>
      </c>
      <c r="M109" s="86" t="s">
        <v>102</v>
      </c>
      <c r="N109" s="84" t="s">
        <v>61</v>
      </c>
      <c r="O109" s="84" t="s">
        <v>62</v>
      </c>
      <c r="P109" s="87"/>
      <c r="Q109" s="87"/>
      <c r="R109" s="84"/>
      <c r="S109" s="87"/>
      <c r="T109" s="87"/>
      <c r="U109" s="84">
        <v>1</v>
      </c>
      <c r="V109" s="84">
        <v>0</v>
      </c>
      <c r="W109" s="84">
        <v>0</v>
      </c>
      <c r="X109" s="84">
        <v>0</v>
      </c>
      <c r="Y109" s="84">
        <v>0</v>
      </c>
      <c r="Z109" s="84">
        <v>1</v>
      </c>
      <c r="AA109" s="84">
        <v>1</v>
      </c>
      <c r="AB109" s="84">
        <v>1</v>
      </c>
      <c r="AC109" s="84">
        <v>1</v>
      </c>
      <c r="AD109" s="84">
        <v>1</v>
      </c>
      <c r="AE109" s="84">
        <v>1</v>
      </c>
      <c r="AF109" s="84">
        <v>1</v>
      </c>
      <c r="AG109" s="84">
        <v>1</v>
      </c>
      <c r="AH109" s="84">
        <v>0</v>
      </c>
      <c r="AI109" s="84">
        <v>0</v>
      </c>
      <c r="AJ109" s="84">
        <v>0</v>
      </c>
      <c r="AK109" s="84">
        <v>0</v>
      </c>
      <c r="AL109" s="84" cm="1">
        <f t="array" ref="AL1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9" s="84" cm="1">
        <f t="array" ref="AM1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" s="84" cm="1">
        <f t="array" ref="AN1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" s="84" cm="1">
        <f t="array" ref="AO1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" s="84" cm="1">
        <f t="array" ref="AP1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" s="84" cm="1">
        <f t="array" ref="AQ1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9" s="84" cm="1">
        <f t="array" ref="AR1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09" s="84" cm="1">
        <f t="array" ref="AS1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9" s="84" cm="1">
        <f t="array" ref="AT1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09" s="84" cm="1">
        <f t="array" ref="AU1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9" s="84" cm="1">
        <f t="array" ref="AV1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09" s="84" cm="1">
        <f t="array" ref="AW1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9" s="84" cm="1">
        <f t="array" ref="AX1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09" s="84" cm="1">
        <f t="array" ref="AY1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" s="84" cm="1">
        <f t="array" ref="AZ1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" s="84" cm="1">
        <f t="array" ref="BA1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" s="84" cm="1">
        <f t="array" ref="BB1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" s="84">
        <f>IF(SUM(Table3[[#This Row],[Column2]:[Column18]])&gt;Table3[[#This Row],[Column19]],Table3[[#This Row],[Column19]],SUM(Table3[[#This Row],[Column2]:[Column18]]))</f>
        <v>250000</v>
      </c>
      <c r="BD109" s="2">
        <f>Table3[[#This Row],[Total Spend]]/SUM(Table3[[#This Row],[Column2]:[Column18]])</f>
        <v>0.95785440613026818</v>
      </c>
    </row>
    <row r="110" spans="1:56">
      <c r="A110" s="84" t="s">
        <v>181</v>
      </c>
      <c r="B110" s="84" t="s">
        <v>57</v>
      </c>
      <c r="C110" s="84"/>
      <c r="D110" s="85">
        <v>45566</v>
      </c>
      <c r="E110" s="85" t="s">
        <v>92</v>
      </c>
      <c r="F110" s="84">
        <f>INDEX(Definitions!$G$13:$G$17,MATCH(Table3[[#This Row],[Propensity to buy/ buyer readiness]],Definitions!$A$13:$A$17,0))</f>
        <v>50000</v>
      </c>
      <c r="G110" s="86">
        <v>5</v>
      </c>
      <c r="H110" s="86">
        <v>4</v>
      </c>
      <c r="I110" s="86">
        <v>5</v>
      </c>
      <c r="J110" s="86">
        <v>5</v>
      </c>
      <c r="K110" s="86">
        <v>3</v>
      </c>
      <c r="L110" s="86">
        <f>SUM(Table3[[#This Row],[Strategic priority segment]:[Propensity to buy/ buyer readiness]])</f>
        <v>22</v>
      </c>
      <c r="M110" s="86" t="s">
        <v>59</v>
      </c>
      <c r="N110" s="84" t="s">
        <v>60</v>
      </c>
      <c r="O110" s="84"/>
      <c r="P110" s="87"/>
      <c r="Q110" s="87"/>
      <c r="R110" s="84"/>
      <c r="S110" s="84"/>
      <c r="T110" s="84"/>
      <c r="U110" s="84">
        <v>1</v>
      </c>
      <c r="V110" s="84">
        <v>1</v>
      </c>
      <c r="W110" s="84">
        <v>1</v>
      </c>
      <c r="X110" s="84">
        <v>1</v>
      </c>
      <c r="Y110" s="84">
        <v>1</v>
      </c>
      <c r="Z110" s="84">
        <v>0</v>
      </c>
      <c r="AA110" s="84">
        <v>0</v>
      </c>
      <c r="AB110" s="84">
        <v>0</v>
      </c>
      <c r="AC110" s="84">
        <v>0</v>
      </c>
      <c r="AD110" s="84">
        <v>1</v>
      </c>
      <c r="AE110" s="84">
        <v>0</v>
      </c>
      <c r="AF110" s="84">
        <v>0</v>
      </c>
      <c r="AG110" s="84">
        <v>0</v>
      </c>
      <c r="AH110" s="84">
        <v>0</v>
      </c>
      <c r="AI110" s="84">
        <v>0</v>
      </c>
      <c r="AJ110" s="84">
        <v>0</v>
      </c>
      <c r="AK110" s="84">
        <v>0</v>
      </c>
      <c r="AL110" s="84" cm="1">
        <f t="array" ref="AL1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0" s="84" cm="1">
        <f t="array" ref="AM1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0" s="84" cm="1">
        <f t="array" ref="AN1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0" s="84" cm="1">
        <f t="array" ref="AO1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0" s="84" cm="1">
        <f t="array" ref="AP1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10" s="84" cm="1">
        <f t="array" ref="AQ1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0" s="84" cm="1">
        <f t="array" ref="AR1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" s="84" cm="1">
        <f t="array" ref="AS1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0" s="84" cm="1">
        <f t="array" ref="AT1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" s="84" cm="1">
        <f t="array" ref="AU1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0" s="84" cm="1">
        <f t="array" ref="AV1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" s="84" cm="1">
        <f t="array" ref="AW1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0" s="84" cm="1">
        <f t="array" ref="AX1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" s="84" cm="1">
        <f t="array" ref="AY1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" s="84" cm="1">
        <f t="array" ref="AZ1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" s="84" cm="1">
        <f t="array" ref="BA1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" s="84" cm="1">
        <f t="array" ref="BB1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" s="84">
        <f>IF(SUM(Table3[[#This Row],[Column2]:[Column18]])&gt;Table3[[#This Row],[Column19]],Table3[[#This Row],[Column19]],SUM(Table3[[#This Row],[Column2]:[Column18]]))</f>
        <v>50000</v>
      </c>
      <c r="BD110" s="2">
        <f>Table3[[#This Row],[Total Spend]]/SUM(Table3[[#This Row],[Column2]:[Column18]])</f>
        <v>0.26709401709401709</v>
      </c>
    </row>
    <row r="111" spans="1:56">
      <c r="A111" s="84" t="s">
        <v>182</v>
      </c>
      <c r="B111" s="84" t="s">
        <v>57</v>
      </c>
      <c r="C111" s="84"/>
      <c r="D111" s="85">
        <v>45566</v>
      </c>
      <c r="E111" s="85" t="s">
        <v>92</v>
      </c>
      <c r="F111" s="84">
        <f>INDEX(Definitions!$G$13:$G$17,MATCH(Table3[[#This Row],[Propensity to buy/ buyer readiness]],Definitions!$A$13:$A$17,0))</f>
        <v>50000</v>
      </c>
      <c r="G111" s="86">
        <v>5</v>
      </c>
      <c r="H111" s="86">
        <v>4</v>
      </c>
      <c r="I111" s="86">
        <v>5</v>
      </c>
      <c r="J111" s="86">
        <v>5</v>
      </c>
      <c r="K111" s="86">
        <v>3</v>
      </c>
      <c r="L111" s="86">
        <f>SUM(Table3[[#This Row],[Strategic priority segment]:[Propensity to buy/ buyer readiness]])</f>
        <v>22</v>
      </c>
      <c r="M111" s="86" t="s">
        <v>59</v>
      </c>
      <c r="N111" s="84" t="s">
        <v>60</v>
      </c>
      <c r="O111" s="84"/>
      <c r="P111" s="87"/>
      <c r="Q111" s="87"/>
      <c r="R111" s="84"/>
      <c r="S111" s="84"/>
      <c r="T111" s="87"/>
      <c r="U111" s="84">
        <v>1</v>
      </c>
      <c r="V111" s="84">
        <v>1</v>
      </c>
      <c r="W111" s="84">
        <v>1</v>
      </c>
      <c r="X111" s="84">
        <v>1</v>
      </c>
      <c r="Y111" s="84">
        <v>1</v>
      </c>
      <c r="Z111" s="84">
        <v>0</v>
      </c>
      <c r="AA111" s="84">
        <v>0</v>
      </c>
      <c r="AB111" s="84">
        <v>0</v>
      </c>
      <c r="AC111" s="84">
        <v>0</v>
      </c>
      <c r="AD111" s="84">
        <v>1</v>
      </c>
      <c r="AE111" s="84">
        <v>0</v>
      </c>
      <c r="AF111" s="84">
        <v>0</v>
      </c>
      <c r="AG111" s="84">
        <v>0</v>
      </c>
      <c r="AH111" s="84">
        <v>0</v>
      </c>
      <c r="AI111" s="84">
        <v>0</v>
      </c>
      <c r="AJ111" s="84">
        <v>0</v>
      </c>
      <c r="AK111" s="84">
        <v>0</v>
      </c>
      <c r="AL111" s="84" cm="1">
        <f t="array" ref="AL1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" s="84" cm="1">
        <f t="array" ref="AM1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" s="84" cm="1">
        <f t="array" ref="AN1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" s="84" cm="1">
        <f t="array" ref="AO1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" s="84" cm="1">
        <f t="array" ref="AP1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11" s="84" cm="1">
        <f t="array" ref="AQ1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" s="84" cm="1">
        <f t="array" ref="AR1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" s="84" cm="1">
        <f t="array" ref="AS1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" s="84" cm="1">
        <f t="array" ref="AT1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" s="84" cm="1">
        <f t="array" ref="AU1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1" s="84" cm="1">
        <f t="array" ref="AV1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" s="84" cm="1">
        <f t="array" ref="AW1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" s="84" cm="1">
        <f t="array" ref="AX1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" s="84" cm="1">
        <f t="array" ref="AY1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" s="84" cm="1">
        <f t="array" ref="AZ1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1" s="84" cm="1">
        <f t="array" ref="BA1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" s="84" cm="1">
        <f t="array" ref="BB1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" s="84">
        <f>IF(SUM(Table3[[#This Row],[Column2]:[Column18]])&gt;Table3[[#This Row],[Column19]],Table3[[#This Row],[Column19]],SUM(Table3[[#This Row],[Column2]:[Column18]]))</f>
        <v>50000</v>
      </c>
      <c r="BD111" s="2">
        <f>Table3[[#This Row],[Total Spend]]/SUM(Table3[[#This Row],[Column2]:[Column18]])</f>
        <v>0.26709401709401709</v>
      </c>
    </row>
    <row r="112" spans="1:56" ht="28.5">
      <c r="A112" s="87" t="s">
        <v>183</v>
      </c>
      <c r="B112" s="87"/>
      <c r="C112" s="87" t="s">
        <v>57</v>
      </c>
      <c r="D112" s="85">
        <v>45566</v>
      </c>
      <c r="E112" s="85" t="s">
        <v>92</v>
      </c>
      <c r="F112" s="84">
        <f>INDEX(Definitions!$G$13:$G$17,MATCH(Table3[[#This Row],[Propensity to buy/ buyer readiness]],Definitions!$A$13:$A$17,0))</f>
        <v>150000</v>
      </c>
      <c r="G112" s="86">
        <v>5</v>
      </c>
      <c r="H112" s="86">
        <v>5</v>
      </c>
      <c r="I112" s="86">
        <v>4</v>
      </c>
      <c r="J112" s="86">
        <v>4</v>
      </c>
      <c r="K112" s="86">
        <v>4</v>
      </c>
      <c r="L112" s="86">
        <f>SUM(Table3[[#This Row],[Strategic priority segment]:[Propensity to buy/ buyer readiness]])</f>
        <v>22</v>
      </c>
      <c r="M112" s="86" t="s">
        <v>102</v>
      </c>
      <c r="N112" s="84" t="s">
        <v>61</v>
      </c>
      <c r="O112" s="87" t="s">
        <v>122</v>
      </c>
      <c r="P112" s="87" t="s">
        <v>62</v>
      </c>
      <c r="Q112" s="87"/>
      <c r="R112" s="84"/>
      <c r="S112" s="87"/>
      <c r="T112" s="87"/>
      <c r="U112" s="84">
        <v>1</v>
      </c>
      <c r="V112" s="84">
        <v>0</v>
      </c>
      <c r="W112" s="84">
        <v>0</v>
      </c>
      <c r="X112" s="84">
        <v>0</v>
      </c>
      <c r="Y112" s="84">
        <v>0</v>
      </c>
      <c r="Z112" s="84">
        <v>1</v>
      </c>
      <c r="AA112" s="84">
        <v>1</v>
      </c>
      <c r="AB112" s="84">
        <v>1</v>
      </c>
      <c r="AC112" s="84">
        <v>1</v>
      </c>
      <c r="AD112" s="84">
        <v>1</v>
      </c>
      <c r="AE112" s="84">
        <v>1</v>
      </c>
      <c r="AF112" s="84">
        <v>1</v>
      </c>
      <c r="AG112" s="84">
        <v>1</v>
      </c>
      <c r="AH112" s="84">
        <v>0</v>
      </c>
      <c r="AI112" s="84">
        <v>0</v>
      </c>
      <c r="AJ112" s="84">
        <v>0</v>
      </c>
      <c r="AK112" s="84">
        <v>0</v>
      </c>
      <c r="AL112" s="84" cm="1">
        <f t="array" ref="AL1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" s="84" cm="1">
        <f t="array" ref="AM1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2" s="84" cm="1">
        <f t="array" ref="AN1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2" s="84" cm="1">
        <f t="array" ref="AO1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2" s="84" cm="1">
        <f t="array" ref="AP1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" s="84" cm="1">
        <f t="array" ref="AQ1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2" s="84" cm="1">
        <f t="array" ref="AR1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2" s="84" cm="1">
        <f t="array" ref="AS1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2" s="84" cm="1">
        <f t="array" ref="AT1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2" s="84" cm="1">
        <f t="array" ref="AU1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2" s="84" cm="1">
        <f t="array" ref="AV1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12" s="84" cm="1">
        <f t="array" ref="AW1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2" s="84" cm="1">
        <f t="array" ref="AX1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12" s="84" cm="1">
        <f t="array" ref="AY1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" s="84" cm="1">
        <f t="array" ref="AZ1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2" s="84" cm="1">
        <f t="array" ref="BA1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" s="84" cm="1">
        <f t="array" ref="BB1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" s="84">
        <f>IF(SUM(Table3[[#This Row],[Column2]:[Column18]])&gt;Table3[[#This Row],[Column19]],Table3[[#This Row],[Column19]],SUM(Table3[[#This Row],[Column2]:[Column18]]))</f>
        <v>150000</v>
      </c>
      <c r="BD112" s="2">
        <f>Table3[[#This Row],[Total Spend]]/SUM(Table3[[#This Row],[Column2]:[Column18]])</f>
        <v>0.79936051159072741</v>
      </c>
    </row>
    <row r="113" spans="1:56">
      <c r="A113" s="84" t="s">
        <v>184</v>
      </c>
      <c r="B113" s="84"/>
      <c r="C113" s="84" t="s">
        <v>57</v>
      </c>
      <c r="D113" s="85">
        <v>45809</v>
      </c>
      <c r="E113" s="85" t="s">
        <v>92</v>
      </c>
      <c r="F113" s="84">
        <f>INDEX(Definitions!$G$13:$G$17,MATCH(Table3[[#This Row],[Propensity to buy/ buyer readiness]],Definitions!$A$13:$A$17,0))</f>
        <v>150000</v>
      </c>
      <c r="G113" s="86">
        <v>5</v>
      </c>
      <c r="H113" s="86">
        <v>5</v>
      </c>
      <c r="I113" s="86">
        <v>4</v>
      </c>
      <c r="J113" s="86">
        <v>4</v>
      </c>
      <c r="K113" s="86">
        <v>4</v>
      </c>
      <c r="L113" s="86">
        <f>SUM(Table3[[#This Row],[Strategic priority segment]:[Propensity to buy/ buyer readiness]])</f>
        <v>22</v>
      </c>
      <c r="M113" s="86" t="s">
        <v>102</v>
      </c>
      <c r="N113" s="84" t="s">
        <v>61</v>
      </c>
      <c r="O113" s="84" t="s">
        <v>62</v>
      </c>
      <c r="P113" s="84"/>
      <c r="Q113" s="84"/>
      <c r="R113" s="84"/>
      <c r="S113" s="84"/>
      <c r="T113" s="87"/>
      <c r="U113" s="84">
        <v>1</v>
      </c>
      <c r="V113" s="84">
        <v>0</v>
      </c>
      <c r="W113" s="84">
        <v>0</v>
      </c>
      <c r="X113" s="84">
        <v>0</v>
      </c>
      <c r="Y113" s="84">
        <v>0</v>
      </c>
      <c r="Z113" s="84">
        <v>1</v>
      </c>
      <c r="AA113" s="84">
        <v>1</v>
      </c>
      <c r="AB113" s="84">
        <v>1</v>
      </c>
      <c r="AC113" s="84">
        <v>1</v>
      </c>
      <c r="AD113" s="84">
        <v>1</v>
      </c>
      <c r="AE113" s="84">
        <v>1</v>
      </c>
      <c r="AF113" s="84">
        <v>1</v>
      </c>
      <c r="AG113" s="84">
        <v>1</v>
      </c>
      <c r="AH113" s="84">
        <v>0</v>
      </c>
      <c r="AI113" s="84">
        <v>0</v>
      </c>
      <c r="AJ113" s="84">
        <v>0</v>
      </c>
      <c r="AK113" s="84">
        <v>0</v>
      </c>
      <c r="AL113" s="84" cm="1">
        <f t="array" ref="AL1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" s="84" cm="1">
        <f t="array" ref="AM1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" s="84" cm="1">
        <f t="array" ref="AN1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" s="84" cm="1">
        <f t="array" ref="AO1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" s="84" cm="1">
        <f t="array" ref="AP1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" s="84" cm="1">
        <f t="array" ref="AQ1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3" s="84" cm="1">
        <f t="array" ref="AR1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3" s="84" cm="1">
        <f t="array" ref="AS1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3" s="84" cm="1">
        <f t="array" ref="AT1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3" s="84" cm="1">
        <f t="array" ref="AU1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3" s="84" cm="1">
        <f t="array" ref="AV1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13" s="84" cm="1">
        <f t="array" ref="AW1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3" s="84" cm="1">
        <f t="array" ref="AX1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13" s="84" cm="1">
        <f t="array" ref="AY1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" s="84" cm="1">
        <f t="array" ref="AZ1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3" s="84" cm="1">
        <f t="array" ref="BA1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" s="84" cm="1">
        <f t="array" ref="BB1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" s="84">
        <f>IF(SUM(Table3[[#This Row],[Column2]:[Column18]])&gt;Table3[[#This Row],[Column19]],Table3[[#This Row],[Column19]],SUM(Table3[[#This Row],[Column2]:[Column18]]))</f>
        <v>150000</v>
      </c>
      <c r="BD113" s="2">
        <f>Table3[[#This Row],[Total Spend]]/SUM(Table3[[#This Row],[Column2]:[Column18]])</f>
        <v>0.79936051159072741</v>
      </c>
    </row>
    <row r="114" spans="1:56">
      <c r="A114" s="84" t="s">
        <v>185</v>
      </c>
      <c r="B114" s="84" t="s">
        <v>57</v>
      </c>
      <c r="C114" s="84" t="s">
        <v>57</v>
      </c>
      <c r="D114" s="85">
        <v>45566</v>
      </c>
      <c r="E114" s="85" t="s">
        <v>92</v>
      </c>
      <c r="F114" s="84">
        <f>INDEX(Definitions!$G$13:$G$17,MATCH(Table3[[#This Row],[Propensity to buy/ buyer readiness]],Definitions!$A$13:$A$17,0))</f>
        <v>50000</v>
      </c>
      <c r="G114" s="86">
        <v>5</v>
      </c>
      <c r="H114" s="86">
        <v>5</v>
      </c>
      <c r="I114" s="86">
        <v>4</v>
      </c>
      <c r="J114" s="86">
        <v>4</v>
      </c>
      <c r="K114" s="86">
        <v>3</v>
      </c>
      <c r="L114" s="86">
        <f>SUM(Table3[[#This Row],[Strategic priority segment]:[Propensity to buy/ buyer readiness]])</f>
        <v>21</v>
      </c>
      <c r="M114" s="86" t="s">
        <v>102</v>
      </c>
      <c r="N114" s="84" t="s">
        <v>61</v>
      </c>
      <c r="O114" s="84"/>
      <c r="P114" s="87"/>
      <c r="Q114" s="87"/>
      <c r="R114" s="84"/>
      <c r="S114" s="87"/>
      <c r="T114" s="87"/>
      <c r="U114" s="84">
        <v>1</v>
      </c>
      <c r="V114" s="84">
        <v>0</v>
      </c>
      <c r="W114" s="84">
        <v>0</v>
      </c>
      <c r="X114" s="84">
        <v>0</v>
      </c>
      <c r="Y114" s="84">
        <v>0</v>
      </c>
      <c r="Z114" s="84">
        <v>1</v>
      </c>
      <c r="AA114" s="84">
        <v>1</v>
      </c>
      <c r="AB114" s="84">
        <v>1</v>
      </c>
      <c r="AC114" s="84">
        <v>1</v>
      </c>
      <c r="AD114" s="84">
        <v>0</v>
      </c>
      <c r="AE114" s="84">
        <v>0</v>
      </c>
      <c r="AF114" s="84">
        <v>0</v>
      </c>
      <c r="AG114" s="84">
        <v>0</v>
      </c>
      <c r="AH114" s="84">
        <v>0</v>
      </c>
      <c r="AI114" s="84">
        <v>0</v>
      </c>
      <c r="AJ114" s="84">
        <v>0</v>
      </c>
      <c r="AK114" s="84">
        <v>0</v>
      </c>
      <c r="AL114" s="84" cm="1">
        <f t="array" ref="AL1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" s="84" cm="1">
        <f t="array" ref="AM1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4" s="84" cm="1">
        <f t="array" ref="AN1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4" s="84" cm="1">
        <f t="array" ref="AO1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4" s="84" cm="1">
        <f t="array" ref="AP1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" s="84" cm="1">
        <f t="array" ref="AQ1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4" s="84" cm="1">
        <f t="array" ref="AR1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4" s="84" cm="1">
        <f t="array" ref="AS1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4" s="84" cm="1">
        <f t="array" ref="AT1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4" s="84" cm="1">
        <f t="array" ref="AU1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" s="84" cm="1">
        <f t="array" ref="AV1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" s="84" cm="1">
        <f t="array" ref="AW1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" s="84" cm="1">
        <f t="array" ref="AX1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" s="84" cm="1">
        <f t="array" ref="AY1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" s="84" cm="1">
        <f t="array" ref="AZ1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4" s="84" cm="1">
        <f t="array" ref="BA1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" s="84" cm="1">
        <f t="array" ref="BB1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" s="84">
        <f>IF(SUM(Table3[[#This Row],[Column2]:[Column18]])&gt;Table3[[#This Row],[Column19]],Table3[[#This Row],[Column19]],SUM(Table3[[#This Row],[Column2]:[Column18]]))</f>
        <v>50000</v>
      </c>
      <c r="BD114" s="2">
        <f>Table3[[#This Row],[Total Spend]]/SUM(Table3[[#This Row],[Column2]:[Column18]])</f>
        <v>0.49164208456243852</v>
      </c>
    </row>
    <row r="115" spans="1:56">
      <c r="A115" s="84" t="s">
        <v>186</v>
      </c>
      <c r="B115" s="84"/>
      <c r="C115" s="84" t="s">
        <v>57</v>
      </c>
      <c r="D115" s="85">
        <v>45566</v>
      </c>
      <c r="E115" s="85" t="s">
        <v>92</v>
      </c>
      <c r="F115" s="84">
        <f>INDEX(Definitions!$G$13:$G$17,MATCH(Table3[[#This Row],[Propensity to buy/ buyer readiness]],Definitions!$A$13:$A$17,0))</f>
        <v>50000</v>
      </c>
      <c r="G115" s="86">
        <v>5</v>
      </c>
      <c r="H115" s="86">
        <v>5</v>
      </c>
      <c r="I115" s="86">
        <v>4</v>
      </c>
      <c r="J115" s="86">
        <v>4</v>
      </c>
      <c r="K115" s="86">
        <v>3</v>
      </c>
      <c r="L115" s="86">
        <f>SUM(Table3[[#This Row],[Strategic priority segment]:[Propensity to buy/ buyer readiness]])</f>
        <v>21</v>
      </c>
      <c r="M115" s="86" t="s">
        <v>102</v>
      </c>
      <c r="N115" s="84" t="s">
        <v>61</v>
      </c>
      <c r="O115" s="84"/>
      <c r="P115" s="87"/>
      <c r="Q115" s="87"/>
      <c r="R115" s="84"/>
      <c r="S115" s="87"/>
      <c r="T115" s="87"/>
      <c r="U115" s="84">
        <v>1</v>
      </c>
      <c r="V115" s="84">
        <v>0</v>
      </c>
      <c r="W115" s="84">
        <v>0</v>
      </c>
      <c r="X115" s="84">
        <v>0</v>
      </c>
      <c r="Y115" s="84">
        <v>0</v>
      </c>
      <c r="Z115" s="84">
        <v>1</v>
      </c>
      <c r="AA115" s="84">
        <v>1</v>
      </c>
      <c r="AB115" s="84">
        <v>1</v>
      </c>
      <c r="AC115" s="84">
        <v>1</v>
      </c>
      <c r="AD115" s="84">
        <v>0</v>
      </c>
      <c r="AE115" s="84">
        <v>0</v>
      </c>
      <c r="AF115" s="84">
        <v>0</v>
      </c>
      <c r="AG115" s="84">
        <v>0</v>
      </c>
      <c r="AH115" s="84">
        <v>0</v>
      </c>
      <c r="AI115" s="84">
        <v>0</v>
      </c>
      <c r="AJ115" s="84">
        <v>0</v>
      </c>
      <c r="AK115" s="84">
        <v>0</v>
      </c>
      <c r="AL115" s="84" cm="1">
        <f t="array" ref="AL1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" s="84" cm="1">
        <f t="array" ref="AM1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" s="84" cm="1">
        <f t="array" ref="AN1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" s="84" cm="1">
        <f t="array" ref="AO1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" s="84" cm="1">
        <f t="array" ref="AP1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" s="84" cm="1">
        <f t="array" ref="AQ1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5" s="84" cm="1">
        <f t="array" ref="AR1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5" s="84" cm="1">
        <f t="array" ref="AS1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5" s="84" cm="1">
        <f t="array" ref="AT1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5" s="84" cm="1">
        <f t="array" ref="AU1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" s="84" cm="1">
        <f t="array" ref="AV1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" s="84" cm="1">
        <f t="array" ref="AW1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" s="84" cm="1">
        <f t="array" ref="AX1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" s="84" cm="1">
        <f t="array" ref="AY1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" s="84" cm="1">
        <f t="array" ref="AZ1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" s="84" cm="1">
        <f t="array" ref="BA1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" s="84" cm="1">
        <f t="array" ref="BB1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" s="84">
        <f>IF(SUM(Table3[[#This Row],[Column2]:[Column18]])&gt;Table3[[#This Row],[Column19]],Table3[[#This Row],[Column19]],SUM(Table3[[#This Row],[Column2]:[Column18]]))</f>
        <v>50000</v>
      </c>
      <c r="BD115" s="2">
        <f>Table3[[#This Row],[Total Spend]]/SUM(Table3[[#This Row],[Column2]:[Column18]])</f>
        <v>0.49164208456243852</v>
      </c>
    </row>
    <row r="116" spans="1:56">
      <c r="A116" s="84" t="s">
        <v>187</v>
      </c>
      <c r="B116" s="84" t="s">
        <v>57</v>
      </c>
      <c r="C116" s="84"/>
      <c r="D116" s="85">
        <v>45566</v>
      </c>
      <c r="E116" s="85" t="s">
        <v>92</v>
      </c>
      <c r="F116" s="84">
        <f>INDEX(Definitions!$G$13:$G$17,MATCH(Table3[[#This Row],[Propensity to buy/ buyer readiness]],Definitions!$A$13:$A$17,0))</f>
        <v>50000</v>
      </c>
      <c r="G116" s="86">
        <v>5</v>
      </c>
      <c r="H116" s="86">
        <v>5</v>
      </c>
      <c r="I116" s="86">
        <v>4</v>
      </c>
      <c r="J116" s="86">
        <v>4</v>
      </c>
      <c r="K116" s="86">
        <v>3</v>
      </c>
      <c r="L116" s="86">
        <f>SUM(Table3[[#This Row],[Strategic priority segment]:[Propensity to buy/ buyer readiness]])</f>
        <v>21</v>
      </c>
      <c r="M116" s="86" t="s">
        <v>102</v>
      </c>
      <c r="N116" s="84" t="s">
        <v>61</v>
      </c>
      <c r="O116" s="84" t="s">
        <v>122</v>
      </c>
      <c r="P116" s="87"/>
      <c r="Q116" s="87"/>
      <c r="R116" s="84"/>
      <c r="S116" s="87"/>
      <c r="T116" s="87"/>
      <c r="U116" s="84">
        <v>1</v>
      </c>
      <c r="V116" s="84">
        <v>0</v>
      </c>
      <c r="W116" s="84">
        <v>0</v>
      </c>
      <c r="X116" s="84">
        <v>0</v>
      </c>
      <c r="Y116" s="84">
        <v>0</v>
      </c>
      <c r="Z116" s="84">
        <v>1</v>
      </c>
      <c r="AA116" s="84">
        <v>1</v>
      </c>
      <c r="AB116" s="84">
        <v>1</v>
      </c>
      <c r="AC116" s="84">
        <v>1</v>
      </c>
      <c r="AD116" s="84">
        <v>1</v>
      </c>
      <c r="AE116" s="84">
        <v>0</v>
      </c>
      <c r="AF116" s="84">
        <v>1</v>
      </c>
      <c r="AG116" s="84">
        <v>0</v>
      </c>
      <c r="AH116" s="84">
        <v>0</v>
      </c>
      <c r="AI116" s="84">
        <v>0</v>
      </c>
      <c r="AJ116" s="84">
        <v>0</v>
      </c>
      <c r="AK116" s="84">
        <v>0</v>
      </c>
      <c r="AL116" s="84" cm="1">
        <f t="array" ref="AL1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6" s="84" cm="1">
        <f t="array" ref="AM1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" s="84" cm="1">
        <f t="array" ref="AN1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" s="84" cm="1">
        <f t="array" ref="AO1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" s="84" cm="1">
        <f t="array" ref="AP1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" s="84" cm="1">
        <f t="array" ref="AQ1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6" s="84" cm="1">
        <f t="array" ref="AR1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6" s="84" cm="1">
        <f t="array" ref="AS1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6" s="84" cm="1">
        <f t="array" ref="AT1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6" s="84" cm="1">
        <f t="array" ref="AU1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6" s="84" cm="1">
        <f t="array" ref="AV1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" s="84" cm="1">
        <f t="array" ref="AW1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6" s="84" cm="1">
        <f t="array" ref="AX1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" s="84" cm="1">
        <f t="array" ref="AY1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" s="84" cm="1">
        <f t="array" ref="AZ1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" s="84" cm="1">
        <f t="array" ref="BA1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" s="84" cm="1">
        <f t="array" ref="BB1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" s="84">
        <f>IF(SUM(Table3[[#This Row],[Column2]:[Column18]])&gt;Table3[[#This Row],[Column19]],Table3[[#This Row],[Column19]],SUM(Table3[[#This Row],[Column2]:[Column18]]))</f>
        <v>50000</v>
      </c>
      <c r="BD116" s="2">
        <f>Table3[[#This Row],[Total Spend]]/SUM(Table3[[#This Row],[Column2]:[Column18]])</f>
        <v>0.32299741602067183</v>
      </c>
    </row>
    <row r="117" spans="1:56">
      <c r="A117" s="84" t="s">
        <v>188</v>
      </c>
      <c r="B117" s="84" t="s">
        <v>57</v>
      </c>
      <c r="C117" s="84"/>
      <c r="D117" s="85">
        <v>45566</v>
      </c>
      <c r="E117" s="85" t="s">
        <v>92</v>
      </c>
      <c r="F117" s="84">
        <f>INDEX(Definitions!$G$13:$G$17,MATCH(Table3[[#This Row],[Propensity to buy/ buyer readiness]],Definitions!$A$13:$A$17,0))</f>
        <v>50000</v>
      </c>
      <c r="G117" s="86">
        <v>5</v>
      </c>
      <c r="H117" s="86">
        <v>5</v>
      </c>
      <c r="I117" s="86">
        <v>4</v>
      </c>
      <c r="J117" s="86">
        <v>4</v>
      </c>
      <c r="K117" s="86">
        <v>3</v>
      </c>
      <c r="L117" s="86">
        <f>SUM(Table3[[#This Row],[Strategic priority segment]:[Propensity to buy/ buyer readiness]])</f>
        <v>21</v>
      </c>
      <c r="M117" s="86" t="s">
        <v>102</v>
      </c>
      <c r="N117" s="84" t="s">
        <v>61</v>
      </c>
      <c r="O117" s="84" t="s">
        <v>62</v>
      </c>
      <c r="P117" s="87" t="s">
        <v>122</v>
      </c>
      <c r="Q117" s="87"/>
      <c r="R117" s="84"/>
      <c r="S117" s="87"/>
      <c r="T117" s="87"/>
      <c r="U117" s="84">
        <v>1</v>
      </c>
      <c r="V117" s="84">
        <v>0</v>
      </c>
      <c r="W117" s="84">
        <v>0</v>
      </c>
      <c r="X117" s="84">
        <v>0</v>
      </c>
      <c r="Y117" s="84">
        <v>0</v>
      </c>
      <c r="Z117" s="84">
        <v>1</v>
      </c>
      <c r="AA117" s="84">
        <v>1</v>
      </c>
      <c r="AB117" s="84">
        <v>1</v>
      </c>
      <c r="AC117" s="84">
        <v>1</v>
      </c>
      <c r="AD117" s="84">
        <v>1</v>
      </c>
      <c r="AE117" s="84">
        <v>1</v>
      </c>
      <c r="AF117" s="84">
        <v>1</v>
      </c>
      <c r="AG117" s="84">
        <v>1</v>
      </c>
      <c r="AH117" s="84">
        <v>0</v>
      </c>
      <c r="AI117" s="84">
        <v>0</v>
      </c>
      <c r="AJ117" s="84">
        <v>0</v>
      </c>
      <c r="AK117" s="84">
        <v>0</v>
      </c>
      <c r="AL117" s="84" cm="1">
        <f t="array" ref="AL1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" s="84" cm="1">
        <f t="array" ref="AM1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" s="84" cm="1">
        <f t="array" ref="AN1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" s="84" cm="1">
        <f t="array" ref="AO1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" s="84" cm="1">
        <f t="array" ref="AP1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" s="84" cm="1">
        <f t="array" ref="AQ1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7" s="84" cm="1">
        <f t="array" ref="AR1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7" s="84" cm="1">
        <f t="array" ref="AS1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7" s="84" cm="1">
        <f t="array" ref="AT1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7" s="84" cm="1">
        <f t="array" ref="AU1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7" s="84" cm="1">
        <f t="array" ref="AV1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17" s="84" cm="1">
        <f t="array" ref="AW1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7" s="84" cm="1">
        <f t="array" ref="AX1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17" s="84" cm="1">
        <f t="array" ref="AY1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" s="84" cm="1">
        <f t="array" ref="AZ1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" s="84" cm="1">
        <f t="array" ref="BA1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" s="84" cm="1">
        <f t="array" ref="BB1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" s="84">
        <f>IF(SUM(Table3[[#This Row],[Column2]:[Column18]])&gt;Table3[[#This Row],[Column19]],Table3[[#This Row],[Column19]],SUM(Table3[[#This Row],[Column2]:[Column18]]))</f>
        <v>50000</v>
      </c>
      <c r="BD117" s="2">
        <f>Table3[[#This Row],[Total Spend]]/SUM(Table3[[#This Row],[Column2]:[Column18]])</f>
        <v>0.2664535038635758</v>
      </c>
    </row>
    <row r="118" spans="1:56">
      <c r="A118" s="84" t="s">
        <v>189</v>
      </c>
      <c r="B118" s="84"/>
      <c r="C118" s="84"/>
      <c r="D118" s="85">
        <v>45566</v>
      </c>
      <c r="E118" s="85" t="s">
        <v>92</v>
      </c>
      <c r="F118" s="84">
        <f>INDEX(Definitions!$G$13:$G$17,MATCH(Table3[[#This Row],[Propensity to buy/ buyer readiness]],Definitions!$A$13:$A$17,0))</f>
        <v>150000</v>
      </c>
      <c r="G118" s="86">
        <v>5</v>
      </c>
      <c r="H118" s="86">
        <v>5</v>
      </c>
      <c r="I118" s="86">
        <v>3</v>
      </c>
      <c r="J118" s="86">
        <v>4</v>
      </c>
      <c r="K118" s="86">
        <v>4</v>
      </c>
      <c r="L118" s="86">
        <f>SUM(Table3[[#This Row],[Strategic priority segment]:[Propensity to buy/ buyer readiness]])</f>
        <v>21</v>
      </c>
      <c r="M118" s="86" t="s">
        <v>102</v>
      </c>
      <c r="N118" s="84" t="s">
        <v>61</v>
      </c>
      <c r="O118" s="84"/>
      <c r="P118" s="87"/>
      <c r="Q118" s="87"/>
      <c r="R118" s="84"/>
      <c r="S118" s="87"/>
      <c r="T118" s="87"/>
      <c r="U118" s="84">
        <v>1</v>
      </c>
      <c r="V118" s="84">
        <v>0</v>
      </c>
      <c r="W118" s="84">
        <v>0</v>
      </c>
      <c r="X118" s="84">
        <v>0</v>
      </c>
      <c r="Y118" s="84">
        <v>0</v>
      </c>
      <c r="Z118" s="84">
        <v>1</v>
      </c>
      <c r="AA118" s="84">
        <v>1</v>
      </c>
      <c r="AB118" s="84">
        <v>1</v>
      </c>
      <c r="AC118" s="84">
        <v>1</v>
      </c>
      <c r="AD118" s="84">
        <v>0</v>
      </c>
      <c r="AE118" s="84">
        <v>0</v>
      </c>
      <c r="AF118" s="84">
        <v>0</v>
      </c>
      <c r="AG118" s="84">
        <v>0</v>
      </c>
      <c r="AH118" s="84">
        <v>0</v>
      </c>
      <c r="AI118" s="84">
        <v>0</v>
      </c>
      <c r="AJ118" s="84">
        <v>0</v>
      </c>
      <c r="AK118" s="84">
        <v>0</v>
      </c>
      <c r="AL118" s="84" cm="1">
        <f t="array" ref="AL1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" s="84" cm="1">
        <f t="array" ref="AM1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" s="84" cm="1">
        <f t="array" ref="AN1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" s="84" cm="1">
        <f t="array" ref="AO1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" s="84" cm="1">
        <f t="array" ref="AP1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" s="84" cm="1">
        <f t="array" ref="AQ1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8" s="84" cm="1">
        <f t="array" ref="AR1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8" s="84" cm="1">
        <f t="array" ref="AS1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8" s="84" cm="1">
        <f t="array" ref="AT1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8" s="84" cm="1">
        <f t="array" ref="AU1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" s="84" cm="1">
        <f t="array" ref="AV1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" s="84" cm="1">
        <f t="array" ref="AW1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" s="84" cm="1">
        <f t="array" ref="AX1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" s="84" cm="1">
        <f t="array" ref="AY1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" s="84" cm="1">
        <f t="array" ref="AZ1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" s="84" cm="1">
        <f t="array" ref="BA1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8" s="84" cm="1">
        <f t="array" ref="BB1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" s="84">
        <f>IF(SUM(Table3[[#This Row],[Column2]:[Column18]])&gt;Table3[[#This Row],[Column19]],Table3[[#This Row],[Column19]],SUM(Table3[[#This Row],[Column2]:[Column18]]))</f>
        <v>101700</v>
      </c>
      <c r="BD118" s="2">
        <f>Table3[[#This Row],[Total Spend]]/SUM(Table3[[#This Row],[Column2]:[Column18]])</f>
        <v>1</v>
      </c>
    </row>
    <row r="119" spans="1:56" ht="28.5">
      <c r="A119" s="84" t="s">
        <v>190</v>
      </c>
      <c r="B119" s="84" t="s">
        <v>57</v>
      </c>
      <c r="C119" s="84" t="s">
        <v>57</v>
      </c>
      <c r="D119" s="85">
        <v>45566</v>
      </c>
      <c r="E119" s="85" t="s">
        <v>58</v>
      </c>
      <c r="F119" s="84">
        <f>INDEX(Definitions!$G$13:$G$17,MATCH(Table3[[#This Row],[Propensity to buy/ buyer readiness]],Definitions!$A$13:$A$17,0))</f>
        <v>150000</v>
      </c>
      <c r="G119" s="86">
        <v>5</v>
      </c>
      <c r="H119" s="86">
        <v>4</v>
      </c>
      <c r="I119" s="86">
        <v>4</v>
      </c>
      <c r="J119" s="86">
        <v>4</v>
      </c>
      <c r="K119" s="86">
        <v>4</v>
      </c>
      <c r="L119" s="86">
        <f>SUM(Table3[[#This Row],[Strategic priority segment]:[Propensity to buy/ buyer readiness]])</f>
        <v>21</v>
      </c>
      <c r="M119" s="86" t="s">
        <v>191</v>
      </c>
      <c r="N119" s="84" t="s">
        <v>135</v>
      </c>
      <c r="O119" s="84" t="s">
        <v>61</v>
      </c>
      <c r="P119" s="87" t="s">
        <v>62</v>
      </c>
      <c r="Q119" s="87"/>
      <c r="R119" s="84"/>
      <c r="S119" s="87"/>
      <c r="T119" s="87"/>
      <c r="U119" s="84">
        <v>1</v>
      </c>
      <c r="V119" s="84">
        <v>0</v>
      </c>
      <c r="W119" s="84">
        <v>0</v>
      </c>
      <c r="X119" s="84">
        <v>0</v>
      </c>
      <c r="Y119" s="84">
        <v>0</v>
      </c>
      <c r="Z119" s="84">
        <v>1</v>
      </c>
      <c r="AA119" s="84">
        <v>1</v>
      </c>
      <c r="AB119" s="84">
        <v>1</v>
      </c>
      <c r="AC119" s="84">
        <v>1</v>
      </c>
      <c r="AD119" s="84">
        <v>1</v>
      </c>
      <c r="AE119" s="84">
        <v>1</v>
      </c>
      <c r="AF119" s="84">
        <v>1</v>
      </c>
      <c r="AG119" s="84">
        <v>1</v>
      </c>
      <c r="AH119" s="84">
        <v>1</v>
      </c>
      <c r="AI119" s="84">
        <v>1</v>
      </c>
      <c r="AJ119" s="84">
        <v>1</v>
      </c>
      <c r="AK119" s="84">
        <v>1</v>
      </c>
      <c r="AL119" s="84" cm="1">
        <f t="array" ref="AL1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9" s="84" cm="1">
        <f t="array" ref="AM1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" s="84" cm="1">
        <f t="array" ref="AN1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" s="84" cm="1">
        <f t="array" ref="AO1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" s="84" cm="1">
        <f t="array" ref="AP1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" s="84" cm="1">
        <f t="array" ref="AQ1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9" s="84" cm="1">
        <f t="array" ref="AR1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19" s="84" cm="1">
        <f t="array" ref="AS1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9" s="84" cm="1">
        <f t="array" ref="AT1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19" s="84" cm="1">
        <f t="array" ref="AU1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9" s="84" cm="1">
        <f t="array" ref="AV1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19" s="84" cm="1">
        <f t="array" ref="AW1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9" s="84" cm="1">
        <f t="array" ref="AX1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19" s="84" cm="1">
        <f t="array" ref="AY1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19" s="84" cm="1">
        <f t="array" ref="AZ1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19" s="84" cm="1">
        <f t="array" ref="BA1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19" s="84" cm="1">
        <f t="array" ref="BB1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19" s="84">
        <f>IF(SUM(Table3[[#This Row],[Column2]:[Column18]])&gt;Table3[[#This Row],[Column19]],Table3[[#This Row],[Column19]],SUM(Table3[[#This Row],[Column2]:[Column18]]))</f>
        <v>150000</v>
      </c>
      <c r="BD119" s="2">
        <f>Table3[[#This Row],[Total Spend]]/SUM(Table3[[#This Row],[Column2]:[Column18]])</f>
        <v>0.46104195481788846</v>
      </c>
    </row>
    <row r="120" spans="1:56">
      <c r="A120" s="84" t="s">
        <v>192</v>
      </c>
      <c r="B120" s="84" t="s">
        <v>57</v>
      </c>
      <c r="C120" s="84"/>
      <c r="D120" s="85">
        <v>45566</v>
      </c>
      <c r="E120" s="85" t="s">
        <v>58</v>
      </c>
      <c r="F120" s="84">
        <f>INDEX(Definitions!$G$13:$G$17,MATCH(Table3[[#This Row],[Propensity to buy/ buyer readiness]],Definitions!$A$13:$A$17,0))</f>
        <v>150000</v>
      </c>
      <c r="G120" s="86">
        <v>5</v>
      </c>
      <c r="H120" s="86">
        <v>4</v>
      </c>
      <c r="I120" s="86">
        <v>4</v>
      </c>
      <c r="J120" s="86">
        <v>4</v>
      </c>
      <c r="K120" s="86">
        <v>4</v>
      </c>
      <c r="L120" s="86">
        <f>SUM(Table3[[#This Row],[Strategic priority segment]:[Propensity to buy/ buyer readiness]])</f>
        <v>21</v>
      </c>
      <c r="M120" s="86" t="s">
        <v>66</v>
      </c>
      <c r="N120" s="84" t="s">
        <v>122</v>
      </c>
      <c r="O120" s="84" t="s">
        <v>62</v>
      </c>
      <c r="P120" s="87"/>
      <c r="Q120" s="87"/>
      <c r="R120" s="84"/>
      <c r="S120" s="87"/>
      <c r="T120" s="87"/>
      <c r="U120" s="84">
        <v>1</v>
      </c>
      <c r="V120" s="84">
        <v>0</v>
      </c>
      <c r="W120" s="84">
        <v>0</v>
      </c>
      <c r="X120" s="84">
        <v>0</v>
      </c>
      <c r="Y120" s="84">
        <v>0</v>
      </c>
      <c r="Z120" s="84">
        <v>1</v>
      </c>
      <c r="AA120" s="84">
        <v>0</v>
      </c>
      <c r="AB120" s="84">
        <v>1</v>
      </c>
      <c r="AC120" s="84">
        <v>0</v>
      </c>
      <c r="AD120" s="84">
        <v>1</v>
      </c>
      <c r="AE120" s="84">
        <v>1</v>
      </c>
      <c r="AF120" s="84">
        <v>1</v>
      </c>
      <c r="AG120" s="84">
        <v>1</v>
      </c>
      <c r="AH120" s="84">
        <v>0</v>
      </c>
      <c r="AI120" s="84">
        <v>0</v>
      </c>
      <c r="AJ120" s="84">
        <v>0</v>
      </c>
      <c r="AK120" s="84">
        <v>0</v>
      </c>
      <c r="AL120" s="84" cm="1">
        <f t="array" ref="AL1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0" s="84" cm="1">
        <f t="array" ref="AM1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" s="84" cm="1">
        <f t="array" ref="AN1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" s="84" cm="1">
        <f t="array" ref="AO1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" s="84" cm="1">
        <f t="array" ref="AP1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" s="84" cm="1">
        <f t="array" ref="AQ1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0" s="84" cm="1">
        <f t="array" ref="AR1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" s="84" cm="1">
        <f t="array" ref="AS1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0" s="84" cm="1">
        <f t="array" ref="AT1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" s="84" cm="1">
        <f t="array" ref="AU1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0" s="84" cm="1">
        <f t="array" ref="AV1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20" s="84" cm="1">
        <f t="array" ref="AW1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0" s="84" cm="1">
        <f t="array" ref="AX1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20" s="84" cm="1">
        <f t="array" ref="AY1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0" s="84" cm="1">
        <f t="array" ref="AZ1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" s="84" cm="1">
        <f t="array" ref="BA1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0" s="84" cm="1">
        <f t="array" ref="BB1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" s="84">
        <f>IF(SUM(Table3[[#This Row],[Column2]:[Column18]])&gt;Table3[[#This Row],[Column19]],Table3[[#This Row],[Column19]],SUM(Table3[[#This Row],[Column2]:[Column18]]))</f>
        <v>150000</v>
      </c>
      <c r="BD120" s="2">
        <f>Table3[[#This Row],[Total Spend]]/SUM(Table3[[#This Row],[Column2]:[Column18]])</f>
        <v>0.70028011204481788</v>
      </c>
    </row>
    <row r="121" spans="1:56">
      <c r="A121" s="84" t="s">
        <v>193</v>
      </c>
      <c r="B121" s="84" t="s">
        <v>57</v>
      </c>
      <c r="C121" s="84"/>
      <c r="D121" s="85">
        <v>45566</v>
      </c>
      <c r="E121" s="85" t="s">
        <v>58</v>
      </c>
      <c r="F121" s="84">
        <f>INDEX(Definitions!$G$13:$G$17,MATCH(Table3[[#This Row],[Propensity to buy/ buyer readiness]],Definitions!$A$13:$A$17,0))</f>
        <v>150000</v>
      </c>
      <c r="G121" s="86">
        <v>5</v>
      </c>
      <c r="H121" s="86">
        <v>4</v>
      </c>
      <c r="I121" s="86">
        <v>4</v>
      </c>
      <c r="J121" s="86">
        <v>4</v>
      </c>
      <c r="K121" s="86">
        <v>4</v>
      </c>
      <c r="L121" s="86">
        <f>SUM(Table3[[#This Row],[Strategic priority segment]:[Propensity to buy/ buyer readiness]])</f>
        <v>21</v>
      </c>
      <c r="M121" s="86" t="s">
        <v>191</v>
      </c>
      <c r="N121" s="84" t="s">
        <v>135</v>
      </c>
      <c r="O121" s="84"/>
      <c r="P121" s="87"/>
      <c r="Q121" s="87"/>
      <c r="R121" s="84"/>
      <c r="S121" s="87"/>
      <c r="T121" s="87"/>
      <c r="U121" s="84">
        <v>0</v>
      </c>
      <c r="V121" s="84">
        <v>0</v>
      </c>
      <c r="W121" s="84">
        <v>0</v>
      </c>
      <c r="X121" s="84">
        <v>0</v>
      </c>
      <c r="Y121" s="84">
        <v>0</v>
      </c>
      <c r="Z121" s="84">
        <v>0</v>
      </c>
      <c r="AA121" s="84">
        <v>0</v>
      </c>
      <c r="AB121" s="84">
        <v>0</v>
      </c>
      <c r="AC121" s="84">
        <v>0</v>
      </c>
      <c r="AD121" s="84">
        <v>0</v>
      </c>
      <c r="AE121" s="84">
        <v>0</v>
      </c>
      <c r="AF121" s="84">
        <v>0</v>
      </c>
      <c r="AG121" s="84">
        <v>0</v>
      </c>
      <c r="AH121" s="84">
        <v>1</v>
      </c>
      <c r="AI121" s="84">
        <v>1</v>
      </c>
      <c r="AJ121" s="84">
        <v>1</v>
      </c>
      <c r="AK121" s="84">
        <v>1</v>
      </c>
      <c r="AL121" s="84" cm="1">
        <f t="array" ref="AL1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1" s="84" cm="1">
        <f t="array" ref="AM1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" s="84" cm="1">
        <f t="array" ref="AN1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" s="84" cm="1">
        <f t="array" ref="AO1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" s="84" cm="1">
        <f t="array" ref="AP1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" s="84" cm="1">
        <f t="array" ref="AQ1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" s="84" cm="1">
        <f t="array" ref="AR1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" s="84" cm="1">
        <f t="array" ref="AS1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" s="84" cm="1">
        <f t="array" ref="AT1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" s="84" cm="1">
        <f t="array" ref="AU1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" s="84" cm="1">
        <f t="array" ref="AV1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" s="84" cm="1">
        <f t="array" ref="AW1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" s="84" cm="1">
        <f t="array" ref="AX1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" s="84" cm="1">
        <f t="array" ref="AY1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21" s="84" cm="1">
        <f t="array" ref="AZ1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21" s="84" cm="1">
        <f t="array" ref="BA1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21" s="84" cm="1">
        <f t="array" ref="BB1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21" s="84">
        <f>IF(SUM(Table3[[#This Row],[Column2]:[Column18]])&gt;Table3[[#This Row],[Column19]],Table3[[#This Row],[Column19]],SUM(Table3[[#This Row],[Column2]:[Column18]]))</f>
        <v>64350</v>
      </c>
      <c r="BD121" s="2">
        <f>Table3[[#This Row],[Total Spend]]/SUM(Table3[[#This Row],[Column2]:[Column18]])</f>
        <v>1</v>
      </c>
    </row>
    <row r="122" spans="1:56">
      <c r="A122" s="84" t="s">
        <v>194</v>
      </c>
      <c r="B122" s="84" t="s">
        <v>57</v>
      </c>
      <c r="C122" s="84"/>
      <c r="D122" s="85">
        <v>45566</v>
      </c>
      <c r="E122" s="85" t="s">
        <v>92</v>
      </c>
      <c r="F122" s="84">
        <f>INDEX(Definitions!$G$13:$G$17,MATCH(Table3[[#This Row],[Propensity to buy/ buyer readiness]],Definitions!$A$13:$A$17,0))</f>
        <v>50000</v>
      </c>
      <c r="G122" s="86">
        <v>5</v>
      </c>
      <c r="H122" s="86">
        <v>5</v>
      </c>
      <c r="I122" s="86">
        <v>4</v>
      </c>
      <c r="J122" s="86">
        <v>4</v>
      </c>
      <c r="K122" s="86">
        <v>3</v>
      </c>
      <c r="L122" s="86">
        <f>SUM(Table3[[#This Row],[Strategic priority segment]:[Propensity to buy/ buyer readiness]])</f>
        <v>21</v>
      </c>
      <c r="M122" s="86" t="s">
        <v>102</v>
      </c>
      <c r="N122" s="84" t="s">
        <v>61</v>
      </c>
      <c r="O122" s="84"/>
      <c r="P122" s="87"/>
      <c r="Q122" s="87"/>
      <c r="R122" s="84"/>
      <c r="S122" s="87"/>
      <c r="T122" s="87"/>
      <c r="U122" s="84">
        <v>1</v>
      </c>
      <c r="V122" s="84">
        <v>0</v>
      </c>
      <c r="W122" s="84">
        <v>0</v>
      </c>
      <c r="X122" s="84">
        <v>0</v>
      </c>
      <c r="Y122" s="84">
        <v>0</v>
      </c>
      <c r="Z122" s="84">
        <v>1</v>
      </c>
      <c r="AA122" s="84">
        <v>1</v>
      </c>
      <c r="AB122" s="84">
        <v>1</v>
      </c>
      <c r="AC122" s="84">
        <v>1</v>
      </c>
      <c r="AD122" s="84">
        <v>0</v>
      </c>
      <c r="AE122" s="84">
        <v>0</v>
      </c>
      <c r="AF122" s="84">
        <v>0</v>
      </c>
      <c r="AG122" s="84">
        <v>0</v>
      </c>
      <c r="AH122" s="84">
        <v>0</v>
      </c>
      <c r="AI122" s="84">
        <v>0</v>
      </c>
      <c r="AJ122" s="84">
        <v>0</v>
      </c>
      <c r="AK122" s="84">
        <v>0</v>
      </c>
      <c r="AL122" s="84" cm="1">
        <f t="array" ref="AL1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" s="84" cm="1">
        <f t="array" ref="AM1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" s="84" cm="1">
        <f t="array" ref="AN1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" s="84" cm="1">
        <f t="array" ref="AO1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" s="84" cm="1">
        <f t="array" ref="AP1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" s="84" cm="1">
        <f t="array" ref="AQ1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2" s="84" cm="1">
        <f t="array" ref="AR1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2" s="84" cm="1">
        <f t="array" ref="AS1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2" s="84" cm="1">
        <f t="array" ref="AT1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2" s="84" cm="1">
        <f t="array" ref="AU1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" s="84" cm="1">
        <f t="array" ref="AV1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" s="84" cm="1">
        <f t="array" ref="AW1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" s="84" cm="1">
        <f t="array" ref="AX1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" s="84" cm="1">
        <f t="array" ref="AY1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2" s="84" cm="1">
        <f t="array" ref="AZ1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2" s="84" cm="1">
        <f t="array" ref="BA1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2" s="84" cm="1">
        <f t="array" ref="BB1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2" s="84">
        <f>IF(SUM(Table3[[#This Row],[Column2]:[Column18]])&gt;Table3[[#This Row],[Column19]],Table3[[#This Row],[Column19]],SUM(Table3[[#This Row],[Column2]:[Column18]]))</f>
        <v>50000</v>
      </c>
      <c r="BD122" s="2">
        <f>Table3[[#This Row],[Total Spend]]/SUM(Table3[[#This Row],[Column2]:[Column18]])</f>
        <v>0.49164208456243852</v>
      </c>
    </row>
    <row r="123" spans="1:56">
      <c r="A123" s="84" t="s">
        <v>195</v>
      </c>
      <c r="B123" s="84" t="s">
        <v>57</v>
      </c>
      <c r="C123" s="84"/>
      <c r="D123" s="85">
        <v>45566</v>
      </c>
      <c r="E123" s="85" t="s">
        <v>92</v>
      </c>
      <c r="F123" s="84">
        <f>INDEX(Definitions!$G$13:$G$17,MATCH(Table3[[#This Row],[Propensity to buy/ buyer readiness]],Definitions!$A$13:$A$17,0))</f>
        <v>50000</v>
      </c>
      <c r="G123" s="86">
        <v>5</v>
      </c>
      <c r="H123" s="86">
        <v>5</v>
      </c>
      <c r="I123" s="86">
        <v>4</v>
      </c>
      <c r="J123" s="86">
        <v>4</v>
      </c>
      <c r="K123" s="86">
        <v>3</v>
      </c>
      <c r="L123" s="86">
        <f>SUM(Table3[[#This Row],[Strategic priority segment]:[Propensity to buy/ buyer readiness]])</f>
        <v>21</v>
      </c>
      <c r="M123" s="86" t="s">
        <v>102</v>
      </c>
      <c r="N123" s="84" t="s">
        <v>61</v>
      </c>
      <c r="O123" s="84" t="s">
        <v>62</v>
      </c>
      <c r="P123" s="87"/>
      <c r="Q123" s="87"/>
      <c r="R123" s="84"/>
      <c r="S123" s="87"/>
      <c r="T123" s="87"/>
      <c r="U123" s="84">
        <v>1</v>
      </c>
      <c r="V123" s="84">
        <v>0</v>
      </c>
      <c r="W123" s="84">
        <v>0</v>
      </c>
      <c r="X123" s="84">
        <v>0</v>
      </c>
      <c r="Y123" s="84">
        <v>0</v>
      </c>
      <c r="Z123" s="84">
        <v>1</v>
      </c>
      <c r="AA123" s="84">
        <v>1</v>
      </c>
      <c r="AB123" s="84">
        <v>1</v>
      </c>
      <c r="AC123" s="84">
        <v>1</v>
      </c>
      <c r="AD123" s="84">
        <v>1</v>
      </c>
      <c r="AE123" s="84">
        <v>1</v>
      </c>
      <c r="AF123" s="84">
        <v>1</v>
      </c>
      <c r="AG123" s="84">
        <v>1</v>
      </c>
      <c r="AH123" s="84">
        <v>0</v>
      </c>
      <c r="AI123" s="84">
        <v>0</v>
      </c>
      <c r="AJ123" s="84">
        <v>0</v>
      </c>
      <c r="AK123" s="84">
        <v>0</v>
      </c>
      <c r="AL123" s="84" cm="1">
        <f t="array" ref="AL1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3" s="84" cm="1">
        <f t="array" ref="AM1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" s="84" cm="1">
        <f t="array" ref="AN1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" s="84" cm="1">
        <f t="array" ref="AO1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" s="84" cm="1">
        <f t="array" ref="AP1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" s="84" cm="1">
        <f t="array" ref="AQ1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3" s="84" cm="1">
        <f t="array" ref="AR1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3" s="84" cm="1">
        <f t="array" ref="AS1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3" s="84" cm="1">
        <f t="array" ref="AT1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3" s="84" cm="1">
        <f t="array" ref="AU1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3" s="84" cm="1">
        <f t="array" ref="AV1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23" s="84" cm="1">
        <f t="array" ref="AW1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3" s="84" cm="1">
        <f t="array" ref="AX1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23" s="84" cm="1">
        <f t="array" ref="AY1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3" s="84" cm="1">
        <f t="array" ref="AZ1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3" s="84" cm="1">
        <f t="array" ref="BA1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3" s="84" cm="1">
        <f t="array" ref="BB1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3" s="84">
        <f>IF(SUM(Table3[[#This Row],[Column2]:[Column18]])&gt;Table3[[#This Row],[Column19]],Table3[[#This Row],[Column19]],SUM(Table3[[#This Row],[Column2]:[Column18]]))</f>
        <v>50000</v>
      </c>
      <c r="BD123" s="2">
        <f>Table3[[#This Row],[Total Spend]]/SUM(Table3[[#This Row],[Column2]:[Column18]])</f>
        <v>0.2664535038635758</v>
      </c>
    </row>
    <row r="124" spans="1:56">
      <c r="A124" s="84" t="s">
        <v>196</v>
      </c>
      <c r="B124" s="84" t="s">
        <v>57</v>
      </c>
      <c r="C124" s="84"/>
      <c r="D124" s="85">
        <v>45566</v>
      </c>
      <c r="E124" s="85" t="s">
        <v>92</v>
      </c>
      <c r="F124" s="84">
        <f>INDEX(Definitions!$G$13:$G$17,MATCH(Table3[[#This Row],[Propensity to buy/ buyer readiness]],Definitions!$A$13:$A$17,0))</f>
        <v>50000</v>
      </c>
      <c r="G124" s="86">
        <v>5</v>
      </c>
      <c r="H124" s="86">
        <v>5</v>
      </c>
      <c r="I124" s="86">
        <v>4</v>
      </c>
      <c r="J124" s="86">
        <v>4</v>
      </c>
      <c r="K124" s="86">
        <v>3</v>
      </c>
      <c r="L124" s="86">
        <f>SUM(Table3[[#This Row],[Strategic priority segment]:[Propensity to buy/ buyer readiness]])</f>
        <v>21</v>
      </c>
      <c r="M124" s="86" t="s">
        <v>102</v>
      </c>
      <c r="N124" s="84" t="s">
        <v>61</v>
      </c>
      <c r="O124" s="84"/>
      <c r="P124" s="87"/>
      <c r="Q124" s="87"/>
      <c r="R124" s="84"/>
      <c r="S124" s="87"/>
      <c r="T124" s="87"/>
      <c r="U124" s="84">
        <v>1</v>
      </c>
      <c r="V124" s="84">
        <v>0</v>
      </c>
      <c r="W124" s="84">
        <v>0</v>
      </c>
      <c r="X124" s="84">
        <v>0</v>
      </c>
      <c r="Y124" s="84">
        <v>0</v>
      </c>
      <c r="Z124" s="84">
        <v>1</v>
      </c>
      <c r="AA124" s="84">
        <v>1</v>
      </c>
      <c r="AB124" s="84">
        <v>1</v>
      </c>
      <c r="AC124" s="84">
        <v>1</v>
      </c>
      <c r="AD124" s="84">
        <v>0</v>
      </c>
      <c r="AE124" s="84">
        <v>0</v>
      </c>
      <c r="AF124" s="84">
        <v>0</v>
      </c>
      <c r="AG124" s="84">
        <v>0</v>
      </c>
      <c r="AH124" s="84">
        <v>0</v>
      </c>
      <c r="AI124" s="84">
        <v>0</v>
      </c>
      <c r="AJ124" s="84">
        <v>0</v>
      </c>
      <c r="AK124" s="84">
        <v>0</v>
      </c>
      <c r="AL124" s="84" cm="1">
        <f t="array" ref="AL1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4" s="84" cm="1">
        <f t="array" ref="AM1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" s="84" cm="1">
        <f t="array" ref="AN1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" s="84" cm="1">
        <f t="array" ref="AO1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" s="84" cm="1">
        <f t="array" ref="AP1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" s="84" cm="1">
        <f t="array" ref="AQ1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4" s="84" cm="1">
        <f t="array" ref="AR1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4" s="84" cm="1">
        <f t="array" ref="AS1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4" s="84" cm="1">
        <f t="array" ref="AT1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4" s="84" cm="1">
        <f t="array" ref="AU1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" s="84" cm="1">
        <f t="array" ref="AV1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" s="84" cm="1">
        <f t="array" ref="AW1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" s="84" cm="1">
        <f t="array" ref="AX1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" s="84" cm="1">
        <f t="array" ref="AY1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" s="84" cm="1">
        <f t="array" ref="AZ1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4" s="84" cm="1">
        <f t="array" ref="BA1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" s="84" cm="1">
        <f t="array" ref="BB1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" s="84">
        <f>IF(SUM(Table3[[#This Row],[Column2]:[Column18]])&gt;Table3[[#This Row],[Column19]],Table3[[#This Row],[Column19]],SUM(Table3[[#This Row],[Column2]:[Column18]]))</f>
        <v>50000</v>
      </c>
      <c r="BD124" s="2">
        <f>Table3[[#This Row],[Total Spend]]/SUM(Table3[[#This Row],[Column2]:[Column18]])</f>
        <v>0.49164208456243852</v>
      </c>
    </row>
    <row r="125" spans="1:56">
      <c r="A125" s="87" t="s">
        <v>197</v>
      </c>
      <c r="B125" s="87"/>
      <c r="C125" s="87" t="s">
        <v>57</v>
      </c>
      <c r="D125" s="85">
        <v>45566</v>
      </c>
      <c r="E125" s="85" t="s">
        <v>92</v>
      </c>
      <c r="F125" s="84">
        <f>INDEX(Definitions!$G$13:$G$17,MATCH(Table3[[#This Row],[Propensity to buy/ buyer readiness]],Definitions!$A$13:$A$17,0))</f>
        <v>50000</v>
      </c>
      <c r="G125" s="86">
        <v>5</v>
      </c>
      <c r="H125" s="86">
        <v>5</v>
      </c>
      <c r="I125" s="86">
        <v>4</v>
      </c>
      <c r="J125" s="86">
        <v>4</v>
      </c>
      <c r="K125" s="86">
        <v>3</v>
      </c>
      <c r="L125" s="86">
        <f>SUM(Table3[[#This Row],[Strategic priority segment]:[Propensity to buy/ buyer readiness]])</f>
        <v>21</v>
      </c>
      <c r="M125" s="86" t="s">
        <v>102</v>
      </c>
      <c r="N125" s="84" t="s">
        <v>61</v>
      </c>
      <c r="O125" s="87" t="s">
        <v>62</v>
      </c>
      <c r="P125" s="87"/>
      <c r="Q125" s="87"/>
      <c r="R125" s="84"/>
      <c r="S125" s="87"/>
      <c r="T125" s="87"/>
      <c r="U125" s="84">
        <v>1</v>
      </c>
      <c r="V125" s="84">
        <v>0</v>
      </c>
      <c r="W125" s="84">
        <v>0</v>
      </c>
      <c r="X125" s="84">
        <v>0</v>
      </c>
      <c r="Y125" s="84">
        <v>0</v>
      </c>
      <c r="Z125" s="84">
        <v>1</v>
      </c>
      <c r="AA125" s="84">
        <v>1</v>
      </c>
      <c r="AB125" s="84">
        <v>1</v>
      </c>
      <c r="AC125" s="84">
        <v>1</v>
      </c>
      <c r="AD125" s="84">
        <v>1</v>
      </c>
      <c r="AE125" s="84">
        <v>1</v>
      </c>
      <c r="AF125" s="84">
        <v>1</v>
      </c>
      <c r="AG125" s="84">
        <v>1</v>
      </c>
      <c r="AH125" s="84">
        <v>0</v>
      </c>
      <c r="AI125" s="84">
        <v>0</v>
      </c>
      <c r="AJ125" s="84">
        <v>0</v>
      </c>
      <c r="AK125" s="84">
        <v>0</v>
      </c>
      <c r="AL125" s="84" cm="1">
        <f t="array" ref="AL1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5" s="84" cm="1">
        <f t="array" ref="AM1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" s="84" cm="1">
        <f t="array" ref="AN1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" s="84" cm="1">
        <f t="array" ref="AO1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" s="84" cm="1">
        <f t="array" ref="AP1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" s="84" cm="1">
        <f t="array" ref="AQ1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5" s="84" cm="1">
        <f t="array" ref="AR1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5" s="84" cm="1">
        <f t="array" ref="AS1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5" s="84" cm="1">
        <f t="array" ref="AT1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5" s="84" cm="1">
        <f t="array" ref="AU1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5" s="84" cm="1">
        <f t="array" ref="AV1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25" s="84" cm="1">
        <f t="array" ref="AW1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5" s="84" cm="1">
        <f t="array" ref="AX1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25" s="84" cm="1">
        <f t="array" ref="AY1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5" s="84" cm="1">
        <f t="array" ref="AZ1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" s="84" cm="1">
        <f t="array" ref="BA1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5" s="84" cm="1">
        <f t="array" ref="BB1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" s="84">
        <f>IF(SUM(Table3[[#This Row],[Column2]:[Column18]])&gt;Table3[[#This Row],[Column19]],Table3[[#This Row],[Column19]],SUM(Table3[[#This Row],[Column2]:[Column18]]))</f>
        <v>50000</v>
      </c>
      <c r="BD125" s="2">
        <f>Table3[[#This Row],[Total Spend]]/SUM(Table3[[#This Row],[Column2]:[Column18]])</f>
        <v>0.2664535038635758</v>
      </c>
    </row>
    <row r="126" spans="1:56">
      <c r="A126" s="84" t="s">
        <v>198</v>
      </c>
      <c r="B126" s="84" t="s">
        <v>57</v>
      </c>
      <c r="C126" s="84"/>
      <c r="D126" s="85">
        <v>45566</v>
      </c>
      <c r="E126" s="85" t="s">
        <v>92</v>
      </c>
      <c r="F126" s="84">
        <f>INDEX(Definitions!$G$13:$G$17,MATCH(Table3[[#This Row],[Propensity to buy/ buyer readiness]],Definitions!$A$13:$A$17,0))</f>
        <v>50000</v>
      </c>
      <c r="G126" s="86">
        <v>5</v>
      </c>
      <c r="H126" s="86">
        <v>5</v>
      </c>
      <c r="I126" s="86">
        <v>4</v>
      </c>
      <c r="J126" s="86">
        <v>4</v>
      </c>
      <c r="K126" s="86">
        <v>3</v>
      </c>
      <c r="L126" s="86">
        <f>SUM(Table3[[#This Row],[Strategic priority segment]:[Propensity to buy/ buyer readiness]])</f>
        <v>21</v>
      </c>
      <c r="M126" s="86" t="s">
        <v>102</v>
      </c>
      <c r="N126" s="84" t="s">
        <v>61</v>
      </c>
      <c r="O126" s="84"/>
      <c r="P126" s="87"/>
      <c r="Q126" s="87"/>
      <c r="R126" s="84"/>
      <c r="S126" s="87"/>
      <c r="T126" s="87"/>
      <c r="U126" s="84">
        <v>1</v>
      </c>
      <c r="V126" s="84">
        <v>0</v>
      </c>
      <c r="W126" s="84">
        <v>0</v>
      </c>
      <c r="X126" s="84">
        <v>0</v>
      </c>
      <c r="Y126" s="84">
        <v>0</v>
      </c>
      <c r="Z126" s="84">
        <v>1</v>
      </c>
      <c r="AA126" s="84">
        <v>1</v>
      </c>
      <c r="AB126" s="84">
        <v>1</v>
      </c>
      <c r="AC126" s="84">
        <v>1</v>
      </c>
      <c r="AD126" s="84">
        <v>0</v>
      </c>
      <c r="AE126" s="84">
        <v>0</v>
      </c>
      <c r="AF126" s="84">
        <v>0</v>
      </c>
      <c r="AG126" s="84">
        <v>0</v>
      </c>
      <c r="AH126" s="84">
        <v>0</v>
      </c>
      <c r="AI126" s="84">
        <v>0</v>
      </c>
      <c r="AJ126" s="84">
        <v>0</v>
      </c>
      <c r="AK126" s="84">
        <v>0</v>
      </c>
      <c r="AL126" s="84" cm="1">
        <f t="array" ref="AL1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6" s="84" cm="1">
        <f t="array" ref="AM1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" s="84" cm="1">
        <f t="array" ref="AN1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" s="84" cm="1">
        <f t="array" ref="AO1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" s="84" cm="1">
        <f t="array" ref="AP1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" s="84" cm="1">
        <f t="array" ref="AQ1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6" s="84" cm="1">
        <f t="array" ref="AR1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6" s="84" cm="1">
        <f t="array" ref="AS1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6" s="84" cm="1">
        <f t="array" ref="AT1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6" s="84" cm="1">
        <f t="array" ref="AU1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6" s="84" cm="1">
        <f t="array" ref="AV1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" s="84" cm="1">
        <f t="array" ref="AW1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6" s="84" cm="1">
        <f t="array" ref="AX1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" s="84" cm="1">
        <f t="array" ref="AY1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" s="84" cm="1">
        <f t="array" ref="AZ1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" s="84" cm="1">
        <f t="array" ref="BA1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" s="84" cm="1">
        <f t="array" ref="BB1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" s="84">
        <f>IF(SUM(Table3[[#This Row],[Column2]:[Column18]])&gt;Table3[[#This Row],[Column19]],Table3[[#This Row],[Column19]],SUM(Table3[[#This Row],[Column2]:[Column18]]))</f>
        <v>50000</v>
      </c>
      <c r="BD126" s="2">
        <f>Table3[[#This Row],[Total Spend]]/SUM(Table3[[#This Row],[Column2]:[Column18]])</f>
        <v>0.49164208456243852</v>
      </c>
    </row>
    <row r="127" spans="1:56">
      <c r="A127" s="84" t="s">
        <v>199</v>
      </c>
      <c r="B127" s="84" t="s">
        <v>57</v>
      </c>
      <c r="C127" s="84"/>
      <c r="D127" s="85">
        <v>45566</v>
      </c>
      <c r="E127" s="85" t="s">
        <v>92</v>
      </c>
      <c r="F127" s="84">
        <f>INDEX(Definitions!$G$13:$G$17,MATCH(Table3[[#This Row],[Propensity to buy/ buyer readiness]],Definitions!$A$13:$A$17,0))</f>
        <v>50000</v>
      </c>
      <c r="G127" s="86">
        <v>5</v>
      </c>
      <c r="H127" s="86">
        <v>5</v>
      </c>
      <c r="I127" s="86">
        <v>4</v>
      </c>
      <c r="J127" s="86">
        <v>4</v>
      </c>
      <c r="K127" s="86">
        <v>3</v>
      </c>
      <c r="L127" s="86">
        <f>SUM(Table3[[#This Row],[Strategic priority segment]:[Propensity to buy/ buyer readiness]])</f>
        <v>21</v>
      </c>
      <c r="M127" s="86" t="s">
        <v>102</v>
      </c>
      <c r="N127" s="84" t="s">
        <v>61</v>
      </c>
      <c r="O127" s="84" t="s">
        <v>135</v>
      </c>
      <c r="P127" s="87"/>
      <c r="Q127" s="87"/>
      <c r="R127" s="84"/>
      <c r="S127" s="87"/>
      <c r="T127" s="87"/>
      <c r="U127" s="84">
        <v>1</v>
      </c>
      <c r="V127" s="84">
        <v>0</v>
      </c>
      <c r="W127" s="84">
        <v>0</v>
      </c>
      <c r="X127" s="84">
        <v>0</v>
      </c>
      <c r="Y127" s="84">
        <v>0</v>
      </c>
      <c r="Z127" s="84">
        <v>1</v>
      </c>
      <c r="AA127" s="84">
        <v>1</v>
      </c>
      <c r="AB127" s="84">
        <v>1</v>
      </c>
      <c r="AC127" s="84">
        <v>1</v>
      </c>
      <c r="AD127" s="84">
        <v>0</v>
      </c>
      <c r="AE127" s="84">
        <v>0</v>
      </c>
      <c r="AF127" s="84">
        <v>0</v>
      </c>
      <c r="AG127" s="84">
        <v>0</v>
      </c>
      <c r="AH127" s="84">
        <v>1</v>
      </c>
      <c r="AI127" s="84">
        <v>1</v>
      </c>
      <c r="AJ127" s="84">
        <v>1</v>
      </c>
      <c r="AK127" s="84">
        <v>1</v>
      </c>
      <c r="AL127" s="84" cm="1">
        <f t="array" ref="AL1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" s="84" cm="1">
        <f t="array" ref="AM1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" s="84" cm="1">
        <f t="array" ref="AN1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" s="84" cm="1">
        <f t="array" ref="AO1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" s="84" cm="1">
        <f t="array" ref="AP1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" s="84" cm="1">
        <f t="array" ref="AQ1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7" s="84" cm="1">
        <f t="array" ref="AR1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7" s="84" cm="1">
        <f t="array" ref="AS1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7" s="84" cm="1">
        <f t="array" ref="AT1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7" s="84" cm="1">
        <f t="array" ref="AU1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" s="84" cm="1">
        <f t="array" ref="AV1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" s="84" cm="1">
        <f t="array" ref="AW1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" s="84" cm="1">
        <f t="array" ref="AX1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" s="84" cm="1">
        <f t="array" ref="AY1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7" s="84" cm="1">
        <f t="array" ref="AZ1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7" s="84" cm="1">
        <f t="array" ref="BA1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7" s="84" cm="1">
        <f t="array" ref="BB1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7" s="84">
        <f>IF(SUM(Table3[[#This Row],[Column2]:[Column18]])&gt;Table3[[#This Row],[Column19]],Table3[[#This Row],[Column19]],SUM(Table3[[#This Row],[Column2]:[Column18]]))</f>
        <v>50000</v>
      </c>
      <c r="BD127" s="2">
        <f>Table3[[#This Row],[Total Spend]]/SUM(Table3[[#This Row],[Column2]:[Column18]])</f>
        <v>0.33772374197906113</v>
      </c>
    </row>
    <row r="128" spans="1:56">
      <c r="A128" s="84" t="s">
        <v>200</v>
      </c>
      <c r="B128" s="84" t="s">
        <v>57</v>
      </c>
      <c r="C128" s="84" t="s">
        <v>57</v>
      </c>
      <c r="D128" s="85">
        <v>45566</v>
      </c>
      <c r="E128" s="85" t="s">
        <v>92</v>
      </c>
      <c r="F128" s="84">
        <f>INDEX(Definitions!$G$13:$G$17,MATCH(Table3[[#This Row],[Propensity to buy/ buyer readiness]],Definitions!$A$13:$A$17,0))</f>
        <v>50000</v>
      </c>
      <c r="G128" s="86">
        <v>5</v>
      </c>
      <c r="H128" s="86">
        <v>5</v>
      </c>
      <c r="I128" s="86">
        <v>4</v>
      </c>
      <c r="J128" s="86">
        <v>4</v>
      </c>
      <c r="K128" s="86">
        <v>3</v>
      </c>
      <c r="L128" s="86">
        <f>SUM(Table3[[#This Row],[Strategic priority segment]:[Propensity to buy/ buyer readiness]])</f>
        <v>21</v>
      </c>
      <c r="M128" s="86" t="s">
        <v>102</v>
      </c>
      <c r="N128" s="84" t="s">
        <v>61</v>
      </c>
      <c r="O128" s="84" t="s">
        <v>62</v>
      </c>
      <c r="P128" s="87"/>
      <c r="Q128" s="87"/>
      <c r="R128" s="84"/>
      <c r="S128" s="87"/>
      <c r="T128" s="87"/>
      <c r="U128" s="84">
        <v>1</v>
      </c>
      <c r="V128" s="84">
        <v>0</v>
      </c>
      <c r="W128" s="84">
        <v>0</v>
      </c>
      <c r="X128" s="84">
        <v>0</v>
      </c>
      <c r="Y128" s="84">
        <v>0</v>
      </c>
      <c r="Z128" s="84">
        <v>1</v>
      </c>
      <c r="AA128" s="84">
        <v>1</v>
      </c>
      <c r="AB128" s="84">
        <v>1</v>
      </c>
      <c r="AC128" s="84">
        <v>1</v>
      </c>
      <c r="AD128" s="84">
        <v>1</v>
      </c>
      <c r="AE128" s="84">
        <v>1</v>
      </c>
      <c r="AF128" s="84">
        <v>1</v>
      </c>
      <c r="AG128" s="84">
        <v>1</v>
      </c>
      <c r="AH128" s="84">
        <v>0</v>
      </c>
      <c r="AI128" s="84">
        <v>0</v>
      </c>
      <c r="AJ128" s="84">
        <v>0</v>
      </c>
      <c r="AK128" s="84">
        <v>0</v>
      </c>
      <c r="AL128" s="84" cm="1">
        <f t="array" ref="AL1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8" s="84" cm="1">
        <f t="array" ref="AM1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" s="84" cm="1">
        <f t="array" ref="AN1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" s="84" cm="1">
        <f t="array" ref="AO1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" s="84" cm="1">
        <f t="array" ref="AP1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" s="84" cm="1">
        <f t="array" ref="AQ1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8" s="84" cm="1">
        <f t="array" ref="AR1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8" s="84" cm="1">
        <f t="array" ref="AS1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8" s="84" cm="1">
        <f t="array" ref="AT1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8" s="84" cm="1">
        <f t="array" ref="AU1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8" s="84" cm="1">
        <f t="array" ref="AV1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28" s="84" cm="1">
        <f t="array" ref="AW1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8" s="84" cm="1">
        <f t="array" ref="AX1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28" s="84" cm="1">
        <f t="array" ref="AY1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" s="84" cm="1">
        <f t="array" ref="AZ1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" s="84" cm="1">
        <f t="array" ref="BA1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" s="84" cm="1">
        <f t="array" ref="BB1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" s="84">
        <f>IF(SUM(Table3[[#This Row],[Column2]:[Column18]])&gt;Table3[[#This Row],[Column19]],Table3[[#This Row],[Column19]],SUM(Table3[[#This Row],[Column2]:[Column18]]))</f>
        <v>50000</v>
      </c>
      <c r="BD128" s="2">
        <f>Table3[[#This Row],[Total Spend]]/SUM(Table3[[#This Row],[Column2]:[Column18]])</f>
        <v>0.2664535038635758</v>
      </c>
    </row>
    <row r="129" spans="1:56">
      <c r="A129" s="84" t="s">
        <v>201</v>
      </c>
      <c r="B129" s="84" t="s">
        <v>57</v>
      </c>
      <c r="C129" s="84"/>
      <c r="D129" s="85">
        <v>45566</v>
      </c>
      <c r="E129" s="85" t="s">
        <v>92</v>
      </c>
      <c r="F129" s="84">
        <f>INDEX(Definitions!$G$13:$G$17,MATCH(Table3[[#This Row],[Propensity to buy/ buyer readiness]],Definitions!$A$13:$A$17,0))</f>
        <v>50000</v>
      </c>
      <c r="G129" s="86">
        <v>5</v>
      </c>
      <c r="H129" s="86">
        <v>5</v>
      </c>
      <c r="I129" s="86">
        <v>4</v>
      </c>
      <c r="J129" s="86">
        <v>4</v>
      </c>
      <c r="K129" s="86">
        <v>3</v>
      </c>
      <c r="L129" s="86">
        <f>SUM(Table3[[#This Row],[Strategic priority segment]:[Propensity to buy/ buyer readiness]])</f>
        <v>21</v>
      </c>
      <c r="M129" s="86" t="s">
        <v>102</v>
      </c>
      <c r="N129" s="84" t="s">
        <v>61</v>
      </c>
      <c r="O129" s="84" t="s">
        <v>135</v>
      </c>
      <c r="P129" s="87"/>
      <c r="Q129" s="87"/>
      <c r="R129" s="84"/>
      <c r="S129" s="87"/>
      <c r="T129" s="87"/>
      <c r="U129" s="84">
        <v>1</v>
      </c>
      <c r="V129" s="84">
        <v>0</v>
      </c>
      <c r="W129" s="84">
        <v>0</v>
      </c>
      <c r="X129" s="84">
        <v>0</v>
      </c>
      <c r="Y129" s="84">
        <v>0</v>
      </c>
      <c r="Z129" s="84">
        <v>1</v>
      </c>
      <c r="AA129" s="84">
        <v>1</v>
      </c>
      <c r="AB129" s="84">
        <v>1</v>
      </c>
      <c r="AC129" s="84">
        <v>1</v>
      </c>
      <c r="AD129" s="84">
        <v>0</v>
      </c>
      <c r="AE129" s="84">
        <v>0</v>
      </c>
      <c r="AF129" s="84">
        <v>0</v>
      </c>
      <c r="AG129" s="84">
        <v>0</v>
      </c>
      <c r="AH129" s="84">
        <v>1</v>
      </c>
      <c r="AI129" s="84">
        <v>1</v>
      </c>
      <c r="AJ129" s="84">
        <v>1</v>
      </c>
      <c r="AK129" s="84">
        <v>1</v>
      </c>
      <c r="AL129" s="84" cm="1">
        <f t="array" ref="AL1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9" s="84" cm="1">
        <f t="array" ref="AM1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" s="84" cm="1">
        <f t="array" ref="AN1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" s="84" cm="1">
        <f t="array" ref="AO1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" s="84" cm="1">
        <f t="array" ref="AP1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" s="84" cm="1">
        <f t="array" ref="AQ1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9" s="84" cm="1">
        <f t="array" ref="AR1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9" s="84" cm="1">
        <f t="array" ref="AS1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9" s="84" cm="1">
        <f t="array" ref="AT1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9" s="84" cm="1">
        <f t="array" ref="AU1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" s="84" cm="1">
        <f t="array" ref="AV1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" s="84" cm="1">
        <f t="array" ref="AW1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" s="84" cm="1">
        <f t="array" ref="AX1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" s="84" cm="1">
        <f t="array" ref="AY1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9" s="84" cm="1">
        <f t="array" ref="AZ1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9" s="84" cm="1">
        <f t="array" ref="BA1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9" s="84" cm="1">
        <f t="array" ref="BB1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9" s="84">
        <f>IF(SUM(Table3[[#This Row],[Column2]:[Column18]])&gt;Table3[[#This Row],[Column19]],Table3[[#This Row],[Column19]],SUM(Table3[[#This Row],[Column2]:[Column18]]))</f>
        <v>50000</v>
      </c>
      <c r="BD129" s="2">
        <f>Table3[[#This Row],[Total Spend]]/SUM(Table3[[#This Row],[Column2]:[Column18]])</f>
        <v>0.33772374197906113</v>
      </c>
    </row>
    <row r="130" spans="1:56">
      <c r="A130" s="84" t="s">
        <v>202</v>
      </c>
      <c r="B130" s="84" t="s">
        <v>57</v>
      </c>
      <c r="C130" s="84"/>
      <c r="D130" s="85">
        <v>45566</v>
      </c>
      <c r="E130" s="85" t="s">
        <v>58</v>
      </c>
      <c r="F130" s="84">
        <f>INDEX(Definitions!$G$13:$G$17,MATCH(Table3[[#This Row],[Propensity to buy/ buyer readiness]],Definitions!$A$13:$A$17,0))</f>
        <v>150000</v>
      </c>
      <c r="G130" s="86">
        <v>5</v>
      </c>
      <c r="H130" s="86">
        <v>4</v>
      </c>
      <c r="I130" s="86">
        <v>4</v>
      </c>
      <c r="J130" s="86">
        <v>4</v>
      </c>
      <c r="K130" s="86">
        <v>4</v>
      </c>
      <c r="L130" s="86">
        <f>SUM(Table3[[#This Row],[Strategic priority segment]:[Propensity to buy/ buyer readiness]])</f>
        <v>21</v>
      </c>
      <c r="M130" s="86" t="s">
        <v>102</v>
      </c>
      <c r="N130" s="84" t="s">
        <v>122</v>
      </c>
      <c r="O130" s="84" t="s">
        <v>61</v>
      </c>
      <c r="P130" s="87"/>
      <c r="Q130" s="87"/>
      <c r="R130" s="84"/>
      <c r="S130" s="87"/>
      <c r="T130" s="87"/>
      <c r="U130" s="84">
        <v>1</v>
      </c>
      <c r="V130" s="84">
        <v>0</v>
      </c>
      <c r="W130" s="84">
        <v>0</v>
      </c>
      <c r="X130" s="84">
        <v>0</v>
      </c>
      <c r="Y130" s="84">
        <v>0</v>
      </c>
      <c r="Z130" s="84">
        <v>1</v>
      </c>
      <c r="AA130" s="84">
        <v>1</v>
      </c>
      <c r="AB130" s="84">
        <v>1</v>
      </c>
      <c r="AC130" s="84">
        <v>1</v>
      </c>
      <c r="AD130" s="84">
        <v>1</v>
      </c>
      <c r="AE130" s="84">
        <v>0</v>
      </c>
      <c r="AF130" s="84">
        <v>1</v>
      </c>
      <c r="AG130" s="84">
        <v>0</v>
      </c>
      <c r="AH130" s="84">
        <v>0</v>
      </c>
      <c r="AI130" s="84">
        <v>0</v>
      </c>
      <c r="AJ130" s="84">
        <v>0</v>
      </c>
      <c r="AK130" s="84">
        <v>0</v>
      </c>
      <c r="AL130" s="84" cm="1">
        <f t="array" ref="AL1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0" s="84" cm="1">
        <f t="array" ref="AM1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" s="84" cm="1">
        <f t="array" ref="AN1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" s="84" cm="1">
        <f t="array" ref="AO1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" s="84" cm="1">
        <f t="array" ref="AP1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" s="84" cm="1">
        <f t="array" ref="AQ1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30" s="84" cm="1">
        <f t="array" ref="AR1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30" s="84" cm="1">
        <f t="array" ref="AS1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30" s="84" cm="1">
        <f t="array" ref="AT1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30" s="84" cm="1">
        <f t="array" ref="AU1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30" s="84" cm="1">
        <f t="array" ref="AV1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" s="84" cm="1">
        <f t="array" ref="AW1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30" s="84" cm="1">
        <f t="array" ref="AX1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" s="84" cm="1">
        <f t="array" ref="AY1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" s="84" cm="1">
        <f t="array" ref="AZ1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" s="84" cm="1">
        <f t="array" ref="BA1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" s="84" cm="1">
        <f t="array" ref="BB1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" s="84">
        <f>IF(SUM(Table3[[#This Row],[Column2]:[Column18]])&gt;Table3[[#This Row],[Column19]],Table3[[#This Row],[Column19]],SUM(Table3[[#This Row],[Column2]:[Column18]]))</f>
        <v>150000</v>
      </c>
      <c r="BD130" s="2">
        <f>Table3[[#This Row],[Total Spend]]/SUM(Table3[[#This Row],[Column2]:[Column18]])</f>
        <v>0.70028011204481788</v>
      </c>
    </row>
    <row r="131" spans="1:56">
      <c r="A131" s="84" t="s">
        <v>203</v>
      </c>
      <c r="B131" s="84"/>
      <c r="C131" s="84" t="s">
        <v>57</v>
      </c>
      <c r="D131" s="85">
        <v>45566</v>
      </c>
      <c r="E131" s="85" t="s">
        <v>92</v>
      </c>
      <c r="F131" s="84">
        <f>INDEX(Definitions!$G$13:$G$17,MATCH(Table3[[#This Row],[Propensity to buy/ buyer readiness]],Definitions!$A$13:$A$17,0))</f>
        <v>50000</v>
      </c>
      <c r="G131" s="86">
        <v>5</v>
      </c>
      <c r="H131" s="86">
        <v>5</v>
      </c>
      <c r="I131" s="86">
        <v>4</v>
      </c>
      <c r="J131" s="86">
        <v>4</v>
      </c>
      <c r="K131" s="86">
        <v>3</v>
      </c>
      <c r="L131" s="86">
        <f>SUM(Table3[[#This Row],[Strategic priority segment]:[Propensity to buy/ buyer readiness]])</f>
        <v>21</v>
      </c>
      <c r="M131" s="86" t="s">
        <v>102</v>
      </c>
      <c r="N131" s="84" t="s">
        <v>61</v>
      </c>
      <c r="O131" s="84"/>
      <c r="P131" s="87"/>
      <c r="Q131" s="87"/>
      <c r="R131" s="84"/>
      <c r="S131" s="87"/>
      <c r="T131" s="87"/>
      <c r="U131" s="84">
        <v>1</v>
      </c>
      <c r="V131" s="84">
        <v>0</v>
      </c>
      <c r="W131" s="84">
        <v>0</v>
      </c>
      <c r="X131" s="84">
        <v>0</v>
      </c>
      <c r="Y131" s="84">
        <v>0</v>
      </c>
      <c r="Z131" s="84">
        <v>1</v>
      </c>
      <c r="AA131" s="84">
        <v>1</v>
      </c>
      <c r="AB131" s="84">
        <v>1</v>
      </c>
      <c r="AC131" s="84">
        <v>1</v>
      </c>
      <c r="AD131" s="84">
        <v>0</v>
      </c>
      <c r="AE131" s="84">
        <v>0</v>
      </c>
      <c r="AF131" s="84">
        <v>0</v>
      </c>
      <c r="AG131" s="84">
        <v>0</v>
      </c>
      <c r="AH131" s="84">
        <v>0</v>
      </c>
      <c r="AI131" s="84">
        <v>0</v>
      </c>
      <c r="AJ131" s="84">
        <v>0</v>
      </c>
      <c r="AK131" s="84">
        <v>0</v>
      </c>
      <c r="AL131" s="84" cm="1">
        <f t="array" ref="AL1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" s="84" cm="1">
        <f t="array" ref="AM1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" s="84" cm="1">
        <f t="array" ref="AN1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" s="84" cm="1">
        <f t="array" ref="AO1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" s="84" cm="1">
        <f t="array" ref="AP1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" s="84" cm="1">
        <f t="array" ref="AQ1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1" s="84" cm="1">
        <f t="array" ref="AR1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31" s="84" cm="1">
        <f t="array" ref="AS1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1" s="84" cm="1">
        <f t="array" ref="AT1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31" s="84" cm="1">
        <f t="array" ref="AU1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" s="84" cm="1">
        <f t="array" ref="AV1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" s="84" cm="1">
        <f t="array" ref="AW1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" s="84" cm="1">
        <f t="array" ref="AX1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" s="84" cm="1">
        <f t="array" ref="AY1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1" s="84" cm="1">
        <f t="array" ref="AZ1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1" s="84" cm="1">
        <f t="array" ref="BA1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1" s="84" cm="1">
        <f t="array" ref="BB1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1" s="84">
        <f>IF(SUM(Table3[[#This Row],[Column2]:[Column18]])&gt;Table3[[#This Row],[Column19]],Table3[[#This Row],[Column19]],SUM(Table3[[#This Row],[Column2]:[Column18]]))</f>
        <v>50000</v>
      </c>
      <c r="BD131" s="2">
        <f>Table3[[#This Row],[Total Spend]]/SUM(Table3[[#This Row],[Column2]:[Column18]])</f>
        <v>0.49164208456243852</v>
      </c>
    </row>
    <row r="132" spans="1:56">
      <c r="A132" s="84" t="s">
        <v>204</v>
      </c>
      <c r="B132" s="84" t="s">
        <v>57</v>
      </c>
      <c r="C132" s="84"/>
      <c r="D132" s="85">
        <v>45566</v>
      </c>
      <c r="E132" s="85" t="s">
        <v>58</v>
      </c>
      <c r="F132" s="84">
        <f>INDEX(Definitions!$G$13:$G$17,MATCH(Table3[[#This Row],[Propensity to buy/ buyer readiness]],Definitions!$A$13:$A$17,0))</f>
        <v>150000</v>
      </c>
      <c r="G132" s="86">
        <v>5</v>
      </c>
      <c r="H132" s="86">
        <v>4</v>
      </c>
      <c r="I132" s="86">
        <v>4</v>
      </c>
      <c r="J132" s="86">
        <v>4</v>
      </c>
      <c r="K132" s="86">
        <v>4</v>
      </c>
      <c r="L132" s="86">
        <f>SUM(Table3[[#This Row],[Strategic priority segment]:[Propensity to buy/ buyer readiness]])</f>
        <v>21</v>
      </c>
      <c r="M132" s="86" t="s">
        <v>191</v>
      </c>
      <c r="N132" s="84" t="s">
        <v>135</v>
      </c>
      <c r="O132" s="84"/>
      <c r="P132" s="87"/>
      <c r="Q132" s="87"/>
      <c r="R132" s="84"/>
      <c r="S132" s="87"/>
      <c r="T132" s="87"/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Z132" s="84">
        <v>0</v>
      </c>
      <c r="AA132" s="84">
        <v>0</v>
      </c>
      <c r="AB132" s="84">
        <v>0</v>
      </c>
      <c r="AC132" s="84">
        <v>0</v>
      </c>
      <c r="AD132" s="84">
        <v>0</v>
      </c>
      <c r="AE132" s="84">
        <v>0</v>
      </c>
      <c r="AF132" s="84">
        <v>0</v>
      </c>
      <c r="AG132" s="84">
        <v>0</v>
      </c>
      <c r="AH132" s="84">
        <v>1</v>
      </c>
      <c r="AI132" s="84">
        <v>1</v>
      </c>
      <c r="AJ132" s="84">
        <v>1</v>
      </c>
      <c r="AK132" s="84">
        <v>1</v>
      </c>
      <c r="AL132" s="84" cm="1">
        <f t="array" ref="AL1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2" s="84" cm="1">
        <f t="array" ref="AM1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" s="84" cm="1">
        <f t="array" ref="AN1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" s="84" cm="1">
        <f t="array" ref="AO1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" s="84" cm="1">
        <f t="array" ref="AP1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" s="84" cm="1">
        <f t="array" ref="AQ1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" s="84" cm="1">
        <f t="array" ref="AR1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" s="84" cm="1">
        <f t="array" ref="AS1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" s="84" cm="1">
        <f t="array" ref="AT1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" s="84" cm="1">
        <f t="array" ref="AU1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" s="84" cm="1">
        <f t="array" ref="AV1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" s="84" cm="1">
        <f t="array" ref="AW1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" s="84" cm="1">
        <f t="array" ref="AX1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" s="84" cm="1">
        <f t="array" ref="AY1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32" s="84" cm="1">
        <f t="array" ref="AZ1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32" s="84" cm="1">
        <f t="array" ref="BA1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32" s="84" cm="1">
        <f t="array" ref="BB1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32" s="84">
        <f>IF(SUM(Table3[[#This Row],[Column2]:[Column18]])&gt;Table3[[#This Row],[Column19]],Table3[[#This Row],[Column19]],SUM(Table3[[#This Row],[Column2]:[Column18]]))</f>
        <v>64350</v>
      </c>
      <c r="BD132" s="2">
        <f>Table3[[#This Row],[Total Spend]]/SUM(Table3[[#This Row],[Column2]:[Column18]])</f>
        <v>1</v>
      </c>
    </row>
    <row r="133" spans="1:56">
      <c r="A133" s="84" t="s">
        <v>205</v>
      </c>
      <c r="B133" s="84" t="s">
        <v>57</v>
      </c>
      <c r="C133" s="84" t="s">
        <v>57</v>
      </c>
      <c r="D133" s="85">
        <v>45809</v>
      </c>
      <c r="E133" s="85" t="s">
        <v>92</v>
      </c>
      <c r="F133" s="84">
        <f>INDEX(Definitions!$G$13:$G$17,MATCH(Table3[[#This Row],[Propensity to buy/ buyer readiness]],Definitions!$A$13:$A$17,0))</f>
        <v>50000</v>
      </c>
      <c r="G133" s="86">
        <v>5</v>
      </c>
      <c r="H133" s="86">
        <v>5</v>
      </c>
      <c r="I133" s="86">
        <v>4</v>
      </c>
      <c r="J133" s="86">
        <v>4</v>
      </c>
      <c r="K133" s="86">
        <v>3</v>
      </c>
      <c r="L133" s="86">
        <f>SUM(Table3[[#This Row],[Strategic priority segment]:[Propensity to buy/ buyer readiness]])</f>
        <v>21</v>
      </c>
      <c r="M133" s="86" t="s">
        <v>102</v>
      </c>
      <c r="N133" s="84" t="s">
        <v>61</v>
      </c>
      <c r="O133" s="84"/>
      <c r="P133" s="84"/>
      <c r="Q133" s="84"/>
      <c r="R133" s="84"/>
      <c r="S133" s="84"/>
      <c r="T133" s="87"/>
      <c r="U133" s="84">
        <v>1</v>
      </c>
      <c r="V133" s="84">
        <v>0</v>
      </c>
      <c r="W133" s="84">
        <v>0</v>
      </c>
      <c r="X133" s="84">
        <v>0</v>
      </c>
      <c r="Y133" s="84">
        <v>0</v>
      </c>
      <c r="Z133" s="84">
        <v>1</v>
      </c>
      <c r="AA133" s="84">
        <v>1</v>
      </c>
      <c r="AB133" s="84">
        <v>1</v>
      </c>
      <c r="AC133" s="84">
        <v>1</v>
      </c>
      <c r="AD133" s="84">
        <v>0</v>
      </c>
      <c r="AE133" s="84">
        <v>0</v>
      </c>
      <c r="AF133" s="84">
        <v>0</v>
      </c>
      <c r="AG133" s="84">
        <v>0</v>
      </c>
      <c r="AH133" s="84">
        <v>0</v>
      </c>
      <c r="AI133" s="84">
        <v>0</v>
      </c>
      <c r="AJ133" s="84">
        <v>0</v>
      </c>
      <c r="AK133" s="84">
        <v>0</v>
      </c>
      <c r="AL133" s="84" cm="1">
        <f t="array" ref="AL1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" s="84" cm="1">
        <f t="array" ref="AM1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" s="84" cm="1">
        <f t="array" ref="AN1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" s="84" cm="1">
        <f t="array" ref="AO1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" s="84" cm="1">
        <f t="array" ref="AP1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" s="84" cm="1">
        <f t="array" ref="AQ1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3" s="84" cm="1">
        <f t="array" ref="AR1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33" s="84" cm="1">
        <f t="array" ref="AS1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3" s="84" cm="1">
        <f t="array" ref="AT1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33" s="84" cm="1">
        <f t="array" ref="AU1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" s="84" cm="1">
        <f t="array" ref="AV1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" s="84" cm="1">
        <f t="array" ref="AW1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" s="84" cm="1">
        <f t="array" ref="AX1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" s="84" cm="1">
        <f t="array" ref="AY1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" s="84" cm="1">
        <f t="array" ref="AZ1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" s="84" cm="1">
        <f t="array" ref="BA1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" s="84" cm="1">
        <f t="array" ref="BB1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" s="84">
        <f>IF(SUM(Table3[[#This Row],[Column2]:[Column18]])&gt;Table3[[#This Row],[Column19]],Table3[[#This Row],[Column19]],SUM(Table3[[#This Row],[Column2]:[Column18]]))</f>
        <v>50000</v>
      </c>
      <c r="BD133" s="2">
        <f>Table3[[#This Row],[Total Spend]]/SUM(Table3[[#This Row],[Column2]:[Column18]])</f>
        <v>0.49164208456243852</v>
      </c>
    </row>
    <row r="134" spans="1:56">
      <c r="A134" s="84" t="s">
        <v>206</v>
      </c>
      <c r="B134" s="84"/>
      <c r="C134" s="84"/>
      <c r="D134" s="85">
        <v>45566</v>
      </c>
      <c r="E134" s="85" t="s">
        <v>92</v>
      </c>
      <c r="F134" s="84">
        <f>INDEX(Definitions!$G$13:$G$17,MATCH(Table3[[#This Row],[Propensity to buy/ buyer readiness]],Definitions!$A$13:$A$17,0))</f>
        <v>50000</v>
      </c>
      <c r="G134" s="86">
        <v>5</v>
      </c>
      <c r="H134" s="86">
        <v>4</v>
      </c>
      <c r="I134" s="86">
        <v>4</v>
      </c>
      <c r="J134" s="86">
        <v>5</v>
      </c>
      <c r="K134" s="86">
        <v>3</v>
      </c>
      <c r="L134" s="86">
        <f>SUM(Table3[[#This Row],[Strategic priority segment]:[Propensity to buy/ buyer readiness]])</f>
        <v>21</v>
      </c>
      <c r="M134" s="86" t="s">
        <v>59</v>
      </c>
      <c r="N134" s="84" t="s">
        <v>60</v>
      </c>
      <c r="O134" s="87"/>
      <c r="P134" s="87"/>
      <c r="Q134" s="87"/>
      <c r="R134" s="84"/>
      <c r="S134" s="87"/>
      <c r="T134" s="87"/>
      <c r="U134" s="84">
        <v>1</v>
      </c>
      <c r="V134" s="84">
        <v>1</v>
      </c>
      <c r="W134" s="84">
        <v>1</v>
      </c>
      <c r="X134" s="84">
        <v>1</v>
      </c>
      <c r="Y134" s="84">
        <v>1</v>
      </c>
      <c r="Z134" s="84">
        <v>0</v>
      </c>
      <c r="AA134" s="84">
        <v>0</v>
      </c>
      <c r="AB134" s="84">
        <v>0</v>
      </c>
      <c r="AC134" s="84">
        <v>0</v>
      </c>
      <c r="AD134" s="84">
        <v>1</v>
      </c>
      <c r="AE134" s="84">
        <v>0</v>
      </c>
      <c r="AF134" s="84">
        <v>0</v>
      </c>
      <c r="AG134" s="84">
        <v>0</v>
      </c>
      <c r="AH134" s="84">
        <v>0</v>
      </c>
      <c r="AI134" s="84">
        <v>0</v>
      </c>
      <c r="AJ134" s="84">
        <v>0</v>
      </c>
      <c r="AK134" s="84">
        <v>0</v>
      </c>
      <c r="AL134" s="84" cm="1">
        <f t="array" ref="AL1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" s="84" cm="1">
        <f t="array" ref="AM1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34" s="84" cm="1">
        <f t="array" ref="AN1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34" s="84" cm="1">
        <f t="array" ref="AO1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34" s="84" cm="1">
        <f t="array" ref="AP1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34" s="84" cm="1">
        <f t="array" ref="AQ1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" s="84" cm="1">
        <f t="array" ref="AR1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" s="84" cm="1">
        <f t="array" ref="AS1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" s="84" cm="1">
        <f t="array" ref="AT1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" s="84" cm="1">
        <f t="array" ref="AU1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4" s="84" cm="1">
        <f t="array" ref="AV1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" s="84" cm="1">
        <f t="array" ref="AW1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4" s="84" cm="1">
        <f t="array" ref="AX1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" s="84" cm="1">
        <f t="array" ref="AY1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" s="84" cm="1">
        <f t="array" ref="AZ1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" s="84" cm="1">
        <f t="array" ref="BA1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" s="84" cm="1">
        <f t="array" ref="BB1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" s="84">
        <f>IF(SUM(Table3[[#This Row],[Column2]:[Column18]])&gt;Table3[[#This Row],[Column19]],Table3[[#This Row],[Column19]],SUM(Table3[[#This Row],[Column2]:[Column18]]))</f>
        <v>50000</v>
      </c>
      <c r="BD134" s="2">
        <f>Table3[[#This Row],[Total Spend]]/SUM(Table3[[#This Row],[Column2]:[Column18]])</f>
        <v>0.26709401709401709</v>
      </c>
    </row>
    <row r="135" spans="1:56">
      <c r="A135" s="84" t="s">
        <v>207</v>
      </c>
      <c r="B135" s="84" t="s">
        <v>57</v>
      </c>
      <c r="C135" s="84"/>
      <c r="D135" s="85">
        <v>45566</v>
      </c>
      <c r="E135" s="85" t="s">
        <v>92</v>
      </c>
      <c r="F135" s="84">
        <f>INDEX(Definitions!$G$13:$G$17,MATCH(Table3[[#This Row],[Propensity to buy/ buyer readiness]],Definitions!$A$13:$A$17,0))</f>
        <v>50000</v>
      </c>
      <c r="G135" s="86">
        <v>5</v>
      </c>
      <c r="H135" s="86">
        <v>5</v>
      </c>
      <c r="I135" s="86">
        <v>4</v>
      </c>
      <c r="J135" s="86">
        <v>4</v>
      </c>
      <c r="K135" s="86">
        <v>3</v>
      </c>
      <c r="L135" s="86">
        <f>SUM(Table3[[#This Row],[Strategic priority segment]:[Propensity to buy/ buyer readiness]])</f>
        <v>21</v>
      </c>
      <c r="M135" s="86" t="s">
        <v>102</v>
      </c>
      <c r="N135" s="84" t="s">
        <v>61</v>
      </c>
      <c r="O135" s="84"/>
      <c r="P135" s="87"/>
      <c r="Q135" s="87"/>
      <c r="R135" s="84"/>
      <c r="S135" s="87"/>
      <c r="T135" s="87"/>
      <c r="U135" s="84">
        <v>1</v>
      </c>
      <c r="V135" s="84">
        <v>0</v>
      </c>
      <c r="W135" s="84">
        <v>0</v>
      </c>
      <c r="X135" s="84">
        <v>0</v>
      </c>
      <c r="Y135" s="84">
        <v>0</v>
      </c>
      <c r="Z135" s="84">
        <v>1</v>
      </c>
      <c r="AA135" s="84">
        <v>1</v>
      </c>
      <c r="AB135" s="84">
        <v>1</v>
      </c>
      <c r="AC135" s="84">
        <v>1</v>
      </c>
      <c r="AD135" s="84">
        <v>0</v>
      </c>
      <c r="AE135" s="84">
        <v>0</v>
      </c>
      <c r="AF135" s="84">
        <v>0</v>
      </c>
      <c r="AG135" s="84">
        <v>0</v>
      </c>
      <c r="AH135" s="84">
        <v>0</v>
      </c>
      <c r="AI135" s="84">
        <v>0</v>
      </c>
      <c r="AJ135" s="84">
        <v>0</v>
      </c>
      <c r="AK135" s="84">
        <v>0</v>
      </c>
      <c r="AL135" s="84" cm="1">
        <f t="array" ref="AL1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" s="84" cm="1">
        <f t="array" ref="AM1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" s="84" cm="1">
        <f t="array" ref="AN1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" s="84" cm="1">
        <f t="array" ref="AO1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" s="84" cm="1">
        <f t="array" ref="AP1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" s="84" cm="1">
        <f t="array" ref="AQ1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5" s="84" cm="1">
        <f t="array" ref="AR1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35" s="84" cm="1">
        <f t="array" ref="AS1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5" s="84" cm="1">
        <f t="array" ref="AT1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35" s="84" cm="1">
        <f t="array" ref="AU1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5" s="84" cm="1">
        <f t="array" ref="AV1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" s="84" cm="1">
        <f t="array" ref="AW1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5" s="84" cm="1">
        <f t="array" ref="AX1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" s="84" cm="1">
        <f t="array" ref="AY1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" s="84" cm="1">
        <f t="array" ref="AZ1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" s="84" cm="1">
        <f t="array" ref="BA1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" s="84" cm="1">
        <f t="array" ref="BB1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" s="84">
        <f>IF(SUM(Table3[[#This Row],[Column2]:[Column18]])&gt;Table3[[#This Row],[Column19]],Table3[[#This Row],[Column19]],SUM(Table3[[#This Row],[Column2]:[Column18]]))</f>
        <v>50000</v>
      </c>
      <c r="BD135" s="2">
        <f>Table3[[#This Row],[Total Spend]]/SUM(Table3[[#This Row],[Column2]:[Column18]])</f>
        <v>0.49164208456243852</v>
      </c>
    </row>
    <row r="136" spans="1:56">
      <c r="A136" s="84" t="s">
        <v>208</v>
      </c>
      <c r="B136" s="84" t="s">
        <v>57</v>
      </c>
      <c r="C136" s="84"/>
      <c r="D136" s="85">
        <v>45566</v>
      </c>
      <c r="E136" s="85" t="s">
        <v>58</v>
      </c>
      <c r="F136" s="84">
        <f>INDEX(Definitions!$G$13:$G$17,MATCH(Table3[[#This Row],[Propensity to buy/ buyer readiness]],Definitions!$A$13:$A$17,0))</f>
        <v>150000</v>
      </c>
      <c r="G136" s="86">
        <v>5</v>
      </c>
      <c r="H136" s="86">
        <v>4</v>
      </c>
      <c r="I136" s="86">
        <v>4</v>
      </c>
      <c r="J136" s="86">
        <v>4</v>
      </c>
      <c r="K136" s="86">
        <v>4</v>
      </c>
      <c r="L136" s="86">
        <f>SUM(Table3[[#This Row],[Strategic priority segment]:[Propensity to buy/ buyer readiness]])</f>
        <v>21</v>
      </c>
      <c r="M136" s="86" t="s">
        <v>191</v>
      </c>
      <c r="N136" s="84" t="s">
        <v>135</v>
      </c>
      <c r="O136" s="84"/>
      <c r="P136" s="87"/>
      <c r="Q136" s="87"/>
      <c r="R136" s="84"/>
      <c r="S136" s="87"/>
      <c r="T136" s="87"/>
      <c r="U136" s="84">
        <v>0</v>
      </c>
      <c r="V136" s="84">
        <v>0</v>
      </c>
      <c r="W136" s="84">
        <v>0</v>
      </c>
      <c r="X136" s="84">
        <v>0</v>
      </c>
      <c r="Y136" s="84">
        <v>0</v>
      </c>
      <c r="Z136" s="84">
        <v>0</v>
      </c>
      <c r="AA136" s="84">
        <v>0</v>
      </c>
      <c r="AB136" s="84">
        <v>0</v>
      </c>
      <c r="AC136" s="84">
        <v>0</v>
      </c>
      <c r="AD136" s="84">
        <v>0</v>
      </c>
      <c r="AE136" s="84">
        <v>0</v>
      </c>
      <c r="AF136" s="84">
        <v>0</v>
      </c>
      <c r="AG136" s="84">
        <v>0</v>
      </c>
      <c r="AH136" s="84">
        <v>1</v>
      </c>
      <c r="AI136" s="84">
        <v>1</v>
      </c>
      <c r="AJ136" s="84">
        <v>1</v>
      </c>
      <c r="AK136" s="84">
        <v>1</v>
      </c>
      <c r="AL136" s="84" cm="1">
        <f t="array" ref="AL1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6" s="84" cm="1">
        <f t="array" ref="AM1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" s="84" cm="1">
        <f t="array" ref="AN1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" s="84" cm="1">
        <f t="array" ref="AO1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" s="84" cm="1">
        <f t="array" ref="AP1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" s="84" cm="1">
        <f t="array" ref="AQ1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" s="84" cm="1">
        <f t="array" ref="AR1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" s="84" cm="1">
        <f t="array" ref="AS1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" s="84" cm="1">
        <f t="array" ref="AT1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" s="84" cm="1">
        <f t="array" ref="AU1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" s="84" cm="1">
        <f t="array" ref="AV1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" s="84" cm="1">
        <f t="array" ref="AW1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" s="84" cm="1">
        <f t="array" ref="AX1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" s="84" cm="1">
        <f t="array" ref="AY1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36" s="84" cm="1">
        <f t="array" ref="AZ1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36" s="84" cm="1">
        <f t="array" ref="BA1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36" s="84" cm="1">
        <f t="array" ref="BB1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36" s="84">
        <f>IF(SUM(Table3[[#This Row],[Column2]:[Column18]])&gt;Table3[[#This Row],[Column19]],Table3[[#This Row],[Column19]],SUM(Table3[[#This Row],[Column2]:[Column18]]))</f>
        <v>64350</v>
      </c>
      <c r="BD136" s="2">
        <f>Table3[[#This Row],[Total Spend]]/SUM(Table3[[#This Row],[Column2]:[Column18]])</f>
        <v>1</v>
      </c>
    </row>
    <row r="137" spans="1:56">
      <c r="A137" s="84" t="s">
        <v>209</v>
      </c>
      <c r="B137" s="84" t="s">
        <v>57</v>
      </c>
      <c r="C137" s="84"/>
      <c r="D137" s="85">
        <v>45566</v>
      </c>
      <c r="E137" s="85" t="s">
        <v>92</v>
      </c>
      <c r="F137" s="84">
        <f>INDEX(Definitions!$G$13:$G$17,MATCH(Table3[[#This Row],[Propensity to buy/ buyer readiness]],Definitions!$A$13:$A$17,0))</f>
        <v>50000</v>
      </c>
      <c r="G137" s="86">
        <v>5</v>
      </c>
      <c r="H137" s="86">
        <v>5</v>
      </c>
      <c r="I137" s="86">
        <v>4</v>
      </c>
      <c r="J137" s="86">
        <v>4</v>
      </c>
      <c r="K137" s="86">
        <v>3</v>
      </c>
      <c r="L137" s="86">
        <f>SUM(Table3[[#This Row],[Strategic priority segment]:[Propensity to buy/ buyer readiness]])</f>
        <v>21</v>
      </c>
      <c r="M137" s="86" t="s">
        <v>102</v>
      </c>
      <c r="N137" s="84" t="s">
        <v>61</v>
      </c>
      <c r="O137" s="84"/>
      <c r="P137" s="87"/>
      <c r="Q137" s="87"/>
      <c r="R137" s="84"/>
      <c r="S137" s="87"/>
      <c r="T137" s="87"/>
      <c r="U137" s="84">
        <v>1</v>
      </c>
      <c r="V137" s="84">
        <v>0</v>
      </c>
      <c r="W137" s="84">
        <v>0</v>
      </c>
      <c r="X137" s="84">
        <v>0</v>
      </c>
      <c r="Y137" s="84">
        <v>0</v>
      </c>
      <c r="Z137" s="84">
        <v>1</v>
      </c>
      <c r="AA137" s="84">
        <v>1</v>
      </c>
      <c r="AB137" s="84">
        <v>1</v>
      </c>
      <c r="AC137" s="84">
        <v>1</v>
      </c>
      <c r="AD137" s="84">
        <v>0</v>
      </c>
      <c r="AE137" s="84">
        <v>0</v>
      </c>
      <c r="AF137" s="84">
        <v>0</v>
      </c>
      <c r="AG137" s="84">
        <v>0</v>
      </c>
      <c r="AH137" s="84">
        <v>0</v>
      </c>
      <c r="AI137" s="84">
        <v>0</v>
      </c>
      <c r="AJ137" s="84">
        <v>0</v>
      </c>
      <c r="AK137" s="84">
        <v>0</v>
      </c>
      <c r="AL137" s="84" cm="1">
        <f t="array" ref="AL1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7" s="84" cm="1">
        <f t="array" ref="AM1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" s="84" cm="1">
        <f t="array" ref="AN1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" s="84" cm="1">
        <f t="array" ref="AO1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" s="84" cm="1">
        <f t="array" ref="AP1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" s="84" cm="1">
        <f t="array" ref="AQ1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7" s="84" cm="1">
        <f t="array" ref="AR1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37" s="84" cm="1">
        <f t="array" ref="AS1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7" s="84" cm="1">
        <f t="array" ref="AT1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37" s="84" cm="1">
        <f t="array" ref="AU1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" s="84" cm="1">
        <f t="array" ref="AV1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" s="84" cm="1">
        <f t="array" ref="AW1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" s="84" cm="1">
        <f t="array" ref="AX1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" s="84" cm="1">
        <f t="array" ref="AY1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" s="84" cm="1">
        <f t="array" ref="AZ1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" s="84" cm="1">
        <f t="array" ref="BA1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" s="84" cm="1">
        <f t="array" ref="BB1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" s="84">
        <f>IF(SUM(Table3[[#This Row],[Column2]:[Column18]])&gt;Table3[[#This Row],[Column19]],Table3[[#This Row],[Column19]],SUM(Table3[[#This Row],[Column2]:[Column18]]))</f>
        <v>50000</v>
      </c>
      <c r="BD137" s="2">
        <f>Table3[[#This Row],[Total Spend]]/SUM(Table3[[#This Row],[Column2]:[Column18]])</f>
        <v>0.49164208456243852</v>
      </c>
    </row>
    <row r="138" spans="1:56">
      <c r="A138" s="84" t="s">
        <v>210</v>
      </c>
      <c r="B138" s="84" t="s">
        <v>57</v>
      </c>
      <c r="C138" s="84"/>
      <c r="D138" s="85">
        <v>45566</v>
      </c>
      <c r="E138" s="85" t="s">
        <v>92</v>
      </c>
      <c r="F138" s="84">
        <f>INDEX(Definitions!$G$13:$G$17,MATCH(Table3[[#This Row],[Propensity to buy/ buyer readiness]],Definitions!$A$13:$A$17,0))</f>
        <v>50000</v>
      </c>
      <c r="G138" s="86">
        <v>5</v>
      </c>
      <c r="H138" s="86">
        <v>5</v>
      </c>
      <c r="I138" s="86">
        <v>4</v>
      </c>
      <c r="J138" s="86">
        <v>4</v>
      </c>
      <c r="K138" s="86">
        <v>3</v>
      </c>
      <c r="L138" s="86">
        <f>SUM(Table3[[#This Row],[Strategic priority segment]:[Propensity to buy/ buyer readiness]])</f>
        <v>21</v>
      </c>
      <c r="M138" s="86" t="s">
        <v>102</v>
      </c>
      <c r="N138" s="84" t="s">
        <v>61</v>
      </c>
      <c r="O138" s="84" t="s">
        <v>62</v>
      </c>
      <c r="P138" s="87"/>
      <c r="Q138" s="87"/>
      <c r="R138" s="84"/>
      <c r="S138" s="87"/>
      <c r="T138" s="87"/>
      <c r="U138" s="84">
        <v>1</v>
      </c>
      <c r="V138" s="84">
        <v>0</v>
      </c>
      <c r="W138" s="84">
        <v>0</v>
      </c>
      <c r="X138" s="84">
        <v>0</v>
      </c>
      <c r="Y138" s="84">
        <v>0</v>
      </c>
      <c r="Z138" s="84">
        <v>1</v>
      </c>
      <c r="AA138" s="84">
        <v>1</v>
      </c>
      <c r="AB138" s="84">
        <v>1</v>
      </c>
      <c r="AC138" s="84">
        <v>1</v>
      </c>
      <c r="AD138" s="84">
        <v>1</v>
      </c>
      <c r="AE138" s="84">
        <v>1</v>
      </c>
      <c r="AF138" s="84">
        <v>1</v>
      </c>
      <c r="AG138" s="84">
        <v>1</v>
      </c>
      <c r="AH138" s="84">
        <v>0</v>
      </c>
      <c r="AI138" s="84">
        <v>0</v>
      </c>
      <c r="AJ138" s="84">
        <v>0</v>
      </c>
      <c r="AK138" s="84">
        <v>0</v>
      </c>
      <c r="AL138" s="84" cm="1">
        <f t="array" ref="AL1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8" s="84" cm="1">
        <f t="array" ref="AM1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" s="84" cm="1">
        <f t="array" ref="AN1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" s="84" cm="1">
        <f t="array" ref="AO1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" s="84" cm="1">
        <f t="array" ref="AP1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" s="84" cm="1">
        <f t="array" ref="AQ1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8" s="84" cm="1">
        <f t="array" ref="AR1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38" s="84" cm="1">
        <f t="array" ref="AS1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8" s="84" cm="1">
        <f t="array" ref="AT1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38" s="84" cm="1">
        <f t="array" ref="AU1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8" s="84" cm="1">
        <f t="array" ref="AV1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38" s="84" cm="1">
        <f t="array" ref="AW1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8" s="84" cm="1">
        <f t="array" ref="AX1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38" s="84" cm="1">
        <f t="array" ref="AY1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8" s="84" cm="1">
        <f t="array" ref="AZ1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8" s="84" cm="1">
        <f t="array" ref="BA1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8" s="84" cm="1">
        <f t="array" ref="BB1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8" s="84">
        <f>IF(SUM(Table3[[#This Row],[Column2]:[Column18]])&gt;Table3[[#This Row],[Column19]],Table3[[#This Row],[Column19]],SUM(Table3[[#This Row],[Column2]:[Column18]]))</f>
        <v>50000</v>
      </c>
      <c r="BD138" s="2">
        <f>Table3[[#This Row],[Total Spend]]/SUM(Table3[[#This Row],[Column2]:[Column18]])</f>
        <v>0.2664535038635758</v>
      </c>
    </row>
    <row r="139" spans="1:56">
      <c r="A139" s="84" t="s">
        <v>211</v>
      </c>
      <c r="B139" s="84" t="s">
        <v>57</v>
      </c>
      <c r="C139" s="84"/>
      <c r="D139" s="85">
        <v>45566</v>
      </c>
      <c r="E139" s="85" t="s">
        <v>58</v>
      </c>
      <c r="F139" s="84">
        <f>INDEX(Definitions!$G$13:$G$17,MATCH(Table3[[#This Row],[Propensity to buy/ buyer readiness]],Definitions!$A$13:$A$17,0))</f>
        <v>150000</v>
      </c>
      <c r="G139" s="86">
        <v>5</v>
      </c>
      <c r="H139" s="86">
        <v>4</v>
      </c>
      <c r="I139" s="86">
        <v>4</v>
      </c>
      <c r="J139" s="86">
        <v>4</v>
      </c>
      <c r="K139" s="86">
        <v>4</v>
      </c>
      <c r="L139" s="86">
        <f>SUM(Table3[[#This Row],[Strategic priority segment]:[Propensity to buy/ buyer readiness]])</f>
        <v>21</v>
      </c>
      <c r="M139" s="86" t="s">
        <v>102</v>
      </c>
      <c r="N139" s="84" t="s">
        <v>122</v>
      </c>
      <c r="O139" s="84" t="s">
        <v>61</v>
      </c>
      <c r="P139" s="87"/>
      <c r="Q139" s="87"/>
      <c r="R139" s="84"/>
      <c r="S139" s="87"/>
      <c r="T139" s="87"/>
      <c r="U139" s="84">
        <v>1</v>
      </c>
      <c r="V139" s="84">
        <v>0</v>
      </c>
      <c r="W139" s="84">
        <v>0</v>
      </c>
      <c r="X139" s="84">
        <v>0</v>
      </c>
      <c r="Y139" s="84">
        <v>0</v>
      </c>
      <c r="Z139" s="84">
        <v>1</v>
      </c>
      <c r="AA139" s="84">
        <v>1</v>
      </c>
      <c r="AB139" s="84">
        <v>1</v>
      </c>
      <c r="AC139" s="84">
        <v>1</v>
      </c>
      <c r="AD139" s="84">
        <v>1</v>
      </c>
      <c r="AE139" s="84">
        <v>0</v>
      </c>
      <c r="AF139" s="84">
        <v>1</v>
      </c>
      <c r="AG139" s="84">
        <v>0</v>
      </c>
      <c r="AH139" s="84">
        <v>0</v>
      </c>
      <c r="AI139" s="84">
        <v>0</v>
      </c>
      <c r="AJ139" s="84">
        <v>0</v>
      </c>
      <c r="AK139" s="84">
        <v>0</v>
      </c>
      <c r="AL139" s="84" cm="1">
        <f t="array" ref="AL1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9" s="84" cm="1">
        <f t="array" ref="AM1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" s="84" cm="1">
        <f t="array" ref="AN1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" s="84" cm="1">
        <f t="array" ref="AO1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" s="84" cm="1">
        <f t="array" ref="AP1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" s="84" cm="1">
        <f t="array" ref="AQ1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39" s="84" cm="1">
        <f t="array" ref="AR1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39" s="84" cm="1">
        <f t="array" ref="AS1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39" s="84" cm="1">
        <f t="array" ref="AT1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39" s="84" cm="1">
        <f t="array" ref="AU1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39" s="84" cm="1">
        <f t="array" ref="AV1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" s="84" cm="1">
        <f t="array" ref="AW1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39" s="84" cm="1">
        <f t="array" ref="AX1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" s="84" cm="1">
        <f t="array" ref="AY1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" s="84" cm="1">
        <f t="array" ref="AZ1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" s="84" cm="1">
        <f t="array" ref="BA1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" s="84" cm="1">
        <f t="array" ref="BB1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" s="84">
        <f>IF(SUM(Table3[[#This Row],[Column2]:[Column18]])&gt;Table3[[#This Row],[Column19]],Table3[[#This Row],[Column19]],SUM(Table3[[#This Row],[Column2]:[Column18]]))</f>
        <v>150000</v>
      </c>
      <c r="BD139" s="2">
        <f>Table3[[#This Row],[Total Spend]]/SUM(Table3[[#This Row],[Column2]:[Column18]])</f>
        <v>0.70028011204481788</v>
      </c>
    </row>
    <row r="140" spans="1:56">
      <c r="A140" s="84" t="s">
        <v>212</v>
      </c>
      <c r="B140" s="84" t="s">
        <v>57</v>
      </c>
      <c r="C140" s="84"/>
      <c r="D140" s="85">
        <v>45566</v>
      </c>
      <c r="E140" s="85" t="s">
        <v>92</v>
      </c>
      <c r="F140" s="84">
        <f>INDEX(Definitions!$G$13:$G$17,MATCH(Table3[[#This Row],[Propensity to buy/ buyer readiness]],Definitions!$A$13:$A$17,0))</f>
        <v>50000</v>
      </c>
      <c r="G140" s="86">
        <v>5</v>
      </c>
      <c r="H140" s="86">
        <v>5</v>
      </c>
      <c r="I140" s="86">
        <v>4</v>
      </c>
      <c r="J140" s="86">
        <v>4</v>
      </c>
      <c r="K140" s="86">
        <v>3</v>
      </c>
      <c r="L140" s="86">
        <f>SUM(Table3[[#This Row],[Strategic priority segment]:[Propensity to buy/ buyer readiness]])</f>
        <v>21</v>
      </c>
      <c r="M140" s="86" t="s">
        <v>102</v>
      </c>
      <c r="N140" s="84" t="s">
        <v>61</v>
      </c>
      <c r="O140" s="84" t="s">
        <v>135</v>
      </c>
      <c r="P140" s="87"/>
      <c r="Q140" s="87"/>
      <c r="R140" s="84"/>
      <c r="S140" s="87"/>
      <c r="T140" s="87"/>
      <c r="U140" s="84">
        <v>1</v>
      </c>
      <c r="V140" s="84">
        <v>0</v>
      </c>
      <c r="W140" s="84">
        <v>0</v>
      </c>
      <c r="X140" s="84">
        <v>0</v>
      </c>
      <c r="Y140" s="84">
        <v>0</v>
      </c>
      <c r="Z140" s="84">
        <v>1</v>
      </c>
      <c r="AA140" s="84">
        <v>1</v>
      </c>
      <c r="AB140" s="84">
        <v>1</v>
      </c>
      <c r="AC140" s="84">
        <v>1</v>
      </c>
      <c r="AD140" s="84">
        <v>0</v>
      </c>
      <c r="AE140" s="84">
        <v>0</v>
      </c>
      <c r="AF140" s="84">
        <v>0</v>
      </c>
      <c r="AG140" s="84">
        <v>0</v>
      </c>
      <c r="AH140" s="84">
        <v>1</v>
      </c>
      <c r="AI140" s="84">
        <v>1</v>
      </c>
      <c r="AJ140" s="84">
        <v>1</v>
      </c>
      <c r="AK140" s="84">
        <v>1</v>
      </c>
      <c r="AL140" s="84" cm="1">
        <f t="array" ref="AL1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0" s="84" cm="1">
        <f t="array" ref="AM1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" s="84" cm="1">
        <f t="array" ref="AN1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" s="84" cm="1">
        <f t="array" ref="AO1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" s="84" cm="1">
        <f t="array" ref="AP1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" s="84" cm="1">
        <f t="array" ref="AQ1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0" s="84" cm="1">
        <f t="array" ref="AR1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0" s="84" cm="1">
        <f t="array" ref="AS1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0" s="84" cm="1">
        <f t="array" ref="AT1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0" s="84" cm="1">
        <f t="array" ref="AU1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" s="84" cm="1">
        <f t="array" ref="AV1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" s="84" cm="1">
        <f t="array" ref="AW1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" s="84" cm="1">
        <f t="array" ref="AX1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" s="84" cm="1">
        <f t="array" ref="AY1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" s="84" cm="1">
        <f t="array" ref="AZ1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" s="84" cm="1">
        <f t="array" ref="BA1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" s="84" cm="1">
        <f t="array" ref="BB1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" s="84">
        <f>IF(SUM(Table3[[#This Row],[Column2]:[Column18]])&gt;Table3[[#This Row],[Column19]],Table3[[#This Row],[Column19]],SUM(Table3[[#This Row],[Column2]:[Column18]]))</f>
        <v>50000</v>
      </c>
      <c r="BD140" s="2">
        <f>Table3[[#This Row],[Total Spend]]/SUM(Table3[[#This Row],[Column2]:[Column18]])</f>
        <v>0.33772374197906113</v>
      </c>
    </row>
    <row r="141" spans="1:56">
      <c r="A141" s="84" t="s">
        <v>213</v>
      </c>
      <c r="B141" s="84" t="s">
        <v>57</v>
      </c>
      <c r="C141" s="84" t="s">
        <v>57</v>
      </c>
      <c r="D141" s="85">
        <v>45566</v>
      </c>
      <c r="E141" s="85" t="s">
        <v>92</v>
      </c>
      <c r="F141" s="84">
        <f>INDEX(Definitions!$G$13:$G$17,MATCH(Table3[[#This Row],[Propensity to buy/ buyer readiness]],Definitions!$A$13:$A$17,0))</f>
        <v>50000</v>
      </c>
      <c r="G141" s="86">
        <v>5</v>
      </c>
      <c r="H141" s="86">
        <v>5</v>
      </c>
      <c r="I141" s="86">
        <v>4</v>
      </c>
      <c r="J141" s="86">
        <v>4</v>
      </c>
      <c r="K141" s="86">
        <v>3</v>
      </c>
      <c r="L141" s="86">
        <f>SUM(Table3[[#This Row],[Strategic priority segment]:[Propensity to buy/ buyer readiness]])</f>
        <v>21</v>
      </c>
      <c r="M141" s="86" t="s">
        <v>102</v>
      </c>
      <c r="N141" s="84" t="s">
        <v>61</v>
      </c>
      <c r="O141" s="84"/>
      <c r="P141" s="87"/>
      <c r="Q141" s="87"/>
      <c r="R141" s="84"/>
      <c r="S141" s="87"/>
      <c r="T141" s="87"/>
      <c r="U141" s="84">
        <v>1</v>
      </c>
      <c r="V141" s="84">
        <v>0</v>
      </c>
      <c r="W141" s="84">
        <v>0</v>
      </c>
      <c r="X141" s="84">
        <v>0</v>
      </c>
      <c r="Y141" s="84">
        <v>0</v>
      </c>
      <c r="Z141" s="84">
        <v>1</v>
      </c>
      <c r="AA141" s="84">
        <v>1</v>
      </c>
      <c r="AB141" s="84">
        <v>1</v>
      </c>
      <c r="AC141" s="84">
        <v>1</v>
      </c>
      <c r="AD141" s="84">
        <v>0</v>
      </c>
      <c r="AE141" s="84">
        <v>0</v>
      </c>
      <c r="AF141" s="84">
        <v>0</v>
      </c>
      <c r="AG141" s="84">
        <v>0</v>
      </c>
      <c r="AH141" s="84">
        <v>0</v>
      </c>
      <c r="AI141" s="84">
        <v>0</v>
      </c>
      <c r="AJ141" s="84">
        <v>0</v>
      </c>
      <c r="AK141" s="84">
        <v>0</v>
      </c>
      <c r="AL141" s="84" cm="1">
        <f t="array" ref="AL1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1" s="84" cm="1">
        <f t="array" ref="AM1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" s="84" cm="1">
        <f t="array" ref="AN1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" s="84" cm="1">
        <f t="array" ref="AO1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" s="84" cm="1">
        <f t="array" ref="AP1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" s="84" cm="1">
        <f t="array" ref="AQ1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1" s="84" cm="1">
        <f t="array" ref="AR1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1" s="84" cm="1">
        <f t="array" ref="AS1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1" s="84" cm="1">
        <f t="array" ref="AT1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1" s="84" cm="1">
        <f t="array" ref="AU1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" s="84" cm="1">
        <f t="array" ref="AV1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" s="84" cm="1">
        <f t="array" ref="AW1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" s="84" cm="1">
        <f t="array" ref="AX1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" s="84" cm="1">
        <f t="array" ref="AY1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1" s="84" cm="1">
        <f t="array" ref="AZ1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1" s="84" cm="1">
        <f t="array" ref="BA1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1" s="84" cm="1">
        <f t="array" ref="BB1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1" s="84">
        <f>IF(SUM(Table3[[#This Row],[Column2]:[Column18]])&gt;Table3[[#This Row],[Column19]],Table3[[#This Row],[Column19]],SUM(Table3[[#This Row],[Column2]:[Column18]]))</f>
        <v>50000</v>
      </c>
      <c r="BD141" s="2">
        <f>Table3[[#This Row],[Total Spend]]/SUM(Table3[[#This Row],[Column2]:[Column18]])</f>
        <v>0.49164208456243852</v>
      </c>
    </row>
    <row r="142" spans="1:56">
      <c r="A142" s="84" t="s">
        <v>214</v>
      </c>
      <c r="B142" s="84" t="s">
        <v>57</v>
      </c>
      <c r="C142" s="84"/>
      <c r="D142" s="85">
        <v>45566</v>
      </c>
      <c r="E142" s="85" t="s">
        <v>58</v>
      </c>
      <c r="F142" s="84">
        <f>INDEX(Definitions!$G$13:$G$17,MATCH(Table3[[#This Row],[Propensity to buy/ buyer readiness]],Definitions!$A$13:$A$17,0))</f>
        <v>250000</v>
      </c>
      <c r="G142" s="86">
        <v>5</v>
      </c>
      <c r="H142" s="86">
        <v>4</v>
      </c>
      <c r="I142" s="86">
        <v>4</v>
      </c>
      <c r="J142" s="86">
        <v>3</v>
      </c>
      <c r="K142" s="86">
        <v>5</v>
      </c>
      <c r="L142" s="86">
        <f>SUM(Table3[[#This Row],[Strategic priority segment]:[Propensity to buy/ buyer readiness]])</f>
        <v>21</v>
      </c>
      <c r="M142" s="86" t="s">
        <v>66</v>
      </c>
      <c r="N142" s="84" t="s">
        <v>62</v>
      </c>
      <c r="O142" s="84" t="s">
        <v>63</v>
      </c>
      <c r="P142" s="87"/>
      <c r="Q142" s="87"/>
      <c r="R142" s="84"/>
      <c r="S142" s="87"/>
      <c r="T142" s="87"/>
      <c r="U142" s="84">
        <v>1</v>
      </c>
      <c r="V142" s="84">
        <v>0</v>
      </c>
      <c r="W142" s="84">
        <v>1</v>
      </c>
      <c r="X142" s="84">
        <v>0</v>
      </c>
      <c r="Y142" s="84">
        <v>0</v>
      </c>
      <c r="Z142" s="84">
        <v>0</v>
      </c>
      <c r="AA142" s="84">
        <v>1</v>
      </c>
      <c r="AB142" s="84">
        <v>0</v>
      </c>
      <c r="AC142" s="84">
        <v>0</v>
      </c>
      <c r="AD142" s="84">
        <v>1</v>
      </c>
      <c r="AE142" s="84">
        <v>1</v>
      </c>
      <c r="AF142" s="84">
        <v>1</v>
      </c>
      <c r="AG142" s="84">
        <v>1</v>
      </c>
      <c r="AH142" s="84">
        <v>0</v>
      </c>
      <c r="AI142" s="84">
        <v>0</v>
      </c>
      <c r="AJ142" s="84">
        <v>0</v>
      </c>
      <c r="AK142" s="84">
        <v>0</v>
      </c>
      <c r="AL142" s="84" cm="1">
        <f t="array" ref="AL1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42" s="84" cm="1">
        <f t="array" ref="AM1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" s="84" cm="1">
        <f t="array" ref="AN1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42" s="84" cm="1">
        <f t="array" ref="AO1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" s="84" cm="1">
        <f t="array" ref="AP1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" s="84" cm="1">
        <f t="array" ref="AQ1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" s="84" cm="1">
        <f t="array" ref="AR1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42" s="84" cm="1">
        <f t="array" ref="AS1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" s="84" cm="1">
        <f t="array" ref="AT1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" s="84" cm="1">
        <f t="array" ref="AU1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42" s="84" cm="1">
        <f t="array" ref="AV1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42" s="84" cm="1">
        <f t="array" ref="AW1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42" s="84" cm="1">
        <f t="array" ref="AX1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42" s="84" cm="1">
        <f t="array" ref="AY1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" s="84" cm="1">
        <f t="array" ref="AZ1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2" s="84" cm="1">
        <f t="array" ref="BA1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" s="84" cm="1">
        <f t="array" ref="BB1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" s="84">
        <f>IF(SUM(Table3[[#This Row],[Column2]:[Column18]])&gt;Table3[[#This Row],[Column19]],Table3[[#This Row],[Column19]],SUM(Table3[[#This Row],[Column2]:[Column18]]))</f>
        <v>225900</v>
      </c>
      <c r="BD142" s="2">
        <f>Table3[[#This Row],[Total Spend]]/SUM(Table3[[#This Row],[Column2]:[Column18]])</f>
        <v>1</v>
      </c>
    </row>
    <row r="143" spans="1:56">
      <c r="A143" s="84" t="s">
        <v>215</v>
      </c>
      <c r="B143" s="84" t="s">
        <v>57</v>
      </c>
      <c r="C143" s="84"/>
      <c r="D143" s="85">
        <v>45566</v>
      </c>
      <c r="E143" s="85" t="s">
        <v>92</v>
      </c>
      <c r="F143" s="84">
        <f>INDEX(Definitions!$G$13:$G$17,MATCH(Table3[[#This Row],[Propensity to buy/ buyer readiness]],Definitions!$A$13:$A$17,0))</f>
        <v>50000</v>
      </c>
      <c r="G143" s="86">
        <v>5</v>
      </c>
      <c r="H143" s="86">
        <v>5</v>
      </c>
      <c r="I143" s="86">
        <v>4</v>
      </c>
      <c r="J143" s="86">
        <v>4</v>
      </c>
      <c r="K143" s="86">
        <v>3</v>
      </c>
      <c r="L143" s="86">
        <f>SUM(Table3[[#This Row],[Strategic priority segment]:[Propensity to buy/ buyer readiness]])</f>
        <v>21</v>
      </c>
      <c r="M143" s="86" t="s">
        <v>102</v>
      </c>
      <c r="N143" s="84" t="s">
        <v>61</v>
      </c>
      <c r="O143" s="84"/>
      <c r="P143" s="87"/>
      <c r="Q143" s="87"/>
      <c r="R143" s="84"/>
      <c r="S143" s="87"/>
      <c r="T143" s="87"/>
      <c r="U143" s="84">
        <v>1</v>
      </c>
      <c r="V143" s="84">
        <v>0</v>
      </c>
      <c r="W143" s="84">
        <v>0</v>
      </c>
      <c r="X143" s="84">
        <v>0</v>
      </c>
      <c r="Y143" s="84">
        <v>0</v>
      </c>
      <c r="Z143" s="84">
        <v>1</v>
      </c>
      <c r="AA143" s="84">
        <v>1</v>
      </c>
      <c r="AB143" s="84">
        <v>1</v>
      </c>
      <c r="AC143" s="84">
        <v>1</v>
      </c>
      <c r="AD143" s="84">
        <v>0</v>
      </c>
      <c r="AE143" s="84">
        <v>0</v>
      </c>
      <c r="AF143" s="84">
        <v>0</v>
      </c>
      <c r="AG143" s="84">
        <v>0</v>
      </c>
      <c r="AH143" s="84">
        <v>0</v>
      </c>
      <c r="AI143" s="84">
        <v>0</v>
      </c>
      <c r="AJ143" s="84">
        <v>0</v>
      </c>
      <c r="AK143" s="84">
        <v>0</v>
      </c>
      <c r="AL143" s="84" cm="1">
        <f t="array" ref="AL1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3" s="84" cm="1">
        <f t="array" ref="AM1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" s="84" cm="1">
        <f t="array" ref="AN1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" s="84" cm="1">
        <f t="array" ref="AO1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" s="84" cm="1">
        <f t="array" ref="AP1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" s="84" cm="1">
        <f t="array" ref="AQ1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3" s="84" cm="1">
        <f t="array" ref="AR1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3" s="84" cm="1">
        <f t="array" ref="AS1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3" s="84" cm="1">
        <f t="array" ref="AT1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3" s="84" cm="1">
        <f t="array" ref="AU1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" s="84" cm="1">
        <f t="array" ref="AV1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" s="84" cm="1">
        <f t="array" ref="AW1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" s="84" cm="1">
        <f t="array" ref="AX1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" s="84" cm="1">
        <f t="array" ref="AY1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3" s="84" cm="1">
        <f t="array" ref="AZ1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3" s="84" cm="1">
        <f t="array" ref="BA1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3" s="84" cm="1">
        <f t="array" ref="BB1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3" s="84">
        <f>IF(SUM(Table3[[#This Row],[Column2]:[Column18]])&gt;Table3[[#This Row],[Column19]],Table3[[#This Row],[Column19]],SUM(Table3[[#This Row],[Column2]:[Column18]]))</f>
        <v>50000</v>
      </c>
      <c r="BD143" s="2">
        <f>Table3[[#This Row],[Total Spend]]/SUM(Table3[[#This Row],[Column2]:[Column18]])</f>
        <v>0.49164208456243852</v>
      </c>
    </row>
    <row r="144" spans="1:56">
      <c r="A144" s="84" t="s">
        <v>216</v>
      </c>
      <c r="B144" s="84" t="s">
        <v>57</v>
      </c>
      <c r="C144" s="84" t="s">
        <v>57</v>
      </c>
      <c r="D144" s="85">
        <v>45566</v>
      </c>
      <c r="E144" s="85" t="s">
        <v>92</v>
      </c>
      <c r="F144" s="84">
        <f>INDEX(Definitions!$G$13:$G$17,MATCH(Table3[[#This Row],[Propensity to buy/ buyer readiness]],Definitions!$A$13:$A$17,0))</f>
        <v>50000</v>
      </c>
      <c r="G144" s="86">
        <v>5</v>
      </c>
      <c r="H144" s="86">
        <v>5</v>
      </c>
      <c r="I144" s="86">
        <v>4</v>
      </c>
      <c r="J144" s="86">
        <v>4</v>
      </c>
      <c r="K144" s="86">
        <v>3</v>
      </c>
      <c r="L144" s="86">
        <f>SUM(Table3[[#This Row],[Strategic priority segment]:[Propensity to buy/ buyer readiness]])</f>
        <v>21</v>
      </c>
      <c r="M144" s="86" t="s">
        <v>102</v>
      </c>
      <c r="N144" s="84" t="s">
        <v>61</v>
      </c>
      <c r="O144" s="84"/>
      <c r="P144" s="87"/>
      <c r="Q144" s="87"/>
      <c r="R144" s="84"/>
      <c r="S144" s="87"/>
      <c r="T144" s="87"/>
      <c r="U144" s="84">
        <v>1</v>
      </c>
      <c r="V144" s="84">
        <v>0</v>
      </c>
      <c r="W144" s="84">
        <v>0</v>
      </c>
      <c r="X144" s="84">
        <v>0</v>
      </c>
      <c r="Y144" s="84">
        <v>0</v>
      </c>
      <c r="Z144" s="84">
        <v>1</v>
      </c>
      <c r="AA144" s="84">
        <v>1</v>
      </c>
      <c r="AB144" s="84">
        <v>1</v>
      </c>
      <c r="AC144" s="84">
        <v>1</v>
      </c>
      <c r="AD144" s="84">
        <v>0</v>
      </c>
      <c r="AE144" s="84">
        <v>0</v>
      </c>
      <c r="AF144" s="84">
        <v>0</v>
      </c>
      <c r="AG144" s="84">
        <v>0</v>
      </c>
      <c r="AH144" s="84">
        <v>0</v>
      </c>
      <c r="AI144" s="84">
        <v>0</v>
      </c>
      <c r="AJ144" s="84">
        <v>0</v>
      </c>
      <c r="AK144" s="84">
        <v>0</v>
      </c>
      <c r="AL144" s="84" cm="1">
        <f t="array" ref="AL1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4" s="84" cm="1">
        <f t="array" ref="AM1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" s="84" cm="1">
        <f t="array" ref="AN1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" s="84" cm="1">
        <f t="array" ref="AO1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" s="84" cm="1">
        <f t="array" ref="AP1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" s="84" cm="1">
        <f t="array" ref="AQ1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4" s="84" cm="1">
        <f t="array" ref="AR1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4" s="84" cm="1">
        <f t="array" ref="AS1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4" s="84" cm="1">
        <f t="array" ref="AT1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4" s="84" cm="1">
        <f t="array" ref="AU1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" s="84" cm="1">
        <f t="array" ref="AV1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" s="84" cm="1">
        <f t="array" ref="AW1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" s="84" cm="1">
        <f t="array" ref="AX1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" s="84" cm="1">
        <f t="array" ref="AY1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4" s="84" cm="1">
        <f t="array" ref="AZ1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4" s="84" cm="1">
        <f t="array" ref="BA1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4" s="84" cm="1">
        <f t="array" ref="BB1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4" s="84">
        <f>IF(SUM(Table3[[#This Row],[Column2]:[Column18]])&gt;Table3[[#This Row],[Column19]],Table3[[#This Row],[Column19]],SUM(Table3[[#This Row],[Column2]:[Column18]]))</f>
        <v>50000</v>
      </c>
      <c r="BD144" s="2">
        <f>Table3[[#This Row],[Total Spend]]/SUM(Table3[[#This Row],[Column2]:[Column18]])</f>
        <v>0.49164208456243852</v>
      </c>
    </row>
    <row r="145" spans="1:56">
      <c r="A145" s="84" t="s">
        <v>217</v>
      </c>
      <c r="B145" s="84" t="s">
        <v>57</v>
      </c>
      <c r="C145" s="84"/>
      <c r="D145" s="85">
        <v>45566</v>
      </c>
      <c r="E145" s="85" t="s">
        <v>92</v>
      </c>
      <c r="F145" s="84">
        <f>INDEX(Definitions!$G$13:$G$17,MATCH(Table3[[#This Row],[Propensity to buy/ buyer readiness]],Definitions!$A$13:$A$17,0))</f>
        <v>50000</v>
      </c>
      <c r="G145" s="86">
        <v>5</v>
      </c>
      <c r="H145" s="86">
        <v>5</v>
      </c>
      <c r="I145" s="86">
        <v>4</v>
      </c>
      <c r="J145" s="86">
        <v>4</v>
      </c>
      <c r="K145" s="86">
        <v>3</v>
      </c>
      <c r="L145" s="86">
        <f>SUM(Table3[[#This Row],[Strategic priority segment]:[Propensity to buy/ buyer readiness]])</f>
        <v>21</v>
      </c>
      <c r="M145" s="86" t="s">
        <v>102</v>
      </c>
      <c r="N145" s="84" t="s">
        <v>61</v>
      </c>
      <c r="O145" s="84"/>
      <c r="P145" s="87"/>
      <c r="Q145" s="87"/>
      <c r="R145" s="84"/>
      <c r="S145" s="87"/>
      <c r="T145" s="87"/>
      <c r="U145" s="84">
        <v>1</v>
      </c>
      <c r="V145" s="84">
        <v>0</v>
      </c>
      <c r="W145" s="84">
        <v>0</v>
      </c>
      <c r="X145" s="84">
        <v>0</v>
      </c>
      <c r="Y145" s="84">
        <v>0</v>
      </c>
      <c r="Z145" s="84">
        <v>1</v>
      </c>
      <c r="AA145" s="84">
        <v>1</v>
      </c>
      <c r="AB145" s="84">
        <v>1</v>
      </c>
      <c r="AC145" s="84">
        <v>1</v>
      </c>
      <c r="AD145" s="84">
        <v>0</v>
      </c>
      <c r="AE145" s="84">
        <v>0</v>
      </c>
      <c r="AF145" s="84">
        <v>0</v>
      </c>
      <c r="AG145" s="84">
        <v>0</v>
      </c>
      <c r="AH145" s="84">
        <v>0</v>
      </c>
      <c r="AI145" s="84">
        <v>0</v>
      </c>
      <c r="AJ145" s="84">
        <v>0</v>
      </c>
      <c r="AK145" s="84">
        <v>0</v>
      </c>
      <c r="AL145" s="84" cm="1">
        <f t="array" ref="AL1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5" s="84" cm="1">
        <f t="array" ref="AM1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" s="84" cm="1">
        <f t="array" ref="AN1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" s="84" cm="1">
        <f t="array" ref="AO1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" s="84" cm="1">
        <f t="array" ref="AP1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" s="84" cm="1">
        <f t="array" ref="AQ1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5" s="84" cm="1">
        <f t="array" ref="AR1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5" s="84" cm="1">
        <f t="array" ref="AS1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5" s="84" cm="1">
        <f t="array" ref="AT1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5" s="84" cm="1">
        <f t="array" ref="AU1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" s="84" cm="1">
        <f t="array" ref="AV1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" s="84" cm="1">
        <f t="array" ref="AW1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" s="84" cm="1">
        <f t="array" ref="AX1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" s="84" cm="1">
        <f t="array" ref="AY1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5" s="84" cm="1">
        <f t="array" ref="AZ1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5" s="84" cm="1">
        <f t="array" ref="BA1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5" s="84" cm="1">
        <f t="array" ref="BB1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5" s="84">
        <f>IF(SUM(Table3[[#This Row],[Column2]:[Column18]])&gt;Table3[[#This Row],[Column19]],Table3[[#This Row],[Column19]],SUM(Table3[[#This Row],[Column2]:[Column18]]))</f>
        <v>50000</v>
      </c>
      <c r="BD145" s="2">
        <f>Table3[[#This Row],[Total Spend]]/SUM(Table3[[#This Row],[Column2]:[Column18]])</f>
        <v>0.49164208456243852</v>
      </c>
    </row>
    <row r="146" spans="1:56">
      <c r="A146" s="84" t="s">
        <v>218</v>
      </c>
      <c r="B146" s="84" t="s">
        <v>57</v>
      </c>
      <c r="C146" s="84"/>
      <c r="D146" s="85">
        <v>45566</v>
      </c>
      <c r="E146" s="85" t="s">
        <v>92</v>
      </c>
      <c r="F146" s="84">
        <f>INDEX(Definitions!$G$13:$G$17,MATCH(Table3[[#This Row],[Propensity to buy/ buyer readiness]],Definitions!$A$13:$A$17,0))</f>
        <v>50000</v>
      </c>
      <c r="G146" s="86">
        <v>5</v>
      </c>
      <c r="H146" s="86">
        <v>5</v>
      </c>
      <c r="I146" s="86">
        <v>4</v>
      </c>
      <c r="J146" s="86">
        <v>4</v>
      </c>
      <c r="K146" s="86">
        <v>3</v>
      </c>
      <c r="L146" s="86">
        <f>SUM(Table3[[#This Row],[Strategic priority segment]:[Propensity to buy/ buyer readiness]])</f>
        <v>21</v>
      </c>
      <c r="M146" s="86" t="s">
        <v>102</v>
      </c>
      <c r="N146" s="84" t="s">
        <v>61</v>
      </c>
      <c r="O146" s="84"/>
      <c r="P146" s="87"/>
      <c r="Q146" s="87"/>
      <c r="R146" s="84"/>
      <c r="S146" s="87"/>
      <c r="T146" s="87"/>
      <c r="U146" s="84">
        <v>1</v>
      </c>
      <c r="V146" s="84">
        <v>0</v>
      </c>
      <c r="W146" s="84">
        <v>0</v>
      </c>
      <c r="X146" s="84">
        <v>0</v>
      </c>
      <c r="Y146" s="84">
        <v>0</v>
      </c>
      <c r="Z146" s="84">
        <v>1</v>
      </c>
      <c r="AA146" s="84">
        <v>1</v>
      </c>
      <c r="AB146" s="84">
        <v>1</v>
      </c>
      <c r="AC146" s="84">
        <v>1</v>
      </c>
      <c r="AD146" s="84">
        <v>0</v>
      </c>
      <c r="AE146" s="84">
        <v>0</v>
      </c>
      <c r="AF146" s="84">
        <v>0</v>
      </c>
      <c r="AG146" s="84">
        <v>0</v>
      </c>
      <c r="AH146" s="84">
        <v>0</v>
      </c>
      <c r="AI146" s="84">
        <v>0</v>
      </c>
      <c r="AJ146" s="84">
        <v>0</v>
      </c>
      <c r="AK146" s="84">
        <v>0</v>
      </c>
      <c r="AL146" s="84" cm="1">
        <f t="array" ref="AL1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6" s="84" cm="1">
        <f t="array" ref="AM1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" s="84" cm="1">
        <f t="array" ref="AN1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" s="84" cm="1">
        <f t="array" ref="AO1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" s="84" cm="1">
        <f t="array" ref="AP1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" s="84" cm="1">
        <f t="array" ref="AQ1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6" s="84" cm="1">
        <f t="array" ref="AR1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6" s="84" cm="1">
        <f t="array" ref="AS1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6" s="84" cm="1">
        <f t="array" ref="AT1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6" s="84" cm="1">
        <f t="array" ref="AU1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" s="84" cm="1">
        <f t="array" ref="AV1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" s="84" cm="1">
        <f t="array" ref="AW1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" s="84" cm="1">
        <f t="array" ref="AX1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" s="84" cm="1">
        <f t="array" ref="AY1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6" s="84" cm="1">
        <f t="array" ref="AZ1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6" s="84" cm="1">
        <f t="array" ref="BA1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6" s="84" cm="1">
        <f t="array" ref="BB1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6" s="84">
        <f>IF(SUM(Table3[[#This Row],[Column2]:[Column18]])&gt;Table3[[#This Row],[Column19]],Table3[[#This Row],[Column19]],SUM(Table3[[#This Row],[Column2]:[Column18]]))</f>
        <v>50000</v>
      </c>
      <c r="BD146" s="2">
        <f>Table3[[#This Row],[Total Spend]]/SUM(Table3[[#This Row],[Column2]:[Column18]])</f>
        <v>0.49164208456243852</v>
      </c>
    </row>
    <row r="147" spans="1:56">
      <c r="A147" s="84" t="s">
        <v>219</v>
      </c>
      <c r="B147" s="84" t="s">
        <v>57</v>
      </c>
      <c r="C147" s="84"/>
      <c r="D147" s="85">
        <v>45566</v>
      </c>
      <c r="E147" s="85" t="s">
        <v>58</v>
      </c>
      <c r="F147" s="84">
        <f>INDEX(Definitions!$G$13:$G$17,MATCH(Table3[[#This Row],[Propensity to buy/ buyer readiness]],Definitions!$A$13:$A$17,0))</f>
        <v>150000</v>
      </c>
      <c r="G147" s="86">
        <v>5</v>
      </c>
      <c r="H147" s="86">
        <v>4</v>
      </c>
      <c r="I147" s="86">
        <v>4</v>
      </c>
      <c r="J147" s="86">
        <v>4</v>
      </c>
      <c r="K147" s="86">
        <v>4</v>
      </c>
      <c r="L147" s="86">
        <f>SUM(Table3[[#This Row],[Strategic priority segment]:[Propensity to buy/ buyer readiness]])</f>
        <v>21</v>
      </c>
      <c r="M147" s="86" t="s">
        <v>191</v>
      </c>
      <c r="N147" s="84" t="s">
        <v>135</v>
      </c>
      <c r="O147" s="84" t="s">
        <v>62</v>
      </c>
      <c r="P147" s="87" t="s">
        <v>63</v>
      </c>
      <c r="Q147" s="87"/>
      <c r="R147" s="84"/>
      <c r="S147" s="87"/>
      <c r="T147" s="87"/>
      <c r="U147" s="84">
        <v>1</v>
      </c>
      <c r="V147" s="84">
        <v>0</v>
      </c>
      <c r="W147" s="84">
        <v>1</v>
      </c>
      <c r="X147" s="84">
        <v>0</v>
      </c>
      <c r="Y147" s="84">
        <v>0</v>
      </c>
      <c r="Z147" s="84">
        <v>0</v>
      </c>
      <c r="AA147" s="84">
        <v>1</v>
      </c>
      <c r="AB147" s="84">
        <v>0</v>
      </c>
      <c r="AC147" s="84">
        <v>0</v>
      </c>
      <c r="AD147" s="84">
        <v>1</v>
      </c>
      <c r="AE147" s="84">
        <v>1</v>
      </c>
      <c r="AF147" s="84">
        <v>1</v>
      </c>
      <c r="AG147" s="84">
        <v>1</v>
      </c>
      <c r="AH147" s="84">
        <v>1</v>
      </c>
      <c r="AI147" s="84">
        <v>1</v>
      </c>
      <c r="AJ147" s="84">
        <v>1</v>
      </c>
      <c r="AK147" s="84">
        <v>1</v>
      </c>
      <c r="AL147" s="84" cm="1">
        <f t="array" ref="AL1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47" s="84" cm="1">
        <f t="array" ref="AM1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" s="84" cm="1">
        <f t="array" ref="AN1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47" s="84" cm="1">
        <f t="array" ref="AO1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" s="84" cm="1">
        <f t="array" ref="AP1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" s="84" cm="1">
        <f t="array" ref="AQ1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" s="84" cm="1">
        <f t="array" ref="AR1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47" s="84" cm="1">
        <f t="array" ref="AS1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" s="84" cm="1">
        <f t="array" ref="AT1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" s="84" cm="1">
        <f t="array" ref="AU1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47" s="84" cm="1">
        <f t="array" ref="AV1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47" s="84" cm="1">
        <f t="array" ref="AW1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47" s="84" cm="1">
        <f t="array" ref="AX1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47" s="84" cm="1">
        <f t="array" ref="AY1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47" s="84" cm="1">
        <f t="array" ref="AZ1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47" s="84" cm="1">
        <f t="array" ref="BA1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47" s="84" cm="1">
        <f t="array" ref="BB1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47" s="84">
        <f>IF(SUM(Table3[[#This Row],[Column2]:[Column18]])&gt;Table3[[#This Row],[Column19]],Table3[[#This Row],[Column19]],SUM(Table3[[#This Row],[Column2]:[Column18]]))</f>
        <v>150000</v>
      </c>
      <c r="BD147" s="2">
        <f>Table3[[#This Row],[Total Spend]]/SUM(Table3[[#This Row],[Column2]:[Column18]])</f>
        <v>0.51679586563307489</v>
      </c>
    </row>
    <row r="148" spans="1:56">
      <c r="A148" s="84" t="s">
        <v>220</v>
      </c>
      <c r="B148" s="84" t="s">
        <v>57</v>
      </c>
      <c r="C148" s="84" t="s">
        <v>57</v>
      </c>
      <c r="D148" s="85">
        <v>45566</v>
      </c>
      <c r="E148" s="85" t="s">
        <v>58</v>
      </c>
      <c r="F148" s="84">
        <f>INDEX(Definitions!$G$13:$G$17,MATCH(Table3[[#This Row],[Propensity to buy/ buyer readiness]],Definitions!$A$13:$A$17,0))</f>
        <v>150000</v>
      </c>
      <c r="G148" s="86">
        <v>5</v>
      </c>
      <c r="H148" s="86">
        <v>4</v>
      </c>
      <c r="I148" s="86">
        <v>4</v>
      </c>
      <c r="J148" s="86">
        <v>4</v>
      </c>
      <c r="K148" s="86">
        <v>4</v>
      </c>
      <c r="L148" s="86">
        <f>SUM(Table3[[#This Row],[Strategic priority segment]:[Propensity to buy/ buyer readiness]])</f>
        <v>21</v>
      </c>
      <c r="M148" s="86" t="s">
        <v>191</v>
      </c>
      <c r="N148" s="84" t="s">
        <v>135</v>
      </c>
      <c r="O148" s="84"/>
      <c r="P148" s="87"/>
      <c r="Q148" s="87"/>
      <c r="R148" s="84"/>
      <c r="S148" s="87"/>
      <c r="T148" s="87"/>
      <c r="U148" s="84">
        <v>0</v>
      </c>
      <c r="V148" s="84">
        <v>0</v>
      </c>
      <c r="W148" s="84">
        <v>0</v>
      </c>
      <c r="X148" s="84">
        <v>0</v>
      </c>
      <c r="Y148" s="84">
        <v>0</v>
      </c>
      <c r="Z148" s="84">
        <v>0</v>
      </c>
      <c r="AA148" s="84">
        <v>0</v>
      </c>
      <c r="AB148" s="84">
        <v>0</v>
      </c>
      <c r="AC148" s="84">
        <v>0</v>
      </c>
      <c r="AD148" s="84">
        <v>0</v>
      </c>
      <c r="AE148" s="84">
        <v>0</v>
      </c>
      <c r="AF148" s="84">
        <v>0</v>
      </c>
      <c r="AG148" s="84">
        <v>0</v>
      </c>
      <c r="AH148" s="84">
        <v>1</v>
      </c>
      <c r="AI148" s="84">
        <v>1</v>
      </c>
      <c r="AJ148" s="84">
        <v>1</v>
      </c>
      <c r="AK148" s="84">
        <v>1</v>
      </c>
      <c r="AL148" s="84" cm="1">
        <f t="array" ref="AL1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" s="84" cm="1">
        <f t="array" ref="AM1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" s="84" cm="1">
        <f t="array" ref="AN1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" s="84" cm="1">
        <f t="array" ref="AO1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" s="84" cm="1">
        <f t="array" ref="AP1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" s="84" cm="1">
        <f t="array" ref="AQ1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" s="84" cm="1">
        <f t="array" ref="AR1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" s="84" cm="1">
        <f t="array" ref="AS1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" s="84" cm="1">
        <f t="array" ref="AT1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" s="84" cm="1">
        <f t="array" ref="AU1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" s="84" cm="1">
        <f t="array" ref="AV1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" s="84" cm="1">
        <f t="array" ref="AW1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" s="84" cm="1">
        <f t="array" ref="AX1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" s="84" cm="1">
        <f t="array" ref="AY1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48" s="84" cm="1">
        <f t="array" ref="AZ1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48" s="84" cm="1">
        <f t="array" ref="BA1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48" s="84" cm="1">
        <f t="array" ref="BB1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48" s="84">
        <f>IF(SUM(Table3[[#This Row],[Column2]:[Column18]])&gt;Table3[[#This Row],[Column19]],Table3[[#This Row],[Column19]],SUM(Table3[[#This Row],[Column2]:[Column18]]))</f>
        <v>64350</v>
      </c>
      <c r="BD148" s="2">
        <f>Table3[[#This Row],[Total Spend]]/SUM(Table3[[#This Row],[Column2]:[Column18]])</f>
        <v>1</v>
      </c>
    </row>
    <row r="149" spans="1:56" ht="16.5" customHeight="1">
      <c r="A149" s="84" t="s">
        <v>221</v>
      </c>
      <c r="B149" s="84" t="s">
        <v>57</v>
      </c>
      <c r="C149" s="84"/>
      <c r="D149" s="85">
        <v>45566</v>
      </c>
      <c r="E149" s="85" t="s">
        <v>92</v>
      </c>
      <c r="F149" s="84">
        <f>INDEX(Definitions!$G$13:$G$17,MATCH(Table3[[#This Row],[Propensity to buy/ buyer readiness]],Definitions!$A$13:$A$17,0))</f>
        <v>50000</v>
      </c>
      <c r="G149" s="86">
        <v>5</v>
      </c>
      <c r="H149" s="86">
        <v>5</v>
      </c>
      <c r="I149" s="86">
        <v>4</v>
      </c>
      <c r="J149" s="86">
        <v>4</v>
      </c>
      <c r="K149" s="86">
        <v>3</v>
      </c>
      <c r="L149" s="86">
        <f>SUM(Table3[[#This Row],[Strategic priority segment]:[Propensity to buy/ buyer readiness]])</f>
        <v>21</v>
      </c>
      <c r="M149" s="86" t="s">
        <v>102</v>
      </c>
      <c r="N149" s="84" t="s">
        <v>61</v>
      </c>
      <c r="O149" s="84"/>
      <c r="P149" s="87"/>
      <c r="Q149" s="87"/>
      <c r="R149" s="84"/>
      <c r="S149" s="87"/>
      <c r="T149" s="87"/>
      <c r="U149" s="84">
        <v>1</v>
      </c>
      <c r="V149" s="84">
        <v>0</v>
      </c>
      <c r="W149" s="84">
        <v>0</v>
      </c>
      <c r="X149" s="84">
        <v>0</v>
      </c>
      <c r="Y149" s="84">
        <v>0</v>
      </c>
      <c r="Z149" s="84">
        <v>1</v>
      </c>
      <c r="AA149" s="84">
        <v>1</v>
      </c>
      <c r="AB149" s="84">
        <v>1</v>
      </c>
      <c r="AC149" s="84">
        <v>1</v>
      </c>
      <c r="AD149" s="84">
        <v>0</v>
      </c>
      <c r="AE149" s="84">
        <v>0</v>
      </c>
      <c r="AF149" s="84">
        <v>0</v>
      </c>
      <c r="AG149" s="84">
        <v>0</v>
      </c>
      <c r="AH149" s="84">
        <v>0</v>
      </c>
      <c r="AI149" s="84">
        <v>0</v>
      </c>
      <c r="AJ149" s="84">
        <v>0</v>
      </c>
      <c r="AK149" s="84">
        <v>0</v>
      </c>
      <c r="AL149" s="84" cm="1">
        <f t="array" ref="AL1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9" s="84" cm="1">
        <f t="array" ref="AM1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" s="84" cm="1">
        <f t="array" ref="AN1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" s="84" cm="1">
        <f t="array" ref="AO1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" s="84" cm="1">
        <f t="array" ref="AP1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" s="84" cm="1">
        <f t="array" ref="AQ1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9" s="84" cm="1">
        <f t="array" ref="AR1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9" s="84" cm="1">
        <f t="array" ref="AS1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9" s="84" cm="1">
        <f t="array" ref="AT1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9" s="84" cm="1">
        <f t="array" ref="AU1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" s="84" cm="1">
        <f t="array" ref="AV1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" s="84" cm="1">
        <f t="array" ref="AW1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" s="84" cm="1">
        <f t="array" ref="AX1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" s="84" cm="1">
        <f t="array" ref="AY1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9" s="84" cm="1">
        <f t="array" ref="AZ1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9" s="84" cm="1">
        <f t="array" ref="BA1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9" s="84" cm="1">
        <f t="array" ref="BB1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9" s="84">
        <f>IF(SUM(Table3[[#This Row],[Column2]:[Column18]])&gt;Table3[[#This Row],[Column19]],Table3[[#This Row],[Column19]],SUM(Table3[[#This Row],[Column2]:[Column18]]))</f>
        <v>50000</v>
      </c>
      <c r="BD149" s="2">
        <f>Table3[[#This Row],[Total Spend]]/SUM(Table3[[#This Row],[Column2]:[Column18]])</f>
        <v>0.49164208456243852</v>
      </c>
    </row>
    <row r="150" spans="1:56">
      <c r="A150" s="84" t="s">
        <v>222</v>
      </c>
      <c r="B150" s="84"/>
      <c r="C150" s="84"/>
      <c r="D150" s="85">
        <v>45566</v>
      </c>
      <c r="E150" s="85" t="s">
        <v>92</v>
      </c>
      <c r="F150" s="84">
        <f>INDEX(Definitions!$G$13:$G$17,MATCH(Table3[[#This Row],[Propensity to buy/ buyer readiness]],Definitions!$A$13:$A$17,0))</f>
        <v>50000</v>
      </c>
      <c r="G150" s="86">
        <v>5</v>
      </c>
      <c r="H150" s="86">
        <v>4</v>
      </c>
      <c r="I150" s="86">
        <v>4</v>
      </c>
      <c r="J150" s="86">
        <v>5</v>
      </c>
      <c r="K150" s="86">
        <v>3</v>
      </c>
      <c r="L150" s="86">
        <f>SUM(Table3[[#This Row],[Strategic priority segment]:[Propensity to buy/ buyer readiness]])</f>
        <v>21</v>
      </c>
      <c r="M150" s="86" t="s">
        <v>59</v>
      </c>
      <c r="N150" s="84" t="s">
        <v>60</v>
      </c>
      <c r="O150" s="87"/>
      <c r="P150" s="87"/>
      <c r="Q150" s="87"/>
      <c r="R150" s="84"/>
      <c r="S150" s="87"/>
      <c r="T150" s="87"/>
      <c r="U150" s="84">
        <v>1</v>
      </c>
      <c r="V150" s="84">
        <v>1</v>
      </c>
      <c r="W150" s="84">
        <v>1</v>
      </c>
      <c r="X150" s="84">
        <v>1</v>
      </c>
      <c r="Y150" s="84">
        <v>1</v>
      </c>
      <c r="Z150" s="84">
        <v>0</v>
      </c>
      <c r="AA150" s="84">
        <v>0</v>
      </c>
      <c r="AB150" s="84">
        <v>0</v>
      </c>
      <c r="AC150" s="84">
        <v>0</v>
      </c>
      <c r="AD150" s="84">
        <v>1</v>
      </c>
      <c r="AE150" s="84">
        <v>0</v>
      </c>
      <c r="AF150" s="84">
        <v>0</v>
      </c>
      <c r="AG150" s="84">
        <v>0</v>
      </c>
      <c r="AH150" s="84">
        <v>0</v>
      </c>
      <c r="AI150" s="84">
        <v>0</v>
      </c>
      <c r="AJ150" s="84">
        <v>0</v>
      </c>
      <c r="AK150" s="84">
        <v>0</v>
      </c>
      <c r="AL150" s="84" cm="1">
        <f t="array" ref="AL1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0" s="84" cm="1">
        <f t="array" ref="AM1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50" s="84" cm="1">
        <f t="array" ref="AN1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50" s="84" cm="1">
        <f t="array" ref="AO1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50" s="84" cm="1">
        <f t="array" ref="AP1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50" s="84" cm="1">
        <f t="array" ref="AQ1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" s="84" cm="1">
        <f t="array" ref="AR1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" s="84" cm="1">
        <f t="array" ref="AS1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" s="84" cm="1">
        <f t="array" ref="AT1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" s="84" cm="1">
        <f t="array" ref="AU1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50" s="84" cm="1">
        <f t="array" ref="AV1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" s="84" cm="1">
        <f t="array" ref="AW1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" s="84" cm="1">
        <f t="array" ref="AX1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" s="84" cm="1">
        <f t="array" ref="AY1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0" s="84" cm="1">
        <f t="array" ref="AZ1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0" s="84" cm="1">
        <f t="array" ref="BA1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0" s="84" cm="1">
        <f t="array" ref="BB1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0" s="84">
        <f>IF(SUM(Table3[[#This Row],[Column2]:[Column18]])&gt;Table3[[#This Row],[Column19]],Table3[[#This Row],[Column19]],SUM(Table3[[#This Row],[Column2]:[Column18]]))</f>
        <v>50000</v>
      </c>
      <c r="BD150" s="2">
        <f>Table3[[#This Row],[Total Spend]]/SUM(Table3[[#This Row],[Column2]:[Column18]])</f>
        <v>0.26709401709401709</v>
      </c>
    </row>
    <row r="151" spans="1:56">
      <c r="A151" s="84" t="s">
        <v>223</v>
      </c>
      <c r="B151" s="84"/>
      <c r="C151" s="84"/>
      <c r="D151" s="85">
        <v>45566</v>
      </c>
      <c r="E151" s="85" t="s">
        <v>92</v>
      </c>
      <c r="F151" s="84">
        <f>INDEX(Definitions!$G$13:$G$17,MATCH(Table3[[#This Row],[Propensity to buy/ buyer readiness]],Definitions!$A$13:$A$17,0))</f>
        <v>50000</v>
      </c>
      <c r="G151" s="86">
        <v>5</v>
      </c>
      <c r="H151" s="86">
        <v>4</v>
      </c>
      <c r="I151" s="86">
        <v>4</v>
      </c>
      <c r="J151" s="86">
        <v>5</v>
      </c>
      <c r="K151" s="86">
        <v>3</v>
      </c>
      <c r="L151" s="86">
        <f>SUM(Table3[[#This Row],[Strategic priority segment]:[Propensity to buy/ buyer readiness]])</f>
        <v>21</v>
      </c>
      <c r="M151" s="86" t="s">
        <v>59</v>
      </c>
      <c r="N151" s="84" t="s">
        <v>60</v>
      </c>
      <c r="O151" s="87"/>
      <c r="P151" s="87"/>
      <c r="Q151" s="87"/>
      <c r="R151" s="84"/>
      <c r="S151" s="87"/>
      <c r="T151" s="87"/>
      <c r="U151" s="84">
        <v>1</v>
      </c>
      <c r="V151" s="84">
        <v>1</v>
      </c>
      <c r="W151" s="84">
        <v>1</v>
      </c>
      <c r="X151" s="84">
        <v>1</v>
      </c>
      <c r="Y151" s="84">
        <v>1</v>
      </c>
      <c r="Z151" s="84">
        <v>0</v>
      </c>
      <c r="AA151" s="84">
        <v>0</v>
      </c>
      <c r="AB151" s="84">
        <v>0</v>
      </c>
      <c r="AC151" s="84">
        <v>0</v>
      </c>
      <c r="AD151" s="84">
        <v>1</v>
      </c>
      <c r="AE151" s="84">
        <v>0</v>
      </c>
      <c r="AF151" s="84">
        <v>0</v>
      </c>
      <c r="AG151" s="84">
        <v>0</v>
      </c>
      <c r="AH151" s="84">
        <v>0</v>
      </c>
      <c r="AI151" s="84">
        <v>0</v>
      </c>
      <c r="AJ151" s="84">
        <v>0</v>
      </c>
      <c r="AK151" s="84">
        <v>0</v>
      </c>
      <c r="AL151" s="84" cm="1">
        <f t="array" ref="AL1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1" s="84" cm="1">
        <f t="array" ref="AM1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51" s="84" cm="1">
        <f t="array" ref="AN1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51" s="84" cm="1">
        <f t="array" ref="AO1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51" s="84" cm="1">
        <f t="array" ref="AP1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51" s="84" cm="1">
        <f t="array" ref="AQ1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" s="84" cm="1">
        <f t="array" ref="AR1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" s="84" cm="1">
        <f t="array" ref="AS1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" s="84" cm="1">
        <f t="array" ref="AT1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" s="84" cm="1">
        <f t="array" ref="AU1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51" s="84" cm="1">
        <f t="array" ref="AV1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" s="84" cm="1">
        <f t="array" ref="AW1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" s="84" cm="1">
        <f t="array" ref="AX1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" s="84" cm="1">
        <f t="array" ref="AY1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1" s="84" cm="1">
        <f t="array" ref="AZ1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1" s="84" cm="1">
        <f t="array" ref="BA1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1" s="84" cm="1">
        <f t="array" ref="BB1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1" s="84">
        <f>IF(SUM(Table3[[#This Row],[Column2]:[Column18]])&gt;Table3[[#This Row],[Column19]],Table3[[#This Row],[Column19]],SUM(Table3[[#This Row],[Column2]:[Column18]]))</f>
        <v>50000</v>
      </c>
      <c r="BD151" s="2">
        <f>Table3[[#This Row],[Total Spend]]/SUM(Table3[[#This Row],[Column2]:[Column18]])</f>
        <v>0.26709401709401709</v>
      </c>
    </row>
    <row r="152" spans="1:56">
      <c r="A152" s="84" t="s">
        <v>224</v>
      </c>
      <c r="B152" s="84"/>
      <c r="C152" s="84"/>
      <c r="D152" s="85">
        <v>45566</v>
      </c>
      <c r="E152" s="85" t="s">
        <v>92</v>
      </c>
      <c r="F152" s="84">
        <f>INDEX(Definitions!$G$13:$G$17,MATCH(Table3[[#This Row],[Propensity to buy/ buyer readiness]],Definitions!$A$13:$A$17,0))</f>
        <v>50000</v>
      </c>
      <c r="G152" s="86">
        <v>5</v>
      </c>
      <c r="H152" s="86">
        <v>4</v>
      </c>
      <c r="I152" s="86">
        <v>4</v>
      </c>
      <c r="J152" s="86">
        <v>5</v>
      </c>
      <c r="K152" s="86">
        <v>3</v>
      </c>
      <c r="L152" s="86">
        <f>SUM(Table3[[#This Row],[Strategic priority segment]:[Propensity to buy/ buyer readiness]])</f>
        <v>21</v>
      </c>
      <c r="M152" s="86" t="s">
        <v>59</v>
      </c>
      <c r="N152" s="84" t="s">
        <v>60</v>
      </c>
      <c r="O152" s="87"/>
      <c r="P152" s="87"/>
      <c r="Q152" s="87"/>
      <c r="R152" s="84"/>
      <c r="S152" s="87"/>
      <c r="T152" s="87"/>
      <c r="U152" s="84">
        <v>1</v>
      </c>
      <c r="V152" s="84">
        <v>1</v>
      </c>
      <c r="W152" s="84">
        <v>1</v>
      </c>
      <c r="X152" s="84">
        <v>1</v>
      </c>
      <c r="Y152" s="84">
        <v>1</v>
      </c>
      <c r="Z152" s="84">
        <v>0</v>
      </c>
      <c r="AA152" s="84">
        <v>0</v>
      </c>
      <c r="AB152" s="84">
        <v>0</v>
      </c>
      <c r="AC152" s="84">
        <v>0</v>
      </c>
      <c r="AD152" s="84">
        <v>1</v>
      </c>
      <c r="AE152" s="84">
        <v>0</v>
      </c>
      <c r="AF152" s="84">
        <v>0</v>
      </c>
      <c r="AG152" s="84">
        <v>0</v>
      </c>
      <c r="AH152" s="84">
        <v>0</v>
      </c>
      <c r="AI152" s="84">
        <v>0</v>
      </c>
      <c r="AJ152" s="84">
        <v>0</v>
      </c>
      <c r="AK152" s="84">
        <v>0</v>
      </c>
      <c r="AL152" s="84" cm="1">
        <f t="array" ref="AL1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2" s="84" cm="1">
        <f t="array" ref="AM1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52" s="84" cm="1">
        <f t="array" ref="AN1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52" s="84" cm="1">
        <f t="array" ref="AO1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52" s="84" cm="1">
        <f t="array" ref="AP1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52" s="84" cm="1">
        <f t="array" ref="AQ1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" s="84" cm="1">
        <f t="array" ref="AR1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" s="84" cm="1">
        <f t="array" ref="AS1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" s="84" cm="1">
        <f t="array" ref="AT1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" s="84" cm="1">
        <f t="array" ref="AU1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52" s="84" cm="1">
        <f t="array" ref="AV1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" s="84" cm="1">
        <f t="array" ref="AW1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" s="84" cm="1">
        <f t="array" ref="AX1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" s="84" cm="1">
        <f t="array" ref="AY1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2" s="84" cm="1">
        <f t="array" ref="AZ1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2" s="84" cm="1">
        <f t="array" ref="BA1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2" s="84" cm="1">
        <f t="array" ref="BB1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2" s="84">
        <f>IF(SUM(Table3[[#This Row],[Column2]:[Column18]])&gt;Table3[[#This Row],[Column19]],Table3[[#This Row],[Column19]],SUM(Table3[[#This Row],[Column2]:[Column18]]))</f>
        <v>50000</v>
      </c>
      <c r="BD152" s="2">
        <f>Table3[[#This Row],[Total Spend]]/SUM(Table3[[#This Row],[Column2]:[Column18]])</f>
        <v>0.26709401709401709</v>
      </c>
    </row>
    <row r="153" spans="1:56">
      <c r="A153" s="84" t="s">
        <v>225</v>
      </c>
      <c r="B153" s="84" t="s">
        <v>57</v>
      </c>
      <c r="C153" s="84"/>
      <c r="D153" s="85">
        <v>45566</v>
      </c>
      <c r="E153" s="85" t="s">
        <v>92</v>
      </c>
      <c r="F153" s="84">
        <f>INDEX(Definitions!$G$13:$G$17,MATCH(Table3[[#This Row],[Propensity to buy/ buyer readiness]],Definitions!$A$13:$A$17,0))</f>
        <v>50000</v>
      </c>
      <c r="G153" s="86">
        <v>5</v>
      </c>
      <c r="H153" s="86">
        <v>3</v>
      </c>
      <c r="I153" s="86">
        <v>5</v>
      </c>
      <c r="J153" s="86">
        <v>5</v>
      </c>
      <c r="K153" s="86">
        <v>3</v>
      </c>
      <c r="L153" s="86">
        <f>SUM(Table3[[#This Row],[Strategic priority segment]:[Propensity to buy/ buyer readiness]])</f>
        <v>21</v>
      </c>
      <c r="M153" s="86" t="s">
        <v>59</v>
      </c>
      <c r="N153" s="84" t="s">
        <v>60</v>
      </c>
      <c r="O153" s="84"/>
      <c r="P153" s="87"/>
      <c r="Q153" s="87"/>
      <c r="R153" s="84"/>
      <c r="S153" s="87"/>
      <c r="T153" s="87"/>
      <c r="U153" s="84">
        <v>1</v>
      </c>
      <c r="V153" s="84">
        <v>1</v>
      </c>
      <c r="W153" s="84">
        <v>1</v>
      </c>
      <c r="X153" s="84">
        <v>1</v>
      </c>
      <c r="Y153" s="84">
        <v>1</v>
      </c>
      <c r="Z153" s="84">
        <v>0</v>
      </c>
      <c r="AA153" s="84">
        <v>0</v>
      </c>
      <c r="AB153" s="84">
        <v>0</v>
      </c>
      <c r="AC153" s="84">
        <v>0</v>
      </c>
      <c r="AD153" s="84">
        <v>1</v>
      </c>
      <c r="AE153" s="84">
        <v>0</v>
      </c>
      <c r="AF153" s="84">
        <v>0</v>
      </c>
      <c r="AG153" s="84">
        <v>0</v>
      </c>
      <c r="AH153" s="84">
        <v>0</v>
      </c>
      <c r="AI153" s="84">
        <v>0</v>
      </c>
      <c r="AJ153" s="84">
        <v>0</v>
      </c>
      <c r="AK153" s="84">
        <v>0</v>
      </c>
      <c r="AL153" s="84" cm="1">
        <f t="array" ref="AL1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3" s="84" cm="1">
        <f t="array" ref="AM1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53" s="84" cm="1">
        <f t="array" ref="AN1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53" s="84" cm="1">
        <f t="array" ref="AO1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53" s="84" cm="1">
        <f t="array" ref="AP1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53" s="84" cm="1">
        <f t="array" ref="AQ1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" s="84" cm="1">
        <f t="array" ref="AR1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" s="84" cm="1">
        <f t="array" ref="AS1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" s="84" cm="1">
        <f t="array" ref="AT1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" s="84" cm="1">
        <f t="array" ref="AU1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53" s="84" cm="1">
        <f t="array" ref="AV1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" s="84" cm="1">
        <f t="array" ref="AW1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" s="84" cm="1">
        <f t="array" ref="AX1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" s="84" cm="1">
        <f t="array" ref="AY1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3" s="84" cm="1">
        <f t="array" ref="AZ1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3" s="84" cm="1">
        <f t="array" ref="BA1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3" s="84" cm="1">
        <f t="array" ref="BB1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3" s="84">
        <f>IF(SUM(Table3[[#This Row],[Column2]:[Column18]])&gt;Table3[[#This Row],[Column19]],Table3[[#This Row],[Column19]],SUM(Table3[[#This Row],[Column2]:[Column18]]))</f>
        <v>50000</v>
      </c>
      <c r="BD153" s="2">
        <f>Table3[[#This Row],[Total Spend]]/SUM(Table3[[#This Row],[Column2]:[Column18]])</f>
        <v>0.26709401709401709</v>
      </c>
    </row>
    <row r="154" spans="1:56">
      <c r="A154" s="84" t="s">
        <v>226</v>
      </c>
      <c r="B154" s="84" t="s">
        <v>57</v>
      </c>
      <c r="C154" s="84"/>
      <c r="D154" s="85">
        <v>45566</v>
      </c>
      <c r="E154" s="85" t="s">
        <v>92</v>
      </c>
      <c r="F154" s="84">
        <f>INDEX(Definitions!$G$13:$G$17,MATCH(Table3[[#This Row],[Propensity to buy/ buyer readiness]],Definitions!$A$13:$A$17,0))</f>
        <v>50000</v>
      </c>
      <c r="G154" s="86">
        <v>5</v>
      </c>
      <c r="H154" s="86">
        <v>5</v>
      </c>
      <c r="I154" s="86">
        <v>4</v>
      </c>
      <c r="J154" s="86">
        <v>4</v>
      </c>
      <c r="K154" s="86">
        <v>3</v>
      </c>
      <c r="L154" s="86">
        <f>SUM(Table3[[#This Row],[Strategic priority segment]:[Propensity to buy/ buyer readiness]])</f>
        <v>21</v>
      </c>
      <c r="M154" s="86" t="s">
        <v>102</v>
      </c>
      <c r="N154" s="84" t="s">
        <v>61</v>
      </c>
      <c r="O154" s="84" t="s">
        <v>130</v>
      </c>
      <c r="P154" s="87"/>
      <c r="Q154" s="87"/>
      <c r="R154" s="84"/>
      <c r="S154" s="87"/>
      <c r="T154" s="87"/>
      <c r="U154" s="84">
        <v>1</v>
      </c>
      <c r="V154" s="84">
        <v>0</v>
      </c>
      <c r="W154" s="84">
        <v>0</v>
      </c>
      <c r="X154" s="84">
        <v>0</v>
      </c>
      <c r="Y154" s="84">
        <v>0</v>
      </c>
      <c r="Z154" s="84">
        <v>1</v>
      </c>
      <c r="AA154" s="84">
        <v>1</v>
      </c>
      <c r="AB154" s="84">
        <v>1</v>
      </c>
      <c r="AC154" s="84">
        <v>1</v>
      </c>
      <c r="AD154" s="84">
        <v>0</v>
      </c>
      <c r="AE154" s="84">
        <v>0</v>
      </c>
      <c r="AF154" s="84">
        <v>0</v>
      </c>
      <c r="AG154" s="84">
        <v>0</v>
      </c>
      <c r="AH154" s="84">
        <v>0</v>
      </c>
      <c r="AI154" s="84">
        <v>0</v>
      </c>
      <c r="AJ154" s="84">
        <v>0</v>
      </c>
      <c r="AK154" s="84">
        <v>0</v>
      </c>
      <c r="AL154" s="84" cm="1">
        <f t="array" ref="AL1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4" s="84" cm="1">
        <f t="array" ref="AM1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" s="84" cm="1">
        <f t="array" ref="AN1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" s="84" cm="1">
        <f t="array" ref="AO1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" s="84" cm="1">
        <f t="array" ref="AP1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" s="84" cm="1">
        <f t="array" ref="AQ1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54" s="84" cm="1">
        <f t="array" ref="AR1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54" s="84" cm="1">
        <f t="array" ref="AS1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54" s="84" cm="1">
        <f t="array" ref="AT1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54" s="84" cm="1">
        <f t="array" ref="AU1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" s="84" cm="1">
        <f t="array" ref="AV1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" s="84" cm="1">
        <f t="array" ref="AW1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" s="84" cm="1">
        <f t="array" ref="AX1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" s="84" cm="1">
        <f t="array" ref="AY1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4" s="84" cm="1">
        <f t="array" ref="AZ1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4" s="84" cm="1">
        <f t="array" ref="BA1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4" s="84" cm="1">
        <f t="array" ref="BB1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4" s="84">
        <f>IF(SUM(Table3[[#This Row],[Column2]:[Column18]])&gt;Table3[[#This Row],[Column19]],Table3[[#This Row],[Column19]],SUM(Table3[[#This Row],[Column2]:[Column18]]))</f>
        <v>50000</v>
      </c>
      <c r="BD154" s="2">
        <f>Table3[[#This Row],[Total Spend]]/SUM(Table3[[#This Row],[Column2]:[Column18]])</f>
        <v>0.49164208456243852</v>
      </c>
    </row>
    <row r="155" spans="1:56">
      <c r="A155" s="84" t="s">
        <v>227</v>
      </c>
      <c r="B155" s="84"/>
      <c r="C155" s="84" t="s">
        <v>57</v>
      </c>
      <c r="D155" s="85">
        <v>45566</v>
      </c>
      <c r="E155" s="85" t="s">
        <v>58</v>
      </c>
      <c r="F155" s="84">
        <f>INDEX(Definitions!$G$13:$G$17,MATCH(Table3[[#This Row],[Propensity to buy/ buyer readiness]],Definitions!$A$13:$A$17,0))</f>
        <v>250000</v>
      </c>
      <c r="G155" s="86">
        <v>4</v>
      </c>
      <c r="H155" s="86">
        <v>4</v>
      </c>
      <c r="I155" s="86">
        <v>4</v>
      </c>
      <c r="J155" s="86">
        <v>4</v>
      </c>
      <c r="K155" s="86">
        <v>5</v>
      </c>
      <c r="L155" s="86">
        <f>SUM(Table3[[#This Row],[Strategic priority segment]:[Propensity to buy/ buyer readiness]])</f>
        <v>21</v>
      </c>
      <c r="M155" s="86" t="s">
        <v>59</v>
      </c>
      <c r="N155" s="84" t="s">
        <v>63</v>
      </c>
      <c r="O155" s="84" t="s">
        <v>61</v>
      </c>
      <c r="P155" s="87"/>
      <c r="Q155" s="87"/>
      <c r="R155" s="84"/>
      <c r="S155" s="87"/>
      <c r="T155" s="87"/>
      <c r="U155" s="84">
        <v>1</v>
      </c>
      <c r="V155" s="84">
        <v>0</v>
      </c>
      <c r="W155" s="84">
        <v>1</v>
      </c>
      <c r="X155" s="84">
        <v>0</v>
      </c>
      <c r="Y155" s="84">
        <v>0</v>
      </c>
      <c r="Z155" s="84">
        <v>1</v>
      </c>
      <c r="AA155" s="84">
        <v>1</v>
      </c>
      <c r="AB155" s="84">
        <v>1</v>
      </c>
      <c r="AC155" s="84">
        <v>1</v>
      </c>
      <c r="AD155" s="84">
        <v>1</v>
      </c>
      <c r="AE155" s="84">
        <v>1</v>
      </c>
      <c r="AF155" s="84">
        <v>1</v>
      </c>
      <c r="AG155" s="84">
        <v>0</v>
      </c>
      <c r="AH155" s="84">
        <v>0</v>
      </c>
      <c r="AI155" s="84">
        <v>0</v>
      </c>
      <c r="AJ155" s="84">
        <v>0</v>
      </c>
      <c r="AK155" s="84">
        <v>0</v>
      </c>
      <c r="AL155" s="84" cm="1">
        <f t="array" ref="AL1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55" s="84" cm="1">
        <f t="array" ref="AM1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" s="84" cm="1">
        <f t="array" ref="AN1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55" s="84" cm="1">
        <f t="array" ref="AO1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" s="84" cm="1">
        <f t="array" ref="AP1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" s="84" cm="1">
        <f t="array" ref="AQ1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55" s="84" cm="1">
        <f t="array" ref="AR1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55" s="84" cm="1">
        <f t="array" ref="AS1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55" s="84" cm="1">
        <f t="array" ref="AT1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55" s="84" cm="1">
        <f t="array" ref="AU1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55" s="84" cm="1">
        <f t="array" ref="AV1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55" s="84" cm="1">
        <f t="array" ref="AW1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55" s="84" cm="1">
        <f t="array" ref="AX1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" s="84" cm="1">
        <f t="array" ref="AY1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" s="84" cm="1">
        <f t="array" ref="AZ1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" s="84" cm="1">
        <f t="array" ref="BA1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" s="84" cm="1">
        <f t="array" ref="BB1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" s="84">
        <f>IF(SUM(Table3[[#This Row],[Column2]:[Column18]])&gt;Table3[[#This Row],[Column19]],Table3[[#This Row],[Column19]],SUM(Table3[[#This Row],[Column2]:[Column18]]))</f>
        <v>250000</v>
      </c>
      <c r="BD155" s="2">
        <f>Table3[[#This Row],[Total Spend]]/SUM(Table3[[#This Row],[Column2]:[Column18]])</f>
        <v>0.83668005354752339</v>
      </c>
    </row>
    <row r="156" spans="1:56">
      <c r="A156" s="84" t="s">
        <v>228</v>
      </c>
      <c r="B156" s="84"/>
      <c r="C156" s="84"/>
      <c r="D156" s="85">
        <v>45566</v>
      </c>
      <c r="E156" s="85" t="s">
        <v>92</v>
      </c>
      <c r="F156" s="84">
        <f>INDEX(Definitions!$G$13:$G$17,MATCH(Table3[[#This Row],[Propensity to buy/ buyer readiness]],Definitions!$A$13:$A$17,0))</f>
        <v>50000</v>
      </c>
      <c r="G156" s="86">
        <v>5</v>
      </c>
      <c r="H156" s="86">
        <v>3</v>
      </c>
      <c r="I156" s="86">
        <v>5</v>
      </c>
      <c r="J156" s="86">
        <v>5</v>
      </c>
      <c r="K156" s="86">
        <v>3</v>
      </c>
      <c r="L156" s="86">
        <f>SUM(Table3[[#This Row],[Strategic priority segment]:[Propensity to buy/ buyer readiness]])</f>
        <v>21</v>
      </c>
      <c r="M156" s="86" t="s">
        <v>59</v>
      </c>
      <c r="N156" s="84" t="s">
        <v>60</v>
      </c>
      <c r="O156" s="87"/>
      <c r="P156" s="87"/>
      <c r="Q156" s="87"/>
      <c r="R156" s="84"/>
      <c r="S156" s="87"/>
      <c r="T156" s="87"/>
      <c r="U156" s="84">
        <v>1</v>
      </c>
      <c r="V156" s="84">
        <v>1</v>
      </c>
      <c r="W156" s="84">
        <v>1</v>
      </c>
      <c r="X156" s="84">
        <v>1</v>
      </c>
      <c r="Y156" s="84">
        <v>1</v>
      </c>
      <c r="Z156" s="84">
        <v>0</v>
      </c>
      <c r="AA156" s="84">
        <v>0</v>
      </c>
      <c r="AB156" s="84">
        <v>0</v>
      </c>
      <c r="AC156" s="84">
        <v>0</v>
      </c>
      <c r="AD156" s="84">
        <v>1</v>
      </c>
      <c r="AE156" s="84">
        <v>0</v>
      </c>
      <c r="AF156" s="84">
        <v>0</v>
      </c>
      <c r="AG156" s="84">
        <v>0</v>
      </c>
      <c r="AH156" s="84">
        <v>0</v>
      </c>
      <c r="AI156" s="84">
        <v>0</v>
      </c>
      <c r="AJ156" s="84">
        <v>0</v>
      </c>
      <c r="AK156" s="84">
        <v>0</v>
      </c>
      <c r="AL156" s="84" cm="1">
        <f t="array" ref="AL1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6" s="84" cm="1">
        <f t="array" ref="AM1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56" s="84" cm="1">
        <f t="array" ref="AN1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56" s="84" cm="1">
        <f t="array" ref="AO1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56" s="84" cm="1">
        <f t="array" ref="AP1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56" s="84" cm="1">
        <f t="array" ref="AQ1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6" s="84" cm="1">
        <f t="array" ref="AR1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6" s="84" cm="1">
        <f t="array" ref="AS1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6" s="84" cm="1">
        <f t="array" ref="AT1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6" s="84" cm="1">
        <f t="array" ref="AU1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56" s="84" cm="1">
        <f t="array" ref="AV1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6" s="84" cm="1">
        <f t="array" ref="AW1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6" s="84" cm="1">
        <f t="array" ref="AX1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6" s="84" cm="1">
        <f t="array" ref="AY1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6" s="84" cm="1">
        <f t="array" ref="AZ1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6" s="84" cm="1">
        <f t="array" ref="BA1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6" s="84" cm="1">
        <f t="array" ref="BB1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6" s="84">
        <f>IF(SUM(Table3[[#This Row],[Column2]:[Column18]])&gt;Table3[[#This Row],[Column19]],Table3[[#This Row],[Column19]],SUM(Table3[[#This Row],[Column2]:[Column18]]))</f>
        <v>50000</v>
      </c>
      <c r="BD156" s="2">
        <f>Table3[[#This Row],[Total Spend]]/SUM(Table3[[#This Row],[Column2]:[Column18]])</f>
        <v>0.26709401709401709</v>
      </c>
    </row>
    <row r="157" spans="1:56">
      <c r="A157" s="84" t="s">
        <v>229</v>
      </c>
      <c r="B157" s="84"/>
      <c r="C157" s="84" t="s">
        <v>57</v>
      </c>
      <c r="D157" s="85">
        <v>45566</v>
      </c>
      <c r="E157" s="85" t="s">
        <v>92</v>
      </c>
      <c r="F157" s="84">
        <f>INDEX(Definitions!$G$13:$G$17,MATCH(Table3[[#This Row],[Propensity to buy/ buyer readiness]],Definitions!$A$13:$A$17,0))</f>
        <v>150000</v>
      </c>
      <c r="G157" s="86">
        <v>5</v>
      </c>
      <c r="H157" s="86">
        <v>5</v>
      </c>
      <c r="I157" s="86">
        <v>3</v>
      </c>
      <c r="J157" s="86">
        <v>4</v>
      </c>
      <c r="K157" s="86">
        <v>4</v>
      </c>
      <c r="L157" s="86">
        <f>SUM(Table3[[#This Row],[Strategic priority segment]:[Propensity to buy/ buyer readiness]])</f>
        <v>21</v>
      </c>
      <c r="M157" s="86" t="s">
        <v>102</v>
      </c>
      <c r="N157" s="84" t="s">
        <v>61</v>
      </c>
      <c r="O157" s="84"/>
      <c r="P157" s="87"/>
      <c r="Q157" s="87"/>
      <c r="R157" s="84"/>
      <c r="S157" s="87"/>
      <c r="T157" s="87"/>
      <c r="U157" s="84">
        <v>1</v>
      </c>
      <c r="V157" s="84">
        <v>0</v>
      </c>
      <c r="W157" s="84">
        <v>0</v>
      </c>
      <c r="X157" s="84">
        <v>0</v>
      </c>
      <c r="Y157" s="84">
        <v>0</v>
      </c>
      <c r="Z157" s="84">
        <v>1</v>
      </c>
      <c r="AA157" s="84">
        <v>1</v>
      </c>
      <c r="AB157" s="84">
        <v>1</v>
      </c>
      <c r="AC157" s="84">
        <v>1</v>
      </c>
      <c r="AD157" s="84">
        <v>0</v>
      </c>
      <c r="AE157" s="84">
        <v>0</v>
      </c>
      <c r="AF157" s="84">
        <v>0</v>
      </c>
      <c r="AG157" s="84">
        <v>0</v>
      </c>
      <c r="AH157" s="84">
        <v>0</v>
      </c>
      <c r="AI157" s="84">
        <v>0</v>
      </c>
      <c r="AJ157" s="84">
        <v>0</v>
      </c>
      <c r="AK157" s="84">
        <v>0</v>
      </c>
      <c r="AL157" s="84" cm="1">
        <f t="array" ref="AL1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7" s="84" cm="1">
        <f t="array" ref="AM1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7" s="84" cm="1">
        <f t="array" ref="AN1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7" s="84" cm="1">
        <f t="array" ref="AO1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7" s="84" cm="1">
        <f t="array" ref="AP1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7" s="84" cm="1">
        <f t="array" ref="AQ1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57" s="84" cm="1">
        <f t="array" ref="AR1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57" s="84" cm="1">
        <f t="array" ref="AS1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57" s="84" cm="1">
        <f t="array" ref="AT1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57" s="84" cm="1">
        <f t="array" ref="AU1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7" s="84" cm="1">
        <f t="array" ref="AV1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7" s="84" cm="1">
        <f t="array" ref="AW1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7" s="84" cm="1">
        <f t="array" ref="AX1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7" s="84" cm="1">
        <f t="array" ref="AY1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7" s="84" cm="1">
        <f t="array" ref="AZ1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7" s="84" cm="1">
        <f t="array" ref="BA1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7" s="84" cm="1">
        <f t="array" ref="BB1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7" s="84">
        <f>IF(SUM(Table3[[#This Row],[Column2]:[Column18]])&gt;Table3[[#This Row],[Column19]],Table3[[#This Row],[Column19]],SUM(Table3[[#This Row],[Column2]:[Column18]]))</f>
        <v>101700</v>
      </c>
      <c r="BD157" s="2">
        <f>Table3[[#This Row],[Total Spend]]/SUM(Table3[[#This Row],[Column2]:[Column18]])</f>
        <v>1</v>
      </c>
    </row>
    <row r="158" spans="1:56">
      <c r="A158" s="84" t="s">
        <v>230</v>
      </c>
      <c r="B158" s="84" t="s">
        <v>57</v>
      </c>
      <c r="C158" s="84" t="s">
        <v>57</v>
      </c>
      <c r="D158" s="85">
        <v>45566</v>
      </c>
      <c r="E158" s="85" t="s">
        <v>92</v>
      </c>
      <c r="F158" s="84">
        <f>INDEX(Definitions!$G$13:$G$17,MATCH(Table3[[#This Row],[Propensity to buy/ buyer readiness]],Definitions!$A$13:$A$17,0))</f>
        <v>50000</v>
      </c>
      <c r="G158" s="86">
        <v>5</v>
      </c>
      <c r="H158" s="86">
        <v>5</v>
      </c>
      <c r="I158" s="86">
        <v>4</v>
      </c>
      <c r="J158" s="86">
        <v>4</v>
      </c>
      <c r="K158" s="86">
        <v>3</v>
      </c>
      <c r="L158" s="86">
        <f>SUM(Table3[[#This Row],[Strategic priority segment]:[Propensity to buy/ buyer readiness]])</f>
        <v>21</v>
      </c>
      <c r="M158" s="86" t="s">
        <v>102</v>
      </c>
      <c r="N158" s="84" t="s">
        <v>61</v>
      </c>
      <c r="O158" s="84" t="s">
        <v>62</v>
      </c>
      <c r="P158" s="87"/>
      <c r="Q158" s="87"/>
      <c r="R158" s="84"/>
      <c r="S158" s="87"/>
      <c r="T158" s="87"/>
      <c r="U158" s="84">
        <v>1</v>
      </c>
      <c r="V158" s="84">
        <v>0</v>
      </c>
      <c r="W158" s="84">
        <v>0</v>
      </c>
      <c r="X158" s="84">
        <v>0</v>
      </c>
      <c r="Y158" s="84">
        <v>0</v>
      </c>
      <c r="Z158" s="84">
        <v>1</v>
      </c>
      <c r="AA158" s="84">
        <v>1</v>
      </c>
      <c r="AB158" s="84">
        <v>1</v>
      </c>
      <c r="AC158" s="84">
        <v>1</v>
      </c>
      <c r="AD158" s="84">
        <v>1</v>
      </c>
      <c r="AE158" s="84">
        <v>1</v>
      </c>
      <c r="AF158" s="84">
        <v>1</v>
      </c>
      <c r="AG158" s="84">
        <v>1</v>
      </c>
      <c r="AH158" s="84">
        <v>0</v>
      </c>
      <c r="AI158" s="84">
        <v>0</v>
      </c>
      <c r="AJ158" s="84">
        <v>0</v>
      </c>
      <c r="AK158" s="84">
        <v>0</v>
      </c>
      <c r="AL158" s="84" cm="1">
        <f t="array" ref="AL1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8" s="84" cm="1">
        <f t="array" ref="AM1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8" s="84" cm="1">
        <f t="array" ref="AN1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8" s="84" cm="1">
        <f t="array" ref="AO1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8" s="84" cm="1">
        <f t="array" ref="AP1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8" s="84" cm="1">
        <f t="array" ref="AQ1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58" s="84" cm="1">
        <f t="array" ref="AR1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58" s="84" cm="1">
        <f t="array" ref="AS1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58" s="84" cm="1">
        <f t="array" ref="AT1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58" s="84" cm="1">
        <f t="array" ref="AU1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58" s="84" cm="1">
        <f t="array" ref="AV1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58" s="84" cm="1">
        <f t="array" ref="AW1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58" s="84" cm="1">
        <f t="array" ref="AX1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58" s="84" cm="1">
        <f t="array" ref="AY1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8" s="84" cm="1">
        <f t="array" ref="AZ1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8" s="84" cm="1">
        <f t="array" ref="BA1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8" s="84" cm="1">
        <f t="array" ref="BB1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8" s="84">
        <f>IF(SUM(Table3[[#This Row],[Column2]:[Column18]])&gt;Table3[[#This Row],[Column19]],Table3[[#This Row],[Column19]],SUM(Table3[[#This Row],[Column2]:[Column18]]))</f>
        <v>50000</v>
      </c>
      <c r="BD158" s="2">
        <f>Table3[[#This Row],[Total Spend]]/SUM(Table3[[#This Row],[Column2]:[Column18]])</f>
        <v>0.2664535038635758</v>
      </c>
    </row>
    <row r="159" spans="1:56">
      <c r="A159" s="84" t="s">
        <v>231</v>
      </c>
      <c r="B159" s="84" t="s">
        <v>57</v>
      </c>
      <c r="C159" s="84"/>
      <c r="D159" s="85">
        <v>45566</v>
      </c>
      <c r="E159" s="85" t="s">
        <v>92</v>
      </c>
      <c r="F159" s="84">
        <f>INDEX(Definitions!$G$13:$G$17,MATCH(Table3[[#This Row],[Propensity to buy/ buyer readiness]],Definitions!$A$13:$A$17,0))</f>
        <v>50000</v>
      </c>
      <c r="G159" s="86">
        <v>5</v>
      </c>
      <c r="H159" s="86">
        <v>5</v>
      </c>
      <c r="I159" s="86">
        <v>4</v>
      </c>
      <c r="J159" s="86">
        <v>4</v>
      </c>
      <c r="K159" s="86">
        <v>3</v>
      </c>
      <c r="L159" s="86">
        <f>SUM(Table3[[#This Row],[Strategic priority segment]:[Propensity to buy/ buyer readiness]])</f>
        <v>21</v>
      </c>
      <c r="M159" s="86" t="s">
        <v>102</v>
      </c>
      <c r="N159" s="84" t="s">
        <v>61</v>
      </c>
      <c r="O159" s="84"/>
      <c r="P159" s="87"/>
      <c r="Q159" s="87"/>
      <c r="R159" s="84"/>
      <c r="S159" s="87"/>
      <c r="T159" s="87"/>
      <c r="U159" s="84">
        <v>1</v>
      </c>
      <c r="V159" s="84">
        <v>0</v>
      </c>
      <c r="W159" s="84">
        <v>0</v>
      </c>
      <c r="X159" s="84">
        <v>0</v>
      </c>
      <c r="Y159" s="84">
        <v>0</v>
      </c>
      <c r="Z159" s="84">
        <v>1</v>
      </c>
      <c r="AA159" s="84">
        <v>1</v>
      </c>
      <c r="AB159" s="84">
        <v>1</v>
      </c>
      <c r="AC159" s="84">
        <v>1</v>
      </c>
      <c r="AD159" s="84">
        <v>0</v>
      </c>
      <c r="AE159" s="84">
        <v>0</v>
      </c>
      <c r="AF159" s="84">
        <v>0</v>
      </c>
      <c r="AG159" s="84">
        <v>0</v>
      </c>
      <c r="AH159" s="84">
        <v>0</v>
      </c>
      <c r="AI159" s="84">
        <v>0</v>
      </c>
      <c r="AJ159" s="84">
        <v>0</v>
      </c>
      <c r="AK159" s="84">
        <v>0</v>
      </c>
      <c r="AL159" s="84" cm="1">
        <f t="array" ref="AL1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9" s="84" cm="1">
        <f t="array" ref="AM1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9" s="84" cm="1">
        <f t="array" ref="AN1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9" s="84" cm="1">
        <f t="array" ref="AO1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9" s="84" cm="1">
        <f t="array" ref="AP1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9" s="84" cm="1">
        <f t="array" ref="AQ1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59" s="84" cm="1">
        <f t="array" ref="AR1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59" s="84" cm="1">
        <f t="array" ref="AS1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59" s="84" cm="1">
        <f t="array" ref="AT1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59" s="84" cm="1">
        <f t="array" ref="AU1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9" s="84" cm="1">
        <f t="array" ref="AV1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9" s="84" cm="1">
        <f t="array" ref="AW1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9" s="84" cm="1">
        <f t="array" ref="AX1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9" s="84" cm="1">
        <f t="array" ref="AY1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9" s="84" cm="1">
        <f t="array" ref="AZ1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9" s="84" cm="1">
        <f t="array" ref="BA1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9" s="84" cm="1">
        <f t="array" ref="BB1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9" s="84">
        <f>IF(SUM(Table3[[#This Row],[Column2]:[Column18]])&gt;Table3[[#This Row],[Column19]],Table3[[#This Row],[Column19]],SUM(Table3[[#This Row],[Column2]:[Column18]]))</f>
        <v>50000</v>
      </c>
      <c r="BD159" s="2">
        <f>Table3[[#This Row],[Total Spend]]/SUM(Table3[[#This Row],[Column2]:[Column18]])</f>
        <v>0.49164208456243852</v>
      </c>
    </row>
    <row r="160" spans="1:56">
      <c r="A160" s="84" t="s">
        <v>232</v>
      </c>
      <c r="B160" s="84" t="s">
        <v>57</v>
      </c>
      <c r="C160" s="84" t="s">
        <v>57</v>
      </c>
      <c r="D160" s="85">
        <v>45566</v>
      </c>
      <c r="E160" s="85" t="s">
        <v>58</v>
      </c>
      <c r="F160" s="84">
        <f>INDEX(Definitions!$G$13:$G$17,MATCH(Table3[[#This Row],[Propensity to buy/ buyer readiness]],Definitions!$A$13:$A$17,0))</f>
        <v>250000</v>
      </c>
      <c r="G160" s="86">
        <v>5</v>
      </c>
      <c r="H160" s="86">
        <v>4</v>
      </c>
      <c r="I160" s="86">
        <v>4</v>
      </c>
      <c r="J160" s="86">
        <v>3</v>
      </c>
      <c r="K160" s="86">
        <v>5</v>
      </c>
      <c r="L160" s="86">
        <f>SUM(Table3[[#This Row],[Strategic priority segment]:[Propensity to buy/ buyer readiness]])</f>
        <v>21</v>
      </c>
      <c r="M160" s="86" t="s">
        <v>66</v>
      </c>
      <c r="N160" s="84" t="s">
        <v>122</v>
      </c>
      <c r="O160" s="84" t="s">
        <v>62</v>
      </c>
      <c r="P160" s="87"/>
      <c r="Q160" s="87"/>
      <c r="R160" s="84"/>
      <c r="S160" s="87"/>
      <c r="T160" s="87"/>
      <c r="U160" s="84">
        <v>1</v>
      </c>
      <c r="V160" s="84">
        <v>0</v>
      </c>
      <c r="W160" s="84">
        <v>0</v>
      </c>
      <c r="X160" s="84">
        <v>0</v>
      </c>
      <c r="Y160" s="84">
        <v>0</v>
      </c>
      <c r="Z160" s="84">
        <v>1</v>
      </c>
      <c r="AA160" s="84">
        <v>0</v>
      </c>
      <c r="AB160" s="84">
        <v>1</v>
      </c>
      <c r="AC160" s="84">
        <v>0</v>
      </c>
      <c r="AD160" s="84">
        <v>1</v>
      </c>
      <c r="AE160" s="84">
        <v>1</v>
      </c>
      <c r="AF160" s="84">
        <v>1</v>
      </c>
      <c r="AG160" s="84">
        <v>1</v>
      </c>
      <c r="AH160" s="84">
        <v>0</v>
      </c>
      <c r="AI160" s="84">
        <v>0</v>
      </c>
      <c r="AJ160" s="84">
        <v>0</v>
      </c>
      <c r="AK160" s="84">
        <v>0</v>
      </c>
      <c r="AL160" s="84" cm="1">
        <f t="array" ref="AL1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60" s="84" cm="1">
        <f t="array" ref="AM1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0" s="84" cm="1">
        <f t="array" ref="AN1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0" s="84" cm="1">
        <f t="array" ref="AO1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0" s="84" cm="1">
        <f t="array" ref="AP1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0" s="84" cm="1">
        <f t="array" ref="AQ1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60" s="84" cm="1">
        <f t="array" ref="AR1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60" s="84" cm="1">
        <f t="array" ref="AS1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60" s="84" cm="1">
        <f t="array" ref="AT1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60" s="84" cm="1">
        <f t="array" ref="AU1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60" s="84" cm="1">
        <f t="array" ref="AV1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60" s="84" cm="1">
        <f t="array" ref="AW1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60" s="84" cm="1">
        <f t="array" ref="AX1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60" s="84" cm="1">
        <f t="array" ref="AY1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0" s="84" cm="1">
        <f t="array" ref="AZ1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0" s="84" cm="1">
        <f t="array" ref="BA1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0" s="84" cm="1">
        <f t="array" ref="BB1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0" s="84">
        <f>IF(SUM(Table3[[#This Row],[Column2]:[Column18]])&gt;Table3[[#This Row],[Column19]],Table3[[#This Row],[Column19]],SUM(Table3[[#This Row],[Column2]:[Column18]]))</f>
        <v>214200</v>
      </c>
      <c r="BD160" s="2">
        <f>Table3[[#This Row],[Total Spend]]/SUM(Table3[[#This Row],[Column2]:[Column18]])</f>
        <v>1</v>
      </c>
    </row>
    <row r="161" spans="1:56">
      <c r="A161" s="84" t="s">
        <v>233</v>
      </c>
      <c r="B161" s="84" t="s">
        <v>57</v>
      </c>
      <c r="C161" s="84"/>
      <c r="D161" s="85">
        <v>45566</v>
      </c>
      <c r="E161" s="85" t="s">
        <v>58</v>
      </c>
      <c r="F161" s="84">
        <f>INDEX(Definitions!$G$13:$G$17,MATCH(Table3[[#This Row],[Propensity to buy/ buyer readiness]],Definitions!$A$13:$A$17,0))</f>
        <v>150000</v>
      </c>
      <c r="G161" s="86">
        <v>5</v>
      </c>
      <c r="H161" s="86">
        <v>4</v>
      </c>
      <c r="I161" s="86">
        <v>4</v>
      </c>
      <c r="J161" s="86">
        <v>4</v>
      </c>
      <c r="K161" s="86">
        <v>4</v>
      </c>
      <c r="L161" s="86">
        <f>SUM(Table3[[#This Row],[Strategic priority segment]:[Propensity to buy/ buyer readiness]])</f>
        <v>21</v>
      </c>
      <c r="M161" s="86" t="s">
        <v>191</v>
      </c>
      <c r="N161" s="84" t="s">
        <v>135</v>
      </c>
      <c r="O161" s="84"/>
      <c r="P161" s="87"/>
      <c r="Q161" s="87"/>
      <c r="R161" s="84"/>
      <c r="S161" s="87"/>
      <c r="T161" s="87"/>
      <c r="U161" s="84">
        <v>0</v>
      </c>
      <c r="V161" s="84">
        <v>0</v>
      </c>
      <c r="W161" s="84">
        <v>0</v>
      </c>
      <c r="X161" s="84">
        <v>0</v>
      </c>
      <c r="Y161" s="84">
        <v>0</v>
      </c>
      <c r="Z161" s="84">
        <v>0</v>
      </c>
      <c r="AA161" s="84">
        <v>0</v>
      </c>
      <c r="AB161" s="84">
        <v>0</v>
      </c>
      <c r="AC161" s="84">
        <v>0</v>
      </c>
      <c r="AD161" s="84">
        <v>0</v>
      </c>
      <c r="AE161" s="84">
        <v>0</v>
      </c>
      <c r="AF161" s="84">
        <v>0</v>
      </c>
      <c r="AG161" s="84">
        <v>0</v>
      </c>
      <c r="AH161" s="84">
        <v>1</v>
      </c>
      <c r="AI161" s="84">
        <v>1</v>
      </c>
      <c r="AJ161" s="84">
        <v>1</v>
      </c>
      <c r="AK161" s="84">
        <v>1</v>
      </c>
      <c r="AL161" s="84" cm="1">
        <f t="array" ref="AL1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61" s="84" cm="1">
        <f t="array" ref="AM1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1" s="84" cm="1">
        <f t="array" ref="AN1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1" s="84" cm="1">
        <f t="array" ref="AO1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1" s="84" cm="1">
        <f t="array" ref="AP1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1" s="84" cm="1">
        <f t="array" ref="AQ1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61" s="84" cm="1">
        <f t="array" ref="AR1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61" s="84" cm="1">
        <f t="array" ref="AS1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61" s="84" cm="1">
        <f t="array" ref="AT1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61" s="84" cm="1">
        <f t="array" ref="AU1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61" s="84" cm="1">
        <f t="array" ref="AV1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61" s="84" cm="1">
        <f t="array" ref="AW1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61" s="84" cm="1">
        <f t="array" ref="AX1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1" s="84" cm="1">
        <f t="array" ref="AY1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61" s="84" cm="1">
        <f t="array" ref="AZ1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61" s="84" cm="1">
        <f t="array" ref="BA1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61" s="84" cm="1">
        <f t="array" ref="BB1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61" s="84">
        <f>IF(SUM(Table3[[#This Row],[Column2]:[Column18]])&gt;Table3[[#This Row],[Column19]],Table3[[#This Row],[Column19]],SUM(Table3[[#This Row],[Column2]:[Column18]]))</f>
        <v>64350</v>
      </c>
      <c r="BD161" s="2">
        <f>Table3[[#This Row],[Total Spend]]/SUM(Table3[[#This Row],[Column2]:[Column18]])</f>
        <v>1</v>
      </c>
    </row>
    <row r="162" spans="1:56">
      <c r="A162" s="84" t="s">
        <v>234</v>
      </c>
      <c r="B162" s="84" t="s">
        <v>57</v>
      </c>
      <c r="C162" s="84"/>
      <c r="D162" s="85">
        <v>45566</v>
      </c>
      <c r="E162" s="85" t="s">
        <v>92</v>
      </c>
      <c r="F162" s="84">
        <f>INDEX(Definitions!$G$13:$G$17,MATCH(Table3[[#This Row],[Propensity to buy/ buyer readiness]],Definitions!$A$13:$A$17,0))</f>
        <v>50000</v>
      </c>
      <c r="G162" s="86">
        <v>5</v>
      </c>
      <c r="H162" s="86">
        <v>5</v>
      </c>
      <c r="I162" s="86">
        <v>4</v>
      </c>
      <c r="J162" s="86">
        <v>4</v>
      </c>
      <c r="K162" s="86">
        <v>3</v>
      </c>
      <c r="L162" s="86">
        <f>SUM(Table3[[#This Row],[Strategic priority segment]:[Propensity to buy/ buyer readiness]])</f>
        <v>21</v>
      </c>
      <c r="M162" s="86" t="s">
        <v>102</v>
      </c>
      <c r="N162" s="84" t="s">
        <v>61</v>
      </c>
      <c r="O162" s="84"/>
      <c r="P162" s="87"/>
      <c r="Q162" s="87"/>
      <c r="R162" s="84"/>
      <c r="S162" s="87"/>
      <c r="T162" s="87"/>
      <c r="U162" s="84">
        <v>1</v>
      </c>
      <c r="V162" s="84">
        <v>0</v>
      </c>
      <c r="W162" s="84">
        <v>0</v>
      </c>
      <c r="X162" s="84">
        <v>0</v>
      </c>
      <c r="Y162" s="84">
        <v>0</v>
      </c>
      <c r="Z162" s="84">
        <v>1</v>
      </c>
      <c r="AA162" s="84">
        <v>1</v>
      </c>
      <c r="AB162" s="84">
        <v>1</v>
      </c>
      <c r="AC162" s="84">
        <v>1</v>
      </c>
      <c r="AD162" s="84">
        <v>0</v>
      </c>
      <c r="AE162" s="84">
        <v>0</v>
      </c>
      <c r="AF162" s="84">
        <v>0</v>
      </c>
      <c r="AG162" s="84">
        <v>0</v>
      </c>
      <c r="AH162" s="84">
        <v>0</v>
      </c>
      <c r="AI162" s="84">
        <v>0</v>
      </c>
      <c r="AJ162" s="84">
        <v>0</v>
      </c>
      <c r="AK162" s="84">
        <v>0</v>
      </c>
      <c r="AL162" s="84" cm="1">
        <f t="array" ref="AL1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62" s="84" cm="1">
        <f t="array" ref="AM1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2" s="84" cm="1">
        <f t="array" ref="AN1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2" s="84" cm="1">
        <f t="array" ref="AO1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2" s="84" cm="1">
        <f t="array" ref="AP1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2" s="84" cm="1">
        <f t="array" ref="AQ1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62" s="84" cm="1">
        <f t="array" ref="AR1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62" s="84" cm="1">
        <f t="array" ref="AS1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62" s="84" cm="1">
        <f t="array" ref="AT1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62" s="84" cm="1">
        <f t="array" ref="AU1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62" s="84" cm="1">
        <f t="array" ref="AV1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62" s="84" cm="1">
        <f t="array" ref="AW1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62" s="84" cm="1">
        <f t="array" ref="AX1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2" s="84" cm="1">
        <f t="array" ref="AY1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2" s="84" cm="1">
        <f t="array" ref="AZ1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2" s="84" cm="1">
        <f t="array" ref="BA1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2" s="84" cm="1">
        <f t="array" ref="BB1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2" s="84">
        <f>IF(SUM(Table3[[#This Row],[Column2]:[Column18]])&gt;Table3[[#This Row],[Column19]],Table3[[#This Row],[Column19]],SUM(Table3[[#This Row],[Column2]:[Column18]]))</f>
        <v>50000</v>
      </c>
      <c r="BD162" s="2">
        <f>Table3[[#This Row],[Total Spend]]/SUM(Table3[[#This Row],[Column2]:[Column18]])</f>
        <v>0.49164208456243852</v>
      </c>
    </row>
    <row r="163" spans="1:56">
      <c r="A163" s="84" t="s">
        <v>235</v>
      </c>
      <c r="B163" s="84" t="s">
        <v>57</v>
      </c>
      <c r="C163" s="84"/>
      <c r="D163" s="85">
        <v>45566</v>
      </c>
      <c r="E163" s="85" t="s">
        <v>92</v>
      </c>
      <c r="F163" s="84">
        <f>INDEX(Definitions!$G$13:$G$17,MATCH(Table3[[#This Row],[Propensity to buy/ buyer readiness]],Definitions!$A$13:$A$17,0))</f>
        <v>150000</v>
      </c>
      <c r="G163" s="86">
        <v>5</v>
      </c>
      <c r="H163" s="86">
        <v>4</v>
      </c>
      <c r="I163" s="86">
        <v>4</v>
      </c>
      <c r="J163" s="86">
        <v>4</v>
      </c>
      <c r="K163" s="86">
        <v>4</v>
      </c>
      <c r="L163" s="86">
        <f>SUM(Table3[[#This Row],[Strategic priority segment]:[Propensity to buy/ buyer readiness]])</f>
        <v>21</v>
      </c>
      <c r="M163" s="86" t="s">
        <v>191</v>
      </c>
      <c r="N163" s="84" t="s">
        <v>135</v>
      </c>
      <c r="O163" s="84" t="s">
        <v>122</v>
      </c>
      <c r="P163" s="87"/>
      <c r="Q163" s="87"/>
      <c r="R163" s="84"/>
      <c r="S163" s="87"/>
      <c r="T163" s="87"/>
      <c r="U163" s="84">
        <v>1</v>
      </c>
      <c r="V163" s="84">
        <v>0</v>
      </c>
      <c r="W163" s="84">
        <v>0</v>
      </c>
      <c r="X163" s="84">
        <v>0</v>
      </c>
      <c r="Y163" s="84">
        <v>0</v>
      </c>
      <c r="Z163" s="84">
        <v>1</v>
      </c>
      <c r="AA163" s="84">
        <v>0</v>
      </c>
      <c r="AB163" s="84">
        <v>1</v>
      </c>
      <c r="AC163" s="84">
        <v>0</v>
      </c>
      <c r="AD163" s="84">
        <v>1</v>
      </c>
      <c r="AE163" s="84">
        <v>0</v>
      </c>
      <c r="AF163" s="84">
        <v>1</v>
      </c>
      <c r="AG163" s="84">
        <v>0</v>
      </c>
      <c r="AH163" s="84">
        <v>1</v>
      </c>
      <c r="AI163" s="84">
        <v>1</v>
      </c>
      <c r="AJ163" s="84">
        <v>1</v>
      </c>
      <c r="AK163" s="84">
        <v>1</v>
      </c>
      <c r="AL163" s="84" cm="1">
        <f t="array" ref="AL1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63" s="84" cm="1">
        <f t="array" ref="AM1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3" s="84" cm="1">
        <f t="array" ref="AN1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3" s="84" cm="1">
        <f t="array" ref="AO1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3" s="84" cm="1">
        <f t="array" ref="AP1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3" s="84" cm="1">
        <f t="array" ref="AQ1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63" s="84" cm="1">
        <f t="array" ref="AR1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63" s="84" cm="1">
        <f t="array" ref="AS1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63" s="84" cm="1">
        <f t="array" ref="AT1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63" s="84" cm="1">
        <f t="array" ref="AU1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63" s="84" cm="1">
        <f t="array" ref="AV1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63" s="84" cm="1">
        <f t="array" ref="AW1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63" s="84" cm="1">
        <f t="array" ref="AX1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3" s="84" cm="1">
        <f t="array" ref="AY1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63" s="84" cm="1">
        <f t="array" ref="AZ1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63" s="84" cm="1">
        <f t="array" ref="BA1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63" s="84" cm="1">
        <f t="array" ref="BB1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63" s="84">
        <f>IF(SUM(Table3[[#This Row],[Column2]:[Column18]])&gt;Table3[[#This Row],[Column19]],Table3[[#This Row],[Column19]],SUM(Table3[[#This Row],[Column2]:[Column18]]))</f>
        <v>150000</v>
      </c>
      <c r="BD163" s="2">
        <f>Table3[[#This Row],[Total Spend]]/SUM(Table3[[#This Row],[Column2]:[Column18]])</f>
        <v>0.89847259658580414</v>
      </c>
    </row>
    <row r="164" spans="1:56">
      <c r="A164" s="84" t="s">
        <v>236</v>
      </c>
      <c r="B164" s="84" t="s">
        <v>57</v>
      </c>
      <c r="C164" s="84"/>
      <c r="D164" s="85">
        <v>45566</v>
      </c>
      <c r="E164" s="85" t="s">
        <v>58</v>
      </c>
      <c r="F164" s="84">
        <f>INDEX(Definitions!$G$13:$G$17,MATCH(Table3[[#This Row],[Propensity to buy/ buyer readiness]],Definitions!$A$13:$A$17,0))</f>
        <v>250000</v>
      </c>
      <c r="G164" s="86">
        <v>4</v>
      </c>
      <c r="H164" s="86">
        <v>4</v>
      </c>
      <c r="I164" s="86">
        <v>4</v>
      </c>
      <c r="J164" s="86">
        <v>4</v>
      </c>
      <c r="K164" s="86">
        <v>5</v>
      </c>
      <c r="L164" s="86">
        <f>SUM(Table3[[#This Row],[Strategic priority segment]:[Propensity to buy/ buyer readiness]])</f>
        <v>21</v>
      </c>
      <c r="M164" s="86" t="s">
        <v>59</v>
      </c>
      <c r="N164" s="84" t="s">
        <v>63</v>
      </c>
      <c r="O164" s="84"/>
      <c r="P164" s="87"/>
      <c r="Q164" s="87"/>
      <c r="R164" s="84"/>
      <c r="S164" s="87"/>
      <c r="T164" s="87"/>
      <c r="U164" s="84">
        <v>1</v>
      </c>
      <c r="V164" s="84">
        <v>0</v>
      </c>
      <c r="W164" s="84">
        <v>1</v>
      </c>
      <c r="X164" s="84">
        <v>0</v>
      </c>
      <c r="Y164" s="84">
        <v>0</v>
      </c>
      <c r="Z164" s="84">
        <v>0</v>
      </c>
      <c r="AA164" s="84">
        <v>1</v>
      </c>
      <c r="AB164" s="84">
        <v>0</v>
      </c>
      <c r="AC164" s="84">
        <v>0</v>
      </c>
      <c r="AD164" s="84">
        <v>1</v>
      </c>
      <c r="AE164" s="84">
        <v>1</v>
      </c>
      <c r="AF164" s="84">
        <v>1</v>
      </c>
      <c r="AG164" s="84">
        <v>0</v>
      </c>
      <c r="AH164" s="84">
        <v>0</v>
      </c>
      <c r="AI164" s="84">
        <v>0</v>
      </c>
      <c r="AJ164" s="84">
        <v>0</v>
      </c>
      <c r="AK164" s="84">
        <v>0</v>
      </c>
      <c r="AL164" s="84" cm="1">
        <f t="array" ref="AL1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64" s="84" cm="1">
        <f t="array" ref="AM1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4" s="84" cm="1">
        <f t="array" ref="AN1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64" s="84" cm="1">
        <f t="array" ref="AO1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4" s="84" cm="1">
        <f t="array" ref="AP1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4" s="84" cm="1">
        <f t="array" ref="AQ1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64" s="84" cm="1">
        <f t="array" ref="AR1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64" s="84" cm="1">
        <f t="array" ref="AS1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64" s="84" cm="1">
        <f t="array" ref="AT1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64" s="84" cm="1">
        <f t="array" ref="AU1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64" s="84" cm="1">
        <f t="array" ref="AV1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64" s="84" cm="1">
        <f t="array" ref="AW1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64" s="84" cm="1">
        <f t="array" ref="AX1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4" s="84" cm="1">
        <f t="array" ref="AY1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4" s="84" cm="1">
        <f t="array" ref="AZ1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4" s="84" cm="1">
        <f t="array" ref="BA1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4" s="84" cm="1">
        <f t="array" ref="BB1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4" s="84">
        <f>IF(SUM(Table3[[#This Row],[Column2]:[Column18]])&gt;Table3[[#This Row],[Column19]],Table3[[#This Row],[Column19]],SUM(Table3[[#This Row],[Column2]:[Column18]]))</f>
        <v>189900</v>
      </c>
      <c r="BD164" s="2">
        <f>Table3[[#This Row],[Total Spend]]/SUM(Table3[[#This Row],[Column2]:[Column18]])</f>
        <v>1</v>
      </c>
    </row>
    <row r="165" spans="1:56">
      <c r="A165" s="84" t="s">
        <v>237</v>
      </c>
      <c r="B165" s="84" t="s">
        <v>57</v>
      </c>
      <c r="C165" s="84"/>
      <c r="D165" s="85">
        <v>45566</v>
      </c>
      <c r="E165" s="85" t="s">
        <v>58</v>
      </c>
      <c r="F165" s="84">
        <f>INDEX(Definitions!$G$13:$G$17,MATCH(Table3[[#This Row],[Propensity to buy/ buyer readiness]],Definitions!$A$13:$A$17,0))</f>
        <v>250000</v>
      </c>
      <c r="G165" s="86">
        <v>4</v>
      </c>
      <c r="H165" s="86">
        <v>4</v>
      </c>
      <c r="I165" s="86">
        <v>4</v>
      </c>
      <c r="J165" s="86">
        <v>4</v>
      </c>
      <c r="K165" s="86">
        <v>5</v>
      </c>
      <c r="L165" s="86">
        <f>SUM(Table3[[#This Row],[Strategic priority segment]:[Propensity to buy/ buyer readiness]])</f>
        <v>21</v>
      </c>
      <c r="M165" s="86" t="s">
        <v>59</v>
      </c>
      <c r="N165" s="84" t="s">
        <v>63</v>
      </c>
      <c r="O165" s="84" t="s">
        <v>62</v>
      </c>
      <c r="P165" s="87"/>
      <c r="Q165" s="87"/>
      <c r="R165" s="84"/>
      <c r="S165" s="87"/>
      <c r="T165" s="87"/>
      <c r="U165" s="84">
        <v>1</v>
      </c>
      <c r="V165" s="84">
        <v>0</v>
      </c>
      <c r="W165" s="84">
        <v>1</v>
      </c>
      <c r="X165" s="84">
        <v>0</v>
      </c>
      <c r="Y165" s="84">
        <v>0</v>
      </c>
      <c r="Z165" s="84">
        <v>0</v>
      </c>
      <c r="AA165" s="84">
        <v>1</v>
      </c>
      <c r="AB165" s="84">
        <v>0</v>
      </c>
      <c r="AC165" s="84">
        <v>0</v>
      </c>
      <c r="AD165" s="84">
        <v>1</v>
      </c>
      <c r="AE165" s="84">
        <v>1</v>
      </c>
      <c r="AF165" s="84">
        <v>1</v>
      </c>
      <c r="AG165" s="84">
        <v>1</v>
      </c>
      <c r="AH165" s="84">
        <v>0</v>
      </c>
      <c r="AI165" s="84">
        <v>0</v>
      </c>
      <c r="AJ165" s="84">
        <v>0</v>
      </c>
      <c r="AK165" s="84">
        <v>0</v>
      </c>
      <c r="AL165" s="84" cm="1">
        <f t="array" ref="AL1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65" s="84" cm="1">
        <f t="array" ref="AM1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5" s="84" cm="1">
        <f t="array" ref="AN1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65" s="84" cm="1">
        <f t="array" ref="AO1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5" s="84" cm="1">
        <f t="array" ref="AP1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5" s="84" cm="1">
        <f t="array" ref="AQ1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65" s="84" cm="1">
        <f t="array" ref="AR1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65" s="84" cm="1">
        <f t="array" ref="AS1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65" s="84" cm="1">
        <f t="array" ref="AT1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65" s="84" cm="1">
        <f t="array" ref="AU1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65" s="84" cm="1">
        <f t="array" ref="AV1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65" s="84" cm="1">
        <f t="array" ref="AW1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65" s="84" cm="1">
        <f t="array" ref="AX1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65" s="84" cm="1">
        <f t="array" ref="AY1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5" s="84" cm="1">
        <f t="array" ref="AZ1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5" s="84" cm="1">
        <f t="array" ref="BA1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5" s="84" cm="1">
        <f t="array" ref="BB1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5" s="84">
        <f>IF(SUM(Table3[[#This Row],[Column2]:[Column18]])&gt;Table3[[#This Row],[Column19]],Table3[[#This Row],[Column19]],SUM(Table3[[#This Row],[Column2]:[Column18]]))</f>
        <v>225900</v>
      </c>
      <c r="BD165" s="2">
        <f>Table3[[#This Row],[Total Spend]]/SUM(Table3[[#This Row],[Column2]:[Column18]])</f>
        <v>1</v>
      </c>
    </row>
    <row r="166" spans="1:56" ht="14.25" customHeight="1">
      <c r="A166" s="88" t="s">
        <v>238</v>
      </c>
      <c r="B166" s="88"/>
      <c r="C166" s="88" t="s">
        <v>57</v>
      </c>
      <c r="D166" s="85">
        <v>45566</v>
      </c>
      <c r="E166" s="85" t="s">
        <v>92</v>
      </c>
      <c r="F166" s="84">
        <f>INDEX(Definitions!$G$13:$G$17,MATCH(Table3[[#This Row],[Propensity to buy/ buyer readiness]],Definitions!$A$13:$A$17,0))</f>
        <v>150000</v>
      </c>
      <c r="G166" s="86">
        <v>5</v>
      </c>
      <c r="H166" s="86">
        <v>5</v>
      </c>
      <c r="I166" s="86">
        <v>3</v>
      </c>
      <c r="J166" s="86">
        <v>4</v>
      </c>
      <c r="K166" s="86">
        <v>4</v>
      </c>
      <c r="L166" s="86">
        <f>SUM(Table3[[#This Row],[Strategic priority segment]:[Propensity to buy/ buyer readiness]])</f>
        <v>21</v>
      </c>
      <c r="M166" s="86" t="s">
        <v>102</v>
      </c>
      <c r="N166" s="84" t="s">
        <v>61</v>
      </c>
      <c r="O166" s="84"/>
      <c r="P166" s="87"/>
      <c r="Q166" s="87"/>
      <c r="R166" s="84"/>
      <c r="S166" s="87"/>
      <c r="T166" s="87"/>
      <c r="U166" s="84">
        <v>1</v>
      </c>
      <c r="V166" s="84">
        <v>0</v>
      </c>
      <c r="W166" s="84">
        <v>0</v>
      </c>
      <c r="X166" s="84">
        <v>0</v>
      </c>
      <c r="Y166" s="84">
        <v>0</v>
      </c>
      <c r="Z166" s="84">
        <v>1</v>
      </c>
      <c r="AA166" s="84">
        <v>1</v>
      </c>
      <c r="AB166" s="84">
        <v>1</v>
      </c>
      <c r="AC166" s="84">
        <v>1</v>
      </c>
      <c r="AD166" s="84">
        <v>0</v>
      </c>
      <c r="AE166" s="84">
        <v>0</v>
      </c>
      <c r="AF166" s="84">
        <v>0</v>
      </c>
      <c r="AG166" s="84">
        <v>0</v>
      </c>
      <c r="AH166" s="84">
        <v>0</v>
      </c>
      <c r="AI166" s="84">
        <v>0</v>
      </c>
      <c r="AJ166" s="84">
        <v>0</v>
      </c>
      <c r="AK166" s="84">
        <v>0</v>
      </c>
      <c r="AL166" s="84" cm="1">
        <f t="array" ref="AL1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66" s="84" cm="1">
        <f t="array" ref="AM1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6" s="84" cm="1">
        <f t="array" ref="AN1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6" s="84" cm="1">
        <f t="array" ref="AO1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6" s="84" cm="1">
        <f t="array" ref="AP1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6" s="84" cm="1">
        <f t="array" ref="AQ1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66" s="84" cm="1">
        <f t="array" ref="AR1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66" s="84" cm="1">
        <f t="array" ref="AS1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66" s="84" cm="1">
        <f t="array" ref="AT1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66" s="84" cm="1">
        <f t="array" ref="AU1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66" s="84" cm="1">
        <f t="array" ref="AV1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66" s="84" cm="1">
        <f t="array" ref="AW1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66" s="84" cm="1">
        <f t="array" ref="AX1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6" s="84" cm="1">
        <f t="array" ref="AY1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6" s="84" cm="1">
        <f t="array" ref="AZ1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6" s="84" cm="1">
        <f t="array" ref="BA1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6" s="84" cm="1">
        <f t="array" ref="BB1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6" s="84">
        <f>IF(SUM(Table3[[#This Row],[Column2]:[Column18]])&gt;Table3[[#This Row],[Column19]],Table3[[#This Row],[Column19]],SUM(Table3[[#This Row],[Column2]:[Column18]]))</f>
        <v>101700</v>
      </c>
      <c r="BD166" s="2">
        <f>Table3[[#This Row],[Total Spend]]/SUM(Table3[[#This Row],[Column2]:[Column18]])</f>
        <v>1</v>
      </c>
    </row>
    <row r="167" spans="1:56" ht="28.5">
      <c r="A167" s="84" t="s">
        <v>239</v>
      </c>
      <c r="B167" s="84" t="s">
        <v>57</v>
      </c>
      <c r="C167" s="84"/>
      <c r="D167" s="85">
        <v>45566</v>
      </c>
      <c r="E167" s="85" t="s">
        <v>58</v>
      </c>
      <c r="F167" s="84">
        <f>INDEX(Definitions!$G$13:$G$17,MATCH(Table3[[#This Row],[Propensity to buy/ buyer readiness]],Definitions!$A$13:$A$17,0))</f>
        <v>150000</v>
      </c>
      <c r="G167" s="86">
        <v>5</v>
      </c>
      <c r="H167" s="86">
        <v>4</v>
      </c>
      <c r="I167" s="86">
        <v>4</v>
      </c>
      <c r="J167" s="86">
        <v>4</v>
      </c>
      <c r="K167" s="86">
        <v>4</v>
      </c>
      <c r="L167" s="86">
        <f>SUM(Table3[[#This Row],[Strategic priority segment]:[Propensity to buy/ buyer readiness]])</f>
        <v>21</v>
      </c>
      <c r="M167" s="86" t="s">
        <v>102</v>
      </c>
      <c r="N167" s="84" t="s">
        <v>122</v>
      </c>
      <c r="O167" s="84" t="s">
        <v>61</v>
      </c>
      <c r="P167" s="87" t="s">
        <v>62</v>
      </c>
      <c r="Q167" s="87"/>
      <c r="R167" s="84"/>
      <c r="S167" s="87"/>
      <c r="T167" s="87"/>
      <c r="U167" s="84">
        <v>1</v>
      </c>
      <c r="V167" s="84">
        <v>0</v>
      </c>
      <c r="W167" s="84">
        <v>0</v>
      </c>
      <c r="X167" s="84">
        <v>0</v>
      </c>
      <c r="Y167" s="84">
        <v>0</v>
      </c>
      <c r="Z167" s="84">
        <v>1</v>
      </c>
      <c r="AA167" s="84">
        <v>1</v>
      </c>
      <c r="AB167" s="84">
        <v>1</v>
      </c>
      <c r="AC167" s="84">
        <v>1</v>
      </c>
      <c r="AD167" s="84">
        <v>1</v>
      </c>
      <c r="AE167" s="84">
        <v>1</v>
      </c>
      <c r="AF167" s="84">
        <v>1</v>
      </c>
      <c r="AG167" s="84">
        <v>1</v>
      </c>
      <c r="AH167" s="84">
        <v>0</v>
      </c>
      <c r="AI167" s="84">
        <v>0</v>
      </c>
      <c r="AJ167" s="84">
        <v>0</v>
      </c>
      <c r="AK167" s="84">
        <v>0</v>
      </c>
      <c r="AL167" s="84" cm="1">
        <f t="array" ref="AL1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67" s="84" cm="1">
        <f t="array" ref="AM1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7" s="84" cm="1">
        <f t="array" ref="AN1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7" s="84" cm="1">
        <f t="array" ref="AO1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7" s="84" cm="1">
        <f t="array" ref="AP1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7" s="84" cm="1">
        <f t="array" ref="AQ1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67" s="84" cm="1">
        <f t="array" ref="AR1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67" s="84" cm="1">
        <f t="array" ref="AS1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67" s="84" cm="1">
        <f t="array" ref="AT1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67" s="84" cm="1">
        <f t="array" ref="AU1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67" s="84" cm="1">
        <f t="array" ref="AV1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67" s="84" cm="1">
        <f t="array" ref="AW1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67" s="84" cm="1">
        <f t="array" ref="AX1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67" s="84" cm="1">
        <f t="array" ref="AY1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7" s="84" cm="1">
        <f t="array" ref="AZ1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7" s="84" cm="1">
        <f t="array" ref="BA1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7" s="84" cm="1">
        <f t="array" ref="BB1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7" s="84">
        <f>IF(SUM(Table3[[#This Row],[Column2]:[Column18]])&gt;Table3[[#This Row],[Column19]],Table3[[#This Row],[Column19]],SUM(Table3[[#This Row],[Column2]:[Column18]]))</f>
        <v>150000</v>
      </c>
      <c r="BD167" s="2">
        <f>Table3[[#This Row],[Total Spend]]/SUM(Table3[[#This Row],[Column2]:[Column18]])</f>
        <v>0.57471264367816088</v>
      </c>
    </row>
    <row r="168" spans="1:56">
      <c r="A168" s="84" t="s">
        <v>240</v>
      </c>
      <c r="B168" s="84" t="s">
        <v>57</v>
      </c>
      <c r="C168" s="84"/>
      <c r="D168" s="85">
        <v>45566</v>
      </c>
      <c r="E168" s="85" t="s">
        <v>58</v>
      </c>
      <c r="F168" s="84">
        <f>INDEX(Definitions!$G$13:$G$17,MATCH(Table3[[#This Row],[Propensity to buy/ buyer readiness]],Definitions!$A$13:$A$17,0))</f>
        <v>150000</v>
      </c>
      <c r="G168" s="86">
        <v>5</v>
      </c>
      <c r="H168" s="86">
        <v>4</v>
      </c>
      <c r="I168" s="86">
        <v>4</v>
      </c>
      <c r="J168" s="86">
        <v>4</v>
      </c>
      <c r="K168" s="86">
        <v>4</v>
      </c>
      <c r="L168" s="86">
        <f>SUM(Table3[[#This Row],[Strategic priority segment]:[Propensity to buy/ buyer readiness]])</f>
        <v>21</v>
      </c>
      <c r="M168" s="86" t="s">
        <v>191</v>
      </c>
      <c r="N168" s="84" t="s">
        <v>135</v>
      </c>
      <c r="O168" s="84"/>
      <c r="P168" s="87"/>
      <c r="Q168" s="87"/>
      <c r="R168" s="84"/>
      <c r="S168" s="87"/>
      <c r="T168" s="87"/>
      <c r="U168" s="84">
        <v>0</v>
      </c>
      <c r="V168" s="84">
        <v>0</v>
      </c>
      <c r="W168" s="84">
        <v>0</v>
      </c>
      <c r="X168" s="84">
        <v>0</v>
      </c>
      <c r="Y168" s="84">
        <v>0</v>
      </c>
      <c r="Z168" s="84">
        <v>0</v>
      </c>
      <c r="AA168" s="84">
        <v>0</v>
      </c>
      <c r="AB168" s="84">
        <v>0</v>
      </c>
      <c r="AC168" s="84">
        <v>0</v>
      </c>
      <c r="AD168" s="84">
        <v>0</v>
      </c>
      <c r="AE168" s="84">
        <v>0</v>
      </c>
      <c r="AF168" s="84">
        <v>0</v>
      </c>
      <c r="AG168" s="84">
        <v>0</v>
      </c>
      <c r="AH168" s="84">
        <v>1</v>
      </c>
      <c r="AI168" s="84">
        <v>1</v>
      </c>
      <c r="AJ168" s="84">
        <v>1</v>
      </c>
      <c r="AK168" s="84">
        <v>1</v>
      </c>
      <c r="AL168" s="84" cm="1">
        <f t="array" ref="AL1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68" s="84" cm="1">
        <f t="array" ref="AM1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8" s="84" cm="1">
        <f t="array" ref="AN1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8" s="84" cm="1">
        <f t="array" ref="AO1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8" s="84" cm="1">
        <f t="array" ref="AP1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8" s="84" cm="1">
        <f t="array" ref="AQ1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68" s="84" cm="1">
        <f t="array" ref="AR1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68" s="84" cm="1">
        <f t="array" ref="AS1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68" s="84" cm="1">
        <f t="array" ref="AT1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68" s="84" cm="1">
        <f t="array" ref="AU1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68" s="84" cm="1">
        <f t="array" ref="AV1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68" s="84" cm="1">
        <f t="array" ref="AW1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68" s="84" cm="1">
        <f t="array" ref="AX1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8" s="84" cm="1">
        <f t="array" ref="AY1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68" s="84" cm="1">
        <f t="array" ref="AZ1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68" s="84" cm="1">
        <f t="array" ref="BA1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68" s="84" cm="1">
        <f t="array" ref="BB1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68" s="84">
        <f>IF(SUM(Table3[[#This Row],[Column2]:[Column18]])&gt;Table3[[#This Row],[Column19]],Table3[[#This Row],[Column19]],SUM(Table3[[#This Row],[Column2]:[Column18]]))</f>
        <v>64350</v>
      </c>
      <c r="BD168" s="2">
        <f>Table3[[#This Row],[Total Spend]]/SUM(Table3[[#This Row],[Column2]:[Column18]])</f>
        <v>1</v>
      </c>
    </row>
    <row r="169" spans="1:56">
      <c r="A169" s="84" t="s">
        <v>241</v>
      </c>
      <c r="B169" s="84" t="s">
        <v>57</v>
      </c>
      <c r="C169" s="84" t="s">
        <v>57</v>
      </c>
      <c r="D169" s="85">
        <v>45566</v>
      </c>
      <c r="E169" s="85" t="s">
        <v>92</v>
      </c>
      <c r="F169" s="84">
        <f>INDEX(Definitions!$G$13:$G$17,MATCH(Table3[[#This Row],[Propensity to buy/ buyer readiness]],Definitions!$A$13:$A$17,0))</f>
        <v>50000</v>
      </c>
      <c r="G169" s="86">
        <v>5</v>
      </c>
      <c r="H169" s="86">
        <v>5</v>
      </c>
      <c r="I169" s="86">
        <v>4</v>
      </c>
      <c r="J169" s="86">
        <v>4</v>
      </c>
      <c r="K169" s="86">
        <v>3</v>
      </c>
      <c r="L169" s="86">
        <f>SUM(Table3[[#This Row],[Strategic priority segment]:[Propensity to buy/ buyer readiness]])</f>
        <v>21</v>
      </c>
      <c r="M169" s="86" t="s">
        <v>102</v>
      </c>
      <c r="N169" s="84" t="s">
        <v>61</v>
      </c>
      <c r="O169" s="84"/>
      <c r="P169" s="87"/>
      <c r="Q169" s="87"/>
      <c r="R169" s="84"/>
      <c r="S169" s="87"/>
      <c r="T169" s="87"/>
      <c r="U169" s="84">
        <v>1</v>
      </c>
      <c r="V169" s="84">
        <v>0</v>
      </c>
      <c r="W169" s="84">
        <v>0</v>
      </c>
      <c r="X169" s="84">
        <v>0</v>
      </c>
      <c r="Y169" s="84">
        <v>0</v>
      </c>
      <c r="Z169" s="84">
        <v>1</v>
      </c>
      <c r="AA169" s="84">
        <v>1</v>
      </c>
      <c r="AB169" s="84">
        <v>1</v>
      </c>
      <c r="AC169" s="84">
        <v>1</v>
      </c>
      <c r="AD169" s="84">
        <v>0</v>
      </c>
      <c r="AE169" s="84">
        <v>0</v>
      </c>
      <c r="AF169" s="84">
        <v>0</v>
      </c>
      <c r="AG169" s="84">
        <v>0</v>
      </c>
      <c r="AH169" s="84">
        <v>0</v>
      </c>
      <c r="AI169" s="84">
        <v>0</v>
      </c>
      <c r="AJ169" s="84">
        <v>0</v>
      </c>
      <c r="AK169" s="84">
        <v>0</v>
      </c>
      <c r="AL169" s="84" cm="1">
        <f t="array" ref="AL1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69" s="84" cm="1">
        <f t="array" ref="AM1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69" s="84" cm="1">
        <f t="array" ref="AN1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69" s="84" cm="1">
        <f t="array" ref="AO1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69" s="84" cm="1">
        <f t="array" ref="AP1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69" s="84" cm="1">
        <f t="array" ref="AQ1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69" s="84" cm="1">
        <f t="array" ref="AR1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69" s="84" cm="1">
        <f t="array" ref="AS1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69" s="84" cm="1">
        <f t="array" ref="AT1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69" s="84" cm="1">
        <f t="array" ref="AU1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69" s="84" cm="1">
        <f t="array" ref="AV1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69" s="84" cm="1">
        <f t="array" ref="AW1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69" s="84" cm="1">
        <f t="array" ref="AX1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69" s="84" cm="1">
        <f t="array" ref="AY1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69" s="84" cm="1">
        <f t="array" ref="AZ1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69" s="84" cm="1">
        <f t="array" ref="BA1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69" s="84" cm="1">
        <f t="array" ref="BB1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69" s="84">
        <f>IF(SUM(Table3[[#This Row],[Column2]:[Column18]])&gt;Table3[[#This Row],[Column19]],Table3[[#This Row],[Column19]],SUM(Table3[[#This Row],[Column2]:[Column18]]))</f>
        <v>50000</v>
      </c>
      <c r="BD169" s="2">
        <f>Table3[[#This Row],[Total Spend]]/SUM(Table3[[#This Row],[Column2]:[Column18]])</f>
        <v>0.49164208456243852</v>
      </c>
    </row>
    <row r="170" spans="1:56">
      <c r="A170" s="84" t="s">
        <v>242</v>
      </c>
      <c r="B170" s="84" t="s">
        <v>57</v>
      </c>
      <c r="C170" s="84" t="s">
        <v>57</v>
      </c>
      <c r="D170" s="85">
        <v>45566</v>
      </c>
      <c r="E170" s="85" t="s">
        <v>92</v>
      </c>
      <c r="F170" s="84">
        <f>INDEX(Definitions!$G$13:$G$17,MATCH(Table3[[#This Row],[Propensity to buy/ buyer readiness]],Definitions!$A$13:$A$17,0))</f>
        <v>50000</v>
      </c>
      <c r="G170" s="86">
        <v>5</v>
      </c>
      <c r="H170" s="86">
        <v>5</v>
      </c>
      <c r="I170" s="86">
        <v>4</v>
      </c>
      <c r="J170" s="86">
        <v>4</v>
      </c>
      <c r="K170" s="86">
        <v>3</v>
      </c>
      <c r="L170" s="86">
        <f>SUM(Table3[[#This Row],[Strategic priority segment]:[Propensity to buy/ buyer readiness]])</f>
        <v>21</v>
      </c>
      <c r="M170" s="86" t="s">
        <v>102</v>
      </c>
      <c r="N170" s="84" t="s">
        <v>61</v>
      </c>
      <c r="O170" s="84"/>
      <c r="P170" s="87"/>
      <c r="Q170" s="87"/>
      <c r="R170" s="84"/>
      <c r="S170" s="87"/>
      <c r="T170" s="87"/>
      <c r="U170" s="84">
        <v>1</v>
      </c>
      <c r="V170" s="84">
        <v>0</v>
      </c>
      <c r="W170" s="84">
        <v>0</v>
      </c>
      <c r="X170" s="84">
        <v>0</v>
      </c>
      <c r="Y170" s="84">
        <v>0</v>
      </c>
      <c r="Z170" s="84">
        <v>1</v>
      </c>
      <c r="AA170" s="84">
        <v>1</v>
      </c>
      <c r="AB170" s="84">
        <v>1</v>
      </c>
      <c r="AC170" s="84">
        <v>1</v>
      </c>
      <c r="AD170" s="84">
        <v>0</v>
      </c>
      <c r="AE170" s="84">
        <v>0</v>
      </c>
      <c r="AF170" s="84">
        <v>0</v>
      </c>
      <c r="AG170" s="84">
        <v>0</v>
      </c>
      <c r="AH170" s="84">
        <v>0</v>
      </c>
      <c r="AI170" s="84">
        <v>0</v>
      </c>
      <c r="AJ170" s="84">
        <v>0</v>
      </c>
      <c r="AK170" s="84">
        <v>0</v>
      </c>
      <c r="AL170" s="84" cm="1">
        <f t="array" ref="AL1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0" s="84" cm="1">
        <f t="array" ref="AM1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0" s="84" cm="1">
        <f t="array" ref="AN1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0" s="84" cm="1">
        <f t="array" ref="AO1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0" s="84" cm="1">
        <f t="array" ref="AP1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0" s="84" cm="1">
        <f t="array" ref="AQ1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70" s="84" cm="1">
        <f t="array" ref="AR1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70" s="84" cm="1">
        <f t="array" ref="AS1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70" s="84" cm="1">
        <f t="array" ref="AT1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70" s="84" cm="1">
        <f t="array" ref="AU1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70" s="84" cm="1">
        <f t="array" ref="AV1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70" s="84" cm="1">
        <f t="array" ref="AW1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70" s="84" cm="1">
        <f t="array" ref="AX1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0" s="84" cm="1">
        <f t="array" ref="AY1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0" s="84" cm="1">
        <f t="array" ref="AZ1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0" s="84" cm="1">
        <f t="array" ref="BA1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0" s="84" cm="1">
        <f t="array" ref="BB1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0" s="84">
        <f>IF(SUM(Table3[[#This Row],[Column2]:[Column18]])&gt;Table3[[#This Row],[Column19]],Table3[[#This Row],[Column19]],SUM(Table3[[#This Row],[Column2]:[Column18]]))</f>
        <v>50000</v>
      </c>
      <c r="BD170" s="2">
        <f>Table3[[#This Row],[Total Spend]]/SUM(Table3[[#This Row],[Column2]:[Column18]])</f>
        <v>0.49164208456243852</v>
      </c>
    </row>
    <row r="171" spans="1:56">
      <c r="A171" s="84" t="s">
        <v>243</v>
      </c>
      <c r="B171" s="84"/>
      <c r="C171" s="84" t="s">
        <v>57</v>
      </c>
      <c r="D171" s="85">
        <v>45566</v>
      </c>
      <c r="E171" s="85" t="s">
        <v>92</v>
      </c>
      <c r="F171" s="84">
        <f>INDEX(Definitions!$G$13:$G$17,MATCH(Table3[[#This Row],[Propensity to buy/ buyer readiness]],Definitions!$A$13:$A$17,0))</f>
        <v>50000</v>
      </c>
      <c r="G171" s="86">
        <v>5</v>
      </c>
      <c r="H171" s="86">
        <v>5</v>
      </c>
      <c r="I171" s="86">
        <v>4</v>
      </c>
      <c r="J171" s="86">
        <v>4</v>
      </c>
      <c r="K171" s="86">
        <v>3</v>
      </c>
      <c r="L171" s="86">
        <f>SUM(Table3[[#This Row],[Strategic priority segment]:[Propensity to buy/ buyer readiness]])</f>
        <v>21</v>
      </c>
      <c r="M171" s="86" t="s">
        <v>102</v>
      </c>
      <c r="N171" s="84" t="s">
        <v>61</v>
      </c>
      <c r="O171" s="84"/>
      <c r="P171" s="87"/>
      <c r="Q171" s="87"/>
      <c r="R171" s="84"/>
      <c r="S171" s="87"/>
      <c r="T171" s="87"/>
      <c r="U171" s="84">
        <v>1</v>
      </c>
      <c r="V171" s="84">
        <v>0</v>
      </c>
      <c r="W171" s="84">
        <v>0</v>
      </c>
      <c r="X171" s="84">
        <v>0</v>
      </c>
      <c r="Y171" s="84">
        <v>0</v>
      </c>
      <c r="Z171" s="84">
        <v>1</v>
      </c>
      <c r="AA171" s="84">
        <v>1</v>
      </c>
      <c r="AB171" s="84">
        <v>1</v>
      </c>
      <c r="AC171" s="84">
        <v>1</v>
      </c>
      <c r="AD171" s="84">
        <v>0</v>
      </c>
      <c r="AE171" s="84">
        <v>0</v>
      </c>
      <c r="AF171" s="84">
        <v>0</v>
      </c>
      <c r="AG171" s="84">
        <v>0</v>
      </c>
      <c r="AH171" s="84">
        <v>0</v>
      </c>
      <c r="AI171" s="84">
        <v>0</v>
      </c>
      <c r="AJ171" s="84">
        <v>0</v>
      </c>
      <c r="AK171" s="84">
        <v>0</v>
      </c>
      <c r="AL171" s="84" cm="1">
        <f t="array" ref="AL1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1" s="84" cm="1">
        <f t="array" ref="AM1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1" s="84" cm="1">
        <f t="array" ref="AN1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1" s="84" cm="1">
        <f t="array" ref="AO1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1" s="84" cm="1">
        <f t="array" ref="AP1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1" s="84" cm="1">
        <f t="array" ref="AQ1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71" s="84" cm="1">
        <f t="array" ref="AR1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71" s="84" cm="1">
        <f t="array" ref="AS1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71" s="84" cm="1">
        <f t="array" ref="AT1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71" s="84" cm="1">
        <f t="array" ref="AU1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71" s="84" cm="1">
        <f t="array" ref="AV1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71" s="84" cm="1">
        <f t="array" ref="AW1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71" s="84" cm="1">
        <f t="array" ref="AX1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1" s="84" cm="1">
        <f t="array" ref="AY1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1" s="84" cm="1">
        <f t="array" ref="AZ1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1" s="84" cm="1">
        <f t="array" ref="BA1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1" s="84" cm="1">
        <f t="array" ref="BB1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1" s="84">
        <f>IF(SUM(Table3[[#This Row],[Column2]:[Column18]])&gt;Table3[[#This Row],[Column19]],Table3[[#This Row],[Column19]],SUM(Table3[[#This Row],[Column2]:[Column18]]))</f>
        <v>50000</v>
      </c>
      <c r="BD171" s="2">
        <f>Table3[[#This Row],[Total Spend]]/SUM(Table3[[#This Row],[Column2]:[Column18]])</f>
        <v>0.49164208456243852</v>
      </c>
    </row>
    <row r="172" spans="1:56">
      <c r="A172" s="84" t="s">
        <v>244</v>
      </c>
      <c r="B172" s="84" t="s">
        <v>57</v>
      </c>
      <c r="C172" s="84"/>
      <c r="D172" s="85">
        <v>45566</v>
      </c>
      <c r="E172" s="85" t="s">
        <v>92</v>
      </c>
      <c r="F172" s="84">
        <f>INDEX(Definitions!$G$13:$G$17,MATCH(Table3[[#This Row],[Propensity to buy/ buyer readiness]],Definitions!$A$13:$A$17,0))</f>
        <v>50000</v>
      </c>
      <c r="G172" s="86">
        <v>5</v>
      </c>
      <c r="H172" s="86">
        <v>5</v>
      </c>
      <c r="I172" s="86">
        <v>4</v>
      </c>
      <c r="J172" s="86">
        <v>4</v>
      </c>
      <c r="K172" s="86">
        <v>3</v>
      </c>
      <c r="L172" s="86">
        <f>SUM(Table3[[#This Row],[Strategic priority segment]:[Propensity to buy/ buyer readiness]])</f>
        <v>21</v>
      </c>
      <c r="M172" s="86" t="s">
        <v>102</v>
      </c>
      <c r="N172" s="84" t="s">
        <v>61</v>
      </c>
      <c r="O172" s="84"/>
      <c r="P172" s="87"/>
      <c r="Q172" s="87"/>
      <c r="R172" s="84"/>
      <c r="S172" s="87"/>
      <c r="T172" s="87"/>
      <c r="U172" s="84">
        <v>1</v>
      </c>
      <c r="V172" s="84">
        <v>0</v>
      </c>
      <c r="W172" s="84">
        <v>0</v>
      </c>
      <c r="X172" s="84">
        <v>0</v>
      </c>
      <c r="Y172" s="84">
        <v>0</v>
      </c>
      <c r="Z172" s="84">
        <v>1</v>
      </c>
      <c r="AA172" s="84">
        <v>1</v>
      </c>
      <c r="AB172" s="84">
        <v>1</v>
      </c>
      <c r="AC172" s="84">
        <v>1</v>
      </c>
      <c r="AD172" s="84">
        <v>0</v>
      </c>
      <c r="AE172" s="84">
        <v>0</v>
      </c>
      <c r="AF172" s="84">
        <v>0</v>
      </c>
      <c r="AG172" s="84">
        <v>0</v>
      </c>
      <c r="AH172" s="84">
        <v>0</v>
      </c>
      <c r="AI172" s="84">
        <v>0</v>
      </c>
      <c r="AJ172" s="84">
        <v>0</v>
      </c>
      <c r="AK172" s="84">
        <v>0</v>
      </c>
      <c r="AL172" s="84" cm="1">
        <f t="array" ref="AL1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2" s="84" cm="1">
        <f t="array" ref="AM1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2" s="84" cm="1">
        <f t="array" ref="AN1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2" s="84" cm="1">
        <f t="array" ref="AO1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2" s="84" cm="1">
        <f t="array" ref="AP1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2" s="84" cm="1">
        <f t="array" ref="AQ1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72" s="84" cm="1">
        <f t="array" ref="AR1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72" s="84" cm="1">
        <f t="array" ref="AS1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72" s="84" cm="1">
        <f t="array" ref="AT1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72" s="84" cm="1">
        <f t="array" ref="AU1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72" s="84" cm="1">
        <f t="array" ref="AV1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72" s="84" cm="1">
        <f t="array" ref="AW1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72" s="84" cm="1">
        <f t="array" ref="AX1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2" s="84" cm="1">
        <f t="array" ref="AY1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2" s="84" cm="1">
        <f t="array" ref="AZ1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2" s="84" cm="1">
        <f t="array" ref="BA1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2" s="84" cm="1">
        <f t="array" ref="BB1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2" s="84">
        <f>IF(SUM(Table3[[#This Row],[Column2]:[Column18]])&gt;Table3[[#This Row],[Column19]],Table3[[#This Row],[Column19]],SUM(Table3[[#This Row],[Column2]:[Column18]]))</f>
        <v>50000</v>
      </c>
      <c r="BD172" s="2">
        <f>Table3[[#This Row],[Total Spend]]/SUM(Table3[[#This Row],[Column2]:[Column18]])</f>
        <v>0.49164208456243852</v>
      </c>
    </row>
    <row r="173" spans="1:56">
      <c r="A173" s="84" t="s">
        <v>245</v>
      </c>
      <c r="B173" s="84" t="s">
        <v>57</v>
      </c>
      <c r="C173" s="84"/>
      <c r="D173" s="85">
        <v>45566</v>
      </c>
      <c r="E173" s="85" t="s">
        <v>58</v>
      </c>
      <c r="F173" s="84">
        <f>INDEX(Definitions!$G$13:$G$17,MATCH(Table3[[#This Row],[Propensity to buy/ buyer readiness]],Definitions!$A$13:$A$17,0))</f>
        <v>150000</v>
      </c>
      <c r="G173" s="86">
        <v>5</v>
      </c>
      <c r="H173" s="86">
        <v>4</v>
      </c>
      <c r="I173" s="86">
        <v>4</v>
      </c>
      <c r="J173" s="86">
        <v>4</v>
      </c>
      <c r="K173" s="86">
        <v>4</v>
      </c>
      <c r="L173" s="86">
        <f>SUM(Table3[[#This Row],[Strategic priority segment]:[Propensity to buy/ buyer readiness]])</f>
        <v>21</v>
      </c>
      <c r="M173" s="86" t="s">
        <v>102</v>
      </c>
      <c r="N173" s="84" t="s">
        <v>122</v>
      </c>
      <c r="O173" s="84" t="s">
        <v>61</v>
      </c>
      <c r="P173" s="87"/>
      <c r="Q173" s="87"/>
      <c r="R173" s="84"/>
      <c r="S173" s="87"/>
      <c r="T173" s="87"/>
      <c r="U173" s="84">
        <v>1</v>
      </c>
      <c r="V173" s="84">
        <v>0</v>
      </c>
      <c r="W173" s="84">
        <v>0</v>
      </c>
      <c r="X173" s="84">
        <v>0</v>
      </c>
      <c r="Y173" s="84">
        <v>0</v>
      </c>
      <c r="Z173" s="84">
        <v>1</v>
      </c>
      <c r="AA173" s="84">
        <v>0</v>
      </c>
      <c r="AB173" s="84">
        <v>1</v>
      </c>
      <c r="AC173" s="84">
        <v>0</v>
      </c>
      <c r="AD173" s="84">
        <v>1</v>
      </c>
      <c r="AE173" s="84">
        <v>0</v>
      </c>
      <c r="AF173" s="84">
        <v>1</v>
      </c>
      <c r="AG173" s="84">
        <v>0</v>
      </c>
      <c r="AH173" s="84">
        <v>0</v>
      </c>
      <c r="AI173" s="84">
        <v>0</v>
      </c>
      <c r="AJ173" s="84">
        <v>0</v>
      </c>
      <c r="AK173" s="84">
        <v>0</v>
      </c>
      <c r="AL173" s="84" cm="1">
        <f t="array" ref="AL1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73" s="84" cm="1">
        <f t="array" ref="AM1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3" s="84" cm="1">
        <f t="array" ref="AN1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3" s="84" cm="1">
        <f t="array" ref="AO1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3" s="84" cm="1">
        <f t="array" ref="AP1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3" s="84" cm="1">
        <f t="array" ref="AQ1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73" s="84" cm="1">
        <f t="array" ref="AR1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73" s="84" cm="1">
        <f t="array" ref="AS1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73" s="84" cm="1">
        <f t="array" ref="AT1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73" s="84" cm="1">
        <f t="array" ref="AU1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73" s="84" cm="1">
        <f t="array" ref="AV1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73" s="84" cm="1">
        <f t="array" ref="AW1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73" s="84" cm="1">
        <f t="array" ref="AX1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3" s="84" cm="1">
        <f t="array" ref="AY1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3" s="84" cm="1">
        <f t="array" ref="AZ1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3" s="84" cm="1">
        <f t="array" ref="BA1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3" s="84" cm="1">
        <f t="array" ref="BB1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3" s="84">
        <f>IF(SUM(Table3[[#This Row],[Column2]:[Column18]])&gt;Table3[[#This Row],[Column19]],Table3[[#This Row],[Column19]],SUM(Table3[[#This Row],[Column2]:[Column18]]))</f>
        <v>150000</v>
      </c>
      <c r="BD173" s="2">
        <f>Table3[[#This Row],[Total Spend]]/SUM(Table3[[#This Row],[Column2]:[Column18]])</f>
        <v>0.89605734767025091</v>
      </c>
    </row>
    <row r="174" spans="1:56" ht="28.5">
      <c r="A174" s="84" t="s">
        <v>246</v>
      </c>
      <c r="B174" s="84" t="s">
        <v>57</v>
      </c>
      <c r="C174" s="84" t="s">
        <v>57</v>
      </c>
      <c r="D174" s="85">
        <v>45566</v>
      </c>
      <c r="E174" s="85" t="s">
        <v>58</v>
      </c>
      <c r="F174" s="84">
        <f>INDEX(Definitions!$G$13:$G$17,MATCH(Table3[[#This Row],[Propensity to buy/ buyer readiness]],Definitions!$A$13:$A$17,0))</f>
        <v>150000</v>
      </c>
      <c r="G174" s="86">
        <v>5</v>
      </c>
      <c r="H174" s="86">
        <v>4</v>
      </c>
      <c r="I174" s="86">
        <v>4</v>
      </c>
      <c r="J174" s="86">
        <v>4</v>
      </c>
      <c r="K174" s="86">
        <v>4</v>
      </c>
      <c r="L174" s="86">
        <f>SUM(Table3[[#This Row],[Strategic priority segment]:[Propensity to buy/ buyer readiness]])</f>
        <v>21</v>
      </c>
      <c r="M174" s="86" t="s">
        <v>191</v>
      </c>
      <c r="N174" s="84" t="s">
        <v>76</v>
      </c>
      <c r="O174" s="84" t="s">
        <v>62</v>
      </c>
      <c r="P174" s="87" t="s">
        <v>61</v>
      </c>
      <c r="Q174" s="87" t="s">
        <v>135</v>
      </c>
      <c r="R174" s="84"/>
      <c r="S174" s="87"/>
      <c r="T174" s="87"/>
      <c r="U174" s="84">
        <v>1</v>
      </c>
      <c r="V174" s="84">
        <v>0</v>
      </c>
      <c r="W174" s="84">
        <v>0</v>
      </c>
      <c r="X174" s="84">
        <v>0</v>
      </c>
      <c r="Y174" s="84">
        <v>0</v>
      </c>
      <c r="Z174" s="84">
        <v>1</v>
      </c>
      <c r="AA174" s="84">
        <v>1</v>
      </c>
      <c r="AB174" s="84">
        <v>1</v>
      </c>
      <c r="AC174" s="84">
        <v>1</v>
      </c>
      <c r="AD174" s="84">
        <v>1</v>
      </c>
      <c r="AE174" s="84">
        <v>1</v>
      </c>
      <c r="AF174" s="84">
        <v>1</v>
      </c>
      <c r="AG174" s="84">
        <v>1</v>
      </c>
      <c r="AH174" s="84">
        <v>1</v>
      </c>
      <c r="AI174" s="84">
        <v>1</v>
      </c>
      <c r="AJ174" s="84">
        <v>1</v>
      </c>
      <c r="AK174" s="84">
        <v>1</v>
      </c>
      <c r="AL174" s="84" cm="1">
        <f t="array" ref="AL1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74" s="84" cm="1">
        <f t="array" ref="AM1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4" s="84" cm="1">
        <f t="array" ref="AN1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4" s="84" cm="1">
        <f t="array" ref="AO1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4" s="84" cm="1">
        <f t="array" ref="AP1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4" s="84" cm="1">
        <f t="array" ref="AQ1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74" s="84" cm="1">
        <f t="array" ref="AR1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74" s="84" cm="1">
        <f t="array" ref="AS1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74" s="84" cm="1">
        <f t="array" ref="AT1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74" s="84" cm="1">
        <f t="array" ref="AU1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74" s="84" cm="1">
        <f t="array" ref="AV1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74" s="84" cm="1">
        <f t="array" ref="AW1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74" s="84" cm="1">
        <f t="array" ref="AX1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74" s="84" cm="1">
        <f t="array" ref="AY1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74" s="84" cm="1">
        <f t="array" ref="AZ1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74" s="84" cm="1">
        <f t="array" ref="BA1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74" s="84" cm="1">
        <f t="array" ref="BB1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74" s="84">
        <f>IF(SUM(Table3[[#This Row],[Column2]:[Column18]])&gt;Table3[[#This Row],[Column19]],Table3[[#This Row],[Column19]],SUM(Table3[[#This Row],[Column2]:[Column18]]))</f>
        <v>150000</v>
      </c>
      <c r="BD174" s="2">
        <f>Table3[[#This Row],[Total Spend]]/SUM(Table3[[#This Row],[Column2]:[Column18]])</f>
        <v>0.46104195481788846</v>
      </c>
    </row>
    <row r="175" spans="1:56">
      <c r="A175" s="84" t="s">
        <v>247</v>
      </c>
      <c r="B175" s="84"/>
      <c r="C175" s="84" t="s">
        <v>57</v>
      </c>
      <c r="D175" s="85">
        <v>45809</v>
      </c>
      <c r="E175" s="85" t="s">
        <v>92</v>
      </c>
      <c r="F175" s="84">
        <f>INDEX(Definitions!$G$13:$G$17,MATCH(Table3[[#This Row],[Propensity to buy/ buyer readiness]],Definitions!$A$13:$A$17,0))</f>
        <v>50000</v>
      </c>
      <c r="G175" s="86">
        <v>5</v>
      </c>
      <c r="H175" s="86">
        <v>4</v>
      </c>
      <c r="I175" s="86">
        <v>4</v>
      </c>
      <c r="J175" s="86">
        <v>5</v>
      </c>
      <c r="K175" s="86">
        <v>3</v>
      </c>
      <c r="L175" s="86">
        <f>SUM(Table3[[#This Row],[Strategic priority segment]:[Propensity to buy/ buyer readiness]])</f>
        <v>21</v>
      </c>
      <c r="M175" s="86" t="s">
        <v>59</v>
      </c>
      <c r="N175" s="84" t="s">
        <v>60</v>
      </c>
      <c r="O175" s="84" t="s">
        <v>135</v>
      </c>
      <c r="P175" s="84"/>
      <c r="Q175" s="84"/>
      <c r="R175" s="84"/>
      <c r="S175" s="84"/>
      <c r="T175" s="84"/>
      <c r="U175" s="84">
        <v>1</v>
      </c>
      <c r="V175" s="84">
        <v>1</v>
      </c>
      <c r="W175" s="84">
        <v>1</v>
      </c>
      <c r="X175" s="84">
        <v>1</v>
      </c>
      <c r="Y175" s="84">
        <v>1</v>
      </c>
      <c r="Z175" s="84">
        <v>0</v>
      </c>
      <c r="AA175" s="84">
        <v>0</v>
      </c>
      <c r="AB175" s="84">
        <v>0</v>
      </c>
      <c r="AC175" s="84">
        <v>0</v>
      </c>
      <c r="AD175" s="84">
        <v>1</v>
      </c>
      <c r="AE175" s="84">
        <v>0</v>
      </c>
      <c r="AF175" s="84">
        <v>0</v>
      </c>
      <c r="AG175" s="84">
        <v>0</v>
      </c>
      <c r="AH175" s="84">
        <v>1</v>
      </c>
      <c r="AI175" s="84">
        <v>1</v>
      </c>
      <c r="AJ175" s="84">
        <v>1</v>
      </c>
      <c r="AK175" s="84">
        <v>1</v>
      </c>
      <c r="AL175" s="84" cm="1">
        <f t="array" ref="AL1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5" s="84" cm="1">
        <f t="array" ref="AM1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75" s="84" cm="1">
        <f t="array" ref="AN1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75" s="84" cm="1">
        <f t="array" ref="AO1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75" s="84" cm="1">
        <f t="array" ref="AP1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75" s="84" cm="1">
        <f t="array" ref="AQ1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75" s="84" cm="1">
        <f t="array" ref="AR1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75" s="84" cm="1">
        <f t="array" ref="AS1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75" s="84" cm="1">
        <f t="array" ref="AT1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75" s="84" cm="1">
        <f t="array" ref="AU1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75" s="84" cm="1">
        <f t="array" ref="AV1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75" s="84" cm="1">
        <f t="array" ref="AW1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75" s="84" cm="1">
        <f t="array" ref="AX1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5" s="84" cm="1">
        <f t="array" ref="AY1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75" s="84" cm="1">
        <f t="array" ref="AZ1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75" s="84" cm="1">
        <f t="array" ref="BA1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75" s="84" cm="1">
        <f t="array" ref="BB1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75" s="84">
        <f>IF(SUM(Table3[[#This Row],[Column2]:[Column18]])&gt;Table3[[#This Row],[Column19]],Table3[[#This Row],[Column19]],SUM(Table3[[#This Row],[Column2]:[Column18]]))</f>
        <v>50000</v>
      </c>
      <c r="BD175" s="2">
        <f>Table3[[#This Row],[Total Spend]]/SUM(Table3[[#This Row],[Column2]:[Column18]])</f>
        <v>0.21408691928923143</v>
      </c>
    </row>
    <row r="176" spans="1:56">
      <c r="A176" s="84" t="s">
        <v>248</v>
      </c>
      <c r="B176" s="84" t="s">
        <v>57</v>
      </c>
      <c r="C176" s="84"/>
      <c r="D176" s="85">
        <v>45566</v>
      </c>
      <c r="E176" s="85" t="s">
        <v>92</v>
      </c>
      <c r="F176" s="84">
        <f>INDEX(Definitions!$G$13:$G$17,MATCH(Table3[[#This Row],[Propensity to buy/ buyer readiness]],Definitions!$A$13:$A$17,0))</f>
        <v>150000</v>
      </c>
      <c r="G176" s="86">
        <v>5</v>
      </c>
      <c r="H176" s="86">
        <v>4</v>
      </c>
      <c r="I176" s="86">
        <v>4</v>
      </c>
      <c r="J176" s="86">
        <v>4</v>
      </c>
      <c r="K176" s="86">
        <v>4</v>
      </c>
      <c r="L176" s="86">
        <f>SUM(Table3[[#This Row],[Strategic priority segment]:[Propensity to buy/ buyer readiness]])</f>
        <v>21</v>
      </c>
      <c r="M176" s="86" t="s">
        <v>191</v>
      </c>
      <c r="N176" s="84" t="s">
        <v>135</v>
      </c>
      <c r="O176" s="84" t="s">
        <v>62</v>
      </c>
      <c r="P176" s="87"/>
      <c r="Q176" s="87"/>
      <c r="R176" s="84"/>
      <c r="S176" s="87"/>
      <c r="T176" s="87"/>
      <c r="U176" s="84">
        <v>1</v>
      </c>
      <c r="V176" s="84">
        <v>0</v>
      </c>
      <c r="W176" s="84">
        <v>0</v>
      </c>
      <c r="X176" s="84">
        <v>0</v>
      </c>
      <c r="Y176" s="84">
        <v>0</v>
      </c>
      <c r="Z176" s="84">
        <v>0</v>
      </c>
      <c r="AA176" s="84">
        <v>0</v>
      </c>
      <c r="AB176" s="84">
        <v>0</v>
      </c>
      <c r="AC176" s="84">
        <v>0</v>
      </c>
      <c r="AD176" s="84">
        <v>1</v>
      </c>
      <c r="AE176" s="84">
        <v>1</v>
      </c>
      <c r="AF176" s="84">
        <v>1</v>
      </c>
      <c r="AG176" s="84">
        <v>1</v>
      </c>
      <c r="AH176" s="84">
        <v>1</v>
      </c>
      <c r="AI176" s="84">
        <v>1</v>
      </c>
      <c r="AJ176" s="84">
        <v>1</v>
      </c>
      <c r="AK176" s="84">
        <v>1</v>
      </c>
      <c r="AL176" s="84" cm="1">
        <f t="array" ref="AL1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6" s="84" cm="1">
        <f t="array" ref="AM1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6" s="84" cm="1">
        <f t="array" ref="AN1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6" s="84" cm="1">
        <f t="array" ref="AO1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6" s="84" cm="1">
        <f t="array" ref="AP1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6" s="84" cm="1">
        <f t="array" ref="AQ1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76" s="84" cm="1">
        <f t="array" ref="AR1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76" s="84" cm="1">
        <f t="array" ref="AS1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76" s="84" cm="1">
        <f t="array" ref="AT1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76" s="84" cm="1">
        <f t="array" ref="AU1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76" s="84" cm="1">
        <f t="array" ref="AV1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76" s="84" cm="1">
        <f t="array" ref="AW1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76" s="84" cm="1">
        <f t="array" ref="AX1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76" s="84" cm="1">
        <f t="array" ref="AY1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76" s="84" cm="1">
        <f t="array" ref="AZ1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76" s="84" cm="1">
        <f t="array" ref="BA1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76" s="84" cm="1">
        <f t="array" ref="BB1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76" s="84">
        <f>IF(SUM(Table3[[#This Row],[Column2]:[Column18]])&gt;Table3[[#This Row],[Column19]],Table3[[#This Row],[Column19]],SUM(Table3[[#This Row],[Column2]:[Column18]]))</f>
        <v>140400</v>
      </c>
      <c r="BD176" s="2">
        <f>Table3[[#This Row],[Total Spend]]/SUM(Table3[[#This Row],[Column2]:[Column18]])</f>
        <v>1</v>
      </c>
    </row>
    <row r="177" spans="1:56">
      <c r="A177" s="84" t="s">
        <v>249</v>
      </c>
      <c r="B177" s="84" t="s">
        <v>57</v>
      </c>
      <c r="C177" s="84" t="s">
        <v>57</v>
      </c>
      <c r="D177" s="85">
        <v>45566</v>
      </c>
      <c r="E177" s="85" t="s">
        <v>58</v>
      </c>
      <c r="F177" s="84">
        <f>INDEX(Definitions!$G$13:$G$17,MATCH(Table3[[#This Row],[Propensity to buy/ buyer readiness]],Definitions!$A$13:$A$17,0))</f>
        <v>150000</v>
      </c>
      <c r="G177" s="86">
        <v>5</v>
      </c>
      <c r="H177" s="86">
        <v>4</v>
      </c>
      <c r="I177" s="86">
        <v>4</v>
      </c>
      <c r="J177" s="86">
        <v>4</v>
      </c>
      <c r="K177" s="86">
        <v>4</v>
      </c>
      <c r="L177" s="86">
        <f>SUM(Table3[[#This Row],[Strategic priority segment]:[Propensity to buy/ buyer readiness]])</f>
        <v>21</v>
      </c>
      <c r="M177" s="86" t="s">
        <v>191</v>
      </c>
      <c r="N177" s="84" t="s">
        <v>76</v>
      </c>
      <c r="O177" s="84"/>
      <c r="P177" s="87"/>
      <c r="Q177" s="87"/>
      <c r="R177" s="84"/>
      <c r="S177" s="87"/>
      <c r="T177" s="87"/>
      <c r="U177" s="84">
        <v>0</v>
      </c>
      <c r="V177" s="84">
        <v>0</v>
      </c>
      <c r="W177" s="84">
        <v>0</v>
      </c>
      <c r="X177" s="84">
        <v>0</v>
      </c>
      <c r="Y177" s="84">
        <v>0</v>
      </c>
      <c r="Z177" s="84">
        <v>0</v>
      </c>
      <c r="AA177" s="84">
        <v>0</v>
      </c>
      <c r="AB177" s="84">
        <v>0</v>
      </c>
      <c r="AC177" s="84">
        <v>0</v>
      </c>
      <c r="AD177" s="84">
        <v>0</v>
      </c>
      <c r="AE177" s="84">
        <v>0</v>
      </c>
      <c r="AF177" s="84">
        <v>0</v>
      </c>
      <c r="AG177" s="84">
        <v>0</v>
      </c>
      <c r="AH177" s="84">
        <v>1</v>
      </c>
      <c r="AI177" s="84">
        <v>0</v>
      </c>
      <c r="AJ177" s="84">
        <v>1</v>
      </c>
      <c r="AK177" s="84">
        <v>0</v>
      </c>
      <c r="AL177" s="84" cm="1">
        <f t="array" ref="AL1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77" s="84" cm="1">
        <f t="array" ref="AM1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7" s="84" cm="1">
        <f t="array" ref="AN1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7" s="84" cm="1">
        <f t="array" ref="AO1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7" s="84" cm="1">
        <f t="array" ref="AP1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7" s="84" cm="1">
        <f t="array" ref="AQ1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77" s="84" cm="1">
        <f t="array" ref="AR1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77" s="84" cm="1">
        <f t="array" ref="AS1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77" s="84" cm="1">
        <f t="array" ref="AT1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77" s="84" cm="1">
        <f t="array" ref="AU1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77" s="84" cm="1">
        <f t="array" ref="AV1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77" s="84" cm="1">
        <f t="array" ref="AW1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77" s="84" cm="1">
        <f t="array" ref="AX1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77" s="84" cm="1">
        <f t="array" ref="AY1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77" s="84" cm="1">
        <f t="array" ref="AZ1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7" s="84" cm="1">
        <f t="array" ref="BA1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77" s="84" cm="1">
        <f t="array" ref="BB1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7" s="84">
        <f>IF(SUM(Table3[[#This Row],[Column2]:[Column18]])&gt;Table3[[#This Row],[Column19]],Table3[[#This Row],[Column19]],SUM(Table3[[#This Row],[Column2]:[Column18]]))</f>
        <v>42300</v>
      </c>
      <c r="BD177" s="2">
        <f>Table3[[#This Row],[Total Spend]]/SUM(Table3[[#This Row],[Column2]:[Column18]])</f>
        <v>1</v>
      </c>
    </row>
    <row r="178" spans="1:56">
      <c r="A178" s="84" t="s">
        <v>250</v>
      </c>
      <c r="B178" s="84"/>
      <c r="C178" s="84" t="s">
        <v>57</v>
      </c>
      <c r="D178" s="85">
        <v>45809</v>
      </c>
      <c r="E178" s="85" t="s">
        <v>92</v>
      </c>
      <c r="F178" s="84">
        <f>INDEX(Definitions!$G$13:$G$17,MATCH(Table3[[#This Row],[Propensity to buy/ buyer readiness]],Definitions!$A$13:$A$17,0))</f>
        <v>150000</v>
      </c>
      <c r="G178" s="86">
        <v>5</v>
      </c>
      <c r="H178" s="86">
        <v>5</v>
      </c>
      <c r="I178" s="86">
        <v>3</v>
      </c>
      <c r="J178" s="86">
        <v>4</v>
      </c>
      <c r="K178" s="86">
        <v>4</v>
      </c>
      <c r="L178" s="86">
        <f>SUM(Table3[[#This Row],[Strategic priority segment]:[Propensity to buy/ buyer readiness]])</f>
        <v>21</v>
      </c>
      <c r="M178" s="86" t="s">
        <v>102</v>
      </c>
      <c r="N178" s="84" t="s">
        <v>61</v>
      </c>
      <c r="O178" s="84" t="s">
        <v>62</v>
      </c>
      <c r="P178" s="84"/>
      <c r="Q178" s="84"/>
      <c r="R178" s="84"/>
      <c r="S178" s="84"/>
      <c r="T178" s="84"/>
      <c r="U178" s="84">
        <v>1</v>
      </c>
      <c r="V178" s="84">
        <v>0</v>
      </c>
      <c r="W178" s="84">
        <v>0</v>
      </c>
      <c r="X178" s="84">
        <v>0</v>
      </c>
      <c r="Y178" s="84">
        <v>0</v>
      </c>
      <c r="Z178" s="84">
        <v>1</v>
      </c>
      <c r="AA178" s="84">
        <v>1</v>
      </c>
      <c r="AB178" s="84">
        <v>1</v>
      </c>
      <c r="AC178" s="84">
        <v>1</v>
      </c>
      <c r="AD178" s="84">
        <v>1</v>
      </c>
      <c r="AE178" s="84">
        <v>1</v>
      </c>
      <c r="AF178" s="84">
        <v>1</v>
      </c>
      <c r="AG178" s="84">
        <v>1</v>
      </c>
      <c r="AH178" s="84">
        <v>0</v>
      </c>
      <c r="AI178" s="84">
        <v>0</v>
      </c>
      <c r="AJ178" s="84">
        <v>0</v>
      </c>
      <c r="AK178" s="84">
        <v>0</v>
      </c>
      <c r="AL178" s="84" cm="1">
        <f t="array" ref="AL1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8" s="84" cm="1">
        <f t="array" ref="AM1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8" s="84" cm="1">
        <f t="array" ref="AN1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8" s="84" cm="1">
        <f t="array" ref="AO1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8" s="84" cm="1">
        <f t="array" ref="AP1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8" s="84" cm="1">
        <f t="array" ref="AQ1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78" s="84" cm="1">
        <f t="array" ref="AR1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78" s="84" cm="1">
        <f t="array" ref="AS1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78" s="84" cm="1">
        <f t="array" ref="AT1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78" s="84" cm="1">
        <f t="array" ref="AU1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78" s="84" cm="1">
        <f t="array" ref="AV1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78" s="84" cm="1">
        <f t="array" ref="AW1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78" s="84" cm="1">
        <f t="array" ref="AX1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78" s="84" cm="1">
        <f t="array" ref="AY1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8" s="84" cm="1">
        <f t="array" ref="AZ1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8" s="84" cm="1">
        <f t="array" ref="BA1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8" s="84" cm="1">
        <f t="array" ref="BB1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8" s="84">
        <f>IF(SUM(Table3[[#This Row],[Column2]:[Column18]])&gt;Table3[[#This Row],[Column19]],Table3[[#This Row],[Column19]],SUM(Table3[[#This Row],[Column2]:[Column18]]))</f>
        <v>150000</v>
      </c>
      <c r="BD178" s="2">
        <f>Table3[[#This Row],[Total Spend]]/SUM(Table3[[#This Row],[Column2]:[Column18]])</f>
        <v>0.79936051159072741</v>
      </c>
    </row>
    <row r="179" spans="1:56">
      <c r="A179" s="87" t="s">
        <v>251</v>
      </c>
      <c r="B179" s="87"/>
      <c r="C179" s="87" t="s">
        <v>57</v>
      </c>
      <c r="D179" s="85">
        <v>45566</v>
      </c>
      <c r="E179" s="85" t="s">
        <v>92</v>
      </c>
      <c r="F179" s="84">
        <f>INDEX(Definitions!$G$13:$G$17,MATCH(Table3[[#This Row],[Propensity to buy/ buyer readiness]],Definitions!$A$13:$A$17,0))</f>
        <v>150000</v>
      </c>
      <c r="G179" s="86">
        <v>5</v>
      </c>
      <c r="H179" s="86">
        <v>5</v>
      </c>
      <c r="I179" s="86">
        <v>3</v>
      </c>
      <c r="J179" s="86">
        <v>4</v>
      </c>
      <c r="K179" s="86">
        <v>4</v>
      </c>
      <c r="L179" s="86">
        <f>SUM(Table3[[#This Row],[Strategic priority segment]:[Propensity to buy/ buyer readiness]])</f>
        <v>21</v>
      </c>
      <c r="M179" s="86" t="s">
        <v>102</v>
      </c>
      <c r="N179" s="84" t="s">
        <v>61</v>
      </c>
      <c r="O179" s="87" t="s">
        <v>62</v>
      </c>
      <c r="P179" s="87"/>
      <c r="Q179" s="87"/>
      <c r="R179" s="84"/>
      <c r="S179" s="87"/>
      <c r="T179" s="87"/>
      <c r="U179" s="84">
        <v>1</v>
      </c>
      <c r="V179" s="84">
        <v>0</v>
      </c>
      <c r="W179" s="84">
        <v>0</v>
      </c>
      <c r="X179" s="84">
        <v>0</v>
      </c>
      <c r="Y179" s="84">
        <v>0</v>
      </c>
      <c r="Z179" s="84">
        <v>1</v>
      </c>
      <c r="AA179" s="84">
        <v>1</v>
      </c>
      <c r="AB179" s="84">
        <v>1</v>
      </c>
      <c r="AC179" s="84">
        <v>1</v>
      </c>
      <c r="AD179" s="84">
        <v>1</v>
      </c>
      <c r="AE179" s="84">
        <v>1</v>
      </c>
      <c r="AF179" s="84">
        <v>1</v>
      </c>
      <c r="AG179" s="84">
        <v>1</v>
      </c>
      <c r="AH179" s="84">
        <v>0</v>
      </c>
      <c r="AI179" s="84">
        <v>0</v>
      </c>
      <c r="AJ179" s="84">
        <v>0</v>
      </c>
      <c r="AK179" s="84">
        <v>0</v>
      </c>
      <c r="AL179" s="84" cm="1">
        <f t="array" ref="AL1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79" s="84" cm="1">
        <f t="array" ref="AM1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79" s="84" cm="1">
        <f t="array" ref="AN1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79" s="84" cm="1">
        <f t="array" ref="AO1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79" s="84" cm="1">
        <f t="array" ref="AP1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79" s="84" cm="1">
        <f t="array" ref="AQ1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79" s="84" cm="1">
        <f t="array" ref="AR1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79" s="84" cm="1">
        <f t="array" ref="AS1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79" s="84" cm="1">
        <f t="array" ref="AT1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79" s="84" cm="1">
        <f t="array" ref="AU1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79" s="84" cm="1">
        <f t="array" ref="AV1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79" s="84" cm="1">
        <f t="array" ref="AW1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79" s="84" cm="1">
        <f t="array" ref="AX1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79" s="84" cm="1">
        <f t="array" ref="AY1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79" s="84" cm="1">
        <f t="array" ref="AZ1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79" s="84" cm="1">
        <f t="array" ref="BA1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79" s="84" cm="1">
        <f t="array" ref="BB1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79" s="84">
        <f>IF(SUM(Table3[[#This Row],[Column2]:[Column18]])&gt;Table3[[#This Row],[Column19]],Table3[[#This Row],[Column19]],SUM(Table3[[#This Row],[Column2]:[Column18]]))</f>
        <v>150000</v>
      </c>
      <c r="BD179" s="2">
        <f>Table3[[#This Row],[Total Spend]]/SUM(Table3[[#This Row],[Column2]:[Column18]])</f>
        <v>0.79936051159072741</v>
      </c>
    </row>
    <row r="180" spans="1:56" ht="28.5">
      <c r="A180" s="84" t="s">
        <v>252</v>
      </c>
      <c r="B180" s="84" t="s">
        <v>57</v>
      </c>
      <c r="C180" s="84"/>
      <c r="D180" s="85">
        <v>45566</v>
      </c>
      <c r="E180" s="85" t="s">
        <v>58</v>
      </c>
      <c r="F180" s="84">
        <f>INDEX(Definitions!$G$13:$G$17,MATCH(Table3[[#This Row],[Propensity to buy/ buyer readiness]],Definitions!$A$13:$A$17,0))</f>
        <v>150000</v>
      </c>
      <c r="G180" s="86">
        <v>5</v>
      </c>
      <c r="H180" s="86">
        <v>4</v>
      </c>
      <c r="I180" s="86">
        <v>4</v>
      </c>
      <c r="J180" s="86">
        <v>4</v>
      </c>
      <c r="K180" s="86">
        <v>4</v>
      </c>
      <c r="L180" s="86">
        <f>SUM(Table3[[#This Row],[Strategic priority segment]:[Propensity to buy/ buyer readiness]])</f>
        <v>21</v>
      </c>
      <c r="M180" s="86" t="s">
        <v>152</v>
      </c>
      <c r="N180" s="84" t="s">
        <v>122</v>
      </c>
      <c r="O180" s="84" t="s">
        <v>61</v>
      </c>
      <c r="P180" s="87" t="s">
        <v>62</v>
      </c>
      <c r="Q180" s="87"/>
      <c r="R180" s="84"/>
      <c r="S180" s="84"/>
      <c r="T180" s="87"/>
      <c r="U180" s="84">
        <v>1</v>
      </c>
      <c r="V180" s="84">
        <v>0</v>
      </c>
      <c r="W180" s="84">
        <v>0</v>
      </c>
      <c r="X180" s="84">
        <v>0</v>
      </c>
      <c r="Y180" s="84">
        <v>0</v>
      </c>
      <c r="Z180" s="84">
        <v>1</v>
      </c>
      <c r="AA180" s="84">
        <v>1</v>
      </c>
      <c r="AB180" s="84">
        <v>1</v>
      </c>
      <c r="AC180" s="84">
        <v>1</v>
      </c>
      <c r="AD180" s="84">
        <v>1</v>
      </c>
      <c r="AE180" s="84">
        <v>0</v>
      </c>
      <c r="AF180" s="84">
        <v>1</v>
      </c>
      <c r="AG180" s="84">
        <v>0</v>
      </c>
      <c r="AH180" s="84">
        <v>0</v>
      </c>
      <c r="AI180" s="84">
        <v>0</v>
      </c>
      <c r="AJ180" s="84">
        <v>0</v>
      </c>
      <c r="AK180" s="84">
        <v>0</v>
      </c>
      <c r="AL180" s="84" cm="1">
        <f t="array" ref="AL1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80" s="84" cm="1">
        <f t="array" ref="AM1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0" s="84" cm="1">
        <f t="array" ref="AN1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0" s="84" cm="1">
        <f t="array" ref="AO1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0" s="84" cm="1">
        <f t="array" ref="AP1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0" s="84" cm="1">
        <f t="array" ref="AQ1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80" s="84" cm="1">
        <f t="array" ref="AR1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80" s="84" cm="1">
        <f t="array" ref="AS1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80" s="84" cm="1">
        <f t="array" ref="AT1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80" s="84" cm="1">
        <f t="array" ref="AU1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80" s="84" cm="1">
        <f t="array" ref="AV1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0" s="84" cm="1">
        <f t="array" ref="AW1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80" s="84" cm="1">
        <f t="array" ref="AX1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0" s="84" cm="1">
        <f t="array" ref="AY1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0" s="84" cm="1">
        <f t="array" ref="AZ1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0" s="84" cm="1">
        <f t="array" ref="BA1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0" s="84" cm="1">
        <f t="array" ref="BB1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0" s="84">
        <f>IF(SUM(Table3[[#This Row],[Column2]:[Column18]])&gt;Table3[[#This Row],[Column19]],Table3[[#This Row],[Column19]],SUM(Table3[[#This Row],[Column2]:[Column18]]))</f>
        <v>150000</v>
      </c>
      <c r="BD180" s="2">
        <f>Table3[[#This Row],[Total Spend]]/SUM(Table3[[#This Row],[Column2]:[Column18]])</f>
        <v>0.70028011204481788</v>
      </c>
    </row>
    <row r="181" spans="1:56">
      <c r="A181" s="84" t="s">
        <v>253</v>
      </c>
      <c r="B181" s="84" t="s">
        <v>57</v>
      </c>
      <c r="C181" s="84"/>
      <c r="D181" s="85">
        <v>45566</v>
      </c>
      <c r="E181" s="85" t="s">
        <v>58</v>
      </c>
      <c r="F181" s="84">
        <f>INDEX(Definitions!$G$13:$G$17,MATCH(Table3[[#This Row],[Propensity to buy/ buyer readiness]],Definitions!$A$13:$A$17,0))</f>
        <v>150000</v>
      </c>
      <c r="G181" s="86">
        <v>5</v>
      </c>
      <c r="H181" s="86">
        <v>4</v>
      </c>
      <c r="I181" s="86">
        <v>4</v>
      </c>
      <c r="J181" s="86">
        <v>4</v>
      </c>
      <c r="K181" s="86">
        <v>4</v>
      </c>
      <c r="L181" s="86">
        <f>SUM(Table3[[#This Row],[Strategic priority segment]:[Propensity to buy/ buyer readiness]])</f>
        <v>21</v>
      </c>
      <c r="M181" s="86" t="s">
        <v>191</v>
      </c>
      <c r="N181" s="84" t="s">
        <v>135</v>
      </c>
      <c r="O181" s="84" t="s">
        <v>61</v>
      </c>
      <c r="P181" s="87"/>
      <c r="Q181" s="87"/>
      <c r="R181" s="84"/>
      <c r="S181" s="84"/>
      <c r="T181" s="87"/>
      <c r="U181" s="84">
        <v>1</v>
      </c>
      <c r="V181" s="84">
        <v>0</v>
      </c>
      <c r="W181" s="84">
        <v>0</v>
      </c>
      <c r="X181" s="84">
        <v>0</v>
      </c>
      <c r="Y181" s="84">
        <v>0</v>
      </c>
      <c r="Z181" s="84">
        <v>1</v>
      </c>
      <c r="AA181" s="84">
        <v>1</v>
      </c>
      <c r="AB181" s="84">
        <v>1</v>
      </c>
      <c r="AC181" s="84">
        <v>1</v>
      </c>
      <c r="AD181" s="84">
        <v>0</v>
      </c>
      <c r="AE181" s="84">
        <v>0</v>
      </c>
      <c r="AF181" s="84">
        <v>0</v>
      </c>
      <c r="AG181" s="84">
        <v>0</v>
      </c>
      <c r="AH181" s="84">
        <v>1</v>
      </c>
      <c r="AI181" s="84">
        <v>1</v>
      </c>
      <c r="AJ181" s="84">
        <v>1</v>
      </c>
      <c r="AK181" s="84">
        <v>1</v>
      </c>
      <c r="AL181" s="84" cm="1">
        <f t="array" ref="AL1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81" s="84" cm="1">
        <f t="array" ref="AM1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1" s="84" cm="1">
        <f t="array" ref="AN1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1" s="84" cm="1">
        <f t="array" ref="AO1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1" s="84" cm="1">
        <f t="array" ref="AP1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1" s="84" cm="1">
        <f t="array" ref="AQ1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81" s="84" cm="1">
        <f t="array" ref="AR1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81" s="84" cm="1">
        <f t="array" ref="AS1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81" s="84" cm="1">
        <f t="array" ref="AT1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81" s="84" cm="1">
        <f t="array" ref="AU1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81" s="84" cm="1">
        <f t="array" ref="AV1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1" s="84" cm="1">
        <f t="array" ref="AW1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81" s="84" cm="1">
        <f t="array" ref="AX1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1" s="84" cm="1">
        <f t="array" ref="AY1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81" s="84" cm="1">
        <f t="array" ref="AZ1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81" s="84" cm="1">
        <f t="array" ref="BA1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81" s="84" cm="1">
        <f t="array" ref="BB1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81" s="84">
        <f>IF(SUM(Table3[[#This Row],[Column2]:[Column18]])&gt;Table3[[#This Row],[Column19]],Table3[[#This Row],[Column19]],SUM(Table3[[#This Row],[Column2]:[Column18]]))</f>
        <v>150000</v>
      </c>
      <c r="BD181" s="2">
        <f>Table3[[#This Row],[Total Spend]]/SUM(Table3[[#This Row],[Column2]:[Column18]])</f>
        <v>0.73260073260073255</v>
      </c>
    </row>
    <row r="182" spans="1:56">
      <c r="A182" s="84" t="s">
        <v>254</v>
      </c>
      <c r="B182" s="84"/>
      <c r="C182" s="84" t="s">
        <v>57</v>
      </c>
      <c r="D182" s="85">
        <v>45566</v>
      </c>
      <c r="E182" s="85" t="s">
        <v>92</v>
      </c>
      <c r="F182" s="84">
        <f>INDEX(Definitions!$G$13:$G$17,MATCH(Table3[[#This Row],[Propensity to buy/ buyer readiness]],Definitions!$A$13:$A$17,0))</f>
        <v>50000</v>
      </c>
      <c r="G182" s="86">
        <v>5</v>
      </c>
      <c r="H182" s="86">
        <v>5</v>
      </c>
      <c r="I182" s="86">
        <v>4</v>
      </c>
      <c r="J182" s="86">
        <v>4</v>
      </c>
      <c r="K182" s="86">
        <v>3</v>
      </c>
      <c r="L182" s="86">
        <f>SUM(Table3[[#This Row],[Strategic priority segment]:[Propensity to buy/ buyer readiness]])</f>
        <v>21</v>
      </c>
      <c r="M182" s="86" t="s">
        <v>102</v>
      </c>
      <c r="N182" s="84" t="s">
        <v>61</v>
      </c>
      <c r="O182" s="84" t="s">
        <v>62</v>
      </c>
      <c r="P182" s="87"/>
      <c r="Q182" s="87"/>
      <c r="R182" s="84"/>
      <c r="S182" s="87"/>
      <c r="T182" s="87"/>
      <c r="U182" s="84">
        <v>1</v>
      </c>
      <c r="V182" s="84">
        <v>0</v>
      </c>
      <c r="W182" s="84">
        <v>0</v>
      </c>
      <c r="X182" s="84">
        <v>0</v>
      </c>
      <c r="Y182" s="84">
        <v>0</v>
      </c>
      <c r="Z182" s="84">
        <v>1</v>
      </c>
      <c r="AA182" s="84">
        <v>1</v>
      </c>
      <c r="AB182" s="84">
        <v>1</v>
      </c>
      <c r="AC182" s="84">
        <v>1</v>
      </c>
      <c r="AD182" s="84">
        <v>1</v>
      </c>
      <c r="AE182" s="84">
        <v>1</v>
      </c>
      <c r="AF182" s="84">
        <v>1</v>
      </c>
      <c r="AG182" s="84">
        <v>1</v>
      </c>
      <c r="AH182" s="84">
        <v>0</v>
      </c>
      <c r="AI182" s="84">
        <v>0</v>
      </c>
      <c r="AJ182" s="84">
        <v>0</v>
      </c>
      <c r="AK182" s="84">
        <v>0</v>
      </c>
      <c r="AL182" s="84" cm="1">
        <f t="array" ref="AL1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82" s="84" cm="1">
        <f t="array" ref="AM1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2" s="84" cm="1">
        <f t="array" ref="AN1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2" s="84" cm="1">
        <f t="array" ref="AO1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2" s="84" cm="1">
        <f t="array" ref="AP1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2" s="84" cm="1">
        <f t="array" ref="AQ1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82" s="84" cm="1">
        <f t="array" ref="AR1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82" s="84" cm="1">
        <f t="array" ref="AS1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82" s="84" cm="1">
        <f t="array" ref="AT1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82" s="84" cm="1">
        <f t="array" ref="AU1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82" s="84" cm="1">
        <f t="array" ref="AV1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82" s="84" cm="1">
        <f t="array" ref="AW1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82" s="84" cm="1">
        <f t="array" ref="AX1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82" s="84" cm="1">
        <f t="array" ref="AY1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2" s="84" cm="1">
        <f t="array" ref="AZ1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2" s="84" cm="1">
        <f t="array" ref="BA1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2" s="84" cm="1">
        <f t="array" ref="BB1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2" s="84">
        <f>IF(SUM(Table3[[#This Row],[Column2]:[Column18]])&gt;Table3[[#This Row],[Column19]],Table3[[#This Row],[Column19]],SUM(Table3[[#This Row],[Column2]:[Column18]]))</f>
        <v>50000</v>
      </c>
      <c r="BD182" s="2">
        <f>Table3[[#This Row],[Total Spend]]/SUM(Table3[[#This Row],[Column2]:[Column18]])</f>
        <v>0.2664535038635758</v>
      </c>
    </row>
    <row r="183" spans="1:56">
      <c r="A183" s="84" t="s">
        <v>255</v>
      </c>
      <c r="B183" s="84" t="s">
        <v>57</v>
      </c>
      <c r="C183" s="84" t="s">
        <v>57</v>
      </c>
      <c r="D183" s="85">
        <v>45566</v>
      </c>
      <c r="E183" s="85" t="s">
        <v>92</v>
      </c>
      <c r="F183" s="84">
        <f>INDEX(Definitions!$G$13:$G$17,MATCH(Table3[[#This Row],[Propensity to buy/ buyer readiness]],Definitions!$A$13:$A$17,0))</f>
        <v>50000</v>
      </c>
      <c r="G183" s="86">
        <v>5</v>
      </c>
      <c r="H183" s="86">
        <v>5</v>
      </c>
      <c r="I183" s="86">
        <v>4</v>
      </c>
      <c r="J183" s="86">
        <v>4</v>
      </c>
      <c r="K183" s="86">
        <v>3</v>
      </c>
      <c r="L183" s="86">
        <f>SUM(Table3[[#This Row],[Strategic priority segment]:[Propensity to buy/ buyer readiness]])</f>
        <v>21</v>
      </c>
      <c r="M183" s="86" t="s">
        <v>102</v>
      </c>
      <c r="N183" s="84" t="s">
        <v>61</v>
      </c>
      <c r="O183" s="84" t="s">
        <v>62</v>
      </c>
      <c r="P183" s="87"/>
      <c r="Q183" s="87"/>
      <c r="R183" s="84"/>
      <c r="S183" s="84"/>
      <c r="T183" s="87"/>
      <c r="U183" s="84">
        <v>1</v>
      </c>
      <c r="V183" s="84">
        <v>0</v>
      </c>
      <c r="W183" s="84">
        <v>0</v>
      </c>
      <c r="X183" s="84">
        <v>0</v>
      </c>
      <c r="Y183" s="84">
        <v>0</v>
      </c>
      <c r="Z183" s="84">
        <v>1</v>
      </c>
      <c r="AA183" s="84">
        <v>1</v>
      </c>
      <c r="AB183" s="84">
        <v>1</v>
      </c>
      <c r="AC183" s="84">
        <v>1</v>
      </c>
      <c r="AD183" s="84">
        <v>1</v>
      </c>
      <c r="AE183" s="84">
        <v>1</v>
      </c>
      <c r="AF183" s="84">
        <v>1</v>
      </c>
      <c r="AG183" s="84">
        <v>1</v>
      </c>
      <c r="AH183" s="84">
        <v>0</v>
      </c>
      <c r="AI183" s="84">
        <v>0</v>
      </c>
      <c r="AJ183" s="84">
        <v>0</v>
      </c>
      <c r="AK183" s="84">
        <v>0</v>
      </c>
      <c r="AL183" s="84" cm="1">
        <f t="array" ref="AL1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83" s="84" cm="1">
        <f t="array" ref="AM1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3" s="84" cm="1">
        <f t="array" ref="AN1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3" s="84" cm="1">
        <f t="array" ref="AO1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3" s="84" cm="1">
        <f t="array" ref="AP1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3" s="84" cm="1">
        <f t="array" ref="AQ1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83" s="84" cm="1">
        <f t="array" ref="AR1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83" s="84" cm="1">
        <f t="array" ref="AS1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83" s="84" cm="1">
        <f t="array" ref="AT1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83" s="84" cm="1">
        <f t="array" ref="AU1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83" s="84" cm="1">
        <f t="array" ref="AV1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83" s="84" cm="1">
        <f t="array" ref="AW1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83" s="84" cm="1">
        <f t="array" ref="AX1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83" s="84" cm="1">
        <f t="array" ref="AY1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3" s="84" cm="1">
        <f t="array" ref="AZ1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3" s="84" cm="1">
        <f t="array" ref="BA1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3" s="84" cm="1">
        <f t="array" ref="BB1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3" s="84">
        <f>IF(SUM(Table3[[#This Row],[Column2]:[Column18]])&gt;Table3[[#This Row],[Column19]],Table3[[#This Row],[Column19]],SUM(Table3[[#This Row],[Column2]:[Column18]]))</f>
        <v>50000</v>
      </c>
      <c r="BD183" s="2">
        <f>Table3[[#This Row],[Total Spend]]/SUM(Table3[[#This Row],[Column2]:[Column18]])</f>
        <v>0.2664535038635758</v>
      </c>
    </row>
    <row r="184" spans="1:56">
      <c r="A184" s="84" t="s">
        <v>256</v>
      </c>
      <c r="B184" s="84" t="s">
        <v>57</v>
      </c>
      <c r="C184" s="84"/>
      <c r="D184" s="85">
        <v>45566</v>
      </c>
      <c r="E184" s="85" t="s">
        <v>92</v>
      </c>
      <c r="F184" s="84">
        <f>INDEX(Definitions!$G$13:$G$17,MATCH(Table3[[#This Row],[Propensity to buy/ buyer readiness]],Definitions!$A$13:$A$17,0))</f>
        <v>50000</v>
      </c>
      <c r="G184" s="86">
        <v>5</v>
      </c>
      <c r="H184" s="86">
        <v>5</v>
      </c>
      <c r="I184" s="86">
        <v>4</v>
      </c>
      <c r="J184" s="86">
        <v>4</v>
      </c>
      <c r="K184" s="86">
        <v>3</v>
      </c>
      <c r="L184" s="86">
        <f>SUM(Table3[[#This Row],[Strategic priority segment]:[Propensity to buy/ buyer readiness]])</f>
        <v>21</v>
      </c>
      <c r="M184" s="86" t="s">
        <v>102</v>
      </c>
      <c r="N184" s="84" t="s">
        <v>61</v>
      </c>
      <c r="O184" s="84" t="s">
        <v>62</v>
      </c>
      <c r="P184" s="87"/>
      <c r="Q184" s="87"/>
      <c r="R184" s="84"/>
      <c r="S184" s="84"/>
      <c r="T184" s="84"/>
      <c r="U184" s="84">
        <v>1</v>
      </c>
      <c r="V184" s="84">
        <v>0</v>
      </c>
      <c r="W184" s="84">
        <v>0</v>
      </c>
      <c r="X184" s="84">
        <v>0</v>
      </c>
      <c r="Y184" s="84">
        <v>0</v>
      </c>
      <c r="Z184" s="84">
        <v>1</v>
      </c>
      <c r="AA184" s="84">
        <v>1</v>
      </c>
      <c r="AB184" s="84">
        <v>1</v>
      </c>
      <c r="AC184" s="84">
        <v>1</v>
      </c>
      <c r="AD184" s="84">
        <v>1</v>
      </c>
      <c r="AE184" s="84">
        <v>1</v>
      </c>
      <c r="AF184" s="84">
        <v>1</v>
      </c>
      <c r="AG184" s="84">
        <v>1</v>
      </c>
      <c r="AH184" s="84">
        <v>0</v>
      </c>
      <c r="AI184" s="84">
        <v>0</v>
      </c>
      <c r="AJ184" s="84">
        <v>0</v>
      </c>
      <c r="AK184" s="84">
        <v>0</v>
      </c>
      <c r="AL184" s="84" cm="1">
        <f t="array" ref="AL1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84" s="84" cm="1">
        <f t="array" ref="AM1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4" s="84" cm="1">
        <f t="array" ref="AN1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4" s="84" cm="1">
        <f t="array" ref="AO1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4" s="84" cm="1">
        <f t="array" ref="AP1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4" s="84" cm="1">
        <f t="array" ref="AQ1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84" s="84" cm="1">
        <f t="array" ref="AR1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84" s="84" cm="1">
        <f t="array" ref="AS1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84" s="84" cm="1">
        <f t="array" ref="AT1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84" s="84" cm="1">
        <f t="array" ref="AU1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84" s="84" cm="1">
        <f t="array" ref="AV1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84" s="84" cm="1">
        <f t="array" ref="AW1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84" s="84" cm="1">
        <f t="array" ref="AX1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84" s="84" cm="1">
        <f t="array" ref="AY1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4" s="84" cm="1">
        <f t="array" ref="AZ1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4" s="84" cm="1">
        <f t="array" ref="BA1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4" s="84" cm="1">
        <f t="array" ref="BB1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4" s="84">
        <f>IF(SUM(Table3[[#This Row],[Column2]:[Column18]])&gt;Table3[[#This Row],[Column19]],Table3[[#This Row],[Column19]],SUM(Table3[[#This Row],[Column2]:[Column18]]))</f>
        <v>50000</v>
      </c>
      <c r="BD184" s="2">
        <f>Table3[[#This Row],[Total Spend]]/SUM(Table3[[#This Row],[Column2]:[Column18]])</f>
        <v>0.2664535038635758</v>
      </c>
    </row>
    <row r="185" spans="1:56">
      <c r="A185" s="84" t="s">
        <v>257</v>
      </c>
      <c r="B185" s="84"/>
      <c r="C185" s="84"/>
      <c r="D185" s="85">
        <v>45566</v>
      </c>
      <c r="E185" s="85" t="s">
        <v>58</v>
      </c>
      <c r="F185" s="84">
        <f>INDEX(Definitions!$G$13:$G$17,MATCH(Table3[[#This Row],[Propensity to buy/ buyer readiness]],Definitions!$A$13:$A$17,0))</f>
        <v>250000</v>
      </c>
      <c r="G185" s="86">
        <v>4</v>
      </c>
      <c r="H185" s="86">
        <v>4</v>
      </c>
      <c r="I185" s="86">
        <v>4</v>
      </c>
      <c r="J185" s="86">
        <v>4</v>
      </c>
      <c r="K185" s="86">
        <v>5</v>
      </c>
      <c r="L185" s="86">
        <f>SUM(Table3[[#This Row],[Strategic priority segment]:[Propensity to buy/ buyer readiness]])</f>
        <v>21</v>
      </c>
      <c r="M185" s="86" t="s">
        <v>66</v>
      </c>
      <c r="N185" s="84" t="s">
        <v>144</v>
      </c>
      <c r="O185" s="84" t="s">
        <v>76</v>
      </c>
      <c r="P185" s="84"/>
      <c r="Q185" s="84"/>
      <c r="R185" s="84"/>
      <c r="S185" s="87"/>
      <c r="T185" s="84"/>
      <c r="U185" s="84">
        <v>1</v>
      </c>
      <c r="V185" s="84">
        <v>0</v>
      </c>
      <c r="W185" s="84">
        <v>0</v>
      </c>
      <c r="X185" s="84">
        <v>0</v>
      </c>
      <c r="Y185" s="84">
        <v>0</v>
      </c>
      <c r="Z185" s="84">
        <v>0</v>
      </c>
      <c r="AA185" s="84">
        <v>0</v>
      </c>
      <c r="AB185" s="84">
        <v>0</v>
      </c>
      <c r="AC185" s="84">
        <v>0</v>
      </c>
      <c r="AD185" s="84">
        <v>0</v>
      </c>
      <c r="AE185" s="84">
        <v>0</v>
      </c>
      <c r="AF185" s="84">
        <v>1</v>
      </c>
      <c r="AG185" s="84">
        <v>0</v>
      </c>
      <c r="AH185" s="84">
        <v>1</v>
      </c>
      <c r="AI185" s="84">
        <v>0</v>
      </c>
      <c r="AJ185" s="84">
        <v>1</v>
      </c>
      <c r="AK185" s="84">
        <v>0</v>
      </c>
      <c r="AL185" s="84" cm="1">
        <f t="array" ref="AL1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85" s="84" cm="1">
        <f t="array" ref="AM1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5" s="84" cm="1">
        <f t="array" ref="AN1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5" s="84" cm="1">
        <f t="array" ref="AO1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5" s="84" cm="1">
        <f t="array" ref="AP1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5" s="84" cm="1">
        <f t="array" ref="AQ1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85" s="84" cm="1">
        <f t="array" ref="AR1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85" s="84" cm="1">
        <f t="array" ref="AS1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85" s="84" cm="1">
        <f t="array" ref="AT1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85" s="84" cm="1">
        <f t="array" ref="AU1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85" s="84" cm="1">
        <f t="array" ref="AV1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5" s="84" cm="1">
        <f t="array" ref="AW1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85" s="84" cm="1">
        <f t="array" ref="AX1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5" s="84" cm="1">
        <f t="array" ref="AY1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85" s="84" cm="1">
        <f t="array" ref="AZ1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5" s="84" cm="1">
        <f t="array" ref="BA1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85" s="84" cm="1">
        <f t="array" ref="BB1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5" s="84">
        <f>IF(SUM(Table3[[#This Row],[Column2]:[Column18]])&gt;Table3[[#This Row],[Column19]],Table3[[#This Row],[Column19]],SUM(Table3[[#This Row],[Column2]:[Column18]]))</f>
        <v>97200</v>
      </c>
      <c r="BD185" s="2">
        <f>Table3[[#This Row],[Total Spend]]/SUM(Table3[[#This Row],[Column2]:[Column18]])</f>
        <v>1</v>
      </c>
    </row>
    <row r="186" spans="1:56">
      <c r="A186" s="84" t="s">
        <v>258</v>
      </c>
      <c r="B186" s="84"/>
      <c r="C186" s="84"/>
      <c r="D186" s="85">
        <v>45566</v>
      </c>
      <c r="E186" s="85" t="s">
        <v>92</v>
      </c>
      <c r="F186" s="84">
        <f>INDEX(Definitions!$G$13:$G$17,MATCH(Table3[[#This Row],[Propensity to buy/ buyer readiness]],Definitions!$A$13:$A$17,0))</f>
        <v>50000</v>
      </c>
      <c r="G186" s="86">
        <v>5</v>
      </c>
      <c r="H186" s="86">
        <v>4</v>
      </c>
      <c r="I186" s="86">
        <v>4</v>
      </c>
      <c r="J186" s="86">
        <v>5</v>
      </c>
      <c r="K186" s="86">
        <v>3</v>
      </c>
      <c r="L186" s="86">
        <f>SUM(Table3[[#This Row],[Strategic priority segment]:[Propensity to buy/ buyer readiness]])</f>
        <v>21</v>
      </c>
      <c r="M186" s="86" t="s">
        <v>59</v>
      </c>
      <c r="N186" s="84" t="s">
        <v>60</v>
      </c>
      <c r="O186" s="87"/>
      <c r="P186" s="87"/>
      <c r="Q186" s="87"/>
      <c r="R186" s="84"/>
      <c r="S186" s="87"/>
      <c r="T186" s="87"/>
      <c r="U186" s="84">
        <v>1</v>
      </c>
      <c r="V186" s="84">
        <v>1</v>
      </c>
      <c r="W186" s="84">
        <v>1</v>
      </c>
      <c r="X186" s="84">
        <v>1</v>
      </c>
      <c r="Y186" s="84">
        <v>1</v>
      </c>
      <c r="Z186" s="84">
        <v>0</v>
      </c>
      <c r="AA186" s="84">
        <v>0</v>
      </c>
      <c r="AB186" s="84">
        <v>0</v>
      </c>
      <c r="AC186" s="84">
        <v>0</v>
      </c>
      <c r="AD186" s="84">
        <v>1</v>
      </c>
      <c r="AE186" s="84">
        <v>0</v>
      </c>
      <c r="AF186" s="84">
        <v>0</v>
      </c>
      <c r="AG186" s="84">
        <v>0</v>
      </c>
      <c r="AH186" s="84">
        <v>0</v>
      </c>
      <c r="AI186" s="84">
        <v>0</v>
      </c>
      <c r="AJ186" s="84">
        <v>0</v>
      </c>
      <c r="AK186" s="84">
        <v>0</v>
      </c>
      <c r="AL186" s="84" cm="1">
        <f t="array" ref="AL1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86" s="84" cm="1">
        <f t="array" ref="AM1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86" s="84" cm="1">
        <f t="array" ref="AN1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86" s="84" cm="1">
        <f t="array" ref="AO1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86" s="84" cm="1">
        <f t="array" ref="AP1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86" s="84" cm="1">
        <f t="array" ref="AQ1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86" s="84" cm="1">
        <f t="array" ref="AR1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86" s="84" cm="1">
        <f t="array" ref="AS1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86" s="84" cm="1">
        <f t="array" ref="AT1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86" s="84" cm="1">
        <f t="array" ref="AU1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86" s="84" cm="1">
        <f t="array" ref="AV1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6" s="84" cm="1">
        <f t="array" ref="AW1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86" s="84" cm="1">
        <f t="array" ref="AX1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6" s="84" cm="1">
        <f t="array" ref="AY1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6" s="84" cm="1">
        <f t="array" ref="AZ1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6" s="84" cm="1">
        <f t="array" ref="BA1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6" s="84" cm="1">
        <f t="array" ref="BB1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6" s="84">
        <f>IF(SUM(Table3[[#This Row],[Column2]:[Column18]])&gt;Table3[[#This Row],[Column19]],Table3[[#This Row],[Column19]],SUM(Table3[[#This Row],[Column2]:[Column18]]))</f>
        <v>50000</v>
      </c>
      <c r="BD186" s="2">
        <f>Table3[[#This Row],[Total Spend]]/SUM(Table3[[#This Row],[Column2]:[Column18]])</f>
        <v>0.26709401709401709</v>
      </c>
    </row>
    <row r="187" spans="1:56">
      <c r="A187" s="84" t="s">
        <v>259</v>
      </c>
      <c r="B187" s="84" t="s">
        <v>57</v>
      </c>
      <c r="C187" s="84"/>
      <c r="D187" s="85">
        <v>45566</v>
      </c>
      <c r="E187" s="85" t="s">
        <v>92</v>
      </c>
      <c r="F187" s="84">
        <f>INDEX(Definitions!$G$13:$G$17,MATCH(Table3[[#This Row],[Propensity to buy/ buyer readiness]],Definitions!$A$13:$A$17,0))</f>
        <v>50000</v>
      </c>
      <c r="G187" s="86">
        <v>5</v>
      </c>
      <c r="H187" s="86">
        <v>5</v>
      </c>
      <c r="I187" s="86">
        <v>4</v>
      </c>
      <c r="J187" s="86">
        <v>4</v>
      </c>
      <c r="K187" s="86">
        <v>3</v>
      </c>
      <c r="L187" s="86">
        <f>SUM(Table3[[#This Row],[Strategic priority segment]:[Propensity to buy/ buyer readiness]])</f>
        <v>21</v>
      </c>
      <c r="M187" s="86" t="s">
        <v>102</v>
      </c>
      <c r="N187" s="84" t="s">
        <v>61</v>
      </c>
      <c r="O187" s="84" t="s">
        <v>62</v>
      </c>
      <c r="P187" s="87"/>
      <c r="Q187" s="87"/>
      <c r="R187" s="84"/>
      <c r="S187" s="84"/>
      <c r="T187" s="87"/>
      <c r="U187" s="84">
        <v>1</v>
      </c>
      <c r="V187" s="84">
        <v>0</v>
      </c>
      <c r="W187" s="84">
        <v>0</v>
      </c>
      <c r="X187" s="84">
        <v>0</v>
      </c>
      <c r="Y187" s="84">
        <v>0</v>
      </c>
      <c r="Z187" s="84">
        <v>1</v>
      </c>
      <c r="AA187" s="84">
        <v>1</v>
      </c>
      <c r="AB187" s="84">
        <v>1</v>
      </c>
      <c r="AC187" s="84">
        <v>1</v>
      </c>
      <c r="AD187" s="84">
        <v>1</v>
      </c>
      <c r="AE187" s="84">
        <v>1</v>
      </c>
      <c r="AF187" s="84">
        <v>1</v>
      </c>
      <c r="AG187" s="84">
        <v>1</v>
      </c>
      <c r="AH187" s="84">
        <v>0</v>
      </c>
      <c r="AI187" s="84">
        <v>0</v>
      </c>
      <c r="AJ187" s="84">
        <v>0</v>
      </c>
      <c r="AK187" s="84">
        <v>0</v>
      </c>
      <c r="AL187" s="84" cm="1">
        <f t="array" ref="AL1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87" s="84" cm="1">
        <f t="array" ref="AM1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7" s="84" cm="1">
        <f t="array" ref="AN1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7" s="84" cm="1">
        <f t="array" ref="AO1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7" s="84" cm="1">
        <f t="array" ref="AP1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7" s="84" cm="1">
        <f t="array" ref="AQ1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87" s="84" cm="1">
        <f t="array" ref="AR1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87" s="84" cm="1">
        <f t="array" ref="AS1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87" s="84" cm="1">
        <f t="array" ref="AT1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87" s="84" cm="1">
        <f t="array" ref="AU1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87" s="84" cm="1">
        <f t="array" ref="AV1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87" s="84" cm="1">
        <f t="array" ref="AW1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87" s="84" cm="1">
        <f t="array" ref="AX1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87" s="84" cm="1">
        <f t="array" ref="AY1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7" s="84" cm="1">
        <f t="array" ref="AZ1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7" s="84" cm="1">
        <f t="array" ref="BA1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7" s="84" cm="1">
        <f t="array" ref="BB1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7" s="84">
        <f>IF(SUM(Table3[[#This Row],[Column2]:[Column18]])&gt;Table3[[#This Row],[Column19]],Table3[[#This Row],[Column19]],SUM(Table3[[#This Row],[Column2]:[Column18]]))</f>
        <v>50000</v>
      </c>
      <c r="BD187" s="2">
        <f>Table3[[#This Row],[Total Spend]]/SUM(Table3[[#This Row],[Column2]:[Column18]])</f>
        <v>0.2664535038635758</v>
      </c>
    </row>
    <row r="188" spans="1:56">
      <c r="A188" s="84" t="s">
        <v>260</v>
      </c>
      <c r="B188" s="84" t="s">
        <v>57</v>
      </c>
      <c r="C188" s="84" t="s">
        <v>57</v>
      </c>
      <c r="D188" s="85">
        <v>45566</v>
      </c>
      <c r="E188" s="85" t="s">
        <v>58</v>
      </c>
      <c r="F188" s="84">
        <f>INDEX(Definitions!$G$13:$G$17,MATCH(Table3[[#This Row],[Propensity to buy/ buyer readiness]],Definitions!$A$13:$A$17,0))</f>
        <v>150000</v>
      </c>
      <c r="G188" s="86">
        <v>5</v>
      </c>
      <c r="H188" s="86">
        <v>4</v>
      </c>
      <c r="I188" s="86">
        <v>4</v>
      </c>
      <c r="J188" s="86">
        <v>4</v>
      </c>
      <c r="K188" s="86">
        <v>4</v>
      </c>
      <c r="L188" s="86">
        <f>SUM(Table3[[#This Row],[Strategic priority segment]:[Propensity to buy/ buyer readiness]])</f>
        <v>21</v>
      </c>
      <c r="M188" s="86" t="s">
        <v>191</v>
      </c>
      <c r="N188" s="84" t="s">
        <v>135</v>
      </c>
      <c r="O188" s="84"/>
      <c r="P188" s="87"/>
      <c r="Q188" s="87"/>
      <c r="R188" s="84"/>
      <c r="S188" s="84"/>
      <c r="T188" s="87"/>
      <c r="U188" s="84">
        <v>0</v>
      </c>
      <c r="V188" s="84">
        <v>0</v>
      </c>
      <c r="W188" s="84">
        <v>0</v>
      </c>
      <c r="X188" s="84">
        <v>0</v>
      </c>
      <c r="Y188" s="84">
        <v>0</v>
      </c>
      <c r="Z188" s="84">
        <v>0</v>
      </c>
      <c r="AA188" s="84">
        <v>0</v>
      </c>
      <c r="AB188" s="84">
        <v>0</v>
      </c>
      <c r="AC188" s="84">
        <v>0</v>
      </c>
      <c r="AD188" s="84">
        <v>0</v>
      </c>
      <c r="AE188" s="84">
        <v>0</v>
      </c>
      <c r="AF188" s="84">
        <v>0</v>
      </c>
      <c r="AG188" s="84">
        <v>0</v>
      </c>
      <c r="AH188" s="84">
        <v>1</v>
      </c>
      <c r="AI188" s="84">
        <v>1</v>
      </c>
      <c r="AJ188" s="84">
        <v>1</v>
      </c>
      <c r="AK188" s="84">
        <v>1</v>
      </c>
      <c r="AL188" s="84" cm="1">
        <f t="array" ref="AL1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88" s="84" cm="1">
        <f t="array" ref="AM1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8" s="84" cm="1">
        <f t="array" ref="AN1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8" s="84" cm="1">
        <f t="array" ref="AO1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8" s="84" cm="1">
        <f t="array" ref="AP1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8" s="84" cm="1">
        <f t="array" ref="AQ1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88" s="84" cm="1">
        <f t="array" ref="AR1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88" s="84" cm="1">
        <f t="array" ref="AS1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88" s="84" cm="1">
        <f t="array" ref="AT1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88" s="84" cm="1">
        <f t="array" ref="AU1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88" s="84" cm="1">
        <f t="array" ref="AV1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8" s="84" cm="1">
        <f t="array" ref="AW1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88" s="84" cm="1">
        <f t="array" ref="AX1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8" s="84" cm="1">
        <f t="array" ref="AY1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88" s="84" cm="1">
        <f t="array" ref="AZ1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88" s="84" cm="1">
        <f t="array" ref="BA1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88" s="84" cm="1">
        <f t="array" ref="BB1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88" s="84">
        <f>IF(SUM(Table3[[#This Row],[Column2]:[Column18]])&gt;Table3[[#This Row],[Column19]],Table3[[#This Row],[Column19]],SUM(Table3[[#This Row],[Column2]:[Column18]]))</f>
        <v>64350</v>
      </c>
      <c r="BD188" s="2">
        <f>Table3[[#This Row],[Total Spend]]/SUM(Table3[[#This Row],[Column2]:[Column18]])</f>
        <v>1</v>
      </c>
    </row>
    <row r="189" spans="1:56">
      <c r="A189" s="84" t="s">
        <v>261</v>
      </c>
      <c r="B189" s="84" t="s">
        <v>57</v>
      </c>
      <c r="C189" s="84" t="s">
        <v>57</v>
      </c>
      <c r="D189" s="85">
        <v>45566</v>
      </c>
      <c r="E189" s="85" t="s">
        <v>92</v>
      </c>
      <c r="F189" s="84">
        <f>INDEX(Definitions!$G$13:$G$17,MATCH(Table3[[#This Row],[Propensity to buy/ buyer readiness]],Definitions!$A$13:$A$17,0))</f>
        <v>50000</v>
      </c>
      <c r="G189" s="86">
        <v>5</v>
      </c>
      <c r="H189" s="86">
        <v>5</v>
      </c>
      <c r="I189" s="86">
        <v>4</v>
      </c>
      <c r="J189" s="86">
        <v>4</v>
      </c>
      <c r="K189" s="86">
        <v>3</v>
      </c>
      <c r="L189" s="86">
        <f>SUM(Table3[[#This Row],[Strategic priority segment]:[Propensity to buy/ buyer readiness]])</f>
        <v>21</v>
      </c>
      <c r="M189" s="86" t="s">
        <v>102</v>
      </c>
      <c r="N189" s="84" t="s">
        <v>61</v>
      </c>
      <c r="O189" s="84"/>
      <c r="P189" s="87"/>
      <c r="Q189" s="87"/>
      <c r="R189" s="84"/>
      <c r="S189" s="84"/>
      <c r="T189" s="87"/>
      <c r="U189" s="84">
        <v>1</v>
      </c>
      <c r="V189" s="84">
        <v>0</v>
      </c>
      <c r="W189" s="84">
        <v>0</v>
      </c>
      <c r="X189" s="84">
        <v>0</v>
      </c>
      <c r="Y189" s="84">
        <v>0</v>
      </c>
      <c r="Z189" s="84">
        <v>1</v>
      </c>
      <c r="AA189" s="84">
        <v>1</v>
      </c>
      <c r="AB189" s="84">
        <v>1</v>
      </c>
      <c r="AC189" s="84">
        <v>1</v>
      </c>
      <c r="AD189" s="84">
        <v>0</v>
      </c>
      <c r="AE189" s="84">
        <v>0</v>
      </c>
      <c r="AF189" s="84">
        <v>0</v>
      </c>
      <c r="AG189" s="84">
        <v>0</v>
      </c>
      <c r="AH189" s="84">
        <v>0</v>
      </c>
      <c r="AI189" s="84">
        <v>0</v>
      </c>
      <c r="AJ189" s="84">
        <v>0</v>
      </c>
      <c r="AK189" s="84">
        <v>0</v>
      </c>
      <c r="AL189" s="84" cm="1">
        <f t="array" ref="AL1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89" s="84" cm="1">
        <f t="array" ref="AM1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89" s="84" cm="1">
        <f t="array" ref="AN1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89" s="84" cm="1">
        <f t="array" ref="AO1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89" s="84" cm="1">
        <f t="array" ref="AP1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89" s="84" cm="1">
        <f t="array" ref="AQ1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89" s="84" cm="1">
        <f t="array" ref="AR1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89" s="84" cm="1">
        <f t="array" ref="AS1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89" s="84" cm="1">
        <f t="array" ref="AT1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89" s="84" cm="1">
        <f t="array" ref="AU1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89" s="84" cm="1">
        <f t="array" ref="AV1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89" s="84" cm="1">
        <f t="array" ref="AW1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89" s="84" cm="1">
        <f t="array" ref="AX1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89" s="84" cm="1">
        <f t="array" ref="AY1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89" s="84" cm="1">
        <f t="array" ref="AZ1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89" s="84" cm="1">
        <f t="array" ref="BA1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89" s="84" cm="1">
        <f t="array" ref="BB1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89" s="84">
        <f>IF(SUM(Table3[[#This Row],[Column2]:[Column18]])&gt;Table3[[#This Row],[Column19]],Table3[[#This Row],[Column19]],SUM(Table3[[#This Row],[Column2]:[Column18]]))</f>
        <v>50000</v>
      </c>
      <c r="BD189" s="2">
        <f>Table3[[#This Row],[Total Spend]]/SUM(Table3[[#This Row],[Column2]:[Column18]])</f>
        <v>0.49164208456243852</v>
      </c>
    </row>
    <row r="190" spans="1:56">
      <c r="A190" s="84" t="s">
        <v>262</v>
      </c>
      <c r="B190" s="84" t="s">
        <v>57</v>
      </c>
      <c r="C190" s="84"/>
      <c r="D190" s="85">
        <v>45566</v>
      </c>
      <c r="E190" s="85" t="s">
        <v>92</v>
      </c>
      <c r="F190" s="84">
        <f>INDEX(Definitions!$G$13:$G$17,MATCH(Table3[[#This Row],[Propensity to buy/ buyer readiness]],Definitions!$A$13:$A$17,0))</f>
        <v>50000</v>
      </c>
      <c r="G190" s="86">
        <v>5</v>
      </c>
      <c r="H190" s="86">
        <v>5</v>
      </c>
      <c r="I190" s="86">
        <v>4</v>
      </c>
      <c r="J190" s="86">
        <v>4</v>
      </c>
      <c r="K190" s="86">
        <v>3</v>
      </c>
      <c r="L190" s="86">
        <f>SUM(Table3[[#This Row],[Strategic priority segment]:[Propensity to buy/ buyer readiness]])</f>
        <v>21</v>
      </c>
      <c r="M190" s="86" t="s">
        <v>102</v>
      </c>
      <c r="N190" s="84" t="s">
        <v>61</v>
      </c>
      <c r="O190" s="84" t="s">
        <v>62</v>
      </c>
      <c r="P190" s="87"/>
      <c r="Q190" s="87"/>
      <c r="R190" s="84"/>
      <c r="S190" s="84"/>
      <c r="T190" s="87"/>
      <c r="U190" s="84">
        <v>1</v>
      </c>
      <c r="V190" s="84">
        <v>0</v>
      </c>
      <c r="W190" s="84">
        <v>0</v>
      </c>
      <c r="X190" s="84">
        <v>0</v>
      </c>
      <c r="Y190" s="84">
        <v>0</v>
      </c>
      <c r="Z190" s="84">
        <v>1</v>
      </c>
      <c r="AA190" s="84">
        <v>1</v>
      </c>
      <c r="AB190" s="84">
        <v>1</v>
      </c>
      <c r="AC190" s="84">
        <v>1</v>
      </c>
      <c r="AD190" s="84">
        <v>1</v>
      </c>
      <c r="AE190" s="84">
        <v>1</v>
      </c>
      <c r="AF190" s="84">
        <v>1</v>
      </c>
      <c r="AG190" s="84">
        <v>1</v>
      </c>
      <c r="AH190" s="84">
        <v>0</v>
      </c>
      <c r="AI190" s="84">
        <v>0</v>
      </c>
      <c r="AJ190" s="84">
        <v>0</v>
      </c>
      <c r="AK190" s="84">
        <v>0</v>
      </c>
      <c r="AL190" s="84" cm="1">
        <f t="array" ref="AL1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0" s="84" cm="1">
        <f t="array" ref="AM1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0" s="84" cm="1">
        <f t="array" ref="AN1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0" s="84" cm="1">
        <f t="array" ref="AO1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0" s="84" cm="1">
        <f t="array" ref="AP1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0" s="84" cm="1">
        <f t="array" ref="AQ1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0" s="84" cm="1">
        <f t="array" ref="AR1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0" s="84" cm="1">
        <f t="array" ref="AS1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0" s="84" cm="1">
        <f t="array" ref="AT1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0" s="84" cm="1">
        <f t="array" ref="AU1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90" s="84" cm="1">
        <f t="array" ref="AV1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90" s="84" cm="1">
        <f t="array" ref="AW1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90" s="84" cm="1">
        <f t="array" ref="AX1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90" s="84" cm="1">
        <f t="array" ref="AY1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0" s="84" cm="1">
        <f t="array" ref="AZ1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0" s="84" cm="1">
        <f t="array" ref="BA1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0" s="84" cm="1">
        <f t="array" ref="BB1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0" s="84">
        <f>IF(SUM(Table3[[#This Row],[Column2]:[Column18]])&gt;Table3[[#This Row],[Column19]],Table3[[#This Row],[Column19]],SUM(Table3[[#This Row],[Column2]:[Column18]]))</f>
        <v>50000</v>
      </c>
      <c r="BD190" s="2">
        <f>Table3[[#This Row],[Total Spend]]/SUM(Table3[[#This Row],[Column2]:[Column18]])</f>
        <v>0.2664535038635758</v>
      </c>
    </row>
    <row r="191" spans="1:56">
      <c r="A191" s="84" t="s">
        <v>263</v>
      </c>
      <c r="B191" s="84" t="s">
        <v>57</v>
      </c>
      <c r="C191" s="84"/>
      <c r="D191" s="85">
        <v>45566</v>
      </c>
      <c r="E191" s="85" t="s">
        <v>58</v>
      </c>
      <c r="F191" s="84">
        <f>INDEX(Definitions!$G$13:$G$17,MATCH(Table3[[#This Row],[Propensity to buy/ buyer readiness]],Definitions!$A$13:$A$17,0))</f>
        <v>150000</v>
      </c>
      <c r="G191" s="86">
        <v>5</v>
      </c>
      <c r="H191" s="86">
        <v>4</v>
      </c>
      <c r="I191" s="86">
        <v>4</v>
      </c>
      <c r="J191" s="86">
        <v>4</v>
      </c>
      <c r="K191" s="86">
        <v>4</v>
      </c>
      <c r="L191" s="86">
        <f>SUM(Table3[[#This Row],[Strategic priority segment]:[Propensity to buy/ buyer readiness]])</f>
        <v>21</v>
      </c>
      <c r="M191" s="86" t="s">
        <v>191</v>
      </c>
      <c r="N191" s="84" t="s">
        <v>135</v>
      </c>
      <c r="O191" s="84" t="s">
        <v>264</v>
      </c>
      <c r="P191" s="87" t="s">
        <v>265</v>
      </c>
      <c r="Q191" s="87"/>
      <c r="R191" s="84"/>
      <c r="S191" s="84"/>
      <c r="T191" s="87"/>
      <c r="U191" s="84">
        <v>1</v>
      </c>
      <c r="V191" s="84">
        <v>1</v>
      </c>
      <c r="W191" s="84">
        <v>1</v>
      </c>
      <c r="X191" s="84">
        <v>1</v>
      </c>
      <c r="Y191" s="84">
        <v>0</v>
      </c>
      <c r="Z191" s="84">
        <v>0</v>
      </c>
      <c r="AA191" s="84">
        <v>0</v>
      </c>
      <c r="AB191" s="84">
        <v>0</v>
      </c>
      <c r="AC191" s="84">
        <v>0</v>
      </c>
      <c r="AD191" s="84">
        <v>0</v>
      </c>
      <c r="AE191" s="84">
        <v>0</v>
      </c>
      <c r="AF191" s="84">
        <v>0</v>
      </c>
      <c r="AG191" s="84">
        <v>0</v>
      </c>
      <c r="AH191" s="84">
        <v>1</v>
      </c>
      <c r="AI191" s="84">
        <v>1</v>
      </c>
      <c r="AJ191" s="84">
        <v>1</v>
      </c>
      <c r="AK191" s="84">
        <v>1</v>
      </c>
      <c r="AL191" s="84" cm="1">
        <f t="array" ref="AL1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91" s="84" cm="1">
        <f t="array" ref="AM1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91" s="84" cm="1">
        <f t="array" ref="AN1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91" s="84" cm="1">
        <f t="array" ref="AO1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91" s="84" cm="1">
        <f t="array" ref="AP1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1" s="84" cm="1">
        <f t="array" ref="AQ1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91" s="84" cm="1">
        <f t="array" ref="AR1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91" s="84" cm="1">
        <f t="array" ref="AS1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91" s="84" cm="1">
        <f t="array" ref="AT1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91" s="84" cm="1">
        <f t="array" ref="AU1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91" s="84" cm="1">
        <f t="array" ref="AV1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91" s="84" cm="1">
        <f t="array" ref="AW1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91" s="84" cm="1">
        <f t="array" ref="AX1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1" s="84" cm="1">
        <f t="array" ref="AY1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91" s="84" cm="1">
        <f t="array" ref="AZ1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91" s="84" cm="1">
        <f t="array" ref="BA1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91" s="84" cm="1">
        <f t="array" ref="BB1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91" s="84">
        <f>IF(SUM(Table3[[#This Row],[Column2]:[Column18]])&gt;Table3[[#This Row],[Column19]],Table3[[#This Row],[Column19]],SUM(Table3[[#This Row],[Column2]:[Column18]]))</f>
        <v>150000</v>
      </c>
      <c r="BD191" s="2">
        <f>Table3[[#This Row],[Total Spend]]/SUM(Table3[[#This Row],[Column2]:[Column18]])</f>
        <v>0.62305295950155759</v>
      </c>
    </row>
    <row r="192" spans="1:56">
      <c r="A192" s="84" t="s">
        <v>266</v>
      </c>
      <c r="B192" s="84" t="s">
        <v>57</v>
      </c>
      <c r="C192" s="84" t="s">
        <v>57</v>
      </c>
      <c r="D192" s="85">
        <v>45566</v>
      </c>
      <c r="E192" s="85" t="s">
        <v>92</v>
      </c>
      <c r="F192" s="84">
        <f>INDEX(Definitions!$G$13:$G$17,MATCH(Table3[[#This Row],[Propensity to buy/ buyer readiness]],Definitions!$A$13:$A$17,0))</f>
        <v>50000</v>
      </c>
      <c r="G192" s="86">
        <v>5</v>
      </c>
      <c r="H192" s="86">
        <v>5</v>
      </c>
      <c r="I192" s="86">
        <v>4</v>
      </c>
      <c r="J192" s="86">
        <v>4</v>
      </c>
      <c r="K192" s="86">
        <v>3</v>
      </c>
      <c r="L192" s="86">
        <f>SUM(Table3[[#This Row],[Strategic priority segment]:[Propensity to buy/ buyer readiness]])</f>
        <v>21</v>
      </c>
      <c r="M192" s="86" t="s">
        <v>102</v>
      </c>
      <c r="N192" s="84" t="s">
        <v>61</v>
      </c>
      <c r="O192" s="84" t="s">
        <v>62</v>
      </c>
      <c r="P192" s="87"/>
      <c r="Q192" s="87"/>
      <c r="R192" s="84"/>
      <c r="S192" s="84"/>
      <c r="T192" s="84"/>
      <c r="U192" s="84">
        <v>1</v>
      </c>
      <c r="V192" s="84">
        <v>0</v>
      </c>
      <c r="W192" s="84">
        <v>0</v>
      </c>
      <c r="X192" s="84">
        <v>0</v>
      </c>
      <c r="Y192" s="84">
        <v>0</v>
      </c>
      <c r="Z192" s="84">
        <v>1</v>
      </c>
      <c r="AA192" s="84">
        <v>1</v>
      </c>
      <c r="AB192" s="84">
        <v>1</v>
      </c>
      <c r="AC192" s="84">
        <v>1</v>
      </c>
      <c r="AD192" s="84">
        <v>1</v>
      </c>
      <c r="AE192" s="84">
        <v>1</v>
      </c>
      <c r="AF192" s="84">
        <v>1</v>
      </c>
      <c r="AG192" s="84">
        <v>1</v>
      </c>
      <c r="AH192" s="84">
        <v>0</v>
      </c>
      <c r="AI192" s="84">
        <v>0</v>
      </c>
      <c r="AJ192" s="84">
        <v>0</v>
      </c>
      <c r="AK192" s="84">
        <v>0</v>
      </c>
      <c r="AL192" s="84" cm="1">
        <f t="array" ref="AL1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2" s="84" cm="1">
        <f t="array" ref="AM1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2" s="84" cm="1">
        <f t="array" ref="AN1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2" s="84" cm="1">
        <f t="array" ref="AO1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2" s="84" cm="1">
        <f t="array" ref="AP1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2" s="84" cm="1">
        <f t="array" ref="AQ1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2" s="84" cm="1">
        <f t="array" ref="AR1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2" s="84" cm="1">
        <f t="array" ref="AS1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2" s="84" cm="1">
        <f t="array" ref="AT1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2" s="84" cm="1">
        <f t="array" ref="AU1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92" s="84" cm="1">
        <f t="array" ref="AV1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92" s="84" cm="1">
        <f t="array" ref="AW1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92" s="84" cm="1">
        <f t="array" ref="AX1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92" s="84" cm="1">
        <f t="array" ref="AY1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2" s="84" cm="1">
        <f t="array" ref="AZ1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2" s="84" cm="1">
        <f t="array" ref="BA1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2" s="84" cm="1">
        <f t="array" ref="BB1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2" s="84">
        <f>IF(SUM(Table3[[#This Row],[Column2]:[Column18]])&gt;Table3[[#This Row],[Column19]],Table3[[#This Row],[Column19]],SUM(Table3[[#This Row],[Column2]:[Column18]]))</f>
        <v>50000</v>
      </c>
      <c r="BD192" s="2">
        <f>Table3[[#This Row],[Total Spend]]/SUM(Table3[[#This Row],[Column2]:[Column18]])</f>
        <v>0.2664535038635758</v>
      </c>
    </row>
    <row r="193" spans="1:56">
      <c r="A193" s="84" t="s">
        <v>267</v>
      </c>
      <c r="B193" s="84" t="s">
        <v>57</v>
      </c>
      <c r="C193" s="84"/>
      <c r="D193" s="85">
        <v>45566</v>
      </c>
      <c r="E193" s="85" t="s">
        <v>92</v>
      </c>
      <c r="F193" s="84">
        <f>INDEX(Definitions!$G$13:$G$17,MATCH(Table3[[#This Row],[Propensity to buy/ buyer readiness]],Definitions!$A$13:$A$17,0))</f>
        <v>50000</v>
      </c>
      <c r="G193" s="86">
        <v>5</v>
      </c>
      <c r="H193" s="86">
        <v>5</v>
      </c>
      <c r="I193" s="86">
        <v>4</v>
      </c>
      <c r="J193" s="86">
        <v>4</v>
      </c>
      <c r="K193" s="86">
        <v>3</v>
      </c>
      <c r="L193" s="86">
        <f>SUM(Table3[[#This Row],[Strategic priority segment]:[Propensity to buy/ buyer readiness]])</f>
        <v>21</v>
      </c>
      <c r="M193" s="86" t="s">
        <v>102</v>
      </c>
      <c r="N193" s="84" t="s">
        <v>61</v>
      </c>
      <c r="O193" s="84"/>
      <c r="P193" s="87"/>
      <c r="Q193" s="87"/>
      <c r="R193" s="84"/>
      <c r="S193" s="84"/>
      <c r="T193" s="87"/>
      <c r="U193" s="84">
        <v>1</v>
      </c>
      <c r="V193" s="84">
        <v>0</v>
      </c>
      <c r="W193" s="84">
        <v>0</v>
      </c>
      <c r="X193" s="84">
        <v>0</v>
      </c>
      <c r="Y193" s="84">
        <v>0</v>
      </c>
      <c r="Z193" s="84">
        <v>1</v>
      </c>
      <c r="AA193" s="84">
        <v>1</v>
      </c>
      <c r="AB193" s="84">
        <v>1</v>
      </c>
      <c r="AC193" s="84">
        <v>1</v>
      </c>
      <c r="AD193" s="84">
        <v>0</v>
      </c>
      <c r="AE193" s="84">
        <v>0</v>
      </c>
      <c r="AF193" s="84">
        <v>0</v>
      </c>
      <c r="AG193" s="84">
        <v>0</v>
      </c>
      <c r="AH193" s="84">
        <v>0</v>
      </c>
      <c r="AI193" s="84">
        <v>0</v>
      </c>
      <c r="AJ193" s="84">
        <v>0</v>
      </c>
      <c r="AK193" s="84">
        <v>0</v>
      </c>
      <c r="AL193" s="84" cm="1">
        <f t="array" ref="AL1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3" s="84" cm="1">
        <f t="array" ref="AM1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3" s="84" cm="1">
        <f t="array" ref="AN1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3" s="84" cm="1">
        <f t="array" ref="AO1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3" s="84" cm="1">
        <f t="array" ref="AP1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3" s="84" cm="1">
        <f t="array" ref="AQ1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3" s="84" cm="1">
        <f t="array" ref="AR1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3" s="84" cm="1">
        <f t="array" ref="AS1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3" s="84" cm="1">
        <f t="array" ref="AT1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3" s="84" cm="1">
        <f t="array" ref="AU1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93" s="84" cm="1">
        <f t="array" ref="AV1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93" s="84" cm="1">
        <f t="array" ref="AW1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93" s="84" cm="1">
        <f t="array" ref="AX1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3" s="84" cm="1">
        <f t="array" ref="AY1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3" s="84" cm="1">
        <f t="array" ref="AZ1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3" s="84" cm="1">
        <f t="array" ref="BA1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3" s="84" cm="1">
        <f t="array" ref="BB1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3" s="84">
        <f>IF(SUM(Table3[[#This Row],[Column2]:[Column18]])&gt;Table3[[#This Row],[Column19]],Table3[[#This Row],[Column19]],SUM(Table3[[#This Row],[Column2]:[Column18]]))</f>
        <v>50000</v>
      </c>
      <c r="BD193" s="2">
        <f>Table3[[#This Row],[Total Spend]]/SUM(Table3[[#This Row],[Column2]:[Column18]])</f>
        <v>0.49164208456243852</v>
      </c>
    </row>
    <row r="194" spans="1:56">
      <c r="A194" s="84" t="s">
        <v>268</v>
      </c>
      <c r="B194" s="84" t="s">
        <v>57</v>
      </c>
      <c r="C194" s="84"/>
      <c r="D194" s="85">
        <v>45566</v>
      </c>
      <c r="E194" s="85" t="s">
        <v>92</v>
      </c>
      <c r="F194" s="84">
        <f>INDEX(Definitions!$G$13:$G$17,MATCH(Table3[[#This Row],[Propensity to buy/ buyer readiness]],Definitions!$A$13:$A$17,0))</f>
        <v>50000</v>
      </c>
      <c r="G194" s="86">
        <v>5</v>
      </c>
      <c r="H194" s="86">
        <v>5</v>
      </c>
      <c r="I194" s="86">
        <v>4</v>
      </c>
      <c r="J194" s="86">
        <v>4</v>
      </c>
      <c r="K194" s="86">
        <v>3</v>
      </c>
      <c r="L194" s="86">
        <f>SUM(Table3[[#This Row],[Strategic priority segment]:[Propensity to buy/ buyer readiness]])</f>
        <v>21</v>
      </c>
      <c r="M194" s="86" t="s">
        <v>102</v>
      </c>
      <c r="N194" s="84" t="s">
        <v>61</v>
      </c>
      <c r="O194" s="84"/>
      <c r="P194" s="87"/>
      <c r="Q194" s="87"/>
      <c r="R194" s="84"/>
      <c r="S194" s="84"/>
      <c r="T194" s="84"/>
      <c r="U194" s="84">
        <v>1</v>
      </c>
      <c r="V194" s="84">
        <v>0</v>
      </c>
      <c r="W194" s="84">
        <v>0</v>
      </c>
      <c r="X194" s="84">
        <v>0</v>
      </c>
      <c r="Y194" s="84">
        <v>0</v>
      </c>
      <c r="Z194" s="84">
        <v>1</v>
      </c>
      <c r="AA194" s="84">
        <v>1</v>
      </c>
      <c r="AB194" s="84">
        <v>1</v>
      </c>
      <c r="AC194" s="84">
        <v>1</v>
      </c>
      <c r="AD194" s="84">
        <v>0</v>
      </c>
      <c r="AE194" s="84">
        <v>0</v>
      </c>
      <c r="AF194" s="84">
        <v>0</v>
      </c>
      <c r="AG194" s="84">
        <v>0</v>
      </c>
      <c r="AH194" s="84">
        <v>0</v>
      </c>
      <c r="AI194" s="84">
        <v>0</v>
      </c>
      <c r="AJ194" s="84">
        <v>0</v>
      </c>
      <c r="AK194" s="84">
        <v>0</v>
      </c>
      <c r="AL194" s="84" cm="1">
        <f t="array" ref="AL1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4" s="84" cm="1">
        <f t="array" ref="AM1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4" s="84" cm="1">
        <f t="array" ref="AN1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4" s="84" cm="1">
        <f t="array" ref="AO1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4" s="84" cm="1">
        <f t="array" ref="AP1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4" s="84" cm="1">
        <f t="array" ref="AQ1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4" s="84" cm="1">
        <f t="array" ref="AR1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4" s="84" cm="1">
        <f t="array" ref="AS1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4" s="84" cm="1">
        <f t="array" ref="AT1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4" s="84" cm="1">
        <f t="array" ref="AU1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94" s="84" cm="1">
        <f t="array" ref="AV1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94" s="84" cm="1">
        <f t="array" ref="AW1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94" s="84" cm="1">
        <f t="array" ref="AX1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4" s="84" cm="1">
        <f t="array" ref="AY1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4" s="84" cm="1">
        <f t="array" ref="AZ1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4" s="84" cm="1">
        <f t="array" ref="BA1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4" s="84" cm="1">
        <f t="array" ref="BB1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4" s="84">
        <f>IF(SUM(Table3[[#This Row],[Column2]:[Column18]])&gt;Table3[[#This Row],[Column19]],Table3[[#This Row],[Column19]],SUM(Table3[[#This Row],[Column2]:[Column18]]))</f>
        <v>50000</v>
      </c>
      <c r="BD194" s="2">
        <f>Table3[[#This Row],[Total Spend]]/SUM(Table3[[#This Row],[Column2]:[Column18]])</f>
        <v>0.49164208456243852</v>
      </c>
    </row>
    <row r="195" spans="1:56" ht="28.5">
      <c r="A195" s="84" t="s">
        <v>269</v>
      </c>
      <c r="B195" s="84" t="s">
        <v>57</v>
      </c>
      <c r="C195" s="84" t="s">
        <v>57</v>
      </c>
      <c r="D195" s="85">
        <v>45566</v>
      </c>
      <c r="E195" s="85" t="s">
        <v>58</v>
      </c>
      <c r="F195" s="84">
        <f>INDEX(Definitions!$G$13:$G$17,MATCH(Table3[[#This Row],[Propensity to buy/ buyer readiness]],Definitions!$A$13:$A$17,0))</f>
        <v>150000</v>
      </c>
      <c r="G195" s="86">
        <v>5</v>
      </c>
      <c r="H195" s="86">
        <v>4</v>
      </c>
      <c r="I195" s="86">
        <v>4</v>
      </c>
      <c r="J195" s="86">
        <v>4</v>
      </c>
      <c r="K195" s="86">
        <v>4</v>
      </c>
      <c r="L195" s="86">
        <f>SUM(Table3[[#This Row],[Strategic priority segment]:[Propensity to buy/ buyer readiness]])</f>
        <v>21</v>
      </c>
      <c r="M195" s="86" t="s">
        <v>152</v>
      </c>
      <c r="N195" s="84" t="s">
        <v>122</v>
      </c>
      <c r="O195" s="84" t="s">
        <v>61</v>
      </c>
      <c r="P195" s="87" t="s">
        <v>62</v>
      </c>
      <c r="Q195" s="87"/>
      <c r="R195" s="84"/>
      <c r="S195" s="84"/>
      <c r="T195" s="87"/>
      <c r="U195" s="84">
        <v>1</v>
      </c>
      <c r="V195" s="84">
        <v>0</v>
      </c>
      <c r="W195" s="84">
        <v>0</v>
      </c>
      <c r="X195" s="84">
        <v>0</v>
      </c>
      <c r="Y195" s="84">
        <v>0</v>
      </c>
      <c r="Z195" s="84">
        <v>1</v>
      </c>
      <c r="AA195" s="84">
        <v>1</v>
      </c>
      <c r="AB195" s="84">
        <v>1</v>
      </c>
      <c r="AC195" s="84">
        <v>1</v>
      </c>
      <c r="AD195" s="84">
        <v>1</v>
      </c>
      <c r="AE195" s="84">
        <v>1</v>
      </c>
      <c r="AF195" s="84">
        <v>1</v>
      </c>
      <c r="AG195" s="84">
        <v>1</v>
      </c>
      <c r="AH195" s="84">
        <v>0</v>
      </c>
      <c r="AI195" s="84">
        <v>0</v>
      </c>
      <c r="AJ195" s="84">
        <v>0</v>
      </c>
      <c r="AK195" s="84">
        <v>0</v>
      </c>
      <c r="AL195" s="84" cm="1">
        <f t="array" ref="AL1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95" s="84" cm="1">
        <f t="array" ref="AM1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5" s="84" cm="1">
        <f t="array" ref="AN1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5" s="84" cm="1">
        <f t="array" ref="AO1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5" s="84" cm="1">
        <f t="array" ref="AP1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5" s="84" cm="1">
        <f t="array" ref="AQ1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95" s="84" cm="1">
        <f t="array" ref="AR1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195" s="84" cm="1">
        <f t="array" ref="AS1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95" s="84" cm="1">
        <f t="array" ref="AT1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195" s="84" cm="1">
        <f t="array" ref="AU1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95" s="84" cm="1">
        <f t="array" ref="AV1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195" s="84" cm="1">
        <f t="array" ref="AW1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95" s="84" cm="1">
        <f t="array" ref="AX1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195" s="84" cm="1">
        <f t="array" ref="AY1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5" s="84" cm="1">
        <f t="array" ref="AZ1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5" s="84" cm="1">
        <f t="array" ref="BA1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5" s="84" cm="1">
        <f t="array" ref="BB1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5" s="84">
        <f>IF(SUM(Table3[[#This Row],[Column2]:[Column18]])&gt;Table3[[#This Row],[Column19]],Table3[[#This Row],[Column19]],SUM(Table3[[#This Row],[Column2]:[Column18]]))</f>
        <v>150000</v>
      </c>
      <c r="BD195" s="2">
        <f>Table3[[#This Row],[Total Spend]]/SUM(Table3[[#This Row],[Column2]:[Column18]])</f>
        <v>0.57471264367816088</v>
      </c>
    </row>
    <row r="196" spans="1:56">
      <c r="A196" s="84" t="s">
        <v>270</v>
      </c>
      <c r="B196" s="84"/>
      <c r="C196" s="84" t="s">
        <v>57</v>
      </c>
      <c r="D196" s="85">
        <v>45566</v>
      </c>
      <c r="E196" s="85" t="s">
        <v>58</v>
      </c>
      <c r="F196" s="84">
        <f>INDEX(Definitions!$G$13:$G$17,MATCH(Table3[[#This Row],[Propensity to buy/ buyer readiness]],Definitions!$A$13:$A$17,0))</f>
        <v>250000</v>
      </c>
      <c r="G196" s="86">
        <v>5</v>
      </c>
      <c r="H196" s="86">
        <v>4</v>
      </c>
      <c r="I196" s="86">
        <v>4</v>
      </c>
      <c r="J196" s="86">
        <v>3</v>
      </c>
      <c r="K196" s="86">
        <v>5</v>
      </c>
      <c r="L196" s="86">
        <f>SUM(Table3[[#This Row],[Strategic priority segment]:[Propensity to buy/ buyer readiness]])</f>
        <v>21</v>
      </c>
      <c r="M196" s="86" t="s">
        <v>152</v>
      </c>
      <c r="N196" s="84" t="s">
        <v>122</v>
      </c>
      <c r="O196" s="84"/>
      <c r="P196" s="87"/>
      <c r="Q196" s="87"/>
      <c r="R196" s="84"/>
      <c r="S196" s="87"/>
      <c r="T196" s="84"/>
      <c r="U196" s="84">
        <v>1</v>
      </c>
      <c r="V196" s="84">
        <v>0</v>
      </c>
      <c r="W196" s="84">
        <v>0</v>
      </c>
      <c r="X196" s="84">
        <v>0</v>
      </c>
      <c r="Y196" s="84">
        <v>0</v>
      </c>
      <c r="Z196" s="84">
        <v>1</v>
      </c>
      <c r="AA196" s="84">
        <v>0</v>
      </c>
      <c r="AB196" s="84">
        <v>1</v>
      </c>
      <c r="AC196" s="84">
        <v>0</v>
      </c>
      <c r="AD196" s="84">
        <v>1</v>
      </c>
      <c r="AE196" s="84">
        <v>0</v>
      </c>
      <c r="AF196" s="84">
        <v>1</v>
      </c>
      <c r="AG196" s="84">
        <v>0</v>
      </c>
      <c r="AH196" s="84">
        <v>0</v>
      </c>
      <c r="AI196" s="84">
        <v>0</v>
      </c>
      <c r="AJ196" s="84">
        <v>0</v>
      </c>
      <c r="AK196" s="84">
        <v>0</v>
      </c>
      <c r="AL196" s="84" cm="1">
        <f t="array" ref="AL1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96" s="84" cm="1">
        <f t="array" ref="AM1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6" s="84" cm="1">
        <f t="array" ref="AN1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6" s="84" cm="1">
        <f t="array" ref="AO1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6" s="84" cm="1">
        <f t="array" ref="AP1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6" s="84" cm="1">
        <f t="array" ref="AQ1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96" s="84" cm="1">
        <f t="array" ref="AR1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96" s="84" cm="1">
        <f t="array" ref="AS1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96" s="84" cm="1">
        <f t="array" ref="AT1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96" s="84" cm="1">
        <f t="array" ref="AU1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96" s="84" cm="1">
        <f t="array" ref="AV1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96" s="84" cm="1">
        <f t="array" ref="AW1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96" s="84" cm="1">
        <f t="array" ref="AX1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6" s="84" cm="1">
        <f t="array" ref="AY1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6" s="84" cm="1">
        <f t="array" ref="AZ1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6" s="84" cm="1">
        <f t="array" ref="BA1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6" s="84" cm="1">
        <f t="array" ref="BB1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6" s="84">
        <f>IF(SUM(Table3[[#This Row],[Column2]:[Column18]])&gt;Table3[[#This Row],[Column19]],Table3[[#This Row],[Column19]],SUM(Table3[[#This Row],[Column2]:[Column18]]))</f>
        <v>167400</v>
      </c>
      <c r="BD196" s="2">
        <f>Table3[[#This Row],[Total Spend]]/SUM(Table3[[#This Row],[Column2]:[Column18]])</f>
        <v>1</v>
      </c>
    </row>
    <row r="197" spans="1:56">
      <c r="A197" s="84" t="s">
        <v>271</v>
      </c>
      <c r="B197" s="84" t="s">
        <v>57</v>
      </c>
      <c r="C197" s="84"/>
      <c r="D197" s="85">
        <v>45566</v>
      </c>
      <c r="E197" s="85" t="s">
        <v>92</v>
      </c>
      <c r="F197" s="84">
        <f>INDEX(Definitions!$G$13:$G$17,MATCH(Table3[[#This Row],[Propensity to buy/ buyer readiness]],Definitions!$A$13:$A$17,0))</f>
        <v>50000</v>
      </c>
      <c r="G197" s="86">
        <v>5</v>
      </c>
      <c r="H197" s="86">
        <v>5</v>
      </c>
      <c r="I197" s="86">
        <v>4</v>
      </c>
      <c r="J197" s="86">
        <v>4</v>
      </c>
      <c r="K197" s="86">
        <v>3</v>
      </c>
      <c r="L197" s="86">
        <f>SUM(Table3[[#This Row],[Strategic priority segment]:[Propensity to buy/ buyer readiness]])</f>
        <v>21</v>
      </c>
      <c r="M197" s="86" t="s">
        <v>102</v>
      </c>
      <c r="N197" s="84" t="s">
        <v>61</v>
      </c>
      <c r="O197" s="84" t="s">
        <v>62</v>
      </c>
      <c r="P197" s="87" t="s">
        <v>135</v>
      </c>
      <c r="Q197" s="87"/>
      <c r="R197" s="84"/>
      <c r="S197" s="84"/>
      <c r="T197" s="84"/>
      <c r="U197" s="84">
        <v>1</v>
      </c>
      <c r="V197" s="84">
        <v>0</v>
      </c>
      <c r="W197" s="84">
        <v>0</v>
      </c>
      <c r="X197" s="84">
        <v>0</v>
      </c>
      <c r="Y197" s="84">
        <v>0</v>
      </c>
      <c r="Z197" s="84">
        <v>1</v>
      </c>
      <c r="AA197" s="84">
        <v>1</v>
      </c>
      <c r="AB197" s="84">
        <v>1</v>
      </c>
      <c r="AC197" s="84">
        <v>1</v>
      </c>
      <c r="AD197" s="84">
        <v>1</v>
      </c>
      <c r="AE197" s="84">
        <v>1</v>
      </c>
      <c r="AF197" s="84">
        <v>1</v>
      </c>
      <c r="AG197" s="84">
        <v>1</v>
      </c>
      <c r="AH197" s="84">
        <v>1</v>
      </c>
      <c r="AI197" s="84">
        <v>1</v>
      </c>
      <c r="AJ197" s="84">
        <v>1</v>
      </c>
      <c r="AK197" s="84">
        <v>1</v>
      </c>
      <c r="AL197" s="84" cm="1">
        <f t="array" ref="AL1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7" s="84" cm="1">
        <f t="array" ref="AM1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7" s="84" cm="1">
        <f t="array" ref="AN1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7" s="84" cm="1">
        <f t="array" ref="AO1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7" s="84" cm="1">
        <f t="array" ref="AP1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7" s="84" cm="1">
        <f t="array" ref="AQ1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7" s="84" cm="1">
        <f t="array" ref="AR1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7" s="84" cm="1">
        <f t="array" ref="AS1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7" s="84" cm="1">
        <f t="array" ref="AT1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7" s="84" cm="1">
        <f t="array" ref="AU1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97" s="84" cm="1">
        <f t="array" ref="AV1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97" s="84" cm="1">
        <f t="array" ref="AW1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97" s="84" cm="1">
        <f t="array" ref="AX1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97" s="84" cm="1">
        <f t="array" ref="AY1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97" s="84" cm="1">
        <f t="array" ref="AZ1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97" s="84" cm="1">
        <f t="array" ref="BA1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97" s="84" cm="1">
        <f t="array" ref="BB1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97" s="84">
        <f>IF(SUM(Table3[[#This Row],[Column2]:[Column18]])&gt;Table3[[#This Row],[Column19]],Table3[[#This Row],[Column19]],SUM(Table3[[#This Row],[Column2]:[Column18]]))</f>
        <v>50000</v>
      </c>
      <c r="BD197" s="2">
        <f>Table3[[#This Row],[Total Spend]]/SUM(Table3[[#This Row],[Column2]:[Column18]])</f>
        <v>0.21367521367521367</v>
      </c>
    </row>
    <row r="198" spans="1:56">
      <c r="A198" s="84" t="s">
        <v>272</v>
      </c>
      <c r="B198" s="84" t="s">
        <v>57</v>
      </c>
      <c r="C198" s="84"/>
      <c r="D198" s="85">
        <v>45566</v>
      </c>
      <c r="E198" s="85" t="s">
        <v>92</v>
      </c>
      <c r="F198" s="84">
        <f>INDEX(Definitions!$G$13:$G$17,MATCH(Table3[[#This Row],[Propensity to buy/ buyer readiness]],Definitions!$A$13:$A$17,0))</f>
        <v>50000</v>
      </c>
      <c r="G198" s="86">
        <v>5</v>
      </c>
      <c r="H198" s="86">
        <v>5</v>
      </c>
      <c r="I198" s="86">
        <v>4</v>
      </c>
      <c r="J198" s="86">
        <v>4</v>
      </c>
      <c r="K198" s="86">
        <v>3</v>
      </c>
      <c r="L198" s="86">
        <f>SUM(Table3[[#This Row],[Strategic priority segment]:[Propensity to buy/ buyer readiness]])</f>
        <v>21</v>
      </c>
      <c r="M198" s="86" t="s">
        <v>102</v>
      </c>
      <c r="N198" s="84" t="s">
        <v>61</v>
      </c>
      <c r="O198" s="84"/>
      <c r="P198" s="87"/>
      <c r="Q198" s="87"/>
      <c r="R198" s="84"/>
      <c r="S198" s="84"/>
      <c r="T198" s="84"/>
      <c r="U198" s="84">
        <v>1</v>
      </c>
      <c r="V198" s="84">
        <v>0</v>
      </c>
      <c r="W198" s="84">
        <v>0</v>
      </c>
      <c r="X198" s="84">
        <v>0</v>
      </c>
      <c r="Y198" s="84">
        <v>0</v>
      </c>
      <c r="Z198" s="84">
        <v>1</v>
      </c>
      <c r="AA198" s="84">
        <v>1</v>
      </c>
      <c r="AB198" s="84">
        <v>1</v>
      </c>
      <c r="AC198" s="84">
        <v>1</v>
      </c>
      <c r="AD198" s="84">
        <v>0</v>
      </c>
      <c r="AE198" s="84">
        <v>0</v>
      </c>
      <c r="AF198" s="84">
        <v>0</v>
      </c>
      <c r="AG198" s="84">
        <v>0</v>
      </c>
      <c r="AH198" s="84">
        <v>0</v>
      </c>
      <c r="AI198" s="84">
        <v>0</v>
      </c>
      <c r="AJ198" s="84">
        <v>0</v>
      </c>
      <c r="AK198" s="84">
        <v>0</v>
      </c>
      <c r="AL198" s="84" cm="1">
        <f t="array" ref="AL1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8" s="84" cm="1">
        <f t="array" ref="AM1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8" s="84" cm="1">
        <f t="array" ref="AN1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8" s="84" cm="1">
        <f t="array" ref="AO1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8" s="84" cm="1">
        <f t="array" ref="AP1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8" s="84" cm="1">
        <f t="array" ref="AQ1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8" s="84" cm="1">
        <f t="array" ref="AR1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8" s="84" cm="1">
        <f t="array" ref="AS1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8" s="84" cm="1">
        <f t="array" ref="AT1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8" s="84" cm="1">
        <f t="array" ref="AU1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98" s="84" cm="1">
        <f t="array" ref="AV1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98" s="84" cm="1">
        <f t="array" ref="AW1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98" s="84" cm="1">
        <f t="array" ref="AX1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8" s="84" cm="1">
        <f t="array" ref="AY1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8" s="84" cm="1">
        <f t="array" ref="AZ1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8" s="84" cm="1">
        <f t="array" ref="BA1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8" s="84" cm="1">
        <f t="array" ref="BB1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8" s="84">
        <f>IF(SUM(Table3[[#This Row],[Column2]:[Column18]])&gt;Table3[[#This Row],[Column19]],Table3[[#This Row],[Column19]],SUM(Table3[[#This Row],[Column2]:[Column18]]))</f>
        <v>50000</v>
      </c>
      <c r="BD198" s="2">
        <f>Table3[[#This Row],[Total Spend]]/SUM(Table3[[#This Row],[Column2]:[Column18]])</f>
        <v>0.49164208456243852</v>
      </c>
    </row>
    <row r="199" spans="1:56">
      <c r="A199" s="84" t="s">
        <v>273</v>
      </c>
      <c r="B199" s="84" t="s">
        <v>57</v>
      </c>
      <c r="C199" s="84"/>
      <c r="D199" s="85">
        <v>45566</v>
      </c>
      <c r="E199" s="85" t="s">
        <v>92</v>
      </c>
      <c r="F199" s="84">
        <f>INDEX(Definitions!$G$13:$G$17,MATCH(Table3[[#This Row],[Propensity to buy/ buyer readiness]],Definitions!$A$13:$A$17,0))</f>
        <v>50000</v>
      </c>
      <c r="G199" s="86">
        <v>5</v>
      </c>
      <c r="H199" s="86">
        <v>5</v>
      </c>
      <c r="I199" s="86">
        <v>4</v>
      </c>
      <c r="J199" s="86">
        <v>4</v>
      </c>
      <c r="K199" s="86">
        <v>3</v>
      </c>
      <c r="L199" s="86">
        <f>SUM(Table3[[#This Row],[Strategic priority segment]:[Propensity to buy/ buyer readiness]])</f>
        <v>21</v>
      </c>
      <c r="M199" s="86" t="s">
        <v>102</v>
      </c>
      <c r="N199" s="84" t="s">
        <v>61</v>
      </c>
      <c r="O199" s="84"/>
      <c r="P199" s="87"/>
      <c r="Q199" s="87"/>
      <c r="R199" s="84"/>
      <c r="S199" s="84"/>
      <c r="T199" s="84"/>
      <c r="U199" s="84">
        <v>1</v>
      </c>
      <c r="V199" s="84">
        <v>0</v>
      </c>
      <c r="W199" s="84">
        <v>0</v>
      </c>
      <c r="X199" s="84">
        <v>0</v>
      </c>
      <c r="Y199" s="84">
        <v>0</v>
      </c>
      <c r="Z199" s="84">
        <v>1</v>
      </c>
      <c r="AA199" s="84">
        <v>1</v>
      </c>
      <c r="AB199" s="84">
        <v>1</v>
      </c>
      <c r="AC199" s="84">
        <v>1</v>
      </c>
      <c r="AD199" s="84">
        <v>0</v>
      </c>
      <c r="AE199" s="84">
        <v>0</v>
      </c>
      <c r="AF199" s="84">
        <v>0</v>
      </c>
      <c r="AG199" s="84">
        <v>0</v>
      </c>
      <c r="AH199" s="84">
        <v>0</v>
      </c>
      <c r="AI199" s="84">
        <v>0</v>
      </c>
      <c r="AJ199" s="84">
        <v>0</v>
      </c>
      <c r="AK199" s="84">
        <v>0</v>
      </c>
      <c r="AL199" s="84" cm="1">
        <f t="array" ref="AL1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99" s="84" cm="1">
        <f t="array" ref="AM1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99" s="84" cm="1">
        <f t="array" ref="AN1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99" s="84" cm="1">
        <f t="array" ref="AO1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99" s="84" cm="1">
        <f t="array" ref="AP1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99" s="84" cm="1">
        <f t="array" ref="AQ1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99" s="84" cm="1">
        <f t="array" ref="AR1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99" s="84" cm="1">
        <f t="array" ref="AS1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99" s="84" cm="1">
        <f t="array" ref="AT1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99" s="84" cm="1">
        <f t="array" ref="AU1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99" s="84" cm="1">
        <f t="array" ref="AV1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99" s="84" cm="1">
        <f t="array" ref="AW1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99" s="84" cm="1">
        <f t="array" ref="AX1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99" s="84" cm="1">
        <f t="array" ref="AY1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99" s="84" cm="1">
        <f t="array" ref="AZ1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99" s="84" cm="1">
        <f t="array" ref="BA1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99" s="84" cm="1">
        <f t="array" ref="BB1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99" s="84">
        <f>IF(SUM(Table3[[#This Row],[Column2]:[Column18]])&gt;Table3[[#This Row],[Column19]],Table3[[#This Row],[Column19]],SUM(Table3[[#This Row],[Column2]:[Column18]]))</f>
        <v>50000</v>
      </c>
      <c r="BD199" s="2">
        <f>Table3[[#This Row],[Total Spend]]/SUM(Table3[[#This Row],[Column2]:[Column18]])</f>
        <v>0.49164208456243852</v>
      </c>
    </row>
    <row r="200" spans="1:56">
      <c r="A200" s="88" t="s">
        <v>274</v>
      </c>
      <c r="B200" s="88"/>
      <c r="C200" s="88" t="s">
        <v>57</v>
      </c>
      <c r="D200" s="85">
        <v>45566</v>
      </c>
      <c r="E200" s="85" t="s">
        <v>92</v>
      </c>
      <c r="F200" s="84">
        <f>INDEX(Definitions!$G$13:$G$17,MATCH(Table3[[#This Row],[Propensity to buy/ buyer readiness]],Definitions!$A$13:$A$17,0))</f>
        <v>50000</v>
      </c>
      <c r="G200" s="86">
        <v>5</v>
      </c>
      <c r="H200" s="86">
        <v>5</v>
      </c>
      <c r="I200" s="86">
        <v>4</v>
      </c>
      <c r="J200" s="86">
        <v>4</v>
      </c>
      <c r="K200" s="86">
        <v>3</v>
      </c>
      <c r="L200" s="86">
        <f>SUM(Table3[[#This Row],[Strategic priority segment]:[Propensity to buy/ buyer readiness]])</f>
        <v>21</v>
      </c>
      <c r="M200" s="86" t="s">
        <v>102</v>
      </c>
      <c r="N200" s="84" t="s">
        <v>61</v>
      </c>
      <c r="O200" s="84" t="s">
        <v>62</v>
      </c>
      <c r="P200" s="87"/>
      <c r="Q200" s="87"/>
      <c r="R200" s="84"/>
      <c r="S200" s="87"/>
      <c r="T200" s="84"/>
      <c r="U200" s="84">
        <v>1</v>
      </c>
      <c r="V200" s="84">
        <v>0</v>
      </c>
      <c r="W200" s="84">
        <v>0</v>
      </c>
      <c r="X200" s="84">
        <v>0</v>
      </c>
      <c r="Y200" s="84">
        <v>0</v>
      </c>
      <c r="Z200" s="84">
        <v>1</v>
      </c>
      <c r="AA200" s="84">
        <v>1</v>
      </c>
      <c r="AB200" s="84">
        <v>1</v>
      </c>
      <c r="AC200" s="84">
        <v>1</v>
      </c>
      <c r="AD200" s="84">
        <v>1</v>
      </c>
      <c r="AE200" s="84">
        <v>1</v>
      </c>
      <c r="AF200" s="84">
        <v>1</v>
      </c>
      <c r="AG200" s="84">
        <v>1</v>
      </c>
      <c r="AH200" s="84">
        <v>0</v>
      </c>
      <c r="AI200" s="84">
        <v>0</v>
      </c>
      <c r="AJ200" s="84">
        <v>0</v>
      </c>
      <c r="AK200" s="84">
        <v>0</v>
      </c>
      <c r="AL200" s="84" cm="1">
        <f t="array" ref="AL2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0" s="84" cm="1">
        <f t="array" ref="AM2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0" s="84" cm="1">
        <f t="array" ref="AN2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0" s="84" cm="1">
        <f t="array" ref="AO2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0" s="84" cm="1">
        <f t="array" ref="AP2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0" s="84" cm="1">
        <f t="array" ref="AQ2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0" s="84" cm="1">
        <f t="array" ref="AR2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0" s="84" cm="1">
        <f t="array" ref="AS2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0" s="84" cm="1">
        <f t="array" ref="AT2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0" s="84" cm="1">
        <f t="array" ref="AU2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00" s="84" cm="1">
        <f t="array" ref="AV2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00" s="84" cm="1">
        <f t="array" ref="AW2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00" s="84" cm="1">
        <f t="array" ref="AX2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00" s="84" cm="1">
        <f t="array" ref="AY2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0" s="84" cm="1">
        <f t="array" ref="AZ2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0" s="84" cm="1">
        <f t="array" ref="BA2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0" s="84" cm="1">
        <f t="array" ref="BB2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0" s="84">
        <f>IF(SUM(Table3[[#This Row],[Column2]:[Column18]])&gt;Table3[[#This Row],[Column19]],Table3[[#This Row],[Column19]],SUM(Table3[[#This Row],[Column2]:[Column18]]))</f>
        <v>50000</v>
      </c>
      <c r="BD200" s="2">
        <f>Table3[[#This Row],[Total Spend]]/SUM(Table3[[#This Row],[Column2]:[Column18]])</f>
        <v>0.2664535038635758</v>
      </c>
    </row>
    <row r="201" spans="1:56">
      <c r="A201" s="84" t="s">
        <v>275</v>
      </c>
      <c r="B201" s="84" t="s">
        <v>57</v>
      </c>
      <c r="C201" s="84"/>
      <c r="D201" s="85">
        <v>45566</v>
      </c>
      <c r="E201" s="85" t="s">
        <v>92</v>
      </c>
      <c r="F201" s="84">
        <f>INDEX(Definitions!$G$13:$G$17,MATCH(Table3[[#This Row],[Propensity to buy/ buyer readiness]],Definitions!$A$13:$A$17,0))</f>
        <v>50000</v>
      </c>
      <c r="G201" s="86">
        <v>5</v>
      </c>
      <c r="H201" s="86">
        <v>5</v>
      </c>
      <c r="I201" s="86">
        <v>4</v>
      </c>
      <c r="J201" s="86">
        <v>4</v>
      </c>
      <c r="K201" s="86">
        <v>3</v>
      </c>
      <c r="L201" s="86">
        <f>SUM(Table3[[#This Row],[Strategic priority segment]:[Propensity to buy/ buyer readiness]])</f>
        <v>21</v>
      </c>
      <c r="M201" s="86" t="s">
        <v>102</v>
      </c>
      <c r="N201" s="84" t="s">
        <v>61</v>
      </c>
      <c r="O201" s="84" t="s">
        <v>264</v>
      </c>
      <c r="P201" s="87"/>
      <c r="Q201" s="87"/>
      <c r="R201" s="84"/>
      <c r="S201" s="84"/>
      <c r="T201" s="84"/>
      <c r="U201" s="84">
        <v>1</v>
      </c>
      <c r="V201" s="84">
        <v>0</v>
      </c>
      <c r="W201" s="84">
        <v>0</v>
      </c>
      <c r="X201" s="84">
        <v>0</v>
      </c>
      <c r="Y201" s="84">
        <v>0</v>
      </c>
      <c r="Z201" s="84">
        <v>1</v>
      </c>
      <c r="AA201" s="84">
        <v>1</v>
      </c>
      <c r="AB201" s="84">
        <v>1</v>
      </c>
      <c r="AC201" s="84">
        <v>1</v>
      </c>
      <c r="AD201" s="84">
        <v>0</v>
      </c>
      <c r="AE201" s="84">
        <v>0</v>
      </c>
      <c r="AF201" s="84">
        <v>0</v>
      </c>
      <c r="AG201" s="84">
        <v>0</v>
      </c>
      <c r="AH201" s="84">
        <v>0</v>
      </c>
      <c r="AI201" s="84">
        <v>0</v>
      </c>
      <c r="AJ201" s="84">
        <v>0</v>
      </c>
      <c r="AK201" s="84">
        <v>0</v>
      </c>
      <c r="AL201" s="84" cm="1">
        <f t="array" ref="AL2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1" s="84" cm="1">
        <f t="array" ref="AM2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1" s="84" cm="1">
        <f t="array" ref="AN2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1" s="84" cm="1">
        <f t="array" ref="AO2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1" s="84" cm="1">
        <f t="array" ref="AP2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1" s="84" cm="1">
        <f t="array" ref="AQ2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1" s="84" cm="1">
        <f t="array" ref="AR2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1" s="84" cm="1">
        <f t="array" ref="AS2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1" s="84" cm="1">
        <f t="array" ref="AT2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1" s="84" cm="1">
        <f t="array" ref="AU2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1" s="84" cm="1">
        <f t="array" ref="AV2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1" s="84" cm="1">
        <f t="array" ref="AW2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1" s="84" cm="1">
        <f t="array" ref="AX2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1" s="84" cm="1">
        <f t="array" ref="AY2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1" s="84" cm="1">
        <f t="array" ref="AZ2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1" s="84" cm="1">
        <f t="array" ref="BA2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1" s="84" cm="1">
        <f t="array" ref="BB2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1" s="84">
        <f>IF(SUM(Table3[[#This Row],[Column2]:[Column18]])&gt;Table3[[#This Row],[Column19]],Table3[[#This Row],[Column19]],SUM(Table3[[#This Row],[Column2]:[Column18]]))</f>
        <v>50000</v>
      </c>
      <c r="BD201" s="2">
        <f>Table3[[#This Row],[Total Spend]]/SUM(Table3[[#This Row],[Column2]:[Column18]])</f>
        <v>0.49164208456243852</v>
      </c>
    </row>
    <row r="202" spans="1:56">
      <c r="A202" s="84" t="s">
        <v>276</v>
      </c>
      <c r="B202" s="84" t="s">
        <v>57</v>
      </c>
      <c r="C202" s="84"/>
      <c r="D202" s="85">
        <v>45566</v>
      </c>
      <c r="E202" s="85" t="s">
        <v>92</v>
      </c>
      <c r="F202" s="84">
        <f>INDEX(Definitions!$G$13:$G$17,MATCH(Table3[[#This Row],[Propensity to buy/ buyer readiness]],Definitions!$A$13:$A$17,0))</f>
        <v>50000</v>
      </c>
      <c r="G202" s="86">
        <v>5</v>
      </c>
      <c r="H202" s="86">
        <v>5</v>
      </c>
      <c r="I202" s="86">
        <v>4</v>
      </c>
      <c r="J202" s="86">
        <v>4</v>
      </c>
      <c r="K202" s="86">
        <v>3</v>
      </c>
      <c r="L202" s="86">
        <f>SUM(Table3[[#This Row],[Strategic priority segment]:[Propensity to buy/ buyer readiness]])</f>
        <v>21</v>
      </c>
      <c r="M202" s="86" t="s">
        <v>102</v>
      </c>
      <c r="N202" s="84" t="s">
        <v>61</v>
      </c>
      <c r="O202" s="84"/>
      <c r="P202" s="87"/>
      <c r="Q202" s="87"/>
      <c r="R202" s="84"/>
      <c r="S202" s="84"/>
      <c r="T202" s="84"/>
      <c r="U202" s="84">
        <v>1</v>
      </c>
      <c r="V202" s="84">
        <v>0</v>
      </c>
      <c r="W202" s="84">
        <v>0</v>
      </c>
      <c r="X202" s="84">
        <v>0</v>
      </c>
      <c r="Y202" s="84">
        <v>0</v>
      </c>
      <c r="Z202" s="84">
        <v>1</v>
      </c>
      <c r="AA202" s="84">
        <v>1</v>
      </c>
      <c r="AB202" s="84">
        <v>1</v>
      </c>
      <c r="AC202" s="84">
        <v>1</v>
      </c>
      <c r="AD202" s="84">
        <v>0</v>
      </c>
      <c r="AE202" s="84">
        <v>0</v>
      </c>
      <c r="AF202" s="84">
        <v>0</v>
      </c>
      <c r="AG202" s="84">
        <v>0</v>
      </c>
      <c r="AH202" s="84">
        <v>0</v>
      </c>
      <c r="AI202" s="84">
        <v>0</v>
      </c>
      <c r="AJ202" s="84">
        <v>0</v>
      </c>
      <c r="AK202" s="84">
        <v>0</v>
      </c>
      <c r="AL202" s="84" cm="1">
        <f t="array" ref="AL2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2" s="84" cm="1">
        <f t="array" ref="AM2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2" s="84" cm="1">
        <f t="array" ref="AN2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2" s="84" cm="1">
        <f t="array" ref="AO2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2" s="84" cm="1">
        <f t="array" ref="AP2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2" s="84" cm="1">
        <f t="array" ref="AQ2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2" s="84" cm="1">
        <f t="array" ref="AR2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2" s="84" cm="1">
        <f t="array" ref="AS2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2" s="84" cm="1">
        <f t="array" ref="AT2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2" s="84" cm="1">
        <f t="array" ref="AU2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2" s="84" cm="1">
        <f t="array" ref="AV2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2" s="84" cm="1">
        <f t="array" ref="AW2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2" s="84" cm="1">
        <f t="array" ref="AX2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2" s="84" cm="1">
        <f t="array" ref="AY2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2" s="84" cm="1">
        <f t="array" ref="AZ2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2" s="84" cm="1">
        <f t="array" ref="BA2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2" s="84" cm="1">
        <f t="array" ref="BB2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2" s="84">
        <f>IF(SUM(Table3[[#This Row],[Column2]:[Column18]])&gt;Table3[[#This Row],[Column19]],Table3[[#This Row],[Column19]],SUM(Table3[[#This Row],[Column2]:[Column18]]))</f>
        <v>50000</v>
      </c>
      <c r="BD202" s="2">
        <f>Table3[[#This Row],[Total Spend]]/SUM(Table3[[#This Row],[Column2]:[Column18]])</f>
        <v>0.49164208456243852</v>
      </c>
    </row>
    <row r="203" spans="1:56">
      <c r="A203" s="84" t="s">
        <v>277</v>
      </c>
      <c r="B203" s="84" t="s">
        <v>57</v>
      </c>
      <c r="C203" s="84"/>
      <c r="D203" s="85">
        <v>45566</v>
      </c>
      <c r="E203" s="85" t="s">
        <v>92</v>
      </c>
      <c r="F203" s="84">
        <f>INDEX(Definitions!$G$13:$G$17,MATCH(Table3[[#This Row],[Propensity to buy/ buyer readiness]],Definitions!$A$13:$A$17,0))</f>
        <v>50000</v>
      </c>
      <c r="G203" s="86">
        <v>5</v>
      </c>
      <c r="H203" s="86">
        <v>5</v>
      </c>
      <c r="I203" s="86">
        <v>4</v>
      </c>
      <c r="J203" s="86">
        <v>4</v>
      </c>
      <c r="K203" s="86">
        <v>3</v>
      </c>
      <c r="L203" s="86">
        <f>SUM(Table3[[#This Row],[Strategic priority segment]:[Propensity to buy/ buyer readiness]])</f>
        <v>21</v>
      </c>
      <c r="M203" s="86" t="s">
        <v>102</v>
      </c>
      <c r="N203" s="84" t="s">
        <v>61</v>
      </c>
      <c r="O203" s="84"/>
      <c r="P203" s="87"/>
      <c r="Q203" s="87"/>
      <c r="R203" s="84"/>
      <c r="S203" s="84"/>
      <c r="T203" s="84"/>
      <c r="U203" s="84">
        <v>1</v>
      </c>
      <c r="V203" s="84">
        <v>0</v>
      </c>
      <c r="W203" s="84">
        <v>0</v>
      </c>
      <c r="X203" s="84">
        <v>0</v>
      </c>
      <c r="Y203" s="84">
        <v>0</v>
      </c>
      <c r="Z203" s="84">
        <v>1</v>
      </c>
      <c r="AA203" s="84">
        <v>1</v>
      </c>
      <c r="AB203" s="84">
        <v>1</v>
      </c>
      <c r="AC203" s="84">
        <v>1</v>
      </c>
      <c r="AD203" s="84">
        <v>0</v>
      </c>
      <c r="AE203" s="84">
        <v>0</v>
      </c>
      <c r="AF203" s="84">
        <v>0</v>
      </c>
      <c r="AG203" s="84">
        <v>0</v>
      </c>
      <c r="AH203" s="84">
        <v>0</v>
      </c>
      <c r="AI203" s="84">
        <v>0</v>
      </c>
      <c r="AJ203" s="84">
        <v>0</v>
      </c>
      <c r="AK203" s="84">
        <v>0</v>
      </c>
      <c r="AL203" s="84" cm="1">
        <f t="array" ref="AL2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3" s="84" cm="1">
        <f t="array" ref="AM2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3" s="84" cm="1">
        <f t="array" ref="AN2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3" s="84" cm="1">
        <f t="array" ref="AO2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3" s="84" cm="1">
        <f t="array" ref="AP2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3" s="84" cm="1">
        <f t="array" ref="AQ2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3" s="84" cm="1">
        <f t="array" ref="AR2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3" s="84" cm="1">
        <f t="array" ref="AS2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3" s="84" cm="1">
        <f t="array" ref="AT2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3" s="84" cm="1">
        <f t="array" ref="AU2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3" s="84" cm="1">
        <f t="array" ref="AV2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3" s="84" cm="1">
        <f t="array" ref="AW2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3" s="84" cm="1">
        <f t="array" ref="AX2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3" s="84" cm="1">
        <f t="array" ref="AY2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3" s="84" cm="1">
        <f t="array" ref="AZ2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3" s="84" cm="1">
        <f t="array" ref="BA2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3" s="84" cm="1">
        <f t="array" ref="BB2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3" s="84">
        <f>IF(SUM(Table3[[#This Row],[Column2]:[Column18]])&gt;Table3[[#This Row],[Column19]],Table3[[#This Row],[Column19]],SUM(Table3[[#This Row],[Column2]:[Column18]]))</f>
        <v>50000</v>
      </c>
      <c r="BD203" s="2">
        <f>Table3[[#This Row],[Total Spend]]/SUM(Table3[[#This Row],[Column2]:[Column18]])</f>
        <v>0.49164208456243852</v>
      </c>
    </row>
    <row r="204" spans="1:56">
      <c r="A204" s="84" t="s">
        <v>278</v>
      </c>
      <c r="B204" s="84" t="s">
        <v>57</v>
      </c>
      <c r="C204" s="84"/>
      <c r="D204" s="85">
        <v>45566</v>
      </c>
      <c r="E204" s="85" t="s">
        <v>92</v>
      </c>
      <c r="F204" s="84">
        <f>INDEX(Definitions!$G$13:$G$17,MATCH(Table3[[#This Row],[Propensity to buy/ buyer readiness]],Definitions!$A$13:$A$17,0))</f>
        <v>150000</v>
      </c>
      <c r="G204" s="86">
        <v>5</v>
      </c>
      <c r="H204" s="86">
        <v>5</v>
      </c>
      <c r="I204" s="86">
        <v>3</v>
      </c>
      <c r="J204" s="86">
        <v>4</v>
      </c>
      <c r="K204" s="86">
        <v>4</v>
      </c>
      <c r="L204" s="86">
        <f>SUM(Table3[[#This Row],[Strategic priority segment]:[Propensity to buy/ buyer readiness]])</f>
        <v>21</v>
      </c>
      <c r="M204" s="86" t="s">
        <v>102</v>
      </c>
      <c r="N204" s="84" t="s">
        <v>61</v>
      </c>
      <c r="O204" s="84"/>
      <c r="P204" s="87"/>
      <c r="Q204" s="87"/>
      <c r="R204" s="84"/>
      <c r="S204" s="84"/>
      <c r="T204" s="87"/>
      <c r="U204" s="84">
        <v>1</v>
      </c>
      <c r="V204" s="84">
        <v>0</v>
      </c>
      <c r="W204" s="84">
        <v>0</v>
      </c>
      <c r="X204" s="84">
        <v>0</v>
      </c>
      <c r="Y204" s="84">
        <v>0</v>
      </c>
      <c r="Z204" s="84">
        <v>1</v>
      </c>
      <c r="AA204" s="84">
        <v>1</v>
      </c>
      <c r="AB204" s="84">
        <v>1</v>
      </c>
      <c r="AC204" s="84">
        <v>1</v>
      </c>
      <c r="AD204" s="84">
        <v>0</v>
      </c>
      <c r="AE204" s="84">
        <v>0</v>
      </c>
      <c r="AF204" s="84">
        <v>0</v>
      </c>
      <c r="AG204" s="84">
        <v>0</v>
      </c>
      <c r="AH204" s="84">
        <v>0</v>
      </c>
      <c r="AI204" s="84">
        <v>0</v>
      </c>
      <c r="AJ204" s="84">
        <v>0</v>
      </c>
      <c r="AK204" s="84">
        <v>0</v>
      </c>
      <c r="AL204" s="84" cm="1">
        <f t="array" ref="AL2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4" s="84" cm="1">
        <f t="array" ref="AM2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4" s="84" cm="1">
        <f t="array" ref="AN2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4" s="84" cm="1">
        <f t="array" ref="AO2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4" s="84" cm="1">
        <f t="array" ref="AP2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4" s="84" cm="1">
        <f t="array" ref="AQ2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4" s="84" cm="1">
        <f t="array" ref="AR2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4" s="84" cm="1">
        <f t="array" ref="AS2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4" s="84" cm="1">
        <f t="array" ref="AT2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4" s="84" cm="1">
        <f t="array" ref="AU2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4" s="84" cm="1">
        <f t="array" ref="AV2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4" s="84" cm="1">
        <f t="array" ref="AW2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4" s="84" cm="1">
        <f t="array" ref="AX2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4" s="84" cm="1">
        <f t="array" ref="AY2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4" s="84" cm="1">
        <f t="array" ref="AZ2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4" s="84" cm="1">
        <f t="array" ref="BA2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4" s="84" cm="1">
        <f t="array" ref="BB2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4" s="84">
        <f>IF(SUM(Table3[[#This Row],[Column2]:[Column18]])&gt;Table3[[#This Row],[Column19]],Table3[[#This Row],[Column19]],SUM(Table3[[#This Row],[Column2]:[Column18]]))</f>
        <v>101700</v>
      </c>
      <c r="BD204" s="2">
        <f>Table3[[#This Row],[Total Spend]]/SUM(Table3[[#This Row],[Column2]:[Column18]])</f>
        <v>1</v>
      </c>
    </row>
    <row r="205" spans="1:56">
      <c r="A205" s="84" t="s">
        <v>279</v>
      </c>
      <c r="B205" s="84" t="s">
        <v>57</v>
      </c>
      <c r="C205" s="84"/>
      <c r="D205" s="85">
        <v>45566</v>
      </c>
      <c r="E205" s="85" t="s">
        <v>92</v>
      </c>
      <c r="F205" s="84">
        <f>INDEX(Definitions!$G$13:$G$17,MATCH(Table3[[#This Row],[Propensity to buy/ buyer readiness]],Definitions!$A$13:$A$17,0))</f>
        <v>50000</v>
      </c>
      <c r="G205" s="86">
        <v>5</v>
      </c>
      <c r="H205" s="86">
        <v>5</v>
      </c>
      <c r="I205" s="86">
        <v>4</v>
      </c>
      <c r="J205" s="86">
        <v>4</v>
      </c>
      <c r="K205" s="86">
        <v>3</v>
      </c>
      <c r="L205" s="86">
        <f>SUM(Table3[[#This Row],[Strategic priority segment]:[Propensity to buy/ buyer readiness]])</f>
        <v>21</v>
      </c>
      <c r="M205" s="86" t="s">
        <v>102</v>
      </c>
      <c r="N205" s="84" t="s">
        <v>61</v>
      </c>
      <c r="O205" s="84" t="s">
        <v>62</v>
      </c>
      <c r="P205" s="87"/>
      <c r="Q205" s="87"/>
      <c r="R205" s="84"/>
      <c r="S205" s="84"/>
      <c r="T205" s="84"/>
      <c r="U205" s="84">
        <v>1</v>
      </c>
      <c r="V205" s="84">
        <v>0</v>
      </c>
      <c r="W205" s="84">
        <v>0</v>
      </c>
      <c r="X205" s="84">
        <v>0</v>
      </c>
      <c r="Y205" s="84">
        <v>0</v>
      </c>
      <c r="Z205" s="84">
        <v>1</v>
      </c>
      <c r="AA205" s="84">
        <v>1</v>
      </c>
      <c r="AB205" s="84">
        <v>1</v>
      </c>
      <c r="AC205" s="84">
        <v>1</v>
      </c>
      <c r="AD205" s="84">
        <v>1</v>
      </c>
      <c r="AE205" s="84">
        <v>1</v>
      </c>
      <c r="AF205" s="84">
        <v>1</v>
      </c>
      <c r="AG205" s="84">
        <v>1</v>
      </c>
      <c r="AH205" s="84">
        <v>0</v>
      </c>
      <c r="AI205" s="84">
        <v>0</v>
      </c>
      <c r="AJ205" s="84">
        <v>0</v>
      </c>
      <c r="AK205" s="84">
        <v>0</v>
      </c>
      <c r="AL205" s="84" cm="1">
        <f t="array" ref="AL2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5" s="84" cm="1">
        <f t="array" ref="AM2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5" s="84" cm="1">
        <f t="array" ref="AN2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5" s="84" cm="1">
        <f t="array" ref="AO2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5" s="84" cm="1">
        <f t="array" ref="AP2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5" s="84" cm="1">
        <f t="array" ref="AQ2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5" s="84" cm="1">
        <f t="array" ref="AR2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5" s="84" cm="1">
        <f t="array" ref="AS2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5" s="84" cm="1">
        <f t="array" ref="AT2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5" s="84" cm="1">
        <f t="array" ref="AU2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05" s="84" cm="1">
        <f t="array" ref="AV2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05" s="84" cm="1">
        <f t="array" ref="AW2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05" s="84" cm="1">
        <f t="array" ref="AX2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05" s="84" cm="1">
        <f t="array" ref="AY2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5" s="84" cm="1">
        <f t="array" ref="AZ2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5" s="84" cm="1">
        <f t="array" ref="BA2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5" s="84" cm="1">
        <f t="array" ref="BB2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5" s="84">
        <f>IF(SUM(Table3[[#This Row],[Column2]:[Column18]])&gt;Table3[[#This Row],[Column19]],Table3[[#This Row],[Column19]],SUM(Table3[[#This Row],[Column2]:[Column18]]))</f>
        <v>50000</v>
      </c>
      <c r="BD205" s="2">
        <f>Table3[[#This Row],[Total Spend]]/SUM(Table3[[#This Row],[Column2]:[Column18]])</f>
        <v>0.2664535038635758</v>
      </c>
    </row>
    <row r="206" spans="1:56">
      <c r="A206" s="84" t="s">
        <v>280</v>
      </c>
      <c r="B206" s="84" t="s">
        <v>57</v>
      </c>
      <c r="C206" s="84"/>
      <c r="D206" s="85">
        <v>45566</v>
      </c>
      <c r="E206" s="85" t="s">
        <v>92</v>
      </c>
      <c r="F206" s="84">
        <f>INDEX(Definitions!$G$13:$G$17,MATCH(Table3[[#This Row],[Propensity to buy/ buyer readiness]],Definitions!$A$13:$A$17,0))</f>
        <v>50000</v>
      </c>
      <c r="G206" s="86">
        <v>5</v>
      </c>
      <c r="H206" s="86">
        <v>5</v>
      </c>
      <c r="I206" s="86">
        <v>4</v>
      </c>
      <c r="J206" s="86">
        <v>4</v>
      </c>
      <c r="K206" s="86">
        <v>3</v>
      </c>
      <c r="L206" s="86">
        <f>SUM(Table3[[#This Row],[Strategic priority segment]:[Propensity to buy/ buyer readiness]])</f>
        <v>21</v>
      </c>
      <c r="M206" s="86" t="s">
        <v>102</v>
      </c>
      <c r="N206" s="84" t="s">
        <v>61</v>
      </c>
      <c r="O206" s="84" t="s">
        <v>122</v>
      </c>
      <c r="P206" s="87"/>
      <c r="Q206" s="87"/>
      <c r="R206" s="84"/>
      <c r="S206" s="84"/>
      <c r="T206" s="87"/>
      <c r="U206" s="84">
        <v>1</v>
      </c>
      <c r="V206" s="84">
        <v>0</v>
      </c>
      <c r="W206" s="84">
        <v>0</v>
      </c>
      <c r="X206" s="84">
        <v>0</v>
      </c>
      <c r="Y206" s="84">
        <v>0</v>
      </c>
      <c r="Z206" s="84">
        <v>1</v>
      </c>
      <c r="AA206" s="84">
        <v>1</v>
      </c>
      <c r="AB206" s="84">
        <v>1</v>
      </c>
      <c r="AC206" s="84">
        <v>1</v>
      </c>
      <c r="AD206" s="84">
        <v>1</v>
      </c>
      <c r="AE206" s="84">
        <v>0</v>
      </c>
      <c r="AF206" s="84">
        <v>1</v>
      </c>
      <c r="AG206" s="84">
        <v>0</v>
      </c>
      <c r="AH206" s="84">
        <v>0</v>
      </c>
      <c r="AI206" s="84">
        <v>0</v>
      </c>
      <c r="AJ206" s="84">
        <v>0</v>
      </c>
      <c r="AK206" s="84">
        <v>0</v>
      </c>
      <c r="AL206" s="84" cm="1">
        <f t="array" ref="AL2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6" s="84" cm="1">
        <f t="array" ref="AM2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6" s="84" cm="1">
        <f t="array" ref="AN2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6" s="84" cm="1">
        <f t="array" ref="AO2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6" s="84" cm="1">
        <f t="array" ref="AP2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6" s="84" cm="1">
        <f t="array" ref="AQ2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6" s="84" cm="1">
        <f t="array" ref="AR2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6" s="84" cm="1">
        <f t="array" ref="AS2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6" s="84" cm="1">
        <f t="array" ref="AT2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6" s="84" cm="1">
        <f t="array" ref="AU2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06" s="84" cm="1">
        <f t="array" ref="AV2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6" s="84" cm="1">
        <f t="array" ref="AW2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06" s="84" cm="1">
        <f t="array" ref="AX2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6" s="84" cm="1">
        <f t="array" ref="AY2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6" s="84" cm="1">
        <f t="array" ref="AZ2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6" s="84" cm="1">
        <f t="array" ref="BA2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6" s="84" cm="1">
        <f t="array" ref="BB2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6" s="84">
        <f>IF(SUM(Table3[[#This Row],[Column2]:[Column18]])&gt;Table3[[#This Row],[Column19]],Table3[[#This Row],[Column19]],SUM(Table3[[#This Row],[Column2]:[Column18]]))</f>
        <v>50000</v>
      </c>
      <c r="BD206" s="2">
        <f>Table3[[#This Row],[Total Spend]]/SUM(Table3[[#This Row],[Column2]:[Column18]])</f>
        <v>0.32299741602067183</v>
      </c>
    </row>
    <row r="207" spans="1:56">
      <c r="A207" s="84" t="s">
        <v>281</v>
      </c>
      <c r="B207" s="84" t="s">
        <v>57</v>
      </c>
      <c r="C207" s="84"/>
      <c r="D207" s="85">
        <v>45566</v>
      </c>
      <c r="E207" s="85" t="s">
        <v>92</v>
      </c>
      <c r="F207" s="84">
        <f>INDEX(Definitions!$G$13:$G$17,MATCH(Table3[[#This Row],[Propensity to buy/ buyer readiness]],Definitions!$A$13:$A$17,0))</f>
        <v>50000</v>
      </c>
      <c r="G207" s="86">
        <v>5</v>
      </c>
      <c r="H207" s="86">
        <v>5</v>
      </c>
      <c r="I207" s="86">
        <v>4</v>
      </c>
      <c r="J207" s="86">
        <v>4</v>
      </c>
      <c r="K207" s="86">
        <v>3</v>
      </c>
      <c r="L207" s="86">
        <f>SUM(Table3[[#This Row],[Strategic priority segment]:[Propensity to buy/ buyer readiness]])</f>
        <v>21</v>
      </c>
      <c r="M207" s="86" t="s">
        <v>102</v>
      </c>
      <c r="N207" s="84" t="s">
        <v>61</v>
      </c>
      <c r="O207" s="84"/>
      <c r="P207" s="87"/>
      <c r="Q207" s="87"/>
      <c r="R207" s="84"/>
      <c r="S207" s="84"/>
      <c r="T207" s="87"/>
      <c r="U207" s="84">
        <v>1</v>
      </c>
      <c r="V207" s="84">
        <v>0</v>
      </c>
      <c r="W207" s="84">
        <v>0</v>
      </c>
      <c r="X207" s="84">
        <v>0</v>
      </c>
      <c r="Y207" s="84">
        <v>0</v>
      </c>
      <c r="Z207" s="84">
        <v>1</v>
      </c>
      <c r="AA207" s="84">
        <v>1</v>
      </c>
      <c r="AB207" s="84">
        <v>1</v>
      </c>
      <c r="AC207" s="84">
        <v>1</v>
      </c>
      <c r="AD207" s="84">
        <v>0</v>
      </c>
      <c r="AE207" s="84">
        <v>0</v>
      </c>
      <c r="AF207" s="84">
        <v>0</v>
      </c>
      <c r="AG207" s="84">
        <v>0</v>
      </c>
      <c r="AH207" s="84">
        <v>0</v>
      </c>
      <c r="AI207" s="84">
        <v>0</v>
      </c>
      <c r="AJ207" s="84">
        <v>0</v>
      </c>
      <c r="AK207" s="84">
        <v>0</v>
      </c>
      <c r="AL207" s="84" cm="1">
        <f t="array" ref="AL2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7" s="84" cm="1">
        <f t="array" ref="AM2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7" s="84" cm="1">
        <f t="array" ref="AN2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7" s="84" cm="1">
        <f t="array" ref="AO2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7" s="84" cm="1">
        <f t="array" ref="AP2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7" s="84" cm="1">
        <f t="array" ref="AQ2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7" s="84" cm="1">
        <f t="array" ref="AR2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7" s="84" cm="1">
        <f t="array" ref="AS2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7" s="84" cm="1">
        <f t="array" ref="AT2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7" s="84" cm="1">
        <f t="array" ref="AU2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7" s="84" cm="1">
        <f t="array" ref="AV2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7" s="84" cm="1">
        <f t="array" ref="AW2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7" s="84" cm="1">
        <f t="array" ref="AX2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7" s="84" cm="1">
        <f t="array" ref="AY2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7" s="84" cm="1">
        <f t="array" ref="AZ2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7" s="84" cm="1">
        <f t="array" ref="BA2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7" s="84" cm="1">
        <f t="array" ref="BB2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7" s="84">
        <f>IF(SUM(Table3[[#This Row],[Column2]:[Column18]])&gt;Table3[[#This Row],[Column19]],Table3[[#This Row],[Column19]],SUM(Table3[[#This Row],[Column2]:[Column18]]))</f>
        <v>50000</v>
      </c>
      <c r="BD207" s="2">
        <f>Table3[[#This Row],[Total Spend]]/SUM(Table3[[#This Row],[Column2]:[Column18]])</f>
        <v>0.49164208456243852</v>
      </c>
    </row>
    <row r="208" spans="1:56">
      <c r="A208" s="84" t="s">
        <v>282</v>
      </c>
      <c r="B208" s="84"/>
      <c r="C208" s="84" t="s">
        <v>57</v>
      </c>
      <c r="D208" s="85">
        <v>45566</v>
      </c>
      <c r="E208" s="85" t="s">
        <v>92</v>
      </c>
      <c r="F208" s="84">
        <f>INDEX(Definitions!$G$13:$G$17,MATCH(Table3[[#This Row],[Propensity to buy/ buyer readiness]],Definitions!$A$13:$A$17,0))</f>
        <v>50000</v>
      </c>
      <c r="G208" s="86">
        <v>5</v>
      </c>
      <c r="H208" s="86">
        <v>5</v>
      </c>
      <c r="I208" s="86">
        <v>4</v>
      </c>
      <c r="J208" s="86">
        <v>4</v>
      </c>
      <c r="K208" s="86">
        <v>3</v>
      </c>
      <c r="L208" s="86">
        <f>SUM(Table3[[#This Row],[Strategic priority segment]:[Propensity to buy/ buyer readiness]])</f>
        <v>21</v>
      </c>
      <c r="M208" s="86" t="s">
        <v>102</v>
      </c>
      <c r="N208" s="84" t="s">
        <v>61</v>
      </c>
      <c r="O208" s="84"/>
      <c r="P208" s="84"/>
      <c r="Q208" s="84"/>
      <c r="R208" s="84"/>
      <c r="S208" s="84"/>
      <c r="T208" s="87"/>
      <c r="U208" s="84">
        <v>1</v>
      </c>
      <c r="V208" s="84">
        <v>0</v>
      </c>
      <c r="W208" s="84">
        <v>0</v>
      </c>
      <c r="X208" s="84">
        <v>0</v>
      </c>
      <c r="Y208" s="84">
        <v>0</v>
      </c>
      <c r="Z208" s="84">
        <v>1</v>
      </c>
      <c r="AA208" s="84">
        <v>1</v>
      </c>
      <c r="AB208" s="84">
        <v>1</v>
      </c>
      <c r="AC208" s="84">
        <v>1</v>
      </c>
      <c r="AD208" s="84">
        <v>0</v>
      </c>
      <c r="AE208" s="84">
        <v>0</v>
      </c>
      <c r="AF208" s="84">
        <v>0</v>
      </c>
      <c r="AG208" s="84">
        <v>0</v>
      </c>
      <c r="AH208" s="84">
        <v>0</v>
      </c>
      <c r="AI208" s="84">
        <v>0</v>
      </c>
      <c r="AJ208" s="84">
        <v>0</v>
      </c>
      <c r="AK208" s="84">
        <v>0</v>
      </c>
      <c r="AL208" s="84" cm="1">
        <f t="array" ref="AL2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08" s="84" cm="1">
        <f t="array" ref="AM2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8" s="84" cm="1">
        <f t="array" ref="AN2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8" s="84" cm="1">
        <f t="array" ref="AO2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8" s="84" cm="1">
        <f t="array" ref="AP2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8" s="84" cm="1">
        <f t="array" ref="AQ2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08" s="84" cm="1">
        <f t="array" ref="AR2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08" s="84" cm="1">
        <f t="array" ref="AS2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08" s="84" cm="1">
        <f t="array" ref="AT2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08" s="84" cm="1">
        <f t="array" ref="AU2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8" s="84" cm="1">
        <f t="array" ref="AV2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8" s="84" cm="1">
        <f t="array" ref="AW2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8" s="84" cm="1">
        <f t="array" ref="AX2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8" s="84" cm="1">
        <f t="array" ref="AY2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08" s="84" cm="1">
        <f t="array" ref="AZ2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08" s="84" cm="1">
        <f t="array" ref="BA2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08" s="84" cm="1">
        <f t="array" ref="BB2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08" s="84">
        <f>IF(SUM(Table3[[#This Row],[Column2]:[Column18]])&gt;Table3[[#This Row],[Column19]],Table3[[#This Row],[Column19]],SUM(Table3[[#This Row],[Column2]:[Column18]]))</f>
        <v>50000</v>
      </c>
      <c r="BD208" s="2">
        <f>Table3[[#This Row],[Total Spend]]/SUM(Table3[[#This Row],[Column2]:[Column18]])</f>
        <v>0.49164208456243852</v>
      </c>
    </row>
    <row r="209" spans="1:56">
      <c r="A209" s="84" t="s">
        <v>283</v>
      </c>
      <c r="B209" s="84" t="s">
        <v>57</v>
      </c>
      <c r="C209" s="84"/>
      <c r="D209" s="85">
        <v>45566</v>
      </c>
      <c r="E209" s="85" t="s">
        <v>58</v>
      </c>
      <c r="F209" s="84">
        <f>INDEX(Definitions!$G$13:$G$17,MATCH(Table3[[#This Row],[Propensity to buy/ buyer readiness]],Definitions!$A$13:$A$17,0))</f>
        <v>150000</v>
      </c>
      <c r="G209" s="86">
        <v>5</v>
      </c>
      <c r="H209" s="86">
        <v>4</v>
      </c>
      <c r="I209" s="86">
        <v>4</v>
      </c>
      <c r="J209" s="86">
        <v>4</v>
      </c>
      <c r="K209" s="86">
        <v>4</v>
      </c>
      <c r="L209" s="86">
        <f>SUM(Table3[[#This Row],[Strategic priority segment]:[Propensity to buy/ buyer readiness]])</f>
        <v>21</v>
      </c>
      <c r="M209" s="86" t="s">
        <v>191</v>
      </c>
      <c r="N209" s="84" t="s">
        <v>135</v>
      </c>
      <c r="O209" s="84" t="s">
        <v>61</v>
      </c>
      <c r="P209" s="87"/>
      <c r="Q209" s="87"/>
      <c r="R209" s="84"/>
      <c r="S209" s="84"/>
      <c r="T209" s="87"/>
      <c r="U209" s="84">
        <v>1</v>
      </c>
      <c r="V209" s="84">
        <v>0</v>
      </c>
      <c r="W209" s="84">
        <v>0</v>
      </c>
      <c r="X209" s="84">
        <v>0</v>
      </c>
      <c r="Y209" s="84">
        <v>0</v>
      </c>
      <c r="Z209" s="84">
        <v>1</v>
      </c>
      <c r="AA209" s="84">
        <v>1</v>
      </c>
      <c r="AB209" s="84">
        <v>1</v>
      </c>
      <c r="AC209" s="84">
        <v>1</v>
      </c>
      <c r="AD209" s="84">
        <v>0</v>
      </c>
      <c r="AE209" s="84">
        <v>0</v>
      </c>
      <c r="AF209" s="84">
        <v>0</v>
      </c>
      <c r="AG209" s="84">
        <v>0</v>
      </c>
      <c r="AH209" s="84">
        <v>1</v>
      </c>
      <c r="AI209" s="84">
        <v>1</v>
      </c>
      <c r="AJ209" s="84">
        <v>1</v>
      </c>
      <c r="AK209" s="84">
        <v>1</v>
      </c>
      <c r="AL209" s="84" cm="1">
        <f t="array" ref="AL2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09" s="84" cm="1">
        <f t="array" ref="AM2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09" s="84" cm="1">
        <f t="array" ref="AN2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09" s="84" cm="1">
        <f t="array" ref="AO2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09" s="84" cm="1">
        <f t="array" ref="AP2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09" s="84" cm="1">
        <f t="array" ref="AQ2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09" s="84" cm="1">
        <f t="array" ref="AR2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09" s="84" cm="1">
        <f t="array" ref="AS2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09" s="84" cm="1">
        <f t="array" ref="AT2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09" s="84" cm="1">
        <f t="array" ref="AU2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09" s="84" cm="1">
        <f t="array" ref="AV2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09" s="84" cm="1">
        <f t="array" ref="AW2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09" s="84" cm="1">
        <f t="array" ref="AX2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09" s="84" cm="1">
        <f t="array" ref="AY2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09" s="84" cm="1">
        <f t="array" ref="AZ2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09" s="84" cm="1">
        <f t="array" ref="BA2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09" s="84" cm="1">
        <f t="array" ref="BB2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09" s="84">
        <f>IF(SUM(Table3[[#This Row],[Column2]:[Column18]])&gt;Table3[[#This Row],[Column19]],Table3[[#This Row],[Column19]],SUM(Table3[[#This Row],[Column2]:[Column18]]))</f>
        <v>150000</v>
      </c>
      <c r="BD209" s="2">
        <f>Table3[[#This Row],[Total Spend]]/SUM(Table3[[#This Row],[Column2]:[Column18]])</f>
        <v>0.73260073260073255</v>
      </c>
    </row>
    <row r="210" spans="1:56">
      <c r="A210" s="84" t="s">
        <v>284</v>
      </c>
      <c r="B210" s="84" t="s">
        <v>57</v>
      </c>
      <c r="C210" s="84"/>
      <c r="D210" s="85">
        <v>45566</v>
      </c>
      <c r="E210" s="85" t="s">
        <v>92</v>
      </c>
      <c r="F210" s="84">
        <f>INDEX(Definitions!$G$13:$G$17,MATCH(Table3[[#This Row],[Propensity to buy/ buyer readiness]],Definitions!$A$13:$A$17,0))</f>
        <v>50000</v>
      </c>
      <c r="G210" s="86">
        <v>5</v>
      </c>
      <c r="H210" s="86">
        <v>5</v>
      </c>
      <c r="I210" s="86">
        <v>4</v>
      </c>
      <c r="J210" s="86">
        <v>4</v>
      </c>
      <c r="K210" s="86">
        <v>3</v>
      </c>
      <c r="L210" s="86">
        <f>SUM(Table3[[#This Row],[Strategic priority segment]:[Propensity to buy/ buyer readiness]])</f>
        <v>21</v>
      </c>
      <c r="M210" s="86" t="s">
        <v>102</v>
      </c>
      <c r="N210" s="84" t="s">
        <v>61</v>
      </c>
      <c r="O210" s="84" t="s">
        <v>135</v>
      </c>
      <c r="P210" s="87"/>
      <c r="Q210" s="87"/>
      <c r="R210" s="84"/>
      <c r="S210" s="84"/>
      <c r="T210" s="84"/>
      <c r="U210" s="84">
        <v>1</v>
      </c>
      <c r="V210" s="84">
        <v>0</v>
      </c>
      <c r="W210" s="84">
        <v>0</v>
      </c>
      <c r="X210" s="84">
        <v>0</v>
      </c>
      <c r="Y210" s="84">
        <v>0</v>
      </c>
      <c r="Z210" s="84">
        <v>1</v>
      </c>
      <c r="AA210" s="84">
        <v>1</v>
      </c>
      <c r="AB210" s="84">
        <v>1</v>
      </c>
      <c r="AC210" s="84">
        <v>1</v>
      </c>
      <c r="AD210" s="84">
        <v>0</v>
      </c>
      <c r="AE210" s="84">
        <v>0</v>
      </c>
      <c r="AF210" s="84">
        <v>0</v>
      </c>
      <c r="AG210" s="84">
        <v>0</v>
      </c>
      <c r="AH210" s="84">
        <v>1</v>
      </c>
      <c r="AI210" s="84">
        <v>1</v>
      </c>
      <c r="AJ210" s="84">
        <v>1</v>
      </c>
      <c r="AK210" s="84">
        <v>1</v>
      </c>
      <c r="AL210" s="84" cm="1">
        <f t="array" ref="AL2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10" s="84" cm="1">
        <f t="array" ref="AM2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0" s="84" cm="1">
        <f t="array" ref="AN2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0" s="84" cm="1">
        <f t="array" ref="AO2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0" s="84" cm="1">
        <f t="array" ref="AP2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0" s="84" cm="1">
        <f t="array" ref="AQ2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10" s="84" cm="1">
        <f t="array" ref="AR2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10" s="84" cm="1">
        <f t="array" ref="AS2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10" s="84" cm="1">
        <f t="array" ref="AT2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10" s="84" cm="1">
        <f t="array" ref="AU2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0" s="84" cm="1">
        <f t="array" ref="AV2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0" s="84" cm="1">
        <f t="array" ref="AW2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0" s="84" cm="1">
        <f t="array" ref="AX2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0" s="84" cm="1">
        <f t="array" ref="AY2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10" s="84" cm="1">
        <f t="array" ref="AZ2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10" s="84" cm="1">
        <f t="array" ref="BA2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10" s="84" cm="1">
        <f t="array" ref="BB2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10" s="84">
        <f>IF(SUM(Table3[[#This Row],[Column2]:[Column18]])&gt;Table3[[#This Row],[Column19]],Table3[[#This Row],[Column19]],SUM(Table3[[#This Row],[Column2]:[Column18]]))</f>
        <v>50000</v>
      </c>
      <c r="BD210" s="2">
        <f>Table3[[#This Row],[Total Spend]]/SUM(Table3[[#This Row],[Column2]:[Column18]])</f>
        <v>0.33772374197906113</v>
      </c>
    </row>
    <row r="211" spans="1:56">
      <c r="A211" s="84" t="s">
        <v>285</v>
      </c>
      <c r="B211" s="84" t="s">
        <v>57</v>
      </c>
      <c r="C211" s="84" t="s">
        <v>57</v>
      </c>
      <c r="D211" s="85">
        <v>45566</v>
      </c>
      <c r="E211" s="85" t="s">
        <v>58</v>
      </c>
      <c r="F211" s="84">
        <f>INDEX(Definitions!$G$13:$G$17,MATCH(Table3[[#This Row],[Propensity to buy/ buyer readiness]],Definitions!$A$13:$A$17,0))</f>
        <v>150000</v>
      </c>
      <c r="G211" s="86">
        <v>5</v>
      </c>
      <c r="H211" s="86">
        <v>4</v>
      </c>
      <c r="I211" s="86">
        <v>4</v>
      </c>
      <c r="J211" s="86">
        <v>4</v>
      </c>
      <c r="K211" s="86">
        <v>4</v>
      </c>
      <c r="L211" s="86">
        <f>SUM(Table3[[#This Row],[Strategic priority segment]:[Propensity to buy/ buyer readiness]])</f>
        <v>21</v>
      </c>
      <c r="M211" s="86" t="s">
        <v>191</v>
      </c>
      <c r="N211" s="84" t="s">
        <v>76</v>
      </c>
      <c r="O211" s="84" t="s">
        <v>62</v>
      </c>
      <c r="P211" s="87" t="s">
        <v>85</v>
      </c>
      <c r="Q211" s="87"/>
      <c r="R211" s="84"/>
      <c r="S211" s="84"/>
      <c r="T211" s="87"/>
      <c r="U211" s="84">
        <v>1</v>
      </c>
      <c r="V211" s="84">
        <v>0</v>
      </c>
      <c r="W211" s="84">
        <v>0</v>
      </c>
      <c r="X211" s="84">
        <v>0</v>
      </c>
      <c r="Y211" s="84">
        <v>1</v>
      </c>
      <c r="Z211" s="84">
        <v>0</v>
      </c>
      <c r="AA211" s="84">
        <v>0</v>
      </c>
      <c r="AB211" s="84">
        <v>0</v>
      </c>
      <c r="AC211" s="84">
        <v>0</v>
      </c>
      <c r="AD211" s="84">
        <v>1</v>
      </c>
      <c r="AE211" s="84">
        <v>1</v>
      </c>
      <c r="AF211" s="84">
        <v>1</v>
      </c>
      <c r="AG211" s="84">
        <v>1</v>
      </c>
      <c r="AH211" s="84">
        <v>1</v>
      </c>
      <c r="AI211" s="84">
        <v>0</v>
      </c>
      <c r="AJ211" s="84">
        <v>1</v>
      </c>
      <c r="AK211" s="84">
        <v>0</v>
      </c>
      <c r="AL211" s="84" cm="1">
        <f t="array" ref="AL2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11" s="84" cm="1">
        <f t="array" ref="AM2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1" s="84" cm="1">
        <f t="array" ref="AN2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1" s="84" cm="1">
        <f t="array" ref="AO2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1" s="84" cm="1">
        <f t="array" ref="AP2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11" s="84" cm="1">
        <f t="array" ref="AQ2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11" s="84" cm="1">
        <f t="array" ref="AR2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11" s="84" cm="1">
        <f t="array" ref="AS2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11" s="84" cm="1">
        <f t="array" ref="AT2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11" s="84" cm="1">
        <f t="array" ref="AU2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11" s="84" cm="1">
        <f t="array" ref="AV2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11" s="84" cm="1">
        <f t="array" ref="AW2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11" s="84" cm="1">
        <f t="array" ref="AX2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11" s="84" cm="1">
        <f t="array" ref="AY2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11" s="84" cm="1">
        <f t="array" ref="AZ2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11" s="84" cm="1">
        <f t="array" ref="BA2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11" s="84" cm="1">
        <f t="array" ref="BB2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11" s="84">
        <f>IF(SUM(Table3[[#This Row],[Column2]:[Column18]])&gt;Table3[[#This Row],[Column19]],Table3[[#This Row],[Column19]],SUM(Table3[[#This Row],[Column2]:[Column18]]))</f>
        <v>150000</v>
      </c>
      <c r="BD211" s="2">
        <f>Table3[[#This Row],[Total Spend]]/SUM(Table3[[#This Row],[Column2]:[Column18]])</f>
        <v>0.65359477124183007</v>
      </c>
    </row>
    <row r="212" spans="1:56">
      <c r="A212" s="84" t="s">
        <v>286</v>
      </c>
      <c r="B212" s="84" t="s">
        <v>57</v>
      </c>
      <c r="C212" s="84"/>
      <c r="D212" s="85">
        <v>45566</v>
      </c>
      <c r="E212" s="85" t="s">
        <v>92</v>
      </c>
      <c r="F212" s="84">
        <f>INDEX(Definitions!$G$13:$G$17,MATCH(Table3[[#This Row],[Propensity to buy/ buyer readiness]],Definitions!$A$13:$A$17,0))</f>
        <v>50000</v>
      </c>
      <c r="G212" s="86">
        <v>5</v>
      </c>
      <c r="H212" s="86">
        <v>5</v>
      </c>
      <c r="I212" s="86">
        <v>4</v>
      </c>
      <c r="J212" s="86">
        <v>4</v>
      </c>
      <c r="K212" s="86">
        <v>3</v>
      </c>
      <c r="L212" s="86">
        <f>SUM(Table3[[#This Row],[Strategic priority segment]:[Propensity to buy/ buyer readiness]])</f>
        <v>21</v>
      </c>
      <c r="M212" s="86" t="s">
        <v>102</v>
      </c>
      <c r="N212" s="84" t="s">
        <v>61</v>
      </c>
      <c r="O212" s="84"/>
      <c r="P212" s="87"/>
      <c r="Q212" s="87"/>
      <c r="R212" s="84"/>
      <c r="S212" s="84"/>
      <c r="T212" s="87"/>
      <c r="U212" s="84">
        <v>1</v>
      </c>
      <c r="V212" s="84">
        <v>0</v>
      </c>
      <c r="W212" s="84">
        <v>0</v>
      </c>
      <c r="X212" s="84">
        <v>0</v>
      </c>
      <c r="Y212" s="84">
        <v>0</v>
      </c>
      <c r="Z212" s="84">
        <v>1</v>
      </c>
      <c r="AA212" s="84">
        <v>1</v>
      </c>
      <c r="AB212" s="84">
        <v>1</v>
      </c>
      <c r="AC212" s="84">
        <v>1</v>
      </c>
      <c r="AD212" s="84">
        <v>0</v>
      </c>
      <c r="AE212" s="84">
        <v>0</v>
      </c>
      <c r="AF212" s="84">
        <v>0</v>
      </c>
      <c r="AG212" s="84">
        <v>0</v>
      </c>
      <c r="AH212" s="84">
        <v>0</v>
      </c>
      <c r="AI212" s="84">
        <v>0</v>
      </c>
      <c r="AJ212" s="84">
        <v>0</v>
      </c>
      <c r="AK212" s="84">
        <v>0</v>
      </c>
      <c r="AL212" s="84" cm="1">
        <f t="array" ref="AL2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12" s="84" cm="1">
        <f t="array" ref="AM2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2" s="84" cm="1">
        <f t="array" ref="AN2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2" s="84" cm="1">
        <f t="array" ref="AO2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2" s="84" cm="1">
        <f t="array" ref="AP2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2" s="84" cm="1">
        <f t="array" ref="AQ2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12" s="84" cm="1">
        <f t="array" ref="AR2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12" s="84" cm="1">
        <f t="array" ref="AS2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12" s="84" cm="1">
        <f t="array" ref="AT2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12" s="84" cm="1">
        <f t="array" ref="AU2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2" s="84" cm="1">
        <f t="array" ref="AV2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2" s="84" cm="1">
        <f t="array" ref="AW2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2" s="84" cm="1">
        <f t="array" ref="AX2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2" s="84" cm="1">
        <f t="array" ref="AY2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12" s="84" cm="1">
        <f t="array" ref="AZ2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12" s="84" cm="1">
        <f t="array" ref="BA2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12" s="84" cm="1">
        <f t="array" ref="BB2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12" s="84">
        <f>IF(SUM(Table3[[#This Row],[Column2]:[Column18]])&gt;Table3[[#This Row],[Column19]],Table3[[#This Row],[Column19]],SUM(Table3[[#This Row],[Column2]:[Column18]]))</f>
        <v>50000</v>
      </c>
      <c r="BD212" s="2">
        <f>Table3[[#This Row],[Total Spend]]/SUM(Table3[[#This Row],[Column2]:[Column18]])</f>
        <v>0.49164208456243852</v>
      </c>
    </row>
    <row r="213" spans="1:56">
      <c r="A213" s="84" t="s">
        <v>287</v>
      </c>
      <c r="B213" s="84" t="s">
        <v>57</v>
      </c>
      <c r="C213" s="84"/>
      <c r="D213" s="85">
        <v>45566</v>
      </c>
      <c r="E213" s="85" t="s">
        <v>92</v>
      </c>
      <c r="F213" s="84">
        <f>INDEX(Definitions!$G$13:$G$17,MATCH(Table3[[#This Row],[Propensity to buy/ buyer readiness]],Definitions!$A$13:$A$17,0))</f>
        <v>50000</v>
      </c>
      <c r="G213" s="86">
        <v>5</v>
      </c>
      <c r="H213" s="86">
        <v>5</v>
      </c>
      <c r="I213" s="86">
        <v>4</v>
      </c>
      <c r="J213" s="86">
        <v>4</v>
      </c>
      <c r="K213" s="86">
        <v>3</v>
      </c>
      <c r="L213" s="86">
        <f>SUM(Table3[[#This Row],[Strategic priority segment]:[Propensity to buy/ buyer readiness]])</f>
        <v>21</v>
      </c>
      <c r="M213" s="86" t="s">
        <v>102</v>
      </c>
      <c r="N213" s="84" t="s">
        <v>61</v>
      </c>
      <c r="O213" s="84"/>
      <c r="P213" s="87"/>
      <c r="Q213" s="87"/>
      <c r="R213" s="84"/>
      <c r="S213" s="84"/>
      <c r="T213" s="84"/>
      <c r="U213" s="84">
        <v>1</v>
      </c>
      <c r="V213" s="84">
        <v>0</v>
      </c>
      <c r="W213" s="84">
        <v>0</v>
      </c>
      <c r="X213" s="84">
        <v>0</v>
      </c>
      <c r="Y213" s="84">
        <v>0</v>
      </c>
      <c r="Z213" s="84">
        <v>1</v>
      </c>
      <c r="AA213" s="84">
        <v>1</v>
      </c>
      <c r="AB213" s="84">
        <v>1</v>
      </c>
      <c r="AC213" s="84">
        <v>1</v>
      </c>
      <c r="AD213" s="84">
        <v>0</v>
      </c>
      <c r="AE213" s="84">
        <v>0</v>
      </c>
      <c r="AF213" s="84">
        <v>0</v>
      </c>
      <c r="AG213" s="84">
        <v>0</v>
      </c>
      <c r="AH213" s="84">
        <v>0</v>
      </c>
      <c r="AI213" s="84">
        <v>0</v>
      </c>
      <c r="AJ213" s="84">
        <v>0</v>
      </c>
      <c r="AK213" s="84">
        <v>0</v>
      </c>
      <c r="AL213" s="84" cm="1">
        <f t="array" ref="AL2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13" s="84" cm="1">
        <f t="array" ref="AM2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3" s="84" cm="1">
        <f t="array" ref="AN2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3" s="84" cm="1">
        <f t="array" ref="AO2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3" s="84" cm="1">
        <f t="array" ref="AP2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3" s="84" cm="1">
        <f t="array" ref="AQ2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13" s="84" cm="1">
        <f t="array" ref="AR2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13" s="84" cm="1">
        <f t="array" ref="AS2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13" s="84" cm="1">
        <f t="array" ref="AT2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13" s="84" cm="1">
        <f t="array" ref="AU2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3" s="84" cm="1">
        <f t="array" ref="AV2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3" s="84" cm="1">
        <f t="array" ref="AW2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3" s="84" cm="1">
        <f t="array" ref="AX2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3" s="84" cm="1">
        <f t="array" ref="AY2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13" s="84" cm="1">
        <f t="array" ref="AZ2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13" s="84" cm="1">
        <f t="array" ref="BA2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13" s="84" cm="1">
        <f t="array" ref="BB2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13" s="84">
        <f>IF(SUM(Table3[[#This Row],[Column2]:[Column18]])&gt;Table3[[#This Row],[Column19]],Table3[[#This Row],[Column19]],SUM(Table3[[#This Row],[Column2]:[Column18]]))</f>
        <v>50000</v>
      </c>
      <c r="BD213" s="2">
        <f>Table3[[#This Row],[Total Spend]]/SUM(Table3[[#This Row],[Column2]:[Column18]])</f>
        <v>0.49164208456243852</v>
      </c>
    </row>
    <row r="214" spans="1:56">
      <c r="A214" s="84" t="s">
        <v>288</v>
      </c>
      <c r="B214" s="84" t="s">
        <v>57</v>
      </c>
      <c r="C214" s="84" t="s">
        <v>57</v>
      </c>
      <c r="D214" s="85">
        <v>45566</v>
      </c>
      <c r="E214" s="85" t="s">
        <v>58</v>
      </c>
      <c r="F214" s="84">
        <f>INDEX(Definitions!$G$13:$G$17,MATCH(Table3[[#This Row],[Propensity to buy/ buyer readiness]],Definitions!$A$13:$A$17,0))</f>
        <v>150000</v>
      </c>
      <c r="G214" s="86">
        <v>5</v>
      </c>
      <c r="H214" s="86">
        <v>4</v>
      </c>
      <c r="I214" s="86">
        <v>4</v>
      </c>
      <c r="J214" s="86">
        <v>4</v>
      </c>
      <c r="K214" s="86">
        <v>4</v>
      </c>
      <c r="L214" s="86">
        <f>SUM(Table3[[#This Row],[Strategic priority segment]:[Propensity to buy/ buyer readiness]])</f>
        <v>21</v>
      </c>
      <c r="M214" s="86" t="s">
        <v>191</v>
      </c>
      <c r="N214" s="84" t="s">
        <v>135</v>
      </c>
      <c r="O214" s="84" t="s">
        <v>61</v>
      </c>
      <c r="P214" s="87"/>
      <c r="Q214" s="87"/>
      <c r="R214" s="84"/>
      <c r="S214" s="84"/>
      <c r="T214" s="87"/>
      <c r="U214" s="84">
        <v>1</v>
      </c>
      <c r="V214" s="84">
        <v>0</v>
      </c>
      <c r="W214" s="84">
        <v>0</v>
      </c>
      <c r="X214" s="84">
        <v>0</v>
      </c>
      <c r="Y214" s="84">
        <v>0</v>
      </c>
      <c r="Z214" s="84">
        <v>1</v>
      </c>
      <c r="AA214" s="84">
        <v>1</v>
      </c>
      <c r="AB214" s="84">
        <v>1</v>
      </c>
      <c r="AC214" s="84">
        <v>1</v>
      </c>
      <c r="AD214" s="84">
        <v>0</v>
      </c>
      <c r="AE214" s="84">
        <v>0</v>
      </c>
      <c r="AF214" s="84">
        <v>0</v>
      </c>
      <c r="AG214" s="84">
        <v>0</v>
      </c>
      <c r="AH214" s="84">
        <v>1</v>
      </c>
      <c r="AI214" s="84">
        <v>1</v>
      </c>
      <c r="AJ214" s="84">
        <v>1</v>
      </c>
      <c r="AK214" s="84">
        <v>1</v>
      </c>
      <c r="AL214" s="84" cm="1">
        <f t="array" ref="AL2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14" s="84" cm="1">
        <f t="array" ref="AM2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4" s="84" cm="1">
        <f t="array" ref="AN2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4" s="84" cm="1">
        <f t="array" ref="AO2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4" s="84" cm="1">
        <f t="array" ref="AP2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4" s="84" cm="1">
        <f t="array" ref="AQ2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14" s="84" cm="1">
        <f t="array" ref="AR2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14" s="84" cm="1">
        <f t="array" ref="AS2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14" s="84" cm="1">
        <f t="array" ref="AT2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14" s="84" cm="1">
        <f t="array" ref="AU2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4" s="84" cm="1">
        <f t="array" ref="AV2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4" s="84" cm="1">
        <f t="array" ref="AW2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4" s="84" cm="1">
        <f t="array" ref="AX2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4" s="84" cm="1">
        <f t="array" ref="AY2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14" s="84" cm="1">
        <f t="array" ref="AZ2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14" s="84" cm="1">
        <f t="array" ref="BA2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14" s="84" cm="1">
        <f t="array" ref="BB2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14" s="84">
        <f>IF(SUM(Table3[[#This Row],[Column2]:[Column18]])&gt;Table3[[#This Row],[Column19]],Table3[[#This Row],[Column19]],SUM(Table3[[#This Row],[Column2]:[Column18]]))</f>
        <v>150000</v>
      </c>
      <c r="BD214" s="2">
        <f>Table3[[#This Row],[Total Spend]]/SUM(Table3[[#This Row],[Column2]:[Column18]])</f>
        <v>0.73260073260073255</v>
      </c>
    </row>
    <row r="215" spans="1:56">
      <c r="A215" s="84" t="s">
        <v>289</v>
      </c>
      <c r="B215" s="84" t="s">
        <v>57</v>
      </c>
      <c r="C215" s="84"/>
      <c r="D215" s="85">
        <v>45566</v>
      </c>
      <c r="E215" s="85" t="s">
        <v>58</v>
      </c>
      <c r="F215" s="84">
        <f>INDEX(Definitions!$G$13:$G$17,MATCH(Table3[[#This Row],[Propensity to buy/ buyer readiness]],Definitions!$A$13:$A$17,0))</f>
        <v>250000</v>
      </c>
      <c r="G215" s="86">
        <v>5</v>
      </c>
      <c r="H215" s="86">
        <v>4</v>
      </c>
      <c r="I215" s="86">
        <v>4</v>
      </c>
      <c r="J215" s="86">
        <v>3</v>
      </c>
      <c r="K215" s="86">
        <v>5</v>
      </c>
      <c r="L215" s="86">
        <f>SUM(Table3[[#This Row],[Strategic priority segment]:[Propensity to buy/ buyer readiness]])</f>
        <v>21</v>
      </c>
      <c r="M215" s="86" t="s">
        <v>66</v>
      </c>
      <c r="N215" s="84" t="s">
        <v>62</v>
      </c>
      <c r="O215" s="84"/>
      <c r="P215" s="87"/>
      <c r="Q215" s="87"/>
      <c r="R215" s="84"/>
      <c r="S215" s="84"/>
      <c r="T215" s="84"/>
      <c r="U215" s="84">
        <v>1</v>
      </c>
      <c r="V215" s="84">
        <v>0</v>
      </c>
      <c r="W215" s="84">
        <v>0</v>
      </c>
      <c r="X215" s="84">
        <v>0</v>
      </c>
      <c r="Y215" s="84">
        <v>0</v>
      </c>
      <c r="Z215" s="84">
        <v>0</v>
      </c>
      <c r="AA215" s="84">
        <v>0</v>
      </c>
      <c r="AB215" s="84">
        <v>0</v>
      </c>
      <c r="AC215" s="84">
        <v>0</v>
      </c>
      <c r="AD215" s="84">
        <v>1</v>
      </c>
      <c r="AE215" s="84">
        <v>1</v>
      </c>
      <c r="AF215" s="84">
        <v>1</v>
      </c>
      <c r="AG215" s="84">
        <v>1</v>
      </c>
      <c r="AH215" s="84">
        <v>0</v>
      </c>
      <c r="AI215" s="84">
        <v>0</v>
      </c>
      <c r="AJ215" s="84">
        <v>0</v>
      </c>
      <c r="AK215" s="84">
        <v>0</v>
      </c>
      <c r="AL215" s="84" cm="1">
        <f t="array" ref="AL2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15" s="84" cm="1">
        <f t="array" ref="AM2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5" s="84" cm="1">
        <f t="array" ref="AN2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5" s="84" cm="1">
        <f t="array" ref="AO2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5" s="84" cm="1">
        <f t="array" ref="AP2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5" s="84" cm="1">
        <f t="array" ref="AQ2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15" s="84" cm="1">
        <f t="array" ref="AR2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15" s="84" cm="1">
        <f t="array" ref="AS2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15" s="84" cm="1">
        <f t="array" ref="AT2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15" s="84" cm="1">
        <f t="array" ref="AU2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15" s="84" cm="1">
        <f t="array" ref="AV2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15" s="84" cm="1">
        <f t="array" ref="AW2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15" s="84" cm="1">
        <f t="array" ref="AX2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15" s="84" cm="1">
        <f t="array" ref="AY2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15" s="84" cm="1">
        <f t="array" ref="AZ2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15" s="84" cm="1">
        <f t="array" ref="BA2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15" s="84" cm="1">
        <f t="array" ref="BB2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15" s="84">
        <f>IF(SUM(Table3[[#This Row],[Column2]:[Column18]])&gt;Table3[[#This Row],[Column19]],Table3[[#This Row],[Column19]],SUM(Table3[[#This Row],[Column2]:[Column18]]))</f>
        <v>131400</v>
      </c>
      <c r="BD215" s="2">
        <f>Table3[[#This Row],[Total Spend]]/SUM(Table3[[#This Row],[Column2]:[Column18]])</f>
        <v>1</v>
      </c>
    </row>
    <row r="216" spans="1:56">
      <c r="A216" s="84" t="s">
        <v>290</v>
      </c>
      <c r="B216" s="84" t="s">
        <v>57</v>
      </c>
      <c r="C216" s="84"/>
      <c r="D216" s="85">
        <v>45566</v>
      </c>
      <c r="E216" s="85" t="s">
        <v>92</v>
      </c>
      <c r="F216" s="84">
        <f>INDEX(Definitions!$G$13:$G$17,MATCH(Table3[[#This Row],[Propensity to buy/ buyer readiness]],Definitions!$A$13:$A$17,0))</f>
        <v>50000</v>
      </c>
      <c r="G216" s="86">
        <v>5</v>
      </c>
      <c r="H216" s="86">
        <v>5</v>
      </c>
      <c r="I216" s="86">
        <v>4</v>
      </c>
      <c r="J216" s="86">
        <v>4</v>
      </c>
      <c r="K216" s="86">
        <v>3</v>
      </c>
      <c r="L216" s="86">
        <f>SUM(Table3[[#This Row],[Strategic priority segment]:[Propensity to buy/ buyer readiness]])</f>
        <v>21</v>
      </c>
      <c r="M216" s="86" t="s">
        <v>102</v>
      </c>
      <c r="N216" s="84" t="s">
        <v>61</v>
      </c>
      <c r="O216" s="84" t="s">
        <v>135</v>
      </c>
      <c r="P216" s="87"/>
      <c r="Q216" s="87"/>
      <c r="R216" s="84"/>
      <c r="S216" s="84"/>
      <c r="T216" s="84"/>
      <c r="U216" s="84">
        <v>1</v>
      </c>
      <c r="V216" s="84">
        <v>0</v>
      </c>
      <c r="W216" s="84">
        <v>0</v>
      </c>
      <c r="X216" s="84">
        <v>0</v>
      </c>
      <c r="Y216" s="84">
        <v>0</v>
      </c>
      <c r="Z216" s="84">
        <v>1</v>
      </c>
      <c r="AA216" s="84">
        <v>1</v>
      </c>
      <c r="AB216" s="84">
        <v>1</v>
      </c>
      <c r="AC216" s="84">
        <v>1</v>
      </c>
      <c r="AD216" s="84">
        <v>0</v>
      </c>
      <c r="AE216" s="84">
        <v>0</v>
      </c>
      <c r="AF216" s="84">
        <v>0</v>
      </c>
      <c r="AG216" s="84">
        <v>0</v>
      </c>
      <c r="AH216" s="84">
        <v>1</v>
      </c>
      <c r="AI216" s="84">
        <v>1</v>
      </c>
      <c r="AJ216" s="84">
        <v>1</v>
      </c>
      <c r="AK216" s="84">
        <v>1</v>
      </c>
      <c r="AL216" s="84" cm="1">
        <f t="array" ref="AL2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16" s="84" cm="1">
        <f t="array" ref="AM2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6" s="84" cm="1">
        <f t="array" ref="AN2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6" s="84" cm="1">
        <f t="array" ref="AO2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6" s="84" cm="1">
        <f t="array" ref="AP2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6" s="84" cm="1">
        <f t="array" ref="AQ2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16" s="84" cm="1">
        <f t="array" ref="AR2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16" s="84" cm="1">
        <f t="array" ref="AS2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16" s="84" cm="1">
        <f t="array" ref="AT2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16" s="84" cm="1">
        <f t="array" ref="AU2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6" s="84" cm="1">
        <f t="array" ref="AV2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6" s="84" cm="1">
        <f t="array" ref="AW2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6" s="84" cm="1">
        <f t="array" ref="AX2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6" s="84" cm="1">
        <f t="array" ref="AY2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16" s="84" cm="1">
        <f t="array" ref="AZ2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16" s="84" cm="1">
        <f t="array" ref="BA2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16" s="84" cm="1">
        <f t="array" ref="BB2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16" s="84">
        <f>IF(SUM(Table3[[#This Row],[Column2]:[Column18]])&gt;Table3[[#This Row],[Column19]],Table3[[#This Row],[Column19]],SUM(Table3[[#This Row],[Column2]:[Column18]]))</f>
        <v>50000</v>
      </c>
      <c r="BD216" s="2">
        <f>Table3[[#This Row],[Total Spend]]/SUM(Table3[[#This Row],[Column2]:[Column18]])</f>
        <v>0.33772374197906113</v>
      </c>
    </row>
    <row r="217" spans="1:56">
      <c r="A217" s="84" t="s">
        <v>291</v>
      </c>
      <c r="B217" s="84" t="s">
        <v>57</v>
      </c>
      <c r="C217" s="84"/>
      <c r="D217" s="85">
        <v>45566</v>
      </c>
      <c r="E217" s="85" t="s">
        <v>92</v>
      </c>
      <c r="F217" s="84">
        <f>INDEX(Definitions!$G$13:$G$17,MATCH(Table3[[#This Row],[Propensity to buy/ buyer readiness]],Definitions!$A$13:$A$17,0))</f>
        <v>50000</v>
      </c>
      <c r="G217" s="86">
        <v>5</v>
      </c>
      <c r="H217" s="86">
        <v>5</v>
      </c>
      <c r="I217" s="86">
        <v>4</v>
      </c>
      <c r="J217" s="86">
        <v>4</v>
      </c>
      <c r="K217" s="86">
        <v>3</v>
      </c>
      <c r="L217" s="86">
        <f>SUM(Table3[[#This Row],[Strategic priority segment]:[Propensity to buy/ buyer readiness]])</f>
        <v>21</v>
      </c>
      <c r="M217" s="86" t="s">
        <v>102</v>
      </c>
      <c r="N217" s="84" t="s">
        <v>61</v>
      </c>
      <c r="O217" s="84"/>
      <c r="P217" s="87"/>
      <c r="Q217" s="87"/>
      <c r="R217" s="84"/>
      <c r="S217" s="84"/>
      <c r="T217" s="84"/>
      <c r="U217" s="84">
        <v>1</v>
      </c>
      <c r="V217" s="84">
        <v>0</v>
      </c>
      <c r="W217" s="84">
        <v>0</v>
      </c>
      <c r="X217" s="84">
        <v>0</v>
      </c>
      <c r="Y217" s="84">
        <v>0</v>
      </c>
      <c r="Z217" s="84">
        <v>1</v>
      </c>
      <c r="AA217" s="84">
        <v>1</v>
      </c>
      <c r="AB217" s="84">
        <v>1</v>
      </c>
      <c r="AC217" s="84">
        <v>1</v>
      </c>
      <c r="AD217" s="84">
        <v>0</v>
      </c>
      <c r="AE217" s="84">
        <v>0</v>
      </c>
      <c r="AF217" s="84">
        <v>0</v>
      </c>
      <c r="AG217" s="84">
        <v>0</v>
      </c>
      <c r="AH217" s="84">
        <v>0</v>
      </c>
      <c r="AI217" s="84">
        <v>0</v>
      </c>
      <c r="AJ217" s="84">
        <v>0</v>
      </c>
      <c r="AK217" s="84">
        <v>0</v>
      </c>
      <c r="AL217" s="84" cm="1">
        <f t="array" ref="AL2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17" s="84" cm="1">
        <f t="array" ref="AM2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7" s="84" cm="1">
        <f t="array" ref="AN2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7" s="84" cm="1">
        <f t="array" ref="AO2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7" s="84" cm="1">
        <f t="array" ref="AP2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7" s="84" cm="1">
        <f t="array" ref="AQ2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17" s="84" cm="1">
        <f t="array" ref="AR2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17" s="84" cm="1">
        <f t="array" ref="AS2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17" s="84" cm="1">
        <f t="array" ref="AT2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17" s="84" cm="1">
        <f t="array" ref="AU2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7" s="84" cm="1">
        <f t="array" ref="AV2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7" s="84" cm="1">
        <f t="array" ref="AW2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7" s="84" cm="1">
        <f t="array" ref="AX2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7" s="84" cm="1">
        <f t="array" ref="AY2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17" s="84" cm="1">
        <f t="array" ref="AZ2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17" s="84" cm="1">
        <f t="array" ref="BA2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17" s="84" cm="1">
        <f t="array" ref="BB2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17" s="84">
        <f>IF(SUM(Table3[[#This Row],[Column2]:[Column18]])&gt;Table3[[#This Row],[Column19]],Table3[[#This Row],[Column19]],SUM(Table3[[#This Row],[Column2]:[Column18]]))</f>
        <v>50000</v>
      </c>
      <c r="BD217" s="2">
        <f>Table3[[#This Row],[Total Spend]]/SUM(Table3[[#This Row],[Column2]:[Column18]])</f>
        <v>0.49164208456243852</v>
      </c>
    </row>
    <row r="218" spans="1:56">
      <c r="A218" s="84" t="s">
        <v>292</v>
      </c>
      <c r="B218" s="84" t="s">
        <v>57</v>
      </c>
      <c r="C218" s="84"/>
      <c r="D218" s="85">
        <v>45566</v>
      </c>
      <c r="E218" s="85" t="s">
        <v>58</v>
      </c>
      <c r="F218" s="84">
        <f>INDEX(Definitions!$G$13:$G$17,MATCH(Table3[[#This Row],[Propensity to buy/ buyer readiness]],Definitions!$A$13:$A$17,0))</f>
        <v>150000</v>
      </c>
      <c r="G218" s="86">
        <v>5</v>
      </c>
      <c r="H218" s="86">
        <v>4</v>
      </c>
      <c r="I218" s="86">
        <v>4</v>
      </c>
      <c r="J218" s="86">
        <v>4</v>
      </c>
      <c r="K218" s="86">
        <v>4</v>
      </c>
      <c r="L218" s="86">
        <f>SUM(Table3[[#This Row],[Strategic priority segment]:[Propensity to buy/ buyer readiness]])</f>
        <v>21</v>
      </c>
      <c r="M218" s="86" t="s">
        <v>191</v>
      </c>
      <c r="N218" s="84" t="s">
        <v>135</v>
      </c>
      <c r="O218" s="84"/>
      <c r="P218" s="87"/>
      <c r="Q218" s="87"/>
      <c r="R218" s="84"/>
      <c r="S218" s="84"/>
      <c r="T218" s="87"/>
      <c r="U218" s="84">
        <v>0</v>
      </c>
      <c r="V218" s="84">
        <v>0</v>
      </c>
      <c r="W218" s="84">
        <v>0</v>
      </c>
      <c r="X218" s="84">
        <v>0</v>
      </c>
      <c r="Y218" s="84">
        <v>0</v>
      </c>
      <c r="Z218" s="84">
        <v>0</v>
      </c>
      <c r="AA218" s="84">
        <v>0</v>
      </c>
      <c r="AB218" s="84">
        <v>0</v>
      </c>
      <c r="AC218" s="84">
        <v>0</v>
      </c>
      <c r="AD218" s="84">
        <v>0</v>
      </c>
      <c r="AE218" s="84">
        <v>0</v>
      </c>
      <c r="AF218" s="84">
        <v>0</v>
      </c>
      <c r="AG218" s="84">
        <v>0</v>
      </c>
      <c r="AH218" s="84">
        <v>1</v>
      </c>
      <c r="AI218" s="84">
        <v>1</v>
      </c>
      <c r="AJ218" s="84">
        <v>1</v>
      </c>
      <c r="AK218" s="84">
        <v>1</v>
      </c>
      <c r="AL218" s="84" cm="1">
        <f t="array" ref="AL2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18" s="84" cm="1">
        <f t="array" ref="AM2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8" s="84" cm="1">
        <f t="array" ref="AN2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8" s="84" cm="1">
        <f t="array" ref="AO2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8" s="84" cm="1">
        <f t="array" ref="AP2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8" s="84" cm="1">
        <f t="array" ref="AQ2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18" s="84" cm="1">
        <f t="array" ref="AR2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18" s="84" cm="1">
        <f t="array" ref="AS2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18" s="84" cm="1">
        <f t="array" ref="AT2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18" s="84" cm="1">
        <f t="array" ref="AU2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8" s="84" cm="1">
        <f t="array" ref="AV2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8" s="84" cm="1">
        <f t="array" ref="AW2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8" s="84" cm="1">
        <f t="array" ref="AX2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8" s="84" cm="1">
        <f t="array" ref="AY2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18" s="84" cm="1">
        <f t="array" ref="AZ2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18" s="84" cm="1">
        <f t="array" ref="BA2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18" s="84" cm="1">
        <f t="array" ref="BB2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18" s="84">
        <f>IF(SUM(Table3[[#This Row],[Column2]:[Column18]])&gt;Table3[[#This Row],[Column19]],Table3[[#This Row],[Column19]],SUM(Table3[[#This Row],[Column2]:[Column18]]))</f>
        <v>64350</v>
      </c>
      <c r="BD218" s="2">
        <f>Table3[[#This Row],[Total Spend]]/SUM(Table3[[#This Row],[Column2]:[Column18]])</f>
        <v>1</v>
      </c>
    </row>
    <row r="219" spans="1:56">
      <c r="A219" s="84" t="s">
        <v>293</v>
      </c>
      <c r="B219" s="84" t="s">
        <v>57</v>
      </c>
      <c r="C219" s="84"/>
      <c r="D219" s="85">
        <v>45566</v>
      </c>
      <c r="E219" s="85" t="s">
        <v>58</v>
      </c>
      <c r="F219" s="84">
        <f>INDEX(Definitions!$G$13:$G$17,MATCH(Table3[[#This Row],[Propensity to buy/ buyer readiness]],Definitions!$A$13:$A$17,0))</f>
        <v>150000</v>
      </c>
      <c r="G219" s="86">
        <v>5</v>
      </c>
      <c r="H219" s="86">
        <v>4</v>
      </c>
      <c r="I219" s="86">
        <v>4</v>
      </c>
      <c r="J219" s="86">
        <v>4</v>
      </c>
      <c r="K219" s="86">
        <v>4</v>
      </c>
      <c r="L219" s="86">
        <f>SUM(Table3[[#This Row],[Strategic priority segment]:[Propensity to buy/ buyer readiness]])</f>
        <v>21</v>
      </c>
      <c r="M219" s="86" t="s">
        <v>191</v>
      </c>
      <c r="N219" s="84" t="s">
        <v>135</v>
      </c>
      <c r="O219" s="84"/>
      <c r="P219" s="87"/>
      <c r="Q219" s="87"/>
      <c r="R219" s="84"/>
      <c r="S219" s="84"/>
      <c r="T219" s="84"/>
      <c r="U219" s="84">
        <v>0</v>
      </c>
      <c r="V219" s="84">
        <v>0</v>
      </c>
      <c r="W219" s="84">
        <v>0</v>
      </c>
      <c r="X219" s="84">
        <v>0</v>
      </c>
      <c r="Y219" s="84">
        <v>0</v>
      </c>
      <c r="Z219" s="84">
        <v>0</v>
      </c>
      <c r="AA219" s="84">
        <v>0</v>
      </c>
      <c r="AB219" s="84">
        <v>0</v>
      </c>
      <c r="AC219" s="84">
        <v>0</v>
      </c>
      <c r="AD219" s="84">
        <v>0</v>
      </c>
      <c r="AE219" s="84">
        <v>0</v>
      </c>
      <c r="AF219" s="84">
        <v>0</v>
      </c>
      <c r="AG219" s="84">
        <v>0</v>
      </c>
      <c r="AH219" s="84">
        <v>1</v>
      </c>
      <c r="AI219" s="84">
        <v>1</v>
      </c>
      <c r="AJ219" s="84">
        <v>1</v>
      </c>
      <c r="AK219" s="84">
        <v>1</v>
      </c>
      <c r="AL219" s="84" cm="1">
        <f t="array" ref="AL2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19" s="84" cm="1">
        <f t="array" ref="AM2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19" s="84" cm="1">
        <f t="array" ref="AN2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19" s="84" cm="1">
        <f t="array" ref="AO2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19" s="84" cm="1">
        <f t="array" ref="AP2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19" s="84" cm="1">
        <f t="array" ref="AQ2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19" s="84" cm="1">
        <f t="array" ref="AR2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19" s="84" cm="1">
        <f t="array" ref="AS2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19" s="84" cm="1">
        <f t="array" ref="AT2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19" s="84" cm="1">
        <f t="array" ref="AU2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19" s="84" cm="1">
        <f t="array" ref="AV2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19" s="84" cm="1">
        <f t="array" ref="AW2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19" s="84" cm="1">
        <f t="array" ref="AX2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19" s="84" cm="1">
        <f t="array" ref="AY2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19" s="84" cm="1">
        <f t="array" ref="AZ2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19" s="84" cm="1">
        <f t="array" ref="BA2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19" s="84" cm="1">
        <f t="array" ref="BB2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19" s="84">
        <f>IF(SUM(Table3[[#This Row],[Column2]:[Column18]])&gt;Table3[[#This Row],[Column19]],Table3[[#This Row],[Column19]],SUM(Table3[[#This Row],[Column2]:[Column18]]))</f>
        <v>64350</v>
      </c>
      <c r="BD219" s="2">
        <f>Table3[[#This Row],[Total Spend]]/SUM(Table3[[#This Row],[Column2]:[Column18]])</f>
        <v>1</v>
      </c>
    </row>
    <row r="220" spans="1:56">
      <c r="A220" s="84" t="s">
        <v>294</v>
      </c>
      <c r="B220" s="84" t="s">
        <v>57</v>
      </c>
      <c r="C220" s="84"/>
      <c r="D220" s="85">
        <v>45566</v>
      </c>
      <c r="E220" s="85" t="s">
        <v>58</v>
      </c>
      <c r="F220" s="84">
        <f>INDEX(Definitions!$G$13:$G$17,MATCH(Table3[[#This Row],[Propensity to buy/ buyer readiness]],Definitions!$A$13:$A$17,0))</f>
        <v>150000</v>
      </c>
      <c r="G220" s="86">
        <v>5</v>
      </c>
      <c r="H220" s="86">
        <v>4</v>
      </c>
      <c r="I220" s="86">
        <v>4</v>
      </c>
      <c r="J220" s="86">
        <v>4</v>
      </c>
      <c r="K220" s="86">
        <v>4</v>
      </c>
      <c r="L220" s="86">
        <f>SUM(Table3[[#This Row],[Strategic priority segment]:[Propensity to buy/ buyer readiness]])</f>
        <v>21</v>
      </c>
      <c r="M220" s="86" t="s">
        <v>191</v>
      </c>
      <c r="N220" s="84" t="s">
        <v>135</v>
      </c>
      <c r="O220" s="84"/>
      <c r="P220" s="87"/>
      <c r="Q220" s="87"/>
      <c r="R220" s="84"/>
      <c r="S220" s="84"/>
      <c r="T220" s="84"/>
      <c r="U220" s="84">
        <v>0</v>
      </c>
      <c r="V220" s="84">
        <v>0</v>
      </c>
      <c r="W220" s="84">
        <v>0</v>
      </c>
      <c r="X220" s="84">
        <v>0</v>
      </c>
      <c r="Y220" s="84">
        <v>0</v>
      </c>
      <c r="Z220" s="84">
        <v>0</v>
      </c>
      <c r="AA220" s="84">
        <v>0</v>
      </c>
      <c r="AB220" s="84">
        <v>0</v>
      </c>
      <c r="AC220" s="84">
        <v>0</v>
      </c>
      <c r="AD220" s="84">
        <v>0</v>
      </c>
      <c r="AE220" s="84">
        <v>0</v>
      </c>
      <c r="AF220" s="84">
        <v>0</v>
      </c>
      <c r="AG220" s="84">
        <v>0</v>
      </c>
      <c r="AH220" s="84">
        <v>1</v>
      </c>
      <c r="AI220" s="84">
        <v>1</v>
      </c>
      <c r="AJ220" s="84">
        <v>1</v>
      </c>
      <c r="AK220" s="84">
        <v>1</v>
      </c>
      <c r="AL220" s="84" cm="1">
        <f t="array" ref="AL2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20" s="84" cm="1">
        <f t="array" ref="AM2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0" s="84" cm="1">
        <f t="array" ref="AN2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0" s="84" cm="1">
        <f t="array" ref="AO2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0" s="84" cm="1">
        <f t="array" ref="AP2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0" s="84" cm="1">
        <f t="array" ref="AQ2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20" s="84" cm="1">
        <f t="array" ref="AR2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20" s="84" cm="1">
        <f t="array" ref="AS2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20" s="84" cm="1">
        <f t="array" ref="AT2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20" s="84" cm="1">
        <f t="array" ref="AU2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0" s="84" cm="1">
        <f t="array" ref="AV2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0" s="84" cm="1">
        <f t="array" ref="AW2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0" s="84" cm="1">
        <f t="array" ref="AX2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0" s="84" cm="1">
        <f t="array" ref="AY2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20" s="84" cm="1">
        <f t="array" ref="AZ2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20" s="84" cm="1">
        <f t="array" ref="BA2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20" s="84" cm="1">
        <f t="array" ref="BB2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20" s="84">
        <f>IF(SUM(Table3[[#This Row],[Column2]:[Column18]])&gt;Table3[[#This Row],[Column19]],Table3[[#This Row],[Column19]],SUM(Table3[[#This Row],[Column2]:[Column18]]))</f>
        <v>64350</v>
      </c>
      <c r="BD220" s="2">
        <f>Table3[[#This Row],[Total Spend]]/SUM(Table3[[#This Row],[Column2]:[Column18]])</f>
        <v>1</v>
      </c>
    </row>
    <row r="221" spans="1:56">
      <c r="A221" s="88" t="s">
        <v>295</v>
      </c>
      <c r="B221" s="88" t="s">
        <v>57</v>
      </c>
      <c r="C221" s="88"/>
      <c r="D221" s="85">
        <v>45566</v>
      </c>
      <c r="E221" s="86" t="s">
        <v>58</v>
      </c>
      <c r="F221" s="86">
        <f>INDEX(Definitions!$G$13:$G$17,MATCH(Table3[[#This Row],[Propensity to buy/ buyer readiness]],Definitions!$A$13:$A$17,0))</f>
        <v>250000</v>
      </c>
      <c r="G221" s="86">
        <v>4</v>
      </c>
      <c r="H221" s="86">
        <v>4</v>
      </c>
      <c r="I221" s="86">
        <v>4</v>
      </c>
      <c r="J221" s="86">
        <v>4</v>
      </c>
      <c r="K221" s="86">
        <v>5</v>
      </c>
      <c r="L221" s="86">
        <f>SUM(Table3[[#This Row],[Strategic priority segment]:[Propensity to buy/ buyer readiness]])</f>
        <v>21</v>
      </c>
      <c r="M221" s="86" t="s">
        <v>191</v>
      </c>
      <c r="N221" s="84" t="s">
        <v>76</v>
      </c>
      <c r="O221" s="84" t="s">
        <v>62</v>
      </c>
      <c r="P221" s="87" t="s">
        <v>60</v>
      </c>
      <c r="Q221" s="87"/>
      <c r="R221" s="84"/>
      <c r="S221" s="87"/>
      <c r="T221" s="87"/>
      <c r="U221" s="84">
        <v>1</v>
      </c>
      <c r="V221" s="84">
        <v>1</v>
      </c>
      <c r="W221" s="84">
        <v>1</v>
      </c>
      <c r="X221" s="84">
        <v>1</v>
      </c>
      <c r="Y221" s="84">
        <v>1</v>
      </c>
      <c r="Z221" s="84">
        <v>0</v>
      </c>
      <c r="AA221" s="84">
        <v>0</v>
      </c>
      <c r="AB221" s="84">
        <v>0</v>
      </c>
      <c r="AC221" s="84">
        <v>0</v>
      </c>
      <c r="AD221" s="84">
        <v>1</v>
      </c>
      <c r="AE221" s="84">
        <v>1</v>
      </c>
      <c r="AF221" s="84">
        <v>1</v>
      </c>
      <c r="AG221" s="84">
        <v>1</v>
      </c>
      <c r="AH221" s="84">
        <v>1</v>
      </c>
      <c r="AI221" s="84">
        <v>0</v>
      </c>
      <c r="AJ221" s="84">
        <v>1</v>
      </c>
      <c r="AK221" s="84">
        <v>0</v>
      </c>
      <c r="AL221" s="84" cm="1">
        <f t="array" ref="AL2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21" s="84" cm="1">
        <f t="array" ref="AM2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221" s="84" cm="1">
        <f t="array" ref="AN2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21" s="84" cm="1">
        <f t="array" ref="AO2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221" s="84" cm="1">
        <f t="array" ref="AP2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221" s="84" cm="1">
        <f t="array" ref="AQ2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21" s="84" cm="1">
        <f t="array" ref="AR2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21" s="84" cm="1">
        <f t="array" ref="AS2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21" s="84" cm="1">
        <f t="array" ref="AT2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21" s="84" cm="1">
        <f t="array" ref="AU2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21" s="84" cm="1">
        <f t="array" ref="AV2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21" s="84" cm="1">
        <f t="array" ref="AW2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21" s="84" cm="1">
        <f t="array" ref="AX2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21" s="84" cm="1">
        <f t="array" ref="AY2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21" s="84" cm="1">
        <f t="array" ref="AZ2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1" s="84" cm="1">
        <f t="array" ref="BA2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21" s="84" cm="1">
        <f t="array" ref="BB2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1" s="84">
        <f>IF(SUM(Table3[[#This Row],[Column2]:[Column18]])&gt;Table3[[#This Row],[Column19]],Table3[[#This Row],[Column19]],SUM(Table3[[#This Row],[Column2]:[Column18]]))</f>
        <v>250000</v>
      </c>
      <c r="BD221" s="2">
        <f>Table3[[#This Row],[Total Spend]]/SUM(Table3[[#This Row],[Column2]:[Column18]])</f>
        <v>0.6327512022272842</v>
      </c>
    </row>
    <row r="222" spans="1:56">
      <c r="A222" s="84" t="s">
        <v>296</v>
      </c>
      <c r="B222" s="84" t="s">
        <v>57</v>
      </c>
      <c r="C222" s="84" t="s">
        <v>57</v>
      </c>
      <c r="D222" s="85">
        <v>45566</v>
      </c>
      <c r="E222" s="85" t="s">
        <v>58</v>
      </c>
      <c r="F222" s="84">
        <f>INDEX(Definitions!$G$13:$G$17,MATCH(Table3[[#This Row],[Propensity to buy/ buyer readiness]],Definitions!$A$13:$A$17,0))</f>
        <v>150000</v>
      </c>
      <c r="G222" s="86">
        <v>5</v>
      </c>
      <c r="H222" s="86">
        <v>4</v>
      </c>
      <c r="I222" s="86">
        <v>4</v>
      </c>
      <c r="J222" s="86">
        <v>4</v>
      </c>
      <c r="K222" s="86">
        <v>4</v>
      </c>
      <c r="L222" s="86">
        <f>SUM(Table3[[#This Row],[Strategic priority segment]:[Propensity to buy/ buyer readiness]])</f>
        <v>21</v>
      </c>
      <c r="M222" s="86" t="s">
        <v>191</v>
      </c>
      <c r="N222" s="84" t="s">
        <v>135</v>
      </c>
      <c r="O222" s="84" t="s">
        <v>61</v>
      </c>
      <c r="P222" s="87"/>
      <c r="Q222" s="87"/>
      <c r="R222" s="84"/>
      <c r="S222" s="84"/>
      <c r="T222" s="87"/>
      <c r="U222" s="84">
        <v>1</v>
      </c>
      <c r="V222" s="84">
        <v>0</v>
      </c>
      <c r="W222" s="84">
        <v>0</v>
      </c>
      <c r="X222" s="84">
        <v>0</v>
      </c>
      <c r="Y222" s="84">
        <v>0</v>
      </c>
      <c r="Z222" s="84">
        <v>1</v>
      </c>
      <c r="AA222" s="84">
        <v>1</v>
      </c>
      <c r="AB222" s="84">
        <v>1</v>
      </c>
      <c r="AC222" s="84">
        <v>1</v>
      </c>
      <c r="AD222" s="84">
        <v>0</v>
      </c>
      <c r="AE222" s="84">
        <v>0</v>
      </c>
      <c r="AF222" s="84">
        <v>0</v>
      </c>
      <c r="AG222" s="84">
        <v>0</v>
      </c>
      <c r="AH222" s="84">
        <v>1</v>
      </c>
      <c r="AI222" s="84">
        <v>1</v>
      </c>
      <c r="AJ222" s="84">
        <v>1</v>
      </c>
      <c r="AK222" s="84">
        <v>1</v>
      </c>
      <c r="AL222" s="84" cm="1">
        <f t="array" ref="AL2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22" s="84" cm="1">
        <f t="array" ref="AM2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2" s="84" cm="1">
        <f t="array" ref="AN2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2" s="84" cm="1">
        <f t="array" ref="AO2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2" s="84" cm="1">
        <f t="array" ref="AP2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2" s="84" cm="1">
        <f t="array" ref="AQ2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22" s="84" cm="1">
        <f t="array" ref="AR2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22" s="84" cm="1">
        <f t="array" ref="AS2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22" s="84" cm="1">
        <f t="array" ref="AT2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22" s="84" cm="1">
        <f t="array" ref="AU2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2" s="84" cm="1">
        <f t="array" ref="AV2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2" s="84" cm="1">
        <f t="array" ref="AW2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2" s="84" cm="1">
        <f t="array" ref="AX2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2" s="84" cm="1">
        <f t="array" ref="AY2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22" s="84" cm="1">
        <f t="array" ref="AZ2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22" s="84" cm="1">
        <f t="array" ref="BA2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22" s="84" cm="1">
        <f t="array" ref="BB2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22" s="84">
        <f>IF(SUM(Table3[[#This Row],[Column2]:[Column18]])&gt;Table3[[#This Row],[Column19]],Table3[[#This Row],[Column19]],SUM(Table3[[#This Row],[Column2]:[Column18]]))</f>
        <v>150000</v>
      </c>
      <c r="BD222" s="2">
        <f>Table3[[#This Row],[Total Spend]]/SUM(Table3[[#This Row],[Column2]:[Column18]])</f>
        <v>0.73260073260073255</v>
      </c>
    </row>
    <row r="223" spans="1:56" ht="18" customHeight="1">
      <c r="A223" s="84" t="s">
        <v>297</v>
      </c>
      <c r="B223" s="84" t="s">
        <v>57</v>
      </c>
      <c r="C223" s="84"/>
      <c r="D223" s="85">
        <v>45566</v>
      </c>
      <c r="E223" s="85" t="s">
        <v>92</v>
      </c>
      <c r="F223" s="84">
        <f>INDEX(Definitions!$G$13:$G$17,MATCH(Table3[[#This Row],[Propensity to buy/ buyer readiness]],Definitions!$A$13:$A$17,0))</f>
        <v>50000</v>
      </c>
      <c r="G223" s="86">
        <v>5</v>
      </c>
      <c r="H223" s="86">
        <v>5</v>
      </c>
      <c r="I223" s="86">
        <v>4</v>
      </c>
      <c r="J223" s="86">
        <v>4</v>
      </c>
      <c r="K223" s="86">
        <v>3</v>
      </c>
      <c r="L223" s="86">
        <f>SUM(Table3[[#This Row],[Strategic priority segment]:[Propensity to buy/ buyer readiness]])</f>
        <v>21</v>
      </c>
      <c r="M223" s="86" t="s">
        <v>102</v>
      </c>
      <c r="N223" s="84" t="s">
        <v>61</v>
      </c>
      <c r="O223" s="84" t="s">
        <v>264</v>
      </c>
      <c r="P223" s="87"/>
      <c r="Q223" s="87"/>
      <c r="R223" s="84"/>
      <c r="S223" s="84"/>
      <c r="T223" s="87"/>
      <c r="U223" s="84">
        <v>1</v>
      </c>
      <c r="V223" s="84">
        <v>0</v>
      </c>
      <c r="W223" s="84">
        <v>0</v>
      </c>
      <c r="X223" s="84">
        <v>0</v>
      </c>
      <c r="Y223" s="84">
        <v>0</v>
      </c>
      <c r="Z223" s="84">
        <v>1</v>
      </c>
      <c r="AA223" s="84">
        <v>1</v>
      </c>
      <c r="AB223" s="84">
        <v>1</v>
      </c>
      <c r="AC223" s="84">
        <v>1</v>
      </c>
      <c r="AD223" s="84">
        <v>0</v>
      </c>
      <c r="AE223" s="84">
        <v>0</v>
      </c>
      <c r="AF223" s="84">
        <v>0</v>
      </c>
      <c r="AG223" s="84">
        <v>0</v>
      </c>
      <c r="AH223" s="84">
        <v>0</v>
      </c>
      <c r="AI223" s="84">
        <v>0</v>
      </c>
      <c r="AJ223" s="84">
        <v>0</v>
      </c>
      <c r="AK223" s="84">
        <v>0</v>
      </c>
      <c r="AL223" s="84" cm="1">
        <f t="array" ref="AL2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23" s="84" cm="1">
        <f t="array" ref="AM2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3" s="84" cm="1">
        <f t="array" ref="AN2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3" s="84" cm="1">
        <f t="array" ref="AO2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3" s="84" cm="1">
        <f t="array" ref="AP2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3" s="84" cm="1">
        <f t="array" ref="AQ2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23" s="84" cm="1">
        <f t="array" ref="AR2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23" s="84" cm="1">
        <f t="array" ref="AS2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23" s="84" cm="1">
        <f t="array" ref="AT2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23" s="84" cm="1">
        <f t="array" ref="AU2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3" s="84" cm="1">
        <f t="array" ref="AV2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3" s="84" cm="1">
        <f t="array" ref="AW2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3" s="84" cm="1">
        <f t="array" ref="AX2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3" s="84" cm="1">
        <f t="array" ref="AY2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3" s="84" cm="1">
        <f t="array" ref="AZ2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3" s="84" cm="1">
        <f t="array" ref="BA2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3" s="84" cm="1">
        <f t="array" ref="BB2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3" s="84">
        <f>IF(SUM(Table3[[#This Row],[Column2]:[Column18]])&gt;Table3[[#This Row],[Column19]],Table3[[#This Row],[Column19]],SUM(Table3[[#This Row],[Column2]:[Column18]]))</f>
        <v>50000</v>
      </c>
      <c r="BD223" s="2">
        <f>Table3[[#This Row],[Total Spend]]/SUM(Table3[[#This Row],[Column2]:[Column18]])</f>
        <v>0.49164208456243852</v>
      </c>
    </row>
    <row r="224" spans="1:56">
      <c r="A224" s="84" t="s">
        <v>298</v>
      </c>
      <c r="B224" s="84" t="s">
        <v>57</v>
      </c>
      <c r="C224" s="84"/>
      <c r="D224" s="85">
        <v>45566</v>
      </c>
      <c r="E224" s="85" t="s">
        <v>92</v>
      </c>
      <c r="F224" s="84">
        <f>INDEX(Definitions!$G$13:$G$17,MATCH(Table3[[#This Row],[Propensity to buy/ buyer readiness]],Definitions!$A$13:$A$17,0))</f>
        <v>50000</v>
      </c>
      <c r="G224" s="86">
        <v>5</v>
      </c>
      <c r="H224" s="86">
        <v>5</v>
      </c>
      <c r="I224" s="86">
        <v>4</v>
      </c>
      <c r="J224" s="86">
        <v>4</v>
      </c>
      <c r="K224" s="86">
        <v>3</v>
      </c>
      <c r="L224" s="86">
        <f>SUM(Table3[[#This Row],[Strategic priority segment]:[Propensity to buy/ buyer readiness]])</f>
        <v>21</v>
      </c>
      <c r="M224" s="86" t="s">
        <v>102</v>
      </c>
      <c r="N224" s="84" t="s">
        <v>61</v>
      </c>
      <c r="O224" s="84"/>
      <c r="P224" s="87"/>
      <c r="Q224" s="87"/>
      <c r="R224" s="84"/>
      <c r="S224" s="84"/>
      <c r="T224" s="84"/>
      <c r="U224" s="84">
        <v>1</v>
      </c>
      <c r="V224" s="84">
        <v>0</v>
      </c>
      <c r="W224" s="84">
        <v>0</v>
      </c>
      <c r="X224" s="84">
        <v>0</v>
      </c>
      <c r="Y224" s="84">
        <v>0</v>
      </c>
      <c r="Z224" s="84">
        <v>1</v>
      </c>
      <c r="AA224" s="84">
        <v>1</v>
      </c>
      <c r="AB224" s="84">
        <v>1</v>
      </c>
      <c r="AC224" s="84">
        <v>1</v>
      </c>
      <c r="AD224" s="84">
        <v>0</v>
      </c>
      <c r="AE224" s="84">
        <v>0</v>
      </c>
      <c r="AF224" s="84">
        <v>0</v>
      </c>
      <c r="AG224" s="84">
        <v>0</v>
      </c>
      <c r="AH224" s="84">
        <v>0</v>
      </c>
      <c r="AI224" s="84">
        <v>0</v>
      </c>
      <c r="AJ224" s="84">
        <v>0</v>
      </c>
      <c r="AK224" s="84">
        <v>0</v>
      </c>
      <c r="AL224" s="84" cm="1">
        <f t="array" ref="AL2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24" s="84" cm="1">
        <f t="array" ref="AM2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4" s="84" cm="1">
        <f t="array" ref="AN2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4" s="84" cm="1">
        <f t="array" ref="AO2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4" s="84" cm="1">
        <f t="array" ref="AP2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4" s="84" cm="1">
        <f t="array" ref="AQ2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24" s="84" cm="1">
        <f t="array" ref="AR2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24" s="84" cm="1">
        <f t="array" ref="AS2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24" s="84" cm="1">
        <f t="array" ref="AT2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24" s="84" cm="1">
        <f t="array" ref="AU2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4" s="84" cm="1">
        <f t="array" ref="AV2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4" s="84" cm="1">
        <f t="array" ref="AW2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4" s="84" cm="1">
        <f t="array" ref="AX2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4" s="84" cm="1">
        <f t="array" ref="AY2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4" s="84" cm="1">
        <f t="array" ref="AZ2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4" s="84" cm="1">
        <f t="array" ref="BA2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4" s="84" cm="1">
        <f t="array" ref="BB2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4" s="84">
        <f>IF(SUM(Table3[[#This Row],[Column2]:[Column18]])&gt;Table3[[#This Row],[Column19]],Table3[[#This Row],[Column19]],SUM(Table3[[#This Row],[Column2]:[Column18]]))</f>
        <v>50000</v>
      </c>
      <c r="BD224" s="2">
        <f>Table3[[#This Row],[Total Spend]]/SUM(Table3[[#This Row],[Column2]:[Column18]])</f>
        <v>0.49164208456243852</v>
      </c>
    </row>
    <row r="225" spans="1:56">
      <c r="A225" s="84" t="s">
        <v>299</v>
      </c>
      <c r="B225" s="84" t="s">
        <v>57</v>
      </c>
      <c r="C225" s="84" t="s">
        <v>57</v>
      </c>
      <c r="D225" s="85">
        <v>45566</v>
      </c>
      <c r="E225" s="85" t="s">
        <v>92</v>
      </c>
      <c r="F225" s="84">
        <f>INDEX(Definitions!$G$13:$G$17,MATCH(Table3[[#This Row],[Propensity to buy/ buyer readiness]],Definitions!$A$13:$A$17,0))</f>
        <v>50000</v>
      </c>
      <c r="G225" s="86">
        <v>5</v>
      </c>
      <c r="H225" s="86">
        <v>5</v>
      </c>
      <c r="I225" s="86">
        <v>4</v>
      </c>
      <c r="J225" s="86">
        <v>4</v>
      </c>
      <c r="K225" s="86">
        <v>3</v>
      </c>
      <c r="L225" s="86">
        <f>SUM(Table3[[#This Row],[Strategic priority segment]:[Propensity to buy/ buyer readiness]])</f>
        <v>21</v>
      </c>
      <c r="M225" s="86" t="s">
        <v>102</v>
      </c>
      <c r="N225" s="84" t="s">
        <v>61</v>
      </c>
      <c r="O225" s="84"/>
      <c r="P225" s="87"/>
      <c r="Q225" s="87"/>
      <c r="R225" s="84"/>
      <c r="S225" s="84"/>
      <c r="T225" s="87"/>
      <c r="U225" s="84">
        <v>1</v>
      </c>
      <c r="V225" s="84">
        <v>0</v>
      </c>
      <c r="W225" s="84">
        <v>0</v>
      </c>
      <c r="X225" s="84">
        <v>0</v>
      </c>
      <c r="Y225" s="84">
        <v>0</v>
      </c>
      <c r="Z225" s="84">
        <v>1</v>
      </c>
      <c r="AA225" s="84">
        <v>1</v>
      </c>
      <c r="AB225" s="84">
        <v>1</v>
      </c>
      <c r="AC225" s="84">
        <v>1</v>
      </c>
      <c r="AD225" s="84">
        <v>0</v>
      </c>
      <c r="AE225" s="84">
        <v>0</v>
      </c>
      <c r="AF225" s="84">
        <v>0</v>
      </c>
      <c r="AG225" s="84">
        <v>0</v>
      </c>
      <c r="AH225" s="84">
        <v>0</v>
      </c>
      <c r="AI225" s="84">
        <v>0</v>
      </c>
      <c r="AJ225" s="84">
        <v>0</v>
      </c>
      <c r="AK225" s="84">
        <v>0</v>
      </c>
      <c r="AL225" s="84" cm="1">
        <f t="array" ref="AL2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25" s="84" cm="1">
        <f t="array" ref="AM2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5" s="84" cm="1">
        <f t="array" ref="AN2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5" s="84" cm="1">
        <f t="array" ref="AO2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5" s="84" cm="1">
        <f t="array" ref="AP2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5" s="84" cm="1">
        <f t="array" ref="AQ2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25" s="84" cm="1">
        <f t="array" ref="AR2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25" s="84" cm="1">
        <f t="array" ref="AS2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25" s="84" cm="1">
        <f t="array" ref="AT2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25" s="84" cm="1">
        <f t="array" ref="AU2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5" s="84" cm="1">
        <f t="array" ref="AV2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5" s="84" cm="1">
        <f t="array" ref="AW2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5" s="84" cm="1">
        <f t="array" ref="AX2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5" s="84" cm="1">
        <f t="array" ref="AY2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5" s="84" cm="1">
        <f t="array" ref="AZ2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5" s="84" cm="1">
        <f t="array" ref="BA2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5" s="84" cm="1">
        <f t="array" ref="BB2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5" s="84">
        <f>IF(SUM(Table3[[#This Row],[Column2]:[Column18]])&gt;Table3[[#This Row],[Column19]],Table3[[#This Row],[Column19]],SUM(Table3[[#This Row],[Column2]:[Column18]]))</f>
        <v>50000</v>
      </c>
      <c r="BD225" s="2">
        <f>Table3[[#This Row],[Total Spend]]/SUM(Table3[[#This Row],[Column2]:[Column18]])</f>
        <v>0.49164208456243852</v>
      </c>
    </row>
    <row r="226" spans="1:56">
      <c r="A226" s="84" t="s">
        <v>300</v>
      </c>
      <c r="B226" s="84"/>
      <c r="C226" s="84"/>
      <c r="D226" s="85">
        <v>45566</v>
      </c>
      <c r="E226" s="85" t="s">
        <v>58</v>
      </c>
      <c r="F226" s="84">
        <f>INDEX(Definitions!$G$13:$G$17,MATCH(Table3[[#This Row],[Propensity to buy/ buyer readiness]],Definitions!$A$13:$A$17,0))</f>
        <v>250000</v>
      </c>
      <c r="G226" s="86">
        <v>5</v>
      </c>
      <c r="H226" s="86">
        <v>5</v>
      </c>
      <c r="I226" s="86">
        <v>2</v>
      </c>
      <c r="J226" s="86">
        <v>4</v>
      </c>
      <c r="K226" s="86">
        <v>5</v>
      </c>
      <c r="L226" s="86">
        <f>SUM(Table3[[#This Row],[Strategic priority segment]:[Propensity to buy/ buyer readiness]])</f>
        <v>21</v>
      </c>
      <c r="M226" s="86" t="s">
        <v>102</v>
      </c>
      <c r="N226" s="84" t="s">
        <v>61</v>
      </c>
      <c r="O226" s="84"/>
      <c r="P226" s="87"/>
      <c r="Q226" s="87"/>
      <c r="R226" s="84"/>
      <c r="S226" s="87"/>
      <c r="T226" s="87"/>
      <c r="U226" s="84">
        <v>1</v>
      </c>
      <c r="V226" s="84">
        <v>0</v>
      </c>
      <c r="W226" s="84">
        <v>0</v>
      </c>
      <c r="X226" s="84">
        <v>0</v>
      </c>
      <c r="Y226" s="84">
        <v>0</v>
      </c>
      <c r="Z226" s="84">
        <v>1</v>
      </c>
      <c r="AA226" s="84">
        <v>1</v>
      </c>
      <c r="AB226" s="84">
        <v>1</v>
      </c>
      <c r="AC226" s="84">
        <v>1</v>
      </c>
      <c r="AD226" s="84">
        <v>0</v>
      </c>
      <c r="AE226" s="84">
        <v>0</v>
      </c>
      <c r="AF226" s="84">
        <v>0</v>
      </c>
      <c r="AG226" s="84">
        <v>0</v>
      </c>
      <c r="AH226" s="84">
        <v>0</v>
      </c>
      <c r="AI226" s="84">
        <v>0</v>
      </c>
      <c r="AJ226" s="84">
        <v>0</v>
      </c>
      <c r="AK226" s="84">
        <v>0</v>
      </c>
      <c r="AL226" s="84" cm="1">
        <f t="array" ref="AL2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26" s="84" cm="1">
        <f t="array" ref="AM2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6" s="84" cm="1">
        <f t="array" ref="AN2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6" s="84" cm="1">
        <f t="array" ref="AO2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6" s="84" cm="1">
        <f t="array" ref="AP2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6" s="84" cm="1">
        <f t="array" ref="AQ2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26" s="84" cm="1">
        <f t="array" ref="AR2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26" s="84" cm="1">
        <f t="array" ref="AS2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26" s="84" cm="1">
        <f t="array" ref="AT2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26" s="84" cm="1">
        <f t="array" ref="AU2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6" s="84" cm="1">
        <f t="array" ref="AV2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6" s="84" cm="1">
        <f t="array" ref="AW2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6" s="84" cm="1">
        <f t="array" ref="AX2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6" s="84" cm="1">
        <f t="array" ref="AY2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6" s="84" cm="1">
        <f t="array" ref="AZ2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6" s="84" cm="1">
        <f t="array" ref="BA2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6" s="84" cm="1">
        <f t="array" ref="BB2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6" s="84">
        <f>IF(SUM(Table3[[#This Row],[Column2]:[Column18]])&gt;Table3[[#This Row],[Column19]],Table3[[#This Row],[Column19]],SUM(Table3[[#This Row],[Column2]:[Column18]]))</f>
        <v>140400</v>
      </c>
      <c r="BD226" s="2">
        <f>Table3[[#This Row],[Total Spend]]/SUM(Table3[[#This Row],[Column2]:[Column18]])</f>
        <v>1</v>
      </c>
    </row>
    <row r="227" spans="1:56">
      <c r="A227" s="84" t="s">
        <v>301</v>
      </c>
      <c r="B227" s="84" t="s">
        <v>57</v>
      </c>
      <c r="C227" s="84"/>
      <c r="D227" s="85">
        <v>45566</v>
      </c>
      <c r="E227" s="85" t="s">
        <v>92</v>
      </c>
      <c r="F227" s="84">
        <f>INDEX(Definitions!$G$13:$G$17,MATCH(Table3[[#This Row],[Propensity to buy/ buyer readiness]],Definitions!$A$13:$A$17,0))</f>
        <v>50000</v>
      </c>
      <c r="G227" s="86">
        <v>5</v>
      </c>
      <c r="H227" s="86">
        <v>5</v>
      </c>
      <c r="I227" s="86">
        <v>4</v>
      </c>
      <c r="J227" s="86">
        <v>4</v>
      </c>
      <c r="K227" s="86">
        <v>3</v>
      </c>
      <c r="L227" s="86">
        <f>SUM(Table3[[#This Row],[Strategic priority segment]:[Propensity to buy/ buyer readiness]])</f>
        <v>21</v>
      </c>
      <c r="M227" s="86" t="s">
        <v>102</v>
      </c>
      <c r="N227" s="84" t="s">
        <v>61</v>
      </c>
      <c r="O227" s="84" t="s">
        <v>135</v>
      </c>
      <c r="P227" s="87"/>
      <c r="Q227" s="87"/>
      <c r="R227" s="84"/>
      <c r="S227" s="84"/>
      <c r="T227" s="87"/>
      <c r="U227" s="84">
        <v>1</v>
      </c>
      <c r="V227" s="84">
        <v>0</v>
      </c>
      <c r="W227" s="84">
        <v>0</v>
      </c>
      <c r="X227" s="84">
        <v>0</v>
      </c>
      <c r="Y227" s="84">
        <v>0</v>
      </c>
      <c r="Z227" s="84">
        <v>1</v>
      </c>
      <c r="AA227" s="84">
        <v>1</v>
      </c>
      <c r="AB227" s="84">
        <v>1</v>
      </c>
      <c r="AC227" s="84">
        <v>1</v>
      </c>
      <c r="AD227" s="84">
        <v>0</v>
      </c>
      <c r="AE227" s="84">
        <v>0</v>
      </c>
      <c r="AF227" s="84">
        <v>0</v>
      </c>
      <c r="AG227" s="84">
        <v>0</v>
      </c>
      <c r="AH227" s="84">
        <v>1</v>
      </c>
      <c r="AI227" s="84">
        <v>1</v>
      </c>
      <c r="AJ227" s="84">
        <v>1</v>
      </c>
      <c r="AK227" s="84">
        <v>1</v>
      </c>
      <c r="AL227" s="84" cm="1">
        <f t="array" ref="AL2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27" s="84" cm="1">
        <f t="array" ref="AM2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7" s="84" cm="1">
        <f t="array" ref="AN2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7" s="84" cm="1">
        <f t="array" ref="AO2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7" s="84" cm="1">
        <f t="array" ref="AP2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7" s="84" cm="1">
        <f t="array" ref="AQ2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27" s="84" cm="1">
        <f t="array" ref="AR2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27" s="84" cm="1">
        <f t="array" ref="AS2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27" s="84" cm="1">
        <f t="array" ref="AT2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27" s="84" cm="1">
        <f t="array" ref="AU2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7" s="84" cm="1">
        <f t="array" ref="AV2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7" s="84" cm="1">
        <f t="array" ref="AW2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7" s="84" cm="1">
        <f t="array" ref="AX2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7" s="84" cm="1">
        <f t="array" ref="AY2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27" s="84" cm="1">
        <f t="array" ref="AZ2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27" s="84" cm="1">
        <f t="array" ref="BA2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27" s="84" cm="1">
        <f t="array" ref="BB2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27" s="84">
        <f>IF(SUM(Table3[[#This Row],[Column2]:[Column18]])&gt;Table3[[#This Row],[Column19]],Table3[[#This Row],[Column19]],SUM(Table3[[#This Row],[Column2]:[Column18]]))</f>
        <v>50000</v>
      </c>
      <c r="BD227" s="2">
        <f>Table3[[#This Row],[Total Spend]]/SUM(Table3[[#This Row],[Column2]:[Column18]])</f>
        <v>0.33772374197906113</v>
      </c>
    </row>
    <row r="228" spans="1:56">
      <c r="A228" s="84" t="s">
        <v>302</v>
      </c>
      <c r="B228" s="84" t="s">
        <v>57</v>
      </c>
      <c r="C228" s="84"/>
      <c r="D228" s="85">
        <v>45566</v>
      </c>
      <c r="E228" s="85" t="s">
        <v>92</v>
      </c>
      <c r="F228" s="84">
        <f>INDEX(Definitions!$G$13:$G$17,MATCH(Table3[[#This Row],[Propensity to buy/ buyer readiness]],Definitions!$A$13:$A$17,0))</f>
        <v>150000</v>
      </c>
      <c r="G228" s="86">
        <v>5</v>
      </c>
      <c r="H228" s="86">
        <v>4</v>
      </c>
      <c r="I228" s="86">
        <v>4</v>
      </c>
      <c r="J228" s="86">
        <v>4</v>
      </c>
      <c r="K228" s="86">
        <v>4</v>
      </c>
      <c r="L228" s="86">
        <f>SUM(Table3[[#This Row],[Strategic priority segment]:[Propensity to buy/ buyer readiness]])</f>
        <v>21</v>
      </c>
      <c r="M228" s="86" t="s">
        <v>59</v>
      </c>
      <c r="N228" s="84" t="s">
        <v>63</v>
      </c>
      <c r="O228" s="84" t="s">
        <v>60</v>
      </c>
      <c r="P228" s="87"/>
      <c r="Q228" s="87"/>
      <c r="R228" s="84"/>
      <c r="S228" s="84"/>
      <c r="T228" s="87"/>
      <c r="U228" s="84">
        <v>1</v>
      </c>
      <c r="V228" s="84">
        <v>1</v>
      </c>
      <c r="W228" s="84">
        <v>1</v>
      </c>
      <c r="X228" s="84">
        <v>1</v>
      </c>
      <c r="Y228" s="84">
        <v>1</v>
      </c>
      <c r="Z228" s="84">
        <v>0</v>
      </c>
      <c r="AA228" s="84">
        <v>1</v>
      </c>
      <c r="AB228" s="84">
        <v>0</v>
      </c>
      <c r="AC228" s="84">
        <v>0</v>
      </c>
      <c r="AD228" s="84">
        <v>1</v>
      </c>
      <c r="AE228" s="84">
        <v>1</v>
      </c>
      <c r="AF228" s="84">
        <v>1</v>
      </c>
      <c r="AG228" s="84">
        <v>0</v>
      </c>
      <c r="AH228" s="84">
        <v>0</v>
      </c>
      <c r="AI228" s="84">
        <v>0</v>
      </c>
      <c r="AJ228" s="84">
        <v>0</v>
      </c>
      <c r="AK228" s="84">
        <v>0</v>
      </c>
      <c r="AL228" s="84" cm="1">
        <f t="array" ref="AL2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28" s="84" cm="1">
        <f t="array" ref="AM2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28" s="84" cm="1">
        <f t="array" ref="AN2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28" s="84" cm="1">
        <f t="array" ref="AO2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28" s="84" cm="1">
        <f t="array" ref="AP2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28" s="84" cm="1">
        <f t="array" ref="AQ2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28" s="84" cm="1">
        <f t="array" ref="AR2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28" s="84" cm="1">
        <f t="array" ref="AS2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28" s="84" cm="1">
        <f t="array" ref="AT2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28" s="84" cm="1">
        <f t="array" ref="AU2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28" s="84" cm="1">
        <f t="array" ref="AV2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28" s="84" cm="1">
        <f t="array" ref="AW2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28" s="84" cm="1">
        <f t="array" ref="AX2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8" s="84" cm="1">
        <f t="array" ref="AY2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8" s="84" cm="1">
        <f t="array" ref="AZ2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8" s="84" cm="1">
        <f t="array" ref="BA2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8" s="84" cm="1">
        <f t="array" ref="BB2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8" s="84">
        <f>IF(SUM(Table3[[#This Row],[Column2]:[Column18]])&gt;Table3[[#This Row],[Column19]],Table3[[#This Row],[Column19]],SUM(Table3[[#This Row],[Column2]:[Column18]]))</f>
        <v>150000</v>
      </c>
      <c r="BD228" s="2">
        <f>Table3[[#This Row],[Total Spend]]/SUM(Table3[[#This Row],[Column2]:[Column18]])</f>
        <v>0.62073246430788331</v>
      </c>
    </row>
    <row r="229" spans="1:56">
      <c r="A229" s="84" t="s">
        <v>303</v>
      </c>
      <c r="B229" s="84"/>
      <c r="C229" s="84"/>
      <c r="D229" s="85">
        <v>45566</v>
      </c>
      <c r="E229" s="85" t="s">
        <v>92</v>
      </c>
      <c r="F229" s="84">
        <f>INDEX(Definitions!$G$13:$G$17,MATCH(Table3[[#This Row],[Propensity to buy/ buyer readiness]],Definitions!$A$13:$A$17,0))</f>
        <v>150000</v>
      </c>
      <c r="G229" s="86">
        <v>5</v>
      </c>
      <c r="H229" s="86">
        <v>5</v>
      </c>
      <c r="I229" s="86">
        <v>3</v>
      </c>
      <c r="J229" s="86">
        <v>4</v>
      </c>
      <c r="K229" s="86">
        <v>4</v>
      </c>
      <c r="L229" s="86">
        <f>SUM(Table3[[#This Row],[Strategic priority segment]:[Propensity to buy/ buyer readiness]])</f>
        <v>21</v>
      </c>
      <c r="M229" s="86" t="s">
        <v>102</v>
      </c>
      <c r="N229" s="84" t="s">
        <v>61</v>
      </c>
      <c r="O229" s="87" t="s">
        <v>264</v>
      </c>
      <c r="P229" s="87"/>
      <c r="Q229" s="87"/>
      <c r="R229" s="87"/>
      <c r="S229" s="87"/>
      <c r="T229" s="87"/>
      <c r="U229" s="84">
        <v>1</v>
      </c>
      <c r="V229" s="84">
        <v>0</v>
      </c>
      <c r="W229" s="84">
        <v>0</v>
      </c>
      <c r="X229" s="84">
        <v>0</v>
      </c>
      <c r="Y229" s="84">
        <v>0</v>
      </c>
      <c r="Z229" s="84">
        <v>1</v>
      </c>
      <c r="AA229" s="84">
        <v>1</v>
      </c>
      <c r="AB229" s="84">
        <v>1</v>
      </c>
      <c r="AC229" s="84">
        <v>1</v>
      </c>
      <c r="AD229" s="84">
        <v>0</v>
      </c>
      <c r="AE229" s="84">
        <v>0</v>
      </c>
      <c r="AF229" s="84">
        <v>0</v>
      </c>
      <c r="AG229" s="84">
        <v>0</v>
      </c>
      <c r="AH229" s="84">
        <v>0</v>
      </c>
      <c r="AI229" s="84">
        <v>0</v>
      </c>
      <c r="AJ229" s="84">
        <v>0</v>
      </c>
      <c r="AK229" s="84">
        <v>0</v>
      </c>
      <c r="AL229" s="84" cm="1">
        <f t="array" ref="AL2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29" s="84" cm="1">
        <f t="array" ref="AM2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29" s="84" cm="1">
        <f t="array" ref="AN2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29" s="84" cm="1">
        <f t="array" ref="AO2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29" s="84" cm="1">
        <f t="array" ref="AP2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29" s="84" cm="1">
        <f t="array" ref="AQ2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29" s="84" cm="1">
        <f t="array" ref="AR2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29" s="84" cm="1">
        <f t="array" ref="AS2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29" s="84" cm="1">
        <f t="array" ref="AT2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29" s="84" cm="1">
        <f t="array" ref="AU2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29" s="84" cm="1">
        <f t="array" ref="AV2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29" s="84" cm="1">
        <f t="array" ref="AW2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29" s="84" cm="1">
        <f t="array" ref="AX2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29" s="84" cm="1">
        <f t="array" ref="AY2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29" s="84" cm="1">
        <f t="array" ref="AZ2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29" s="84" cm="1">
        <f t="array" ref="BA2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29" s="84" cm="1">
        <f t="array" ref="BB2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29" s="84">
        <f>IF(SUM(Table3[[#This Row],[Column2]:[Column18]])&gt;Table3[[#This Row],[Column19]],Table3[[#This Row],[Column19]],SUM(Table3[[#This Row],[Column2]:[Column18]]))</f>
        <v>101700</v>
      </c>
      <c r="BD229" s="2">
        <f>Table3[[#This Row],[Total Spend]]/SUM(Table3[[#This Row],[Column2]:[Column18]])</f>
        <v>1</v>
      </c>
    </row>
    <row r="230" spans="1:56">
      <c r="A230" s="84" t="s">
        <v>304</v>
      </c>
      <c r="B230" s="84" t="s">
        <v>57</v>
      </c>
      <c r="C230" s="84" t="s">
        <v>57</v>
      </c>
      <c r="D230" s="85">
        <v>45566</v>
      </c>
      <c r="E230" s="85" t="s">
        <v>92</v>
      </c>
      <c r="F230" s="84">
        <f>INDEX(Definitions!$G$13:$G$17,MATCH(Table3[[#This Row],[Propensity to buy/ buyer readiness]],Definitions!$A$13:$A$17,0))</f>
        <v>50000</v>
      </c>
      <c r="G230" s="86">
        <v>5</v>
      </c>
      <c r="H230" s="86">
        <v>5</v>
      </c>
      <c r="I230" s="86">
        <v>4</v>
      </c>
      <c r="J230" s="86">
        <v>4</v>
      </c>
      <c r="K230" s="86">
        <v>3</v>
      </c>
      <c r="L230" s="86">
        <f>SUM(Table3[[#This Row],[Strategic priority segment]:[Propensity to buy/ buyer readiness]])</f>
        <v>21</v>
      </c>
      <c r="M230" s="86" t="s">
        <v>102</v>
      </c>
      <c r="N230" s="84" t="s">
        <v>61</v>
      </c>
      <c r="O230" s="84" t="s">
        <v>135</v>
      </c>
      <c r="P230" s="87"/>
      <c r="Q230" s="87"/>
      <c r="R230" s="84"/>
      <c r="S230" s="84"/>
      <c r="T230" s="87"/>
      <c r="U230" s="84">
        <v>1</v>
      </c>
      <c r="V230" s="84">
        <v>0</v>
      </c>
      <c r="W230" s="84">
        <v>0</v>
      </c>
      <c r="X230" s="84">
        <v>0</v>
      </c>
      <c r="Y230" s="84">
        <v>0</v>
      </c>
      <c r="Z230" s="84">
        <v>1</v>
      </c>
      <c r="AA230" s="84">
        <v>1</v>
      </c>
      <c r="AB230" s="84">
        <v>1</v>
      </c>
      <c r="AC230" s="84">
        <v>1</v>
      </c>
      <c r="AD230" s="84">
        <v>0</v>
      </c>
      <c r="AE230" s="84">
        <v>0</v>
      </c>
      <c r="AF230" s="84">
        <v>0</v>
      </c>
      <c r="AG230" s="84">
        <v>0</v>
      </c>
      <c r="AH230" s="84">
        <v>1</v>
      </c>
      <c r="AI230" s="84">
        <v>1</v>
      </c>
      <c r="AJ230" s="84">
        <v>1</v>
      </c>
      <c r="AK230" s="84">
        <v>1</v>
      </c>
      <c r="AL230" s="84" cm="1">
        <f t="array" ref="AL2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0" s="84" cm="1">
        <f t="array" ref="AM2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0" s="84" cm="1">
        <f t="array" ref="AN2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0" s="84" cm="1">
        <f t="array" ref="AO2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0" s="84" cm="1">
        <f t="array" ref="AP2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0" s="84" cm="1">
        <f t="array" ref="AQ2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0" s="84" cm="1">
        <f t="array" ref="AR2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0" s="84" cm="1">
        <f t="array" ref="AS2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0" s="84" cm="1">
        <f t="array" ref="AT2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0" s="84" cm="1">
        <f t="array" ref="AU2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30" s="84" cm="1">
        <f t="array" ref="AV2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30" s="84" cm="1">
        <f t="array" ref="AW2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30" s="84" cm="1">
        <f t="array" ref="AX2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0" s="84" cm="1">
        <f t="array" ref="AY2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30" s="84" cm="1">
        <f t="array" ref="AZ2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30" s="84" cm="1">
        <f t="array" ref="BA2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30" s="84" cm="1">
        <f t="array" ref="BB2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30" s="84">
        <f>IF(SUM(Table3[[#This Row],[Column2]:[Column18]])&gt;Table3[[#This Row],[Column19]],Table3[[#This Row],[Column19]],SUM(Table3[[#This Row],[Column2]:[Column18]]))</f>
        <v>50000</v>
      </c>
      <c r="BD230" s="2">
        <f>Table3[[#This Row],[Total Spend]]/SUM(Table3[[#This Row],[Column2]:[Column18]])</f>
        <v>0.33772374197906113</v>
      </c>
    </row>
    <row r="231" spans="1:56">
      <c r="A231" s="84" t="s">
        <v>305</v>
      </c>
      <c r="B231" s="84" t="s">
        <v>57</v>
      </c>
      <c r="C231" s="84"/>
      <c r="D231" s="85">
        <v>45566</v>
      </c>
      <c r="E231" s="85" t="s">
        <v>92</v>
      </c>
      <c r="F231" s="84">
        <f>INDEX(Definitions!$G$13:$G$17,MATCH(Table3[[#This Row],[Propensity to buy/ buyer readiness]],Definitions!$A$13:$A$17,0))</f>
        <v>50000</v>
      </c>
      <c r="G231" s="86">
        <v>5</v>
      </c>
      <c r="H231" s="86">
        <v>5</v>
      </c>
      <c r="I231" s="86">
        <v>4</v>
      </c>
      <c r="J231" s="86">
        <v>4</v>
      </c>
      <c r="K231" s="86">
        <v>3</v>
      </c>
      <c r="L231" s="86">
        <f>SUM(Table3[[#This Row],[Strategic priority segment]:[Propensity to buy/ buyer readiness]])</f>
        <v>21</v>
      </c>
      <c r="M231" s="86" t="s">
        <v>102</v>
      </c>
      <c r="N231" s="84" t="s">
        <v>61</v>
      </c>
      <c r="O231" s="84"/>
      <c r="P231" s="87"/>
      <c r="Q231" s="87"/>
      <c r="R231" s="84"/>
      <c r="S231" s="84"/>
      <c r="T231" s="87"/>
      <c r="U231" s="84">
        <v>1</v>
      </c>
      <c r="V231" s="84">
        <v>0</v>
      </c>
      <c r="W231" s="84">
        <v>0</v>
      </c>
      <c r="X231" s="84">
        <v>0</v>
      </c>
      <c r="Y231" s="84">
        <v>0</v>
      </c>
      <c r="Z231" s="84">
        <v>1</v>
      </c>
      <c r="AA231" s="84">
        <v>1</v>
      </c>
      <c r="AB231" s="84">
        <v>1</v>
      </c>
      <c r="AC231" s="84">
        <v>1</v>
      </c>
      <c r="AD231" s="84">
        <v>0</v>
      </c>
      <c r="AE231" s="84">
        <v>0</v>
      </c>
      <c r="AF231" s="84">
        <v>0</v>
      </c>
      <c r="AG231" s="84">
        <v>0</v>
      </c>
      <c r="AH231" s="84">
        <v>0</v>
      </c>
      <c r="AI231" s="84">
        <v>0</v>
      </c>
      <c r="AJ231" s="84">
        <v>0</v>
      </c>
      <c r="AK231" s="84">
        <v>0</v>
      </c>
      <c r="AL231" s="84" cm="1">
        <f t="array" ref="AL2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1" s="84" cm="1">
        <f t="array" ref="AM2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1" s="84" cm="1">
        <f t="array" ref="AN2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1" s="84" cm="1">
        <f t="array" ref="AO2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1" s="84" cm="1">
        <f t="array" ref="AP2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1" s="84" cm="1">
        <f t="array" ref="AQ2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1" s="84" cm="1">
        <f t="array" ref="AR2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1" s="84" cm="1">
        <f t="array" ref="AS2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1" s="84" cm="1">
        <f t="array" ref="AT2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1" s="84" cm="1">
        <f t="array" ref="AU2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31" s="84" cm="1">
        <f t="array" ref="AV2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31" s="84" cm="1">
        <f t="array" ref="AW2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31" s="84" cm="1">
        <f t="array" ref="AX2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1" s="84" cm="1">
        <f t="array" ref="AY2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1" s="84" cm="1">
        <f t="array" ref="AZ2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1" s="84" cm="1">
        <f t="array" ref="BA2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1" s="84" cm="1">
        <f t="array" ref="BB2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1" s="84">
        <f>IF(SUM(Table3[[#This Row],[Column2]:[Column18]])&gt;Table3[[#This Row],[Column19]],Table3[[#This Row],[Column19]],SUM(Table3[[#This Row],[Column2]:[Column18]]))</f>
        <v>50000</v>
      </c>
      <c r="BD231" s="2">
        <f>Table3[[#This Row],[Total Spend]]/SUM(Table3[[#This Row],[Column2]:[Column18]])</f>
        <v>0.49164208456243852</v>
      </c>
    </row>
    <row r="232" spans="1:56">
      <c r="A232" s="84" t="s">
        <v>306</v>
      </c>
      <c r="B232" s="84" t="s">
        <v>57</v>
      </c>
      <c r="C232" s="84"/>
      <c r="D232" s="85">
        <v>45566</v>
      </c>
      <c r="E232" s="85" t="s">
        <v>92</v>
      </c>
      <c r="F232" s="84">
        <f>INDEX(Definitions!$G$13:$G$17,MATCH(Table3[[#This Row],[Propensity to buy/ buyer readiness]],Definitions!$A$13:$A$17,0))</f>
        <v>50000</v>
      </c>
      <c r="G232" s="86">
        <v>5</v>
      </c>
      <c r="H232" s="86">
        <v>5</v>
      </c>
      <c r="I232" s="86">
        <v>4</v>
      </c>
      <c r="J232" s="86">
        <v>4</v>
      </c>
      <c r="K232" s="86">
        <v>3</v>
      </c>
      <c r="L232" s="86">
        <f>SUM(Table3[[#This Row],[Strategic priority segment]:[Propensity to buy/ buyer readiness]])</f>
        <v>21</v>
      </c>
      <c r="M232" s="86" t="s">
        <v>102</v>
      </c>
      <c r="N232" s="84" t="s">
        <v>61</v>
      </c>
      <c r="O232" s="84" t="s">
        <v>135</v>
      </c>
      <c r="P232" s="87"/>
      <c r="Q232" s="87"/>
      <c r="R232" s="84"/>
      <c r="S232" s="84"/>
      <c r="T232" s="87"/>
      <c r="U232" s="84">
        <v>1</v>
      </c>
      <c r="V232" s="84">
        <v>0</v>
      </c>
      <c r="W232" s="84">
        <v>0</v>
      </c>
      <c r="X232" s="84">
        <v>0</v>
      </c>
      <c r="Y232" s="84">
        <v>0</v>
      </c>
      <c r="Z232" s="84">
        <v>1</v>
      </c>
      <c r="AA232" s="84">
        <v>1</v>
      </c>
      <c r="AB232" s="84">
        <v>1</v>
      </c>
      <c r="AC232" s="84">
        <v>1</v>
      </c>
      <c r="AD232" s="84">
        <v>0</v>
      </c>
      <c r="AE232" s="84">
        <v>0</v>
      </c>
      <c r="AF232" s="84">
        <v>0</v>
      </c>
      <c r="AG232" s="84">
        <v>0</v>
      </c>
      <c r="AH232" s="84">
        <v>1</v>
      </c>
      <c r="AI232" s="84">
        <v>1</v>
      </c>
      <c r="AJ232" s="84">
        <v>1</v>
      </c>
      <c r="AK232" s="84">
        <v>1</v>
      </c>
      <c r="AL232" s="84" cm="1">
        <f t="array" ref="AL2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2" s="84" cm="1">
        <f t="array" ref="AM2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2" s="84" cm="1">
        <f t="array" ref="AN2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2" s="84" cm="1">
        <f t="array" ref="AO2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2" s="84" cm="1">
        <f t="array" ref="AP2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2" s="84" cm="1">
        <f t="array" ref="AQ2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2" s="84" cm="1">
        <f t="array" ref="AR2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2" s="84" cm="1">
        <f t="array" ref="AS2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2" s="84" cm="1">
        <f t="array" ref="AT2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2" s="84" cm="1">
        <f t="array" ref="AU2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32" s="84" cm="1">
        <f t="array" ref="AV2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32" s="84" cm="1">
        <f t="array" ref="AW2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32" s="84" cm="1">
        <f t="array" ref="AX2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2" s="84" cm="1">
        <f t="array" ref="AY2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32" s="84" cm="1">
        <f t="array" ref="AZ2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32" s="84" cm="1">
        <f t="array" ref="BA2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32" s="84" cm="1">
        <f t="array" ref="BB2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32" s="84">
        <f>IF(SUM(Table3[[#This Row],[Column2]:[Column18]])&gt;Table3[[#This Row],[Column19]],Table3[[#This Row],[Column19]],SUM(Table3[[#This Row],[Column2]:[Column18]]))</f>
        <v>50000</v>
      </c>
      <c r="BD232" s="2">
        <f>Table3[[#This Row],[Total Spend]]/SUM(Table3[[#This Row],[Column2]:[Column18]])</f>
        <v>0.33772374197906113</v>
      </c>
    </row>
    <row r="233" spans="1:56">
      <c r="A233" s="84" t="s">
        <v>307</v>
      </c>
      <c r="B233" s="84" t="s">
        <v>57</v>
      </c>
      <c r="C233" s="84"/>
      <c r="D233" s="85">
        <v>45566</v>
      </c>
      <c r="E233" s="85" t="s">
        <v>58</v>
      </c>
      <c r="F233" s="84">
        <f>INDEX(Definitions!$G$13:$G$17,MATCH(Table3[[#This Row],[Propensity to buy/ buyer readiness]],Definitions!$A$13:$A$17,0))</f>
        <v>150000</v>
      </c>
      <c r="G233" s="86">
        <v>5</v>
      </c>
      <c r="H233" s="86">
        <v>4</v>
      </c>
      <c r="I233" s="86">
        <v>4</v>
      </c>
      <c r="J233" s="86">
        <v>4</v>
      </c>
      <c r="K233" s="86">
        <v>4</v>
      </c>
      <c r="L233" s="86">
        <f>SUM(Table3[[#This Row],[Strategic priority segment]:[Propensity to buy/ buyer readiness]])</f>
        <v>21</v>
      </c>
      <c r="M233" s="86" t="s">
        <v>191</v>
      </c>
      <c r="N233" s="84" t="s">
        <v>135</v>
      </c>
      <c r="O233" s="84"/>
      <c r="P233" s="87"/>
      <c r="Q233" s="87"/>
      <c r="R233" s="84"/>
      <c r="S233" s="84"/>
      <c r="T233" s="87"/>
      <c r="U233" s="84">
        <v>0</v>
      </c>
      <c r="V233" s="84">
        <v>0</v>
      </c>
      <c r="W233" s="84">
        <v>0</v>
      </c>
      <c r="X233" s="84">
        <v>0</v>
      </c>
      <c r="Y233" s="84">
        <v>0</v>
      </c>
      <c r="Z233" s="84">
        <v>0</v>
      </c>
      <c r="AA233" s="84">
        <v>0</v>
      </c>
      <c r="AB233" s="84">
        <v>0</v>
      </c>
      <c r="AC233" s="84">
        <v>0</v>
      </c>
      <c r="AD233" s="84">
        <v>0</v>
      </c>
      <c r="AE233" s="84">
        <v>0</v>
      </c>
      <c r="AF233" s="84">
        <v>0</v>
      </c>
      <c r="AG233" s="84">
        <v>0</v>
      </c>
      <c r="AH233" s="84">
        <v>1</v>
      </c>
      <c r="AI233" s="84">
        <v>1</v>
      </c>
      <c r="AJ233" s="84">
        <v>1</v>
      </c>
      <c r="AK233" s="84">
        <v>1</v>
      </c>
      <c r="AL233" s="84" cm="1">
        <f t="array" ref="AL2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33" s="84" cm="1">
        <f t="array" ref="AM2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3" s="84" cm="1">
        <f t="array" ref="AN2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3" s="84" cm="1">
        <f t="array" ref="AO2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3" s="84" cm="1">
        <f t="array" ref="AP2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3" s="84" cm="1">
        <f t="array" ref="AQ2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33" s="84" cm="1">
        <f t="array" ref="AR2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33" s="84" cm="1">
        <f t="array" ref="AS2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33" s="84" cm="1">
        <f t="array" ref="AT2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33" s="84" cm="1">
        <f t="array" ref="AU2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33" s="84" cm="1">
        <f t="array" ref="AV2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33" s="84" cm="1">
        <f t="array" ref="AW2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33" s="84" cm="1">
        <f t="array" ref="AX2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3" s="84" cm="1">
        <f t="array" ref="AY2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33" s="84" cm="1">
        <f t="array" ref="AZ2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33" s="84" cm="1">
        <f t="array" ref="BA2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33" s="84" cm="1">
        <f t="array" ref="BB2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33" s="84">
        <f>IF(SUM(Table3[[#This Row],[Column2]:[Column18]])&gt;Table3[[#This Row],[Column19]],Table3[[#This Row],[Column19]],SUM(Table3[[#This Row],[Column2]:[Column18]]))</f>
        <v>64350</v>
      </c>
      <c r="BD233" s="2">
        <f>Table3[[#This Row],[Total Spend]]/SUM(Table3[[#This Row],[Column2]:[Column18]])</f>
        <v>1</v>
      </c>
    </row>
    <row r="234" spans="1:56">
      <c r="A234" s="84" t="s">
        <v>308</v>
      </c>
      <c r="B234" s="84" t="s">
        <v>57</v>
      </c>
      <c r="C234" s="84" t="s">
        <v>57</v>
      </c>
      <c r="D234" s="85">
        <v>45566</v>
      </c>
      <c r="E234" s="85" t="s">
        <v>92</v>
      </c>
      <c r="F234" s="84">
        <f>INDEX(Definitions!$G$13:$G$17,MATCH(Table3[[#This Row],[Propensity to buy/ buyer readiness]],Definitions!$A$13:$A$17,0))</f>
        <v>50000</v>
      </c>
      <c r="G234" s="86">
        <v>5</v>
      </c>
      <c r="H234" s="86">
        <v>5</v>
      </c>
      <c r="I234" s="86">
        <v>4</v>
      </c>
      <c r="J234" s="86">
        <v>4</v>
      </c>
      <c r="K234" s="86">
        <v>3</v>
      </c>
      <c r="L234" s="86">
        <f>SUM(Table3[[#This Row],[Strategic priority segment]:[Propensity to buy/ buyer readiness]])</f>
        <v>21</v>
      </c>
      <c r="M234" s="86" t="s">
        <v>102</v>
      </c>
      <c r="N234" s="84" t="s">
        <v>61</v>
      </c>
      <c r="O234" s="84" t="s">
        <v>62</v>
      </c>
      <c r="P234" s="87"/>
      <c r="Q234" s="87"/>
      <c r="R234" s="84"/>
      <c r="S234" s="84"/>
      <c r="T234" s="87"/>
      <c r="U234" s="84">
        <v>1</v>
      </c>
      <c r="V234" s="84">
        <v>0</v>
      </c>
      <c r="W234" s="84">
        <v>0</v>
      </c>
      <c r="X234" s="84">
        <v>0</v>
      </c>
      <c r="Y234" s="84">
        <v>0</v>
      </c>
      <c r="Z234" s="84">
        <v>1</v>
      </c>
      <c r="AA234" s="84">
        <v>1</v>
      </c>
      <c r="AB234" s="84">
        <v>1</v>
      </c>
      <c r="AC234" s="84">
        <v>1</v>
      </c>
      <c r="AD234" s="84">
        <v>1</v>
      </c>
      <c r="AE234" s="84">
        <v>1</v>
      </c>
      <c r="AF234" s="84">
        <v>1</v>
      </c>
      <c r="AG234" s="84">
        <v>1</v>
      </c>
      <c r="AH234" s="84">
        <v>0</v>
      </c>
      <c r="AI234" s="84">
        <v>0</v>
      </c>
      <c r="AJ234" s="84">
        <v>0</v>
      </c>
      <c r="AK234" s="84">
        <v>0</v>
      </c>
      <c r="AL234" s="84" cm="1">
        <f t="array" ref="AL2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4" s="84" cm="1">
        <f t="array" ref="AM2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4" s="84" cm="1">
        <f t="array" ref="AN2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4" s="84" cm="1">
        <f t="array" ref="AO2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4" s="84" cm="1">
        <f t="array" ref="AP2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4" s="84" cm="1">
        <f t="array" ref="AQ2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4" s="84" cm="1">
        <f t="array" ref="AR2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4" s="84" cm="1">
        <f t="array" ref="AS2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4" s="84" cm="1">
        <f t="array" ref="AT2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4" s="84" cm="1">
        <f t="array" ref="AU2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34" s="84" cm="1">
        <f t="array" ref="AV2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34" s="84" cm="1">
        <f t="array" ref="AW2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34" s="84" cm="1">
        <f t="array" ref="AX2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34" s="84" cm="1">
        <f t="array" ref="AY2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4" s="84" cm="1">
        <f t="array" ref="AZ2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4" s="84" cm="1">
        <f t="array" ref="BA2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4" s="84" cm="1">
        <f t="array" ref="BB2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4" s="84">
        <f>IF(SUM(Table3[[#This Row],[Column2]:[Column18]])&gt;Table3[[#This Row],[Column19]],Table3[[#This Row],[Column19]],SUM(Table3[[#This Row],[Column2]:[Column18]]))</f>
        <v>50000</v>
      </c>
      <c r="BD234" s="2">
        <f>Table3[[#This Row],[Total Spend]]/SUM(Table3[[#This Row],[Column2]:[Column18]])</f>
        <v>0.2664535038635758</v>
      </c>
    </row>
    <row r="235" spans="1:56">
      <c r="A235" s="84" t="s">
        <v>309</v>
      </c>
      <c r="B235" s="84" t="s">
        <v>57</v>
      </c>
      <c r="C235" s="84"/>
      <c r="D235" s="85">
        <v>45566</v>
      </c>
      <c r="E235" s="85" t="s">
        <v>58</v>
      </c>
      <c r="F235" s="84">
        <f>INDEX(Definitions!$G$13:$G$17,MATCH(Table3[[#This Row],[Propensity to buy/ buyer readiness]],Definitions!$A$13:$A$17,0))</f>
        <v>250000</v>
      </c>
      <c r="G235" s="86">
        <v>5</v>
      </c>
      <c r="H235" s="86">
        <v>4</v>
      </c>
      <c r="I235" s="86">
        <v>4</v>
      </c>
      <c r="J235" s="86">
        <v>3</v>
      </c>
      <c r="K235" s="86">
        <v>5</v>
      </c>
      <c r="L235" s="86">
        <f>SUM(Table3[[#This Row],[Strategic priority segment]:[Propensity to buy/ buyer readiness]])</f>
        <v>21</v>
      </c>
      <c r="M235" s="86" t="s">
        <v>66</v>
      </c>
      <c r="N235" s="84" t="s">
        <v>62</v>
      </c>
      <c r="O235" s="84"/>
      <c r="P235" s="87"/>
      <c r="Q235" s="87"/>
      <c r="R235" s="84"/>
      <c r="S235" s="84"/>
      <c r="T235" s="87"/>
      <c r="U235" s="84">
        <v>1</v>
      </c>
      <c r="V235" s="84">
        <v>0</v>
      </c>
      <c r="W235" s="84">
        <v>0</v>
      </c>
      <c r="X235" s="84">
        <v>0</v>
      </c>
      <c r="Y235" s="84">
        <v>0</v>
      </c>
      <c r="Z235" s="84">
        <v>0</v>
      </c>
      <c r="AA235" s="84">
        <v>0</v>
      </c>
      <c r="AB235" s="84">
        <v>0</v>
      </c>
      <c r="AC235" s="84">
        <v>0</v>
      </c>
      <c r="AD235" s="84">
        <v>1</v>
      </c>
      <c r="AE235" s="84">
        <v>1</v>
      </c>
      <c r="AF235" s="84">
        <v>1</v>
      </c>
      <c r="AG235" s="84">
        <v>1</v>
      </c>
      <c r="AH235" s="84">
        <v>0</v>
      </c>
      <c r="AI235" s="84">
        <v>0</v>
      </c>
      <c r="AJ235" s="84">
        <v>0</v>
      </c>
      <c r="AK235" s="84">
        <v>0</v>
      </c>
      <c r="AL235" s="84" cm="1">
        <f t="array" ref="AL2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35" s="84" cm="1">
        <f t="array" ref="AM2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5" s="84" cm="1">
        <f t="array" ref="AN2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5" s="84" cm="1">
        <f t="array" ref="AO2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5" s="84" cm="1">
        <f t="array" ref="AP2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5" s="84" cm="1">
        <f t="array" ref="AQ2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35" s="84" cm="1">
        <f t="array" ref="AR2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35" s="84" cm="1">
        <f t="array" ref="AS2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35" s="84" cm="1">
        <f t="array" ref="AT2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35" s="84" cm="1">
        <f t="array" ref="AU2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35" s="84" cm="1">
        <f t="array" ref="AV2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35" s="84" cm="1">
        <f t="array" ref="AW2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35" s="84" cm="1">
        <f t="array" ref="AX2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35" s="84" cm="1">
        <f t="array" ref="AY2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5" s="84" cm="1">
        <f t="array" ref="AZ2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5" s="84" cm="1">
        <f t="array" ref="BA2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5" s="84" cm="1">
        <f t="array" ref="BB2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5" s="84">
        <f>IF(SUM(Table3[[#This Row],[Column2]:[Column18]])&gt;Table3[[#This Row],[Column19]],Table3[[#This Row],[Column19]],SUM(Table3[[#This Row],[Column2]:[Column18]]))</f>
        <v>131400</v>
      </c>
      <c r="BD235" s="2">
        <f>Table3[[#This Row],[Total Spend]]/SUM(Table3[[#This Row],[Column2]:[Column18]])</f>
        <v>1</v>
      </c>
    </row>
    <row r="236" spans="1:56">
      <c r="A236" s="88" t="s">
        <v>310</v>
      </c>
      <c r="B236" s="88"/>
      <c r="C236" s="88" t="s">
        <v>57</v>
      </c>
      <c r="D236" s="85">
        <v>45566</v>
      </c>
      <c r="E236" s="85" t="s">
        <v>92</v>
      </c>
      <c r="F236" s="84">
        <f>INDEX(Definitions!$G$13:$G$17,MATCH(Table3[[#This Row],[Propensity to buy/ buyer readiness]],Definitions!$A$13:$A$17,0))</f>
        <v>50000</v>
      </c>
      <c r="G236" s="86">
        <v>5</v>
      </c>
      <c r="H236" s="86">
        <v>5</v>
      </c>
      <c r="I236" s="86">
        <v>4</v>
      </c>
      <c r="J236" s="86">
        <v>4</v>
      </c>
      <c r="K236" s="86">
        <v>3</v>
      </c>
      <c r="L236" s="86">
        <f>SUM(Table3[[#This Row],[Strategic priority segment]:[Propensity to buy/ buyer readiness]])</f>
        <v>21</v>
      </c>
      <c r="M236" s="86" t="s">
        <v>102</v>
      </c>
      <c r="N236" s="84" t="s">
        <v>61</v>
      </c>
      <c r="O236" s="84" t="s">
        <v>62</v>
      </c>
      <c r="P236" s="87" t="s">
        <v>135</v>
      </c>
      <c r="Q236" s="84" t="s">
        <v>153</v>
      </c>
      <c r="R236" s="84"/>
      <c r="S236" s="87"/>
      <c r="T236" s="87"/>
      <c r="U236" s="84">
        <v>1</v>
      </c>
      <c r="V236" s="84">
        <v>0</v>
      </c>
      <c r="W236" s="84">
        <v>0</v>
      </c>
      <c r="X236" s="84">
        <v>0</v>
      </c>
      <c r="Y236" s="84">
        <v>0</v>
      </c>
      <c r="Z236" s="84">
        <v>1</v>
      </c>
      <c r="AA236" s="84">
        <v>1</v>
      </c>
      <c r="AB236" s="84">
        <v>1</v>
      </c>
      <c r="AC236" s="84">
        <v>1</v>
      </c>
      <c r="AD236" s="84">
        <v>1</v>
      </c>
      <c r="AE236" s="84">
        <v>1</v>
      </c>
      <c r="AF236" s="84">
        <v>1</v>
      </c>
      <c r="AG236" s="84">
        <v>1</v>
      </c>
      <c r="AH236" s="84">
        <v>1</v>
      </c>
      <c r="AI236" s="84">
        <v>1</v>
      </c>
      <c r="AJ236" s="84">
        <v>1</v>
      </c>
      <c r="AK236" s="84">
        <v>1</v>
      </c>
      <c r="AL236" s="84" cm="1">
        <f t="array" ref="AL2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6" s="84" cm="1">
        <f t="array" ref="AM2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6" s="84" cm="1">
        <f t="array" ref="AN2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6" s="84" cm="1">
        <f t="array" ref="AO2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6" s="84" cm="1">
        <f t="array" ref="AP2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6" s="84" cm="1">
        <f t="array" ref="AQ2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6" s="84" cm="1">
        <f t="array" ref="AR2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6" s="84" cm="1">
        <f t="array" ref="AS2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6" s="84" cm="1">
        <f t="array" ref="AT2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6" s="84" cm="1">
        <f t="array" ref="AU2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36" s="84" cm="1">
        <f t="array" ref="AV2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36" s="84" cm="1">
        <f t="array" ref="AW2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36" s="84" cm="1">
        <f t="array" ref="AX2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36" s="84" cm="1">
        <f t="array" ref="AY2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36" s="84" cm="1">
        <f t="array" ref="AZ2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36" s="84" cm="1">
        <f t="array" ref="BA2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36" s="84" cm="1">
        <f t="array" ref="BB2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36" s="84">
        <f>IF(SUM(Table3[[#This Row],[Column2]:[Column18]])&gt;Table3[[#This Row],[Column19]],Table3[[#This Row],[Column19]],SUM(Table3[[#This Row],[Column2]:[Column18]]))</f>
        <v>50000</v>
      </c>
      <c r="BD236" s="2">
        <f>Table3[[#This Row],[Total Spend]]/SUM(Table3[[#This Row],[Column2]:[Column18]])</f>
        <v>0.21367521367521367</v>
      </c>
    </row>
    <row r="237" spans="1:56">
      <c r="A237" s="84" t="s">
        <v>311</v>
      </c>
      <c r="B237" s="84" t="s">
        <v>57</v>
      </c>
      <c r="C237" s="84"/>
      <c r="D237" s="85">
        <v>45566</v>
      </c>
      <c r="E237" s="85" t="s">
        <v>92</v>
      </c>
      <c r="F237" s="84">
        <f>INDEX(Definitions!$G$13:$G$17,MATCH(Table3[[#This Row],[Propensity to buy/ buyer readiness]],Definitions!$A$13:$A$17,0))</f>
        <v>50000</v>
      </c>
      <c r="G237" s="86">
        <v>5</v>
      </c>
      <c r="H237" s="86">
        <v>5</v>
      </c>
      <c r="I237" s="86">
        <v>4</v>
      </c>
      <c r="J237" s="86">
        <v>4</v>
      </c>
      <c r="K237" s="86">
        <v>3</v>
      </c>
      <c r="L237" s="86">
        <f>SUM(Table3[[#This Row],[Strategic priority segment]:[Propensity to buy/ buyer readiness]])</f>
        <v>21</v>
      </c>
      <c r="M237" s="86" t="s">
        <v>102</v>
      </c>
      <c r="N237" s="84" t="s">
        <v>61</v>
      </c>
      <c r="O237" s="84" t="s">
        <v>62</v>
      </c>
      <c r="P237" s="87"/>
      <c r="Q237" s="87"/>
      <c r="R237" s="84"/>
      <c r="S237" s="84"/>
      <c r="T237" s="84"/>
      <c r="U237" s="84">
        <v>1</v>
      </c>
      <c r="V237" s="84">
        <v>0</v>
      </c>
      <c r="W237" s="84">
        <v>0</v>
      </c>
      <c r="X237" s="84">
        <v>0</v>
      </c>
      <c r="Y237" s="84">
        <v>0</v>
      </c>
      <c r="Z237" s="84">
        <v>1</v>
      </c>
      <c r="AA237" s="84">
        <v>1</v>
      </c>
      <c r="AB237" s="84">
        <v>1</v>
      </c>
      <c r="AC237" s="84">
        <v>1</v>
      </c>
      <c r="AD237" s="84">
        <v>1</v>
      </c>
      <c r="AE237" s="84">
        <v>1</v>
      </c>
      <c r="AF237" s="84">
        <v>1</v>
      </c>
      <c r="AG237" s="84">
        <v>1</v>
      </c>
      <c r="AH237" s="84">
        <v>0</v>
      </c>
      <c r="AI237" s="84">
        <v>0</v>
      </c>
      <c r="AJ237" s="84">
        <v>0</v>
      </c>
      <c r="AK237" s="84">
        <v>0</v>
      </c>
      <c r="AL237" s="84" cm="1">
        <f t="array" ref="AL2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7" s="84" cm="1">
        <f t="array" ref="AM2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7" s="84" cm="1">
        <f t="array" ref="AN2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7" s="84" cm="1">
        <f t="array" ref="AO2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7" s="84" cm="1">
        <f t="array" ref="AP2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7" s="84" cm="1">
        <f t="array" ref="AQ2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7" s="84" cm="1">
        <f t="array" ref="AR2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7" s="84" cm="1">
        <f t="array" ref="AS2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7" s="84" cm="1">
        <f t="array" ref="AT2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7" s="84" cm="1">
        <f t="array" ref="AU2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37" s="84" cm="1">
        <f t="array" ref="AV2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37" s="84" cm="1">
        <f t="array" ref="AW2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37" s="84" cm="1">
        <f t="array" ref="AX2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37" s="84" cm="1">
        <f t="array" ref="AY2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7" s="84" cm="1">
        <f t="array" ref="AZ2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7" s="84" cm="1">
        <f t="array" ref="BA2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7" s="84" cm="1">
        <f t="array" ref="BB2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7" s="84">
        <f>IF(SUM(Table3[[#This Row],[Column2]:[Column18]])&gt;Table3[[#This Row],[Column19]],Table3[[#This Row],[Column19]],SUM(Table3[[#This Row],[Column2]:[Column18]]))</f>
        <v>50000</v>
      </c>
      <c r="BD237" s="2">
        <f>Table3[[#This Row],[Total Spend]]/SUM(Table3[[#This Row],[Column2]:[Column18]])</f>
        <v>0.2664535038635758</v>
      </c>
    </row>
    <row r="238" spans="1:56">
      <c r="A238" s="84" t="s">
        <v>312</v>
      </c>
      <c r="B238" s="84"/>
      <c r="C238" s="84" t="s">
        <v>57</v>
      </c>
      <c r="D238" s="85">
        <v>45566</v>
      </c>
      <c r="E238" s="85" t="s">
        <v>92</v>
      </c>
      <c r="F238" s="84">
        <f>INDEX(Definitions!$G$13:$G$17,MATCH(Table3[[#This Row],[Propensity to buy/ buyer readiness]],Definitions!$A$13:$A$17,0))</f>
        <v>50000</v>
      </c>
      <c r="G238" s="86">
        <v>5</v>
      </c>
      <c r="H238" s="86">
        <v>5</v>
      </c>
      <c r="I238" s="86">
        <v>4</v>
      </c>
      <c r="J238" s="86">
        <v>4</v>
      </c>
      <c r="K238" s="86">
        <v>3</v>
      </c>
      <c r="L238" s="86">
        <f>SUM(Table3[[#This Row],[Strategic priority segment]:[Propensity to buy/ buyer readiness]])</f>
        <v>21</v>
      </c>
      <c r="M238" s="86" t="s">
        <v>102</v>
      </c>
      <c r="N238" s="84" t="s">
        <v>61</v>
      </c>
      <c r="O238" s="84"/>
      <c r="P238" s="87"/>
      <c r="Q238" s="87"/>
      <c r="R238" s="84"/>
      <c r="S238" s="87"/>
      <c r="T238" s="87"/>
      <c r="U238" s="84">
        <v>1</v>
      </c>
      <c r="V238" s="84">
        <v>0</v>
      </c>
      <c r="W238" s="84">
        <v>0</v>
      </c>
      <c r="X238" s="84">
        <v>0</v>
      </c>
      <c r="Y238" s="84">
        <v>0</v>
      </c>
      <c r="Z238" s="84">
        <v>1</v>
      </c>
      <c r="AA238" s="84">
        <v>1</v>
      </c>
      <c r="AB238" s="84">
        <v>1</v>
      </c>
      <c r="AC238" s="84">
        <v>1</v>
      </c>
      <c r="AD238" s="84">
        <v>0</v>
      </c>
      <c r="AE238" s="84">
        <v>0</v>
      </c>
      <c r="AF238" s="84">
        <v>0</v>
      </c>
      <c r="AG238" s="84">
        <v>0</v>
      </c>
      <c r="AH238" s="84">
        <v>0</v>
      </c>
      <c r="AI238" s="84">
        <v>0</v>
      </c>
      <c r="AJ238" s="84">
        <v>0</v>
      </c>
      <c r="AK238" s="84">
        <v>0</v>
      </c>
      <c r="AL238" s="84" cm="1">
        <f t="array" ref="AL2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8" s="84" cm="1">
        <f t="array" ref="AM2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8" s="84" cm="1">
        <f t="array" ref="AN2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8" s="84" cm="1">
        <f t="array" ref="AO2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8" s="84" cm="1">
        <f t="array" ref="AP2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8" s="84" cm="1">
        <f t="array" ref="AQ2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8" s="84" cm="1">
        <f t="array" ref="AR2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8" s="84" cm="1">
        <f t="array" ref="AS2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8" s="84" cm="1">
        <f t="array" ref="AT2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8" s="84" cm="1">
        <f t="array" ref="AU2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38" s="84" cm="1">
        <f t="array" ref="AV2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38" s="84" cm="1">
        <f t="array" ref="AW2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38" s="84" cm="1">
        <f t="array" ref="AX2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8" s="84" cm="1">
        <f t="array" ref="AY2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8" s="84" cm="1">
        <f t="array" ref="AZ2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8" s="84" cm="1">
        <f t="array" ref="BA2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8" s="84" cm="1">
        <f t="array" ref="BB2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8" s="84">
        <f>IF(SUM(Table3[[#This Row],[Column2]:[Column18]])&gt;Table3[[#This Row],[Column19]],Table3[[#This Row],[Column19]],SUM(Table3[[#This Row],[Column2]:[Column18]]))</f>
        <v>50000</v>
      </c>
      <c r="BD238" s="2">
        <f>Table3[[#This Row],[Total Spend]]/SUM(Table3[[#This Row],[Column2]:[Column18]])</f>
        <v>0.49164208456243852</v>
      </c>
    </row>
    <row r="239" spans="1:56">
      <c r="A239" s="84" t="s">
        <v>313</v>
      </c>
      <c r="B239" s="84" t="s">
        <v>57</v>
      </c>
      <c r="C239" s="84" t="s">
        <v>57</v>
      </c>
      <c r="D239" s="85">
        <v>45566</v>
      </c>
      <c r="E239" s="85" t="s">
        <v>92</v>
      </c>
      <c r="F239" s="84">
        <f>INDEX(Definitions!$G$13:$G$17,MATCH(Table3[[#This Row],[Propensity to buy/ buyer readiness]],Definitions!$A$13:$A$17,0))</f>
        <v>50000</v>
      </c>
      <c r="G239" s="86">
        <v>5</v>
      </c>
      <c r="H239" s="86">
        <v>5</v>
      </c>
      <c r="I239" s="86">
        <v>4</v>
      </c>
      <c r="J239" s="86">
        <v>4</v>
      </c>
      <c r="K239" s="86">
        <v>3</v>
      </c>
      <c r="L239" s="86">
        <f>SUM(Table3[[#This Row],[Strategic priority segment]:[Propensity to buy/ buyer readiness]])</f>
        <v>21</v>
      </c>
      <c r="M239" s="86" t="s">
        <v>102</v>
      </c>
      <c r="N239" s="84" t="s">
        <v>61</v>
      </c>
      <c r="O239" s="84"/>
      <c r="P239" s="87"/>
      <c r="Q239" s="87"/>
      <c r="R239" s="84"/>
      <c r="S239" s="84"/>
      <c r="T239" s="87"/>
      <c r="U239" s="84">
        <v>1</v>
      </c>
      <c r="V239" s="84">
        <v>0</v>
      </c>
      <c r="W239" s="84">
        <v>0</v>
      </c>
      <c r="X239" s="84">
        <v>0</v>
      </c>
      <c r="Y239" s="84">
        <v>0</v>
      </c>
      <c r="Z239" s="84">
        <v>1</v>
      </c>
      <c r="AA239" s="84">
        <v>1</v>
      </c>
      <c r="AB239" s="84">
        <v>1</v>
      </c>
      <c r="AC239" s="84">
        <v>1</v>
      </c>
      <c r="AD239" s="84">
        <v>0</v>
      </c>
      <c r="AE239" s="84">
        <v>0</v>
      </c>
      <c r="AF239" s="84">
        <v>0</v>
      </c>
      <c r="AG239" s="84">
        <v>0</v>
      </c>
      <c r="AH239" s="84">
        <v>0</v>
      </c>
      <c r="AI239" s="84">
        <v>0</v>
      </c>
      <c r="AJ239" s="84">
        <v>0</v>
      </c>
      <c r="AK239" s="84">
        <v>0</v>
      </c>
      <c r="AL239" s="84" cm="1">
        <f t="array" ref="AL2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39" s="84" cm="1">
        <f t="array" ref="AM2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39" s="84" cm="1">
        <f t="array" ref="AN2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39" s="84" cm="1">
        <f t="array" ref="AO2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39" s="84" cm="1">
        <f t="array" ref="AP2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39" s="84" cm="1">
        <f t="array" ref="AQ2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39" s="84" cm="1">
        <f t="array" ref="AR2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39" s="84" cm="1">
        <f t="array" ref="AS2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39" s="84" cm="1">
        <f t="array" ref="AT2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39" s="84" cm="1">
        <f t="array" ref="AU2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39" s="84" cm="1">
        <f t="array" ref="AV2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39" s="84" cm="1">
        <f t="array" ref="AW2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39" s="84" cm="1">
        <f t="array" ref="AX2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39" s="84" cm="1">
        <f t="array" ref="AY2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39" s="84" cm="1">
        <f t="array" ref="AZ2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39" s="84" cm="1">
        <f t="array" ref="BA2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39" s="84" cm="1">
        <f t="array" ref="BB2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39" s="84">
        <f>IF(SUM(Table3[[#This Row],[Column2]:[Column18]])&gt;Table3[[#This Row],[Column19]],Table3[[#This Row],[Column19]],SUM(Table3[[#This Row],[Column2]:[Column18]]))</f>
        <v>50000</v>
      </c>
      <c r="BD239" s="2">
        <f>Table3[[#This Row],[Total Spend]]/SUM(Table3[[#This Row],[Column2]:[Column18]])</f>
        <v>0.49164208456243852</v>
      </c>
    </row>
    <row r="240" spans="1:56">
      <c r="A240" s="87" t="s">
        <v>314</v>
      </c>
      <c r="B240" s="87" t="s">
        <v>57</v>
      </c>
      <c r="C240" s="87"/>
      <c r="D240" s="89">
        <v>45809</v>
      </c>
      <c r="E240" s="85" t="s">
        <v>92</v>
      </c>
      <c r="F240" s="84">
        <f>INDEX(Definitions!$G$13:$G$17,MATCH(Table3[[#This Row],[Propensity to buy/ buyer readiness]],Definitions!$A$13:$A$17,0))</f>
        <v>50000</v>
      </c>
      <c r="G240" s="86">
        <v>5</v>
      </c>
      <c r="H240" s="86">
        <v>5</v>
      </c>
      <c r="I240" s="90">
        <v>4</v>
      </c>
      <c r="J240" s="86">
        <v>4</v>
      </c>
      <c r="K240" s="90">
        <v>3</v>
      </c>
      <c r="L240" s="90">
        <f>SUM(Table3[[#This Row],[Strategic priority segment]:[Propensity to buy/ buyer readiness]])</f>
        <v>21</v>
      </c>
      <c r="M240" s="86" t="s">
        <v>102</v>
      </c>
      <c r="N240" s="84" t="s">
        <v>61</v>
      </c>
      <c r="O240" s="87"/>
      <c r="P240" s="87"/>
      <c r="Q240" s="87"/>
      <c r="R240" s="84"/>
      <c r="S240" s="87"/>
      <c r="T240" s="87"/>
      <c r="U240" s="84">
        <v>1</v>
      </c>
      <c r="V240" s="84">
        <v>0</v>
      </c>
      <c r="W240" s="84">
        <v>0</v>
      </c>
      <c r="X240" s="84">
        <v>0</v>
      </c>
      <c r="Y240" s="84">
        <v>0</v>
      </c>
      <c r="Z240" s="84">
        <v>1</v>
      </c>
      <c r="AA240" s="84">
        <v>1</v>
      </c>
      <c r="AB240" s="84">
        <v>1</v>
      </c>
      <c r="AC240" s="84">
        <v>1</v>
      </c>
      <c r="AD240" s="84">
        <v>0</v>
      </c>
      <c r="AE240" s="84">
        <v>0</v>
      </c>
      <c r="AF240" s="84">
        <v>0</v>
      </c>
      <c r="AG240" s="84">
        <v>0</v>
      </c>
      <c r="AH240" s="84">
        <v>0</v>
      </c>
      <c r="AI240" s="84">
        <v>0</v>
      </c>
      <c r="AJ240" s="84">
        <v>0</v>
      </c>
      <c r="AK240" s="84">
        <v>0</v>
      </c>
      <c r="AL240" s="84" cm="1">
        <f t="array" ref="AL2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0" s="84" cm="1">
        <f t="array" ref="AM2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0" s="84" cm="1">
        <f t="array" ref="AN2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0" s="84" cm="1">
        <f t="array" ref="AO2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0" s="84" cm="1">
        <f t="array" ref="AP2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0" s="84" cm="1">
        <f t="array" ref="AQ2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40" s="84" cm="1">
        <f t="array" ref="AR2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40" s="84" cm="1">
        <f t="array" ref="AS2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40" s="84" cm="1">
        <f t="array" ref="AT2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40" s="84" cm="1">
        <f t="array" ref="AU2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40" s="84" cm="1">
        <f t="array" ref="AV2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0" s="84" cm="1">
        <f t="array" ref="AW2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0" s="84" cm="1">
        <f t="array" ref="AX2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0" s="84" cm="1">
        <f t="array" ref="AY2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0" s="84" cm="1">
        <f t="array" ref="AZ2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0" s="84" cm="1">
        <f t="array" ref="BA2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0" s="84" cm="1">
        <f t="array" ref="BB2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0" s="84">
        <f>IF(SUM(Table3[[#This Row],[Column2]:[Column18]])&gt;Table3[[#This Row],[Column19]],Table3[[#This Row],[Column19]],SUM(Table3[[#This Row],[Column2]:[Column18]]))</f>
        <v>50000</v>
      </c>
      <c r="BD240" s="2">
        <f>Table3[[#This Row],[Total Spend]]/SUM(Table3[[#This Row],[Column2]:[Column18]])</f>
        <v>0.49164208456243852</v>
      </c>
    </row>
    <row r="241" spans="1:56">
      <c r="A241" s="84" t="s">
        <v>315</v>
      </c>
      <c r="B241" s="84"/>
      <c r="C241" s="84" t="s">
        <v>57</v>
      </c>
      <c r="D241" s="85">
        <v>45566</v>
      </c>
      <c r="E241" s="85" t="s">
        <v>92</v>
      </c>
      <c r="F241" s="84">
        <f>INDEX(Definitions!$G$13:$G$17,MATCH(Table3[[#This Row],[Propensity to buy/ buyer readiness]],Definitions!$A$13:$A$17,0))</f>
        <v>150000</v>
      </c>
      <c r="G241" s="86">
        <v>5</v>
      </c>
      <c r="H241" s="86">
        <v>5</v>
      </c>
      <c r="I241" s="86">
        <v>3</v>
      </c>
      <c r="J241" s="86">
        <v>4</v>
      </c>
      <c r="K241" s="86">
        <v>4</v>
      </c>
      <c r="L241" s="86">
        <f>SUM(Table3[[#This Row],[Strategic priority segment]:[Propensity to buy/ buyer readiness]])</f>
        <v>21</v>
      </c>
      <c r="M241" s="86" t="s">
        <v>102</v>
      </c>
      <c r="N241" s="84" t="s">
        <v>61</v>
      </c>
      <c r="O241" s="84"/>
      <c r="P241" s="87"/>
      <c r="Q241" s="87"/>
      <c r="R241" s="84"/>
      <c r="S241" s="87"/>
      <c r="T241" s="87"/>
      <c r="U241" s="84">
        <v>1</v>
      </c>
      <c r="V241" s="84">
        <v>0</v>
      </c>
      <c r="W241" s="84">
        <v>0</v>
      </c>
      <c r="X241" s="84">
        <v>0</v>
      </c>
      <c r="Y241" s="84">
        <v>0</v>
      </c>
      <c r="Z241" s="84">
        <v>1</v>
      </c>
      <c r="AA241" s="84">
        <v>1</v>
      </c>
      <c r="AB241" s="84">
        <v>1</v>
      </c>
      <c r="AC241" s="84">
        <v>1</v>
      </c>
      <c r="AD241" s="84">
        <v>0</v>
      </c>
      <c r="AE241" s="84">
        <v>0</v>
      </c>
      <c r="AF241" s="84">
        <v>0</v>
      </c>
      <c r="AG241" s="84">
        <v>0</v>
      </c>
      <c r="AH241" s="84">
        <v>0</v>
      </c>
      <c r="AI241" s="84">
        <v>0</v>
      </c>
      <c r="AJ241" s="84">
        <v>0</v>
      </c>
      <c r="AK241" s="84">
        <v>0</v>
      </c>
      <c r="AL241" s="84" cm="1">
        <f t="array" ref="AL2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1" s="84" cm="1">
        <f t="array" ref="AM2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1" s="84" cm="1">
        <f t="array" ref="AN2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1" s="84" cm="1">
        <f t="array" ref="AO2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1" s="84" cm="1">
        <f t="array" ref="AP2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1" s="84" cm="1">
        <f t="array" ref="AQ2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41" s="84" cm="1">
        <f t="array" ref="AR2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41" s="84" cm="1">
        <f t="array" ref="AS2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41" s="84" cm="1">
        <f t="array" ref="AT2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41" s="84" cm="1">
        <f t="array" ref="AU2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41" s="84" cm="1">
        <f t="array" ref="AV2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1" s="84" cm="1">
        <f t="array" ref="AW2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1" s="84" cm="1">
        <f t="array" ref="AX2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1" s="84" cm="1">
        <f t="array" ref="AY2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1" s="84" cm="1">
        <f t="array" ref="AZ2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1" s="84" cm="1">
        <f t="array" ref="BA2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1" s="84" cm="1">
        <f t="array" ref="BB2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1" s="84">
        <f>IF(SUM(Table3[[#This Row],[Column2]:[Column18]])&gt;Table3[[#This Row],[Column19]],Table3[[#This Row],[Column19]],SUM(Table3[[#This Row],[Column2]:[Column18]]))</f>
        <v>101700</v>
      </c>
      <c r="BD241" s="2">
        <f>Table3[[#This Row],[Total Spend]]/SUM(Table3[[#This Row],[Column2]:[Column18]])</f>
        <v>1</v>
      </c>
    </row>
    <row r="242" spans="1:56">
      <c r="A242" s="84" t="s">
        <v>316</v>
      </c>
      <c r="B242" s="84" t="s">
        <v>57</v>
      </c>
      <c r="C242" s="84"/>
      <c r="D242" s="85">
        <v>45566</v>
      </c>
      <c r="E242" s="85" t="s">
        <v>92</v>
      </c>
      <c r="F242" s="84">
        <f>INDEX(Definitions!$G$13:$G$17,MATCH(Table3[[#This Row],[Propensity to buy/ buyer readiness]],Definitions!$A$13:$A$17,0))</f>
        <v>50000</v>
      </c>
      <c r="G242" s="86">
        <v>5</v>
      </c>
      <c r="H242" s="86">
        <v>5</v>
      </c>
      <c r="I242" s="86">
        <v>4</v>
      </c>
      <c r="J242" s="86">
        <v>4</v>
      </c>
      <c r="K242" s="86">
        <v>3</v>
      </c>
      <c r="L242" s="86">
        <f>SUM(Table3[[#This Row],[Strategic priority segment]:[Propensity to buy/ buyer readiness]])</f>
        <v>21</v>
      </c>
      <c r="M242" s="86" t="s">
        <v>102</v>
      </c>
      <c r="N242" s="84" t="s">
        <v>61</v>
      </c>
      <c r="O242" s="84"/>
      <c r="P242" s="87"/>
      <c r="Q242" s="87"/>
      <c r="R242" s="84"/>
      <c r="S242" s="84"/>
      <c r="T242" s="84"/>
      <c r="U242" s="84">
        <v>1</v>
      </c>
      <c r="V242" s="84">
        <v>0</v>
      </c>
      <c r="W242" s="84">
        <v>0</v>
      </c>
      <c r="X242" s="84">
        <v>0</v>
      </c>
      <c r="Y242" s="84">
        <v>0</v>
      </c>
      <c r="Z242" s="84">
        <v>1</v>
      </c>
      <c r="AA242" s="84">
        <v>1</v>
      </c>
      <c r="AB242" s="84">
        <v>1</v>
      </c>
      <c r="AC242" s="84">
        <v>1</v>
      </c>
      <c r="AD242" s="84">
        <v>0</v>
      </c>
      <c r="AE242" s="84">
        <v>0</v>
      </c>
      <c r="AF242" s="84">
        <v>0</v>
      </c>
      <c r="AG242" s="84">
        <v>0</v>
      </c>
      <c r="AH242" s="84">
        <v>0</v>
      </c>
      <c r="AI242" s="84">
        <v>0</v>
      </c>
      <c r="AJ242" s="84">
        <v>0</v>
      </c>
      <c r="AK242" s="84">
        <v>0</v>
      </c>
      <c r="AL242" s="84" cm="1">
        <f t="array" ref="AL2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2" s="84" cm="1">
        <f t="array" ref="AM2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2" s="84" cm="1">
        <f t="array" ref="AN2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2" s="84" cm="1">
        <f t="array" ref="AO2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2" s="84" cm="1">
        <f t="array" ref="AP2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2" s="84" cm="1">
        <f t="array" ref="AQ2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42" s="84" cm="1">
        <f t="array" ref="AR2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42" s="84" cm="1">
        <f t="array" ref="AS2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42" s="84" cm="1">
        <f t="array" ref="AT2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42" s="84" cm="1">
        <f t="array" ref="AU2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42" s="84" cm="1">
        <f t="array" ref="AV2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2" s="84" cm="1">
        <f t="array" ref="AW2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2" s="84" cm="1">
        <f t="array" ref="AX2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2" s="84" cm="1">
        <f t="array" ref="AY2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2" s="84" cm="1">
        <f t="array" ref="AZ2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2" s="84" cm="1">
        <f t="array" ref="BA2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2" s="84" cm="1">
        <f t="array" ref="BB2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2" s="84">
        <f>IF(SUM(Table3[[#This Row],[Column2]:[Column18]])&gt;Table3[[#This Row],[Column19]],Table3[[#This Row],[Column19]],SUM(Table3[[#This Row],[Column2]:[Column18]]))</f>
        <v>50000</v>
      </c>
      <c r="BD242" s="2">
        <f>Table3[[#This Row],[Total Spend]]/SUM(Table3[[#This Row],[Column2]:[Column18]])</f>
        <v>0.49164208456243852</v>
      </c>
    </row>
    <row r="243" spans="1:56">
      <c r="A243" s="84" t="s">
        <v>317</v>
      </c>
      <c r="B243" s="84" t="s">
        <v>57</v>
      </c>
      <c r="C243" s="84"/>
      <c r="D243" s="85">
        <v>45566</v>
      </c>
      <c r="E243" s="85" t="s">
        <v>92</v>
      </c>
      <c r="F243" s="84">
        <f>INDEX(Definitions!$G$13:$G$17,MATCH(Table3[[#This Row],[Propensity to buy/ buyer readiness]],Definitions!$A$13:$A$17,0))</f>
        <v>50000</v>
      </c>
      <c r="G243" s="86">
        <v>5</v>
      </c>
      <c r="H243" s="86">
        <v>5</v>
      </c>
      <c r="I243" s="86">
        <v>4</v>
      </c>
      <c r="J243" s="86">
        <v>4</v>
      </c>
      <c r="K243" s="86">
        <v>3</v>
      </c>
      <c r="L243" s="86">
        <f>SUM(Table3[[#This Row],[Strategic priority segment]:[Propensity to buy/ buyer readiness]])</f>
        <v>21</v>
      </c>
      <c r="M243" s="86" t="s">
        <v>102</v>
      </c>
      <c r="N243" s="84" t="s">
        <v>61</v>
      </c>
      <c r="O243" s="84"/>
      <c r="P243" s="87"/>
      <c r="Q243" s="87"/>
      <c r="R243" s="84"/>
      <c r="S243" s="84"/>
      <c r="T243" s="87"/>
      <c r="U243" s="84">
        <v>1</v>
      </c>
      <c r="V243" s="84">
        <v>0</v>
      </c>
      <c r="W243" s="84">
        <v>0</v>
      </c>
      <c r="X243" s="84">
        <v>0</v>
      </c>
      <c r="Y243" s="84">
        <v>0</v>
      </c>
      <c r="Z243" s="84">
        <v>1</v>
      </c>
      <c r="AA243" s="84">
        <v>1</v>
      </c>
      <c r="AB243" s="84">
        <v>1</v>
      </c>
      <c r="AC243" s="84">
        <v>1</v>
      </c>
      <c r="AD243" s="84">
        <v>0</v>
      </c>
      <c r="AE243" s="84">
        <v>0</v>
      </c>
      <c r="AF243" s="84">
        <v>0</v>
      </c>
      <c r="AG243" s="84">
        <v>0</v>
      </c>
      <c r="AH243" s="84">
        <v>0</v>
      </c>
      <c r="AI243" s="84">
        <v>0</v>
      </c>
      <c r="AJ243" s="84">
        <v>0</v>
      </c>
      <c r="AK243" s="84">
        <v>0</v>
      </c>
      <c r="AL243" s="84" cm="1">
        <f t="array" ref="AL2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3" s="84" cm="1">
        <f t="array" ref="AM2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3" s="84" cm="1">
        <f t="array" ref="AN2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3" s="84" cm="1">
        <f t="array" ref="AO2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3" s="84" cm="1">
        <f t="array" ref="AP2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3" s="84" cm="1">
        <f t="array" ref="AQ2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43" s="84" cm="1">
        <f t="array" ref="AR2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43" s="84" cm="1">
        <f t="array" ref="AS2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43" s="84" cm="1">
        <f t="array" ref="AT2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43" s="84" cm="1">
        <f t="array" ref="AU2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43" s="84" cm="1">
        <f t="array" ref="AV2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3" s="84" cm="1">
        <f t="array" ref="AW2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3" s="84" cm="1">
        <f t="array" ref="AX2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3" s="84" cm="1">
        <f t="array" ref="AY2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3" s="84" cm="1">
        <f t="array" ref="AZ2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3" s="84" cm="1">
        <f t="array" ref="BA2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3" s="84" cm="1">
        <f t="array" ref="BB2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3" s="84">
        <f>IF(SUM(Table3[[#This Row],[Column2]:[Column18]])&gt;Table3[[#This Row],[Column19]],Table3[[#This Row],[Column19]],SUM(Table3[[#This Row],[Column2]:[Column18]]))</f>
        <v>50000</v>
      </c>
      <c r="BD243" s="2">
        <f>Table3[[#This Row],[Total Spend]]/SUM(Table3[[#This Row],[Column2]:[Column18]])</f>
        <v>0.49164208456243852</v>
      </c>
    </row>
    <row r="244" spans="1:56">
      <c r="A244" s="88" t="s">
        <v>318</v>
      </c>
      <c r="B244" s="88"/>
      <c r="C244" s="88"/>
      <c r="D244" s="85">
        <v>45566</v>
      </c>
      <c r="E244" s="85" t="s">
        <v>92</v>
      </c>
      <c r="F244" s="84">
        <f>INDEX(Definitions!$G$13:$G$17,MATCH(Table3[[#This Row],[Propensity to buy/ buyer readiness]],Definitions!$A$13:$A$17,0))</f>
        <v>50000</v>
      </c>
      <c r="G244" s="86">
        <v>5</v>
      </c>
      <c r="H244" s="86">
        <v>4</v>
      </c>
      <c r="I244" s="86">
        <v>4</v>
      </c>
      <c r="J244" s="86">
        <v>5</v>
      </c>
      <c r="K244" s="86">
        <v>3</v>
      </c>
      <c r="L244" s="86">
        <f>SUM(Table3[[#This Row],[Strategic priority segment]:[Propensity to buy/ buyer readiness]])</f>
        <v>21</v>
      </c>
      <c r="M244" s="86" t="s">
        <v>59</v>
      </c>
      <c r="N244" s="84" t="s">
        <v>60</v>
      </c>
      <c r="O244" s="84"/>
      <c r="P244" s="87"/>
      <c r="Q244" s="87"/>
      <c r="R244" s="84"/>
      <c r="S244" s="87"/>
      <c r="T244" s="87"/>
      <c r="U244" s="84">
        <v>1</v>
      </c>
      <c r="V244" s="84">
        <v>1</v>
      </c>
      <c r="W244" s="84">
        <v>1</v>
      </c>
      <c r="X244" s="84">
        <v>1</v>
      </c>
      <c r="Y244" s="84">
        <v>1</v>
      </c>
      <c r="Z244" s="84">
        <v>0</v>
      </c>
      <c r="AA244" s="84">
        <v>0</v>
      </c>
      <c r="AB244" s="84">
        <v>0</v>
      </c>
      <c r="AC244" s="84">
        <v>0</v>
      </c>
      <c r="AD244" s="84">
        <v>1</v>
      </c>
      <c r="AE244" s="84">
        <v>0</v>
      </c>
      <c r="AF244" s="84">
        <v>0</v>
      </c>
      <c r="AG244" s="84">
        <v>0</v>
      </c>
      <c r="AH244" s="84">
        <v>0</v>
      </c>
      <c r="AI244" s="84">
        <v>0</v>
      </c>
      <c r="AJ244" s="84">
        <v>0</v>
      </c>
      <c r="AK244" s="84">
        <v>0</v>
      </c>
      <c r="AL244" s="84" cm="1">
        <f t="array" ref="AL2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4" s="84" cm="1">
        <f t="array" ref="AM2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44" s="84" cm="1">
        <f t="array" ref="AN2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44" s="84" cm="1">
        <f t="array" ref="AO2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44" s="84" cm="1">
        <f t="array" ref="AP2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44" s="84" cm="1">
        <f t="array" ref="AQ2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44" s="84" cm="1">
        <f t="array" ref="AR2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44" s="84" cm="1">
        <f t="array" ref="AS2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44" s="84" cm="1">
        <f t="array" ref="AT2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44" s="84" cm="1">
        <f t="array" ref="AU2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44" s="84" cm="1">
        <f t="array" ref="AV2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4" s="84" cm="1">
        <f t="array" ref="AW2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4" s="84" cm="1">
        <f t="array" ref="AX2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4" s="84" cm="1">
        <f t="array" ref="AY2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4" s="84" cm="1">
        <f t="array" ref="AZ2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4" s="84" cm="1">
        <f t="array" ref="BA2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4" s="84" cm="1">
        <f t="array" ref="BB2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4" s="84">
        <f>IF(SUM(Table3[[#This Row],[Column2]:[Column18]])&gt;Table3[[#This Row],[Column19]],Table3[[#This Row],[Column19]],SUM(Table3[[#This Row],[Column2]:[Column18]]))</f>
        <v>50000</v>
      </c>
      <c r="BD244" s="2">
        <f>Table3[[#This Row],[Total Spend]]/SUM(Table3[[#This Row],[Column2]:[Column18]])</f>
        <v>0.26709401709401709</v>
      </c>
    </row>
    <row r="245" spans="1:56" ht="14.25" customHeight="1">
      <c r="A245" s="84" t="s">
        <v>319</v>
      </c>
      <c r="B245" s="84"/>
      <c r="C245" s="84"/>
      <c r="D245" s="85">
        <v>45566</v>
      </c>
      <c r="E245" s="85" t="s">
        <v>92</v>
      </c>
      <c r="F245" s="84">
        <f>INDEX(Definitions!$G$13:$G$17,MATCH(Table3[[#This Row],[Propensity to buy/ buyer readiness]],Definitions!$A$13:$A$17,0))</f>
        <v>50000</v>
      </c>
      <c r="G245" s="86">
        <v>5</v>
      </c>
      <c r="H245" s="86">
        <v>3</v>
      </c>
      <c r="I245" s="86">
        <v>4</v>
      </c>
      <c r="J245" s="86">
        <v>5</v>
      </c>
      <c r="K245" s="86">
        <v>3</v>
      </c>
      <c r="L245" s="86">
        <f>SUM(Table3[[#This Row],[Strategic priority segment]:[Propensity to buy/ buyer readiness]])</f>
        <v>20</v>
      </c>
      <c r="M245" s="86" t="s">
        <v>59</v>
      </c>
      <c r="N245" s="84" t="s">
        <v>60</v>
      </c>
      <c r="O245" s="87"/>
      <c r="P245" s="87"/>
      <c r="Q245" s="87"/>
      <c r="R245" s="87"/>
      <c r="S245" s="87"/>
      <c r="T245" s="87"/>
      <c r="U245" s="84">
        <v>1</v>
      </c>
      <c r="V245" s="84">
        <v>1</v>
      </c>
      <c r="W245" s="84">
        <v>1</v>
      </c>
      <c r="X245" s="84">
        <v>1</v>
      </c>
      <c r="Y245" s="84">
        <v>1</v>
      </c>
      <c r="Z245" s="84">
        <v>0</v>
      </c>
      <c r="AA245" s="84">
        <v>0</v>
      </c>
      <c r="AB245" s="84">
        <v>0</v>
      </c>
      <c r="AC245" s="84">
        <v>0</v>
      </c>
      <c r="AD245" s="84">
        <v>1</v>
      </c>
      <c r="AE245" s="84">
        <v>0</v>
      </c>
      <c r="AF245" s="84">
        <v>0</v>
      </c>
      <c r="AG245" s="84">
        <v>0</v>
      </c>
      <c r="AH245" s="84">
        <v>0</v>
      </c>
      <c r="AI245" s="84">
        <v>0</v>
      </c>
      <c r="AJ245" s="84">
        <v>0</v>
      </c>
      <c r="AK245" s="84">
        <v>0</v>
      </c>
      <c r="AL245" s="84" cm="1">
        <f t="array" ref="AL2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5" s="84" cm="1">
        <f t="array" ref="AM2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45" s="84" cm="1">
        <f t="array" ref="AN2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45" s="84" cm="1">
        <f t="array" ref="AO2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45" s="84" cm="1">
        <f t="array" ref="AP2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45" s="84" cm="1">
        <f t="array" ref="AQ2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45" s="84" cm="1">
        <f t="array" ref="AR2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45" s="84" cm="1">
        <f t="array" ref="AS2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45" s="84" cm="1">
        <f t="array" ref="AT2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45" s="84" cm="1">
        <f t="array" ref="AU2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45" s="84" cm="1">
        <f t="array" ref="AV2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5" s="84" cm="1">
        <f t="array" ref="AW2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5" s="84" cm="1">
        <f t="array" ref="AX2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5" s="84" cm="1">
        <f t="array" ref="AY2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5" s="84" cm="1">
        <f t="array" ref="AZ2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5" s="84" cm="1">
        <f t="array" ref="BA2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5" s="84" cm="1">
        <f t="array" ref="BB2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5" s="84">
        <f>IF(SUM(Table3[[#This Row],[Column2]:[Column18]])&gt;Table3[[#This Row],[Column19]],Table3[[#This Row],[Column19]],SUM(Table3[[#This Row],[Column2]:[Column18]]))</f>
        <v>50000</v>
      </c>
      <c r="BD245" s="2">
        <f>Table3[[#This Row],[Total Spend]]/SUM(Table3[[#This Row],[Column2]:[Column18]])</f>
        <v>0.26709401709401709</v>
      </c>
    </row>
    <row r="246" spans="1:56" ht="28.5">
      <c r="A246" s="84" t="s">
        <v>320</v>
      </c>
      <c r="B246" s="84"/>
      <c r="C246" s="84"/>
      <c r="D246" s="85">
        <v>45566</v>
      </c>
      <c r="E246" s="85" t="s">
        <v>58</v>
      </c>
      <c r="F246" s="84">
        <f>INDEX(Definitions!$G$13:$G$17,MATCH(Table3[[#This Row],[Propensity to buy/ buyer readiness]],Definitions!$A$13:$A$17,0))</f>
        <v>150000</v>
      </c>
      <c r="G246" s="86">
        <v>5</v>
      </c>
      <c r="H246" s="86">
        <v>4</v>
      </c>
      <c r="I246" s="86">
        <v>3</v>
      </c>
      <c r="J246" s="86">
        <v>4</v>
      </c>
      <c r="K246" s="86">
        <v>4</v>
      </c>
      <c r="L246" s="86">
        <f>SUM(Table3[[#This Row],[Strategic priority segment]:[Propensity to buy/ buyer readiness]])</f>
        <v>20</v>
      </c>
      <c r="M246" s="86" t="s">
        <v>102</v>
      </c>
      <c r="N246" s="84" t="s">
        <v>122</v>
      </c>
      <c r="O246" s="87" t="s">
        <v>61</v>
      </c>
      <c r="P246" s="87"/>
      <c r="Q246" s="87"/>
      <c r="R246" s="87"/>
      <c r="S246" s="87"/>
      <c r="T246" s="87"/>
      <c r="U246" s="84">
        <v>1</v>
      </c>
      <c r="V246" s="84">
        <v>0</v>
      </c>
      <c r="W246" s="84">
        <v>0</v>
      </c>
      <c r="X246" s="84">
        <v>0</v>
      </c>
      <c r="Y246" s="84">
        <v>0</v>
      </c>
      <c r="Z246" s="84">
        <v>1</v>
      </c>
      <c r="AA246" s="84">
        <v>1</v>
      </c>
      <c r="AB246" s="84">
        <v>1</v>
      </c>
      <c r="AC246" s="84">
        <v>1</v>
      </c>
      <c r="AD246" s="84">
        <v>1</v>
      </c>
      <c r="AE246" s="84">
        <v>0</v>
      </c>
      <c r="AF246" s="84">
        <v>1</v>
      </c>
      <c r="AG246" s="84">
        <v>0</v>
      </c>
      <c r="AH246" s="84">
        <v>0</v>
      </c>
      <c r="AI246" s="84">
        <v>0</v>
      </c>
      <c r="AJ246" s="84">
        <v>0</v>
      </c>
      <c r="AK246" s="84">
        <v>0</v>
      </c>
      <c r="AL246" s="84" cm="1">
        <f t="array" ref="AL2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46" s="84" cm="1">
        <f t="array" ref="AM2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6" s="84" cm="1">
        <f t="array" ref="AN2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6" s="84" cm="1">
        <f t="array" ref="AO2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6" s="84" cm="1">
        <f t="array" ref="AP2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6" s="84" cm="1">
        <f t="array" ref="AQ2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46" s="84" cm="1">
        <f t="array" ref="AR2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46" s="84" cm="1">
        <f t="array" ref="AS2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46" s="84" cm="1">
        <f t="array" ref="AT2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46" s="84" cm="1">
        <f t="array" ref="AU2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46" s="84" cm="1">
        <f t="array" ref="AV2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6" s="84" cm="1">
        <f t="array" ref="AW2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46" s="84" cm="1">
        <f t="array" ref="AX2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6" s="84" cm="1">
        <f t="array" ref="AY2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6" s="84" cm="1">
        <f t="array" ref="AZ2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6" s="84" cm="1">
        <f t="array" ref="BA2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6" s="84" cm="1">
        <f t="array" ref="BB2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6" s="84">
        <f>IF(SUM(Table3[[#This Row],[Column2]:[Column18]])&gt;Table3[[#This Row],[Column19]],Table3[[#This Row],[Column19]],SUM(Table3[[#This Row],[Column2]:[Column18]]))</f>
        <v>150000</v>
      </c>
      <c r="BD246" s="2">
        <f>Table3[[#This Row],[Total Spend]]/SUM(Table3[[#This Row],[Column2]:[Column18]])</f>
        <v>0.70028011204481788</v>
      </c>
    </row>
    <row r="247" spans="1:56">
      <c r="A247" s="84" t="s">
        <v>321</v>
      </c>
      <c r="B247" s="84" t="s">
        <v>57</v>
      </c>
      <c r="C247" s="84"/>
      <c r="D247" s="85">
        <v>45566</v>
      </c>
      <c r="E247" s="85" t="s">
        <v>92</v>
      </c>
      <c r="F247" s="84">
        <f>INDEX(Definitions!$G$13:$G$17,MATCH(Table3[[#This Row],[Propensity to buy/ buyer readiness]],Definitions!$A$13:$A$17,0))</f>
        <v>50000</v>
      </c>
      <c r="G247" s="86">
        <v>5</v>
      </c>
      <c r="H247" s="86">
        <v>4</v>
      </c>
      <c r="I247" s="86">
        <v>4</v>
      </c>
      <c r="J247" s="86">
        <v>4</v>
      </c>
      <c r="K247" s="86">
        <v>3</v>
      </c>
      <c r="L247" s="86">
        <f>SUM(Table3[[#This Row],[Strategic priority segment]:[Propensity to buy/ buyer readiness]])</f>
        <v>20</v>
      </c>
      <c r="M247" s="86" t="s">
        <v>102</v>
      </c>
      <c r="N247" s="84" t="s">
        <v>122</v>
      </c>
      <c r="O247" s="84" t="s">
        <v>61</v>
      </c>
      <c r="P247" s="87"/>
      <c r="Q247" s="87"/>
      <c r="R247" s="84"/>
      <c r="S247" s="87"/>
      <c r="T247" s="87"/>
      <c r="U247" s="84">
        <v>1</v>
      </c>
      <c r="V247" s="84">
        <v>0</v>
      </c>
      <c r="W247" s="84">
        <v>0</v>
      </c>
      <c r="X247" s="84">
        <v>0</v>
      </c>
      <c r="Y247" s="84">
        <v>0</v>
      </c>
      <c r="Z247" s="84">
        <v>1</v>
      </c>
      <c r="AA247" s="84">
        <v>1</v>
      </c>
      <c r="AB247" s="84">
        <v>1</v>
      </c>
      <c r="AC247" s="84">
        <v>1</v>
      </c>
      <c r="AD247" s="84">
        <v>1</v>
      </c>
      <c r="AE247" s="84">
        <v>0</v>
      </c>
      <c r="AF247" s="84">
        <v>1</v>
      </c>
      <c r="AG247" s="84">
        <v>0</v>
      </c>
      <c r="AH247" s="84">
        <v>0</v>
      </c>
      <c r="AI247" s="84">
        <v>0</v>
      </c>
      <c r="AJ247" s="84">
        <v>0</v>
      </c>
      <c r="AK247" s="84">
        <v>0</v>
      </c>
      <c r="AL247" s="84" cm="1">
        <f t="array" ref="AL2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7" s="84" cm="1">
        <f t="array" ref="AM2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7" s="84" cm="1">
        <f t="array" ref="AN2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7" s="84" cm="1">
        <f t="array" ref="AO2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7" s="84" cm="1">
        <f t="array" ref="AP2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7" s="84" cm="1">
        <f t="array" ref="AQ2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47" s="84" cm="1">
        <f t="array" ref="AR2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47" s="84" cm="1">
        <f t="array" ref="AS2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47" s="84" cm="1">
        <f t="array" ref="AT2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47" s="84" cm="1">
        <f t="array" ref="AU2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47" s="84" cm="1">
        <f t="array" ref="AV2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7" s="84" cm="1">
        <f t="array" ref="AW2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47" s="84" cm="1">
        <f t="array" ref="AX2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7" s="84" cm="1">
        <f t="array" ref="AY2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7" s="84" cm="1">
        <f t="array" ref="AZ2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7" s="84" cm="1">
        <f t="array" ref="BA2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7" s="84" cm="1">
        <f t="array" ref="BB2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7" s="84">
        <f>IF(SUM(Table3[[#This Row],[Column2]:[Column18]])&gt;Table3[[#This Row],[Column19]],Table3[[#This Row],[Column19]],SUM(Table3[[#This Row],[Column2]:[Column18]]))</f>
        <v>50000</v>
      </c>
      <c r="BD247" s="2">
        <f>Table3[[#This Row],[Total Spend]]/SUM(Table3[[#This Row],[Column2]:[Column18]])</f>
        <v>0.32299741602067183</v>
      </c>
    </row>
    <row r="248" spans="1:56" ht="28.5">
      <c r="A248" s="84" t="s">
        <v>322</v>
      </c>
      <c r="B248" s="84" t="s">
        <v>57</v>
      </c>
      <c r="C248" s="84"/>
      <c r="D248" s="85">
        <v>45566</v>
      </c>
      <c r="E248" s="85" t="s">
        <v>58</v>
      </c>
      <c r="F248" s="84">
        <f>INDEX(Definitions!$G$13:$G$17,MATCH(Table3[[#This Row],[Propensity to buy/ buyer readiness]],Definitions!$A$13:$A$17,0))</f>
        <v>50000</v>
      </c>
      <c r="G248" s="86">
        <v>5</v>
      </c>
      <c r="H248" s="86">
        <v>4</v>
      </c>
      <c r="I248" s="86">
        <v>4</v>
      </c>
      <c r="J248" s="86">
        <v>4</v>
      </c>
      <c r="K248" s="86">
        <v>3</v>
      </c>
      <c r="L248" s="86">
        <f>SUM(Table3[[#This Row],[Strategic priority segment]:[Propensity to buy/ buyer readiness]])</f>
        <v>20</v>
      </c>
      <c r="M248" s="86" t="s">
        <v>191</v>
      </c>
      <c r="N248" s="84" t="s">
        <v>135</v>
      </c>
      <c r="O248" s="87" t="s">
        <v>61</v>
      </c>
      <c r="P248" s="87"/>
      <c r="Q248" s="87"/>
      <c r="R248" s="84"/>
      <c r="S248" s="87"/>
      <c r="T248" s="87"/>
      <c r="U248" s="84">
        <v>1</v>
      </c>
      <c r="V248" s="84">
        <v>0</v>
      </c>
      <c r="W248" s="84">
        <v>0</v>
      </c>
      <c r="X248" s="84">
        <v>0</v>
      </c>
      <c r="Y248" s="84">
        <v>0</v>
      </c>
      <c r="Z248" s="84">
        <v>1</v>
      </c>
      <c r="AA248" s="84">
        <v>1</v>
      </c>
      <c r="AB248" s="84">
        <v>1</v>
      </c>
      <c r="AC248" s="84">
        <v>1</v>
      </c>
      <c r="AD248" s="84">
        <v>0</v>
      </c>
      <c r="AE248" s="84">
        <v>0</v>
      </c>
      <c r="AF248" s="84">
        <v>0</v>
      </c>
      <c r="AG248" s="84">
        <v>0</v>
      </c>
      <c r="AH248" s="84">
        <v>1</v>
      </c>
      <c r="AI248" s="84">
        <v>1</v>
      </c>
      <c r="AJ248" s="84">
        <v>1</v>
      </c>
      <c r="AK248" s="84">
        <v>1</v>
      </c>
      <c r="AL248" s="84" cm="1">
        <f t="array" ref="AL2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48" s="84" cm="1">
        <f t="array" ref="AM2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8" s="84" cm="1">
        <f t="array" ref="AN2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8" s="84" cm="1">
        <f t="array" ref="AO2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8" s="84" cm="1">
        <f t="array" ref="AP2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8" s="84" cm="1">
        <f t="array" ref="AQ2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48" s="84" cm="1">
        <f t="array" ref="AR2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48" s="84" cm="1">
        <f t="array" ref="AS2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48" s="84" cm="1">
        <f t="array" ref="AT2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48" s="84" cm="1">
        <f t="array" ref="AU2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48" s="84" cm="1">
        <f t="array" ref="AV2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8" s="84" cm="1">
        <f t="array" ref="AW2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8" s="84" cm="1">
        <f t="array" ref="AX2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8" s="84" cm="1">
        <f t="array" ref="AY2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48" s="84" cm="1">
        <f t="array" ref="AZ2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48" s="84" cm="1">
        <f t="array" ref="BA2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48" s="84" cm="1">
        <f t="array" ref="BB2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48" s="84">
        <f>IF(SUM(Table3[[#This Row],[Column2]:[Column18]])&gt;Table3[[#This Row],[Column19]],Table3[[#This Row],[Column19]],SUM(Table3[[#This Row],[Column2]:[Column18]]))</f>
        <v>50000</v>
      </c>
      <c r="BD248" s="2">
        <f>Table3[[#This Row],[Total Spend]]/SUM(Table3[[#This Row],[Column2]:[Column18]])</f>
        <v>0.24420024420024419</v>
      </c>
    </row>
    <row r="249" spans="1:56">
      <c r="A249" s="84" t="s">
        <v>323</v>
      </c>
      <c r="B249" s="84"/>
      <c r="C249" s="84"/>
      <c r="D249" s="85">
        <v>45566</v>
      </c>
      <c r="E249" s="85" t="s">
        <v>92</v>
      </c>
      <c r="F249" s="84">
        <f>INDEX(Definitions!$G$13:$G$17,MATCH(Table3[[#This Row],[Propensity to buy/ buyer readiness]],Definitions!$A$13:$A$17,0))</f>
        <v>50000</v>
      </c>
      <c r="G249" s="86">
        <v>5</v>
      </c>
      <c r="H249" s="86">
        <v>5</v>
      </c>
      <c r="I249" s="86">
        <v>3</v>
      </c>
      <c r="J249" s="86">
        <v>4</v>
      </c>
      <c r="K249" s="86">
        <v>3</v>
      </c>
      <c r="L249" s="86">
        <f>SUM(Table3[[#This Row],[Strategic priority segment]:[Propensity to buy/ buyer readiness]])</f>
        <v>20</v>
      </c>
      <c r="M249" s="86" t="s">
        <v>102</v>
      </c>
      <c r="N249" s="84" t="s">
        <v>61</v>
      </c>
      <c r="O249" s="87"/>
      <c r="P249" s="87"/>
      <c r="Q249" s="87"/>
      <c r="R249" s="87"/>
      <c r="S249" s="87"/>
      <c r="T249" s="87"/>
      <c r="U249" s="84">
        <v>1</v>
      </c>
      <c r="V249" s="84">
        <v>0</v>
      </c>
      <c r="W249" s="84">
        <v>0</v>
      </c>
      <c r="X249" s="84">
        <v>0</v>
      </c>
      <c r="Y249" s="84">
        <v>0</v>
      </c>
      <c r="Z249" s="84">
        <v>1</v>
      </c>
      <c r="AA249" s="84">
        <v>1</v>
      </c>
      <c r="AB249" s="84">
        <v>1</v>
      </c>
      <c r="AC249" s="84">
        <v>1</v>
      </c>
      <c r="AD249" s="84">
        <v>0</v>
      </c>
      <c r="AE249" s="84">
        <v>0</v>
      </c>
      <c r="AF249" s="84">
        <v>0</v>
      </c>
      <c r="AG249" s="84">
        <v>0</v>
      </c>
      <c r="AH249" s="84">
        <v>0</v>
      </c>
      <c r="AI249" s="84">
        <v>0</v>
      </c>
      <c r="AJ249" s="84">
        <v>0</v>
      </c>
      <c r="AK249" s="84">
        <v>0</v>
      </c>
      <c r="AL249" s="84" cm="1">
        <f t="array" ref="AL2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49" s="84" cm="1">
        <f t="array" ref="AM2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49" s="84" cm="1">
        <f t="array" ref="AN2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49" s="84" cm="1">
        <f t="array" ref="AO2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49" s="84" cm="1">
        <f t="array" ref="AP2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49" s="84" cm="1">
        <f t="array" ref="AQ2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49" s="84" cm="1">
        <f t="array" ref="AR2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49" s="84" cm="1">
        <f t="array" ref="AS2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49" s="84" cm="1">
        <f t="array" ref="AT2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49" s="84" cm="1">
        <f t="array" ref="AU2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49" s="84" cm="1">
        <f t="array" ref="AV2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49" s="84" cm="1">
        <f t="array" ref="AW2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49" s="84" cm="1">
        <f t="array" ref="AX2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49" s="84" cm="1">
        <f t="array" ref="AY2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49" s="84" cm="1">
        <f t="array" ref="AZ2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49" s="84" cm="1">
        <f t="array" ref="BA2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49" s="84" cm="1">
        <f t="array" ref="BB2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49" s="84">
        <f>IF(SUM(Table3[[#This Row],[Column2]:[Column18]])&gt;Table3[[#This Row],[Column19]],Table3[[#This Row],[Column19]],SUM(Table3[[#This Row],[Column2]:[Column18]]))</f>
        <v>50000</v>
      </c>
      <c r="BD249" s="2">
        <f>Table3[[#This Row],[Total Spend]]/SUM(Table3[[#This Row],[Column2]:[Column18]])</f>
        <v>0.49164208456243852</v>
      </c>
    </row>
    <row r="250" spans="1:56">
      <c r="A250" s="84" t="s">
        <v>324</v>
      </c>
      <c r="B250" s="84"/>
      <c r="C250" s="84"/>
      <c r="D250" s="85">
        <v>45566</v>
      </c>
      <c r="E250" s="85" t="s">
        <v>92</v>
      </c>
      <c r="F250" s="84">
        <f>INDEX(Definitions!$G$13:$G$17,MATCH(Table3[[#This Row],[Propensity to buy/ buyer readiness]],Definitions!$A$13:$A$17,0))</f>
        <v>50000</v>
      </c>
      <c r="G250" s="86">
        <v>5</v>
      </c>
      <c r="H250" s="86">
        <v>5</v>
      </c>
      <c r="I250" s="86">
        <v>3</v>
      </c>
      <c r="J250" s="86">
        <v>4</v>
      </c>
      <c r="K250" s="86">
        <v>3</v>
      </c>
      <c r="L250" s="86">
        <f>SUM(Table3[[#This Row],[Strategic priority segment]:[Propensity to buy/ buyer readiness]])</f>
        <v>20</v>
      </c>
      <c r="M250" s="86" t="s">
        <v>102</v>
      </c>
      <c r="N250" s="84" t="s">
        <v>61</v>
      </c>
      <c r="O250" s="84"/>
      <c r="P250" s="87"/>
      <c r="Q250" s="87"/>
      <c r="R250" s="84"/>
      <c r="S250" s="87"/>
      <c r="T250" s="87"/>
      <c r="U250" s="84">
        <v>1</v>
      </c>
      <c r="V250" s="84">
        <v>0</v>
      </c>
      <c r="W250" s="84">
        <v>0</v>
      </c>
      <c r="X250" s="84">
        <v>0</v>
      </c>
      <c r="Y250" s="84">
        <v>0</v>
      </c>
      <c r="Z250" s="84">
        <v>1</v>
      </c>
      <c r="AA250" s="84">
        <v>1</v>
      </c>
      <c r="AB250" s="84">
        <v>1</v>
      </c>
      <c r="AC250" s="84">
        <v>1</v>
      </c>
      <c r="AD250" s="84">
        <v>0</v>
      </c>
      <c r="AE250" s="84">
        <v>0</v>
      </c>
      <c r="AF250" s="84">
        <v>0</v>
      </c>
      <c r="AG250" s="84">
        <v>0</v>
      </c>
      <c r="AH250" s="84">
        <v>0</v>
      </c>
      <c r="AI250" s="84">
        <v>0</v>
      </c>
      <c r="AJ250" s="84">
        <v>0</v>
      </c>
      <c r="AK250" s="84">
        <v>0</v>
      </c>
      <c r="AL250" s="84" cm="1">
        <f t="array" ref="AL2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0" s="84" cm="1">
        <f t="array" ref="AM2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0" s="84" cm="1">
        <f t="array" ref="AN2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0" s="84" cm="1">
        <f t="array" ref="AO2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0" s="84" cm="1">
        <f t="array" ref="AP2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0" s="84" cm="1">
        <f t="array" ref="AQ2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50" s="84" cm="1">
        <f t="array" ref="AR2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50" s="84" cm="1">
        <f t="array" ref="AS2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50" s="84" cm="1">
        <f t="array" ref="AT2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50" s="84" cm="1">
        <f t="array" ref="AU2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50" s="84" cm="1">
        <f t="array" ref="AV2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0" s="84" cm="1">
        <f t="array" ref="AW2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0" s="84" cm="1">
        <f t="array" ref="AX2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0" s="84" cm="1">
        <f t="array" ref="AY2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0" s="84" cm="1">
        <f t="array" ref="AZ2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0" s="84" cm="1">
        <f t="array" ref="BA2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0" s="84" cm="1">
        <f t="array" ref="BB2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0" s="84">
        <f>IF(SUM(Table3[[#This Row],[Column2]:[Column18]])&gt;Table3[[#This Row],[Column19]],Table3[[#This Row],[Column19]],SUM(Table3[[#This Row],[Column2]:[Column18]]))</f>
        <v>50000</v>
      </c>
      <c r="BD250" s="2">
        <f>Table3[[#This Row],[Total Spend]]/SUM(Table3[[#This Row],[Column2]:[Column18]])</f>
        <v>0.49164208456243852</v>
      </c>
    </row>
    <row r="251" spans="1:56">
      <c r="A251" s="84" t="s">
        <v>325</v>
      </c>
      <c r="B251" s="84"/>
      <c r="C251" s="84"/>
      <c r="D251" s="85">
        <v>45566</v>
      </c>
      <c r="E251" s="85" t="s">
        <v>92</v>
      </c>
      <c r="F251" s="84">
        <f>INDEX(Definitions!$G$13:$G$17,MATCH(Table3[[#This Row],[Propensity to buy/ buyer readiness]],Definitions!$A$13:$A$17,0))</f>
        <v>50000</v>
      </c>
      <c r="G251" s="86">
        <v>5</v>
      </c>
      <c r="H251" s="86">
        <v>5</v>
      </c>
      <c r="I251" s="86">
        <v>3</v>
      </c>
      <c r="J251" s="86">
        <v>4</v>
      </c>
      <c r="K251" s="86">
        <v>3</v>
      </c>
      <c r="L251" s="86">
        <f>SUM(Table3[[#This Row],[Strategic priority segment]:[Propensity to buy/ buyer readiness]])</f>
        <v>20</v>
      </c>
      <c r="M251" s="86" t="s">
        <v>102</v>
      </c>
      <c r="N251" s="84" t="s">
        <v>61</v>
      </c>
      <c r="O251" s="84"/>
      <c r="P251" s="87"/>
      <c r="Q251" s="87"/>
      <c r="R251" s="84"/>
      <c r="S251" s="87"/>
      <c r="T251" s="87"/>
      <c r="U251" s="84">
        <v>1</v>
      </c>
      <c r="V251" s="84">
        <v>0</v>
      </c>
      <c r="W251" s="84">
        <v>0</v>
      </c>
      <c r="X251" s="84">
        <v>0</v>
      </c>
      <c r="Y251" s="84">
        <v>0</v>
      </c>
      <c r="Z251" s="84">
        <v>1</v>
      </c>
      <c r="AA251" s="84">
        <v>1</v>
      </c>
      <c r="AB251" s="84">
        <v>1</v>
      </c>
      <c r="AC251" s="84">
        <v>1</v>
      </c>
      <c r="AD251" s="84">
        <v>0</v>
      </c>
      <c r="AE251" s="84">
        <v>0</v>
      </c>
      <c r="AF251" s="84">
        <v>0</v>
      </c>
      <c r="AG251" s="84">
        <v>0</v>
      </c>
      <c r="AH251" s="84">
        <v>0</v>
      </c>
      <c r="AI251" s="84">
        <v>0</v>
      </c>
      <c r="AJ251" s="84">
        <v>0</v>
      </c>
      <c r="AK251" s="84">
        <v>0</v>
      </c>
      <c r="AL251" s="84" cm="1">
        <f t="array" ref="AL2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1" s="84" cm="1">
        <f t="array" ref="AM2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1" s="84" cm="1">
        <f t="array" ref="AN2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1" s="84" cm="1">
        <f t="array" ref="AO2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1" s="84" cm="1">
        <f t="array" ref="AP2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1" s="84" cm="1">
        <f t="array" ref="AQ2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51" s="84" cm="1">
        <f t="array" ref="AR2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51" s="84" cm="1">
        <f t="array" ref="AS2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51" s="84" cm="1">
        <f t="array" ref="AT2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51" s="84" cm="1">
        <f t="array" ref="AU2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51" s="84" cm="1">
        <f t="array" ref="AV2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1" s="84" cm="1">
        <f t="array" ref="AW2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1" s="84" cm="1">
        <f t="array" ref="AX2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1" s="84" cm="1">
        <f t="array" ref="AY2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1" s="84" cm="1">
        <f t="array" ref="AZ2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1" s="84" cm="1">
        <f t="array" ref="BA2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1" s="84" cm="1">
        <f t="array" ref="BB2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1" s="84">
        <f>IF(SUM(Table3[[#This Row],[Column2]:[Column18]])&gt;Table3[[#This Row],[Column19]],Table3[[#This Row],[Column19]],SUM(Table3[[#This Row],[Column2]:[Column18]]))</f>
        <v>50000</v>
      </c>
      <c r="BD251" s="2">
        <f>Table3[[#This Row],[Total Spend]]/SUM(Table3[[#This Row],[Column2]:[Column18]])</f>
        <v>0.49164208456243852</v>
      </c>
    </row>
    <row r="252" spans="1:56">
      <c r="A252" s="84" t="s">
        <v>326</v>
      </c>
      <c r="B252" s="84"/>
      <c r="C252" s="84" t="s">
        <v>57</v>
      </c>
      <c r="D252" s="85">
        <v>45566</v>
      </c>
      <c r="E252" s="85" t="s">
        <v>58</v>
      </c>
      <c r="F252" s="84">
        <f>INDEX(Definitions!$G$13:$G$17,MATCH(Table3[[#This Row],[Propensity to buy/ buyer readiness]],Definitions!$A$13:$A$17,0))</f>
        <v>150000</v>
      </c>
      <c r="G252" s="86">
        <v>4</v>
      </c>
      <c r="H252" s="86">
        <v>4</v>
      </c>
      <c r="I252" s="86">
        <v>4</v>
      </c>
      <c r="J252" s="86">
        <v>4</v>
      </c>
      <c r="K252" s="86">
        <v>4</v>
      </c>
      <c r="L252" s="86">
        <f>SUM(Table3[[#This Row],[Strategic priority segment]:[Propensity to buy/ buyer readiness]])</f>
        <v>20</v>
      </c>
      <c r="M252" s="86" t="s">
        <v>152</v>
      </c>
      <c r="N252" s="84" t="s">
        <v>122</v>
      </c>
      <c r="O252" s="84" t="s">
        <v>76</v>
      </c>
      <c r="P252" s="84"/>
      <c r="Q252" s="84"/>
      <c r="R252" s="84"/>
      <c r="S252" s="87"/>
      <c r="T252" s="87"/>
      <c r="U252" s="84">
        <v>1</v>
      </c>
      <c r="V252" s="84">
        <v>0</v>
      </c>
      <c r="W252" s="84">
        <v>0</v>
      </c>
      <c r="X252" s="84">
        <v>0</v>
      </c>
      <c r="Y252" s="84">
        <v>0</v>
      </c>
      <c r="Z252" s="84">
        <v>1</v>
      </c>
      <c r="AA252" s="84">
        <v>0</v>
      </c>
      <c r="AB252" s="84">
        <v>1</v>
      </c>
      <c r="AC252" s="84">
        <v>0</v>
      </c>
      <c r="AD252" s="84">
        <v>1</v>
      </c>
      <c r="AE252" s="84">
        <v>0</v>
      </c>
      <c r="AF252" s="84">
        <v>1</v>
      </c>
      <c r="AG252" s="84">
        <v>0</v>
      </c>
      <c r="AH252" s="84">
        <v>1</v>
      </c>
      <c r="AI252" s="84">
        <v>0</v>
      </c>
      <c r="AJ252" s="84">
        <v>1</v>
      </c>
      <c r="AK252" s="84">
        <v>0</v>
      </c>
      <c r="AL252" s="84" cm="1">
        <f t="array" ref="AL2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52" s="84" cm="1">
        <f t="array" ref="AM2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2" s="84" cm="1">
        <f t="array" ref="AN2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2" s="84" cm="1">
        <f t="array" ref="AO2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2" s="84" cm="1">
        <f t="array" ref="AP2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2" s="84" cm="1">
        <f t="array" ref="AQ2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52" s="84" cm="1">
        <f t="array" ref="AR2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52" s="84" cm="1">
        <f t="array" ref="AS2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52" s="84" cm="1">
        <f t="array" ref="AT2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52" s="84" cm="1">
        <f t="array" ref="AU2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52" s="84" cm="1">
        <f t="array" ref="AV2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2" s="84" cm="1">
        <f t="array" ref="AW2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52" s="84" cm="1">
        <f t="array" ref="AX2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2" s="84" cm="1">
        <f t="array" ref="AY2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52" s="84" cm="1">
        <f t="array" ref="AZ2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2" s="84" cm="1">
        <f t="array" ref="BA2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52" s="84" cm="1">
        <f t="array" ref="BB2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2" s="84">
        <f>IF(SUM(Table3[[#This Row],[Column2]:[Column18]])&gt;Table3[[#This Row],[Column19]],Table3[[#This Row],[Column19]],SUM(Table3[[#This Row],[Column2]:[Column18]]))</f>
        <v>150000</v>
      </c>
      <c r="BD252" s="2">
        <f>Table3[[#This Row],[Total Spend]]/SUM(Table3[[#This Row],[Column2]:[Column18]])</f>
        <v>0.71530758226037194</v>
      </c>
    </row>
    <row r="253" spans="1:56">
      <c r="A253" s="87" t="s">
        <v>327</v>
      </c>
      <c r="B253" s="87"/>
      <c r="C253" s="87" t="s">
        <v>57</v>
      </c>
      <c r="D253" s="85">
        <v>45566</v>
      </c>
      <c r="E253" s="85" t="s">
        <v>58</v>
      </c>
      <c r="F253" s="84">
        <f>INDEX(Definitions!$G$13:$G$17,MATCH(Table3[[#This Row],[Propensity to buy/ buyer readiness]],Definitions!$A$13:$A$17,0))</f>
        <v>150000</v>
      </c>
      <c r="G253" s="86">
        <v>5</v>
      </c>
      <c r="H253" s="86">
        <v>4</v>
      </c>
      <c r="I253" s="86">
        <v>3</v>
      </c>
      <c r="J253" s="86">
        <v>4</v>
      </c>
      <c r="K253" s="86">
        <v>4</v>
      </c>
      <c r="L253" s="86">
        <f>SUM(Table3[[#This Row],[Strategic priority segment]:[Propensity to buy/ buyer readiness]])</f>
        <v>20</v>
      </c>
      <c r="M253" s="86" t="s">
        <v>191</v>
      </c>
      <c r="N253" s="84" t="s">
        <v>135</v>
      </c>
      <c r="O253" s="87"/>
      <c r="P253" s="87"/>
      <c r="Q253" s="87"/>
      <c r="R253" s="84"/>
      <c r="S253" s="87"/>
      <c r="T253" s="87"/>
      <c r="U253" s="84">
        <v>0</v>
      </c>
      <c r="V253" s="84">
        <v>0</v>
      </c>
      <c r="W253" s="84">
        <v>0</v>
      </c>
      <c r="X253" s="84">
        <v>0</v>
      </c>
      <c r="Y253" s="84">
        <v>0</v>
      </c>
      <c r="Z253" s="84">
        <v>0</v>
      </c>
      <c r="AA253" s="84">
        <v>0</v>
      </c>
      <c r="AB253" s="84">
        <v>0</v>
      </c>
      <c r="AC253" s="84">
        <v>0</v>
      </c>
      <c r="AD253" s="84">
        <v>0</v>
      </c>
      <c r="AE253" s="84">
        <v>0</v>
      </c>
      <c r="AF253" s="84">
        <v>0</v>
      </c>
      <c r="AG253" s="84">
        <v>0</v>
      </c>
      <c r="AH253" s="84">
        <v>1</v>
      </c>
      <c r="AI253" s="84">
        <v>1</v>
      </c>
      <c r="AJ253" s="84">
        <v>1</v>
      </c>
      <c r="AK253" s="84">
        <v>1</v>
      </c>
      <c r="AL253" s="84" cm="1">
        <f t="array" ref="AL2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53" s="84" cm="1">
        <f t="array" ref="AM2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3" s="84" cm="1">
        <f t="array" ref="AN2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3" s="84" cm="1">
        <f t="array" ref="AO2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3" s="84" cm="1">
        <f t="array" ref="AP2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3" s="84" cm="1">
        <f t="array" ref="AQ2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53" s="84" cm="1">
        <f t="array" ref="AR2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53" s="84" cm="1">
        <f t="array" ref="AS2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53" s="84" cm="1">
        <f t="array" ref="AT2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53" s="84" cm="1">
        <f t="array" ref="AU2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53" s="84" cm="1">
        <f t="array" ref="AV2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3" s="84" cm="1">
        <f t="array" ref="AW2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3" s="84" cm="1">
        <f t="array" ref="AX2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3" s="84" cm="1">
        <f t="array" ref="AY2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53" s="84" cm="1">
        <f t="array" ref="AZ2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53" s="84" cm="1">
        <f t="array" ref="BA2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53" s="84" cm="1">
        <f t="array" ref="BB2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53" s="84">
        <f>IF(SUM(Table3[[#This Row],[Column2]:[Column18]])&gt;Table3[[#This Row],[Column19]],Table3[[#This Row],[Column19]],SUM(Table3[[#This Row],[Column2]:[Column18]]))</f>
        <v>64350</v>
      </c>
      <c r="BD253" s="2">
        <f>Table3[[#This Row],[Total Spend]]/SUM(Table3[[#This Row],[Column2]:[Column18]])</f>
        <v>1</v>
      </c>
    </row>
    <row r="254" spans="1:56">
      <c r="A254" s="84" t="s">
        <v>328</v>
      </c>
      <c r="B254" s="84"/>
      <c r="C254" s="84"/>
      <c r="D254" s="85">
        <v>45566</v>
      </c>
      <c r="E254" s="85" t="s">
        <v>92</v>
      </c>
      <c r="F254" s="84">
        <f>INDEX(Definitions!$G$13:$G$17,MATCH(Table3[[#This Row],[Propensity to buy/ buyer readiness]],Definitions!$A$13:$A$17,0))</f>
        <v>50000</v>
      </c>
      <c r="G254" s="86">
        <v>5</v>
      </c>
      <c r="H254" s="86">
        <v>5</v>
      </c>
      <c r="I254" s="86">
        <v>3</v>
      </c>
      <c r="J254" s="86">
        <v>4</v>
      </c>
      <c r="K254" s="86">
        <v>3</v>
      </c>
      <c r="L254" s="86">
        <f>SUM(Table3[[#This Row],[Strategic priority segment]:[Propensity to buy/ buyer readiness]])</f>
        <v>20</v>
      </c>
      <c r="M254" s="86" t="s">
        <v>102</v>
      </c>
      <c r="N254" s="84" t="s">
        <v>61</v>
      </c>
      <c r="O254" s="87" t="s">
        <v>62</v>
      </c>
      <c r="P254" s="87"/>
      <c r="Q254" s="87"/>
      <c r="R254" s="87"/>
      <c r="S254" s="87"/>
      <c r="T254" s="87"/>
      <c r="U254" s="84">
        <v>1</v>
      </c>
      <c r="V254" s="84">
        <v>0</v>
      </c>
      <c r="W254" s="84">
        <v>0</v>
      </c>
      <c r="X254" s="84">
        <v>0</v>
      </c>
      <c r="Y254" s="84">
        <v>0</v>
      </c>
      <c r="Z254" s="84">
        <v>1</v>
      </c>
      <c r="AA254" s="84">
        <v>1</v>
      </c>
      <c r="AB254" s="84">
        <v>1</v>
      </c>
      <c r="AC254" s="84">
        <v>1</v>
      </c>
      <c r="AD254" s="84">
        <v>1</v>
      </c>
      <c r="AE254" s="84">
        <v>1</v>
      </c>
      <c r="AF254" s="84">
        <v>1</v>
      </c>
      <c r="AG254" s="84">
        <v>1</v>
      </c>
      <c r="AH254" s="84">
        <v>0</v>
      </c>
      <c r="AI254" s="84">
        <v>0</v>
      </c>
      <c r="AJ254" s="84">
        <v>0</v>
      </c>
      <c r="AK254" s="84">
        <v>0</v>
      </c>
      <c r="AL254" s="84" cm="1">
        <f t="array" ref="AL2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4" s="84" cm="1">
        <f t="array" ref="AM2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4" s="84" cm="1">
        <f t="array" ref="AN2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4" s="84" cm="1">
        <f t="array" ref="AO2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4" s="84" cm="1">
        <f t="array" ref="AP2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4" s="84" cm="1">
        <f t="array" ref="AQ2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54" s="84" cm="1">
        <f t="array" ref="AR2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54" s="84" cm="1">
        <f t="array" ref="AS2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54" s="84" cm="1">
        <f t="array" ref="AT2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54" s="84" cm="1">
        <f t="array" ref="AU2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54" s="84" cm="1">
        <f t="array" ref="AV2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54" s="84" cm="1">
        <f t="array" ref="AW2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54" s="84" cm="1">
        <f t="array" ref="AX2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54" s="84" cm="1">
        <f t="array" ref="AY2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4" s="84" cm="1">
        <f t="array" ref="AZ2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4" s="84" cm="1">
        <f t="array" ref="BA2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4" s="84" cm="1">
        <f t="array" ref="BB2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4" s="84">
        <f>IF(SUM(Table3[[#This Row],[Column2]:[Column18]])&gt;Table3[[#This Row],[Column19]],Table3[[#This Row],[Column19]],SUM(Table3[[#This Row],[Column2]:[Column18]]))</f>
        <v>50000</v>
      </c>
      <c r="BD254" s="2">
        <f>Table3[[#This Row],[Total Spend]]/SUM(Table3[[#This Row],[Column2]:[Column18]])</f>
        <v>0.2664535038635758</v>
      </c>
    </row>
    <row r="255" spans="1:56">
      <c r="A255" s="84" t="s">
        <v>329</v>
      </c>
      <c r="B255" s="84"/>
      <c r="C255" s="84"/>
      <c r="D255" s="85">
        <v>45566</v>
      </c>
      <c r="E255" s="85" t="s">
        <v>92</v>
      </c>
      <c r="F255" s="84">
        <f>INDEX(Definitions!$G$13:$G$17,MATCH(Table3[[#This Row],[Propensity to buy/ buyer readiness]],Definitions!$A$13:$A$17,0))</f>
        <v>50000</v>
      </c>
      <c r="G255" s="86">
        <v>5</v>
      </c>
      <c r="H255" s="86">
        <v>3</v>
      </c>
      <c r="I255" s="86">
        <v>4</v>
      </c>
      <c r="J255" s="86">
        <v>5</v>
      </c>
      <c r="K255" s="86">
        <v>3</v>
      </c>
      <c r="L255" s="86">
        <f>SUM(Table3[[#This Row],[Strategic priority segment]:[Propensity to buy/ buyer readiness]])</f>
        <v>20</v>
      </c>
      <c r="M255" s="86" t="s">
        <v>59</v>
      </c>
      <c r="N255" s="84" t="s">
        <v>60</v>
      </c>
      <c r="O255" s="87"/>
      <c r="P255" s="84" t="s">
        <v>135</v>
      </c>
      <c r="Q255" s="87"/>
      <c r="R255" s="84"/>
      <c r="S255" s="87"/>
      <c r="T255" s="87"/>
      <c r="U255" s="84">
        <v>1</v>
      </c>
      <c r="V255" s="84">
        <v>1</v>
      </c>
      <c r="W255" s="84">
        <v>1</v>
      </c>
      <c r="X255" s="84">
        <v>1</v>
      </c>
      <c r="Y255" s="84">
        <v>1</v>
      </c>
      <c r="Z255" s="84">
        <v>0</v>
      </c>
      <c r="AA255" s="84">
        <v>0</v>
      </c>
      <c r="AB255" s="84">
        <v>0</v>
      </c>
      <c r="AC255" s="84">
        <v>0</v>
      </c>
      <c r="AD255" s="84">
        <v>1</v>
      </c>
      <c r="AE255" s="84">
        <v>0</v>
      </c>
      <c r="AF255" s="84">
        <v>0</v>
      </c>
      <c r="AG255" s="84">
        <v>0</v>
      </c>
      <c r="AH255" s="84">
        <v>1</v>
      </c>
      <c r="AI255" s="84">
        <v>1</v>
      </c>
      <c r="AJ255" s="84">
        <v>1</v>
      </c>
      <c r="AK255" s="84">
        <v>1</v>
      </c>
      <c r="AL255" s="84" cm="1">
        <f t="array" ref="AL2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5" s="84" cm="1">
        <f t="array" ref="AM2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55" s="84" cm="1">
        <f t="array" ref="AN2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55" s="84" cm="1">
        <f t="array" ref="AO2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55" s="84" cm="1">
        <f t="array" ref="AP2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55" s="84" cm="1">
        <f t="array" ref="AQ2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55" s="84" cm="1">
        <f t="array" ref="AR2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55" s="84" cm="1">
        <f t="array" ref="AS2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55" s="84" cm="1">
        <f t="array" ref="AT2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55" s="84" cm="1">
        <f t="array" ref="AU2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55" s="84" cm="1">
        <f t="array" ref="AV2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5" s="84" cm="1">
        <f t="array" ref="AW2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5" s="84" cm="1">
        <f t="array" ref="AX2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5" s="84" cm="1">
        <f t="array" ref="AY2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55" s="84" cm="1">
        <f t="array" ref="AZ2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55" s="84" cm="1">
        <f t="array" ref="BA2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55" s="84" cm="1">
        <f t="array" ref="BB2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55" s="84">
        <f>IF(SUM(Table3[[#This Row],[Column2]:[Column18]])&gt;Table3[[#This Row],[Column19]],Table3[[#This Row],[Column19]],SUM(Table3[[#This Row],[Column2]:[Column18]]))</f>
        <v>50000</v>
      </c>
      <c r="BD255" s="2">
        <f>Table3[[#This Row],[Total Spend]]/SUM(Table3[[#This Row],[Column2]:[Column18]])</f>
        <v>0.21408691928923143</v>
      </c>
    </row>
    <row r="256" spans="1:56">
      <c r="A256" s="87" t="s">
        <v>330</v>
      </c>
      <c r="B256" s="87"/>
      <c r="C256" s="87"/>
      <c r="D256" s="85">
        <v>45566</v>
      </c>
      <c r="E256" s="85" t="s">
        <v>92</v>
      </c>
      <c r="F256" s="84">
        <f>INDEX(Definitions!$G$13:$G$17,MATCH(Table3[[#This Row],[Propensity to buy/ buyer readiness]],Definitions!$A$13:$A$17,0))</f>
        <v>50000</v>
      </c>
      <c r="G256" s="86">
        <v>5</v>
      </c>
      <c r="H256" s="86">
        <v>5</v>
      </c>
      <c r="I256" s="86">
        <v>3</v>
      </c>
      <c r="J256" s="86">
        <v>4</v>
      </c>
      <c r="K256" s="86">
        <v>3</v>
      </c>
      <c r="L256" s="86">
        <f>SUM(Table3[[#This Row],[Strategic priority segment]:[Propensity to buy/ buyer readiness]])</f>
        <v>20</v>
      </c>
      <c r="M256" s="86" t="s">
        <v>102</v>
      </c>
      <c r="N256" s="84" t="s">
        <v>61</v>
      </c>
      <c r="O256" s="87"/>
      <c r="P256" s="87"/>
      <c r="Q256" s="87"/>
      <c r="R256" s="84"/>
      <c r="S256" s="87"/>
      <c r="T256" s="87"/>
      <c r="U256" s="84">
        <v>1</v>
      </c>
      <c r="V256" s="84">
        <v>0</v>
      </c>
      <c r="W256" s="84">
        <v>0</v>
      </c>
      <c r="X256" s="84">
        <v>0</v>
      </c>
      <c r="Y256" s="84">
        <v>0</v>
      </c>
      <c r="Z256" s="84">
        <v>1</v>
      </c>
      <c r="AA256" s="84">
        <v>1</v>
      </c>
      <c r="AB256" s="84">
        <v>1</v>
      </c>
      <c r="AC256" s="84">
        <v>1</v>
      </c>
      <c r="AD256" s="84">
        <v>0</v>
      </c>
      <c r="AE256" s="84">
        <v>0</v>
      </c>
      <c r="AF256" s="84">
        <v>0</v>
      </c>
      <c r="AG256" s="84">
        <v>0</v>
      </c>
      <c r="AH256" s="84">
        <v>0</v>
      </c>
      <c r="AI256" s="84">
        <v>0</v>
      </c>
      <c r="AJ256" s="84">
        <v>0</v>
      </c>
      <c r="AK256" s="84">
        <v>0</v>
      </c>
      <c r="AL256" s="84" cm="1">
        <f t="array" ref="AL2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6" s="84" cm="1">
        <f t="array" ref="AM2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6" s="84" cm="1">
        <f t="array" ref="AN2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6" s="84" cm="1">
        <f t="array" ref="AO2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6" s="84" cm="1">
        <f t="array" ref="AP2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6" s="84" cm="1">
        <f t="array" ref="AQ2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56" s="84" cm="1">
        <f t="array" ref="AR2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56" s="84" cm="1">
        <f t="array" ref="AS2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56" s="84" cm="1">
        <f t="array" ref="AT2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56" s="84" cm="1">
        <f t="array" ref="AU2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56" s="84" cm="1">
        <f t="array" ref="AV2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6" s="84" cm="1">
        <f t="array" ref="AW2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6" s="84" cm="1">
        <f t="array" ref="AX2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6" s="84" cm="1">
        <f t="array" ref="AY2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6" s="84" cm="1">
        <f t="array" ref="AZ2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6" s="84" cm="1">
        <f t="array" ref="BA2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6" s="84" cm="1">
        <f t="array" ref="BB2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6" s="84">
        <f>IF(SUM(Table3[[#This Row],[Column2]:[Column18]])&gt;Table3[[#This Row],[Column19]],Table3[[#This Row],[Column19]],SUM(Table3[[#This Row],[Column2]:[Column18]]))</f>
        <v>50000</v>
      </c>
      <c r="BD256" s="2">
        <f>Table3[[#This Row],[Total Spend]]/SUM(Table3[[#This Row],[Column2]:[Column18]])</f>
        <v>0.49164208456243852</v>
      </c>
    </row>
    <row r="257" spans="1:56">
      <c r="A257" s="84" t="s">
        <v>331</v>
      </c>
      <c r="B257" s="84" t="s">
        <v>57</v>
      </c>
      <c r="C257" s="84" t="s">
        <v>57</v>
      </c>
      <c r="D257" s="85">
        <v>45566</v>
      </c>
      <c r="E257" s="85" t="s">
        <v>58</v>
      </c>
      <c r="F257" s="84">
        <f>INDEX(Definitions!$G$13:$G$17,MATCH(Table3[[#This Row],[Propensity to buy/ buyer readiness]],Definitions!$A$13:$A$17,0))</f>
        <v>150000</v>
      </c>
      <c r="G257" s="86">
        <v>4</v>
      </c>
      <c r="H257" s="86">
        <v>4</v>
      </c>
      <c r="I257" s="86">
        <v>4</v>
      </c>
      <c r="J257" s="86">
        <v>4</v>
      </c>
      <c r="K257" s="86">
        <v>4</v>
      </c>
      <c r="L257" s="86">
        <f>SUM(Table3[[#This Row],[Strategic priority segment]:[Propensity to buy/ buyer readiness]])</f>
        <v>20</v>
      </c>
      <c r="M257" s="86" t="s">
        <v>191</v>
      </c>
      <c r="N257" s="84" t="s">
        <v>76</v>
      </c>
      <c r="O257" s="84" t="s">
        <v>135</v>
      </c>
      <c r="P257" s="84"/>
      <c r="Q257" s="84"/>
      <c r="R257" s="84"/>
      <c r="S257" s="87"/>
      <c r="T257" s="87"/>
      <c r="U257" s="84">
        <v>0</v>
      </c>
      <c r="V257" s="84">
        <v>0</v>
      </c>
      <c r="W257" s="84">
        <v>0</v>
      </c>
      <c r="X257" s="84">
        <v>0</v>
      </c>
      <c r="Y257" s="84">
        <v>0</v>
      </c>
      <c r="Z257" s="84">
        <v>0</v>
      </c>
      <c r="AA257" s="84">
        <v>0</v>
      </c>
      <c r="AB257" s="84">
        <v>0</v>
      </c>
      <c r="AC257" s="84">
        <v>0</v>
      </c>
      <c r="AD257" s="84">
        <v>0</v>
      </c>
      <c r="AE257" s="84">
        <v>0</v>
      </c>
      <c r="AF257" s="84">
        <v>0</v>
      </c>
      <c r="AG257" s="84">
        <v>0</v>
      </c>
      <c r="AH257" s="84">
        <v>1</v>
      </c>
      <c r="AI257" s="84">
        <v>1</v>
      </c>
      <c r="AJ257" s="84">
        <v>1</v>
      </c>
      <c r="AK257" s="84">
        <v>1</v>
      </c>
      <c r="AL257" s="84" cm="1">
        <f t="array" ref="AL2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57" s="84" cm="1">
        <f t="array" ref="AM2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7" s="84" cm="1">
        <f t="array" ref="AN2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7" s="84" cm="1">
        <f t="array" ref="AO2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7" s="84" cm="1">
        <f t="array" ref="AP2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7" s="84" cm="1">
        <f t="array" ref="AQ2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57" s="84" cm="1">
        <f t="array" ref="AR2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57" s="84" cm="1">
        <f t="array" ref="AS2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57" s="84" cm="1">
        <f t="array" ref="AT2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57" s="84" cm="1">
        <f t="array" ref="AU2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57" s="84" cm="1">
        <f t="array" ref="AV2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7" s="84" cm="1">
        <f t="array" ref="AW2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7" s="84" cm="1">
        <f t="array" ref="AX2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7" s="84" cm="1">
        <f t="array" ref="AY2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57" s="84" cm="1">
        <f t="array" ref="AZ2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57" s="84" cm="1">
        <f t="array" ref="BA2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57" s="84" cm="1">
        <f t="array" ref="BB2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57" s="84">
        <f>IF(SUM(Table3[[#This Row],[Column2]:[Column18]])&gt;Table3[[#This Row],[Column19]],Table3[[#This Row],[Column19]],SUM(Table3[[#This Row],[Column2]:[Column18]]))</f>
        <v>64350</v>
      </c>
      <c r="BD257" s="2">
        <f>Table3[[#This Row],[Total Spend]]/SUM(Table3[[#This Row],[Column2]:[Column18]])</f>
        <v>1</v>
      </c>
    </row>
    <row r="258" spans="1:56">
      <c r="A258" s="84" t="s">
        <v>332</v>
      </c>
      <c r="B258" s="84"/>
      <c r="C258" s="84"/>
      <c r="D258" s="85">
        <v>45566</v>
      </c>
      <c r="E258" s="85" t="s">
        <v>92</v>
      </c>
      <c r="F258" s="84">
        <f>INDEX(Definitions!$G$13:$G$17,MATCH(Table3[[#This Row],[Propensity to buy/ buyer readiness]],Definitions!$A$13:$A$17,0))</f>
        <v>50000</v>
      </c>
      <c r="G258" s="86">
        <v>5</v>
      </c>
      <c r="H258" s="86">
        <v>5</v>
      </c>
      <c r="I258" s="86">
        <v>3</v>
      </c>
      <c r="J258" s="86">
        <v>4</v>
      </c>
      <c r="K258" s="86">
        <v>3</v>
      </c>
      <c r="L258" s="86">
        <f>SUM(Table3[[#This Row],[Strategic priority segment]:[Propensity to buy/ buyer readiness]])</f>
        <v>20</v>
      </c>
      <c r="M258" s="86" t="s">
        <v>102</v>
      </c>
      <c r="N258" s="84" t="s">
        <v>61</v>
      </c>
      <c r="O258" s="87"/>
      <c r="P258" s="87"/>
      <c r="Q258" s="87"/>
      <c r="R258" s="87"/>
      <c r="S258" s="87"/>
      <c r="T258" s="87"/>
      <c r="U258" s="84">
        <v>1</v>
      </c>
      <c r="V258" s="84">
        <v>0</v>
      </c>
      <c r="W258" s="84">
        <v>0</v>
      </c>
      <c r="X258" s="84">
        <v>0</v>
      </c>
      <c r="Y258" s="84">
        <v>0</v>
      </c>
      <c r="Z258" s="84">
        <v>1</v>
      </c>
      <c r="AA258" s="84">
        <v>1</v>
      </c>
      <c r="AB258" s="84">
        <v>1</v>
      </c>
      <c r="AC258" s="84">
        <v>1</v>
      </c>
      <c r="AD258" s="84">
        <v>0</v>
      </c>
      <c r="AE258" s="84">
        <v>0</v>
      </c>
      <c r="AF258" s="84">
        <v>0</v>
      </c>
      <c r="AG258" s="84">
        <v>0</v>
      </c>
      <c r="AH258" s="84">
        <v>0</v>
      </c>
      <c r="AI258" s="84">
        <v>0</v>
      </c>
      <c r="AJ258" s="84">
        <v>0</v>
      </c>
      <c r="AK258" s="84">
        <v>0</v>
      </c>
      <c r="AL258" s="84" cm="1">
        <f t="array" ref="AL2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8" s="84" cm="1">
        <f t="array" ref="AM2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58" s="84" cm="1">
        <f t="array" ref="AN2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58" s="84" cm="1">
        <f t="array" ref="AO2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58" s="84" cm="1">
        <f t="array" ref="AP2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58" s="84" cm="1">
        <f t="array" ref="AQ2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58" s="84" cm="1">
        <f t="array" ref="AR2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58" s="84" cm="1">
        <f t="array" ref="AS2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58" s="84" cm="1">
        <f t="array" ref="AT2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58" s="84" cm="1">
        <f t="array" ref="AU2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58" s="84" cm="1">
        <f t="array" ref="AV2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8" s="84" cm="1">
        <f t="array" ref="AW2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8" s="84" cm="1">
        <f t="array" ref="AX2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8" s="84" cm="1">
        <f t="array" ref="AY2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8" s="84" cm="1">
        <f t="array" ref="AZ2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8" s="84" cm="1">
        <f t="array" ref="BA2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8" s="84" cm="1">
        <f t="array" ref="BB2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8" s="84">
        <f>IF(SUM(Table3[[#This Row],[Column2]:[Column18]])&gt;Table3[[#This Row],[Column19]],Table3[[#This Row],[Column19]],SUM(Table3[[#This Row],[Column2]:[Column18]]))</f>
        <v>50000</v>
      </c>
      <c r="BD258" s="2">
        <f>Table3[[#This Row],[Total Spend]]/SUM(Table3[[#This Row],[Column2]:[Column18]])</f>
        <v>0.49164208456243852</v>
      </c>
    </row>
    <row r="259" spans="1:56">
      <c r="A259" s="84" t="s">
        <v>333</v>
      </c>
      <c r="B259" s="84"/>
      <c r="C259" s="84"/>
      <c r="D259" s="85">
        <v>45566</v>
      </c>
      <c r="E259" s="85" t="s">
        <v>92</v>
      </c>
      <c r="F259" s="84">
        <f>INDEX(Definitions!$G$13:$G$17,MATCH(Table3[[#This Row],[Propensity to buy/ buyer readiness]],Definitions!$A$13:$A$17,0))</f>
        <v>50000</v>
      </c>
      <c r="G259" s="86">
        <v>5</v>
      </c>
      <c r="H259" s="86">
        <v>3</v>
      </c>
      <c r="I259" s="86">
        <v>4</v>
      </c>
      <c r="J259" s="86">
        <v>5</v>
      </c>
      <c r="K259" s="86">
        <v>3</v>
      </c>
      <c r="L259" s="86">
        <f>SUM(Table3[[#This Row],[Strategic priority segment]:[Propensity to buy/ buyer readiness]])</f>
        <v>20</v>
      </c>
      <c r="M259" s="86" t="s">
        <v>59</v>
      </c>
      <c r="N259" s="84" t="s">
        <v>60</v>
      </c>
      <c r="O259" s="87"/>
      <c r="P259" s="87"/>
      <c r="Q259" s="87"/>
      <c r="R259" s="84"/>
      <c r="S259" s="87"/>
      <c r="T259" s="87"/>
      <c r="U259" s="84">
        <v>1</v>
      </c>
      <c r="V259" s="84">
        <v>1</v>
      </c>
      <c r="W259" s="84">
        <v>1</v>
      </c>
      <c r="X259" s="84">
        <v>1</v>
      </c>
      <c r="Y259" s="84">
        <v>1</v>
      </c>
      <c r="Z259" s="84">
        <v>0</v>
      </c>
      <c r="AA259" s="84">
        <v>0</v>
      </c>
      <c r="AB259" s="84">
        <v>0</v>
      </c>
      <c r="AC259" s="84">
        <v>0</v>
      </c>
      <c r="AD259" s="84">
        <v>1</v>
      </c>
      <c r="AE259" s="84">
        <v>0</v>
      </c>
      <c r="AF259" s="84">
        <v>0</v>
      </c>
      <c r="AG259" s="84">
        <v>0</v>
      </c>
      <c r="AH259" s="84">
        <v>0</v>
      </c>
      <c r="AI259" s="84">
        <v>0</v>
      </c>
      <c r="AJ259" s="84">
        <v>0</v>
      </c>
      <c r="AK259" s="84">
        <v>0</v>
      </c>
      <c r="AL259" s="84" cm="1">
        <f t="array" ref="AL2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59" s="84" cm="1">
        <f t="array" ref="AM2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59" s="84" cm="1">
        <f t="array" ref="AN2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59" s="84" cm="1">
        <f t="array" ref="AO2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59" s="84" cm="1">
        <f t="array" ref="AP2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59" s="84" cm="1">
        <f t="array" ref="AQ2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59" s="84" cm="1">
        <f t="array" ref="AR2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59" s="84" cm="1">
        <f t="array" ref="AS2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59" s="84" cm="1">
        <f t="array" ref="AT2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59" s="84" cm="1">
        <f t="array" ref="AU2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59" s="84" cm="1">
        <f t="array" ref="AV2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59" s="84" cm="1">
        <f t="array" ref="AW2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59" s="84" cm="1">
        <f t="array" ref="AX2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59" s="84" cm="1">
        <f t="array" ref="AY2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59" s="84" cm="1">
        <f t="array" ref="AZ2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59" s="84" cm="1">
        <f t="array" ref="BA2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59" s="84" cm="1">
        <f t="array" ref="BB2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59" s="84">
        <f>IF(SUM(Table3[[#This Row],[Column2]:[Column18]])&gt;Table3[[#This Row],[Column19]],Table3[[#This Row],[Column19]],SUM(Table3[[#This Row],[Column2]:[Column18]]))</f>
        <v>50000</v>
      </c>
      <c r="BD259" s="2">
        <f>Table3[[#This Row],[Total Spend]]/SUM(Table3[[#This Row],[Column2]:[Column18]])</f>
        <v>0.26709401709401709</v>
      </c>
    </row>
    <row r="260" spans="1:56">
      <c r="A260" s="84" t="s">
        <v>334</v>
      </c>
      <c r="B260" s="84"/>
      <c r="C260" s="84"/>
      <c r="D260" s="85">
        <v>45566</v>
      </c>
      <c r="E260" s="85" t="s">
        <v>58</v>
      </c>
      <c r="F260" s="84">
        <f>INDEX(Definitions!$G$13:$G$17,MATCH(Table3[[#This Row],[Propensity to buy/ buyer readiness]],Definitions!$A$13:$A$17,0))</f>
        <v>150000</v>
      </c>
      <c r="G260" s="86">
        <v>5</v>
      </c>
      <c r="H260" s="86">
        <v>4</v>
      </c>
      <c r="I260" s="86">
        <v>3</v>
      </c>
      <c r="J260" s="86">
        <v>4</v>
      </c>
      <c r="K260" s="86">
        <v>4</v>
      </c>
      <c r="L260" s="86">
        <f>SUM(Table3[[#This Row],[Strategic priority segment]:[Propensity to buy/ buyer readiness]])</f>
        <v>20</v>
      </c>
      <c r="M260" s="86" t="s">
        <v>102</v>
      </c>
      <c r="N260" s="84" t="s">
        <v>122</v>
      </c>
      <c r="O260" s="84"/>
      <c r="P260" s="87"/>
      <c r="Q260" s="87"/>
      <c r="R260" s="84"/>
      <c r="S260" s="87"/>
      <c r="T260" s="87"/>
      <c r="U260" s="84">
        <v>1</v>
      </c>
      <c r="V260" s="84">
        <v>0</v>
      </c>
      <c r="W260" s="84">
        <v>0</v>
      </c>
      <c r="X260" s="84">
        <v>0</v>
      </c>
      <c r="Y260" s="84">
        <v>0</v>
      </c>
      <c r="Z260" s="84">
        <v>1</v>
      </c>
      <c r="AA260" s="84">
        <v>0</v>
      </c>
      <c r="AB260" s="84">
        <v>1</v>
      </c>
      <c r="AC260" s="84">
        <v>0</v>
      </c>
      <c r="AD260" s="84">
        <v>1</v>
      </c>
      <c r="AE260" s="84">
        <v>0</v>
      </c>
      <c r="AF260" s="84">
        <v>1</v>
      </c>
      <c r="AG260" s="84">
        <v>0</v>
      </c>
      <c r="AH260" s="84">
        <v>0</v>
      </c>
      <c r="AI260" s="84">
        <v>0</v>
      </c>
      <c r="AJ260" s="84">
        <v>0</v>
      </c>
      <c r="AK260" s="84">
        <v>0</v>
      </c>
      <c r="AL260" s="84" cm="1">
        <f t="array" ref="AL2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60" s="84" cm="1">
        <f t="array" ref="AM2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0" s="84" cm="1">
        <f t="array" ref="AN2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60" s="84" cm="1">
        <f t="array" ref="AO2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0" s="84" cm="1">
        <f t="array" ref="AP2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0" s="84" cm="1">
        <f t="array" ref="AQ2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60" s="84" cm="1">
        <f t="array" ref="AR2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0" s="84" cm="1">
        <f t="array" ref="AS2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60" s="84" cm="1">
        <f t="array" ref="AT2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0" s="84" cm="1">
        <f t="array" ref="AU2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60" s="84" cm="1">
        <f t="array" ref="AV2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0" s="84" cm="1">
        <f t="array" ref="AW2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60" s="84" cm="1">
        <f t="array" ref="AX2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0" s="84" cm="1">
        <f t="array" ref="AY2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0" s="84" cm="1">
        <f t="array" ref="AZ2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0" s="84" cm="1">
        <f t="array" ref="BA2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0" s="84" cm="1">
        <f t="array" ref="BB2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0" s="84">
        <f>IF(SUM(Table3[[#This Row],[Column2]:[Column18]])&gt;Table3[[#This Row],[Column19]],Table3[[#This Row],[Column19]],SUM(Table3[[#This Row],[Column2]:[Column18]]))</f>
        <v>150000</v>
      </c>
      <c r="BD260" s="2">
        <f>Table3[[#This Row],[Total Spend]]/SUM(Table3[[#This Row],[Column2]:[Column18]])</f>
        <v>0.89605734767025091</v>
      </c>
    </row>
    <row r="261" spans="1:56">
      <c r="A261" s="84" t="s">
        <v>335</v>
      </c>
      <c r="B261" s="84"/>
      <c r="C261" s="84" t="s">
        <v>57</v>
      </c>
      <c r="D261" s="85">
        <v>45566</v>
      </c>
      <c r="E261" s="85" t="s">
        <v>92</v>
      </c>
      <c r="F261" s="84">
        <f>INDEX(Definitions!$G$13:$G$17,MATCH(Table3[[#This Row],[Propensity to buy/ buyer readiness]],Definitions!$A$13:$A$17,0))</f>
        <v>50000</v>
      </c>
      <c r="G261" s="86">
        <v>5</v>
      </c>
      <c r="H261" s="86">
        <v>5</v>
      </c>
      <c r="I261" s="86">
        <v>3</v>
      </c>
      <c r="J261" s="86">
        <v>4</v>
      </c>
      <c r="K261" s="86">
        <v>3</v>
      </c>
      <c r="L261" s="86">
        <f>SUM(Table3[[#This Row],[Strategic priority segment]:[Propensity to buy/ buyer readiness]])</f>
        <v>20</v>
      </c>
      <c r="M261" s="86" t="s">
        <v>102</v>
      </c>
      <c r="N261" s="84" t="s">
        <v>61</v>
      </c>
      <c r="O261" s="84" t="s">
        <v>122</v>
      </c>
      <c r="P261" s="87"/>
      <c r="Q261" s="87"/>
      <c r="R261" s="84"/>
      <c r="S261" s="87"/>
      <c r="T261" s="87"/>
      <c r="U261" s="84">
        <v>1</v>
      </c>
      <c r="V261" s="84">
        <v>0</v>
      </c>
      <c r="W261" s="84">
        <v>0</v>
      </c>
      <c r="X261" s="84">
        <v>0</v>
      </c>
      <c r="Y261" s="84">
        <v>0</v>
      </c>
      <c r="Z261" s="84">
        <v>1</v>
      </c>
      <c r="AA261" s="84">
        <v>1</v>
      </c>
      <c r="AB261" s="84">
        <v>1</v>
      </c>
      <c r="AC261" s="84">
        <v>1</v>
      </c>
      <c r="AD261" s="84">
        <v>1</v>
      </c>
      <c r="AE261" s="84">
        <v>0</v>
      </c>
      <c r="AF261" s="84">
        <v>1</v>
      </c>
      <c r="AG261" s="84">
        <v>0</v>
      </c>
      <c r="AH261" s="84">
        <v>0</v>
      </c>
      <c r="AI261" s="84">
        <v>0</v>
      </c>
      <c r="AJ261" s="84">
        <v>0</v>
      </c>
      <c r="AK261" s="84">
        <v>0</v>
      </c>
      <c r="AL261" s="84" cm="1">
        <f t="array" ref="AL2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61" s="84" cm="1">
        <f t="array" ref="AM2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1" s="84" cm="1">
        <f t="array" ref="AN2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61" s="84" cm="1">
        <f t="array" ref="AO2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1" s="84" cm="1">
        <f t="array" ref="AP2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1" s="84" cm="1">
        <f t="array" ref="AQ2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61" s="84" cm="1">
        <f t="array" ref="AR2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61" s="84" cm="1">
        <f t="array" ref="AS2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61" s="84" cm="1">
        <f t="array" ref="AT2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61" s="84" cm="1">
        <f t="array" ref="AU2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61" s="84" cm="1">
        <f t="array" ref="AV2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1" s="84" cm="1">
        <f t="array" ref="AW2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61" s="84" cm="1">
        <f t="array" ref="AX2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1" s="84" cm="1">
        <f t="array" ref="AY2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1" s="84" cm="1">
        <f t="array" ref="AZ2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1" s="84" cm="1">
        <f t="array" ref="BA2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1" s="84" cm="1">
        <f t="array" ref="BB2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1" s="84">
        <f>IF(SUM(Table3[[#This Row],[Column2]:[Column18]])&gt;Table3[[#This Row],[Column19]],Table3[[#This Row],[Column19]],SUM(Table3[[#This Row],[Column2]:[Column18]]))</f>
        <v>50000</v>
      </c>
      <c r="BD261" s="2">
        <f>Table3[[#This Row],[Total Spend]]/SUM(Table3[[#This Row],[Column2]:[Column18]])</f>
        <v>0.32299741602067183</v>
      </c>
    </row>
    <row r="262" spans="1:56">
      <c r="A262" s="87" t="s">
        <v>336</v>
      </c>
      <c r="B262" s="87"/>
      <c r="C262" s="87" t="s">
        <v>57</v>
      </c>
      <c r="D262" s="85">
        <v>45566</v>
      </c>
      <c r="E262" s="85" t="s">
        <v>58</v>
      </c>
      <c r="F262" s="84">
        <f>INDEX(Definitions!$G$13:$G$17,MATCH(Table3[[#This Row],[Propensity to buy/ buyer readiness]],Definitions!$A$13:$A$17,0))</f>
        <v>150000</v>
      </c>
      <c r="G262" s="86">
        <v>5</v>
      </c>
      <c r="H262" s="86">
        <v>4</v>
      </c>
      <c r="I262" s="86">
        <v>3</v>
      </c>
      <c r="J262" s="86">
        <v>4</v>
      </c>
      <c r="K262" s="86">
        <v>4</v>
      </c>
      <c r="L262" s="86">
        <f>SUM(Table3[[#This Row],[Strategic priority segment]:[Propensity to buy/ buyer readiness]])</f>
        <v>20</v>
      </c>
      <c r="M262" s="86" t="s">
        <v>191</v>
      </c>
      <c r="N262" s="84" t="s">
        <v>135</v>
      </c>
      <c r="O262" s="87"/>
      <c r="P262" s="87"/>
      <c r="Q262" s="87"/>
      <c r="R262" s="84"/>
      <c r="S262" s="87"/>
      <c r="T262" s="87"/>
      <c r="U262" s="84">
        <v>0</v>
      </c>
      <c r="V262" s="84">
        <v>0</v>
      </c>
      <c r="W262" s="84">
        <v>0</v>
      </c>
      <c r="X262" s="84">
        <v>0</v>
      </c>
      <c r="Y262" s="84">
        <v>0</v>
      </c>
      <c r="Z262" s="84">
        <v>0</v>
      </c>
      <c r="AA262" s="84">
        <v>0</v>
      </c>
      <c r="AB262" s="84">
        <v>0</v>
      </c>
      <c r="AC262" s="84">
        <v>0</v>
      </c>
      <c r="AD262" s="84">
        <v>0</v>
      </c>
      <c r="AE262" s="84">
        <v>0</v>
      </c>
      <c r="AF262" s="84">
        <v>0</v>
      </c>
      <c r="AG262" s="84">
        <v>0</v>
      </c>
      <c r="AH262" s="84">
        <v>1</v>
      </c>
      <c r="AI262" s="84">
        <v>1</v>
      </c>
      <c r="AJ262" s="84">
        <v>1</v>
      </c>
      <c r="AK262" s="84">
        <v>1</v>
      </c>
      <c r="AL262" s="84" cm="1">
        <f t="array" ref="AL2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62" s="84" cm="1">
        <f t="array" ref="AM2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2" s="84" cm="1">
        <f t="array" ref="AN2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62" s="84" cm="1">
        <f t="array" ref="AO2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2" s="84" cm="1">
        <f t="array" ref="AP2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2" s="84" cm="1">
        <f t="array" ref="AQ2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2" s="84" cm="1">
        <f t="array" ref="AR2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2" s="84" cm="1">
        <f t="array" ref="AS2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2" s="84" cm="1">
        <f t="array" ref="AT2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2" s="84" cm="1">
        <f t="array" ref="AU2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62" s="84" cm="1">
        <f t="array" ref="AV2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2" s="84" cm="1">
        <f t="array" ref="AW2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62" s="84" cm="1">
        <f t="array" ref="AX2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2" s="84" cm="1">
        <f t="array" ref="AY2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62" s="84" cm="1">
        <f t="array" ref="AZ2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62" s="84" cm="1">
        <f t="array" ref="BA2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62" s="84" cm="1">
        <f t="array" ref="BB2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62" s="84">
        <f>IF(SUM(Table3[[#This Row],[Column2]:[Column18]])&gt;Table3[[#This Row],[Column19]],Table3[[#This Row],[Column19]],SUM(Table3[[#This Row],[Column2]:[Column18]]))</f>
        <v>64350</v>
      </c>
      <c r="BD262" s="2">
        <f>Table3[[#This Row],[Total Spend]]/SUM(Table3[[#This Row],[Column2]:[Column18]])</f>
        <v>1</v>
      </c>
    </row>
    <row r="263" spans="1:56">
      <c r="A263" s="84" t="s">
        <v>337</v>
      </c>
      <c r="B263" s="84"/>
      <c r="C263" s="84"/>
      <c r="D263" s="85">
        <v>45566</v>
      </c>
      <c r="E263" s="85" t="s">
        <v>92</v>
      </c>
      <c r="F263" s="84">
        <f>INDEX(Definitions!$G$13:$G$17,MATCH(Table3[[#This Row],[Propensity to buy/ buyer readiness]],Definitions!$A$13:$A$17,0))</f>
        <v>50000</v>
      </c>
      <c r="G263" s="86">
        <v>5</v>
      </c>
      <c r="H263" s="86">
        <v>3</v>
      </c>
      <c r="I263" s="86">
        <v>4</v>
      </c>
      <c r="J263" s="86">
        <v>5</v>
      </c>
      <c r="K263" s="86">
        <v>3</v>
      </c>
      <c r="L263" s="86">
        <f>SUM(Table3[[#This Row],[Strategic priority segment]:[Propensity to buy/ buyer readiness]])</f>
        <v>20</v>
      </c>
      <c r="M263" s="86" t="s">
        <v>59</v>
      </c>
      <c r="N263" s="84" t="s">
        <v>60</v>
      </c>
      <c r="O263" s="87"/>
      <c r="P263" s="87"/>
      <c r="Q263" s="87"/>
      <c r="R263" s="84"/>
      <c r="S263" s="87"/>
      <c r="T263" s="87"/>
      <c r="U263" s="84">
        <v>1</v>
      </c>
      <c r="V263" s="84">
        <v>1</v>
      </c>
      <c r="W263" s="84">
        <v>1</v>
      </c>
      <c r="X263" s="84">
        <v>1</v>
      </c>
      <c r="Y263" s="84">
        <v>1</v>
      </c>
      <c r="Z263" s="84">
        <v>0</v>
      </c>
      <c r="AA263" s="84">
        <v>0</v>
      </c>
      <c r="AB263" s="84">
        <v>0</v>
      </c>
      <c r="AC263" s="84">
        <v>0</v>
      </c>
      <c r="AD263" s="84">
        <v>1</v>
      </c>
      <c r="AE263" s="84">
        <v>0</v>
      </c>
      <c r="AF263" s="84">
        <v>0</v>
      </c>
      <c r="AG263" s="84">
        <v>0</v>
      </c>
      <c r="AH263" s="84">
        <v>0</v>
      </c>
      <c r="AI263" s="84">
        <v>0</v>
      </c>
      <c r="AJ263" s="84">
        <v>0</v>
      </c>
      <c r="AK263" s="84">
        <v>0</v>
      </c>
      <c r="AL263" s="84" cm="1">
        <f t="array" ref="AL2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63" s="84" cm="1">
        <f t="array" ref="AM2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63" s="84" cm="1">
        <f t="array" ref="AN2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63" s="84" cm="1">
        <f t="array" ref="AO2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63" s="84" cm="1">
        <f t="array" ref="AP2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63" s="84" cm="1">
        <f t="array" ref="AQ2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3" s="84" cm="1">
        <f t="array" ref="AR2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3" s="84" cm="1">
        <f t="array" ref="AS2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3" s="84" cm="1">
        <f t="array" ref="AT2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3" s="84" cm="1">
        <f t="array" ref="AU2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63" s="84" cm="1">
        <f t="array" ref="AV2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3" s="84" cm="1">
        <f t="array" ref="AW2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63" s="84" cm="1">
        <f t="array" ref="AX2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3" s="84" cm="1">
        <f t="array" ref="AY2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3" s="84" cm="1">
        <f t="array" ref="AZ2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3" s="84" cm="1">
        <f t="array" ref="BA2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3" s="84" cm="1">
        <f t="array" ref="BB2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3" s="84">
        <f>IF(SUM(Table3[[#This Row],[Column2]:[Column18]])&gt;Table3[[#This Row],[Column19]],Table3[[#This Row],[Column19]],SUM(Table3[[#This Row],[Column2]:[Column18]]))</f>
        <v>50000</v>
      </c>
      <c r="BD263" s="2">
        <f>Table3[[#This Row],[Total Spend]]/SUM(Table3[[#This Row],[Column2]:[Column18]])</f>
        <v>0.26709401709401709</v>
      </c>
    </row>
    <row r="264" spans="1:56">
      <c r="A264" s="84" t="s">
        <v>338</v>
      </c>
      <c r="B264" s="84" t="s">
        <v>57</v>
      </c>
      <c r="C264" s="84" t="s">
        <v>57</v>
      </c>
      <c r="D264" s="85">
        <v>45566</v>
      </c>
      <c r="E264" s="85" t="s">
        <v>92</v>
      </c>
      <c r="F264" s="84">
        <f>INDEX(Definitions!$G$13:$G$17,MATCH(Table3[[#This Row],[Propensity to buy/ buyer readiness]],Definitions!$A$13:$A$17,0))</f>
        <v>50000</v>
      </c>
      <c r="G264" s="86">
        <v>4</v>
      </c>
      <c r="H264" s="86">
        <v>4</v>
      </c>
      <c r="I264" s="86">
        <v>5</v>
      </c>
      <c r="J264" s="86">
        <v>4</v>
      </c>
      <c r="K264" s="86">
        <v>3</v>
      </c>
      <c r="L264" s="86">
        <f>SUM(Table3[[#This Row],[Strategic priority segment]:[Propensity to buy/ buyer readiness]])</f>
        <v>20</v>
      </c>
      <c r="M264" s="86" t="s">
        <v>191</v>
      </c>
      <c r="N264" s="84" t="s">
        <v>76</v>
      </c>
      <c r="O264" s="84" t="s">
        <v>62</v>
      </c>
      <c r="P264" s="87"/>
      <c r="Q264" s="87"/>
      <c r="R264" s="84"/>
      <c r="S264" s="87"/>
      <c r="T264" s="87"/>
      <c r="U264" s="84">
        <v>1</v>
      </c>
      <c r="V264" s="84">
        <v>0</v>
      </c>
      <c r="W264" s="84">
        <v>0</v>
      </c>
      <c r="X264" s="84">
        <v>0</v>
      </c>
      <c r="Y264" s="84">
        <v>0</v>
      </c>
      <c r="Z264" s="84">
        <v>0</v>
      </c>
      <c r="AA264" s="84">
        <v>0</v>
      </c>
      <c r="AB264" s="84">
        <v>0</v>
      </c>
      <c r="AC264" s="84">
        <v>0</v>
      </c>
      <c r="AD264" s="84">
        <v>1</v>
      </c>
      <c r="AE264" s="84">
        <v>1</v>
      </c>
      <c r="AF264" s="84">
        <v>1</v>
      </c>
      <c r="AG264" s="84">
        <v>1</v>
      </c>
      <c r="AH264" s="84">
        <v>1</v>
      </c>
      <c r="AI264" s="84">
        <v>0</v>
      </c>
      <c r="AJ264" s="84">
        <v>1</v>
      </c>
      <c r="AK264" s="84">
        <v>0</v>
      </c>
      <c r="AL264" s="84" cm="1">
        <f t="array" ref="AL2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64" s="84" cm="1">
        <f t="array" ref="AM2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4" s="84" cm="1">
        <f t="array" ref="AN2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64" s="84" cm="1">
        <f t="array" ref="AO2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4" s="84" cm="1">
        <f t="array" ref="AP2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4" s="84" cm="1">
        <f t="array" ref="AQ2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4" s="84" cm="1">
        <f t="array" ref="AR2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4" s="84" cm="1">
        <f t="array" ref="AS2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4" s="84" cm="1">
        <f t="array" ref="AT2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4" s="84" cm="1">
        <f t="array" ref="AU2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64" s="84" cm="1">
        <f t="array" ref="AV2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64" s="84" cm="1">
        <f t="array" ref="AW2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64" s="84" cm="1">
        <f t="array" ref="AX2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64" s="84" cm="1">
        <f t="array" ref="AY2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64" s="84" cm="1">
        <f t="array" ref="AZ2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4" s="84" cm="1">
        <f t="array" ref="BA2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64" s="84" cm="1">
        <f t="array" ref="BB2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4" s="84">
        <f>IF(SUM(Table3[[#This Row],[Column2]:[Column18]])&gt;Table3[[#This Row],[Column19]],Table3[[#This Row],[Column19]],SUM(Table3[[#This Row],[Column2]:[Column18]]))</f>
        <v>50000</v>
      </c>
      <c r="BD264" s="2">
        <f>Table3[[#This Row],[Total Spend]]/SUM(Table3[[#This Row],[Column2]:[Column18]])</f>
        <v>0.4011231448054553</v>
      </c>
    </row>
    <row r="265" spans="1:56">
      <c r="A265" s="84" t="s">
        <v>339</v>
      </c>
      <c r="B265" s="84"/>
      <c r="C265" s="84" t="s">
        <v>57</v>
      </c>
      <c r="D265" s="85">
        <v>45566</v>
      </c>
      <c r="E265" s="85" t="s">
        <v>92</v>
      </c>
      <c r="F265" s="84">
        <f>INDEX(Definitions!$G$13:$G$17,MATCH(Table3[[#This Row],[Propensity to buy/ buyer readiness]],Definitions!$A$13:$A$17,0))</f>
        <v>150000</v>
      </c>
      <c r="G265" s="86">
        <v>4</v>
      </c>
      <c r="H265" s="86">
        <v>4</v>
      </c>
      <c r="I265" s="86">
        <v>4</v>
      </c>
      <c r="J265" s="86">
        <v>4</v>
      </c>
      <c r="K265" s="86">
        <v>4</v>
      </c>
      <c r="L265" s="86">
        <f>SUM(Table3[[#This Row],[Strategic priority segment]:[Propensity to buy/ buyer readiness]])</f>
        <v>20</v>
      </c>
      <c r="M265" s="86" t="s">
        <v>152</v>
      </c>
      <c r="N265" s="84" t="s">
        <v>122</v>
      </c>
      <c r="O265" s="84"/>
      <c r="P265" s="87"/>
      <c r="Q265" s="87"/>
      <c r="R265" s="84"/>
      <c r="S265" s="87"/>
      <c r="T265" s="87"/>
      <c r="U265" s="84">
        <v>1</v>
      </c>
      <c r="V265" s="84">
        <v>0</v>
      </c>
      <c r="W265" s="84">
        <v>0</v>
      </c>
      <c r="X265" s="84">
        <v>0</v>
      </c>
      <c r="Y265" s="84">
        <v>0</v>
      </c>
      <c r="Z265" s="84">
        <v>1</v>
      </c>
      <c r="AA265" s="84">
        <v>0</v>
      </c>
      <c r="AB265" s="84">
        <v>1</v>
      </c>
      <c r="AC265" s="84">
        <v>0</v>
      </c>
      <c r="AD265" s="84">
        <v>1</v>
      </c>
      <c r="AE265" s="84">
        <v>0</v>
      </c>
      <c r="AF265" s="84">
        <v>1</v>
      </c>
      <c r="AG265" s="84">
        <v>0</v>
      </c>
      <c r="AH265" s="84">
        <v>0</v>
      </c>
      <c r="AI265" s="84">
        <v>0</v>
      </c>
      <c r="AJ265" s="84">
        <v>0</v>
      </c>
      <c r="AK265" s="84">
        <v>0</v>
      </c>
      <c r="AL265" s="84" cm="1">
        <f t="array" ref="AL2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65" s="84" cm="1">
        <f t="array" ref="AM2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5" s="84" cm="1">
        <f t="array" ref="AN2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65" s="84" cm="1">
        <f t="array" ref="AO2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5" s="84" cm="1">
        <f t="array" ref="AP2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5" s="84" cm="1">
        <f t="array" ref="AQ2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65" s="84" cm="1">
        <f t="array" ref="AR2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5" s="84" cm="1">
        <f t="array" ref="AS2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65" s="84" cm="1">
        <f t="array" ref="AT2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5" s="84" cm="1">
        <f t="array" ref="AU2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65" s="84" cm="1">
        <f t="array" ref="AV2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5" s="84" cm="1">
        <f t="array" ref="AW2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65" s="84" cm="1">
        <f t="array" ref="AX2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5" s="84" cm="1">
        <f t="array" ref="AY2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5" s="84" cm="1">
        <f t="array" ref="AZ2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5" s="84" cm="1">
        <f t="array" ref="BA2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5" s="84" cm="1">
        <f t="array" ref="BB2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5" s="84">
        <f>IF(SUM(Table3[[#This Row],[Column2]:[Column18]])&gt;Table3[[#This Row],[Column19]],Table3[[#This Row],[Column19]],SUM(Table3[[#This Row],[Column2]:[Column18]]))</f>
        <v>120600</v>
      </c>
      <c r="BD265" s="2">
        <f>Table3[[#This Row],[Total Spend]]/SUM(Table3[[#This Row],[Column2]:[Column18]])</f>
        <v>1</v>
      </c>
    </row>
    <row r="266" spans="1:56">
      <c r="A266" s="84" t="s">
        <v>340</v>
      </c>
      <c r="B266" s="84"/>
      <c r="C266" s="84"/>
      <c r="D266" s="85">
        <v>45566</v>
      </c>
      <c r="E266" s="85" t="s">
        <v>92</v>
      </c>
      <c r="F266" s="84">
        <f>INDEX(Definitions!$G$13:$G$17,MATCH(Table3[[#This Row],[Propensity to buy/ buyer readiness]],Definitions!$A$13:$A$17,0))</f>
        <v>50000</v>
      </c>
      <c r="G266" s="86">
        <v>5</v>
      </c>
      <c r="H266" s="86">
        <v>3</v>
      </c>
      <c r="I266" s="86">
        <v>4</v>
      </c>
      <c r="J266" s="86">
        <v>5</v>
      </c>
      <c r="K266" s="86">
        <v>3</v>
      </c>
      <c r="L266" s="86">
        <f>SUM(Table3[[#This Row],[Strategic priority segment]:[Propensity to buy/ buyer readiness]])</f>
        <v>20</v>
      </c>
      <c r="M266" s="86" t="s">
        <v>59</v>
      </c>
      <c r="N266" s="84" t="s">
        <v>60</v>
      </c>
      <c r="O266" s="87"/>
      <c r="P266" s="87"/>
      <c r="Q266" s="87"/>
      <c r="R266" s="84"/>
      <c r="S266" s="87"/>
      <c r="T266" s="87"/>
      <c r="U266" s="84">
        <v>1</v>
      </c>
      <c r="V266" s="84">
        <v>1</v>
      </c>
      <c r="W266" s="84">
        <v>1</v>
      </c>
      <c r="X266" s="84">
        <v>1</v>
      </c>
      <c r="Y266" s="84">
        <v>1</v>
      </c>
      <c r="Z266" s="84">
        <v>0</v>
      </c>
      <c r="AA266" s="84">
        <v>0</v>
      </c>
      <c r="AB266" s="84">
        <v>0</v>
      </c>
      <c r="AC266" s="84">
        <v>0</v>
      </c>
      <c r="AD266" s="84">
        <v>1</v>
      </c>
      <c r="AE266" s="84">
        <v>0</v>
      </c>
      <c r="AF266" s="84">
        <v>0</v>
      </c>
      <c r="AG266" s="84">
        <v>0</v>
      </c>
      <c r="AH266" s="84">
        <v>0</v>
      </c>
      <c r="AI266" s="84">
        <v>0</v>
      </c>
      <c r="AJ266" s="84">
        <v>0</v>
      </c>
      <c r="AK266" s="84">
        <v>0</v>
      </c>
      <c r="AL266" s="84" cm="1">
        <f t="array" ref="AL2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66" s="84" cm="1">
        <f t="array" ref="AM2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66" s="84" cm="1">
        <f t="array" ref="AN2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66" s="84" cm="1">
        <f t="array" ref="AO2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66" s="84" cm="1">
        <f t="array" ref="AP2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66" s="84" cm="1">
        <f t="array" ref="AQ2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6" s="84" cm="1">
        <f t="array" ref="AR2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66" s="84" cm="1">
        <f t="array" ref="AS2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6" s="84" cm="1">
        <f t="array" ref="AT2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6" s="84" cm="1">
        <f t="array" ref="AU2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66" s="84" cm="1">
        <f t="array" ref="AV2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6" s="84" cm="1">
        <f t="array" ref="AW2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66" s="84" cm="1">
        <f t="array" ref="AX2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6" s="84" cm="1">
        <f t="array" ref="AY2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6" s="84" cm="1">
        <f t="array" ref="AZ2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6" s="84" cm="1">
        <f t="array" ref="BA2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6" s="84" cm="1">
        <f t="array" ref="BB2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6" s="84">
        <f>IF(SUM(Table3[[#This Row],[Column2]:[Column18]])&gt;Table3[[#This Row],[Column19]],Table3[[#This Row],[Column19]],SUM(Table3[[#This Row],[Column2]:[Column18]]))</f>
        <v>50000</v>
      </c>
      <c r="BD266" s="2">
        <f>Table3[[#This Row],[Total Spend]]/SUM(Table3[[#This Row],[Column2]:[Column18]])</f>
        <v>0.26709401709401709</v>
      </c>
    </row>
    <row r="267" spans="1:56">
      <c r="A267" s="84" t="s">
        <v>341</v>
      </c>
      <c r="B267" s="84" t="s">
        <v>57</v>
      </c>
      <c r="C267" s="84"/>
      <c r="D267" s="85">
        <v>45566</v>
      </c>
      <c r="E267" s="85" t="s">
        <v>92</v>
      </c>
      <c r="F267" s="84">
        <f>INDEX(Definitions!$G$13:$G$17,MATCH(Table3[[#This Row],[Propensity to buy/ buyer readiness]],Definitions!$A$13:$A$17,0))</f>
        <v>50000</v>
      </c>
      <c r="G267" s="86">
        <v>5</v>
      </c>
      <c r="H267" s="86">
        <v>5</v>
      </c>
      <c r="I267" s="86">
        <v>3</v>
      </c>
      <c r="J267" s="86">
        <v>4</v>
      </c>
      <c r="K267" s="86">
        <v>3</v>
      </c>
      <c r="L267" s="86">
        <f>SUM(Table3[[#This Row],[Strategic priority segment]:[Propensity to buy/ buyer readiness]])</f>
        <v>20</v>
      </c>
      <c r="M267" s="86" t="s">
        <v>102</v>
      </c>
      <c r="N267" s="84" t="s">
        <v>61</v>
      </c>
      <c r="O267" s="84"/>
      <c r="P267" s="87"/>
      <c r="Q267" s="87"/>
      <c r="R267" s="84"/>
      <c r="S267" s="87"/>
      <c r="T267" s="87"/>
      <c r="U267" s="84">
        <v>1</v>
      </c>
      <c r="V267" s="84">
        <v>0</v>
      </c>
      <c r="W267" s="84">
        <v>0</v>
      </c>
      <c r="X267" s="84">
        <v>0</v>
      </c>
      <c r="Y267" s="84">
        <v>0</v>
      </c>
      <c r="Z267" s="84">
        <v>1</v>
      </c>
      <c r="AA267" s="84">
        <v>1</v>
      </c>
      <c r="AB267" s="84">
        <v>1</v>
      </c>
      <c r="AC267" s="84">
        <v>1</v>
      </c>
      <c r="AD267" s="84">
        <v>0</v>
      </c>
      <c r="AE267" s="84">
        <v>0</v>
      </c>
      <c r="AF267" s="84">
        <v>0</v>
      </c>
      <c r="AG267" s="84">
        <v>0</v>
      </c>
      <c r="AH267" s="84">
        <v>0</v>
      </c>
      <c r="AI267" s="84">
        <v>0</v>
      </c>
      <c r="AJ267" s="84">
        <v>0</v>
      </c>
      <c r="AK267" s="84">
        <v>0</v>
      </c>
      <c r="AL267" s="84" cm="1">
        <f t="array" ref="AL2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67" s="84" cm="1">
        <f t="array" ref="AM2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7" s="84" cm="1">
        <f t="array" ref="AN2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67" s="84" cm="1">
        <f t="array" ref="AO2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7" s="84" cm="1">
        <f t="array" ref="AP2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7" s="84" cm="1">
        <f t="array" ref="AQ2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67" s="84" cm="1">
        <f t="array" ref="AR2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67" s="84" cm="1">
        <f t="array" ref="AS2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67" s="84" cm="1">
        <f t="array" ref="AT2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67" s="84" cm="1">
        <f t="array" ref="AU2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67" s="84" cm="1">
        <f t="array" ref="AV2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67" s="84" cm="1">
        <f t="array" ref="AW2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67" s="84" cm="1">
        <f t="array" ref="AX2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7" s="84" cm="1">
        <f t="array" ref="AY2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7" s="84" cm="1">
        <f t="array" ref="AZ2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7" s="84" cm="1">
        <f t="array" ref="BA2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7" s="84" cm="1">
        <f t="array" ref="BB2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7" s="84">
        <f>IF(SUM(Table3[[#This Row],[Column2]:[Column18]])&gt;Table3[[#This Row],[Column19]],Table3[[#This Row],[Column19]],SUM(Table3[[#This Row],[Column2]:[Column18]]))</f>
        <v>50000</v>
      </c>
      <c r="BD267" s="2">
        <f>Table3[[#This Row],[Total Spend]]/SUM(Table3[[#This Row],[Column2]:[Column18]])</f>
        <v>0.49164208456243852</v>
      </c>
    </row>
    <row r="268" spans="1:56">
      <c r="A268" s="84" t="s">
        <v>342</v>
      </c>
      <c r="B268" s="84" t="s">
        <v>57</v>
      </c>
      <c r="C268" s="84"/>
      <c r="D268" s="85">
        <v>45566</v>
      </c>
      <c r="E268" s="85" t="s">
        <v>58</v>
      </c>
      <c r="F268" s="84">
        <f>INDEX(Definitions!$G$13:$G$17,MATCH(Table3[[#This Row],[Propensity to buy/ buyer readiness]],Definitions!$A$13:$A$17,0))</f>
        <v>150000</v>
      </c>
      <c r="G268" s="86">
        <v>4</v>
      </c>
      <c r="H268" s="86">
        <v>4</v>
      </c>
      <c r="I268" s="86">
        <v>4</v>
      </c>
      <c r="J268" s="86">
        <v>4</v>
      </c>
      <c r="K268" s="86">
        <v>4</v>
      </c>
      <c r="L268" s="86">
        <f>SUM(Table3[[#This Row],[Strategic priority segment]:[Propensity to buy/ buyer readiness]])</f>
        <v>20</v>
      </c>
      <c r="M268" s="86" t="s">
        <v>59</v>
      </c>
      <c r="N268" s="84" t="s">
        <v>63</v>
      </c>
      <c r="O268" s="84"/>
      <c r="P268" s="87"/>
      <c r="Q268" s="87"/>
      <c r="R268" s="84"/>
      <c r="S268" s="87"/>
      <c r="T268" s="87"/>
      <c r="U268" s="84">
        <v>1</v>
      </c>
      <c r="V268" s="84">
        <v>0</v>
      </c>
      <c r="W268" s="84">
        <v>1</v>
      </c>
      <c r="X268" s="84">
        <v>0</v>
      </c>
      <c r="Y268" s="84">
        <v>0</v>
      </c>
      <c r="Z268" s="84">
        <v>0</v>
      </c>
      <c r="AA268" s="84">
        <v>1</v>
      </c>
      <c r="AB268" s="84">
        <v>0</v>
      </c>
      <c r="AC268" s="84">
        <v>0</v>
      </c>
      <c r="AD268" s="84">
        <v>1</v>
      </c>
      <c r="AE268" s="84">
        <v>1</v>
      </c>
      <c r="AF268" s="84">
        <v>1</v>
      </c>
      <c r="AG268" s="84">
        <v>0</v>
      </c>
      <c r="AH268" s="84">
        <v>0</v>
      </c>
      <c r="AI268" s="84">
        <v>0</v>
      </c>
      <c r="AJ268" s="84">
        <v>0</v>
      </c>
      <c r="AK268" s="84">
        <v>0</v>
      </c>
      <c r="AL268" s="84" cm="1">
        <f t="array" ref="AL2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68" s="84" cm="1">
        <f t="array" ref="AM2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8" s="84" cm="1">
        <f t="array" ref="AN2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68" s="84" cm="1">
        <f t="array" ref="AO2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8" s="84" cm="1">
        <f t="array" ref="AP2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8" s="84" cm="1">
        <f t="array" ref="AQ2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8" s="84" cm="1">
        <f t="array" ref="AR2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68" s="84" cm="1">
        <f t="array" ref="AS2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8" s="84" cm="1">
        <f t="array" ref="AT2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8" s="84" cm="1">
        <f t="array" ref="AU2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68" s="84" cm="1">
        <f t="array" ref="AV2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68" s="84" cm="1">
        <f t="array" ref="AW2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68" s="84" cm="1">
        <f t="array" ref="AX2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8" s="84" cm="1">
        <f t="array" ref="AY2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8" s="84" cm="1">
        <f t="array" ref="AZ2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8" s="84" cm="1">
        <f t="array" ref="BA2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8" s="84" cm="1">
        <f t="array" ref="BB2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8" s="84">
        <f>IF(SUM(Table3[[#This Row],[Column2]:[Column18]])&gt;Table3[[#This Row],[Column19]],Table3[[#This Row],[Column19]],SUM(Table3[[#This Row],[Column2]:[Column18]]))</f>
        <v>150000</v>
      </c>
      <c r="BD268" s="2">
        <f>Table3[[#This Row],[Total Spend]]/SUM(Table3[[#This Row],[Column2]:[Column18]])</f>
        <v>0.78988941548183256</v>
      </c>
    </row>
    <row r="269" spans="1:56">
      <c r="A269" s="84" t="s">
        <v>343</v>
      </c>
      <c r="B269" s="84" t="s">
        <v>57</v>
      </c>
      <c r="C269" s="84"/>
      <c r="D269" s="85">
        <v>45566</v>
      </c>
      <c r="E269" s="85" t="s">
        <v>58</v>
      </c>
      <c r="F269" s="84">
        <f>INDEX(Definitions!$G$13:$G$17,MATCH(Table3[[#This Row],[Propensity to buy/ buyer readiness]],Definitions!$A$13:$A$17,0))</f>
        <v>150000</v>
      </c>
      <c r="G269" s="86">
        <v>4</v>
      </c>
      <c r="H269" s="86">
        <v>4</v>
      </c>
      <c r="I269" s="86">
        <v>4</v>
      </c>
      <c r="J269" s="86">
        <v>4</v>
      </c>
      <c r="K269" s="86">
        <v>4</v>
      </c>
      <c r="L269" s="86">
        <f>SUM(Table3[[#This Row],[Strategic priority segment]:[Propensity to buy/ buyer readiness]])</f>
        <v>20</v>
      </c>
      <c r="M269" s="86" t="s">
        <v>59</v>
      </c>
      <c r="N269" s="84" t="s">
        <v>63</v>
      </c>
      <c r="O269" s="84"/>
      <c r="P269" s="87"/>
      <c r="Q269" s="87"/>
      <c r="R269" s="84"/>
      <c r="S269" s="87"/>
      <c r="T269" s="87"/>
      <c r="U269" s="84">
        <v>1</v>
      </c>
      <c r="V269" s="84">
        <v>0</v>
      </c>
      <c r="W269" s="84">
        <v>1</v>
      </c>
      <c r="X269" s="84">
        <v>0</v>
      </c>
      <c r="Y269" s="84">
        <v>0</v>
      </c>
      <c r="Z269" s="84">
        <v>0</v>
      </c>
      <c r="AA269" s="84">
        <v>1</v>
      </c>
      <c r="AB269" s="84">
        <v>0</v>
      </c>
      <c r="AC269" s="84">
        <v>0</v>
      </c>
      <c r="AD269" s="84">
        <v>1</v>
      </c>
      <c r="AE269" s="84">
        <v>1</v>
      </c>
      <c r="AF269" s="84">
        <v>1</v>
      </c>
      <c r="AG269" s="84">
        <v>0</v>
      </c>
      <c r="AH269" s="84">
        <v>0</v>
      </c>
      <c r="AI269" s="84">
        <v>0</v>
      </c>
      <c r="AJ269" s="84">
        <v>0</v>
      </c>
      <c r="AK269" s="84">
        <v>0</v>
      </c>
      <c r="AL269" s="84" cm="1">
        <f t="array" ref="AL2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69" s="84" cm="1">
        <f t="array" ref="AM2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69" s="84" cm="1">
        <f t="array" ref="AN2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69" s="84" cm="1">
        <f t="array" ref="AO2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69" s="84" cm="1">
        <f t="array" ref="AP2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69" s="84" cm="1">
        <f t="array" ref="AQ2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69" s="84" cm="1">
        <f t="array" ref="AR2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69" s="84" cm="1">
        <f t="array" ref="AS2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69" s="84" cm="1">
        <f t="array" ref="AT2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69" s="84" cm="1">
        <f t="array" ref="AU2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69" s="84" cm="1">
        <f t="array" ref="AV2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69" s="84" cm="1">
        <f t="array" ref="AW2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69" s="84" cm="1">
        <f t="array" ref="AX2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69" s="84" cm="1">
        <f t="array" ref="AY2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69" s="84" cm="1">
        <f t="array" ref="AZ2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69" s="84" cm="1">
        <f t="array" ref="BA2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69" s="84" cm="1">
        <f t="array" ref="BB2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69" s="84">
        <f>IF(SUM(Table3[[#This Row],[Column2]:[Column18]])&gt;Table3[[#This Row],[Column19]],Table3[[#This Row],[Column19]],SUM(Table3[[#This Row],[Column2]:[Column18]]))</f>
        <v>150000</v>
      </c>
      <c r="BD269" s="2">
        <f>Table3[[#This Row],[Total Spend]]/SUM(Table3[[#This Row],[Column2]:[Column18]])</f>
        <v>0.78988941548183256</v>
      </c>
    </row>
    <row r="270" spans="1:56">
      <c r="A270" s="84" t="s">
        <v>344</v>
      </c>
      <c r="B270" s="84"/>
      <c r="C270" s="84" t="s">
        <v>57</v>
      </c>
      <c r="D270" s="85">
        <v>45809</v>
      </c>
      <c r="E270" s="85" t="s">
        <v>92</v>
      </c>
      <c r="F270" s="84">
        <f>INDEX(Definitions!$G$13:$G$17,MATCH(Table3[[#This Row],[Propensity to buy/ buyer readiness]],Definitions!$A$13:$A$17,0))</f>
        <v>50000</v>
      </c>
      <c r="G270" s="86">
        <v>5</v>
      </c>
      <c r="H270" s="86">
        <v>5</v>
      </c>
      <c r="I270" s="86">
        <v>3</v>
      </c>
      <c r="J270" s="86">
        <v>4</v>
      </c>
      <c r="K270" s="86">
        <v>3</v>
      </c>
      <c r="L270" s="86">
        <f>SUM(Table3[[#This Row],[Strategic priority segment]:[Propensity to buy/ buyer readiness]])</f>
        <v>20</v>
      </c>
      <c r="M270" s="86" t="s">
        <v>102</v>
      </c>
      <c r="N270" s="84" t="s">
        <v>61</v>
      </c>
      <c r="O270" s="84" t="s">
        <v>135</v>
      </c>
      <c r="P270" s="84"/>
      <c r="Q270" s="84"/>
      <c r="R270" s="84"/>
      <c r="S270" s="84"/>
      <c r="T270" s="87"/>
      <c r="U270" s="84">
        <v>1</v>
      </c>
      <c r="V270" s="84">
        <v>0</v>
      </c>
      <c r="W270" s="84">
        <v>0</v>
      </c>
      <c r="X270" s="84">
        <v>0</v>
      </c>
      <c r="Y270" s="84">
        <v>0</v>
      </c>
      <c r="Z270" s="84">
        <v>1</v>
      </c>
      <c r="AA270" s="84">
        <v>1</v>
      </c>
      <c r="AB270" s="84">
        <v>1</v>
      </c>
      <c r="AC270" s="84">
        <v>1</v>
      </c>
      <c r="AD270" s="84">
        <v>0</v>
      </c>
      <c r="AE270" s="84">
        <v>0</v>
      </c>
      <c r="AF270" s="84">
        <v>0</v>
      </c>
      <c r="AG270" s="84">
        <v>0</v>
      </c>
      <c r="AH270" s="84">
        <v>1</v>
      </c>
      <c r="AI270" s="84">
        <v>1</v>
      </c>
      <c r="AJ270" s="84">
        <v>1</v>
      </c>
      <c r="AK270" s="84">
        <v>1</v>
      </c>
      <c r="AL270" s="84" cm="1">
        <f t="array" ref="AL2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0" s="84" cm="1">
        <f t="array" ref="AM2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0" s="84" cm="1">
        <f t="array" ref="AN2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0" s="84" cm="1">
        <f t="array" ref="AO2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0" s="84" cm="1">
        <f t="array" ref="AP2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0" s="84" cm="1">
        <f t="array" ref="AQ2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70" s="84" cm="1">
        <f t="array" ref="AR2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70" s="84" cm="1">
        <f t="array" ref="AS2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70" s="84" cm="1">
        <f t="array" ref="AT2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70" s="84" cm="1">
        <f t="array" ref="AU2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70" s="84" cm="1">
        <f t="array" ref="AV2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0" s="84" cm="1">
        <f t="array" ref="AW2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70" s="84" cm="1">
        <f t="array" ref="AX2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0" s="84" cm="1">
        <f t="array" ref="AY2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70" s="84" cm="1">
        <f t="array" ref="AZ2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70" s="84" cm="1">
        <f t="array" ref="BA2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70" s="84" cm="1">
        <f t="array" ref="BB2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70" s="84">
        <f>IF(SUM(Table3[[#This Row],[Column2]:[Column18]])&gt;Table3[[#This Row],[Column19]],Table3[[#This Row],[Column19]],SUM(Table3[[#This Row],[Column2]:[Column18]]))</f>
        <v>50000</v>
      </c>
      <c r="BD270" s="2">
        <f>Table3[[#This Row],[Total Spend]]/SUM(Table3[[#This Row],[Column2]:[Column18]])</f>
        <v>0.33772374197906113</v>
      </c>
    </row>
    <row r="271" spans="1:56">
      <c r="A271" s="84" t="s">
        <v>345</v>
      </c>
      <c r="B271" s="84"/>
      <c r="C271" s="84"/>
      <c r="D271" s="85">
        <v>45566</v>
      </c>
      <c r="E271" s="85" t="s">
        <v>92</v>
      </c>
      <c r="F271" s="84">
        <f>INDEX(Definitions!$G$13:$G$17,MATCH(Table3[[#This Row],[Propensity to buy/ buyer readiness]],Definitions!$A$13:$A$17,0))</f>
        <v>50000</v>
      </c>
      <c r="G271" s="86">
        <v>5</v>
      </c>
      <c r="H271" s="86">
        <v>4</v>
      </c>
      <c r="I271" s="86">
        <v>4</v>
      </c>
      <c r="J271" s="86">
        <v>4</v>
      </c>
      <c r="K271" s="86">
        <v>3</v>
      </c>
      <c r="L271" s="86">
        <f>SUM(Table3[[#This Row],[Strategic priority segment]:[Propensity to buy/ buyer readiness]])</f>
        <v>20</v>
      </c>
      <c r="M271" s="86" t="s">
        <v>152</v>
      </c>
      <c r="N271" s="84" t="s">
        <v>122</v>
      </c>
      <c r="O271" s="84" t="s">
        <v>61</v>
      </c>
      <c r="P271" s="87"/>
      <c r="Q271" s="87"/>
      <c r="R271" s="84"/>
      <c r="S271" s="87"/>
      <c r="T271" s="87"/>
      <c r="U271" s="84">
        <v>1</v>
      </c>
      <c r="V271" s="84">
        <v>0</v>
      </c>
      <c r="W271" s="84">
        <v>0</v>
      </c>
      <c r="X271" s="84">
        <v>0</v>
      </c>
      <c r="Y271" s="84">
        <v>0</v>
      </c>
      <c r="Z271" s="84">
        <v>1</v>
      </c>
      <c r="AA271" s="84">
        <v>1</v>
      </c>
      <c r="AB271" s="84">
        <v>1</v>
      </c>
      <c r="AC271" s="84">
        <v>1</v>
      </c>
      <c r="AD271" s="84">
        <v>1</v>
      </c>
      <c r="AE271" s="84">
        <v>0</v>
      </c>
      <c r="AF271" s="84">
        <v>1</v>
      </c>
      <c r="AG271" s="84">
        <v>0</v>
      </c>
      <c r="AH271" s="84">
        <v>0</v>
      </c>
      <c r="AI271" s="84">
        <v>0</v>
      </c>
      <c r="AJ271" s="84">
        <v>0</v>
      </c>
      <c r="AK271" s="84">
        <v>0</v>
      </c>
      <c r="AL271" s="84" cm="1">
        <f t="array" ref="AL2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1" s="84" cm="1">
        <f t="array" ref="AM2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1" s="84" cm="1">
        <f t="array" ref="AN2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1" s="84" cm="1">
        <f t="array" ref="AO2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1" s="84" cm="1">
        <f t="array" ref="AP2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1" s="84" cm="1">
        <f t="array" ref="AQ2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71" s="84" cm="1">
        <f t="array" ref="AR2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71" s="84" cm="1">
        <f t="array" ref="AS2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71" s="84" cm="1">
        <f t="array" ref="AT2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71" s="84" cm="1">
        <f t="array" ref="AU2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71" s="84" cm="1">
        <f t="array" ref="AV2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1" s="84" cm="1">
        <f t="array" ref="AW2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71" s="84" cm="1">
        <f t="array" ref="AX2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1" s="84" cm="1">
        <f t="array" ref="AY2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1" s="84" cm="1">
        <f t="array" ref="AZ2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1" s="84" cm="1">
        <f t="array" ref="BA2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1" s="84" cm="1">
        <f t="array" ref="BB2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1" s="84">
        <f>IF(SUM(Table3[[#This Row],[Column2]:[Column18]])&gt;Table3[[#This Row],[Column19]],Table3[[#This Row],[Column19]],SUM(Table3[[#This Row],[Column2]:[Column18]]))</f>
        <v>50000</v>
      </c>
      <c r="BD271" s="2">
        <f>Table3[[#This Row],[Total Spend]]/SUM(Table3[[#This Row],[Column2]:[Column18]])</f>
        <v>0.32299741602067183</v>
      </c>
    </row>
    <row r="272" spans="1:56" ht="16.5" customHeight="1">
      <c r="A272" s="84" t="s">
        <v>346</v>
      </c>
      <c r="B272" s="84" t="s">
        <v>57</v>
      </c>
      <c r="C272" s="84" t="s">
        <v>57</v>
      </c>
      <c r="D272" s="85">
        <v>45566</v>
      </c>
      <c r="E272" s="85" t="s">
        <v>58</v>
      </c>
      <c r="F272" s="84">
        <f>INDEX(Definitions!$G$13:$G$17,MATCH(Table3[[#This Row],[Propensity to buy/ buyer readiness]],Definitions!$A$13:$A$17,0))</f>
        <v>50000</v>
      </c>
      <c r="G272" s="86">
        <v>5</v>
      </c>
      <c r="H272" s="86">
        <v>4</v>
      </c>
      <c r="I272" s="86">
        <v>4</v>
      </c>
      <c r="J272" s="86">
        <v>4</v>
      </c>
      <c r="K272" s="86">
        <v>3</v>
      </c>
      <c r="L272" s="86">
        <f>SUM(Table3[[#This Row],[Strategic priority segment]:[Propensity to buy/ buyer readiness]])</f>
        <v>20</v>
      </c>
      <c r="M272" s="86" t="s">
        <v>191</v>
      </c>
      <c r="N272" s="84" t="s">
        <v>135</v>
      </c>
      <c r="O272" s="84" t="s">
        <v>61</v>
      </c>
      <c r="P272" s="87"/>
      <c r="Q272" s="87"/>
      <c r="R272" s="84"/>
      <c r="S272" s="87"/>
      <c r="T272" s="87"/>
      <c r="U272" s="84">
        <v>1</v>
      </c>
      <c r="V272" s="84">
        <v>0</v>
      </c>
      <c r="W272" s="84">
        <v>0</v>
      </c>
      <c r="X272" s="84">
        <v>0</v>
      </c>
      <c r="Y272" s="84">
        <v>0</v>
      </c>
      <c r="Z272" s="84">
        <v>1</v>
      </c>
      <c r="AA272" s="84">
        <v>1</v>
      </c>
      <c r="AB272" s="84">
        <v>1</v>
      </c>
      <c r="AC272" s="84">
        <v>1</v>
      </c>
      <c r="AD272" s="84">
        <v>0</v>
      </c>
      <c r="AE272" s="84">
        <v>0</v>
      </c>
      <c r="AF272" s="84">
        <v>0</v>
      </c>
      <c r="AG272" s="84">
        <v>0</v>
      </c>
      <c r="AH272" s="84">
        <v>1</v>
      </c>
      <c r="AI272" s="84">
        <v>1</v>
      </c>
      <c r="AJ272" s="84">
        <v>1</v>
      </c>
      <c r="AK272" s="84">
        <v>1</v>
      </c>
      <c r="AL272" s="84" cm="1">
        <f t="array" ref="AL2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72" s="84" cm="1">
        <f t="array" ref="AM2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2" s="84" cm="1">
        <f t="array" ref="AN2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2" s="84" cm="1">
        <f t="array" ref="AO2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2" s="84" cm="1">
        <f t="array" ref="AP2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2" s="84" cm="1">
        <f t="array" ref="AQ2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72" s="84" cm="1">
        <f t="array" ref="AR2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72" s="84" cm="1">
        <f t="array" ref="AS2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72" s="84" cm="1">
        <f t="array" ref="AT2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72" s="84" cm="1">
        <f t="array" ref="AU2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72" s="84" cm="1">
        <f t="array" ref="AV2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2" s="84" cm="1">
        <f t="array" ref="AW2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72" s="84" cm="1">
        <f t="array" ref="AX2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2" s="84" cm="1">
        <f t="array" ref="AY2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72" s="84" cm="1">
        <f t="array" ref="AZ2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72" s="84" cm="1">
        <f t="array" ref="BA2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72" s="84" cm="1">
        <f t="array" ref="BB2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72" s="84">
        <f>IF(SUM(Table3[[#This Row],[Column2]:[Column18]])&gt;Table3[[#This Row],[Column19]],Table3[[#This Row],[Column19]],SUM(Table3[[#This Row],[Column2]:[Column18]]))</f>
        <v>50000</v>
      </c>
      <c r="BD272" s="2">
        <f>Table3[[#This Row],[Total Spend]]/SUM(Table3[[#This Row],[Column2]:[Column18]])</f>
        <v>0.24420024420024419</v>
      </c>
    </row>
    <row r="273" spans="1:56">
      <c r="A273" s="84" t="s">
        <v>347</v>
      </c>
      <c r="B273" s="84"/>
      <c r="C273" s="84"/>
      <c r="D273" s="85">
        <v>45566</v>
      </c>
      <c r="E273" s="85" t="s">
        <v>92</v>
      </c>
      <c r="F273" s="84">
        <f>INDEX(Definitions!$G$13:$G$17,MATCH(Table3[[#This Row],[Propensity to buy/ buyer readiness]],Definitions!$A$13:$A$17,0))</f>
        <v>50000</v>
      </c>
      <c r="G273" s="86">
        <v>5</v>
      </c>
      <c r="H273" s="86">
        <v>3</v>
      </c>
      <c r="I273" s="86">
        <v>4</v>
      </c>
      <c r="J273" s="86">
        <v>5</v>
      </c>
      <c r="K273" s="86">
        <v>3</v>
      </c>
      <c r="L273" s="86">
        <f>SUM(Table3[[#This Row],[Strategic priority segment]:[Propensity to buy/ buyer readiness]])</f>
        <v>20</v>
      </c>
      <c r="M273" s="86" t="s">
        <v>59</v>
      </c>
      <c r="N273" s="84" t="s">
        <v>60</v>
      </c>
      <c r="O273" s="87"/>
      <c r="P273" s="87"/>
      <c r="Q273" s="87"/>
      <c r="R273" s="84"/>
      <c r="S273" s="87"/>
      <c r="T273" s="87"/>
      <c r="U273" s="84">
        <v>1</v>
      </c>
      <c r="V273" s="84">
        <v>1</v>
      </c>
      <c r="W273" s="84">
        <v>1</v>
      </c>
      <c r="X273" s="84">
        <v>1</v>
      </c>
      <c r="Y273" s="84">
        <v>1</v>
      </c>
      <c r="Z273" s="84">
        <v>0</v>
      </c>
      <c r="AA273" s="84">
        <v>0</v>
      </c>
      <c r="AB273" s="84">
        <v>0</v>
      </c>
      <c r="AC273" s="84">
        <v>0</v>
      </c>
      <c r="AD273" s="84">
        <v>1</v>
      </c>
      <c r="AE273" s="84">
        <v>0</v>
      </c>
      <c r="AF273" s="84">
        <v>0</v>
      </c>
      <c r="AG273" s="84">
        <v>0</v>
      </c>
      <c r="AH273" s="84">
        <v>0</v>
      </c>
      <c r="AI273" s="84">
        <v>0</v>
      </c>
      <c r="AJ273" s="84">
        <v>0</v>
      </c>
      <c r="AK273" s="84">
        <v>0</v>
      </c>
      <c r="AL273" s="84" cm="1">
        <f t="array" ref="AL2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3" s="84" cm="1">
        <f t="array" ref="AM2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73" s="84" cm="1">
        <f t="array" ref="AN2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73" s="84" cm="1">
        <f t="array" ref="AO2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73" s="84" cm="1">
        <f t="array" ref="AP2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73" s="84" cm="1">
        <f t="array" ref="AQ2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73" s="84" cm="1">
        <f t="array" ref="AR2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73" s="84" cm="1">
        <f t="array" ref="AS2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73" s="84" cm="1">
        <f t="array" ref="AT2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73" s="84" cm="1">
        <f t="array" ref="AU2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73" s="84" cm="1">
        <f t="array" ref="AV2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3" s="84" cm="1">
        <f t="array" ref="AW2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73" s="84" cm="1">
        <f t="array" ref="AX2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3" s="84" cm="1">
        <f t="array" ref="AY2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3" s="84" cm="1">
        <f t="array" ref="AZ2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3" s="84" cm="1">
        <f t="array" ref="BA2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3" s="84" cm="1">
        <f t="array" ref="BB2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3" s="84">
        <f>IF(SUM(Table3[[#This Row],[Column2]:[Column18]])&gt;Table3[[#This Row],[Column19]],Table3[[#This Row],[Column19]],SUM(Table3[[#This Row],[Column2]:[Column18]]))</f>
        <v>50000</v>
      </c>
      <c r="BD273" s="2">
        <f>Table3[[#This Row],[Total Spend]]/SUM(Table3[[#This Row],[Column2]:[Column18]])</f>
        <v>0.26709401709401709</v>
      </c>
    </row>
    <row r="274" spans="1:56">
      <c r="A274" s="84" t="s">
        <v>348</v>
      </c>
      <c r="B274" s="84"/>
      <c r="C274" s="84"/>
      <c r="D274" s="85">
        <v>45566</v>
      </c>
      <c r="E274" s="85" t="s">
        <v>92</v>
      </c>
      <c r="F274" s="84">
        <f>INDEX(Definitions!$G$13:$G$17,MATCH(Table3[[#This Row],[Propensity to buy/ buyer readiness]],Definitions!$A$13:$A$17,0))</f>
        <v>50000</v>
      </c>
      <c r="G274" s="86">
        <v>5</v>
      </c>
      <c r="H274" s="86">
        <v>5</v>
      </c>
      <c r="I274" s="86">
        <v>3</v>
      </c>
      <c r="J274" s="86">
        <v>4</v>
      </c>
      <c r="K274" s="86">
        <v>3</v>
      </c>
      <c r="L274" s="86">
        <f>SUM(Table3[[#This Row],[Strategic priority segment]:[Propensity to buy/ buyer readiness]])</f>
        <v>20</v>
      </c>
      <c r="M274" s="86" t="s">
        <v>102</v>
      </c>
      <c r="N274" s="84" t="s">
        <v>61</v>
      </c>
      <c r="O274" s="87"/>
      <c r="P274" s="87"/>
      <c r="Q274" s="87"/>
      <c r="R274" s="84"/>
      <c r="S274" s="87"/>
      <c r="T274" s="87"/>
      <c r="U274" s="84">
        <v>1</v>
      </c>
      <c r="V274" s="84">
        <v>0</v>
      </c>
      <c r="W274" s="84">
        <v>0</v>
      </c>
      <c r="X274" s="84">
        <v>0</v>
      </c>
      <c r="Y274" s="84">
        <v>0</v>
      </c>
      <c r="Z274" s="84">
        <v>1</v>
      </c>
      <c r="AA274" s="84">
        <v>1</v>
      </c>
      <c r="AB274" s="84">
        <v>1</v>
      </c>
      <c r="AC274" s="84">
        <v>1</v>
      </c>
      <c r="AD274" s="84">
        <v>0</v>
      </c>
      <c r="AE274" s="84">
        <v>0</v>
      </c>
      <c r="AF274" s="84">
        <v>0</v>
      </c>
      <c r="AG274" s="84">
        <v>0</v>
      </c>
      <c r="AH274" s="84">
        <v>0</v>
      </c>
      <c r="AI274" s="84">
        <v>0</v>
      </c>
      <c r="AJ274" s="84">
        <v>0</v>
      </c>
      <c r="AK274" s="84">
        <v>0</v>
      </c>
      <c r="AL274" s="84" cm="1">
        <f t="array" ref="AL2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4" s="84" cm="1">
        <f t="array" ref="AM2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4" s="84" cm="1">
        <f t="array" ref="AN2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4" s="84" cm="1">
        <f t="array" ref="AO2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4" s="84" cm="1">
        <f t="array" ref="AP2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4" s="84" cm="1">
        <f t="array" ref="AQ2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74" s="84" cm="1">
        <f t="array" ref="AR2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74" s="84" cm="1">
        <f t="array" ref="AS2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74" s="84" cm="1">
        <f t="array" ref="AT2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74" s="84" cm="1">
        <f t="array" ref="AU2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74" s="84" cm="1">
        <f t="array" ref="AV2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4" s="84" cm="1">
        <f t="array" ref="AW2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74" s="84" cm="1">
        <f t="array" ref="AX2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4" s="84" cm="1">
        <f t="array" ref="AY2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4" s="84" cm="1">
        <f t="array" ref="AZ2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4" s="84" cm="1">
        <f t="array" ref="BA2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4" s="84" cm="1">
        <f t="array" ref="BB2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4" s="84">
        <f>IF(SUM(Table3[[#This Row],[Column2]:[Column18]])&gt;Table3[[#This Row],[Column19]],Table3[[#This Row],[Column19]],SUM(Table3[[#This Row],[Column2]:[Column18]]))</f>
        <v>50000</v>
      </c>
      <c r="BD274" s="2">
        <f>Table3[[#This Row],[Total Spend]]/SUM(Table3[[#This Row],[Column2]:[Column18]])</f>
        <v>0.49164208456243852</v>
      </c>
    </row>
    <row r="275" spans="1:56">
      <c r="A275" s="84" t="s">
        <v>349</v>
      </c>
      <c r="B275" s="84"/>
      <c r="C275" s="84" t="s">
        <v>57</v>
      </c>
      <c r="D275" s="85">
        <v>45809</v>
      </c>
      <c r="E275" s="85" t="s">
        <v>92</v>
      </c>
      <c r="F275" s="84">
        <f>INDEX(Definitions!$G$13:$G$17,MATCH(Table3[[#This Row],[Propensity to buy/ buyer readiness]],Definitions!$A$13:$A$17,0))</f>
        <v>50000</v>
      </c>
      <c r="G275" s="86">
        <v>5</v>
      </c>
      <c r="H275" s="86">
        <v>5</v>
      </c>
      <c r="I275" s="86">
        <v>3</v>
      </c>
      <c r="J275" s="86">
        <v>4</v>
      </c>
      <c r="K275" s="86">
        <v>3</v>
      </c>
      <c r="L275" s="86">
        <f>SUM(Table3[[#This Row],[Strategic priority segment]:[Propensity to buy/ buyer readiness]])</f>
        <v>20</v>
      </c>
      <c r="M275" s="86" t="s">
        <v>102</v>
      </c>
      <c r="N275" s="84" t="s">
        <v>61</v>
      </c>
      <c r="O275" s="84"/>
      <c r="P275" s="84"/>
      <c r="Q275" s="84"/>
      <c r="R275" s="84"/>
      <c r="S275" s="84"/>
      <c r="T275" s="87"/>
      <c r="U275" s="84">
        <v>1</v>
      </c>
      <c r="V275" s="84">
        <v>0</v>
      </c>
      <c r="W275" s="84">
        <v>0</v>
      </c>
      <c r="X275" s="84">
        <v>0</v>
      </c>
      <c r="Y275" s="84">
        <v>0</v>
      </c>
      <c r="Z275" s="84">
        <v>1</v>
      </c>
      <c r="AA275" s="84">
        <v>1</v>
      </c>
      <c r="AB275" s="84">
        <v>1</v>
      </c>
      <c r="AC275" s="84">
        <v>1</v>
      </c>
      <c r="AD275" s="84">
        <v>0</v>
      </c>
      <c r="AE275" s="84">
        <v>0</v>
      </c>
      <c r="AF275" s="84">
        <v>0</v>
      </c>
      <c r="AG275" s="84">
        <v>0</v>
      </c>
      <c r="AH275" s="84">
        <v>0</v>
      </c>
      <c r="AI275" s="84">
        <v>0</v>
      </c>
      <c r="AJ275" s="84">
        <v>0</v>
      </c>
      <c r="AK275" s="84">
        <v>0</v>
      </c>
      <c r="AL275" s="84" cm="1">
        <f t="array" ref="AL2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5" s="84" cm="1">
        <f t="array" ref="AM2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5" s="84" cm="1">
        <f t="array" ref="AN2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5" s="84" cm="1">
        <f t="array" ref="AO2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5" s="84" cm="1">
        <f t="array" ref="AP2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5" s="84" cm="1">
        <f t="array" ref="AQ2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75" s="84" cm="1">
        <f t="array" ref="AR2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75" s="84" cm="1">
        <f t="array" ref="AS2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75" s="84" cm="1">
        <f t="array" ref="AT2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75" s="84" cm="1">
        <f t="array" ref="AU2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75" s="84" cm="1">
        <f t="array" ref="AV2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5" s="84" cm="1">
        <f t="array" ref="AW2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75" s="84" cm="1">
        <f t="array" ref="AX2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5" s="84" cm="1">
        <f t="array" ref="AY2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5" s="84" cm="1">
        <f t="array" ref="AZ2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5" s="84" cm="1">
        <f t="array" ref="BA2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5" s="84" cm="1">
        <f t="array" ref="BB2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5" s="84">
        <f>IF(SUM(Table3[[#This Row],[Column2]:[Column18]])&gt;Table3[[#This Row],[Column19]],Table3[[#This Row],[Column19]],SUM(Table3[[#This Row],[Column2]:[Column18]]))</f>
        <v>50000</v>
      </c>
      <c r="BD275" s="2">
        <f>Table3[[#This Row],[Total Spend]]/SUM(Table3[[#This Row],[Column2]:[Column18]])</f>
        <v>0.49164208456243852</v>
      </c>
    </row>
    <row r="276" spans="1:56">
      <c r="A276" s="84" t="s">
        <v>350</v>
      </c>
      <c r="B276" s="84"/>
      <c r="C276" s="84"/>
      <c r="D276" s="85">
        <v>45809</v>
      </c>
      <c r="E276" s="85" t="s">
        <v>92</v>
      </c>
      <c r="F276" s="84">
        <f>INDEX(Definitions!$G$13:$G$17,MATCH(Table3[[#This Row],[Propensity to buy/ buyer readiness]],Definitions!$A$13:$A$17,0))</f>
        <v>50000</v>
      </c>
      <c r="G276" s="86">
        <v>5</v>
      </c>
      <c r="H276" s="86">
        <v>5</v>
      </c>
      <c r="I276" s="86">
        <v>3</v>
      </c>
      <c r="J276" s="86">
        <v>4</v>
      </c>
      <c r="K276" s="86">
        <v>3</v>
      </c>
      <c r="L276" s="86">
        <f>SUM(Table3[[#This Row],[Strategic priority segment]:[Propensity to buy/ buyer readiness]])</f>
        <v>20</v>
      </c>
      <c r="M276" s="86" t="s">
        <v>102</v>
      </c>
      <c r="N276" s="84" t="s">
        <v>61</v>
      </c>
      <c r="O276" s="84"/>
      <c r="P276" s="87"/>
      <c r="Q276" s="87"/>
      <c r="R276" s="84"/>
      <c r="S276" s="84"/>
      <c r="T276" s="84"/>
      <c r="U276" s="84">
        <v>1</v>
      </c>
      <c r="V276" s="84">
        <v>0</v>
      </c>
      <c r="W276" s="84">
        <v>0</v>
      </c>
      <c r="X276" s="84">
        <v>0</v>
      </c>
      <c r="Y276" s="84">
        <v>0</v>
      </c>
      <c r="Z276" s="84">
        <v>1</v>
      </c>
      <c r="AA276" s="84">
        <v>1</v>
      </c>
      <c r="AB276" s="84">
        <v>1</v>
      </c>
      <c r="AC276" s="84">
        <v>1</v>
      </c>
      <c r="AD276" s="84">
        <v>0</v>
      </c>
      <c r="AE276" s="84">
        <v>0</v>
      </c>
      <c r="AF276" s="84">
        <v>0</v>
      </c>
      <c r="AG276" s="84">
        <v>0</v>
      </c>
      <c r="AH276" s="84">
        <v>0</v>
      </c>
      <c r="AI276" s="84">
        <v>0</v>
      </c>
      <c r="AJ276" s="84">
        <v>0</v>
      </c>
      <c r="AK276" s="84">
        <v>0</v>
      </c>
      <c r="AL276" s="84" cm="1">
        <f t="array" ref="AL2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6" s="84" cm="1">
        <f t="array" ref="AM2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6" s="84" cm="1">
        <f t="array" ref="AN2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6" s="84" cm="1">
        <f t="array" ref="AO2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6" s="84" cm="1">
        <f t="array" ref="AP2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6" s="84" cm="1">
        <f t="array" ref="AQ2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76" s="84" cm="1">
        <f t="array" ref="AR2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76" s="84" cm="1">
        <f t="array" ref="AS2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76" s="84" cm="1">
        <f t="array" ref="AT2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76" s="84" cm="1">
        <f t="array" ref="AU2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76" s="84" cm="1">
        <f t="array" ref="AV2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76" s="84" cm="1">
        <f t="array" ref="AW2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76" s="84" cm="1">
        <f t="array" ref="AX2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6" s="84" cm="1">
        <f t="array" ref="AY2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6" s="84" cm="1">
        <f t="array" ref="AZ2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6" s="84" cm="1">
        <f t="array" ref="BA2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6" s="84" cm="1">
        <f t="array" ref="BB2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6" s="84">
        <f>IF(SUM(Table3[[#This Row],[Column2]:[Column18]])&gt;Table3[[#This Row],[Column19]],Table3[[#This Row],[Column19]],SUM(Table3[[#This Row],[Column2]:[Column18]]))</f>
        <v>50000</v>
      </c>
      <c r="BD276" s="2">
        <f>Table3[[#This Row],[Total Spend]]/SUM(Table3[[#This Row],[Column2]:[Column18]])</f>
        <v>0.49164208456243852</v>
      </c>
    </row>
    <row r="277" spans="1:56">
      <c r="A277" s="84" t="s">
        <v>351</v>
      </c>
      <c r="B277" s="84" t="s">
        <v>57</v>
      </c>
      <c r="C277" s="84" t="s">
        <v>57</v>
      </c>
      <c r="D277" s="85">
        <v>45566</v>
      </c>
      <c r="E277" s="85" t="s">
        <v>92</v>
      </c>
      <c r="F277" s="84">
        <f>INDEX(Definitions!$G$13:$G$17,MATCH(Table3[[#This Row],[Propensity to buy/ buyer readiness]],Definitions!$A$13:$A$17,0))</f>
        <v>50000</v>
      </c>
      <c r="G277" s="86">
        <v>5</v>
      </c>
      <c r="H277" s="86">
        <v>4</v>
      </c>
      <c r="I277" s="86">
        <v>4</v>
      </c>
      <c r="J277" s="86">
        <v>4</v>
      </c>
      <c r="K277" s="86">
        <v>3</v>
      </c>
      <c r="L277" s="86">
        <f>SUM(Table3[[#This Row],[Strategic priority segment]:[Propensity to buy/ buyer readiness]])</f>
        <v>20</v>
      </c>
      <c r="M277" s="86" t="s">
        <v>66</v>
      </c>
      <c r="N277" s="84" t="s">
        <v>62</v>
      </c>
      <c r="O277" s="84"/>
      <c r="P277" s="87"/>
      <c r="Q277" s="87"/>
      <c r="R277" s="84"/>
      <c r="S277" s="87"/>
      <c r="T277" s="87"/>
      <c r="U277" s="84">
        <v>1</v>
      </c>
      <c r="V277" s="84">
        <v>0</v>
      </c>
      <c r="W277" s="84">
        <v>0</v>
      </c>
      <c r="X277" s="84">
        <v>0</v>
      </c>
      <c r="Y277" s="84">
        <v>0</v>
      </c>
      <c r="Z277" s="84">
        <v>0</v>
      </c>
      <c r="AA277" s="84">
        <v>0</v>
      </c>
      <c r="AB277" s="84">
        <v>0</v>
      </c>
      <c r="AC277" s="84">
        <v>0</v>
      </c>
      <c r="AD277" s="84">
        <v>1</v>
      </c>
      <c r="AE277" s="84">
        <v>1</v>
      </c>
      <c r="AF277" s="84">
        <v>1</v>
      </c>
      <c r="AG277" s="84">
        <v>1</v>
      </c>
      <c r="AH277" s="84">
        <v>0</v>
      </c>
      <c r="AI277" s="84">
        <v>0</v>
      </c>
      <c r="AJ277" s="84">
        <v>0</v>
      </c>
      <c r="AK277" s="84">
        <v>0</v>
      </c>
      <c r="AL277" s="84" cm="1">
        <f t="array" ref="AL2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7" s="84" cm="1">
        <f t="array" ref="AM2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7" s="84" cm="1">
        <f t="array" ref="AN2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7" s="84" cm="1">
        <f t="array" ref="AO2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7" s="84" cm="1">
        <f t="array" ref="AP2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7" s="84" cm="1">
        <f t="array" ref="AQ2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77" s="84" cm="1">
        <f t="array" ref="AR2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77" s="84" cm="1">
        <f t="array" ref="AS2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77" s="84" cm="1">
        <f t="array" ref="AT2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77" s="84" cm="1">
        <f t="array" ref="AU2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77" s="84" cm="1">
        <f t="array" ref="AV2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77" s="84" cm="1">
        <f t="array" ref="AW2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77" s="84" cm="1">
        <f t="array" ref="AX2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77" s="84" cm="1">
        <f t="array" ref="AY2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7" s="84" cm="1">
        <f t="array" ref="AZ2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7" s="84" cm="1">
        <f t="array" ref="BA2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7" s="84" cm="1">
        <f t="array" ref="BB2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7" s="84">
        <f>IF(SUM(Table3[[#This Row],[Column2]:[Column18]])&gt;Table3[[#This Row],[Column19]],Table3[[#This Row],[Column19]],SUM(Table3[[#This Row],[Column2]:[Column18]]))</f>
        <v>50000</v>
      </c>
      <c r="BD277" s="2">
        <f>Table3[[#This Row],[Total Spend]]/SUM(Table3[[#This Row],[Column2]:[Column18]])</f>
        <v>0.53163211057947901</v>
      </c>
    </row>
    <row r="278" spans="1:56">
      <c r="A278" s="84" t="s">
        <v>352</v>
      </c>
      <c r="B278" s="84" t="s">
        <v>57</v>
      </c>
      <c r="C278" s="84" t="s">
        <v>57</v>
      </c>
      <c r="D278" s="85">
        <v>45566</v>
      </c>
      <c r="E278" s="85" t="s">
        <v>58</v>
      </c>
      <c r="F278" s="84">
        <f>INDEX(Definitions!$G$13:$G$17,MATCH(Table3[[#This Row],[Propensity to buy/ buyer readiness]],Definitions!$A$13:$A$17,0))</f>
        <v>150000</v>
      </c>
      <c r="G278" s="86">
        <v>4</v>
      </c>
      <c r="H278" s="86">
        <v>4</v>
      </c>
      <c r="I278" s="86">
        <v>4</v>
      </c>
      <c r="J278" s="86">
        <v>4</v>
      </c>
      <c r="K278" s="86">
        <v>4</v>
      </c>
      <c r="L278" s="86">
        <f>SUM(Table3[[#This Row],[Strategic priority segment]:[Propensity to buy/ buyer readiness]])</f>
        <v>20</v>
      </c>
      <c r="M278" s="86" t="s">
        <v>59</v>
      </c>
      <c r="N278" s="84" t="s">
        <v>63</v>
      </c>
      <c r="O278" s="84"/>
      <c r="P278" s="87"/>
      <c r="Q278" s="87"/>
      <c r="R278" s="84"/>
      <c r="S278" s="87"/>
      <c r="T278" s="87"/>
      <c r="U278" s="84">
        <v>1</v>
      </c>
      <c r="V278" s="84">
        <v>0</v>
      </c>
      <c r="W278" s="84">
        <v>1</v>
      </c>
      <c r="X278" s="84">
        <v>0</v>
      </c>
      <c r="Y278" s="84">
        <v>0</v>
      </c>
      <c r="Z278" s="84">
        <v>0</v>
      </c>
      <c r="AA278" s="84">
        <v>1</v>
      </c>
      <c r="AB278" s="84">
        <v>0</v>
      </c>
      <c r="AC278" s="84">
        <v>0</v>
      </c>
      <c r="AD278" s="84">
        <v>1</v>
      </c>
      <c r="AE278" s="84">
        <v>1</v>
      </c>
      <c r="AF278" s="84">
        <v>1</v>
      </c>
      <c r="AG278" s="84">
        <v>0</v>
      </c>
      <c r="AH278" s="84">
        <v>0</v>
      </c>
      <c r="AI278" s="84">
        <v>0</v>
      </c>
      <c r="AJ278" s="84">
        <v>0</v>
      </c>
      <c r="AK278" s="84">
        <v>0</v>
      </c>
      <c r="AL278" s="84" cm="1">
        <f t="array" ref="AL2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78" s="84" cm="1">
        <f t="array" ref="AM2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8" s="84" cm="1">
        <f t="array" ref="AN2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78" s="84" cm="1">
        <f t="array" ref="AO2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8" s="84" cm="1">
        <f t="array" ref="AP2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8" s="84" cm="1">
        <f t="array" ref="AQ2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78" s="84" cm="1">
        <f t="array" ref="AR2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78" s="84" cm="1">
        <f t="array" ref="AS2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78" s="84" cm="1">
        <f t="array" ref="AT2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78" s="84" cm="1">
        <f t="array" ref="AU2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78" s="84" cm="1">
        <f t="array" ref="AV2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78" s="84" cm="1">
        <f t="array" ref="AW2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78" s="84" cm="1">
        <f t="array" ref="AX2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78" s="84" cm="1">
        <f t="array" ref="AY2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8" s="84" cm="1">
        <f t="array" ref="AZ2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8" s="84" cm="1">
        <f t="array" ref="BA2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8" s="84" cm="1">
        <f t="array" ref="BB2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8" s="84">
        <f>IF(SUM(Table3[[#This Row],[Column2]:[Column18]])&gt;Table3[[#This Row],[Column19]],Table3[[#This Row],[Column19]],SUM(Table3[[#This Row],[Column2]:[Column18]]))</f>
        <v>150000</v>
      </c>
      <c r="BD278" s="2">
        <f>Table3[[#This Row],[Total Spend]]/SUM(Table3[[#This Row],[Column2]:[Column18]])</f>
        <v>0.78988941548183256</v>
      </c>
    </row>
    <row r="279" spans="1:56">
      <c r="A279" s="84" t="s">
        <v>353</v>
      </c>
      <c r="B279" s="84"/>
      <c r="C279" s="84" t="s">
        <v>57</v>
      </c>
      <c r="D279" s="85">
        <v>45566</v>
      </c>
      <c r="E279" s="85" t="s">
        <v>92</v>
      </c>
      <c r="F279" s="84">
        <f>INDEX(Definitions!$G$13:$G$17,MATCH(Table3[[#This Row],[Propensity to buy/ buyer readiness]],Definitions!$A$13:$A$17,0))</f>
        <v>50000</v>
      </c>
      <c r="G279" s="86">
        <v>5</v>
      </c>
      <c r="H279" s="86">
        <v>5</v>
      </c>
      <c r="I279" s="86">
        <v>3</v>
      </c>
      <c r="J279" s="86">
        <v>4</v>
      </c>
      <c r="K279" s="86">
        <v>3</v>
      </c>
      <c r="L279" s="86">
        <f>SUM(Table3[[#This Row],[Strategic priority segment]:[Propensity to buy/ buyer readiness]])</f>
        <v>20</v>
      </c>
      <c r="M279" s="86" t="s">
        <v>102</v>
      </c>
      <c r="N279" s="84" t="s">
        <v>61</v>
      </c>
      <c r="O279" s="84" t="s">
        <v>62</v>
      </c>
      <c r="P279" s="87"/>
      <c r="Q279" s="87"/>
      <c r="R279" s="84"/>
      <c r="S279" s="87"/>
      <c r="T279" s="87"/>
      <c r="U279" s="84">
        <v>1</v>
      </c>
      <c r="V279" s="84">
        <v>0</v>
      </c>
      <c r="W279" s="84">
        <v>0</v>
      </c>
      <c r="X279" s="84">
        <v>0</v>
      </c>
      <c r="Y279" s="84">
        <v>0</v>
      </c>
      <c r="Z279" s="84">
        <v>1</v>
      </c>
      <c r="AA279" s="84">
        <v>1</v>
      </c>
      <c r="AB279" s="84">
        <v>1</v>
      </c>
      <c r="AC279" s="84">
        <v>1</v>
      </c>
      <c r="AD279" s="84">
        <v>1</v>
      </c>
      <c r="AE279" s="84">
        <v>1</v>
      </c>
      <c r="AF279" s="84">
        <v>1</v>
      </c>
      <c r="AG279" s="84">
        <v>1</v>
      </c>
      <c r="AH279" s="84">
        <v>0</v>
      </c>
      <c r="AI279" s="84">
        <v>0</v>
      </c>
      <c r="AJ279" s="84">
        <v>0</v>
      </c>
      <c r="AK279" s="84">
        <v>0</v>
      </c>
      <c r="AL279" s="84" cm="1">
        <f t="array" ref="AL2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79" s="84" cm="1">
        <f t="array" ref="AM2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79" s="84" cm="1">
        <f t="array" ref="AN2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79" s="84" cm="1">
        <f t="array" ref="AO2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79" s="84" cm="1">
        <f t="array" ref="AP2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79" s="84" cm="1">
        <f t="array" ref="AQ2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79" s="84" cm="1">
        <f t="array" ref="AR2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79" s="84" cm="1">
        <f t="array" ref="AS2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79" s="84" cm="1">
        <f t="array" ref="AT2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79" s="84" cm="1">
        <f t="array" ref="AU2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79" s="84" cm="1">
        <f t="array" ref="AV2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79" s="84" cm="1">
        <f t="array" ref="AW2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79" s="84" cm="1">
        <f t="array" ref="AX2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79" s="84" cm="1">
        <f t="array" ref="AY2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79" s="84" cm="1">
        <f t="array" ref="AZ2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79" s="84" cm="1">
        <f t="array" ref="BA2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79" s="84" cm="1">
        <f t="array" ref="BB2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79" s="84">
        <f>IF(SUM(Table3[[#This Row],[Column2]:[Column18]])&gt;Table3[[#This Row],[Column19]],Table3[[#This Row],[Column19]],SUM(Table3[[#This Row],[Column2]:[Column18]]))</f>
        <v>50000</v>
      </c>
      <c r="BD279" s="2">
        <f>Table3[[#This Row],[Total Spend]]/SUM(Table3[[#This Row],[Column2]:[Column18]])</f>
        <v>0.2664535038635758</v>
      </c>
    </row>
    <row r="280" spans="1:56">
      <c r="A280" s="84" t="s">
        <v>354</v>
      </c>
      <c r="B280" s="84"/>
      <c r="C280" s="84" t="s">
        <v>57</v>
      </c>
      <c r="D280" s="85">
        <v>45566</v>
      </c>
      <c r="E280" s="85" t="s">
        <v>92</v>
      </c>
      <c r="F280" s="84">
        <f>INDEX(Definitions!$G$13:$G$17,MATCH(Table3[[#This Row],[Propensity to buy/ buyer readiness]],Definitions!$A$13:$A$17,0))</f>
        <v>50000</v>
      </c>
      <c r="G280" s="86">
        <v>5</v>
      </c>
      <c r="H280" s="86">
        <v>5</v>
      </c>
      <c r="I280" s="86">
        <v>3</v>
      </c>
      <c r="J280" s="86">
        <v>4</v>
      </c>
      <c r="K280" s="86">
        <v>3</v>
      </c>
      <c r="L280" s="86">
        <f>SUM(Table3[[#This Row],[Strategic priority segment]:[Propensity to buy/ buyer readiness]])</f>
        <v>20</v>
      </c>
      <c r="M280" s="86" t="s">
        <v>102</v>
      </c>
      <c r="N280" s="84" t="s">
        <v>61</v>
      </c>
      <c r="O280" s="84" t="s">
        <v>62</v>
      </c>
      <c r="P280" s="87"/>
      <c r="Q280" s="87"/>
      <c r="R280" s="84"/>
      <c r="S280" s="87"/>
      <c r="T280" s="87"/>
      <c r="U280" s="84">
        <v>1</v>
      </c>
      <c r="V280" s="84">
        <v>0</v>
      </c>
      <c r="W280" s="84">
        <v>0</v>
      </c>
      <c r="X280" s="84">
        <v>0</v>
      </c>
      <c r="Y280" s="84">
        <v>0</v>
      </c>
      <c r="Z280" s="84">
        <v>1</v>
      </c>
      <c r="AA280" s="84">
        <v>1</v>
      </c>
      <c r="AB280" s="84">
        <v>1</v>
      </c>
      <c r="AC280" s="84">
        <v>1</v>
      </c>
      <c r="AD280" s="84">
        <v>1</v>
      </c>
      <c r="AE280" s="84">
        <v>1</v>
      </c>
      <c r="AF280" s="84">
        <v>1</v>
      </c>
      <c r="AG280" s="84">
        <v>1</v>
      </c>
      <c r="AH280" s="84">
        <v>0</v>
      </c>
      <c r="AI280" s="84">
        <v>0</v>
      </c>
      <c r="AJ280" s="84">
        <v>0</v>
      </c>
      <c r="AK280" s="84">
        <v>0</v>
      </c>
      <c r="AL280" s="84" cm="1">
        <f t="array" ref="AL2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0" s="84" cm="1">
        <f t="array" ref="AM2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0" s="84" cm="1">
        <f t="array" ref="AN2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0" s="84" cm="1">
        <f t="array" ref="AO2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0" s="84" cm="1">
        <f t="array" ref="AP2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0" s="84" cm="1">
        <f t="array" ref="AQ2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80" s="84" cm="1">
        <f t="array" ref="AR2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0" s="84" cm="1">
        <f t="array" ref="AS2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80" s="84" cm="1">
        <f t="array" ref="AT2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80" s="84" cm="1">
        <f t="array" ref="AU2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80" s="84" cm="1">
        <f t="array" ref="AV2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80" s="84" cm="1">
        <f t="array" ref="AW2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80" s="84" cm="1">
        <f t="array" ref="AX2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80" s="84" cm="1">
        <f t="array" ref="AY2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0" s="84" cm="1">
        <f t="array" ref="AZ2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0" s="84" cm="1">
        <f t="array" ref="BA2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0" s="84" cm="1">
        <f t="array" ref="BB2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0" s="84">
        <f>IF(SUM(Table3[[#This Row],[Column2]:[Column18]])&gt;Table3[[#This Row],[Column19]],Table3[[#This Row],[Column19]],SUM(Table3[[#This Row],[Column2]:[Column18]]))</f>
        <v>50000</v>
      </c>
      <c r="BD280" s="2">
        <f>Table3[[#This Row],[Total Spend]]/SUM(Table3[[#This Row],[Column2]:[Column18]])</f>
        <v>0.2664535038635758</v>
      </c>
    </row>
    <row r="281" spans="1:56">
      <c r="A281" s="84" t="s">
        <v>355</v>
      </c>
      <c r="B281" s="84" t="s">
        <v>57</v>
      </c>
      <c r="C281" s="84" t="s">
        <v>57</v>
      </c>
      <c r="D281" s="85">
        <v>45566</v>
      </c>
      <c r="E281" s="85" t="s">
        <v>92</v>
      </c>
      <c r="F281" s="84">
        <f>INDEX(Definitions!$G$13:$G$17,MATCH(Table3[[#This Row],[Propensity to buy/ buyer readiness]],Definitions!$A$13:$A$17,0))</f>
        <v>150000</v>
      </c>
      <c r="G281" s="86">
        <v>5</v>
      </c>
      <c r="H281" s="86">
        <v>4</v>
      </c>
      <c r="I281" s="86">
        <v>3</v>
      </c>
      <c r="J281" s="86">
        <v>4</v>
      </c>
      <c r="K281" s="86">
        <v>4</v>
      </c>
      <c r="L281" s="86">
        <f>SUM(Table3[[#This Row],[Strategic priority segment]:[Propensity to buy/ buyer readiness]])</f>
        <v>20</v>
      </c>
      <c r="M281" s="86" t="s">
        <v>66</v>
      </c>
      <c r="N281" s="84" t="s">
        <v>62</v>
      </c>
      <c r="O281" s="84" t="s">
        <v>61</v>
      </c>
      <c r="P281" s="87"/>
      <c r="Q281" s="87"/>
      <c r="R281" s="84"/>
      <c r="S281" s="87"/>
      <c r="T281" s="87"/>
      <c r="U281" s="84">
        <v>1</v>
      </c>
      <c r="V281" s="84">
        <v>0</v>
      </c>
      <c r="W281" s="84">
        <v>0</v>
      </c>
      <c r="X281" s="84">
        <v>0</v>
      </c>
      <c r="Y281" s="84">
        <v>0</v>
      </c>
      <c r="Z281" s="84">
        <v>1</v>
      </c>
      <c r="AA281" s="84">
        <v>1</v>
      </c>
      <c r="AB281" s="84">
        <v>1</v>
      </c>
      <c r="AC281" s="84">
        <v>1</v>
      </c>
      <c r="AD281" s="84">
        <v>1</v>
      </c>
      <c r="AE281" s="84">
        <v>1</v>
      </c>
      <c r="AF281" s="84">
        <v>1</v>
      </c>
      <c r="AG281" s="84">
        <v>1</v>
      </c>
      <c r="AH281" s="84">
        <v>0</v>
      </c>
      <c r="AI281" s="84">
        <v>0</v>
      </c>
      <c r="AJ281" s="84">
        <v>0</v>
      </c>
      <c r="AK281" s="84">
        <v>0</v>
      </c>
      <c r="AL281" s="84" cm="1">
        <f t="array" ref="AL2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1" s="84" cm="1">
        <f t="array" ref="AM2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1" s="84" cm="1">
        <f t="array" ref="AN2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1" s="84" cm="1">
        <f t="array" ref="AO2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1" s="84" cm="1">
        <f t="array" ref="AP2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1" s="84" cm="1">
        <f t="array" ref="AQ2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81" s="84" cm="1">
        <f t="array" ref="AR2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1" s="84" cm="1">
        <f t="array" ref="AS2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81" s="84" cm="1">
        <f t="array" ref="AT2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81" s="84" cm="1">
        <f t="array" ref="AU2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81" s="84" cm="1">
        <f t="array" ref="AV2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81" s="84" cm="1">
        <f t="array" ref="AW2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81" s="84" cm="1">
        <f t="array" ref="AX2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81" s="84" cm="1">
        <f t="array" ref="AY2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1" s="84" cm="1">
        <f t="array" ref="AZ2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1" s="84" cm="1">
        <f t="array" ref="BA2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1" s="84" cm="1">
        <f t="array" ref="BB2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1" s="84">
        <f>IF(SUM(Table3[[#This Row],[Column2]:[Column18]])&gt;Table3[[#This Row],[Column19]],Table3[[#This Row],[Column19]],SUM(Table3[[#This Row],[Column2]:[Column18]]))</f>
        <v>150000</v>
      </c>
      <c r="BD281" s="2">
        <f>Table3[[#This Row],[Total Spend]]/SUM(Table3[[#This Row],[Column2]:[Column18]])</f>
        <v>0.79936051159072741</v>
      </c>
    </row>
    <row r="282" spans="1:56">
      <c r="A282" s="84" t="s">
        <v>356</v>
      </c>
      <c r="B282" s="84"/>
      <c r="C282" s="84"/>
      <c r="D282" s="85">
        <v>45566</v>
      </c>
      <c r="E282" s="85" t="s">
        <v>92</v>
      </c>
      <c r="F282" s="84">
        <f>INDEX(Definitions!$G$13:$G$17,MATCH(Table3[[#This Row],[Propensity to buy/ buyer readiness]],Definitions!$A$13:$A$17,0))</f>
        <v>50000</v>
      </c>
      <c r="G282" s="86">
        <v>5</v>
      </c>
      <c r="H282" s="86">
        <v>3</v>
      </c>
      <c r="I282" s="86">
        <v>4</v>
      </c>
      <c r="J282" s="86">
        <v>5</v>
      </c>
      <c r="K282" s="86">
        <v>3</v>
      </c>
      <c r="L282" s="86">
        <f>SUM(Table3[[#This Row],[Strategic priority segment]:[Propensity to buy/ buyer readiness]])</f>
        <v>20</v>
      </c>
      <c r="M282" s="86" t="s">
        <v>59</v>
      </c>
      <c r="N282" s="84" t="s">
        <v>60</v>
      </c>
      <c r="O282" s="87"/>
      <c r="P282" s="87"/>
      <c r="Q282" s="87"/>
      <c r="R282" s="84"/>
      <c r="S282" s="87"/>
      <c r="T282" s="87"/>
      <c r="U282" s="84">
        <v>1</v>
      </c>
      <c r="V282" s="84">
        <v>1</v>
      </c>
      <c r="W282" s="84">
        <v>1</v>
      </c>
      <c r="X282" s="84">
        <v>1</v>
      </c>
      <c r="Y282" s="84">
        <v>1</v>
      </c>
      <c r="Z282" s="84">
        <v>0</v>
      </c>
      <c r="AA282" s="84">
        <v>0</v>
      </c>
      <c r="AB282" s="84">
        <v>0</v>
      </c>
      <c r="AC282" s="84">
        <v>0</v>
      </c>
      <c r="AD282" s="84">
        <v>1</v>
      </c>
      <c r="AE282" s="84">
        <v>0</v>
      </c>
      <c r="AF282" s="84">
        <v>0</v>
      </c>
      <c r="AG282" s="84">
        <v>0</v>
      </c>
      <c r="AH282" s="84">
        <v>0</v>
      </c>
      <c r="AI282" s="84">
        <v>0</v>
      </c>
      <c r="AJ282" s="84">
        <v>0</v>
      </c>
      <c r="AK282" s="84">
        <v>0</v>
      </c>
      <c r="AL282" s="84" cm="1">
        <f t="array" ref="AL2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2" s="84" cm="1">
        <f t="array" ref="AM2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82" s="84" cm="1">
        <f t="array" ref="AN2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82" s="84" cm="1">
        <f t="array" ref="AO2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82" s="84" cm="1">
        <f t="array" ref="AP2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82" s="84" cm="1">
        <f t="array" ref="AQ2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82" s="84" cm="1">
        <f t="array" ref="AR2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82" s="84" cm="1">
        <f t="array" ref="AS2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82" s="84" cm="1">
        <f t="array" ref="AT2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82" s="84" cm="1">
        <f t="array" ref="AU2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82" s="84" cm="1">
        <f t="array" ref="AV2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82" s="84" cm="1">
        <f t="array" ref="AW2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82" s="84" cm="1">
        <f t="array" ref="AX2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2" s="84" cm="1">
        <f t="array" ref="AY2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2" s="84" cm="1">
        <f t="array" ref="AZ2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2" s="84" cm="1">
        <f t="array" ref="BA2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2" s="84" cm="1">
        <f t="array" ref="BB2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2" s="84">
        <f>IF(SUM(Table3[[#This Row],[Column2]:[Column18]])&gt;Table3[[#This Row],[Column19]],Table3[[#This Row],[Column19]],SUM(Table3[[#This Row],[Column2]:[Column18]]))</f>
        <v>50000</v>
      </c>
      <c r="BD282" s="2">
        <f>Table3[[#This Row],[Total Spend]]/SUM(Table3[[#This Row],[Column2]:[Column18]])</f>
        <v>0.26709401709401709</v>
      </c>
    </row>
    <row r="283" spans="1:56">
      <c r="A283" s="84" t="s">
        <v>357</v>
      </c>
      <c r="B283" s="84"/>
      <c r="C283" s="84" t="s">
        <v>57</v>
      </c>
      <c r="D283" s="85">
        <v>45566</v>
      </c>
      <c r="E283" s="85" t="s">
        <v>92</v>
      </c>
      <c r="F283" s="84">
        <f>INDEX(Definitions!$G$13:$G$17,MATCH(Table3[[#This Row],[Propensity to buy/ buyer readiness]],Definitions!$A$13:$A$17,0))</f>
        <v>50000</v>
      </c>
      <c r="G283" s="86">
        <v>5</v>
      </c>
      <c r="H283" s="86">
        <v>5</v>
      </c>
      <c r="I283" s="86">
        <v>3</v>
      </c>
      <c r="J283" s="86">
        <v>4</v>
      </c>
      <c r="K283" s="86">
        <v>3</v>
      </c>
      <c r="L283" s="86">
        <f>SUM(Table3[[#This Row],[Strategic priority segment]:[Propensity to buy/ buyer readiness]])</f>
        <v>20</v>
      </c>
      <c r="M283" s="86" t="s">
        <v>102</v>
      </c>
      <c r="N283" s="84" t="s">
        <v>61</v>
      </c>
      <c r="O283" s="84"/>
      <c r="P283" s="87"/>
      <c r="Q283" s="87"/>
      <c r="R283" s="84"/>
      <c r="S283" s="87"/>
      <c r="T283" s="87"/>
      <c r="U283" s="84">
        <v>1</v>
      </c>
      <c r="V283" s="84">
        <v>0</v>
      </c>
      <c r="W283" s="84">
        <v>0</v>
      </c>
      <c r="X283" s="84">
        <v>0</v>
      </c>
      <c r="Y283" s="84">
        <v>0</v>
      </c>
      <c r="Z283" s="84">
        <v>1</v>
      </c>
      <c r="AA283" s="84">
        <v>1</v>
      </c>
      <c r="AB283" s="84">
        <v>1</v>
      </c>
      <c r="AC283" s="84">
        <v>1</v>
      </c>
      <c r="AD283" s="84">
        <v>0</v>
      </c>
      <c r="AE283" s="84">
        <v>0</v>
      </c>
      <c r="AF283" s="84">
        <v>0</v>
      </c>
      <c r="AG283" s="84">
        <v>0</v>
      </c>
      <c r="AH283" s="84">
        <v>0</v>
      </c>
      <c r="AI283" s="84">
        <v>0</v>
      </c>
      <c r="AJ283" s="84">
        <v>0</v>
      </c>
      <c r="AK283" s="84">
        <v>0</v>
      </c>
      <c r="AL283" s="84" cm="1">
        <f t="array" ref="AL2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3" s="84" cm="1">
        <f t="array" ref="AM2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3" s="84" cm="1">
        <f t="array" ref="AN2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3" s="84" cm="1">
        <f t="array" ref="AO2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3" s="84" cm="1">
        <f t="array" ref="AP2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3" s="84" cm="1">
        <f t="array" ref="AQ2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83" s="84" cm="1">
        <f t="array" ref="AR2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3" s="84" cm="1">
        <f t="array" ref="AS2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83" s="84" cm="1">
        <f t="array" ref="AT2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83" s="84" cm="1">
        <f t="array" ref="AU2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83" s="84" cm="1">
        <f t="array" ref="AV2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83" s="84" cm="1">
        <f t="array" ref="AW2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83" s="84" cm="1">
        <f t="array" ref="AX2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3" s="84" cm="1">
        <f t="array" ref="AY2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3" s="84" cm="1">
        <f t="array" ref="AZ2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3" s="84" cm="1">
        <f t="array" ref="BA2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3" s="84" cm="1">
        <f t="array" ref="BB2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3" s="84">
        <f>IF(SUM(Table3[[#This Row],[Column2]:[Column18]])&gt;Table3[[#This Row],[Column19]],Table3[[#This Row],[Column19]],SUM(Table3[[#This Row],[Column2]:[Column18]]))</f>
        <v>50000</v>
      </c>
      <c r="BD283" s="2">
        <f>Table3[[#This Row],[Total Spend]]/SUM(Table3[[#This Row],[Column2]:[Column18]])</f>
        <v>0.49164208456243852</v>
      </c>
    </row>
    <row r="284" spans="1:56">
      <c r="A284" s="84" t="s">
        <v>358</v>
      </c>
      <c r="B284" s="84"/>
      <c r="C284" s="84" t="s">
        <v>57</v>
      </c>
      <c r="D284" s="85">
        <v>45566</v>
      </c>
      <c r="E284" s="85" t="s">
        <v>58</v>
      </c>
      <c r="F284" s="84">
        <f>INDEX(Definitions!$G$13:$G$17,MATCH(Table3[[#This Row],[Propensity to buy/ buyer readiness]],Definitions!$A$13:$A$17,0))</f>
        <v>250000</v>
      </c>
      <c r="G284" s="86">
        <v>5</v>
      </c>
      <c r="H284" s="86">
        <v>3</v>
      </c>
      <c r="I284" s="86">
        <v>4</v>
      </c>
      <c r="J284" s="86">
        <v>3</v>
      </c>
      <c r="K284" s="86">
        <v>5</v>
      </c>
      <c r="L284" s="86">
        <f>SUM(Table3[[#This Row],[Strategic priority segment]:[Propensity to buy/ buyer readiness]])</f>
        <v>20</v>
      </c>
      <c r="M284" s="86" t="s">
        <v>152</v>
      </c>
      <c r="N284" s="84" t="s">
        <v>122</v>
      </c>
      <c r="O284" s="84"/>
      <c r="P284" s="87"/>
      <c r="Q284" s="87"/>
      <c r="R284" s="84"/>
      <c r="S284" s="87"/>
      <c r="T284" s="87"/>
      <c r="U284" s="84">
        <v>1</v>
      </c>
      <c r="V284" s="84">
        <v>0</v>
      </c>
      <c r="W284" s="84">
        <v>0</v>
      </c>
      <c r="X284" s="84">
        <v>0</v>
      </c>
      <c r="Y284" s="84">
        <v>0</v>
      </c>
      <c r="Z284" s="84">
        <v>1</v>
      </c>
      <c r="AA284" s="84">
        <v>0</v>
      </c>
      <c r="AB284" s="84">
        <v>1</v>
      </c>
      <c r="AC284" s="84">
        <v>0</v>
      </c>
      <c r="AD284" s="84">
        <v>1</v>
      </c>
      <c r="AE284" s="84">
        <v>0</v>
      </c>
      <c r="AF284" s="84">
        <v>1</v>
      </c>
      <c r="AG284" s="84">
        <v>0</v>
      </c>
      <c r="AH284" s="84">
        <v>0</v>
      </c>
      <c r="AI284" s="84">
        <v>0</v>
      </c>
      <c r="AJ284" s="84">
        <v>0</v>
      </c>
      <c r="AK284" s="84">
        <v>0</v>
      </c>
      <c r="AL284" s="84" cm="1">
        <f t="array" ref="AL2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84" s="84" cm="1">
        <f t="array" ref="AM2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4" s="84" cm="1">
        <f t="array" ref="AN2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4" s="84" cm="1">
        <f t="array" ref="AO2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4" s="84" cm="1">
        <f t="array" ref="AP2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4" s="84" cm="1">
        <f t="array" ref="AQ2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84" s="84" cm="1">
        <f t="array" ref="AR2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84" s="84" cm="1">
        <f t="array" ref="AS2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84" s="84" cm="1">
        <f t="array" ref="AT2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84" s="84" cm="1">
        <f t="array" ref="AU2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84" s="84" cm="1">
        <f t="array" ref="AV2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84" s="84" cm="1">
        <f t="array" ref="AW2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84" s="84" cm="1">
        <f t="array" ref="AX2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4" s="84" cm="1">
        <f t="array" ref="AY2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4" s="84" cm="1">
        <f t="array" ref="AZ2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4" s="84" cm="1">
        <f t="array" ref="BA2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4" s="84" cm="1">
        <f t="array" ref="BB2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4" s="84">
        <f>IF(SUM(Table3[[#This Row],[Column2]:[Column18]])&gt;Table3[[#This Row],[Column19]],Table3[[#This Row],[Column19]],SUM(Table3[[#This Row],[Column2]:[Column18]]))</f>
        <v>167400</v>
      </c>
      <c r="BD284" s="2">
        <f>Table3[[#This Row],[Total Spend]]/SUM(Table3[[#This Row],[Column2]:[Column18]])</f>
        <v>1</v>
      </c>
    </row>
    <row r="285" spans="1:56">
      <c r="A285" s="84" t="s">
        <v>359</v>
      </c>
      <c r="B285" s="84"/>
      <c r="C285" s="84"/>
      <c r="D285" s="85">
        <v>45566</v>
      </c>
      <c r="E285" s="85" t="s">
        <v>92</v>
      </c>
      <c r="F285" s="84">
        <f>INDEX(Definitions!$G$13:$G$17,MATCH(Table3[[#This Row],[Propensity to buy/ buyer readiness]],Definitions!$A$13:$A$17,0))</f>
        <v>150000</v>
      </c>
      <c r="G285" s="86">
        <v>5</v>
      </c>
      <c r="H285" s="86">
        <v>5</v>
      </c>
      <c r="I285" s="86">
        <v>2</v>
      </c>
      <c r="J285" s="86">
        <v>4</v>
      </c>
      <c r="K285" s="86">
        <v>4</v>
      </c>
      <c r="L285" s="86">
        <f>SUM(Table3[[#This Row],[Strategic priority segment]:[Propensity to buy/ buyer readiness]])</f>
        <v>20</v>
      </c>
      <c r="M285" s="86" t="s">
        <v>102</v>
      </c>
      <c r="N285" s="84" t="s">
        <v>61</v>
      </c>
      <c r="O285" s="84" t="s">
        <v>76</v>
      </c>
      <c r="P285" s="84"/>
      <c r="Q285" s="84"/>
      <c r="R285" s="84"/>
      <c r="S285" s="87"/>
      <c r="T285" s="87"/>
      <c r="U285" s="84">
        <v>1</v>
      </c>
      <c r="V285" s="84">
        <v>0</v>
      </c>
      <c r="W285" s="84">
        <v>0</v>
      </c>
      <c r="X285" s="84">
        <v>0</v>
      </c>
      <c r="Y285" s="84">
        <v>0</v>
      </c>
      <c r="Z285" s="84">
        <v>1</v>
      </c>
      <c r="AA285" s="84">
        <v>1</v>
      </c>
      <c r="AB285" s="84">
        <v>1</v>
      </c>
      <c r="AC285" s="84">
        <v>1</v>
      </c>
      <c r="AD285" s="84">
        <v>0</v>
      </c>
      <c r="AE285" s="84">
        <v>0</v>
      </c>
      <c r="AF285" s="84">
        <v>0</v>
      </c>
      <c r="AG285" s="84">
        <v>0</v>
      </c>
      <c r="AH285" s="84">
        <v>1</v>
      </c>
      <c r="AI285" s="84">
        <v>0</v>
      </c>
      <c r="AJ285" s="84">
        <v>1</v>
      </c>
      <c r="AK285" s="84">
        <v>0</v>
      </c>
      <c r="AL285" s="84" cm="1">
        <f t="array" ref="AL2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5" s="84" cm="1">
        <f t="array" ref="AM2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5" s="84" cm="1">
        <f t="array" ref="AN2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5" s="84" cm="1">
        <f t="array" ref="AO2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5" s="84" cm="1">
        <f t="array" ref="AP2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5" s="84" cm="1">
        <f t="array" ref="AQ2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85" s="84" cm="1">
        <f t="array" ref="AR2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5" s="84" cm="1">
        <f t="array" ref="AS2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85" s="84" cm="1">
        <f t="array" ref="AT2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85" s="84" cm="1">
        <f t="array" ref="AU2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85" s="84" cm="1">
        <f t="array" ref="AV2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85" s="84" cm="1">
        <f t="array" ref="AW2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85" s="84" cm="1">
        <f t="array" ref="AX2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5" s="84" cm="1">
        <f t="array" ref="AY2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85" s="84" cm="1">
        <f t="array" ref="AZ2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5" s="84" cm="1">
        <f t="array" ref="BA2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85" s="84" cm="1">
        <f t="array" ref="BB2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5" s="84">
        <f>IF(SUM(Table3[[#This Row],[Column2]:[Column18]])&gt;Table3[[#This Row],[Column19]],Table3[[#This Row],[Column19]],SUM(Table3[[#This Row],[Column2]:[Column18]]))</f>
        <v>132300</v>
      </c>
      <c r="BD285" s="2">
        <f>Table3[[#This Row],[Total Spend]]/SUM(Table3[[#This Row],[Column2]:[Column18]])</f>
        <v>1</v>
      </c>
    </row>
    <row r="286" spans="1:56">
      <c r="A286" s="84" t="s">
        <v>360</v>
      </c>
      <c r="B286" s="84" t="s">
        <v>57</v>
      </c>
      <c r="C286" s="84" t="s">
        <v>57</v>
      </c>
      <c r="D286" s="85">
        <v>45566</v>
      </c>
      <c r="E286" s="85" t="s">
        <v>58</v>
      </c>
      <c r="F286" s="84">
        <f>INDEX(Definitions!$G$13:$G$17,MATCH(Table3[[#This Row],[Propensity to buy/ buyer readiness]],Definitions!$A$13:$A$17,0))</f>
        <v>250000</v>
      </c>
      <c r="G286" s="86">
        <v>5</v>
      </c>
      <c r="H286" s="86">
        <v>4</v>
      </c>
      <c r="I286" s="86">
        <v>3</v>
      </c>
      <c r="J286" s="86">
        <v>3</v>
      </c>
      <c r="K286" s="86">
        <v>5</v>
      </c>
      <c r="L286" s="86">
        <f>SUM(Table3[[#This Row],[Strategic priority segment]:[Propensity to buy/ buyer readiness]])</f>
        <v>20</v>
      </c>
      <c r="M286" s="86" t="s">
        <v>66</v>
      </c>
      <c r="N286" s="84" t="s">
        <v>62</v>
      </c>
      <c r="O286" s="84" t="s">
        <v>61</v>
      </c>
      <c r="P286" s="87"/>
      <c r="Q286" s="87"/>
      <c r="R286" s="84"/>
      <c r="S286" s="87"/>
      <c r="T286" s="87"/>
      <c r="U286" s="84">
        <v>1</v>
      </c>
      <c r="V286" s="84">
        <v>0</v>
      </c>
      <c r="W286" s="84">
        <v>0</v>
      </c>
      <c r="X286" s="84">
        <v>0</v>
      </c>
      <c r="Y286" s="84">
        <v>0</v>
      </c>
      <c r="Z286" s="84">
        <v>1</v>
      </c>
      <c r="AA286" s="84">
        <v>1</v>
      </c>
      <c r="AB286" s="84">
        <v>1</v>
      </c>
      <c r="AC286" s="84">
        <v>1</v>
      </c>
      <c r="AD286" s="84">
        <v>1</v>
      </c>
      <c r="AE286" s="84">
        <v>1</v>
      </c>
      <c r="AF286" s="84">
        <v>1</v>
      </c>
      <c r="AG286" s="84">
        <v>1</v>
      </c>
      <c r="AH286" s="84">
        <v>0</v>
      </c>
      <c r="AI286" s="84">
        <v>0</v>
      </c>
      <c r="AJ286" s="84">
        <v>0</v>
      </c>
      <c r="AK286" s="84">
        <v>0</v>
      </c>
      <c r="AL286" s="84" cm="1">
        <f t="array" ref="AL2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86" s="84" cm="1">
        <f t="array" ref="AM2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6" s="84" cm="1">
        <f t="array" ref="AN2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6" s="84" cm="1">
        <f t="array" ref="AO2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6" s="84" cm="1">
        <f t="array" ref="AP2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6" s="84" cm="1">
        <f t="array" ref="AQ2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86" s="84" cm="1">
        <f t="array" ref="AR2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86" s="84" cm="1">
        <f t="array" ref="AS2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86" s="84" cm="1">
        <f t="array" ref="AT2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86" s="84" cm="1">
        <f t="array" ref="AU2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86" s="84" cm="1">
        <f t="array" ref="AV2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86" s="84" cm="1">
        <f t="array" ref="AW2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86" s="84" cm="1">
        <f t="array" ref="AX2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86" s="84" cm="1">
        <f t="array" ref="AY2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6" s="84" cm="1">
        <f t="array" ref="AZ2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6" s="84" cm="1">
        <f t="array" ref="BA2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6" s="84" cm="1">
        <f t="array" ref="BB2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6" s="84">
        <f>IF(SUM(Table3[[#This Row],[Column2]:[Column18]])&gt;Table3[[#This Row],[Column19]],Table3[[#This Row],[Column19]],SUM(Table3[[#This Row],[Column2]:[Column18]]))</f>
        <v>250000</v>
      </c>
      <c r="BD286" s="2">
        <f>Table3[[#This Row],[Total Spend]]/SUM(Table3[[#This Row],[Column2]:[Column18]])</f>
        <v>0.95785440613026818</v>
      </c>
    </row>
    <row r="287" spans="1:56">
      <c r="A287" s="84" t="s">
        <v>361</v>
      </c>
      <c r="B287" s="84" t="s">
        <v>57</v>
      </c>
      <c r="C287" s="84"/>
      <c r="D287" s="85">
        <v>45566</v>
      </c>
      <c r="E287" s="85" t="s">
        <v>58</v>
      </c>
      <c r="F287" s="84">
        <f>INDEX(Definitions!$G$13:$G$17,MATCH(Table3[[#This Row],[Propensity to buy/ buyer readiness]],Definitions!$A$13:$A$17,0))</f>
        <v>150000</v>
      </c>
      <c r="G287" s="86">
        <v>4</v>
      </c>
      <c r="H287" s="86">
        <v>4</v>
      </c>
      <c r="I287" s="86">
        <v>4</v>
      </c>
      <c r="J287" s="86">
        <v>4</v>
      </c>
      <c r="K287" s="86">
        <v>4</v>
      </c>
      <c r="L287" s="86">
        <f>SUM(Table3[[#This Row],[Strategic priority segment]:[Propensity to buy/ buyer readiness]])</f>
        <v>20</v>
      </c>
      <c r="M287" s="86" t="s">
        <v>59</v>
      </c>
      <c r="N287" s="84" t="s">
        <v>63</v>
      </c>
      <c r="O287" s="84"/>
      <c r="P287" s="87"/>
      <c r="Q287" s="87"/>
      <c r="R287" s="84"/>
      <c r="S287" s="87"/>
      <c r="T287" s="87"/>
      <c r="U287" s="84">
        <v>1</v>
      </c>
      <c r="V287" s="84">
        <v>0</v>
      </c>
      <c r="W287" s="84">
        <v>1</v>
      </c>
      <c r="X287" s="84">
        <v>0</v>
      </c>
      <c r="Y287" s="84">
        <v>0</v>
      </c>
      <c r="Z287" s="84">
        <v>0</v>
      </c>
      <c r="AA287" s="84">
        <v>1</v>
      </c>
      <c r="AB287" s="84">
        <v>0</v>
      </c>
      <c r="AC287" s="84">
        <v>0</v>
      </c>
      <c r="AD287" s="84">
        <v>1</v>
      </c>
      <c r="AE287" s="84">
        <v>1</v>
      </c>
      <c r="AF287" s="84">
        <v>1</v>
      </c>
      <c r="AG287" s="84">
        <v>0</v>
      </c>
      <c r="AH287" s="84">
        <v>0</v>
      </c>
      <c r="AI287" s="84">
        <v>0</v>
      </c>
      <c r="AJ287" s="84">
        <v>0</v>
      </c>
      <c r="AK287" s="84">
        <v>0</v>
      </c>
      <c r="AL287" s="84" cm="1">
        <f t="array" ref="AL2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87" s="84" cm="1">
        <f t="array" ref="AM2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7" s="84" cm="1">
        <f t="array" ref="AN2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287" s="84" cm="1">
        <f t="array" ref="AO2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7" s="84" cm="1">
        <f t="array" ref="AP2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7" s="84" cm="1">
        <f t="array" ref="AQ2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87" s="84" cm="1">
        <f t="array" ref="AR2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87" s="84" cm="1">
        <f t="array" ref="AS2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87" s="84" cm="1">
        <f t="array" ref="AT2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87" s="84" cm="1">
        <f t="array" ref="AU2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87" s="84" cm="1">
        <f t="array" ref="AV2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87" s="84" cm="1">
        <f t="array" ref="AW2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87" s="84" cm="1">
        <f t="array" ref="AX2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7" s="84" cm="1">
        <f t="array" ref="AY2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7" s="84" cm="1">
        <f t="array" ref="AZ2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7" s="84" cm="1">
        <f t="array" ref="BA2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7" s="84" cm="1">
        <f t="array" ref="BB2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7" s="84">
        <f>IF(SUM(Table3[[#This Row],[Column2]:[Column18]])&gt;Table3[[#This Row],[Column19]],Table3[[#This Row],[Column19]],SUM(Table3[[#This Row],[Column2]:[Column18]]))</f>
        <v>150000</v>
      </c>
      <c r="BD287" s="2">
        <f>Table3[[#This Row],[Total Spend]]/SUM(Table3[[#This Row],[Column2]:[Column18]])</f>
        <v>0.78988941548183256</v>
      </c>
    </row>
    <row r="288" spans="1:56">
      <c r="A288" s="84" t="s">
        <v>362</v>
      </c>
      <c r="B288" s="84"/>
      <c r="C288" s="84"/>
      <c r="D288" s="85">
        <v>45566</v>
      </c>
      <c r="E288" s="85" t="s">
        <v>92</v>
      </c>
      <c r="F288" s="84">
        <f>INDEX(Definitions!$G$13:$G$17,MATCH(Table3[[#This Row],[Propensity to buy/ buyer readiness]],Definitions!$A$13:$A$17,0))</f>
        <v>50000</v>
      </c>
      <c r="G288" s="86">
        <v>5</v>
      </c>
      <c r="H288" s="86">
        <v>5</v>
      </c>
      <c r="I288" s="86">
        <v>3</v>
      </c>
      <c r="J288" s="86">
        <v>4</v>
      </c>
      <c r="K288" s="86">
        <v>3</v>
      </c>
      <c r="L288" s="86">
        <f>SUM(Table3[[#This Row],[Strategic priority segment]:[Propensity to buy/ buyer readiness]])</f>
        <v>20</v>
      </c>
      <c r="M288" s="86" t="s">
        <v>102</v>
      </c>
      <c r="N288" s="84" t="s">
        <v>61</v>
      </c>
      <c r="O288" s="84"/>
      <c r="P288" s="87"/>
      <c r="Q288" s="87"/>
      <c r="R288" s="84"/>
      <c r="S288" s="87"/>
      <c r="T288" s="87"/>
      <c r="U288" s="84">
        <v>1</v>
      </c>
      <c r="V288" s="84">
        <v>0</v>
      </c>
      <c r="W288" s="84">
        <v>0</v>
      </c>
      <c r="X288" s="84">
        <v>0</v>
      </c>
      <c r="Y288" s="84">
        <v>0</v>
      </c>
      <c r="Z288" s="84">
        <v>1</v>
      </c>
      <c r="AA288" s="84">
        <v>1</v>
      </c>
      <c r="AB288" s="84">
        <v>1</v>
      </c>
      <c r="AC288" s="84">
        <v>1</v>
      </c>
      <c r="AD288" s="84">
        <v>0</v>
      </c>
      <c r="AE288" s="84">
        <v>0</v>
      </c>
      <c r="AF288" s="84">
        <v>0</v>
      </c>
      <c r="AG288" s="84">
        <v>0</v>
      </c>
      <c r="AH288" s="84">
        <v>0</v>
      </c>
      <c r="AI288" s="84">
        <v>0</v>
      </c>
      <c r="AJ288" s="84">
        <v>0</v>
      </c>
      <c r="AK288" s="84">
        <v>0</v>
      </c>
      <c r="AL288" s="84" cm="1">
        <f t="array" ref="AL2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8" s="84" cm="1">
        <f t="array" ref="AM2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8" s="84" cm="1">
        <f t="array" ref="AN2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8" s="84" cm="1">
        <f t="array" ref="AO2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8" s="84" cm="1">
        <f t="array" ref="AP2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8" s="84" cm="1">
        <f t="array" ref="AQ2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88" s="84" cm="1">
        <f t="array" ref="AR2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8" s="84" cm="1">
        <f t="array" ref="AS2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88" s="84" cm="1">
        <f t="array" ref="AT2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88" s="84" cm="1">
        <f t="array" ref="AU2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88" s="84" cm="1">
        <f t="array" ref="AV2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88" s="84" cm="1">
        <f t="array" ref="AW2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88" s="84" cm="1">
        <f t="array" ref="AX2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88" s="84" cm="1">
        <f t="array" ref="AY2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8" s="84" cm="1">
        <f t="array" ref="AZ2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8" s="84" cm="1">
        <f t="array" ref="BA2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8" s="84" cm="1">
        <f t="array" ref="BB2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8" s="84">
        <f>IF(SUM(Table3[[#This Row],[Column2]:[Column18]])&gt;Table3[[#This Row],[Column19]],Table3[[#This Row],[Column19]],SUM(Table3[[#This Row],[Column2]:[Column18]]))</f>
        <v>50000</v>
      </c>
      <c r="BD288" s="2">
        <f>Table3[[#This Row],[Total Spend]]/SUM(Table3[[#This Row],[Column2]:[Column18]])</f>
        <v>0.49164208456243852</v>
      </c>
    </row>
    <row r="289" spans="1:56">
      <c r="A289" s="84" t="s">
        <v>363</v>
      </c>
      <c r="B289" s="84"/>
      <c r="C289" s="84" t="s">
        <v>57</v>
      </c>
      <c r="D289" s="85">
        <v>45809</v>
      </c>
      <c r="E289" s="85" t="s">
        <v>92</v>
      </c>
      <c r="F289" s="84">
        <f>INDEX(Definitions!$G$13:$G$17,MATCH(Table3[[#This Row],[Propensity to buy/ buyer readiness]],Definitions!$A$13:$A$17,0))</f>
        <v>50000</v>
      </c>
      <c r="G289" s="86">
        <v>5</v>
      </c>
      <c r="H289" s="86">
        <v>5</v>
      </c>
      <c r="I289" s="86">
        <v>3</v>
      </c>
      <c r="J289" s="86">
        <v>4</v>
      </c>
      <c r="K289" s="86">
        <v>3</v>
      </c>
      <c r="L289" s="86">
        <f>SUM(Table3[[#This Row],[Strategic priority segment]:[Propensity to buy/ buyer readiness]])</f>
        <v>20</v>
      </c>
      <c r="M289" s="86" t="s">
        <v>102</v>
      </c>
      <c r="N289" s="84" t="s">
        <v>61</v>
      </c>
      <c r="O289" s="84" t="s">
        <v>62</v>
      </c>
      <c r="P289" s="84"/>
      <c r="Q289" s="84"/>
      <c r="R289" s="84"/>
      <c r="S289" s="84"/>
      <c r="T289" s="87"/>
      <c r="U289" s="84">
        <v>1</v>
      </c>
      <c r="V289" s="84">
        <v>0</v>
      </c>
      <c r="W289" s="84">
        <v>0</v>
      </c>
      <c r="X289" s="84">
        <v>0</v>
      </c>
      <c r="Y289" s="84">
        <v>0</v>
      </c>
      <c r="Z289" s="84">
        <v>1</v>
      </c>
      <c r="AA289" s="84">
        <v>1</v>
      </c>
      <c r="AB289" s="84">
        <v>1</v>
      </c>
      <c r="AC289" s="84">
        <v>1</v>
      </c>
      <c r="AD289" s="84">
        <v>1</v>
      </c>
      <c r="AE289" s="84">
        <v>1</v>
      </c>
      <c r="AF289" s="84">
        <v>1</v>
      </c>
      <c r="AG289" s="84">
        <v>1</v>
      </c>
      <c r="AH289" s="84">
        <v>0</v>
      </c>
      <c r="AI289" s="84">
        <v>0</v>
      </c>
      <c r="AJ289" s="84">
        <v>0</v>
      </c>
      <c r="AK289" s="84">
        <v>0</v>
      </c>
      <c r="AL289" s="84" cm="1">
        <f t="array" ref="AL2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89" s="84" cm="1">
        <f t="array" ref="AM2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89" s="84" cm="1">
        <f t="array" ref="AN2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89" s="84" cm="1">
        <f t="array" ref="AO2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89" s="84" cm="1">
        <f t="array" ref="AP2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89" s="84" cm="1">
        <f t="array" ref="AQ2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89" s="84" cm="1">
        <f t="array" ref="AR2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89" s="84" cm="1">
        <f t="array" ref="AS2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89" s="84" cm="1">
        <f t="array" ref="AT2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89" s="84" cm="1">
        <f t="array" ref="AU2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89" s="84" cm="1">
        <f t="array" ref="AV2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89" s="84" cm="1">
        <f t="array" ref="AW2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89" s="84" cm="1">
        <f t="array" ref="AX2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89" s="84" cm="1">
        <f t="array" ref="AY2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89" s="84" cm="1">
        <f t="array" ref="AZ2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89" s="84" cm="1">
        <f t="array" ref="BA2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89" s="84" cm="1">
        <f t="array" ref="BB2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89" s="84">
        <f>IF(SUM(Table3[[#This Row],[Column2]:[Column18]])&gt;Table3[[#This Row],[Column19]],Table3[[#This Row],[Column19]],SUM(Table3[[#This Row],[Column2]:[Column18]]))</f>
        <v>50000</v>
      </c>
      <c r="BD289" s="2">
        <f>Table3[[#This Row],[Total Spend]]/SUM(Table3[[#This Row],[Column2]:[Column18]])</f>
        <v>0.2664535038635758</v>
      </c>
    </row>
    <row r="290" spans="1:56">
      <c r="A290" s="84" t="s">
        <v>364</v>
      </c>
      <c r="B290" s="84" t="s">
        <v>57</v>
      </c>
      <c r="C290" s="84"/>
      <c r="D290" s="85">
        <v>45566</v>
      </c>
      <c r="E290" s="85" t="s">
        <v>58</v>
      </c>
      <c r="F290" s="84">
        <f>INDEX(Definitions!$G$13:$G$17,MATCH(Table3[[#This Row],[Propensity to buy/ buyer readiness]],Definitions!$A$13:$A$17,0))</f>
        <v>150000</v>
      </c>
      <c r="G290" s="86">
        <v>5</v>
      </c>
      <c r="H290" s="86">
        <v>4</v>
      </c>
      <c r="I290" s="86">
        <v>4</v>
      </c>
      <c r="J290" s="86">
        <v>3</v>
      </c>
      <c r="K290" s="86">
        <v>4</v>
      </c>
      <c r="L290" s="86">
        <f>SUM(Table3[[#This Row],[Strategic priority segment]:[Propensity to buy/ buyer readiness]])</f>
        <v>20</v>
      </c>
      <c r="M290" s="86" t="s">
        <v>66</v>
      </c>
      <c r="N290" s="84" t="s">
        <v>62</v>
      </c>
      <c r="O290" s="84"/>
      <c r="P290" s="87"/>
      <c r="Q290" s="87"/>
      <c r="R290" s="84"/>
      <c r="S290" s="87"/>
      <c r="T290" s="87"/>
      <c r="U290" s="84">
        <v>1</v>
      </c>
      <c r="V290" s="84">
        <v>0</v>
      </c>
      <c r="W290" s="84">
        <v>0</v>
      </c>
      <c r="X290" s="84">
        <v>0</v>
      </c>
      <c r="Y290" s="84">
        <v>0</v>
      </c>
      <c r="Z290" s="84">
        <v>0</v>
      </c>
      <c r="AA290" s="84">
        <v>0</v>
      </c>
      <c r="AB290" s="84">
        <v>0</v>
      </c>
      <c r="AC290" s="84">
        <v>0</v>
      </c>
      <c r="AD290" s="84">
        <v>1</v>
      </c>
      <c r="AE290" s="84">
        <v>1</v>
      </c>
      <c r="AF290" s="84">
        <v>1</v>
      </c>
      <c r="AG290" s="84">
        <v>1</v>
      </c>
      <c r="AH290" s="84">
        <v>0</v>
      </c>
      <c r="AI290" s="84">
        <v>0</v>
      </c>
      <c r="AJ290" s="84">
        <v>0</v>
      </c>
      <c r="AK290" s="84">
        <v>0</v>
      </c>
      <c r="AL290" s="84" cm="1">
        <f t="array" ref="AL2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90" s="84" cm="1">
        <f t="array" ref="AM2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0" s="84" cm="1">
        <f t="array" ref="AN2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0" s="84" cm="1">
        <f t="array" ref="AO2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0" s="84" cm="1">
        <f t="array" ref="AP2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0" s="84" cm="1">
        <f t="array" ref="AQ2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0" s="84" cm="1">
        <f t="array" ref="AR2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0" s="84" cm="1">
        <f t="array" ref="AS2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0" s="84" cm="1">
        <f t="array" ref="AT2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0" s="84" cm="1">
        <f t="array" ref="AU2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90" s="84" cm="1">
        <f t="array" ref="AV2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90" s="84" cm="1">
        <f t="array" ref="AW2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90" s="84" cm="1">
        <f t="array" ref="AX2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90" s="84" cm="1">
        <f t="array" ref="AY2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0" s="84" cm="1">
        <f t="array" ref="AZ2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0" s="84" cm="1">
        <f t="array" ref="BA2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0" s="84" cm="1">
        <f t="array" ref="BB2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0" s="84">
        <f>IF(SUM(Table3[[#This Row],[Column2]:[Column18]])&gt;Table3[[#This Row],[Column19]],Table3[[#This Row],[Column19]],SUM(Table3[[#This Row],[Column2]:[Column18]]))</f>
        <v>131400</v>
      </c>
      <c r="BD290" s="2">
        <f>Table3[[#This Row],[Total Spend]]/SUM(Table3[[#This Row],[Column2]:[Column18]])</f>
        <v>1</v>
      </c>
    </row>
    <row r="291" spans="1:56">
      <c r="A291" s="84" t="s">
        <v>365</v>
      </c>
      <c r="B291" s="84"/>
      <c r="C291" s="84"/>
      <c r="D291" s="85">
        <v>45566</v>
      </c>
      <c r="E291" s="85" t="s">
        <v>92</v>
      </c>
      <c r="F291" s="84">
        <f>INDEX(Definitions!$G$13:$G$17,MATCH(Table3[[#This Row],[Propensity to buy/ buyer readiness]],Definitions!$A$13:$A$17,0))</f>
        <v>50000</v>
      </c>
      <c r="G291" s="86">
        <v>5</v>
      </c>
      <c r="H291" s="86">
        <v>3</v>
      </c>
      <c r="I291" s="86">
        <v>4</v>
      </c>
      <c r="J291" s="86">
        <v>5</v>
      </c>
      <c r="K291" s="86">
        <v>3</v>
      </c>
      <c r="L291" s="86">
        <f>SUM(Table3[[#This Row],[Strategic priority segment]:[Propensity to buy/ buyer readiness]])</f>
        <v>20</v>
      </c>
      <c r="M291" s="86" t="s">
        <v>59</v>
      </c>
      <c r="N291" s="84" t="s">
        <v>60</v>
      </c>
      <c r="O291" s="87"/>
      <c r="P291" s="87"/>
      <c r="Q291" s="87"/>
      <c r="R291" s="84"/>
      <c r="S291" s="87"/>
      <c r="T291" s="87"/>
      <c r="U291" s="84">
        <v>1</v>
      </c>
      <c r="V291" s="84">
        <v>1</v>
      </c>
      <c r="W291" s="84">
        <v>1</v>
      </c>
      <c r="X291" s="84">
        <v>1</v>
      </c>
      <c r="Y291" s="84">
        <v>1</v>
      </c>
      <c r="Z291" s="84">
        <v>0</v>
      </c>
      <c r="AA291" s="84">
        <v>0</v>
      </c>
      <c r="AB291" s="84">
        <v>0</v>
      </c>
      <c r="AC291" s="84">
        <v>0</v>
      </c>
      <c r="AD291" s="84">
        <v>1</v>
      </c>
      <c r="AE291" s="84">
        <v>0</v>
      </c>
      <c r="AF291" s="84">
        <v>0</v>
      </c>
      <c r="AG291" s="84">
        <v>0</v>
      </c>
      <c r="AH291" s="84">
        <v>0</v>
      </c>
      <c r="AI291" s="84">
        <v>0</v>
      </c>
      <c r="AJ291" s="84">
        <v>0</v>
      </c>
      <c r="AK291" s="84">
        <v>0</v>
      </c>
      <c r="AL291" s="84" cm="1">
        <f t="array" ref="AL2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1" s="84" cm="1">
        <f t="array" ref="AM2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91" s="84" cm="1">
        <f t="array" ref="AN2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91" s="84" cm="1">
        <f t="array" ref="AO2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91" s="84" cm="1">
        <f t="array" ref="AP2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91" s="84" cm="1">
        <f t="array" ref="AQ2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1" s="84" cm="1">
        <f t="array" ref="AR2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1" s="84" cm="1">
        <f t="array" ref="AS2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1" s="84" cm="1">
        <f t="array" ref="AT2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1" s="84" cm="1">
        <f t="array" ref="AU2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91" s="84" cm="1">
        <f t="array" ref="AV2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1" s="84" cm="1">
        <f t="array" ref="AW2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1" s="84" cm="1">
        <f t="array" ref="AX2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1" s="84" cm="1">
        <f t="array" ref="AY2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1" s="84" cm="1">
        <f t="array" ref="AZ2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1" s="84" cm="1">
        <f t="array" ref="BA2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1" s="84" cm="1">
        <f t="array" ref="BB2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1" s="84">
        <f>IF(SUM(Table3[[#This Row],[Column2]:[Column18]])&gt;Table3[[#This Row],[Column19]],Table3[[#This Row],[Column19]],SUM(Table3[[#This Row],[Column2]:[Column18]]))</f>
        <v>50000</v>
      </c>
      <c r="BD291" s="2">
        <f>Table3[[#This Row],[Total Spend]]/SUM(Table3[[#This Row],[Column2]:[Column18]])</f>
        <v>0.26709401709401709</v>
      </c>
    </row>
    <row r="292" spans="1:56">
      <c r="A292" s="84" t="s">
        <v>366</v>
      </c>
      <c r="B292" s="84"/>
      <c r="C292" s="84" t="s">
        <v>57</v>
      </c>
      <c r="D292" s="85">
        <v>45566</v>
      </c>
      <c r="E292" s="85" t="s">
        <v>58</v>
      </c>
      <c r="F292" s="84">
        <f>INDEX(Definitions!$G$13:$G$17,MATCH(Table3[[#This Row],[Propensity to buy/ buyer readiness]],Definitions!$A$13:$A$17,0))</f>
        <v>50000</v>
      </c>
      <c r="G292" s="86">
        <v>5</v>
      </c>
      <c r="H292" s="86">
        <v>4</v>
      </c>
      <c r="I292" s="86">
        <v>4</v>
      </c>
      <c r="J292" s="86">
        <v>4</v>
      </c>
      <c r="K292" s="86">
        <v>3</v>
      </c>
      <c r="L292" s="86">
        <f>SUM(Table3[[#This Row],[Strategic priority segment]:[Propensity to buy/ buyer readiness]])</f>
        <v>20</v>
      </c>
      <c r="M292" s="86" t="s">
        <v>191</v>
      </c>
      <c r="N292" s="84" t="s">
        <v>135</v>
      </c>
      <c r="O292" s="87"/>
      <c r="P292" s="87"/>
      <c r="Q292" s="87"/>
      <c r="R292" s="84"/>
      <c r="S292" s="87"/>
      <c r="T292" s="87"/>
      <c r="U292" s="84">
        <v>0</v>
      </c>
      <c r="V292" s="84">
        <v>0</v>
      </c>
      <c r="W292" s="84">
        <v>0</v>
      </c>
      <c r="X292" s="84">
        <v>0</v>
      </c>
      <c r="Y292" s="84">
        <v>0</v>
      </c>
      <c r="Z292" s="84">
        <v>0</v>
      </c>
      <c r="AA292" s="84">
        <v>0</v>
      </c>
      <c r="AB292" s="84">
        <v>0</v>
      </c>
      <c r="AC292" s="84">
        <v>0</v>
      </c>
      <c r="AD292" s="84">
        <v>0</v>
      </c>
      <c r="AE292" s="84">
        <v>0</v>
      </c>
      <c r="AF292" s="84">
        <v>0</v>
      </c>
      <c r="AG292" s="84">
        <v>0</v>
      </c>
      <c r="AH292" s="84">
        <v>1</v>
      </c>
      <c r="AI292" s="84">
        <v>1</v>
      </c>
      <c r="AJ292" s="84">
        <v>1</v>
      </c>
      <c r="AK292" s="84">
        <v>1</v>
      </c>
      <c r="AL292" s="84" cm="1">
        <f t="array" ref="AL2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292" s="84" cm="1">
        <f t="array" ref="AM2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2" s="84" cm="1">
        <f t="array" ref="AN2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2" s="84" cm="1">
        <f t="array" ref="AO2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2" s="84" cm="1">
        <f t="array" ref="AP2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2" s="84" cm="1">
        <f t="array" ref="AQ2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2" s="84" cm="1">
        <f t="array" ref="AR2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2" s="84" cm="1">
        <f t="array" ref="AS2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2" s="84" cm="1">
        <f t="array" ref="AT2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2" s="84" cm="1">
        <f t="array" ref="AU2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92" s="84" cm="1">
        <f t="array" ref="AV2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2" s="84" cm="1">
        <f t="array" ref="AW2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2" s="84" cm="1">
        <f t="array" ref="AX2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2" s="84" cm="1">
        <f t="array" ref="AY2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92" s="84" cm="1">
        <f t="array" ref="AZ2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292" s="84" cm="1">
        <f t="array" ref="BA2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92" s="84" cm="1">
        <f t="array" ref="BB2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292" s="84">
        <f>IF(SUM(Table3[[#This Row],[Column2]:[Column18]])&gt;Table3[[#This Row],[Column19]],Table3[[#This Row],[Column19]],SUM(Table3[[#This Row],[Column2]:[Column18]]))</f>
        <v>50000</v>
      </c>
      <c r="BD292" s="2">
        <f>Table3[[#This Row],[Total Spend]]/SUM(Table3[[#This Row],[Column2]:[Column18]])</f>
        <v>0.77700077700077697</v>
      </c>
    </row>
    <row r="293" spans="1:56">
      <c r="A293" s="88" t="s">
        <v>367</v>
      </c>
      <c r="B293" s="88"/>
      <c r="C293" s="88"/>
      <c r="D293" s="85">
        <v>45566</v>
      </c>
      <c r="E293" s="85" t="s">
        <v>58</v>
      </c>
      <c r="F293" s="84">
        <f>INDEX(Definitions!$G$13:$G$17,MATCH(Table3[[#This Row],[Propensity to buy/ buyer readiness]],Definitions!$A$13:$A$17,0))</f>
        <v>250000</v>
      </c>
      <c r="G293" s="86">
        <v>5</v>
      </c>
      <c r="H293" s="86">
        <v>4</v>
      </c>
      <c r="I293" s="86">
        <v>3</v>
      </c>
      <c r="J293" s="86">
        <v>3</v>
      </c>
      <c r="K293" s="86">
        <v>5</v>
      </c>
      <c r="L293" s="86">
        <f>SUM(Table3[[#This Row],[Strategic priority segment]:[Propensity to buy/ buyer readiness]])</f>
        <v>20</v>
      </c>
      <c r="M293" s="86" t="s">
        <v>66</v>
      </c>
      <c r="N293" s="84" t="s">
        <v>62</v>
      </c>
      <c r="O293" s="84" t="s">
        <v>76</v>
      </c>
      <c r="P293" s="87"/>
      <c r="Q293" s="87"/>
      <c r="R293" s="84"/>
      <c r="S293" s="87"/>
      <c r="T293" s="87"/>
      <c r="U293" s="84">
        <v>1</v>
      </c>
      <c r="V293" s="84">
        <v>0</v>
      </c>
      <c r="W293" s="84">
        <v>0</v>
      </c>
      <c r="X293" s="84">
        <v>0</v>
      </c>
      <c r="Y293" s="84">
        <v>0</v>
      </c>
      <c r="Z293" s="84">
        <v>0</v>
      </c>
      <c r="AA293" s="84">
        <v>0</v>
      </c>
      <c r="AB293" s="84">
        <v>0</v>
      </c>
      <c r="AC293" s="84">
        <v>0</v>
      </c>
      <c r="AD293" s="84">
        <v>1</v>
      </c>
      <c r="AE293" s="84">
        <v>1</v>
      </c>
      <c r="AF293" s="84">
        <v>1</v>
      </c>
      <c r="AG293" s="84">
        <v>1</v>
      </c>
      <c r="AH293" s="84">
        <v>1</v>
      </c>
      <c r="AI293" s="84">
        <v>0</v>
      </c>
      <c r="AJ293" s="84">
        <v>1</v>
      </c>
      <c r="AK293" s="84">
        <v>0</v>
      </c>
      <c r="AL293" s="84" cm="1">
        <f t="array" ref="AL2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93" s="84" cm="1">
        <f t="array" ref="AM2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3" s="84" cm="1">
        <f t="array" ref="AN2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3" s="84" cm="1">
        <f t="array" ref="AO2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3" s="84" cm="1">
        <f t="array" ref="AP2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3" s="84" cm="1">
        <f t="array" ref="AQ2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3" s="84" cm="1">
        <f t="array" ref="AR2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3" s="84" cm="1">
        <f t="array" ref="AS2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3" s="84" cm="1">
        <f t="array" ref="AT2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3" s="84" cm="1">
        <f t="array" ref="AU2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93" s="84" cm="1">
        <f t="array" ref="AV2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293" s="84" cm="1">
        <f t="array" ref="AW2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93" s="84" cm="1">
        <f t="array" ref="AX2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293" s="84" cm="1">
        <f t="array" ref="AY2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293" s="84" cm="1">
        <f t="array" ref="AZ2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3" s="84" cm="1">
        <f t="array" ref="BA2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293" s="84" cm="1">
        <f t="array" ref="BB2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3" s="84">
        <f>IF(SUM(Table3[[#This Row],[Column2]:[Column18]])&gt;Table3[[#This Row],[Column19]],Table3[[#This Row],[Column19]],SUM(Table3[[#This Row],[Column2]:[Column18]]))</f>
        <v>173700</v>
      </c>
      <c r="BD293" s="2">
        <f>Table3[[#This Row],[Total Spend]]/SUM(Table3[[#This Row],[Column2]:[Column18]])</f>
        <v>1</v>
      </c>
    </row>
    <row r="294" spans="1:56">
      <c r="A294" s="84" t="s">
        <v>368</v>
      </c>
      <c r="B294" s="84"/>
      <c r="C294" s="84"/>
      <c r="D294" s="85">
        <v>45566</v>
      </c>
      <c r="E294" s="85" t="s">
        <v>92</v>
      </c>
      <c r="F294" s="84">
        <f>INDEX(Definitions!$G$13:$G$17,MATCH(Table3[[#This Row],[Propensity to buy/ buyer readiness]],Definitions!$A$13:$A$17,0))</f>
        <v>50000</v>
      </c>
      <c r="G294" s="86">
        <v>5</v>
      </c>
      <c r="H294" s="86">
        <v>3</v>
      </c>
      <c r="I294" s="86">
        <v>4</v>
      </c>
      <c r="J294" s="86">
        <v>5</v>
      </c>
      <c r="K294" s="86">
        <v>3</v>
      </c>
      <c r="L294" s="86">
        <f>SUM(Table3[[#This Row],[Strategic priority segment]:[Propensity to buy/ buyer readiness]])</f>
        <v>20</v>
      </c>
      <c r="M294" s="86" t="s">
        <v>59</v>
      </c>
      <c r="N294" s="84" t="s">
        <v>60</v>
      </c>
      <c r="O294" s="87"/>
      <c r="P294" s="87"/>
      <c r="Q294" s="87"/>
      <c r="R294" s="84"/>
      <c r="S294" s="87"/>
      <c r="T294" s="87"/>
      <c r="U294" s="84">
        <v>1</v>
      </c>
      <c r="V294" s="84">
        <v>1</v>
      </c>
      <c r="W294" s="84">
        <v>1</v>
      </c>
      <c r="X294" s="84">
        <v>1</v>
      </c>
      <c r="Y294" s="84">
        <v>1</v>
      </c>
      <c r="Z294" s="84">
        <v>0</v>
      </c>
      <c r="AA294" s="84">
        <v>0</v>
      </c>
      <c r="AB294" s="84">
        <v>0</v>
      </c>
      <c r="AC294" s="84">
        <v>0</v>
      </c>
      <c r="AD294" s="84">
        <v>1</v>
      </c>
      <c r="AE294" s="84">
        <v>0</v>
      </c>
      <c r="AF294" s="84">
        <v>0</v>
      </c>
      <c r="AG294" s="84">
        <v>0</v>
      </c>
      <c r="AH294" s="84">
        <v>0</v>
      </c>
      <c r="AI294" s="84">
        <v>0</v>
      </c>
      <c r="AJ294" s="84">
        <v>0</v>
      </c>
      <c r="AK294" s="84">
        <v>0</v>
      </c>
      <c r="AL294" s="84" cm="1">
        <f t="array" ref="AL2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4" s="84" cm="1">
        <f t="array" ref="AM2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94" s="84" cm="1">
        <f t="array" ref="AN2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94" s="84" cm="1">
        <f t="array" ref="AO2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94" s="84" cm="1">
        <f t="array" ref="AP2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94" s="84" cm="1">
        <f t="array" ref="AQ2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4" s="84" cm="1">
        <f t="array" ref="AR2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4" s="84" cm="1">
        <f t="array" ref="AS2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4" s="84" cm="1">
        <f t="array" ref="AT2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4" s="84" cm="1">
        <f t="array" ref="AU2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94" s="84" cm="1">
        <f t="array" ref="AV2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4" s="84" cm="1">
        <f t="array" ref="AW2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4" s="84" cm="1">
        <f t="array" ref="AX2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4" s="84" cm="1">
        <f t="array" ref="AY2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4" s="84" cm="1">
        <f t="array" ref="AZ2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4" s="84" cm="1">
        <f t="array" ref="BA2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4" s="84" cm="1">
        <f t="array" ref="BB2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4" s="84">
        <f>IF(SUM(Table3[[#This Row],[Column2]:[Column18]])&gt;Table3[[#This Row],[Column19]],Table3[[#This Row],[Column19]],SUM(Table3[[#This Row],[Column2]:[Column18]]))</f>
        <v>50000</v>
      </c>
      <c r="BD294" s="2">
        <f>Table3[[#This Row],[Total Spend]]/SUM(Table3[[#This Row],[Column2]:[Column18]])</f>
        <v>0.26709401709401709</v>
      </c>
    </row>
    <row r="295" spans="1:56">
      <c r="A295" s="84" t="s">
        <v>369</v>
      </c>
      <c r="B295" s="84"/>
      <c r="C295" s="84"/>
      <c r="D295" s="85">
        <v>45809</v>
      </c>
      <c r="E295" s="85" t="s">
        <v>92</v>
      </c>
      <c r="F295" s="84">
        <f>INDEX(Definitions!$G$13:$G$17,MATCH(Table3[[#This Row],[Propensity to buy/ buyer readiness]],Definitions!$A$13:$A$17,0))</f>
        <v>50000</v>
      </c>
      <c r="G295" s="86">
        <v>5</v>
      </c>
      <c r="H295" s="86">
        <v>3</v>
      </c>
      <c r="I295" s="86">
        <v>4</v>
      </c>
      <c r="J295" s="86">
        <v>5</v>
      </c>
      <c r="K295" s="86">
        <v>3</v>
      </c>
      <c r="L295" s="86">
        <f>SUM(Table3[[#This Row],[Strategic priority segment]:[Propensity to buy/ buyer readiness]])</f>
        <v>20</v>
      </c>
      <c r="M295" s="86" t="s">
        <v>59</v>
      </c>
      <c r="N295" s="84" t="s">
        <v>60</v>
      </c>
      <c r="O295" s="84"/>
      <c r="P295" s="87"/>
      <c r="Q295" s="87"/>
      <c r="R295" s="84"/>
      <c r="S295" s="84"/>
      <c r="T295" s="84"/>
      <c r="U295" s="84">
        <v>1</v>
      </c>
      <c r="V295" s="84">
        <v>1</v>
      </c>
      <c r="W295" s="84">
        <v>1</v>
      </c>
      <c r="X295" s="84">
        <v>1</v>
      </c>
      <c r="Y295" s="84">
        <v>1</v>
      </c>
      <c r="Z295" s="84">
        <v>0</v>
      </c>
      <c r="AA295" s="84">
        <v>0</v>
      </c>
      <c r="AB295" s="84">
        <v>0</v>
      </c>
      <c r="AC295" s="84">
        <v>0</v>
      </c>
      <c r="AD295" s="84">
        <v>1</v>
      </c>
      <c r="AE295" s="84">
        <v>0</v>
      </c>
      <c r="AF295" s="84">
        <v>0</v>
      </c>
      <c r="AG295" s="84">
        <v>0</v>
      </c>
      <c r="AH295" s="84">
        <v>0</v>
      </c>
      <c r="AI295" s="84">
        <v>0</v>
      </c>
      <c r="AJ295" s="84">
        <v>0</v>
      </c>
      <c r="AK295" s="84">
        <v>0</v>
      </c>
      <c r="AL295" s="84" cm="1">
        <f t="array" ref="AL2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5" s="84" cm="1">
        <f t="array" ref="AM2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295" s="84" cm="1">
        <f t="array" ref="AN2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295" s="84" cm="1">
        <f t="array" ref="AO2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295" s="84" cm="1">
        <f t="array" ref="AP2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295" s="84" cm="1">
        <f t="array" ref="AQ2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295" s="84" cm="1">
        <f t="array" ref="AR2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295" s="84" cm="1">
        <f t="array" ref="AS2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295" s="84" cm="1">
        <f t="array" ref="AT2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295" s="84" cm="1">
        <f t="array" ref="AU2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95" s="84" cm="1">
        <f t="array" ref="AV2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5" s="84" cm="1">
        <f t="array" ref="AW2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5" s="84" cm="1">
        <f t="array" ref="AX2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5" s="84" cm="1">
        <f t="array" ref="AY2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5" s="84" cm="1">
        <f t="array" ref="AZ2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5" s="84" cm="1">
        <f t="array" ref="BA2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5" s="84" cm="1">
        <f t="array" ref="BB2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5" s="84">
        <f>IF(SUM(Table3[[#This Row],[Column2]:[Column18]])&gt;Table3[[#This Row],[Column19]],Table3[[#This Row],[Column19]],SUM(Table3[[#This Row],[Column2]:[Column18]]))</f>
        <v>50000</v>
      </c>
      <c r="BD295" s="2">
        <f>Table3[[#This Row],[Total Spend]]/SUM(Table3[[#This Row],[Column2]:[Column18]])</f>
        <v>0.26709401709401709</v>
      </c>
    </row>
    <row r="296" spans="1:56" ht="28.5">
      <c r="A296" s="84" t="s">
        <v>370</v>
      </c>
      <c r="B296" s="84"/>
      <c r="C296" s="84"/>
      <c r="D296" s="85">
        <v>45809</v>
      </c>
      <c r="E296" s="85" t="s">
        <v>58</v>
      </c>
      <c r="F296" s="84">
        <f>INDEX(Definitions!$G$13:$G$17,MATCH(Table3[[#This Row],[Propensity to buy/ buyer readiness]],Definitions!$A$13:$A$17,0))</f>
        <v>150000</v>
      </c>
      <c r="G296" s="86">
        <v>4</v>
      </c>
      <c r="H296" s="86">
        <v>4</v>
      </c>
      <c r="I296" s="86">
        <v>4</v>
      </c>
      <c r="J296" s="86">
        <v>4</v>
      </c>
      <c r="K296" s="86">
        <v>4</v>
      </c>
      <c r="L296" s="86">
        <f>SUM(Table3[[#This Row],[Strategic priority segment]:[Propensity to buy/ buyer readiness]])</f>
        <v>20</v>
      </c>
      <c r="M296" s="86" t="s">
        <v>152</v>
      </c>
      <c r="N296" s="84" t="s">
        <v>153</v>
      </c>
      <c r="O296" s="84" t="s">
        <v>122</v>
      </c>
      <c r="P296" s="87" t="s">
        <v>61</v>
      </c>
      <c r="Q296" s="87"/>
      <c r="R296" s="84"/>
      <c r="S296" s="87"/>
      <c r="T296" s="87"/>
      <c r="U296" s="84">
        <v>1</v>
      </c>
      <c r="V296" s="84">
        <v>0</v>
      </c>
      <c r="W296" s="84">
        <v>0</v>
      </c>
      <c r="X296" s="84">
        <v>0</v>
      </c>
      <c r="Y296" s="84">
        <v>0</v>
      </c>
      <c r="Z296" s="84">
        <v>1</v>
      </c>
      <c r="AA296" s="84">
        <v>1</v>
      </c>
      <c r="AB296" s="84">
        <v>1</v>
      </c>
      <c r="AC296" s="84">
        <v>1</v>
      </c>
      <c r="AD296" s="84">
        <v>1</v>
      </c>
      <c r="AE296" s="84">
        <v>0</v>
      </c>
      <c r="AF296" s="84">
        <v>1</v>
      </c>
      <c r="AG296" s="84">
        <v>0</v>
      </c>
      <c r="AH296" s="84">
        <v>0</v>
      </c>
      <c r="AI296" s="84">
        <v>0</v>
      </c>
      <c r="AJ296" s="84">
        <v>0</v>
      </c>
      <c r="AK296" s="84">
        <v>0</v>
      </c>
      <c r="AL296" s="84" cm="1">
        <f t="array" ref="AL2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296" s="84" cm="1">
        <f t="array" ref="AM2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6" s="84" cm="1">
        <f t="array" ref="AN2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6" s="84" cm="1">
        <f t="array" ref="AO2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6" s="84" cm="1">
        <f t="array" ref="AP2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6" s="84" cm="1">
        <f t="array" ref="AQ2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296" s="84" cm="1">
        <f t="array" ref="AR2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296" s="84" cm="1">
        <f t="array" ref="AS2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296" s="84" cm="1">
        <f t="array" ref="AT2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296" s="84" cm="1">
        <f t="array" ref="AU2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296" s="84" cm="1">
        <f t="array" ref="AV2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6" s="84" cm="1">
        <f t="array" ref="AW2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296" s="84" cm="1">
        <f t="array" ref="AX2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6" s="84" cm="1">
        <f t="array" ref="AY2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6" s="84" cm="1">
        <f t="array" ref="AZ2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6" s="84" cm="1">
        <f t="array" ref="BA2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6" s="84" cm="1">
        <f t="array" ref="BB2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6" s="84">
        <f>IF(SUM(Table3[[#This Row],[Column2]:[Column18]])&gt;Table3[[#This Row],[Column19]],Table3[[#This Row],[Column19]],SUM(Table3[[#This Row],[Column2]:[Column18]]))</f>
        <v>150000</v>
      </c>
      <c r="BD296" s="2">
        <f>Table3[[#This Row],[Total Spend]]/SUM(Table3[[#This Row],[Column2]:[Column18]])</f>
        <v>0.70028011204481788</v>
      </c>
    </row>
    <row r="297" spans="1:56">
      <c r="A297" s="84" t="s">
        <v>371</v>
      </c>
      <c r="B297" s="84"/>
      <c r="C297" s="84" t="s">
        <v>57</v>
      </c>
      <c r="D297" s="85">
        <v>45566</v>
      </c>
      <c r="E297" s="85" t="s">
        <v>92</v>
      </c>
      <c r="F297" s="84">
        <f>INDEX(Definitions!$G$13:$G$17,MATCH(Table3[[#This Row],[Propensity to buy/ buyer readiness]],Definitions!$A$13:$A$17,0))</f>
        <v>50000</v>
      </c>
      <c r="G297" s="86">
        <v>5</v>
      </c>
      <c r="H297" s="86">
        <v>5</v>
      </c>
      <c r="I297" s="86">
        <v>3</v>
      </c>
      <c r="J297" s="86">
        <v>4</v>
      </c>
      <c r="K297" s="86">
        <v>3</v>
      </c>
      <c r="L297" s="86">
        <f>SUM(Table3[[#This Row],[Strategic priority segment]:[Propensity to buy/ buyer readiness]])</f>
        <v>20</v>
      </c>
      <c r="M297" s="86" t="s">
        <v>102</v>
      </c>
      <c r="N297" s="84" t="s">
        <v>61</v>
      </c>
      <c r="O297" s="84" t="s">
        <v>62</v>
      </c>
      <c r="P297" s="87"/>
      <c r="Q297" s="87"/>
      <c r="R297" s="84"/>
      <c r="S297" s="87"/>
      <c r="T297" s="87"/>
      <c r="U297" s="84">
        <v>1</v>
      </c>
      <c r="V297" s="84">
        <v>0</v>
      </c>
      <c r="W297" s="84">
        <v>0</v>
      </c>
      <c r="X297" s="84">
        <v>0</v>
      </c>
      <c r="Y297" s="84">
        <v>0</v>
      </c>
      <c r="Z297" s="84">
        <v>1</v>
      </c>
      <c r="AA297" s="84">
        <v>1</v>
      </c>
      <c r="AB297" s="84">
        <v>1</v>
      </c>
      <c r="AC297" s="84">
        <v>1</v>
      </c>
      <c r="AD297" s="84">
        <v>1</v>
      </c>
      <c r="AE297" s="84">
        <v>1</v>
      </c>
      <c r="AF297" s="84">
        <v>1</v>
      </c>
      <c r="AG297" s="84">
        <v>1</v>
      </c>
      <c r="AH297" s="84">
        <v>0</v>
      </c>
      <c r="AI297" s="84">
        <v>0</v>
      </c>
      <c r="AJ297" s="84">
        <v>0</v>
      </c>
      <c r="AK297" s="84">
        <v>0</v>
      </c>
      <c r="AL297" s="84" cm="1">
        <f t="array" ref="AL2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7" s="84" cm="1">
        <f t="array" ref="AM2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7" s="84" cm="1">
        <f t="array" ref="AN2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7" s="84" cm="1">
        <f t="array" ref="AO2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7" s="84" cm="1">
        <f t="array" ref="AP2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7" s="84" cm="1">
        <f t="array" ref="AQ2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97" s="84" cm="1">
        <f t="array" ref="AR2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97" s="84" cm="1">
        <f t="array" ref="AS2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97" s="84" cm="1">
        <f t="array" ref="AT2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97" s="84" cm="1">
        <f t="array" ref="AU2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297" s="84" cm="1">
        <f t="array" ref="AV2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297" s="84" cm="1">
        <f t="array" ref="AW2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297" s="84" cm="1">
        <f t="array" ref="AX2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297" s="84" cm="1">
        <f t="array" ref="AY2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297" s="84" cm="1">
        <f t="array" ref="AZ2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297" s="84" cm="1">
        <f t="array" ref="BA2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297" s="84" cm="1">
        <f t="array" ref="BB2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297" s="84">
        <f>IF(SUM(Table3[[#This Row],[Column2]:[Column18]])&gt;Table3[[#This Row],[Column19]],Table3[[#This Row],[Column19]],SUM(Table3[[#This Row],[Column2]:[Column18]]))</f>
        <v>50000</v>
      </c>
      <c r="BD297" s="2">
        <f>Table3[[#This Row],[Total Spend]]/SUM(Table3[[#This Row],[Column2]:[Column18]])</f>
        <v>0.2664535038635758</v>
      </c>
    </row>
    <row r="298" spans="1:56">
      <c r="A298" s="84" t="s">
        <v>372</v>
      </c>
      <c r="B298" s="84" t="s">
        <v>57</v>
      </c>
      <c r="C298" s="84"/>
      <c r="D298" s="85">
        <v>45809</v>
      </c>
      <c r="E298" s="85" t="s">
        <v>92</v>
      </c>
      <c r="F298" s="84">
        <f>INDEX(Definitions!$G$13:$G$17,MATCH(Table3[[#This Row],[Propensity to buy/ buyer readiness]],Definitions!$A$13:$A$17,0))</f>
        <v>50000</v>
      </c>
      <c r="G298" s="86">
        <v>4</v>
      </c>
      <c r="H298" s="86">
        <v>5</v>
      </c>
      <c r="I298" s="86">
        <v>4</v>
      </c>
      <c r="J298" s="86">
        <v>4</v>
      </c>
      <c r="K298" s="86">
        <v>3</v>
      </c>
      <c r="L298" s="86">
        <f>SUM(Table3[[#This Row],[Strategic priority segment]:[Propensity to buy/ buyer readiness]])</f>
        <v>20</v>
      </c>
      <c r="M298" s="86" t="s">
        <v>191</v>
      </c>
      <c r="N298" s="84" t="s">
        <v>135</v>
      </c>
      <c r="O298" s="84" t="s">
        <v>61</v>
      </c>
      <c r="P298" s="84"/>
      <c r="Q298" s="84"/>
      <c r="R298" s="84"/>
      <c r="S298" s="84"/>
      <c r="T298" s="84"/>
      <c r="U298" s="84">
        <v>1</v>
      </c>
      <c r="V298" s="84">
        <v>0</v>
      </c>
      <c r="W298" s="84">
        <v>0</v>
      </c>
      <c r="X298" s="84">
        <v>0</v>
      </c>
      <c r="Y298" s="84">
        <v>0</v>
      </c>
      <c r="Z298" s="84">
        <v>1</v>
      </c>
      <c r="AA298" s="84">
        <v>1</v>
      </c>
      <c r="AB298" s="84">
        <v>1</v>
      </c>
      <c r="AC298" s="84">
        <v>1</v>
      </c>
      <c r="AD298" s="84">
        <v>0</v>
      </c>
      <c r="AE298" s="84">
        <v>0</v>
      </c>
      <c r="AF298" s="84">
        <v>0</v>
      </c>
      <c r="AG298" s="84">
        <v>0</v>
      </c>
      <c r="AH298" s="84">
        <v>1</v>
      </c>
      <c r="AI298" s="84">
        <v>1</v>
      </c>
      <c r="AJ298" s="84">
        <v>1</v>
      </c>
      <c r="AK298" s="84">
        <v>1</v>
      </c>
      <c r="AL298" s="84" cm="1">
        <f t="array" ref="AL2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8" s="84" cm="1">
        <f t="array" ref="AM2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8" s="84" cm="1">
        <f t="array" ref="AN2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8" s="84" cm="1">
        <f t="array" ref="AO2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8" s="84" cm="1">
        <f t="array" ref="AP2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8" s="84" cm="1">
        <f t="array" ref="AQ2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98" s="84" cm="1">
        <f t="array" ref="AR2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98" s="84" cm="1">
        <f t="array" ref="AS2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98" s="84" cm="1">
        <f t="array" ref="AT2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98" s="84" cm="1">
        <f t="array" ref="AU2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98" s="84" cm="1">
        <f t="array" ref="AV2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8" s="84" cm="1">
        <f t="array" ref="AW2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8" s="84" cm="1">
        <f t="array" ref="AX2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8" s="84" cm="1">
        <f t="array" ref="AY2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98" s="84" cm="1">
        <f t="array" ref="AZ2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98" s="84" cm="1">
        <f t="array" ref="BA2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98" s="84" cm="1">
        <f t="array" ref="BB2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98" s="84">
        <f>IF(SUM(Table3[[#This Row],[Column2]:[Column18]])&gt;Table3[[#This Row],[Column19]],Table3[[#This Row],[Column19]],SUM(Table3[[#This Row],[Column2]:[Column18]]))</f>
        <v>50000</v>
      </c>
      <c r="BD298" s="2">
        <f>Table3[[#This Row],[Total Spend]]/SUM(Table3[[#This Row],[Column2]:[Column18]])</f>
        <v>0.33772374197906113</v>
      </c>
    </row>
    <row r="299" spans="1:56">
      <c r="A299" s="84" t="s">
        <v>373</v>
      </c>
      <c r="B299" s="84" t="s">
        <v>57</v>
      </c>
      <c r="C299" s="84"/>
      <c r="D299" s="85">
        <v>45809</v>
      </c>
      <c r="E299" s="85" t="s">
        <v>92</v>
      </c>
      <c r="F299" s="84">
        <f>INDEX(Definitions!$G$13:$G$17,MATCH(Table3[[#This Row],[Propensity to buy/ buyer readiness]],Definitions!$A$13:$A$17,0))</f>
        <v>50000</v>
      </c>
      <c r="G299" s="86">
        <v>4</v>
      </c>
      <c r="H299" s="86">
        <v>5</v>
      </c>
      <c r="I299" s="86">
        <v>4</v>
      </c>
      <c r="J299" s="86">
        <v>4</v>
      </c>
      <c r="K299" s="86">
        <v>3</v>
      </c>
      <c r="L299" s="86">
        <f>SUM(Table3[[#This Row],[Strategic priority segment]:[Propensity to buy/ buyer readiness]])</f>
        <v>20</v>
      </c>
      <c r="M299" s="86" t="s">
        <v>191</v>
      </c>
      <c r="N299" s="84" t="s">
        <v>135</v>
      </c>
      <c r="O299" s="84" t="s">
        <v>61</v>
      </c>
      <c r="P299" s="84"/>
      <c r="Q299" s="84"/>
      <c r="R299" s="84"/>
      <c r="S299" s="84"/>
      <c r="T299" s="84"/>
      <c r="U299" s="84">
        <v>1</v>
      </c>
      <c r="V299" s="84">
        <v>0</v>
      </c>
      <c r="W299" s="84">
        <v>0</v>
      </c>
      <c r="X299" s="84">
        <v>0</v>
      </c>
      <c r="Y299" s="84">
        <v>0</v>
      </c>
      <c r="Z299" s="84">
        <v>1</v>
      </c>
      <c r="AA299" s="84">
        <v>1</v>
      </c>
      <c r="AB299" s="84">
        <v>1</v>
      </c>
      <c r="AC299" s="84">
        <v>1</v>
      </c>
      <c r="AD299" s="84">
        <v>0</v>
      </c>
      <c r="AE299" s="84">
        <v>0</v>
      </c>
      <c r="AF299" s="84">
        <v>0</v>
      </c>
      <c r="AG299" s="84">
        <v>0</v>
      </c>
      <c r="AH299" s="84">
        <v>1</v>
      </c>
      <c r="AI299" s="84">
        <v>1</v>
      </c>
      <c r="AJ299" s="84">
        <v>1</v>
      </c>
      <c r="AK299" s="84">
        <v>1</v>
      </c>
      <c r="AL299" s="84" cm="1">
        <f t="array" ref="AL2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299" s="84" cm="1">
        <f t="array" ref="AM2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299" s="84" cm="1">
        <f t="array" ref="AN2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299" s="84" cm="1">
        <f t="array" ref="AO2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299" s="84" cm="1">
        <f t="array" ref="AP2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299" s="84" cm="1">
        <f t="array" ref="AQ2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299" s="84" cm="1">
        <f t="array" ref="AR2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299" s="84" cm="1">
        <f t="array" ref="AS2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299" s="84" cm="1">
        <f t="array" ref="AT2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299" s="84" cm="1">
        <f t="array" ref="AU2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299" s="84" cm="1">
        <f t="array" ref="AV2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299" s="84" cm="1">
        <f t="array" ref="AW2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299" s="84" cm="1">
        <f t="array" ref="AX2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299" s="84" cm="1">
        <f t="array" ref="AY2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299" s="84" cm="1">
        <f t="array" ref="AZ2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299" s="84" cm="1">
        <f t="array" ref="BA2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299" s="84" cm="1">
        <f t="array" ref="BB2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299" s="84">
        <f>IF(SUM(Table3[[#This Row],[Column2]:[Column18]])&gt;Table3[[#This Row],[Column19]],Table3[[#This Row],[Column19]],SUM(Table3[[#This Row],[Column2]:[Column18]]))</f>
        <v>50000</v>
      </c>
      <c r="BD299" s="2">
        <f>Table3[[#This Row],[Total Spend]]/SUM(Table3[[#This Row],[Column2]:[Column18]])</f>
        <v>0.33772374197906113</v>
      </c>
    </row>
    <row r="300" spans="1:56">
      <c r="A300" s="84" t="s">
        <v>374</v>
      </c>
      <c r="B300" s="84" t="s">
        <v>57</v>
      </c>
      <c r="C300" s="84" t="s">
        <v>57</v>
      </c>
      <c r="D300" s="85">
        <v>45566</v>
      </c>
      <c r="E300" s="85" t="s">
        <v>58</v>
      </c>
      <c r="F300" s="84">
        <f>INDEX(Definitions!$G$13:$G$17,MATCH(Table3[[#This Row],[Propensity to buy/ buyer readiness]],Definitions!$A$13:$A$17,0))</f>
        <v>150000</v>
      </c>
      <c r="G300" s="86">
        <v>5</v>
      </c>
      <c r="H300" s="86">
        <v>4</v>
      </c>
      <c r="I300" s="86">
        <v>4</v>
      </c>
      <c r="J300" s="86">
        <v>3</v>
      </c>
      <c r="K300" s="86">
        <v>4</v>
      </c>
      <c r="L300" s="86">
        <f>SUM(Table3[[#This Row],[Strategic priority segment]:[Propensity to buy/ buyer readiness]])</f>
        <v>20</v>
      </c>
      <c r="M300" s="86" t="s">
        <v>66</v>
      </c>
      <c r="N300" s="84" t="s">
        <v>62</v>
      </c>
      <c r="O300" s="84" t="s">
        <v>122</v>
      </c>
      <c r="P300" s="87"/>
      <c r="Q300" s="87"/>
      <c r="R300" s="84"/>
      <c r="S300" s="87"/>
      <c r="T300" s="87"/>
      <c r="U300" s="84">
        <v>1</v>
      </c>
      <c r="V300" s="84">
        <v>0</v>
      </c>
      <c r="W300" s="84">
        <v>0</v>
      </c>
      <c r="X300" s="84">
        <v>0</v>
      </c>
      <c r="Y300" s="84">
        <v>0</v>
      </c>
      <c r="Z300" s="84">
        <v>1</v>
      </c>
      <c r="AA300" s="84">
        <v>0</v>
      </c>
      <c r="AB300" s="84">
        <v>1</v>
      </c>
      <c r="AC300" s="84">
        <v>0</v>
      </c>
      <c r="AD300" s="84">
        <v>1</v>
      </c>
      <c r="AE300" s="84">
        <v>1</v>
      </c>
      <c r="AF300" s="84">
        <v>1</v>
      </c>
      <c r="AG300" s="84">
        <v>1</v>
      </c>
      <c r="AH300" s="84">
        <v>0</v>
      </c>
      <c r="AI300" s="84">
        <v>0</v>
      </c>
      <c r="AJ300" s="84">
        <v>0</v>
      </c>
      <c r="AK300" s="84">
        <v>0</v>
      </c>
      <c r="AL300" s="84" cm="1">
        <f t="array" ref="AL3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00" s="84" cm="1">
        <f t="array" ref="AM3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0" s="84" cm="1">
        <f t="array" ref="AN3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0" s="84" cm="1">
        <f t="array" ref="AO3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0" s="84" cm="1">
        <f t="array" ref="AP3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0" s="84" cm="1">
        <f t="array" ref="AQ3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00" s="84" cm="1">
        <f t="array" ref="AR3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0" s="84" cm="1">
        <f t="array" ref="AS3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00" s="84" cm="1">
        <f t="array" ref="AT3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0" s="84" cm="1">
        <f t="array" ref="AU3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00" s="84" cm="1">
        <f t="array" ref="AV3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00" s="84" cm="1">
        <f t="array" ref="AW3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00" s="84" cm="1">
        <f t="array" ref="AX3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00" s="84" cm="1">
        <f t="array" ref="AY3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0" s="84" cm="1">
        <f t="array" ref="AZ3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0" s="84" cm="1">
        <f t="array" ref="BA3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0" s="84" cm="1">
        <f t="array" ref="BB3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0" s="84">
        <f>IF(SUM(Table3[[#This Row],[Column2]:[Column18]])&gt;Table3[[#This Row],[Column19]],Table3[[#This Row],[Column19]],SUM(Table3[[#This Row],[Column2]:[Column18]]))</f>
        <v>150000</v>
      </c>
      <c r="BD300" s="2">
        <f>Table3[[#This Row],[Total Spend]]/SUM(Table3[[#This Row],[Column2]:[Column18]])</f>
        <v>0.70028011204481788</v>
      </c>
    </row>
    <row r="301" spans="1:56">
      <c r="A301" s="87" t="s">
        <v>375</v>
      </c>
      <c r="B301" s="87"/>
      <c r="C301" s="87" t="s">
        <v>57</v>
      </c>
      <c r="D301" s="85">
        <v>45566</v>
      </c>
      <c r="E301" s="85" t="s">
        <v>58</v>
      </c>
      <c r="F301" s="84">
        <f>INDEX(Definitions!$G$13:$G$17,MATCH(Table3[[#This Row],[Propensity to buy/ buyer readiness]],Definitions!$A$13:$A$17,0))</f>
        <v>150000</v>
      </c>
      <c r="G301" s="86">
        <v>5</v>
      </c>
      <c r="H301" s="86">
        <v>4</v>
      </c>
      <c r="I301" s="86">
        <v>3</v>
      </c>
      <c r="J301" s="86">
        <v>4</v>
      </c>
      <c r="K301" s="86">
        <v>4</v>
      </c>
      <c r="L301" s="86">
        <f>SUM(Table3[[#This Row],[Strategic priority segment]:[Propensity to buy/ buyer readiness]])</f>
        <v>20</v>
      </c>
      <c r="M301" s="86" t="s">
        <v>191</v>
      </c>
      <c r="N301" s="84" t="s">
        <v>135</v>
      </c>
      <c r="O301" s="87"/>
      <c r="P301" s="87"/>
      <c r="Q301" s="87"/>
      <c r="R301" s="84"/>
      <c r="S301" s="87"/>
      <c r="T301" s="87"/>
      <c r="U301" s="84">
        <v>0</v>
      </c>
      <c r="V301" s="84">
        <v>0</v>
      </c>
      <c r="W301" s="84">
        <v>0</v>
      </c>
      <c r="X301" s="84">
        <v>0</v>
      </c>
      <c r="Y301" s="84">
        <v>0</v>
      </c>
      <c r="Z301" s="84">
        <v>0</v>
      </c>
      <c r="AA301" s="84">
        <v>0</v>
      </c>
      <c r="AB301" s="84">
        <v>0</v>
      </c>
      <c r="AC301" s="84">
        <v>0</v>
      </c>
      <c r="AD301" s="84">
        <v>0</v>
      </c>
      <c r="AE301" s="84">
        <v>0</v>
      </c>
      <c r="AF301" s="84">
        <v>0</v>
      </c>
      <c r="AG301" s="84">
        <v>0</v>
      </c>
      <c r="AH301" s="84">
        <v>1</v>
      </c>
      <c r="AI301" s="84">
        <v>1</v>
      </c>
      <c r="AJ301" s="84">
        <v>1</v>
      </c>
      <c r="AK301" s="84">
        <v>1</v>
      </c>
      <c r="AL301" s="84" cm="1">
        <f t="array" ref="AL3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01" s="84" cm="1">
        <f t="array" ref="AM3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1" s="84" cm="1">
        <f t="array" ref="AN3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1" s="84" cm="1">
        <f t="array" ref="AO3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1" s="84" cm="1">
        <f t="array" ref="AP3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1" s="84" cm="1">
        <f t="array" ref="AQ3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01" s="84" cm="1">
        <f t="array" ref="AR3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1" s="84" cm="1">
        <f t="array" ref="AS3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01" s="84" cm="1">
        <f t="array" ref="AT3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1" s="84" cm="1">
        <f t="array" ref="AU3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01" s="84" cm="1">
        <f t="array" ref="AV3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1" s="84" cm="1">
        <f t="array" ref="AW3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01" s="84" cm="1">
        <f t="array" ref="AX3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1" s="84" cm="1">
        <f t="array" ref="AY3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01" s="84" cm="1">
        <f t="array" ref="AZ3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01" s="84" cm="1">
        <f t="array" ref="BA3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01" s="84" cm="1">
        <f t="array" ref="BB3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01" s="84">
        <f>IF(SUM(Table3[[#This Row],[Column2]:[Column18]])&gt;Table3[[#This Row],[Column19]],Table3[[#This Row],[Column19]],SUM(Table3[[#This Row],[Column2]:[Column18]]))</f>
        <v>64350</v>
      </c>
      <c r="BD301" s="2">
        <f>Table3[[#This Row],[Total Spend]]/SUM(Table3[[#This Row],[Column2]:[Column18]])</f>
        <v>1</v>
      </c>
    </row>
    <row r="302" spans="1:56">
      <c r="A302" s="84" t="s">
        <v>376</v>
      </c>
      <c r="B302" s="84" t="s">
        <v>57</v>
      </c>
      <c r="C302" s="84" t="s">
        <v>57</v>
      </c>
      <c r="D302" s="85">
        <v>45566</v>
      </c>
      <c r="E302" s="85" t="s">
        <v>58</v>
      </c>
      <c r="F302" s="84">
        <f>INDEX(Definitions!$G$13:$G$17,MATCH(Table3[[#This Row],[Propensity to buy/ buyer readiness]],Definitions!$A$13:$A$17,0))</f>
        <v>150000</v>
      </c>
      <c r="G302" s="86">
        <v>5</v>
      </c>
      <c r="H302" s="86">
        <v>4</v>
      </c>
      <c r="I302" s="86">
        <v>4</v>
      </c>
      <c r="J302" s="86">
        <v>3</v>
      </c>
      <c r="K302" s="86">
        <v>4</v>
      </c>
      <c r="L302" s="86">
        <f>SUM(Table3[[#This Row],[Strategic priority segment]:[Propensity to buy/ buyer readiness]])</f>
        <v>20</v>
      </c>
      <c r="M302" s="86" t="s">
        <v>66</v>
      </c>
      <c r="N302" s="84" t="s">
        <v>62</v>
      </c>
      <c r="O302" s="84" t="s">
        <v>122</v>
      </c>
      <c r="P302" s="87"/>
      <c r="Q302" s="87"/>
      <c r="R302" s="84"/>
      <c r="S302" s="87"/>
      <c r="T302" s="87"/>
      <c r="U302" s="84">
        <v>1</v>
      </c>
      <c r="V302" s="84">
        <v>0</v>
      </c>
      <c r="W302" s="84">
        <v>0</v>
      </c>
      <c r="X302" s="84">
        <v>0</v>
      </c>
      <c r="Y302" s="84">
        <v>0</v>
      </c>
      <c r="Z302" s="84">
        <v>1</v>
      </c>
      <c r="AA302" s="84">
        <v>0</v>
      </c>
      <c r="AB302" s="84">
        <v>1</v>
      </c>
      <c r="AC302" s="84">
        <v>0</v>
      </c>
      <c r="AD302" s="84">
        <v>1</v>
      </c>
      <c r="AE302" s="84">
        <v>1</v>
      </c>
      <c r="AF302" s="84">
        <v>1</v>
      </c>
      <c r="AG302" s="84">
        <v>1</v>
      </c>
      <c r="AH302" s="84">
        <v>0</v>
      </c>
      <c r="AI302" s="84">
        <v>0</v>
      </c>
      <c r="AJ302" s="84">
        <v>0</v>
      </c>
      <c r="AK302" s="84">
        <v>0</v>
      </c>
      <c r="AL302" s="84" cm="1">
        <f t="array" ref="AL3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02" s="84" cm="1">
        <f t="array" ref="AM3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2" s="84" cm="1">
        <f t="array" ref="AN3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2" s="84" cm="1">
        <f t="array" ref="AO3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2" s="84" cm="1">
        <f t="array" ref="AP3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2" s="84" cm="1">
        <f t="array" ref="AQ3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02" s="84" cm="1">
        <f t="array" ref="AR3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2" s="84" cm="1">
        <f t="array" ref="AS3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02" s="84" cm="1">
        <f t="array" ref="AT3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2" s="84" cm="1">
        <f t="array" ref="AU3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02" s="84" cm="1">
        <f t="array" ref="AV3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02" s="84" cm="1">
        <f t="array" ref="AW3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02" s="84" cm="1">
        <f t="array" ref="AX3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02" s="84" cm="1">
        <f t="array" ref="AY3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2" s="84" cm="1">
        <f t="array" ref="AZ3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2" s="84" cm="1">
        <f t="array" ref="BA3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2" s="84" cm="1">
        <f t="array" ref="BB3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2" s="84">
        <f>IF(SUM(Table3[[#This Row],[Column2]:[Column18]])&gt;Table3[[#This Row],[Column19]],Table3[[#This Row],[Column19]],SUM(Table3[[#This Row],[Column2]:[Column18]]))</f>
        <v>150000</v>
      </c>
      <c r="BD302" s="2">
        <f>Table3[[#This Row],[Total Spend]]/SUM(Table3[[#This Row],[Column2]:[Column18]])</f>
        <v>0.70028011204481788</v>
      </c>
    </row>
    <row r="303" spans="1:56">
      <c r="A303" s="84" t="s">
        <v>377</v>
      </c>
      <c r="B303" s="84" t="s">
        <v>57</v>
      </c>
      <c r="C303" s="84" t="s">
        <v>57</v>
      </c>
      <c r="D303" s="85">
        <v>45566</v>
      </c>
      <c r="E303" s="85" t="s">
        <v>92</v>
      </c>
      <c r="F303" s="84">
        <f>INDEX(Definitions!$G$13:$G$17,MATCH(Table3[[#This Row],[Propensity to buy/ buyer readiness]],Definitions!$A$13:$A$17,0))</f>
        <v>50000</v>
      </c>
      <c r="G303" s="86">
        <v>5</v>
      </c>
      <c r="H303" s="86">
        <v>4</v>
      </c>
      <c r="I303" s="86">
        <v>4</v>
      </c>
      <c r="J303" s="86">
        <v>4</v>
      </c>
      <c r="K303" s="86">
        <v>3</v>
      </c>
      <c r="L303" s="86">
        <f>SUM(Table3[[#This Row],[Strategic priority segment]:[Propensity to buy/ buyer readiness]])</f>
        <v>20</v>
      </c>
      <c r="M303" s="86" t="s">
        <v>66</v>
      </c>
      <c r="N303" s="84" t="s">
        <v>62</v>
      </c>
      <c r="O303" s="84" t="s">
        <v>61</v>
      </c>
      <c r="P303" s="87"/>
      <c r="Q303" s="87"/>
      <c r="R303" s="84"/>
      <c r="S303" s="87"/>
      <c r="T303" s="87"/>
      <c r="U303" s="84">
        <v>1</v>
      </c>
      <c r="V303" s="84">
        <v>0</v>
      </c>
      <c r="W303" s="84">
        <v>0</v>
      </c>
      <c r="X303" s="84">
        <v>0</v>
      </c>
      <c r="Y303" s="84">
        <v>0</v>
      </c>
      <c r="Z303" s="84">
        <v>1</v>
      </c>
      <c r="AA303" s="84">
        <v>1</v>
      </c>
      <c r="AB303" s="84">
        <v>1</v>
      </c>
      <c r="AC303" s="84">
        <v>1</v>
      </c>
      <c r="AD303" s="84">
        <v>1</v>
      </c>
      <c r="AE303" s="84">
        <v>1</v>
      </c>
      <c r="AF303" s="84">
        <v>1</v>
      </c>
      <c r="AG303" s="84">
        <v>1</v>
      </c>
      <c r="AH303" s="84">
        <v>0</v>
      </c>
      <c r="AI303" s="84">
        <v>0</v>
      </c>
      <c r="AJ303" s="84">
        <v>0</v>
      </c>
      <c r="AK303" s="84">
        <v>0</v>
      </c>
      <c r="AL303" s="84" cm="1">
        <f t="array" ref="AL3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03" s="84" cm="1">
        <f t="array" ref="AM3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3" s="84" cm="1">
        <f t="array" ref="AN3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3" s="84" cm="1">
        <f t="array" ref="AO3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3" s="84" cm="1">
        <f t="array" ref="AP3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3" s="84" cm="1">
        <f t="array" ref="AQ3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03" s="84" cm="1">
        <f t="array" ref="AR3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03" s="84" cm="1">
        <f t="array" ref="AS3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03" s="84" cm="1">
        <f t="array" ref="AT3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03" s="84" cm="1">
        <f t="array" ref="AU3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03" s="84" cm="1">
        <f t="array" ref="AV3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03" s="84" cm="1">
        <f t="array" ref="AW3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03" s="84" cm="1">
        <f t="array" ref="AX3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03" s="84" cm="1">
        <f t="array" ref="AY3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3" s="84" cm="1">
        <f t="array" ref="AZ3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3" s="84" cm="1">
        <f t="array" ref="BA3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3" s="84" cm="1">
        <f t="array" ref="BB3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3" s="84">
        <f>IF(SUM(Table3[[#This Row],[Column2]:[Column18]])&gt;Table3[[#This Row],[Column19]],Table3[[#This Row],[Column19]],SUM(Table3[[#This Row],[Column2]:[Column18]]))</f>
        <v>50000</v>
      </c>
      <c r="BD303" s="2">
        <f>Table3[[#This Row],[Total Spend]]/SUM(Table3[[#This Row],[Column2]:[Column18]])</f>
        <v>0.2664535038635758</v>
      </c>
    </row>
    <row r="304" spans="1:56">
      <c r="A304" s="84" t="s">
        <v>378</v>
      </c>
      <c r="B304" s="84"/>
      <c r="C304" s="84"/>
      <c r="D304" s="85">
        <v>45566</v>
      </c>
      <c r="E304" s="85" t="s">
        <v>92</v>
      </c>
      <c r="F304" s="84">
        <f>INDEX(Definitions!$G$13:$G$17,MATCH(Table3[[#This Row],[Propensity to buy/ buyer readiness]],Definitions!$A$13:$A$17,0))</f>
        <v>50000</v>
      </c>
      <c r="G304" s="86">
        <v>5</v>
      </c>
      <c r="H304" s="86">
        <v>3</v>
      </c>
      <c r="I304" s="86">
        <v>4</v>
      </c>
      <c r="J304" s="86">
        <v>5</v>
      </c>
      <c r="K304" s="86">
        <v>3</v>
      </c>
      <c r="L304" s="86">
        <f>SUM(Table3[[#This Row],[Strategic priority segment]:[Propensity to buy/ buyer readiness]])</f>
        <v>20</v>
      </c>
      <c r="M304" s="86" t="s">
        <v>59</v>
      </c>
      <c r="N304" s="84" t="s">
        <v>60</v>
      </c>
      <c r="O304" s="87"/>
      <c r="P304" s="87"/>
      <c r="Q304" s="87"/>
      <c r="R304" s="84"/>
      <c r="S304" s="87"/>
      <c r="T304" s="87"/>
      <c r="U304" s="84">
        <v>1</v>
      </c>
      <c r="V304" s="84">
        <v>1</v>
      </c>
      <c r="W304" s="84">
        <v>1</v>
      </c>
      <c r="X304" s="84">
        <v>1</v>
      </c>
      <c r="Y304" s="84">
        <v>1</v>
      </c>
      <c r="Z304" s="84">
        <v>0</v>
      </c>
      <c r="AA304" s="84">
        <v>0</v>
      </c>
      <c r="AB304" s="84">
        <v>0</v>
      </c>
      <c r="AC304" s="84">
        <v>0</v>
      </c>
      <c r="AD304" s="84">
        <v>1</v>
      </c>
      <c r="AE304" s="84">
        <v>0</v>
      </c>
      <c r="AF304" s="84">
        <v>0</v>
      </c>
      <c r="AG304" s="84">
        <v>0</v>
      </c>
      <c r="AH304" s="84">
        <v>0</v>
      </c>
      <c r="AI304" s="84">
        <v>0</v>
      </c>
      <c r="AJ304" s="84">
        <v>0</v>
      </c>
      <c r="AK304" s="84">
        <v>0</v>
      </c>
      <c r="AL304" s="84" cm="1">
        <f t="array" ref="AL3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04" s="84" cm="1">
        <f t="array" ref="AM3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04" s="84" cm="1">
        <f t="array" ref="AN3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04" s="84" cm="1">
        <f t="array" ref="AO3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04" s="84" cm="1">
        <f t="array" ref="AP3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04" s="84" cm="1">
        <f t="array" ref="AQ3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04" s="84" cm="1">
        <f t="array" ref="AR3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4" s="84" cm="1">
        <f t="array" ref="AS3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04" s="84" cm="1">
        <f t="array" ref="AT3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4" s="84" cm="1">
        <f t="array" ref="AU3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04" s="84" cm="1">
        <f t="array" ref="AV3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4" s="84" cm="1">
        <f t="array" ref="AW3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04" s="84" cm="1">
        <f t="array" ref="AX3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4" s="84" cm="1">
        <f t="array" ref="AY3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4" s="84" cm="1">
        <f t="array" ref="AZ3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4" s="84" cm="1">
        <f t="array" ref="BA3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4" s="84" cm="1">
        <f t="array" ref="BB3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4" s="84">
        <f>IF(SUM(Table3[[#This Row],[Column2]:[Column18]])&gt;Table3[[#This Row],[Column19]],Table3[[#This Row],[Column19]],SUM(Table3[[#This Row],[Column2]:[Column18]]))</f>
        <v>50000</v>
      </c>
      <c r="BD304" s="2">
        <f>Table3[[#This Row],[Total Spend]]/SUM(Table3[[#This Row],[Column2]:[Column18]])</f>
        <v>0.26709401709401709</v>
      </c>
    </row>
    <row r="305" spans="1:56">
      <c r="A305" s="84" t="s">
        <v>379</v>
      </c>
      <c r="B305" s="84"/>
      <c r="C305" s="84"/>
      <c r="D305" s="85">
        <v>45566</v>
      </c>
      <c r="E305" s="85" t="s">
        <v>58</v>
      </c>
      <c r="F305" s="84">
        <f>INDEX(Definitions!$G$13:$G$17,MATCH(Table3[[#This Row],[Propensity to buy/ buyer readiness]],Definitions!$A$13:$A$17,0))</f>
        <v>150000</v>
      </c>
      <c r="G305" s="86">
        <v>4</v>
      </c>
      <c r="H305" s="86">
        <v>4</v>
      </c>
      <c r="I305" s="86">
        <v>4</v>
      </c>
      <c r="J305" s="86">
        <v>4</v>
      </c>
      <c r="K305" s="86">
        <v>4</v>
      </c>
      <c r="L305" s="86">
        <f>SUM(Table3[[#This Row],[Strategic priority segment]:[Propensity to buy/ buyer readiness]])</f>
        <v>20</v>
      </c>
      <c r="M305" s="86" t="s">
        <v>191</v>
      </c>
      <c r="N305" s="84" t="s">
        <v>76</v>
      </c>
      <c r="O305" s="84"/>
      <c r="P305" s="84"/>
      <c r="Q305" s="84"/>
      <c r="R305" s="84"/>
      <c r="S305" s="87"/>
      <c r="T305" s="87"/>
      <c r="U305" s="84">
        <v>0</v>
      </c>
      <c r="V305" s="84">
        <v>0</v>
      </c>
      <c r="W305" s="84">
        <v>0</v>
      </c>
      <c r="X305" s="84">
        <v>0</v>
      </c>
      <c r="Y305" s="84">
        <v>0</v>
      </c>
      <c r="Z305" s="84">
        <v>0</v>
      </c>
      <c r="AA305" s="84">
        <v>0</v>
      </c>
      <c r="AB305" s="84">
        <v>0</v>
      </c>
      <c r="AC305" s="84">
        <v>0</v>
      </c>
      <c r="AD305" s="84">
        <v>0</v>
      </c>
      <c r="AE305" s="84">
        <v>0</v>
      </c>
      <c r="AF305" s="84">
        <v>0</v>
      </c>
      <c r="AG305" s="84">
        <v>0</v>
      </c>
      <c r="AH305" s="84">
        <v>1</v>
      </c>
      <c r="AI305" s="84">
        <v>0</v>
      </c>
      <c r="AJ305" s="84">
        <v>1</v>
      </c>
      <c r="AK305" s="84">
        <v>0</v>
      </c>
      <c r="AL305" s="84" cm="1">
        <f t="array" ref="AL3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05" s="84" cm="1">
        <f t="array" ref="AM3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5" s="84" cm="1">
        <f t="array" ref="AN3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5" s="84" cm="1">
        <f t="array" ref="AO3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5" s="84" cm="1">
        <f t="array" ref="AP3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5" s="84" cm="1">
        <f t="array" ref="AQ3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05" s="84" cm="1">
        <f t="array" ref="AR3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5" s="84" cm="1">
        <f t="array" ref="AS3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05" s="84" cm="1">
        <f t="array" ref="AT3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5" s="84" cm="1">
        <f t="array" ref="AU3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05" s="84" cm="1">
        <f t="array" ref="AV3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5" s="84" cm="1">
        <f t="array" ref="AW3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05" s="84" cm="1">
        <f t="array" ref="AX3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5" s="84" cm="1">
        <f t="array" ref="AY3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05" s="84" cm="1">
        <f t="array" ref="AZ3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5" s="84" cm="1">
        <f t="array" ref="BA3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05" s="84" cm="1">
        <f t="array" ref="BB3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5" s="84">
        <f>IF(SUM(Table3[[#This Row],[Column2]:[Column18]])&gt;Table3[[#This Row],[Column19]],Table3[[#This Row],[Column19]],SUM(Table3[[#This Row],[Column2]:[Column18]]))</f>
        <v>42300</v>
      </c>
      <c r="BD305" s="2">
        <f>Table3[[#This Row],[Total Spend]]/SUM(Table3[[#This Row],[Column2]:[Column18]])</f>
        <v>1</v>
      </c>
    </row>
    <row r="306" spans="1:56">
      <c r="A306" s="84" t="s">
        <v>380</v>
      </c>
      <c r="B306" s="84"/>
      <c r="C306" s="84"/>
      <c r="D306" s="85">
        <v>45566</v>
      </c>
      <c r="E306" s="85" t="s">
        <v>92</v>
      </c>
      <c r="F306" s="84">
        <f>INDEX(Definitions!$G$13:$G$17,MATCH(Table3[[#This Row],[Propensity to buy/ buyer readiness]],Definitions!$A$13:$A$17,0))</f>
        <v>50000</v>
      </c>
      <c r="G306" s="86">
        <v>5</v>
      </c>
      <c r="H306" s="86">
        <v>3</v>
      </c>
      <c r="I306" s="86">
        <v>4</v>
      </c>
      <c r="J306" s="86">
        <v>5</v>
      </c>
      <c r="K306" s="86">
        <v>3</v>
      </c>
      <c r="L306" s="86">
        <f>SUM(Table3[[#This Row],[Strategic priority segment]:[Propensity to buy/ buyer readiness]])</f>
        <v>20</v>
      </c>
      <c r="M306" s="86" t="s">
        <v>59</v>
      </c>
      <c r="N306" s="84" t="s">
        <v>60</v>
      </c>
      <c r="O306" s="87"/>
      <c r="P306" s="87"/>
      <c r="Q306" s="87"/>
      <c r="R306" s="84"/>
      <c r="S306" s="87"/>
      <c r="T306" s="87"/>
      <c r="U306" s="84">
        <v>1</v>
      </c>
      <c r="V306" s="84">
        <v>1</v>
      </c>
      <c r="W306" s="84">
        <v>1</v>
      </c>
      <c r="X306" s="84">
        <v>1</v>
      </c>
      <c r="Y306" s="84">
        <v>1</v>
      </c>
      <c r="Z306" s="84">
        <v>0</v>
      </c>
      <c r="AA306" s="84">
        <v>0</v>
      </c>
      <c r="AB306" s="84">
        <v>0</v>
      </c>
      <c r="AC306" s="84">
        <v>0</v>
      </c>
      <c r="AD306" s="84">
        <v>1</v>
      </c>
      <c r="AE306" s="84">
        <v>0</v>
      </c>
      <c r="AF306" s="84">
        <v>0</v>
      </c>
      <c r="AG306" s="84">
        <v>0</v>
      </c>
      <c r="AH306" s="84">
        <v>0</v>
      </c>
      <c r="AI306" s="84">
        <v>0</v>
      </c>
      <c r="AJ306" s="84">
        <v>0</v>
      </c>
      <c r="AK306" s="84">
        <v>0</v>
      </c>
      <c r="AL306" s="84" cm="1">
        <f t="array" ref="AL3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06" s="84" cm="1">
        <f t="array" ref="AM3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06" s="84" cm="1">
        <f t="array" ref="AN3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06" s="84" cm="1">
        <f t="array" ref="AO3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06" s="84" cm="1">
        <f t="array" ref="AP3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06" s="84" cm="1">
        <f t="array" ref="AQ3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06" s="84" cm="1">
        <f t="array" ref="AR3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06" s="84" cm="1">
        <f t="array" ref="AS3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06" s="84" cm="1">
        <f t="array" ref="AT3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06" s="84" cm="1">
        <f t="array" ref="AU3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06" s="84" cm="1">
        <f t="array" ref="AV3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6" s="84" cm="1">
        <f t="array" ref="AW3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06" s="84" cm="1">
        <f t="array" ref="AX3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6" s="84" cm="1">
        <f t="array" ref="AY3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6" s="84" cm="1">
        <f t="array" ref="AZ3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6" s="84" cm="1">
        <f t="array" ref="BA3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6" s="84" cm="1">
        <f t="array" ref="BB3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6" s="84">
        <f>IF(SUM(Table3[[#This Row],[Column2]:[Column18]])&gt;Table3[[#This Row],[Column19]],Table3[[#This Row],[Column19]],SUM(Table3[[#This Row],[Column2]:[Column18]]))</f>
        <v>50000</v>
      </c>
      <c r="BD306" s="2">
        <f>Table3[[#This Row],[Total Spend]]/SUM(Table3[[#This Row],[Column2]:[Column18]])</f>
        <v>0.26709401709401709</v>
      </c>
    </row>
    <row r="307" spans="1:56">
      <c r="A307" s="84" t="s">
        <v>381</v>
      </c>
      <c r="B307" s="84"/>
      <c r="C307" s="84"/>
      <c r="D307" s="85">
        <v>45566</v>
      </c>
      <c r="E307" s="85" t="s">
        <v>58</v>
      </c>
      <c r="F307" s="84">
        <f>INDEX(Definitions!$G$13:$G$17,MATCH(Table3[[#This Row],[Propensity to buy/ buyer readiness]],Definitions!$A$13:$A$17,0))</f>
        <v>150000</v>
      </c>
      <c r="G307" s="86">
        <v>5</v>
      </c>
      <c r="H307" s="86">
        <v>4</v>
      </c>
      <c r="I307" s="86">
        <v>3</v>
      </c>
      <c r="J307" s="86">
        <v>4</v>
      </c>
      <c r="K307" s="86">
        <v>4</v>
      </c>
      <c r="L307" s="86">
        <f>SUM(Table3[[#This Row],[Strategic priority segment]:[Propensity to buy/ buyer readiness]])</f>
        <v>20</v>
      </c>
      <c r="M307" s="86" t="s">
        <v>152</v>
      </c>
      <c r="N307" s="84" t="s">
        <v>122</v>
      </c>
      <c r="O307" s="84" t="s">
        <v>61</v>
      </c>
      <c r="P307" s="87"/>
      <c r="Q307" s="87"/>
      <c r="R307" s="84"/>
      <c r="S307" s="87"/>
      <c r="T307" s="87"/>
      <c r="U307" s="84">
        <v>1</v>
      </c>
      <c r="V307" s="84">
        <v>0</v>
      </c>
      <c r="W307" s="84">
        <v>0</v>
      </c>
      <c r="X307" s="84">
        <v>0</v>
      </c>
      <c r="Y307" s="84">
        <v>0</v>
      </c>
      <c r="Z307" s="84">
        <v>1</v>
      </c>
      <c r="AA307" s="84">
        <v>1</v>
      </c>
      <c r="AB307" s="84">
        <v>1</v>
      </c>
      <c r="AC307" s="84">
        <v>1</v>
      </c>
      <c r="AD307" s="84">
        <v>1</v>
      </c>
      <c r="AE307" s="84">
        <v>0</v>
      </c>
      <c r="AF307" s="84">
        <v>1</v>
      </c>
      <c r="AG307" s="84">
        <v>0</v>
      </c>
      <c r="AH307" s="84">
        <v>0</v>
      </c>
      <c r="AI307" s="84">
        <v>0</v>
      </c>
      <c r="AJ307" s="84">
        <v>0</v>
      </c>
      <c r="AK307" s="84">
        <v>0</v>
      </c>
      <c r="AL307" s="84" cm="1">
        <f t="array" ref="AL3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07" s="84" cm="1">
        <f t="array" ref="AM3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7" s="84" cm="1">
        <f t="array" ref="AN3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7" s="84" cm="1">
        <f t="array" ref="AO3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7" s="84" cm="1">
        <f t="array" ref="AP3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7" s="84" cm="1">
        <f t="array" ref="AQ3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07" s="84" cm="1">
        <f t="array" ref="AR3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07" s="84" cm="1">
        <f t="array" ref="AS3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07" s="84" cm="1">
        <f t="array" ref="AT3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07" s="84" cm="1">
        <f t="array" ref="AU3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07" s="84" cm="1">
        <f t="array" ref="AV3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7" s="84" cm="1">
        <f t="array" ref="AW3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07" s="84" cm="1">
        <f t="array" ref="AX3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7" s="84" cm="1">
        <f t="array" ref="AY3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7" s="84" cm="1">
        <f t="array" ref="AZ3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7" s="84" cm="1">
        <f t="array" ref="BA3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7" s="84" cm="1">
        <f t="array" ref="BB3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7" s="84">
        <f>IF(SUM(Table3[[#This Row],[Column2]:[Column18]])&gt;Table3[[#This Row],[Column19]],Table3[[#This Row],[Column19]],SUM(Table3[[#This Row],[Column2]:[Column18]]))</f>
        <v>150000</v>
      </c>
      <c r="BD307" s="2">
        <f>Table3[[#This Row],[Total Spend]]/SUM(Table3[[#This Row],[Column2]:[Column18]])</f>
        <v>0.70028011204481788</v>
      </c>
    </row>
    <row r="308" spans="1:56" s="6" customFormat="1" ht="28.5">
      <c r="A308" s="84" t="s">
        <v>382</v>
      </c>
      <c r="B308" s="84"/>
      <c r="C308" s="84"/>
      <c r="D308" s="85">
        <v>45566</v>
      </c>
      <c r="E308" s="85" t="s">
        <v>58</v>
      </c>
      <c r="F308" s="84">
        <f>INDEX(Definitions!$G$13:$G$17,MATCH(Table3[[#This Row],[Propensity to buy/ buyer readiness]],Definitions!$A$13:$A$17,0))</f>
        <v>150000</v>
      </c>
      <c r="G308" s="86">
        <v>5</v>
      </c>
      <c r="H308" s="86">
        <v>4</v>
      </c>
      <c r="I308" s="86">
        <v>3</v>
      </c>
      <c r="J308" s="86">
        <v>4</v>
      </c>
      <c r="K308" s="86">
        <v>4</v>
      </c>
      <c r="L308" s="86">
        <f>SUM(Table3[[#This Row],[Strategic priority segment]:[Propensity to buy/ buyer readiness]])</f>
        <v>20</v>
      </c>
      <c r="M308" s="86" t="s">
        <v>102</v>
      </c>
      <c r="N308" s="84" t="s">
        <v>122</v>
      </c>
      <c r="O308" s="87" t="s">
        <v>61</v>
      </c>
      <c r="P308" s="87"/>
      <c r="Q308" s="87"/>
      <c r="R308" s="87"/>
      <c r="S308" s="87"/>
      <c r="T308" s="87"/>
      <c r="U308" s="84">
        <v>1</v>
      </c>
      <c r="V308" s="84">
        <v>0</v>
      </c>
      <c r="W308" s="84">
        <v>0</v>
      </c>
      <c r="X308" s="84">
        <v>0</v>
      </c>
      <c r="Y308" s="84">
        <v>0</v>
      </c>
      <c r="Z308" s="84">
        <v>1</v>
      </c>
      <c r="AA308" s="84">
        <v>1</v>
      </c>
      <c r="AB308" s="84">
        <v>1</v>
      </c>
      <c r="AC308" s="84">
        <v>1</v>
      </c>
      <c r="AD308" s="84">
        <v>1</v>
      </c>
      <c r="AE308" s="84">
        <v>0</v>
      </c>
      <c r="AF308" s="84">
        <v>1</v>
      </c>
      <c r="AG308" s="84">
        <v>0</v>
      </c>
      <c r="AH308" s="84">
        <v>0</v>
      </c>
      <c r="AI308" s="84">
        <v>0</v>
      </c>
      <c r="AJ308" s="84">
        <v>0</v>
      </c>
      <c r="AK308" s="84">
        <v>0</v>
      </c>
      <c r="AL308" s="84" cm="1">
        <f t="array" ref="AL3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08" s="84" cm="1">
        <f t="array" ref="AM3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8" s="84" cm="1">
        <f t="array" ref="AN3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8" s="84" cm="1">
        <f t="array" ref="AO3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8" s="84" cm="1">
        <f t="array" ref="AP3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8" s="84" cm="1">
        <f t="array" ref="AQ3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08" s="84" cm="1">
        <f t="array" ref="AR3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08" s="84" cm="1">
        <f t="array" ref="AS3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08" s="84" cm="1">
        <f t="array" ref="AT3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08" s="84" cm="1">
        <f t="array" ref="AU3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08" s="84" cm="1">
        <f t="array" ref="AV3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8" s="84" cm="1">
        <f t="array" ref="AW3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08" s="84" cm="1">
        <f t="array" ref="AX3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8" s="84" cm="1">
        <f t="array" ref="AY3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8" s="84" cm="1">
        <f t="array" ref="AZ3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8" s="84" cm="1">
        <f t="array" ref="BA3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8" s="84" cm="1">
        <f t="array" ref="BB3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8" s="84">
        <f>IF(SUM(Table3[[#This Row],[Column2]:[Column18]])&gt;Table3[[#This Row],[Column19]],Table3[[#This Row],[Column19]],SUM(Table3[[#This Row],[Column2]:[Column18]]))</f>
        <v>150000</v>
      </c>
      <c r="BD308" s="2">
        <f>Table3[[#This Row],[Total Spend]]/SUM(Table3[[#This Row],[Column2]:[Column18]])</f>
        <v>0.70028011204481788</v>
      </c>
    </row>
    <row r="309" spans="1:56">
      <c r="A309" s="84" t="s">
        <v>383</v>
      </c>
      <c r="B309" s="84"/>
      <c r="C309" s="84" t="s">
        <v>57</v>
      </c>
      <c r="D309" s="85">
        <v>45566</v>
      </c>
      <c r="E309" s="85" t="s">
        <v>92</v>
      </c>
      <c r="F309" s="84">
        <f>INDEX(Definitions!$G$13:$G$17,MATCH(Table3[[#This Row],[Propensity to buy/ buyer readiness]],Definitions!$A$13:$A$17,0))</f>
        <v>50000</v>
      </c>
      <c r="G309" s="86">
        <v>5</v>
      </c>
      <c r="H309" s="86">
        <v>5</v>
      </c>
      <c r="I309" s="86">
        <v>3</v>
      </c>
      <c r="J309" s="86">
        <v>4</v>
      </c>
      <c r="K309" s="86">
        <v>3</v>
      </c>
      <c r="L309" s="86">
        <f>SUM(Table3[[#This Row],[Strategic priority segment]:[Propensity to buy/ buyer readiness]])</f>
        <v>20</v>
      </c>
      <c r="M309" s="86" t="s">
        <v>102</v>
      </c>
      <c r="N309" s="84" t="s">
        <v>61</v>
      </c>
      <c r="O309" s="84"/>
      <c r="P309" s="87"/>
      <c r="Q309" s="87"/>
      <c r="R309" s="84"/>
      <c r="S309" s="87"/>
      <c r="T309" s="87"/>
      <c r="U309" s="84">
        <v>1</v>
      </c>
      <c r="V309" s="84">
        <v>0</v>
      </c>
      <c r="W309" s="84">
        <v>0</v>
      </c>
      <c r="X309" s="84">
        <v>0</v>
      </c>
      <c r="Y309" s="84">
        <v>0</v>
      </c>
      <c r="Z309" s="84">
        <v>1</v>
      </c>
      <c r="AA309" s="84">
        <v>1</v>
      </c>
      <c r="AB309" s="84">
        <v>1</v>
      </c>
      <c r="AC309" s="84">
        <v>1</v>
      </c>
      <c r="AD309" s="84">
        <v>0</v>
      </c>
      <c r="AE309" s="84">
        <v>0</v>
      </c>
      <c r="AF309" s="84">
        <v>0</v>
      </c>
      <c r="AG309" s="84">
        <v>0</v>
      </c>
      <c r="AH309" s="84">
        <v>0</v>
      </c>
      <c r="AI309" s="84">
        <v>0</v>
      </c>
      <c r="AJ309" s="84">
        <v>0</v>
      </c>
      <c r="AK309" s="84">
        <v>0</v>
      </c>
      <c r="AL309" s="84" cm="1">
        <f t="array" ref="AL3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09" s="84" cm="1">
        <f t="array" ref="AM3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09" s="84" cm="1">
        <f t="array" ref="AN3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09" s="84" cm="1">
        <f t="array" ref="AO3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09" s="84" cm="1">
        <f t="array" ref="AP3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09" s="84" cm="1">
        <f t="array" ref="AQ3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09" s="84" cm="1">
        <f t="array" ref="AR3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09" s="84" cm="1">
        <f t="array" ref="AS3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09" s="84" cm="1">
        <f t="array" ref="AT3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09" s="84" cm="1">
        <f t="array" ref="AU3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09" s="84" cm="1">
        <f t="array" ref="AV3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09" s="84" cm="1">
        <f t="array" ref="AW3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09" s="84" cm="1">
        <f t="array" ref="AX3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09" s="84" cm="1">
        <f t="array" ref="AY3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09" s="84" cm="1">
        <f t="array" ref="AZ3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09" s="84" cm="1">
        <f t="array" ref="BA3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09" s="84" cm="1">
        <f t="array" ref="BB3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09" s="84">
        <f>IF(SUM(Table3[[#This Row],[Column2]:[Column18]])&gt;Table3[[#This Row],[Column19]],Table3[[#This Row],[Column19]],SUM(Table3[[#This Row],[Column2]:[Column18]]))</f>
        <v>50000</v>
      </c>
      <c r="BD309" s="2">
        <f>Table3[[#This Row],[Total Spend]]/SUM(Table3[[#This Row],[Column2]:[Column18]])</f>
        <v>0.49164208456243852</v>
      </c>
    </row>
    <row r="310" spans="1:56">
      <c r="A310" s="84" t="s">
        <v>384</v>
      </c>
      <c r="B310" s="84" t="s">
        <v>57</v>
      </c>
      <c r="C310" s="84"/>
      <c r="D310" s="85">
        <v>45566</v>
      </c>
      <c r="E310" s="85" t="s">
        <v>58</v>
      </c>
      <c r="F310" s="84">
        <f>INDEX(Definitions!$G$13:$G$17,MATCH(Table3[[#This Row],[Propensity to buy/ buyer readiness]],Definitions!$A$13:$A$17,0))</f>
        <v>150000</v>
      </c>
      <c r="G310" s="86">
        <v>5</v>
      </c>
      <c r="H310" s="86">
        <v>4</v>
      </c>
      <c r="I310" s="86">
        <v>4</v>
      </c>
      <c r="J310" s="86">
        <v>3</v>
      </c>
      <c r="K310" s="86">
        <v>4</v>
      </c>
      <c r="L310" s="86">
        <f>SUM(Table3[[#This Row],[Strategic priority segment]:[Propensity to buy/ buyer readiness]])</f>
        <v>20</v>
      </c>
      <c r="M310" s="86" t="s">
        <v>66</v>
      </c>
      <c r="N310" s="84" t="s">
        <v>62</v>
      </c>
      <c r="O310" s="84" t="s">
        <v>63</v>
      </c>
      <c r="P310" s="87"/>
      <c r="Q310" s="87"/>
      <c r="R310" s="84"/>
      <c r="S310" s="84"/>
      <c r="T310" s="84"/>
      <c r="U310" s="84">
        <v>1</v>
      </c>
      <c r="V310" s="84">
        <v>0</v>
      </c>
      <c r="W310" s="84">
        <v>1</v>
      </c>
      <c r="X310" s="84">
        <v>0</v>
      </c>
      <c r="Y310" s="84">
        <v>0</v>
      </c>
      <c r="Z310" s="84">
        <v>0</v>
      </c>
      <c r="AA310" s="84">
        <v>1</v>
      </c>
      <c r="AB310" s="84">
        <v>0</v>
      </c>
      <c r="AC310" s="84">
        <v>0</v>
      </c>
      <c r="AD310" s="84">
        <v>1</v>
      </c>
      <c r="AE310" s="84">
        <v>1</v>
      </c>
      <c r="AF310" s="84">
        <v>1</v>
      </c>
      <c r="AG310" s="84">
        <v>1</v>
      </c>
      <c r="AH310" s="84">
        <v>0</v>
      </c>
      <c r="AI310" s="84">
        <v>0</v>
      </c>
      <c r="AJ310" s="84">
        <v>0</v>
      </c>
      <c r="AK310" s="84">
        <v>0</v>
      </c>
      <c r="AL310" s="84" cm="1">
        <f t="array" ref="AL3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10" s="84" cm="1">
        <f t="array" ref="AM3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0" s="84" cm="1">
        <f t="array" ref="AN3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10" s="84" cm="1">
        <f t="array" ref="AO3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0" s="84" cm="1">
        <f t="array" ref="AP3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0" s="84" cm="1">
        <f t="array" ref="AQ3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10" s="84" cm="1">
        <f t="array" ref="AR3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10" s="84" cm="1">
        <f t="array" ref="AS3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10" s="84" cm="1">
        <f t="array" ref="AT3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0" s="84" cm="1">
        <f t="array" ref="AU3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10" s="84" cm="1">
        <f t="array" ref="AV3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10" s="84" cm="1">
        <f t="array" ref="AW3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10" s="84" cm="1">
        <f t="array" ref="AX3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10" s="84" cm="1">
        <f t="array" ref="AY3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0" s="84" cm="1">
        <f t="array" ref="AZ3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0" s="84" cm="1">
        <f t="array" ref="BA3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0" s="84" cm="1">
        <f t="array" ref="BB3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0" s="84">
        <f>IF(SUM(Table3[[#This Row],[Column2]:[Column18]])&gt;Table3[[#This Row],[Column19]],Table3[[#This Row],[Column19]],SUM(Table3[[#This Row],[Column2]:[Column18]]))</f>
        <v>150000</v>
      </c>
      <c r="BD310" s="2">
        <f>Table3[[#This Row],[Total Spend]]/SUM(Table3[[#This Row],[Column2]:[Column18]])</f>
        <v>0.66401062416998669</v>
      </c>
    </row>
    <row r="311" spans="1:56">
      <c r="A311" s="84" t="s">
        <v>385</v>
      </c>
      <c r="B311" s="84" t="s">
        <v>57</v>
      </c>
      <c r="C311" s="84"/>
      <c r="D311" s="85">
        <v>45566</v>
      </c>
      <c r="E311" s="85" t="s">
        <v>58</v>
      </c>
      <c r="F311" s="84">
        <f>INDEX(Definitions!$G$13:$G$17,MATCH(Table3[[#This Row],[Propensity to buy/ buyer readiness]],Definitions!$A$13:$A$17,0))</f>
        <v>150000</v>
      </c>
      <c r="G311" s="86">
        <v>5</v>
      </c>
      <c r="H311" s="86">
        <v>4</v>
      </c>
      <c r="I311" s="86">
        <v>4</v>
      </c>
      <c r="J311" s="86">
        <v>3</v>
      </c>
      <c r="K311" s="86">
        <v>4</v>
      </c>
      <c r="L311" s="86">
        <f>SUM(Table3[[#This Row],[Strategic priority segment]:[Propensity to buy/ buyer readiness]])</f>
        <v>20</v>
      </c>
      <c r="M311" s="86" t="s">
        <v>152</v>
      </c>
      <c r="N311" s="84" t="s">
        <v>122</v>
      </c>
      <c r="O311" s="84"/>
      <c r="P311" s="87"/>
      <c r="Q311" s="87"/>
      <c r="R311" s="84"/>
      <c r="S311" s="84"/>
      <c r="T311" s="87"/>
      <c r="U311" s="84">
        <v>1</v>
      </c>
      <c r="V311" s="84">
        <v>0</v>
      </c>
      <c r="W311" s="84">
        <v>0</v>
      </c>
      <c r="X311" s="84">
        <v>0</v>
      </c>
      <c r="Y311" s="84">
        <v>0</v>
      </c>
      <c r="Z311" s="84">
        <v>1</v>
      </c>
      <c r="AA311" s="84">
        <v>0</v>
      </c>
      <c r="AB311" s="84">
        <v>1</v>
      </c>
      <c r="AC311" s="84">
        <v>0</v>
      </c>
      <c r="AD311" s="84">
        <v>1</v>
      </c>
      <c r="AE311" s="84">
        <v>0</v>
      </c>
      <c r="AF311" s="84">
        <v>1</v>
      </c>
      <c r="AG311" s="84">
        <v>0</v>
      </c>
      <c r="AH311" s="84">
        <v>0</v>
      </c>
      <c r="AI311" s="84">
        <v>0</v>
      </c>
      <c r="AJ311" s="84">
        <v>0</v>
      </c>
      <c r="AK311" s="84">
        <v>0</v>
      </c>
      <c r="AL311" s="84" cm="1">
        <f t="array" ref="AL3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11" s="84" cm="1">
        <f t="array" ref="AM3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1" s="84" cm="1">
        <f t="array" ref="AN3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1" s="84" cm="1">
        <f t="array" ref="AO3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1" s="84" cm="1">
        <f t="array" ref="AP3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1" s="84" cm="1">
        <f t="array" ref="AQ3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11" s="84" cm="1">
        <f t="array" ref="AR3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1" s="84" cm="1">
        <f t="array" ref="AS3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11" s="84" cm="1">
        <f t="array" ref="AT3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1" s="84" cm="1">
        <f t="array" ref="AU3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11" s="84" cm="1">
        <f t="array" ref="AV3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1" s="84" cm="1">
        <f t="array" ref="AW3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11" s="84" cm="1">
        <f t="array" ref="AX3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1" s="84" cm="1">
        <f t="array" ref="AY3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1" s="84" cm="1">
        <f t="array" ref="AZ3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1" s="84" cm="1">
        <f t="array" ref="BA3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1" s="84" cm="1">
        <f t="array" ref="BB3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1" s="84">
        <f>IF(SUM(Table3[[#This Row],[Column2]:[Column18]])&gt;Table3[[#This Row],[Column19]],Table3[[#This Row],[Column19]],SUM(Table3[[#This Row],[Column2]:[Column18]]))</f>
        <v>150000</v>
      </c>
      <c r="BD311" s="2">
        <f>Table3[[#This Row],[Total Spend]]/SUM(Table3[[#This Row],[Column2]:[Column18]])</f>
        <v>0.89605734767025091</v>
      </c>
    </row>
    <row r="312" spans="1:56">
      <c r="A312" s="84" t="s">
        <v>386</v>
      </c>
      <c r="B312" s="84" t="s">
        <v>57</v>
      </c>
      <c r="C312" s="84" t="s">
        <v>57</v>
      </c>
      <c r="D312" s="85">
        <v>45566</v>
      </c>
      <c r="E312" s="85" t="s">
        <v>58</v>
      </c>
      <c r="F312" s="84">
        <f>INDEX(Definitions!$G$13:$G$17,MATCH(Table3[[#This Row],[Propensity to buy/ buyer readiness]],Definitions!$A$13:$A$17,0))</f>
        <v>150000</v>
      </c>
      <c r="G312" s="86">
        <v>5</v>
      </c>
      <c r="H312" s="86">
        <v>4</v>
      </c>
      <c r="I312" s="86">
        <v>4</v>
      </c>
      <c r="J312" s="86">
        <v>3</v>
      </c>
      <c r="K312" s="86">
        <v>4</v>
      </c>
      <c r="L312" s="86">
        <f>SUM(Table3[[#This Row],[Strategic priority segment]:[Propensity to buy/ buyer readiness]])</f>
        <v>20</v>
      </c>
      <c r="M312" s="86" t="s">
        <v>152</v>
      </c>
      <c r="N312" s="84" t="s">
        <v>122</v>
      </c>
      <c r="O312" s="84"/>
      <c r="P312" s="87"/>
      <c r="Q312" s="87"/>
      <c r="R312" s="84"/>
      <c r="S312" s="84"/>
      <c r="T312" s="87"/>
      <c r="U312" s="84">
        <v>1</v>
      </c>
      <c r="V312" s="84">
        <v>0</v>
      </c>
      <c r="W312" s="84">
        <v>0</v>
      </c>
      <c r="X312" s="84">
        <v>0</v>
      </c>
      <c r="Y312" s="84">
        <v>0</v>
      </c>
      <c r="Z312" s="84">
        <v>1</v>
      </c>
      <c r="AA312" s="84">
        <v>0</v>
      </c>
      <c r="AB312" s="84">
        <v>1</v>
      </c>
      <c r="AC312" s="84">
        <v>0</v>
      </c>
      <c r="AD312" s="84">
        <v>1</v>
      </c>
      <c r="AE312" s="84">
        <v>0</v>
      </c>
      <c r="AF312" s="84">
        <v>1</v>
      </c>
      <c r="AG312" s="84">
        <v>0</v>
      </c>
      <c r="AH312" s="84">
        <v>0</v>
      </c>
      <c r="AI312" s="84">
        <v>0</v>
      </c>
      <c r="AJ312" s="84">
        <v>0</v>
      </c>
      <c r="AK312" s="84">
        <v>0</v>
      </c>
      <c r="AL312" s="84" cm="1">
        <f t="array" ref="AL3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12" s="84" cm="1">
        <f t="array" ref="AM3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2" s="84" cm="1">
        <f t="array" ref="AN3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2" s="84" cm="1">
        <f t="array" ref="AO3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2" s="84" cm="1">
        <f t="array" ref="AP3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2" s="84" cm="1">
        <f t="array" ref="AQ3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12" s="84" cm="1">
        <f t="array" ref="AR3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2" s="84" cm="1">
        <f t="array" ref="AS3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12" s="84" cm="1">
        <f t="array" ref="AT3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2" s="84" cm="1">
        <f t="array" ref="AU3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12" s="84" cm="1">
        <f t="array" ref="AV3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2" s="84" cm="1">
        <f t="array" ref="AW3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12" s="84" cm="1">
        <f t="array" ref="AX3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2" s="84" cm="1">
        <f t="array" ref="AY3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2" s="84" cm="1">
        <f t="array" ref="AZ3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2" s="84" cm="1">
        <f t="array" ref="BA3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2" s="84" cm="1">
        <f t="array" ref="BB3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2" s="84">
        <f>IF(SUM(Table3[[#This Row],[Column2]:[Column18]])&gt;Table3[[#This Row],[Column19]],Table3[[#This Row],[Column19]],SUM(Table3[[#This Row],[Column2]:[Column18]]))</f>
        <v>150000</v>
      </c>
      <c r="BD312" s="2">
        <f>Table3[[#This Row],[Total Spend]]/SUM(Table3[[#This Row],[Column2]:[Column18]])</f>
        <v>0.89605734767025091</v>
      </c>
    </row>
    <row r="313" spans="1:56">
      <c r="A313" s="84" t="s">
        <v>387</v>
      </c>
      <c r="B313" s="84"/>
      <c r="C313" s="84"/>
      <c r="D313" s="85">
        <v>45566</v>
      </c>
      <c r="E313" s="85" t="s">
        <v>58</v>
      </c>
      <c r="F313" s="84">
        <f>INDEX(Definitions!$G$13:$G$17,MATCH(Table3[[#This Row],[Propensity to buy/ buyer readiness]],Definitions!$A$13:$A$17,0))</f>
        <v>250000</v>
      </c>
      <c r="G313" s="86">
        <v>5</v>
      </c>
      <c r="H313" s="86">
        <v>4</v>
      </c>
      <c r="I313" s="86">
        <v>3</v>
      </c>
      <c r="J313" s="86">
        <v>3</v>
      </c>
      <c r="K313" s="86">
        <v>5</v>
      </c>
      <c r="L313" s="86">
        <f>SUM(Table3[[#This Row],[Strategic priority segment]:[Propensity to buy/ buyer readiness]])</f>
        <v>20</v>
      </c>
      <c r="M313" s="86" t="s">
        <v>152</v>
      </c>
      <c r="N313" s="84" t="s">
        <v>122</v>
      </c>
      <c r="O313" s="84"/>
      <c r="P313" s="87"/>
      <c r="Q313" s="87"/>
      <c r="R313" s="84"/>
      <c r="S313" s="87"/>
      <c r="T313" s="87"/>
      <c r="U313" s="84">
        <v>1</v>
      </c>
      <c r="V313" s="84">
        <v>0</v>
      </c>
      <c r="W313" s="84">
        <v>0</v>
      </c>
      <c r="X313" s="84">
        <v>0</v>
      </c>
      <c r="Y313" s="84">
        <v>0</v>
      </c>
      <c r="Z313" s="84">
        <v>1</v>
      </c>
      <c r="AA313" s="84">
        <v>0</v>
      </c>
      <c r="AB313" s="84">
        <v>1</v>
      </c>
      <c r="AC313" s="84">
        <v>0</v>
      </c>
      <c r="AD313" s="84">
        <v>1</v>
      </c>
      <c r="AE313" s="84">
        <v>0</v>
      </c>
      <c r="AF313" s="84">
        <v>1</v>
      </c>
      <c r="AG313" s="84">
        <v>0</v>
      </c>
      <c r="AH313" s="84">
        <v>0</v>
      </c>
      <c r="AI313" s="84">
        <v>0</v>
      </c>
      <c r="AJ313" s="84">
        <v>0</v>
      </c>
      <c r="AK313" s="84">
        <v>0</v>
      </c>
      <c r="AL313" s="84" cm="1">
        <f t="array" ref="AL3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13" s="84" cm="1">
        <f t="array" ref="AM3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3" s="84" cm="1">
        <f t="array" ref="AN3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3" s="84" cm="1">
        <f t="array" ref="AO3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3" s="84" cm="1">
        <f t="array" ref="AP3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3" s="84" cm="1">
        <f t="array" ref="AQ3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13" s="84" cm="1">
        <f t="array" ref="AR3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3" s="84" cm="1">
        <f t="array" ref="AS3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13" s="84" cm="1">
        <f t="array" ref="AT3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3" s="84" cm="1">
        <f t="array" ref="AU3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13" s="84" cm="1">
        <f t="array" ref="AV3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3" s="84" cm="1">
        <f t="array" ref="AW3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13" s="84" cm="1">
        <f t="array" ref="AX3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3" s="84" cm="1">
        <f t="array" ref="AY3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3" s="84" cm="1">
        <f t="array" ref="AZ3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3" s="84" cm="1">
        <f t="array" ref="BA3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3" s="84" cm="1">
        <f t="array" ref="BB3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3" s="84">
        <f>IF(SUM(Table3[[#This Row],[Column2]:[Column18]])&gt;Table3[[#This Row],[Column19]],Table3[[#This Row],[Column19]],SUM(Table3[[#This Row],[Column2]:[Column18]]))</f>
        <v>167400</v>
      </c>
      <c r="BD313" s="2">
        <f>Table3[[#This Row],[Total Spend]]/SUM(Table3[[#This Row],[Column2]:[Column18]])</f>
        <v>1</v>
      </c>
    </row>
    <row r="314" spans="1:56">
      <c r="A314" s="84" t="s">
        <v>388</v>
      </c>
      <c r="B314" s="84" t="s">
        <v>57</v>
      </c>
      <c r="C314" s="84"/>
      <c r="D314" s="85">
        <v>45566</v>
      </c>
      <c r="E314" s="85" t="s">
        <v>92</v>
      </c>
      <c r="F314" s="84">
        <f>INDEX(Definitions!$G$13:$G$17,MATCH(Table3[[#This Row],[Propensity to buy/ buyer readiness]],Definitions!$A$13:$A$17,0))</f>
        <v>50000</v>
      </c>
      <c r="G314" s="86">
        <v>5</v>
      </c>
      <c r="H314" s="86">
        <v>4</v>
      </c>
      <c r="I314" s="86">
        <v>4</v>
      </c>
      <c r="J314" s="86">
        <v>4</v>
      </c>
      <c r="K314" s="86">
        <v>3</v>
      </c>
      <c r="L314" s="86">
        <f>SUM(Table3[[#This Row],[Strategic priority segment]:[Propensity to buy/ buyer readiness]])</f>
        <v>20</v>
      </c>
      <c r="M314" s="86" t="s">
        <v>191</v>
      </c>
      <c r="N314" s="84" t="s">
        <v>135</v>
      </c>
      <c r="O314" s="84"/>
      <c r="P314" s="87"/>
      <c r="Q314" s="87"/>
      <c r="R314" s="84"/>
      <c r="S314" s="84"/>
      <c r="T314" s="87"/>
      <c r="U314" s="84">
        <v>0</v>
      </c>
      <c r="V314" s="84">
        <v>0</v>
      </c>
      <c r="W314" s="84">
        <v>0</v>
      </c>
      <c r="X314" s="84">
        <v>0</v>
      </c>
      <c r="Y314" s="84">
        <v>0</v>
      </c>
      <c r="Z314" s="84">
        <v>0</v>
      </c>
      <c r="AA314" s="84">
        <v>0</v>
      </c>
      <c r="AB314" s="84">
        <v>0</v>
      </c>
      <c r="AC314" s="84">
        <v>0</v>
      </c>
      <c r="AD314" s="84">
        <v>0</v>
      </c>
      <c r="AE314" s="84">
        <v>0</v>
      </c>
      <c r="AF314" s="84">
        <v>0</v>
      </c>
      <c r="AG314" s="84">
        <v>0</v>
      </c>
      <c r="AH314" s="84">
        <v>1</v>
      </c>
      <c r="AI314" s="84">
        <v>1</v>
      </c>
      <c r="AJ314" s="84">
        <v>1</v>
      </c>
      <c r="AK314" s="84">
        <v>1</v>
      </c>
      <c r="AL314" s="84" cm="1">
        <f t="array" ref="AL3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14" s="84" cm="1">
        <f t="array" ref="AM3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4" s="84" cm="1">
        <f t="array" ref="AN3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4" s="84" cm="1">
        <f t="array" ref="AO3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4" s="84" cm="1">
        <f t="array" ref="AP3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4" s="84" cm="1">
        <f t="array" ref="AQ3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14" s="84" cm="1">
        <f t="array" ref="AR3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4" s="84" cm="1">
        <f t="array" ref="AS3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14" s="84" cm="1">
        <f t="array" ref="AT3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4" s="84" cm="1">
        <f t="array" ref="AU3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14" s="84" cm="1">
        <f t="array" ref="AV3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4" s="84" cm="1">
        <f t="array" ref="AW3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14" s="84" cm="1">
        <f t="array" ref="AX3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4" s="84" cm="1">
        <f t="array" ref="AY3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14" s="84" cm="1">
        <f t="array" ref="AZ3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14" s="84" cm="1">
        <f t="array" ref="BA3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14" s="84" cm="1">
        <f t="array" ref="BB3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14" s="84">
        <f>IF(SUM(Table3[[#This Row],[Column2]:[Column18]])&gt;Table3[[#This Row],[Column19]],Table3[[#This Row],[Column19]],SUM(Table3[[#This Row],[Column2]:[Column18]]))</f>
        <v>46350</v>
      </c>
      <c r="BD314" s="2">
        <f>Table3[[#This Row],[Total Spend]]/SUM(Table3[[#This Row],[Column2]:[Column18]])</f>
        <v>1</v>
      </c>
    </row>
    <row r="315" spans="1:56">
      <c r="A315" s="84" t="s">
        <v>389</v>
      </c>
      <c r="B315" s="84"/>
      <c r="C315" s="84"/>
      <c r="D315" s="85">
        <v>45566</v>
      </c>
      <c r="E315" s="85" t="s">
        <v>92</v>
      </c>
      <c r="F315" s="84">
        <f>INDEX(Definitions!$G$13:$G$17,MATCH(Table3[[#This Row],[Propensity to buy/ buyer readiness]],Definitions!$A$13:$A$17,0))</f>
        <v>50000</v>
      </c>
      <c r="G315" s="86">
        <v>5</v>
      </c>
      <c r="H315" s="86">
        <v>3</v>
      </c>
      <c r="I315" s="86">
        <v>4</v>
      </c>
      <c r="J315" s="86">
        <v>5</v>
      </c>
      <c r="K315" s="86">
        <v>3</v>
      </c>
      <c r="L315" s="86">
        <f>SUM(Table3[[#This Row],[Strategic priority segment]:[Propensity to buy/ buyer readiness]])</f>
        <v>20</v>
      </c>
      <c r="M315" s="86" t="s">
        <v>59</v>
      </c>
      <c r="N315" s="84" t="s">
        <v>60</v>
      </c>
      <c r="O315" s="87"/>
      <c r="P315" s="87"/>
      <c r="Q315" s="87"/>
      <c r="R315" s="84"/>
      <c r="S315" s="87"/>
      <c r="T315" s="87"/>
      <c r="U315" s="84">
        <v>1</v>
      </c>
      <c r="V315" s="84">
        <v>1</v>
      </c>
      <c r="W315" s="84">
        <v>1</v>
      </c>
      <c r="X315" s="84">
        <v>1</v>
      </c>
      <c r="Y315" s="84">
        <v>1</v>
      </c>
      <c r="Z315" s="84">
        <v>0</v>
      </c>
      <c r="AA315" s="84">
        <v>0</v>
      </c>
      <c r="AB315" s="84">
        <v>0</v>
      </c>
      <c r="AC315" s="84">
        <v>0</v>
      </c>
      <c r="AD315" s="84">
        <v>1</v>
      </c>
      <c r="AE315" s="84">
        <v>0</v>
      </c>
      <c r="AF315" s="84">
        <v>0</v>
      </c>
      <c r="AG315" s="84">
        <v>0</v>
      </c>
      <c r="AH315" s="84">
        <v>0</v>
      </c>
      <c r="AI315" s="84">
        <v>0</v>
      </c>
      <c r="AJ315" s="84">
        <v>0</v>
      </c>
      <c r="AK315" s="84">
        <v>0</v>
      </c>
      <c r="AL315" s="84" cm="1">
        <f t="array" ref="AL3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15" s="84" cm="1">
        <f t="array" ref="AM3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15" s="84" cm="1">
        <f t="array" ref="AN3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15" s="84" cm="1">
        <f t="array" ref="AO3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15" s="84" cm="1">
        <f t="array" ref="AP3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15" s="84" cm="1">
        <f t="array" ref="AQ3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15" s="84" cm="1">
        <f t="array" ref="AR3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5" s="84" cm="1">
        <f t="array" ref="AS3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15" s="84" cm="1">
        <f t="array" ref="AT3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5" s="84" cm="1">
        <f t="array" ref="AU3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15" s="84" cm="1">
        <f t="array" ref="AV3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5" s="84" cm="1">
        <f t="array" ref="AW3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15" s="84" cm="1">
        <f t="array" ref="AX3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5" s="84" cm="1">
        <f t="array" ref="AY3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5" s="84" cm="1">
        <f t="array" ref="AZ3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5" s="84" cm="1">
        <f t="array" ref="BA3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5" s="84" cm="1">
        <f t="array" ref="BB3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5" s="84">
        <f>IF(SUM(Table3[[#This Row],[Column2]:[Column18]])&gt;Table3[[#This Row],[Column19]],Table3[[#This Row],[Column19]],SUM(Table3[[#This Row],[Column2]:[Column18]]))</f>
        <v>50000</v>
      </c>
      <c r="BD315" s="2">
        <f>Table3[[#This Row],[Total Spend]]/SUM(Table3[[#This Row],[Column2]:[Column18]])</f>
        <v>0.26709401709401709</v>
      </c>
    </row>
    <row r="316" spans="1:56" ht="28.5">
      <c r="A316" s="84" t="s">
        <v>390</v>
      </c>
      <c r="B316" s="84"/>
      <c r="C316" s="84"/>
      <c r="D316" s="85">
        <v>45566</v>
      </c>
      <c r="E316" s="85" t="s">
        <v>58</v>
      </c>
      <c r="F316" s="84">
        <f>INDEX(Definitions!$G$13:$G$17,MATCH(Table3[[#This Row],[Propensity to buy/ buyer readiness]],Definitions!$A$13:$A$17,0))</f>
        <v>250000</v>
      </c>
      <c r="G316" s="86">
        <v>5</v>
      </c>
      <c r="H316" s="86">
        <v>4</v>
      </c>
      <c r="I316" s="86">
        <v>3</v>
      </c>
      <c r="J316" s="86">
        <v>3</v>
      </c>
      <c r="K316" s="86">
        <v>5</v>
      </c>
      <c r="L316" s="86">
        <f>SUM(Table3[[#This Row],[Strategic priority segment]:[Propensity to buy/ buyer readiness]])</f>
        <v>20</v>
      </c>
      <c r="M316" s="86" t="s">
        <v>66</v>
      </c>
      <c r="N316" s="84" t="s">
        <v>122</v>
      </c>
      <c r="O316" s="84" t="s">
        <v>62</v>
      </c>
      <c r="P316" s="87" t="s">
        <v>61</v>
      </c>
      <c r="Q316" s="87"/>
      <c r="R316" s="84"/>
      <c r="S316" s="87"/>
      <c r="T316" s="87"/>
      <c r="U316" s="84">
        <v>1</v>
      </c>
      <c r="V316" s="84">
        <v>0</v>
      </c>
      <c r="W316" s="84">
        <v>0</v>
      </c>
      <c r="X316" s="84">
        <v>0</v>
      </c>
      <c r="Y316" s="84">
        <v>0</v>
      </c>
      <c r="Z316" s="84">
        <v>1</v>
      </c>
      <c r="AA316" s="84">
        <v>1</v>
      </c>
      <c r="AB316" s="84">
        <v>1</v>
      </c>
      <c r="AC316" s="84">
        <v>1</v>
      </c>
      <c r="AD316" s="84">
        <v>1</v>
      </c>
      <c r="AE316" s="84">
        <v>1</v>
      </c>
      <c r="AF316" s="84">
        <v>1</v>
      </c>
      <c r="AG316" s="84">
        <v>1</v>
      </c>
      <c r="AH316" s="84">
        <v>0</v>
      </c>
      <c r="AI316" s="84">
        <v>0</v>
      </c>
      <c r="AJ316" s="84">
        <v>0</v>
      </c>
      <c r="AK316" s="84">
        <v>0</v>
      </c>
      <c r="AL316" s="84" cm="1">
        <f t="array" ref="AL3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16" s="84" cm="1">
        <f t="array" ref="AM3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6" s="84" cm="1">
        <f t="array" ref="AN3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6" s="84" cm="1">
        <f t="array" ref="AO3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6" s="84" cm="1">
        <f t="array" ref="AP3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6" s="84" cm="1">
        <f t="array" ref="AQ3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16" s="84" cm="1">
        <f t="array" ref="AR3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16" s="84" cm="1">
        <f t="array" ref="AS3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16" s="84" cm="1">
        <f t="array" ref="AT3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16" s="84" cm="1">
        <f t="array" ref="AU3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16" s="84" cm="1">
        <f t="array" ref="AV3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16" s="84" cm="1">
        <f t="array" ref="AW3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16" s="84" cm="1">
        <f t="array" ref="AX3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16" s="84" cm="1">
        <f t="array" ref="AY3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6" s="84" cm="1">
        <f t="array" ref="AZ3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6" s="84" cm="1">
        <f t="array" ref="BA3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6" s="84" cm="1">
        <f t="array" ref="BB3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6" s="84">
        <f>IF(SUM(Table3[[#This Row],[Column2]:[Column18]])&gt;Table3[[#This Row],[Column19]],Table3[[#This Row],[Column19]],SUM(Table3[[#This Row],[Column2]:[Column18]]))</f>
        <v>250000</v>
      </c>
      <c r="BD316" s="2">
        <f>Table3[[#This Row],[Total Spend]]/SUM(Table3[[#This Row],[Column2]:[Column18]])</f>
        <v>0.95785440613026818</v>
      </c>
    </row>
    <row r="317" spans="1:56">
      <c r="A317" s="84" t="s">
        <v>391</v>
      </c>
      <c r="B317" s="84"/>
      <c r="C317" s="84" t="s">
        <v>57</v>
      </c>
      <c r="D317" s="85">
        <v>45566</v>
      </c>
      <c r="E317" s="85" t="s">
        <v>92</v>
      </c>
      <c r="F317" s="84">
        <f>INDEX(Definitions!$G$13:$G$17,MATCH(Table3[[#This Row],[Propensity to buy/ buyer readiness]],Definitions!$A$13:$A$17,0))</f>
        <v>50000</v>
      </c>
      <c r="G317" s="86">
        <v>5</v>
      </c>
      <c r="H317" s="86">
        <v>5</v>
      </c>
      <c r="I317" s="86">
        <v>3</v>
      </c>
      <c r="J317" s="86">
        <v>4</v>
      </c>
      <c r="K317" s="86">
        <v>3</v>
      </c>
      <c r="L317" s="86">
        <f>SUM(Table3[[#This Row],[Strategic priority segment]:[Propensity to buy/ buyer readiness]])</f>
        <v>20</v>
      </c>
      <c r="M317" s="86" t="s">
        <v>102</v>
      </c>
      <c r="N317" s="84" t="s">
        <v>61</v>
      </c>
      <c r="O317" s="84" t="s">
        <v>62</v>
      </c>
      <c r="P317" s="84"/>
      <c r="Q317" s="84"/>
      <c r="R317" s="84"/>
      <c r="S317" s="84"/>
      <c r="T317" s="87"/>
      <c r="U317" s="84">
        <v>1</v>
      </c>
      <c r="V317" s="84">
        <v>0</v>
      </c>
      <c r="W317" s="84">
        <v>0</v>
      </c>
      <c r="X317" s="84">
        <v>0</v>
      </c>
      <c r="Y317" s="84">
        <v>0</v>
      </c>
      <c r="Z317" s="84">
        <v>1</v>
      </c>
      <c r="AA317" s="84">
        <v>1</v>
      </c>
      <c r="AB317" s="84">
        <v>1</v>
      </c>
      <c r="AC317" s="84">
        <v>1</v>
      </c>
      <c r="AD317" s="84">
        <v>1</v>
      </c>
      <c r="AE317" s="84">
        <v>1</v>
      </c>
      <c r="AF317" s="84">
        <v>1</v>
      </c>
      <c r="AG317" s="84">
        <v>1</v>
      </c>
      <c r="AH317" s="84">
        <v>0</v>
      </c>
      <c r="AI317" s="84">
        <v>0</v>
      </c>
      <c r="AJ317" s="84">
        <v>0</v>
      </c>
      <c r="AK317" s="84">
        <v>0</v>
      </c>
      <c r="AL317" s="84" cm="1">
        <f t="array" ref="AL3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17" s="84" cm="1">
        <f t="array" ref="AM3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7" s="84" cm="1">
        <f t="array" ref="AN3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7" s="84" cm="1">
        <f t="array" ref="AO3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7" s="84" cm="1">
        <f t="array" ref="AP3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7" s="84" cm="1">
        <f t="array" ref="AQ3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17" s="84" cm="1">
        <f t="array" ref="AR3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17" s="84" cm="1">
        <f t="array" ref="AS3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17" s="84" cm="1">
        <f t="array" ref="AT3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17" s="84" cm="1">
        <f t="array" ref="AU3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17" s="84" cm="1">
        <f t="array" ref="AV3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17" s="84" cm="1">
        <f t="array" ref="AW3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17" s="84" cm="1">
        <f t="array" ref="AX3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17" s="84" cm="1">
        <f t="array" ref="AY3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7" s="84" cm="1">
        <f t="array" ref="AZ3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7" s="84" cm="1">
        <f t="array" ref="BA3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7" s="84" cm="1">
        <f t="array" ref="BB3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7" s="84">
        <f>IF(SUM(Table3[[#This Row],[Column2]:[Column18]])&gt;Table3[[#This Row],[Column19]],Table3[[#This Row],[Column19]],SUM(Table3[[#This Row],[Column2]:[Column18]]))</f>
        <v>50000</v>
      </c>
      <c r="BD317" s="2">
        <f>Table3[[#This Row],[Total Spend]]/SUM(Table3[[#This Row],[Column2]:[Column18]])</f>
        <v>0.2664535038635758</v>
      </c>
    </row>
    <row r="318" spans="1:56">
      <c r="A318" s="84" t="s">
        <v>392</v>
      </c>
      <c r="B318" s="84" t="s">
        <v>57</v>
      </c>
      <c r="C318" s="84"/>
      <c r="D318" s="85">
        <v>45566</v>
      </c>
      <c r="E318" s="85" t="s">
        <v>92</v>
      </c>
      <c r="F318" s="84">
        <f>INDEX(Definitions!$G$13:$G$17,MATCH(Table3[[#This Row],[Propensity to buy/ buyer readiness]],Definitions!$A$13:$A$17,0))</f>
        <v>50000</v>
      </c>
      <c r="G318" s="86">
        <v>5</v>
      </c>
      <c r="H318" s="86">
        <v>4</v>
      </c>
      <c r="I318" s="86">
        <v>4</v>
      </c>
      <c r="J318" s="86">
        <v>4</v>
      </c>
      <c r="K318" s="86">
        <v>3</v>
      </c>
      <c r="L318" s="86">
        <f>SUM(Table3[[#This Row],[Strategic priority segment]:[Propensity to buy/ buyer readiness]])</f>
        <v>20</v>
      </c>
      <c r="M318" s="86" t="s">
        <v>66</v>
      </c>
      <c r="N318" s="84" t="s">
        <v>62</v>
      </c>
      <c r="O318" s="84"/>
      <c r="P318" s="87"/>
      <c r="Q318" s="87"/>
      <c r="R318" s="84"/>
      <c r="S318" s="84"/>
      <c r="T318" s="87"/>
      <c r="U318" s="84">
        <v>1</v>
      </c>
      <c r="V318" s="84">
        <v>0</v>
      </c>
      <c r="W318" s="84">
        <v>0</v>
      </c>
      <c r="X318" s="84">
        <v>0</v>
      </c>
      <c r="Y318" s="84">
        <v>0</v>
      </c>
      <c r="Z318" s="84">
        <v>0</v>
      </c>
      <c r="AA318" s="84">
        <v>0</v>
      </c>
      <c r="AB318" s="84">
        <v>0</v>
      </c>
      <c r="AC318" s="84">
        <v>0</v>
      </c>
      <c r="AD318" s="84">
        <v>1</v>
      </c>
      <c r="AE318" s="84">
        <v>1</v>
      </c>
      <c r="AF318" s="84">
        <v>1</v>
      </c>
      <c r="AG318" s="84">
        <v>1</v>
      </c>
      <c r="AH318" s="84">
        <v>0</v>
      </c>
      <c r="AI318" s="84">
        <v>0</v>
      </c>
      <c r="AJ318" s="84">
        <v>0</v>
      </c>
      <c r="AK318" s="84">
        <v>0</v>
      </c>
      <c r="AL318" s="84" cm="1">
        <f t="array" ref="AL3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18" s="84" cm="1">
        <f t="array" ref="AM3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8" s="84" cm="1">
        <f t="array" ref="AN3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8" s="84" cm="1">
        <f t="array" ref="AO3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8" s="84" cm="1">
        <f t="array" ref="AP3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8" s="84" cm="1">
        <f t="array" ref="AQ3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18" s="84" cm="1">
        <f t="array" ref="AR3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8" s="84" cm="1">
        <f t="array" ref="AS3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18" s="84" cm="1">
        <f t="array" ref="AT3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8" s="84" cm="1">
        <f t="array" ref="AU3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18" s="84" cm="1">
        <f t="array" ref="AV3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18" s="84" cm="1">
        <f t="array" ref="AW3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18" s="84" cm="1">
        <f t="array" ref="AX3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18" s="84" cm="1">
        <f t="array" ref="AY3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18" s="84" cm="1">
        <f t="array" ref="AZ3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8" s="84" cm="1">
        <f t="array" ref="BA3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18" s="84" cm="1">
        <f t="array" ref="BB3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8" s="84">
        <f>IF(SUM(Table3[[#This Row],[Column2]:[Column18]])&gt;Table3[[#This Row],[Column19]],Table3[[#This Row],[Column19]],SUM(Table3[[#This Row],[Column2]:[Column18]]))</f>
        <v>50000</v>
      </c>
      <c r="BD318" s="2">
        <f>Table3[[#This Row],[Total Spend]]/SUM(Table3[[#This Row],[Column2]:[Column18]])</f>
        <v>0.53163211057947901</v>
      </c>
    </row>
    <row r="319" spans="1:56">
      <c r="A319" s="84" t="s">
        <v>393</v>
      </c>
      <c r="B319" s="84" t="s">
        <v>57</v>
      </c>
      <c r="C319" s="84" t="s">
        <v>57</v>
      </c>
      <c r="D319" s="85">
        <v>45566</v>
      </c>
      <c r="E319" s="85" t="s">
        <v>58</v>
      </c>
      <c r="F319" s="84">
        <f>INDEX(Definitions!$G$13:$G$17,MATCH(Table3[[#This Row],[Propensity to buy/ buyer readiness]],Definitions!$A$13:$A$17,0))</f>
        <v>150000</v>
      </c>
      <c r="G319" s="86">
        <v>4</v>
      </c>
      <c r="H319" s="86">
        <v>4</v>
      </c>
      <c r="I319" s="86">
        <v>4</v>
      </c>
      <c r="J319" s="86">
        <v>4</v>
      </c>
      <c r="K319" s="86">
        <v>4</v>
      </c>
      <c r="L319" s="86">
        <f>SUM(Table3[[#This Row],[Strategic priority segment]:[Propensity to buy/ buyer readiness]])</f>
        <v>20</v>
      </c>
      <c r="M319" s="86" t="s">
        <v>191</v>
      </c>
      <c r="N319" s="84" t="s">
        <v>76</v>
      </c>
      <c r="O319" s="84"/>
      <c r="P319" s="87"/>
      <c r="Q319" s="87"/>
      <c r="R319" s="84"/>
      <c r="S319" s="84"/>
      <c r="T319" s="87"/>
      <c r="U319" s="84">
        <v>0</v>
      </c>
      <c r="V319" s="84">
        <v>0</v>
      </c>
      <c r="W319" s="84">
        <v>0</v>
      </c>
      <c r="X319" s="84">
        <v>0</v>
      </c>
      <c r="Y319" s="84">
        <v>0</v>
      </c>
      <c r="Z319" s="84">
        <v>0</v>
      </c>
      <c r="AA319" s="84">
        <v>0</v>
      </c>
      <c r="AB319" s="84">
        <v>0</v>
      </c>
      <c r="AC319" s="84">
        <v>0</v>
      </c>
      <c r="AD319" s="84">
        <v>0</v>
      </c>
      <c r="AE319" s="84">
        <v>0</v>
      </c>
      <c r="AF319" s="84">
        <v>0</v>
      </c>
      <c r="AG319" s="84">
        <v>0</v>
      </c>
      <c r="AH319" s="84">
        <v>1</v>
      </c>
      <c r="AI319" s="84">
        <v>0</v>
      </c>
      <c r="AJ319" s="84">
        <v>1</v>
      </c>
      <c r="AK319" s="84">
        <v>0</v>
      </c>
      <c r="AL319" s="84" cm="1">
        <f t="array" ref="AL3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19" s="84" cm="1">
        <f t="array" ref="AM3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19" s="84" cm="1">
        <f t="array" ref="AN3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19" s="84" cm="1">
        <f t="array" ref="AO3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19" s="84" cm="1">
        <f t="array" ref="AP3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19" s="84" cm="1">
        <f t="array" ref="AQ3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19" s="84" cm="1">
        <f t="array" ref="AR3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19" s="84" cm="1">
        <f t="array" ref="AS3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19" s="84" cm="1">
        <f t="array" ref="AT3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19" s="84" cm="1">
        <f t="array" ref="AU3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19" s="84" cm="1">
        <f t="array" ref="AV3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19" s="84" cm="1">
        <f t="array" ref="AW3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19" s="84" cm="1">
        <f t="array" ref="AX3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19" s="84" cm="1">
        <f t="array" ref="AY3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19" s="84" cm="1">
        <f t="array" ref="AZ3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19" s="84" cm="1">
        <f t="array" ref="BA3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19" s="84" cm="1">
        <f t="array" ref="BB3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19" s="84">
        <f>IF(SUM(Table3[[#This Row],[Column2]:[Column18]])&gt;Table3[[#This Row],[Column19]],Table3[[#This Row],[Column19]],SUM(Table3[[#This Row],[Column2]:[Column18]]))</f>
        <v>42300</v>
      </c>
      <c r="BD319" s="2">
        <f>Table3[[#This Row],[Total Spend]]/SUM(Table3[[#This Row],[Column2]:[Column18]])</f>
        <v>1</v>
      </c>
    </row>
    <row r="320" spans="1:56" ht="28.5">
      <c r="A320" s="87" t="s">
        <v>394</v>
      </c>
      <c r="B320" s="87"/>
      <c r="C320" s="87" t="s">
        <v>57</v>
      </c>
      <c r="D320" s="85">
        <v>45566</v>
      </c>
      <c r="E320" s="85" t="s">
        <v>92</v>
      </c>
      <c r="F320" s="84">
        <f>INDEX(Definitions!$G$13:$G$17,MATCH(Table3[[#This Row],[Propensity to buy/ buyer readiness]],Definitions!$A$13:$A$17,0))</f>
        <v>50000</v>
      </c>
      <c r="G320" s="86">
        <v>5</v>
      </c>
      <c r="H320" s="86">
        <v>5</v>
      </c>
      <c r="I320" s="86">
        <v>3</v>
      </c>
      <c r="J320" s="86">
        <v>4</v>
      </c>
      <c r="K320" s="86">
        <v>3</v>
      </c>
      <c r="L320" s="86">
        <f>SUM(Table3[[#This Row],[Strategic priority segment]:[Propensity to buy/ buyer readiness]])</f>
        <v>20</v>
      </c>
      <c r="M320" s="86" t="s">
        <v>102</v>
      </c>
      <c r="N320" s="84" t="s">
        <v>61</v>
      </c>
      <c r="O320" s="87" t="s">
        <v>62</v>
      </c>
      <c r="P320" s="87"/>
      <c r="Q320" s="87"/>
      <c r="R320" s="84"/>
      <c r="S320" s="87"/>
      <c r="T320" s="87"/>
      <c r="U320" s="84">
        <v>1</v>
      </c>
      <c r="V320" s="84">
        <v>0</v>
      </c>
      <c r="W320" s="84">
        <v>0</v>
      </c>
      <c r="X320" s="84">
        <v>0</v>
      </c>
      <c r="Y320" s="84">
        <v>0</v>
      </c>
      <c r="Z320" s="84">
        <v>1</v>
      </c>
      <c r="AA320" s="84">
        <v>1</v>
      </c>
      <c r="AB320" s="84">
        <v>1</v>
      </c>
      <c r="AC320" s="84">
        <v>1</v>
      </c>
      <c r="AD320" s="84">
        <v>1</v>
      </c>
      <c r="AE320" s="84">
        <v>1</v>
      </c>
      <c r="AF320" s="84">
        <v>1</v>
      </c>
      <c r="AG320" s="84">
        <v>1</v>
      </c>
      <c r="AH320" s="84">
        <v>0</v>
      </c>
      <c r="AI320" s="84">
        <v>0</v>
      </c>
      <c r="AJ320" s="84">
        <v>0</v>
      </c>
      <c r="AK320" s="84">
        <v>0</v>
      </c>
      <c r="AL320" s="84" cm="1">
        <f t="array" ref="AL3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20" s="84" cm="1">
        <f t="array" ref="AM3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0" s="84" cm="1">
        <f t="array" ref="AN3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0" s="84" cm="1">
        <f t="array" ref="AO3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0" s="84" cm="1">
        <f t="array" ref="AP3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0" s="84" cm="1">
        <f t="array" ref="AQ3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20" s="84" cm="1">
        <f t="array" ref="AR3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20" s="84" cm="1">
        <f t="array" ref="AS3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20" s="84" cm="1">
        <f t="array" ref="AT3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20" s="84" cm="1">
        <f t="array" ref="AU3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20" s="84" cm="1">
        <f t="array" ref="AV3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20" s="84" cm="1">
        <f t="array" ref="AW3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20" s="84" cm="1">
        <f t="array" ref="AX3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20" s="84" cm="1">
        <f t="array" ref="AY3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0" s="84" cm="1">
        <f t="array" ref="AZ3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0" s="84" cm="1">
        <f t="array" ref="BA3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0" s="84" cm="1">
        <f t="array" ref="BB3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0" s="84">
        <f>IF(SUM(Table3[[#This Row],[Column2]:[Column18]])&gt;Table3[[#This Row],[Column19]],Table3[[#This Row],[Column19]],SUM(Table3[[#This Row],[Column2]:[Column18]]))</f>
        <v>50000</v>
      </c>
      <c r="BD320" s="2">
        <f>Table3[[#This Row],[Total Spend]]/SUM(Table3[[#This Row],[Column2]:[Column18]])</f>
        <v>0.2664535038635758</v>
      </c>
    </row>
    <row r="321" spans="1:56">
      <c r="A321" s="84" t="s">
        <v>395</v>
      </c>
      <c r="B321" s="84"/>
      <c r="C321" s="84"/>
      <c r="D321" s="85">
        <v>45566</v>
      </c>
      <c r="E321" s="85" t="s">
        <v>92</v>
      </c>
      <c r="F321" s="84">
        <f>INDEX(Definitions!$G$13:$G$17,MATCH(Table3[[#This Row],[Propensity to buy/ buyer readiness]],Definitions!$A$13:$A$17,0))</f>
        <v>50000</v>
      </c>
      <c r="G321" s="86">
        <v>5</v>
      </c>
      <c r="H321" s="86">
        <v>3</v>
      </c>
      <c r="I321" s="86">
        <v>4</v>
      </c>
      <c r="J321" s="86">
        <v>5</v>
      </c>
      <c r="K321" s="86">
        <v>3</v>
      </c>
      <c r="L321" s="86">
        <f>SUM(Table3[[#This Row],[Strategic priority segment]:[Propensity to buy/ buyer readiness]])</f>
        <v>20</v>
      </c>
      <c r="M321" s="86" t="s">
        <v>59</v>
      </c>
      <c r="N321" s="84" t="s">
        <v>60</v>
      </c>
      <c r="O321" s="87"/>
      <c r="P321" s="87"/>
      <c r="Q321" s="87"/>
      <c r="R321" s="84"/>
      <c r="S321" s="87"/>
      <c r="T321" s="87"/>
      <c r="U321" s="84">
        <v>1</v>
      </c>
      <c r="V321" s="84">
        <v>1</v>
      </c>
      <c r="W321" s="84">
        <v>1</v>
      </c>
      <c r="X321" s="84">
        <v>1</v>
      </c>
      <c r="Y321" s="84">
        <v>1</v>
      </c>
      <c r="Z321" s="84">
        <v>0</v>
      </c>
      <c r="AA321" s="84">
        <v>0</v>
      </c>
      <c r="AB321" s="84">
        <v>0</v>
      </c>
      <c r="AC321" s="84">
        <v>0</v>
      </c>
      <c r="AD321" s="84">
        <v>1</v>
      </c>
      <c r="AE321" s="84">
        <v>0</v>
      </c>
      <c r="AF321" s="84">
        <v>0</v>
      </c>
      <c r="AG321" s="84">
        <v>0</v>
      </c>
      <c r="AH321" s="84">
        <v>0</v>
      </c>
      <c r="AI321" s="84">
        <v>0</v>
      </c>
      <c r="AJ321" s="84">
        <v>0</v>
      </c>
      <c r="AK321" s="84">
        <v>0</v>
      </c>
      <c r="AL321" s="84" cm="1">
        <f t="array" ref="AL3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21" s="84" cm="1">
        <f t="array" ref="AM3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21" s="84" cm="1">
        <f t="array" ref="AN3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21" s="84" cm="1">
        <f t="array" ref="AO3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21" s="84" cm="1">
        <f t="array" ref="AP3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21" s="84" cm="1">
        <f t="array" ref="AQ3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1" s="84" cm="1">
        <f t="array" ref="AR3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1" s="84" cm="1">
        <f t="array" ref="AS3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1" s="84" cm="1">
        <f t="array" ref="AT3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1" s="84" cm="1">
        <f t="array" ref="AU3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21" s="84" cm="1">
        <f t="array" ref="AV3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1" s="84" cm="1">
        <f t="array" ref="AW3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1" s="84" cm="1">
        <f t="array" ref="AX3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1" s="84" cm="1">
        <f t="array" ref="AY3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1" s="84" cm="1">
        <f t="array" ref="AZ3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1" s="84" cm="1">
        <f t="array" ref="BA3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1" s="84" cm="1">
        <f t="array" ref="BB3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1" s="84">
        <f>IF(SUM(Table3[[#This Row],[Column2]:[Column18]])&gt;Table3[[#This Row],[Column19]],Table3[[#This Row],[Column19]],SUM(Table3[[#This Row],[Column2]:[Column18]]))</f>
        <v>50000</v>
      </c>
      <c r="BD321" s="2">
        <f>Table3[[#This Row],[Total Spend]]/SUM(Table3[[#This Row],[Column2]:[Column18]])</f>
        <v>0.26709401709401709</v>
      </c>
    </row>
    <row r="322" spans="1:56">
      <c r="A322" s="84" t="s">
        <v>396</v>
      </c>
      <c r="B322" s="84" t="s">
        <v>57</v>
      </c>
      <c r="C322" s="84"/>
      <c r="D322" s="85">
        <v>45566</v>
      </c>
      <c r="E322" s="85" t="s">
        <v>58</v>
      </c>
      <c r="F322" s="84">
        <f>INDEX(Definitions!$G$13:$G$17,MATCH(Table3[[#This Row],[Propensity to buy/ buyer readiness]],Definitions!$A$13:$A$17,0))</f>
        <v>150000</v>
      </c>
      <c r="G322" s="86">
        <v>4</v>
      </c>
      <c r="H322" s="86">
        <v>4</v>
      </c>
      <c r="I322" s="86">
        <v>4</v>
      </c>
      <c r="J322" s="86">
        <v>4</v>
      </c>
      <c r="K322" s="86">
        <v>4</v>
      </c>
      <c r="L322" s="86">
        <f>SUM(Table3[[#This Row],[Strategic priority segment]:[Propensity to buy/ buyer readiness]])</f>
        <v>20</v>
      </c>
      <c r="M322" s="86" t="s">
        <v>191</v>
      </c>
      <c r="N322" s="84" t="s">
        <v>76</v>
      </c>
      <c r="O322" s="84" t="s">
        <v>135</v>
      </c>
      <c r="P322" s="87"/>
      <c r="Q322" s="87"/>
      <c r="R322" s="84"/>
      <c r="S322" s="84"/>
      <c r="T322" s="87"/>
      <c r="U322" s="84">
        <v>0</v>
      </c>
      <c r="V322" s="84">
        <v>0</v>
      </c>
      <c r="W322" s="84">
        <v>0</v>
      </c>
      <c r="X322" s="84">
        <v>0</v>
      </c>
      <c r="Y322" s="84">
        <v>0</v>
      </c>
      <c r="Z322" s="84">
        <v>0</v>
      </c>
      <c r="AA322" s="84">
        <v>0</v>
      </c>
      <c r="AB322" s="84">
        <v>0</v>
      </c>
      <c r="AC322" s="84">
        <v>0</v>
      </c>
      <c r="AD322" s="84">
        <v>0</v>
      </c>
      <c r="AE322" s="84">
        <v>0</v>
      </c>
      <c r="AF322" s="84">
        <v>0</v>
      </c>
      <c r="AG322" s="84">
        <v>0</v>
      </c>
      <c r="AH322" s="84">
        <v>1</v>
      </c>
      <c r="AI322" s="84">
        <v>1</v>
      </c>
      <c r="AJ322" s="84">
        <v>1</v>
      </c>
      <c r="AK322" s="84">
        <v>1</v>
      </c>
      <c r="AL322" s="84" cm="1">
        <f t="array" ref="AL3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22" s="84" cm="1">
        <f t="array" ref="AM3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2" s="84" cm="1">
        <f t="array" ref="AN3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2" s="84" cm="1">
        <f t="array" ref="AO3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2" s="84" cm="1">
        <f t="array" ref="AP3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2" s="84" cm="1">
        <f t="array" ref="AQ3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2" s="84" cm="1">
        <f t="array" ref="AR3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2" s="84" cm="1">
        <f t="array" ref="AS3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2" s="84" cm="1">
        <f t="array" ref="AT3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2" s="84" cm="1">
        <f t="array" ref="AU3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22" s="84" cm="1">
        <f t="array" ref="AV3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2" s="84" cm="1">
        <f t="array" ref="AW3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2" s="84" cm="1">
        <f t="array" ref="AX3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2" s="84" cm="1">
        <f t="array" ref="AY3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22" s="84" cm="1">
        <f t="array" ref="AZ3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22" s="84" cm="1">
        <f t="array" ref="BA3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22" s="84" cm="1">
        <f t="array" ref="BB3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22" s="84">
        <f>IF(SUM(Table3[[#This Row],[Column2]:[Column18]])&gt;Table3[[#This Row],[Column19]],Table3[[#This Row],[Column19]],SUM(Table3[[#This Row],[Column2]:[Column18]]))</f>
        <v>64350</v>
      </c>
      <c r="BD322" s="2">
        <f>Table3[[#This Row],[Total Spend]]/SUM(Table3[[#This Row],[Column2]:[Column18]])</f>
        <v>1</v>
      </c>
    </row>
    <row r="323" spans="1:56">
      <c r="A323" s="84" t="s">
        <v>397</v>
      </c>
      <c r="B323" s="84"/>
      <c r="C323" s="84" t="s">
        <v>57</v>
      </c>
      <c r="D323" s="85">
        <v>45566</v>
      </c>
      <c r="E323" s="85" t="s">
        <v>92</v>
      </c>
      <c r="F323" s="84">
        <f>INDEX(Definitions!$G$13:$G$17,MATCH(Table3[[#This Row],[Propensity to buy/ buyer readiness]],Definitions!$A$13:$A$17,0))</f>
        <v>50000</v>
      </c>
      <c r="G323" s="86">
        <v>5</v>
      </c>
      <c r="H323" s="86">
        <v>5</v>
      </c>
      <c r="I323" s="86">
        <v>3</v>
      </c>
      <c r="J323" s="86">
        <v>4</v>
      </c>
      <c r="K323" s="86">
        <v>3</v>
      </c>
      <c r="L323" s="86">
        <f>SUM(Table3[[#This Row],[Strategic priority segment]:[Propensity to buy/ buyer readiness]])</f>
        <v>20</v>
      </c>
      <c r="M323" s="86" t="s">
        <v>102</v>
      </c>
      <c r="N323" s="84" t="s">
        <v>61</v>
      </c>
      <c r="O323" s="84"/>
      <c r="P323" s="87"/>
      <c r="Q323" s="87"/>
      <c r="R323" s="84"/>
      <c r="S323" s="87"/>
      <c r="T323" s="87"/>
      <c r="U323" s="84">
        <v>1</v>
      </c>
      <c r="V323" s="84">
        <v>0</v>
      </c>
      <c r="W323" s="84">
        <v>0</v>
      </c>
      <c r="X323" s="84">
        <v>0</v>
      </c>
      <c r="Y323" s="84">
        <v>0</v>
      </c>
      <c r="Z323" s="84">
        <v>1</v>
      </c>
      <c r="AA323" s="84">
        <v>1</v>
      </c>
      <c r="AB323" s="84">
        <v>1</v>
      </c>
      <c r="AC323" s="84">
        <v>1</v>
      </c>
      <c r="AD323" s="84">
        <v>0</v>
      </c>
      <c r="AE323" s="84">
        <v>0</v>
      </c>
      <c r="AF323" s="84">
        <v>0</v>
      </c>
      <c r="AG323" s="84">
        <v>0</v>
      </c>
      <c r="AH323" s="84">
        <v>0</v>
      </c>
      <c r="AI323" s="84">
        <v>0</v>
      </c>
      <c r="AJ323" s="84">
        <v>0</v>
      </c>
      <c r="AK323" s="84">
        <v>0</v>
      </c>
      <c r="AL323" s="84" cm="1">
        <f t="array" ref="AL3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23" s="84" cm="1">
        <f t="array" ref="AM3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3" s="84" cm="1">
        <f t="array" ref="AN3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3" s="84" cm="1">
        <f t="array" ref="AO3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3" s="84" cm="1">
        <f t="array" ref="AP3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3" s="84" cm="1">
        <f t="array" ref="AQ3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23" s="84" cm="1">
        <f t="array" ref="AR3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23" s="84" cm="1">
        <f t="array" ref="AS3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23" s="84" cm="1">
        <f t="array" ref="AT3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23" s="84" cm="1">
        <f t="array" ref="AU3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23" s="84" cm="1">
        <f t="array" ref="AV3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3" s="84" cm="1">
        <f t="array" ref="AW3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3" s="84" cm="1">
        <f t="array" ref="AX3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3" s="84" cm="1">
        <f t="array" ref="AY3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3" s="84" cm="1">
        <f t="array" ref="AZ3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3" s="84" cm="1">
        <f t="array" ref="BA3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3" s="84" cm="1">
        <f t="array" ref="BB3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3" s="84">
        <f>IF(SUM(Table3[[#This Row],[Column2]:[Column18]])&gt;Table3[[#This Row],[Column19]],Table3[[#This Row],[Column19]],SUM(Table3[[#This Row],[Column2]:[Column18]]))</f>
        <v>50000</v>
      </c>
      <c r="BD323" s="2">
        <f>Table3[[#This Row],[Total Spend]]/SUM(Table3[[#This Row],[Column2]:[Column18]])</f>
        <v>0.49164208456243852</v>
      </c>
    </row>
    <row r="324" spans="1:56">
      <c r="A324" s="88" t="s">
        <v>398</v>
      </c>
      <c r="B324" s="88"/>
      <c r="C324" s="88"/>
      <c r="D324" s="85">
        <v>45566</v>
      </c>
      <c r="E324" s="85" t="s">
        <v>58</v>
      </c>
      <c r="F324" s="84">
        <f>INDEX(Definitions!$G$13:$G$17,MATCH(Table3[[#This Row],[Propensity to buy/ buyer readiness]],Definitions!$A$13:$A$17,0))</f>
        <v>150000</v>
      </c>
      <c r="G324" s="86">
        <v>5</v>
      </c>
      <c r="H324" s="86">
        <v>5</v>
      </c>
      <c r="I324" s="86">
        <v>2</v>
      </c>
      <c r="J324" s="86">
        <v>4</v>
      </c>
      <c r="K324" s="86">
        <v>4</v>
      </c>
      <c r="L324" s="86">
        <f>SUM(Table3[[#This Row],[Strategic priority segment]:[Propensity to buy/ buyer readiness]])</f>
        <v>20</v>
      </c>
      <c r="M324" s="86" t="s">
        <v>102</v>
      </c>
      <c r="N324" s="84" t="s">
        <v>61</v>
      </c>
      <c r="O324" s="84"/>
      <c r="P324" s="87"/>
      <c r="Q324" s="87"/>
      <c r="R324" s="84"/>
      <c r="S324" s="87"/>
      <c r="T324" s="84"/>
      <c r="U324" s="84">
        <v>1</v>
      </c>
      <c r="V324" s="84">
        <v>0</v>
      </c>
      <c r="W324" s="84">
        <v>0</v>
      </c>
      <c r="X324" s="84">
        <v>0</v>
      </c>
      <c r="Y324" s="84">
        <v>0</v>
      </c>
      <c r="Z324" s="84">
        <v>1</v>
      </c>
      <c r="AA324" s="84">
        <v>1</v>
      </c>
      <c r="AB324" s="84">
        <v>1</v>
      </c>
      <c r="AC324" s="84">
        <v>1</v>
      </c>
      <c r="AD324" s="84">
        <v>0</v>
      </c>
      <c r="AE324" s="84">
        <v>0</v>
      </c>
      <c r="AF324" s="84">
        <v>0</v>
      </c>
      <c r="AG324" s="84">
        <v>0</v>
      </c>
      <c r="AH324" s="84">
        <v>0</v>
      </c>
      <c r="AI324" s="84">
        <v>0</v>
      </c>
      <c r="AJ324" s="84">
        <v>0</v>
      </c>
      <c r="AK324" s="84">
        <v>0</v>
      </c>
      <c r="AL324" s="84" cm="1">
        <f t="array" ref="AL3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24" s="84" cm="1">
        <f t="array" ref="AM3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4" s="84" cm="1">
        <f t="array" ref="AN3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4" s="84" cm="1">
        <f t="array" ref="AO3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4" s="84" cm="1">
        <f t="array" ref="AP3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4" s="84" cm="1">
        <f t="array" ref="AQ3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24" s="84" cm="1">
        <f t="array" ref="AR3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24" s="84" cm="1">
        <f t="array" ref="AS3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24" s="84" cm="1">
        <f t="array" ref="AT3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24" s="84" cm="1">
        <f t="array" ref="AU3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24" s="84" cm="1">
        <f t="array" ref="AV3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4" s="84" cm="1">
        <f t="array" ref="AW3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4" s="84" cm="1">
        <f t="array" ref="AX3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4" s="84" cm="1">
        <f t="array" ref="AY3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4" s="84" cm="1">
        <f t="array" ref="AZ3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4" s="84" cm="1">
        <f t="array" ref="BA3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4" s="84" cm="1">
        <f t="array" ref="BB3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4" s="84">
        <f>IF(SUM(Table3[[#This Row],[Column2]:[Column18]])&gt;Table3[[#This Row],[Column19]],Table3[[#This Row],[Column19]],SUM(Table3[[#This Row],[Column2]:[Column18]]))</f>
        <v>140400</v>
      </c>
      <c r="BD324" s="2">
        <f>Table3[[#This Row],[Total Spend]]/SUM(Table3[[#This Row],[Column2]:[Column18]])</f>
        <v>1</v>
      </c>
    </row>
    <row r="325" spans="1:56">
      <c r="A325" s="84" t="s">
        <v>399</v>
      </c>
      <c r="B325" s="84" t="s">
        <v>57</v>
      </c>
      <c r="C325" s="84"/>
      <c r="D325" s="85">
        <v>45566</v>
      </c>
      <c r="E325" s="85" t="s">
        <v>92</v>
      </c>
      <c r="F325" s="84">
        <f>INDEX(Definitions!$G$13:$G$17,MATCH(Table3[[#This Row],[Propensity to buy/ buyer readiness]],Definitions!$A$13:$A$17,0))</f>
        <v>50000</v>
      </c>
      <c r="G325" s="86">
        <v>5</v>
      </c>
      <c r="H325" s="86">
        <v>4</v>
      </c>
      <c r="I325" s="86">
        <v>4</v>
      </c>
      <c r="J325" s="86">
        <v>4</v>
      </c>
      <c r="K325" s="86">
        <v>3</v>
      </c>
      <c r="L325" s="86">
        <f>SUM(Table3[[#This Row],[Strategic priority segment]:[Propensity to buy/ buyer readiness]])</f>
        <v>20</v>
      </c>
      <c r="M325" s="86" t="s">
        <v>191</v>
      </c>
      <c r="N325" s="84" t="s">
        <v>76</v>
      </c>
      <c r="O325" s="84" t="s">
        <v>135</v>
      </c>
      <c r="P325" s="87"/>
      <c r="Q325" s="87"/>
      <c r="R325" s="84"/>
      <c r="S325" s="84"/>
      <c r="T325" s="87"/>
      <c r="U325" s="84">
        <v>0</v>
      </c>
      <c r="V325" s="84">
        <v>0</v>
      </c>
      <c r="W325" s="84">
        <v>0</v>
      </c>
      <c r="X325" s="84">
        <v>0</v>
      </c>
      <c r="Y325" s="84">
        <v>0</v>
      </c>
      <c r="Z325" s="84">
        <v>0</v>
      </c>
      <c r="AA325" s="84">
        <v>0</v>
      </c>
      <c r="AB325" s="84">
        <v>0</v>
      </c>
      <c r="AC325" s="84">
        <v>0</v>
      </c>
      <c r="AD325" s="84">
        <v>0</v>
      </c>
      <c r="AE325" s="84">
        <v>0</v>
      </c>
      <c r="AF325" s="84">
        <v>0</v>
      </c>
      <c r="AG325" s="84">
        <v>0</v>
      </c>
      <c r="AH325" s="84">
        <v>1</v>
      </c>
      <c r="AI325" s="84">
        <v>1</v>
      </c>
      <c r="AJ325" s="84">
        <v>1</v>
      </c>
      <c r="AK325" s="84">
        <v>1</v>
      </c>
      <c r="AL325" s="84" cm="1">
        <f t="array" ref="AL3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25" s="84" cm="1">
        <f t="array" ref="AM3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5" s="84" cm="1">
        <f t="array" ref="AN3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5" s="84" cm="1">
        <f t="array" ref="AO3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5" s="84" cm="1">
        <f t="array" ref="AP3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5" s="84" cm="1">
        <f t="array" ref="AQ3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5" s="84" cm="1">
        <f t="array" ref="AR3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5" s="84" cm="1">
        <f t="array" ref="AS3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5" s="84" cm="1">
        <f t="array" ref="AT3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5" s="84" cm="1">
        <f t="array" ref="AU3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25" s="84" cm="1">
        <f t="array" ref="AV3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5" s="84" cm="1">
        <f t="array" ref="AW3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5" s="84" cm="1">
        <f t="array" ref="AX3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5" s="84" cm="1">
        <f t="array" ref="AY3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25" s="84" cm="1">
        <f t="array" ref="AZ3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25" s="84" cm="1">
        <f t="array" ref="BA3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25" s="84" cm="1">
        <f t="array" ref="BB3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25" s="84">
        <f>IF(SUM(Table3[[#This Row],[Column2]:[Column18]])&gt;Table3[[#This Row],[Column19]],Table3[[#This Row],[Column19]],SUM(Table3[[#This Row],[Column2]:[Column18]]))</f>
        <v>46350</v>
      </c>
      <c r="BD325" s="2">
        <f>Table3[[#This Row],[Total Spend]]/SUM(Table3[[#This Row],[Column2]:[Column18]])</f>
        <v>1</v>
      </c>
    </row>
    <row r="326" spans="1:56">
      <c r="A326" s="84" t="s">
        <v>400</v>
      </c>
      <c r="B326" s="84" t="s">
        <v>57</v>
      </c>
      <c r="C326" s="84"/>
      <c r="D326" s="85">
        <v>45566</v>
      </c>
      <c r="E326" s="85" t="s">
        <v>92</v>
      </c>
      <c r="F326" s="84">
        <f>INDEX(Definitions!$G$13:$G$17,MATCH(Table3[[#This Row],[Propensity to buy/ buyer readiness]],Definitions!$A$13:$A$17,0))</f>
        <v>50000</v>
      </c>
      <c r="G326" s="86">
        <v>5</v>
      </c>
      <c r="H326" s="86">
        <v>4</v>
      </c>
      <c r="I326" s="86">
        <v>4</v>
      </c>
      <c r="J326" s="86">
        <v>4</v>
      </c>
      <c r="K326" s="86">
        <v>3</v>
      </c>
      <c r="L326" s="86">
        <f>SUM(Table3[[#This Row],[Strategic priority segment]:[Propensity to buy/ buyer readiness]])</f>
        <v>20</v>
      </c>
      <c r="M326" s="86" t="s">
        <v>191</v>
      </c>
      <c r="N326" s="84" t="s">
        <v>76</v>
      </c>
      <c r="O326" s="84" t="s">
        <v>135</v>
      </c>
      <c r="P326" s="87"/>
      <c r="Q326" s="87"/>
      <c r="R326" s="84"/>
      <c r="S326" s="84"/>
      <c r="T326" s="87"/>
      <c r="U326" s="84">
        <v>0</v>
      </c>
      <c r="V326" s="84">
        <v>0</v>
      </c>
      <c r="W326" s="84">
        <v>0</v>
      </c>
      <c r="X326" s="84">
        <v>0</v>
      </c>
      <c r="Y326" s="84">
        <v>0</v>
      </c>
      <c r="Z326" s="84">
        <v>0</v>
      </c>
      <c r="AA326" s="84">
        <v>0</v>
      </c>
      <c r="AB326" s="84">
        <v>0</v>
      </c>
      <c r="AC326" s="84">
        <v>0</v>
      </c>
      <c r="AD326" s="84">
        <v>0</v>
      </c>
      <c r="AE326" s="84">
        <v>0</v>
      </c>
      <c r="AF326" s="84">
        <v>0</v>
      </c>
      <c r="AG326" s="84">
        <v>0</v>
      </c>
      <c r="AH326" s="84">
        <v>1</v>
      </c>
      <c r="AI326" s="84">
        <v>1</v>
      </c>
      <c r="AJ326" s="84">
        <v>1</v>
      </c>
      <c r="AK326" s="84">
        <v>1</v>
      </c>
      <c r="AL326" s="84" cm="1">
        <f t="array" ref="AL3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26" s="84" cm="1">
        <f t="array" ref="AM3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6" s="84" cm="1">
        <f t="array" ref="AN3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6" s="84" cm="1">
        <f t="array" ref="AO3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6" s="84" cm="1">
        <f t="array" ref="AP3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6" s="84" cm="1">
        <f t="array" ref="AQ3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6" s="84" cm="1">
        <f t="array" ref="AR3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6" s="84" cm="1">
        <f t="array" ref="AS3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6" s="84" cm="1">
        <f t="array" ref="AT3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6" s="84" cm="1">
        <f t="array" ref="AU3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26" s="84" cm="1">
        <f t="array" ref="AV3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6" s="84" cm="1">
        <f t="array" ref="AW3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6" s="84" cm="1">
        <f t="array" ref="AX3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6" s="84" cm="1">
        <f t="array" ref="AY3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26" s="84" cm="1">
        <f t="array" ref="AZ3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26" s="84" cm="1">
        <f t="array" ref="BA3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26" s="84" cm="1">
        <f t="array" ref="BB3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26" s="84">
        <f>IF(SUM(Table3[[#This Row],[Column2]:[Column18]])&gt;Table3[[#This Row],[Column19]],Table3[[#This Row],[Column19]],SUM(Table3[[#This Row],[Column2]:[Column18]]))</f>
        <v>46350</v>
      </c>
      <c r="BD326" s="2">
        <f>Table3[[#This Row],[Total Spend]]/SUM(Table3[[#This Row],[Column2]:[Column18]])</f>
        <v>1</v>
      </c>
    </row>
    <row r="327" spans="1:56">
      <c r="A327" s="84" t="s">
        <v>401</v>
      </c>
      <c r="B327" s="84"/>
      <c r="C327" s="84"/>
      <c r="D327" s="85">
        <v>45566</v>
      </c>
      <c r="E327" s="85" t="s">
        <v>58</v>
      </c>
      <c r="F327" s="84">
        <f>INDEX(Definitions!$G$13:$G$17,MATCH(Table3[[#This Row],[Propensity to buy/ buyer readiness]],Definitions!$A$13:$A$17,0))</f>
        <v>150000</v>
      </c>
      <c r="G327" s="86">
        <v>5</v>
      </c>
      <c r="H327" s="86">
        <v>4</v>
      </c>
      <c r="I327" s="86">
        <v>3</v>
      </c>
      <c r="J327" s="86">
        <v>4</v>
      </c>
      <c r="K327" s="86">
        <v>4</v>
      </c>
      <c r="L327" s="86">
        <f>SUM(Table3[[#This Row],[Strategic priority segment]:[Propensity to buy/ buyer readiness]])</f>
        <v>20</v>
      </c>
      <c r="M327" s="86" t="s">
        <v>102</v>
      </c>
      <c r="N327" s="84" t="s">
        <v>122</v>
      </c>
      <c r="O327" s="84" t="s">
        <v>61</v>
      </c>
      <c r="P327" s="87"/>
      <c r="Q327" s="87"/>
      <c r="R327" s="84"/>
      <c r="S327" s="87"/>
      <c r="T327" s="87"/>
      <c r="U327" s="84">
        <v>1</v>
      </c>
      <c r="V327" s="84">
        <v>0</v>
      </c>
      <c r="W327" s="84">
        <v>0</v>
      </c>
      <c r="X327" s="84">
        <v>0</v>
      </c>
      <c r="Y327" s="84">
        <v>0</v>
      </c>
      <c r="Z327" s="84">
        <v>1</v>
      </c>
      <c r="AA327" s="84">
        <v>1</v>
      </c>
      <c r="AB327" s="84">
        <v>1</v>
      </c>
      <c r="AC327" s="84">
        <v>1</v>
      </c>
      <c r="AD327" s="84">
        <v>1</v>
      </c>
      <c r="AE327" s="84">
        <v>0</v>
      </c>
      <c r="AF327" s="84">
        <v>1</v>
      </c>
      <c r="AG327" s="84">
        <v>0</v>
      </c>
      <c r="AH327" s="84">
        <v>0</v>
      </c>
      <c r="AI327" s="84">
        <v>0</v>
      </c>
      <c r="AJ327" s="84">
        <v>0</v>
      </c>
      <c r="AK327" s="84">
        <v>0</v>
      </c>
      <c r="AL327" s="84" cm="1">
        <f t="array" ref="AL3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27" s="84" cm="1">
        <f t="array" ref="AM3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7" s="84" cm="1">
        <f t="array" ref="AN3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7" s="84" cm="1">
        <f t="array" ref="AO3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7" s="84" cm="1">
        <f t="array" ref="AP3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7" s="84" cm="1">
        <f t="array" ref="AQ3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27" s="84" cm="1">
        <f t="array" ref="AR3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27" s="84" cm="1">
        <f t="array" ref="AS3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27" s="84" cm="1">
        <f t="array" ref="AT3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27" s="84" cm="1">
        <f t="array" ref="AU3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27" s="84" cm="1">
        <f t="array" ref="AV3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7" s="84" cm="1">
        <f t="array" ref="AW3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27" s="84" cm="1">
        <f t="array" ref="AX3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7" s="84" cm="1">
        <f t="array" ref="AY3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7" s="84" cm="1">
        <f t="array" ref="AZ3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7" s="84" cm="1">
        <f t="array" ref="BA3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7" s="84" cm="1">
        <f t="array" ref="BB3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7" s="84">
        <f>IF(SUM(Table3[[#This Row],[Column2]:[Column18]])&gt;Table3[[#This Row],[Column19]],Table3[[#This Row],[Column19]],SUM(Table3[[#This Row],[Column2]:[Column18]]))</f>
        <v>150000</v>
      </c>
      <c r="BD327" s="2">
        <f>Table3[[#This Row],[Total Spend]]/SUM(Table3[[#This Row],[Column2]:[Column18]])</f>
        <v>0.70028011204481788</v>
      </c>
    </row>
    <row r="328" spans="1:56">
      <c r="A328" s="84" t="s">
        <v>402</v>
      </c>
      <c r="B328" s="84"/>
      <c r="C328" s="84"/>
      <c r="D328" s="85">
        <v>45566</v>
      </c>
      <c r="E328" s="85" t="s">
        <v>92</v>
      </c>
      <c r="F328" s="84">
        <f>INDEX(Definitions!$G$13:$G$17,MATCH(Table3[[#This Row],[Propensity to buy/ buyer readiness]],Definitions!$A$13:$A$17,0))</f>
        <v>50000</v>
      </c>
      <c r="G328" s="86">
        <v>5</v>
      </c>
      <c r="H328" s="86">
        <v>3</v>
      </c>
      <c r="I328" s="86">
        <v>4</v>
      </c>
      <c r="J328" s="86">
        <v>5</v>
      </c>
      <c r="K328" s="86">
        <v>3</v>
      </c>
      <c r="L328" s="86">
        <f>SUM(Table3[[#This Row],[Strategic priority segment]:[Propensity to buy/ buyer readiness]])</f>
        <v>20</v>
      </c>
      <c r="M328" s="86" t="s">
        <v>59</v>
      </c>
      <c r="N328" s="84" t="s">
        <v>60</v>
      </c>
      <c r="O328" s="87"/>
      <c r="P328" s="87"/>
      <c r="Q328" s="87"/>
      <c r="R328" s="84"/>
      <c r="S328" s="87"/>
      <c r="T328" s="87"/>
      <c r="U328" s="84">
        <v>1</v>
      </c>
      <c r="V328" s="84">
        <v>1</v>
      </c>
      <c r="W328" s="84">
        <v>1</v>
      </c>
      <c r="X328" s="84">
        <v>1</v>
      </c>
      <c r="Y328" s="84">
        <v>1</v>
      </c>
      <c r="Z328" s="84">
        <v>0</v>
      </c>
      <c r="AA328" s="84">
        <v>0</v>
      </c>
      <c r="AB328" s="84">
        <v>0</v>
      </c>
      <c r="AC328" s="84">
        <v>0</v>
      </c>
      <c r="AD328" s="84">
        <v>1</v>
      </c>
      <c r="AE328" s="84">
        <v>0</v>
      </c>
      <c r="AF328" s="84">
        <v>0</v>
      </c>
      <c r="AG328" s="84">
        <v>0</v>
      </c>
      <c r="AH328" s="84">
        <v>0</v>
      </c>
      <c r="AI328" s="84">
        <v>0</v>
      </c>
      <c r="AJ328" s="84">
        <v>0</v>
      </c>
      <c r="AK328" s="84">
        <v>0</v>
      </c>
      <c r="AL328" s="84" cm="1">
        <f t="array" ref="AL3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28" s="84" cm="1">
        <f t="array" ref="AM3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28" s="84" cm="1">
        <f t="array" ref="AN3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28" s="84" cm="1">
        <f t="array" ref="AO3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28" s="84" cm="1">
        <f t="array" ref="AP3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28" s="84" cm="1">
        <f t="array" ref="AQ3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8" s="84" cm="1">
        <f t="array" ref="AR3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8" s="84" cm="1">
        <f t="array" ref="AS3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8" s="84" cm="1">
        <f t="array" ref="AT3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8" s="84" cm="1">
        <f t="array" ref="AU3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28" s="84" cm="1">
        <f t="array" ref="AV3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8" s="84" cm="1">
        <f t="array" ref="AW3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8" s="84" cm="1">
        <f t="array" ref="AX3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8" s="84" cm="1">
        <f t="array" ref="AY3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8" s="84" cm="1">
        <f t="array" ref="AZ3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8" s="84" cm="1">
        <f t="array" ref="BA3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8" s="84" cm="1">
        <f t="array" ref="BB3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8" s="84">
        <f>IF(SUM(Table3[[#This Row],[Column2]:[Column18]])&gt;Table3[[#This Row],[Column19]],Table3[[#This Row],[Column19]],SUM(Table3[[#This Row],[Column2]:[Column18]]))</f>
        <v>50000</v>
      </c>
      <c r="BD328" s="2">
        <f>Table3[[#This Row],[Total Spend]]/SUM(Table3[[#This Row],[Column2]:[Column18]])</f>
        <v>0.26709401709401709</v>
      </c>
    </row>
    <row r="329" spans="1:56">
      <c r="A329" s="84" t="s">
        <v>403</v>
      </c>
      <c r="B329" s="84" t="s">
        <v>57</v>
      </c>
      <c r="C329" s="84"/>
      <c r="D329" s="85">
        <v>45566</v>
      </c>
      <c r="E329" s="85" t="s">
        <v>58</v>
      </c>
      <c r="F329" s="84">
        <f>INDEX(Definitions!$G$13:$G$17,MATCH(Table3[[#This Row],[Propensity to buy/ buyer readiness]],Definitions!$A$13:$A$17,0))</f>
        <v>150000</v>
      </c>
      <c r="G329" s="86">
        <v>4</v>
      </c>
      <c r="H329" s="86">
        <v>4</v>
      </c>
      <c r="I329" s="86">
        <v>4</v>
      </c>
      <c r="J329" s="86">
        <v>4</v>
      </c>
      <c r="K329" s="86">
        <v>4</v>
      </c>
      <c r="L329" s="86">
        <f>SUM(Table3[[#This Row],[Strategic priority segment]:[Propensity to buy/ buyer readiness]])</f>
        <v>20</v>
      </c>
      <c r="M329" s="86" t="s">
        <v>152</v>
      </c>
      <c r="N329" s="84" t="s">
        <v>153</v>
      </c>
      <c r="O329" s="84" t="s">
        <v>130</v>
      </c>
      <c r="P329" s="84"/>
      <c r="Q329" s="84"/>
      <c r="R329" s="84"/>
      <c r="S329" s="87"/>
      <c r="T329" s="87"/>
      <c r="U329" s="84">
        <v>1</v>
      </c>
      <c r="V329" s="84">
        <v>0</v>
      </c>
      <c r="W329" s="84">
        <v>0</v>
      </c>
      <c r="X329" s="84">
        <v>0</v>
      </c>
      <c r="Y329" s="84">
        <v>0</v>
      </c>
      <c r="Z329" s="84">
        <v>0</v>
      </c>
      <c r="AA329" s="84">
        <v>0</v>
      </c>
      <c r="AB329" s="84">
        <v>0</v>
      </c>
      <c r="AC329" s="84">
        <v>0</v>
      </c>
      <c r="AD329" s="84">
        <v>0</v>
      </c>
      <c r="AE329" s="84">
        <v>0</v>
      </c>
      <c r="AF329" s="84">
        <v>0</v>
      </c>
      <c r="AG329" s="84">
        <v>0</v>
      </c>
      <c r="AH329" s="84">
        <v>0</v>
      </c>
      <c r="AI329" s="84">
        <v>0</v>
      </c>
      <c r="AJ329" s="84">
        <v>0</v>
      </c>
      <c r="AK329" s="84">
        <v>0</v>
      </c>
      <c r="AL329" s="84" cm="1">
        <f t="array" ref="AL3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29" s="84" cm="1">
        <f t="array" ref="AM3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29" s="84" cm="1">
        <f t="array" ref="AN3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29" s="84" cm="1">
        <f t="array" ref="AO3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29" s="84" cm="1">
        <f t="array" ref="AP3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29" s="84" cm="1">
        <f t="array" ref="AQ3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29" s="84" cm="1">
        <f t="array" ref="AR3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29" s="84" cm="1">
        <f t="array" ref="AS3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29" s="84" cm="1">
        <f t="array" ref="AT3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29" s="84" cm="1">
        <f t="array" ref="AU3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29" s="84" cm="1">
        <f t="array" ref="AV3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29" s="84" cm="1">
        <f t="array" ref="AW3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29" s="84" cm="1">
        <f t="array" ref="AX3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29" s="84" cm="1">
        <f t="array" ref="AY3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29" s="84" cm="1">
        <f t="array" ref="AZ3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29" s="84" cm="1">
        <f t="array" ref="BA3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29" s="84" cm="1">
        <f t="array" ref="BB3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29" s="84">
        <f>IF(SUM(Table3[[#This Row],[Column2]:[Column18]])&gt;Table3[[#This Row],[Column19]],Table3[[#This Row],[Column19]],SUM(Table3[[#This Row],[Column2]:[Column18]]))</f>
        <v>10800</v>
      </c>
      <c r="BD329" s="2">
        <f>Table3[[#This Row],[Total Spend]]/SUM(Table3[[#This Row],[Column2]:[Column18]])</f>
        <v>1</v>
      </c>
    </row>
    <row r="330" spans="1:56">
      <c r="A330" s="84" t="s">
        <v>404</v>
      </c>
      <c r="B330" s="84"/>
      <c r="C330" s="84"/>
      <c r="D330" s="85">
        <v>45566</v>
      </c>
      <c r="E330" s="85" t="s">
        <v>92</v>
      </c>
      <c r="F330" s="84">
        <f>INDEX(Definitions!$G$13:$G$17,MATCH(Table3[[#This Row],[Propensity to buy/ buyer readiness]],Definitions!$A$13:$A$17,0))</f>
        <v>50000</v>
      </c>
      <c r="G330" s="86">
        <v>5</v>
      </c>
      <c r="H330" s="86">
        <v>3</v>
      </c>
      <c r="I330" s="86">
        <v>4</v>
      </c>
      <c r="J330" s="86">
        <v>5</v>
      </c>
      <c r="K330" s="86">
        <v>3</v>
      </c>
      <c r="L330" s="86">
        <f>SUM(Table3[[#This Row],[Strategic priority segment]:[Propensity to buy/ buyer readiness]])</f>
        <v>20</v>
      </c>
      <c r="M330" s="86" t="s">
        <v>59</v>
      </c>
      <c r="N330" s="84" t="s">
        <v>60</v>
      </c>
      <c r="O330" s="87"/>
      <c r="P330" s="87"/>
      <c r="Q330" s="87"/>
      <c r="R330" s="84"/>
      <c r="S330" s="87"/>
      <c r="T330" s="87"/>
      <c r="U330" s="84">
        <v>1</v>
      </c>
      <c r="V330" s="84">
        <v>1</v>
      </c>
      <c r="W330" s="84">
        <v>1</v>
      </c>
      <c r="X330" s="84">
        <v>1</v>
      </c>
      <c r="Y330" s="84">
        <v>1</v>
      </c>
      <c r="Z330" s="84">
        <v>0</v>
      </c>
      <c r="AA330" s="84">
        <v>0</v>
      </c>
      <c r="AB330" s="84">
        <v>0</v>
      </c>
      <c r="AC330" s="84">
        <v>0</v>
      </c>
      <c r="AD330" s="84">
        <v>1</v>
      </c>
      <c r="AE330" s="84">
        <v>0</v>
      </c>
      <c r="AF330" s="84">
        <v>0</v>
      </c>
      <c r="AG330" s="84">
        <v>0</v>
      </c>
      <c r="AH330" s="84">
        <v>0</v>
      </c>
      <c r="AI330" s="84">
        <v>0</v>
      </c>
      <c r="AJ330" s="84">
        <v>0</v>
      </c>
      <c r="AK330" s="84">
        <v>0</v>
      </c>
      <c r="AL330" s="84" cm="1">
        <f t="array" ref="AL3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0" s="84" cm="1">
        <f t="array" ref="AM3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30" s="84" cm="1">
        <f t="array" ref="AN3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30" s="84" cm="1">
        <f t="array" ref="AO3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30" s="84" cm="1">
        <f t="array" ref="AP3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30" s="84" cm="1">
        <f t="array" ref="AQ3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0" s="84" cm="1">
        <f t="array" ref="AR3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0" s="84" cm="1">
        <f t="array" ref="AS3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0" s="84" cm="1">
        <f t="array" ref="AT3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0" s="84" cm="1">
        <f t="array" ref="AU3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30" s="84" cm="1">
        <f t="array" ref="AV3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0" s="84" cm="1">
        <f t="array" ref="AW3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0" s="84" cm="1">
        <f t="array" ref="AX3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0" s="84" cm="1">
        <f t="array" ref="AY3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0" s="84" cm="1">
        <f t="array" ref="AZ3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0" s="84" cm="1">
        <f t="array" ref="BA3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0" s="84" cm="1">
        <f t="array" ref="BB3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0" s="84">
        <f>IF(SUM(Table3[[#This Row],[Column2]:[Column18]])&gt;Table3[[#This Row],[Column19]],Table3[[#This Row],[Column19]],SUM(Table3[[#This Row],[Column2]:[Column18]]))</f>
        <v>50000</v>
      </c>
      <c r="BD330" s="2">
        <f>Table3[[#This Row],[Total Spend]]/SUM(Table3[[#This Row],[Column2]:[Column18]])</f>
        <v>0.26709401709401709</v>
      </c>
    </row>
    <row r="331" spans="1:56">
      <c r="A331" s="84" t="s">
        <v>405</v>
      </c>
      <c r="B331" s="84"/>
      <c r="C331" s="84"/>
      <c r="D331" s="85">
        <v>45566</v>
      </c>
      <c r="E331" s="85" t="s">
        <v>92</v>
      </c>
      <c r="F331" s="84">
        <f>INDEX(Definitions!$G$13:$G$17,MATCH(Table3[[#This Row],[Propensity to buy/ buyer readiness]],Definitions!$A$13:$A$17,0))</f>
        <v>150000</v>
      </c>
      <c r="G331" s="86">
        <v>5</v>
      </c>
      <c r="H331" s="86">
        <v>4</v>
      </c>
      <c r="I331" s="86">
        <v>3</v>
      </c>
      <c r="J331" s="86">
        <v>4</v>
      </c>
      <c r="K331" s="86">
        <v>4</v>
      </c>
      <c r="L331" s="86">
        <f>SUM(Table3[[#This Row],[Strategic priority segment]:[Propensity to buy/ buyer readiness]])</f>
        <v>20</v>
      </c>
      <c r="M331" s="86" t="s">
        <v>66</v>
      </c>
      <c r="N331" s="84" t="s">
        <v>62</v>
      </c>
      <c r="O331" s="84"/>
      <c r="P331" s="87"/>
      <c r="Q331" s="87"/>
      <c r="R331" s="84"/>
      <c r="S331" s="87"/>
      <c r="T331" s="87"/>
      <c r="U331" s="84">
        <v>1</v>
      </c>
      <c r="V331" s="84">
        <v>0</v>
      </c>
      <c r="W331" s="84">
        <v>0</v>
      </c>
      <c r="X331" s="84">
        <v>0</v>
      </c>
      <c r="Y331" s="84">
        <v>0</v>
      </c>
      <c r="Z331" s="84">
        <v>0</v>
      </c>
      <c r="AA331" s="84">
        <v>0</v>
      </c>
      <c r="AB331" s="84">
        <v>0</v>
      </c>
      <c r="AC331" s="84">
        <v>0</v>
      </c>
      <c r="AD331" s="84">
        <v>1</v>
      </c>
      <c r="AE331" s="84">
        <v>1</v>
      </c>
      <c r="AF331" s="84">
        <v>1</v>
      </c>
      <c r="AG331" s="84">
        <v>1</v>
      </c>
      <c r="AH331" s="84">
        <v>0</v>
      </c>
      <c r="AI331" s="84">
        <v>0</v>
      </c>
      <c r="AJ331" s="84">
        <v>0</v>
      </c>
      <c r="AK331" s="84">
        <v>0</v>
      </c>
      <c r="AL331" s="84" cm="1">
        <f t="array" ref="AL3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1" s="84" cm="1">
        <f t="array" ref="AM3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31" s="84" cm="1">
        <f t="array" ref="AN3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31" s="84" cm="1">
        <f t="array" ref="AO3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31" s="84" cm="1">
        <f t="array" ref="AP3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31" s="84" cm="1">
        <f t="array" ref="AQ3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1" s="84" cm="1">
        <f t="array" ref="AR3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1" s="84" cm="1">
        <f t="array" ref="AS3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1" s="84" cm="1">
        <f t="array" ref="AT3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1" s="84" cm="1">
        <f t="array" ref="AU3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31" s="84" cm="1">
        <f t="array" ref="AV3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31" s="84" cm="1">
        <f t="array" ref="AW3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31" s="84" cm="1">
        <f t="array" ref="AX3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31" s="84" cm="1">
        <f t="array" ref="AY3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1" s="84" cm="1">
        <f t="array" ref="AZ3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1" s="84" cm="1">
        <f t="array" ref="BA3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1" s="84" cm="1">
        <f t="array" ref="BB3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1" s="84">
        <f>IF(SUM(Table3[[#This Row],[Column2]:[Column18]])&gt;Table3[[#This Row],[Column19]],Table3[[#This Row],[Column19]],SUM(Table3[[#This Row],[Column2]:[Column18]]))</f>
        <v>94050</v>
      </c>
      <c r="BD331" s="2">
        <f>Table3[[#This Row],[Total Spend]]/SUM(Table3[[#This Row],[Column2]:[Column18]])</f>
        <v>1</v>
      </c>
    </row>
    <row r="332" spans="1:56">
      <c r="A332" s="84" t="s">
        <v>406</v>
      </c>
      <c r="B332" s="84"/>
      <c r="C332" s="84"/>
      <c r="D332" s="85">
        <v>45566</v>
      </c>
      <c r="E332" s="85" t="s">
        <v>92</v>
      </c>
      <c r="F332" s="84">
        <f>INDEX(Definitions!$G$13:$G$17,MATCH(Table3[[#This Row],[Propensity to buy/ buyer readiness]],Definitions!$A$13:$A$17,0))</f>
        <v>150000</v>
      </c>
      <c r="G332" s="86">
        <v>5</v>
      </c>
      <c r="H332" s="86">
        <v>5</v>
      </c>
      <c r="I332" s="86">
        <v>2</v>
      </c>
      <c r="J332" s="86">
        <v>4</v>
      </c>
      <c r="K332" s="86">
        <v>4</v>
      </c>
      <c r="L332" s="86">
        <f>SUM(Table3[[#This Row],[Strategic priority segment]:[Propensity to buy/ buyer readiness]])</f>
        <v>20</v>
      </c>
      <c r="M332" s="86" t="s">
        <v>102</v>
      </c>
      <c r="N332" s="84" t="s">
        <v>61</v>
      </c>
      <c r="O332" s="87"/>
      <c r="P332" s="87"/>
      <c r="Q332" s="87"/>
      <c r="R332" s="87"/>
      <c r="S332" s="87"/>
      <c r="T332" s="87"/>
      <c r="U332" s="84">
        <v>1</v>
      </c>
      <c r="V332" s="84">
        <v>0</v>
      </c>
      <c r="W332" s="84">
        <v>0</v>
      </c>
      <c r="X332" s="84">
        <v>0</v>
      </c>
      <c r="Y332" s="84">
        <v>0</v>
      </c>
      <c r="Z332" s="84">
        <v>1</v>
      </c>
      <c r="AA332" s="84">
        <v>1</v>
      </c>
      <c r="AB332" s="84">
        <v>1</v>
      </c>
      <c r="AC332" s="84">
        <v>1</v>
      </c>
      <c r="AD332" s="84">
        <v>0</v>
      </c>
      <c r="AE332" s="84">
        <v>0</v>
      </c>
      <c r="AF332" s="84">
        <v>0</v>
      </c>
      <c r="AG332" s="84">
        <v>0</v>
      </c>
      <c r="AH332" s="84">
        <v>0</v>
      </c>
      <c r="AI332" s="84">
        <v>0</v>
      </c>
      <c r="AJ332" s="84">
        <v>0</v>
      </c>
      <c r="AK332" s="84">
        <v>0</v>
      </c>
      <c r="AL332" s="84" cm="1">
        <f t="array" ref="AL3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2" s="84" cm="1">
        <f t="array" ref="AM3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32" s="84" cm="1">
        <f t="array" ref="AN3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32" s="84" cm="1">
        <f t="array" ref="AO3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32" s="84" cm="1">
        <f t="array" ref="AP3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32" s="84" cm="1">
        <f t="array" ref="AQ3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32" s="84" cm="1">
        <f t="array" ref="AR3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32" s="84" cm="1">
        <f t="array" ref="AS3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32" s="84" cm="1">
        <f t="array" ref="AT3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32" s="84" cm="1">
        <f t="array" ref="AU3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32" s="84" cm="1">
        <f t="array" ref="AV3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2" s="84" cm="1">
        <f t="array" ref="AW3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2" s="84" cm="1">
        <f t="array" ref="AX3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2" s="84" cm="1">
        <f t="array" ref="AY3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2" s="84" cm="1">
        <f t="array" ref="AZ3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2" s="84" cm="1">
        <f t="array" ref="BA3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2" s="84" cm="1">
        <f t="array" ref="BB3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2" s="84">
        <f>IF(SUM(Table3[[#This Row],[Column2]:[Column18]])&gt;Table3[[#This Row],[Column19]],Table3[[#This Row],[Column19]],SUM(Table3[[#This Row],[Column2]:[Column18]]))</f>
        <v>101700</v>
      </c>
      <c r="BD332" s="2">
        <f>Table3[[#This Row],[Total Spend]]/SUM(Table3[[#This Row],[Column2]:[Column18]])</f>
        <v>1</v>
      </c>
    </row>
    <row r="333" spans="1:56">
      <c r="A333" s="84" t="s">
        <v>407</v>
      </c>
      <c r="B333" s="84"/>
      <c r="C333" s="84" t="s">
        <v>57</v>
      </c>
      <c r="D333" s="85">
        <v>45566</v>
      </c>
      <c r="E333" s="85" t="s">
        <v>92</v>
      </c>
      <c r="F333" s="84">
        <f>INDEX(Definitions!$G$13:$G$17,MATCH(Table3[[#This Row],[Propensity to buy/ buyer readiness]],Definitions!$A$13:$A$17,0))</f>
        <v>50000</v>
      </c>
      <c r="G333" s="86">
        <v>5</v>
      </c>
      <c r="H333" s="86">
        <v>5</v>
      </c>
      <c r="I333" s="86">
        <v>3</v>
      </c>
      <c r="J333" s="86">
        <v>4</v>
      </c>
      <c r="K333" s="86">
        <v>3</v>
      </c>
      <c r="L333" s="86">
        <f>SUM(Table3[[#This Row],[Strategic priority segment]:[Propensity to buy/ buyer readiness]])</f>
        <v>20</v>
      </c>
      <c r="M333" s="86" t="s">
        <v>102</v>
      </c>
      <c r="N333" s="84" t="s">
        <v>61</v>
      </c>
      <c r="O333" s="84"/>
      <c r="P333" s="87"/>
      <c r="Q333" s="87"/>
      <c r="R333" s="84"/>
      <c r="S333" s="87"/>
      <c r="T333" s="87"/>
      <c r="U333" s="84">
        <v>1</v>
      </c>
      <c r="V333" s="84">
        <v>0</v>
      </c>
      <c r="W333" s="84">
        <v>0</v>
      </c>
      <c r="X333" s="84">
        <v>0</v>
      </c>
      <c r="Y333" s="84">
        <v>0</v>
      </c>
      <c r="Z333" s="84">
        <v>1</v>
      </c>
      <c r="AA333" s="84">
        <v>1</v>
      </c>
      <c r="AB333" s="84">
        <v>1</v>
      </c>
      <c r="AC333" s="84">
        <v>1</v>
      </c>
      <c r="AD333" s="84">
        <v>0</v>
      </c>
      <c r="AE333" s="84">
        <v>0</v>
      </c>
      <c r="AF333" s="84">
        <v>0</v>
      </c>
      <c r="AG333" s="84">
        <v>0</v>
      </c>
      <c r="AH333" s="84">
        <v>0</v>
      </c>
      <c r="AI333" s="84">
        <v>0</v>
      </c>
      <c r="AJ333" s="84">
        <v>0</v>
      </c>
      <c r="AK333" s="84">
        <v>0</v>
      </c>
      <c r="AL333" s="84" cm="1">
        <f t="array" ref="AL3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3" s="84" cm="1">
        <f t="array" ref="AM3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33" s="84" cm="1">
        <f t="array" ref="AN3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33" s="84" cm="1">
        <f t="array" ref="AO3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33" s="84" cm="1">
        <f t="array" ref="AP3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33" s="84" cm="1">
        <f t="array" ref="AQ3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33" s="84" cm="1">
        <f t="array" ref="AR3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33" s="84" cm="1">
        <f t="array" ref="AS3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33" s="84" cm="1">
        <f t="array" ref="AT3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33" s="84" cm="1">
        <f t="array" ref="AU3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33" s="84" cm="1">
        <f t="array" ref="AV3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3" s="84" cm="1">
        <f t="array" ref="AW3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3" s="84" cm="1">
        <f t="array" ref="AX3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3" s="84" cm="1">
        <f t="array" ref="AY3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3" s="84" cm="1">
        <f t="array" ref="AZ3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3" s="84" cm="1">
        <f t="array" ref="BA3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3" s="84" cm="1">
        <f t="array" ref="BB3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3" s="84">
        <f>IF(SUM(Table3[[#This Row],[Column2]:[Column18]])&gt;Table3[[#This Row],[Column19]],Table3[[#This Row],[Column19]],SUM(Table3[[#This Row],[Column2]:[Column18]]))</f>
        <v>50000</v>
      </c>
      <c r="BD333" s="2">
        <f>Table3[[#This Row],[Total Spend]]/SUM(Table3[[#This Row],[Column2]:[Column18]])</f>
        <v>0.49164208456243852</v>
      </c>
    </row>
    <row r="334" spans="1:56">
      <c r="A334" s="84" t="s">
        <v>408</v>
      </c>
      <c r="B334" s="84" t="s">
        <v>57</v>
      </c>
      <c r="C334" s="84" t="s">
        <v>57</v>
      </c>
      <c r="D334" s="85">
        <v>45566</v>
      </c>
      <c r="E334" s="85" t="s">
        <v>58</v>
      </c>
      <c r="F334" s="84">
        <f>INDEX(Definitions!$G$13:$G$17,MATCH(Table3[[#This Row],[Propensity to buy/ buyer readiness]],Definitions!$A$13:$A$17,0))</f>
        <v>150000</v>
      </c>
      <c r="G334" s="86">
        <v>4</v>
      </c>
      <c r="H334" s="86">
        <v>4</v>
      </c>
      <c r="I334" s="86">
        <v>4</v>
      </c>
      <c r="J334" s="86">
        <v>4</v>
      </c>
      <c r="K334" s="86">
        <v>4</v>
      </c>
      <c r="L334" s="86">
        <f>SUM(Table3[[#This Row],[Strategic priority segment]:[Propensity to buy/ buyer readiness]])</f>
        <v>20</v>
      </c>
      <c r="M334" s="86" t="s">
        <v>152</v>
      </c>
      <c r="N334" s="84" t="s">
        <v>153</v>
      </c>
      <c r="O334" s="84"/>
      <c r="P334" s="87"/>
      <c r="Q334" s="87"/>
      <c r="R334" s="84"/>
      <c r="S334" s="84"/>
      <c r="T334" s="84"/>
      <c r="U334" s="84">
        <v>1</v>
      </c>
      <c r="V334" s="84">
        <v>0</v>
      </c>
      <c r="W334" s="84">
        <v>0</v>
      </c>
      <c r="X334" s="84">
        <v>0</v>
      </c>
      <c r="Y334" s="84">
        <v>0</v>
      </c>
      <c r="Z334" s="84">
        <v>0</v>
      </c>
      <c r="AA334" s="84">
        <v>0</v>
      </c>
      <c r="AB334" s="84">
        <v>0</v>
      </c>
      <c r="AC334" s="84">
        <v>0</v>
      </c>
      <c r="AD334" s="84">
        <v>0</v>
      </c>
      <c r="AE334" s="84">
        <v>0</v>
      </c>
      <c r="AF334" s="84">
        <v>0</v>
      </c>
      <c r="AG334" s="84">
        <v>0</v>
      </c>
      <c r="AH334" s="84">
        <v>0</v>
      </c>
      <c r="AI334" s="84">
        <v>0</v>
      </c>
      <c r="AJ334" s="84">
        <v>0</v>
      </c>
      <c r="AK334" s="84">
        <v>0</v>
      </c>
      <c r="AL334" s="84" cm="1">
        <f t="array" ref="AL3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34" s="84" cm="1">
        <f t="array" ref="AM3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34" s="84" cm="1">
        <f t="array" ref="AN3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34" s="84" cm="1">
        <f t="array" ref="AO3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34" s="84" cm="1">
        <f t="array" ref="AP3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34" s="84" cm="1">
        <f t="array" ref="AQ3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4" s="84" cm="1">
        <f t="array" ref="AR3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4" s="84" cm="1">
        <f t="array" ref="AS3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4" s="84" cm="1">
        <f t="array" ref="AT3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4" s="84" cm="1">
        <f t="array" ref="AU3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34" s="84" cm="1">
        <f t="array" ref="AV3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4" s="84" cm="1">
        <f t="array" ref="AW3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4" s="84" cm="1">
        <f t="array" ref="AX3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4" s="84" cm="1">
        <f t="array" ref="AY3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4" s="84" cm="1">
        <f t="array" ref="AZ3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4" s="84" cm="1">
        <f t="array" ref="BA3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4" s="84" cm="1">
        <f t="array" ref="BB3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4" s="84">
        <f>IF(SUM(Table3[[#This Row],[Column2]:[Column18]])&gt;Table3[[#This Row],[Column19]],Table3[[#This Row],[Column19]],SUM(Table3[[#This Row],[Column2]:[Column18]]))</f>
        <v>10800</v>
      </c>
      <c r="BD334" s="2">
        <f>Table3[[#This Row],[Total Spend]]/SUM(Table3[[#This Row],[Column2]:[Column18]])</f>
        <v>1</v>
      </c>
    </row>
    <row r="335" spans="1:56">
      <c r="A335" s="84" t="s">
        <v>409</v>
      </c>
      <c r="B335" s="84" t="s">
        <v>57</v>
      </c>
      <c r="C335" s="84"/>
      <c r="D335" s="85">
        <v>45566</v>
      </c>
      <c r="E335" s="85" t="s">
        <v>58</v>
      </c>
      <c r="F335" s="84">
        <f>INDEX(Definitions!$G$13:$G$17,MATCH(Table3[[#This Row],[Propensity to buy/ buyer readiness]],Definitions!$A$13:$A$17,0))</f>
        <v>150000</v>
      </c>
      <c r="G335" s="86">
        <v>4</v>
      </c>
      <c r="H335" s="86">
        <v>4</v>
      </c>
      <c r="I335" s="86">
        <v>4</v>
      </c>
      <c r="J335" s="86">
        <v>4</v>
      </c>
      <c r="K335" s="86">
        <v>4</v>
      </c>
      <c r="L335" s="86">
        <f>SUM(Table3[[#This Row],[Strategic priority segment]:[Propensity to buy/ buyer readiness]])</f>
        <v>20</v>
      </c>
      <c r="M335" s="86" t="s">
        <v>191</v>
      </c>
      <c r="N335" s="84" t="s">
        <v>76</v>
      </c>
      <c r="O335" s="84"/>
      <c r="P335" s="87"/>
      <c r="Q335" s="87"/>
      <c r="R335" s="84"/>
      <c r="S335" s="84"/>
      <c r="T335" s="87"/>
      <c r="U335" s="84">
        <v>0</v>
      </c>
      <c r="V335" s="84">
        <v>0</v>
      </c>
      <c r="W335" s="84">
        <v>0</v>
      </c>
      <c r="X335" s="84">
        <v>0</v>
      </c>
      <c r="Y335" s="84">
        <v>0</v>
      </c>
      <c r="Z335" s="84">
        <v>0</v>
      </c>
      <c r="AA335" s="84">
        <v>0</v>
      </c>
      <c r="AB335" s="84">
        <v>0</v>
      </c>
      <c r="AC335" s="84">
        <v>0</v>
      </c>
      <c r="AD335" s="84">
        <v>0</v>
      </c>
      <c r="AE335" s="84">
        <v>0</v>
      </c>
      <c r="AF335" s="84">
        <v>0</v>
      </c>
      <c r="AG335" s="84">
        <v>0</v>
      </c>
      <c r="AH335" s="84">
        <v>1</v>
      </c>
      <c r="AI335" s="84">
        <v>0</v>
      </c>
      <c r="AJ335" s="84">
        <v>1</v>
      </c>
      <c r="AK335" s="84">
        <v>0</v>
      </c>
      <c r="AL335" s="84" cm="1">
        <f t="array" ref="AL3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35" s="84" cm="1">
        <f t="array" ref="AM3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35" s="84" cm="1">
        <f t="array" ref="AN3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35" s="84" cm="1">
        <f t="array" ref="AO3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35" s="84" cm="1">
        <f t="array" ref="AP3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35" s="84" cm="1">
        <f t="array" ref="AQ3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5" s="84" cm="1">
        <f t="array" ref="AR3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5" s="84" cm="1">
        <f t="array" ref="AS3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5" s="84" cm="1">
        <f t="array" ref="AT3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5" s="84" cm="1">
        <f t="array" ref="AU3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35" s="84" cm="1">
        <f t="array" ref="AV3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5" s="84" cm="1">
        <f t="array" ref="AW3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5" s="84" cm="1">
        <f t="array" ref="AX3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5" s="84" cm="1">
        <f t="array" ref="AY3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35" s="84" cm="1">
        <f t="array" ref="AZ3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5" s="84" cm="1">
        <f t="array" ref="BA3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35" s="84" cm="1">
        <f t="array" ref="BB3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5" s="84">
        <f>IF(SUM(Table3[[#This Row],[Column2]:[Column18]])&gt;Table3[[#This Row],[Column19]],Table3[[#This Row],[Column19]],SUM(Table3[[#This Row],[Column2]:[Column18]]))</f>
        <v>42300</v>
      </c>
      <c r="BD335" s="2">
        <f>Table3[[#This Row],[Total Spend]]/SUM(Table3[[#This Row],[Column2]:[Column18]])</f>
        <v>1</v>
      </c>
    </row>
    <row r="336" spans="1:56">
      <c r="A336" s="84" t="s">
        <v>410</v>
      </c>
      <c r="B336" s="84"/>
      <c r="C336" s="84" t="s">
        <v>57</v>
      </c>
      <c r="D336" s="85">
        <v>45809</v>
      </c>
      <c r="E336" s="85" t="s">
        <v>92</v>
      </c>
      <c r="F336" s="84">
        <f>INDEX(Definitions!$G$13:$G$17,MATCH(Table3[[#This Row],[Propensity to buy/ buyer readiness]],Definitions!$A$13:$A$17,0))</f>
        <v>50000</v>
      </c>
      <c r="G336" s="86">
        <v>5</v>
      </c>
      <c r="H336" s="86">
        <v>3</v>
      </c>
      <c r="I336" s="86">
        <v>4</v>
      </c>
      <c r="J336" s="86">
        <v>5</v>
      </c>
      <c r="K336" s="86">
        <v>3</v>
      </c>
      <c r="L336" s="86">
        <f>SUM(Table3[[#This Row],[Strategic priority segment]:[Propensity to buy/ buyer readiness]])</f>
        <v>20</v>
      </c>
      <c r="M336" s="86" t="s">
        <v>59</v>
      </c>
      <c r="N336" s="84" t="s">
        <v>60</v>
      </c>
      <c r="O336" s="84"/>
      <c r="P336" s="84"/>
      <c r="Q336" s="84"/>
      <c r="R336" s="84"/>
      <c r="S336" s="84"/>
      <c r="T336" s="87"/>
      <c r="U336" s="84">
        <v>1</v>
      </c>
      <c r="V336" s="84">
        <v>1</v>
      </c>
      <c r="W336" s="84">
        <v>1</v>
      </c>
      <c r="X336" s="84">
        <v>1</v>
      </c>
      <c r="Y336" s="84">
        <v>1</v>
      </c>
      <c r="Z336" s="84">
        <v>0</v>
      </c>
      <c r="AA336" s="84">
        <v>0</v>
      </c>
      <c r="AB336" s="84">
        <v>0</v>
      </c>
      <c r="AC336" s="84">
        <v>0</v>
      </c>
      <c r="AD336" s="84">
        <v>1</v>
      </c>
      <c r="AE336" s="84">
        <v>0</v>
      </c>
      <c r="AF336" s="84">
        <v>0</v>
      </c>
      <c r="AG336" s="84">
        <v>0</v>
      </c>
      <c r="AH336" s="84">
        <v>0</v>
      </c>
      <c r="AI336" s="84">
        <v>0</v>
      </c>
      <c r="AJ336" s="84">
        <v>0</v>
      </c>
      <c r="AK336" s="84">
        <v>0</v>
      </c>
      <c r="AL336" s="84" cm="1">
        <f t="array" ref="AL3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6" s="84" cm="1">
        <f t="array" ref="AM3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36" s="84" cm="1">
        <f t="array" ref="AN3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36" s="84" cm="1">
        <f t="array" ref="AO3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36" s="84" cm="1">
        <f t="array" ref="AP3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36" s="84" cm="1">
        <f t="array" ref="AQ3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6" s="84" cm="1">
        <f t="array" ref="AR3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6" s="84" cm="1">
        <f t="array" ref="AS3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6" s="84" cm="1">
        <f t="array" ref="AT3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6" s="84" cm="1">
        <f t="array" ref="AU3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36" s="84" cm="1">
        <f t="array" ref="AV3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6" s="84" cm="1">
        <f t="array" ref="AW3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6" s="84" cm="1">
        <f t="array" ref="AX3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6" s="84" cm="1">
        <f t="array" ref="AY3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6" s="84" cm="1">
        <f t="array" ref="AZ3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6" s="84" cm="1">
        <f t="array" ref="BA3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6" s="84" cm="1">
        <f t="array" ref="BB3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6" s="84">
        <f>IF(SUM(Table3[[#This Row],[Column2]:[Column18]])&gt;Table3[[#This Row],[Column19]],Table3[[#This Row],[Column19]],SUM(Table3[[#This Row],[Column2]:[Column18]]))</f>
        <v>50000</v>
      </c>
      <c r="BD336" s="2">
        <f>Table3[[#This Row],[Total Spend]]/SUM(Table3[[#This Row],[Column2]:[Column18]])</f>
        <v>0.26709401709401709</v>
      </c>
    </row>
    <row r="337" spans="1:56">
      <c r="A337" s="84" t="s">
        <v>411</v>
      </c>
      <c r="B337" s="84"/>
      <c r="C337" s="84"/>
      <c r="D337" s="85">
        <v>45566</v>
      </c>
      <c r="E337" s="85" t="s">
        <v>92</v>
      </c>
      <c r="F337" s="84">
        <f>INDEX(Definitions!$G$13:$G$17,MATCH(Table3[[#This Row],[Propensity to buy/ buyer readiness]],Definitions!$A$13:$A$17,0))</f>
        <v>50000</v>
      </c>
      <c r="G337" s="86">
        <v>5</v>
      </c>
      <c r="H337" s="86">
        <v>3</v>
      </c>
      <c r="I337" s="86">
        <v>4</v>
      </c>
      <c r="J337" s="86">
        <v>5</v>
      </c>
      <c r="K337" s="86">
        <v>3</v>
      </c>
      <c r="L337" s="86">
        <f>SUM(Table3[[#This Row],[Strategic priority segment]:[Propensity to buy/ buyer readiness]])</f>
        <v>20</v>
      </c>
      <c r="M337" s="86" t="s">
        <v>59</v>
      </c>
      <c r="N337" s="84" t="s">
        <v>60</v>
      </c>
      <c r="O337" s="87"/>
      <c r="P337" s="87"/>
      <c r="Q337" s="87"/>
      <c r="R337" s="84"/>
      <c r="S337" s="87"/>
      <c r="T337" s="87"/>
      <c r="U337" s="84">
        <v>1</v>
      </c>
      <c r="V337" s="84">
        <v>1</v>
      </c>
      <c r="W337" s="84">
        <v>1</v>
      </c>
      <c r="X337" s="84">
        <v>1</v>
      </c>
      <c r="Y337" s="84">
        <v>1</v>
      </c>
      <c r="Z337" s="84">
        <v>0</v>
      </c>
      <c r="AA337" s="84">
        <v>0</v>
      </c>
      <c r="AB337" s="84">
        <v>0</v>
      </c>
      <c r="AC337" s="84">
        <v>0</v>
      </c>
      <c r="AD337" s="84">
        <v>1</v>
      </c>
      <c r="AE337" s="84">
        <v>0</v>
      </c>
      <c r="AF337" s="84">
        <v>0</v>
      </c>
      <c r="AG337" s="84">
        <v>0</v>
      </c>
      <c r="AH337" s="84">
        <v>0</v>
      </c>
      <c r="AI337" s="84">
        <v>0</v>
      </c>
      <c r="AJ337" s="84">
        <v>0</v>
      </c>
      <c r="AK337" s="84">
        <v>0</v>
      </c>
      <c r="AL337" s="84" cm="1">
        <f t="array" ref="AL3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7" s="84" cm="1">
        <f t="array" ref="AM3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37" s="84" cm="1">
        <f t="array" ref="AN3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37" s="84" cm="1">
        <f t="array" ref="AO3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37" s="84" cm="1">
        <f t="array" ref="AP3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37" s="84" cm="1">
        <f t="array" ref="AQ3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7" s="84" cm="1">
        <f t="array" ref="AR3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7" s="84" cm="1">
        <f t="array" ref="AS3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7" s="84" cm="1">
        <f t="array" ref="AT3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7" s="84" cm="1">
        <f t="array" ref="AU3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37" s="84" cm="1">
        <f t="array" ref="AV3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7" s="84" cm="1">
        <f t="array" ref="AW3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7" s="84" cm="1">
        <f t="array" ref="AX3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7" s="84" cm="1">
        <f t="array" ref="AY3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7" s="84" cm="1">
        <f t="array" ref="AZ3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7" s="84" cm="1">
        <f t="array" ref="BA3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7" s="84" cm="1">
        <f t="array" ref="BB3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7" s="84">
        <f>IF(SUM(Table3[[#This Row],[Column2]:[Column18]])&gt;Table3[[#This Row],[Column19]],Table3[[#This Row],[Column19]],SUM(Table3[[#This Row],[Column2]:[Column18]]))</f>
        <v>50000</v>
      </c>
      <c r="BD337" s="2">
        <f>Table3[[#This Row],[Total Spend]]/SUM(Table3[[#This Row],[Column2]:[Column18]])</f>
        <v>0.26709401709401709</v>
      </c>
    </row>
    <row r="338" spans="1:56">
      <c r="A338" s="84" t="s">
        <v>412</v>
      </c>
      <c r="B338" s="84"/>
      <c r="C338" s="84" t="s">
        <v>57</v>
      </c>
      <c r="D338" s="85">
        <v>45566</v>
      </c>
      <c r="E338" s="85" t="s">
        <v>58</v>
      </c>
      <c r="F338" s="84">
        <f>INDEX(Definitions!$G$13:$G$17,MATCH(Table3[[#This Row],[Propensity to buy/ buyer readiness]],Definitions!$A$13:$A$17,0))</f>
        <v>150000</v>
      </c>
      <c r="G338" s="86">
        <v>5</v>
      </c>
      <c r="H338" s="86">
        <v>4</v>
      </c>
      <c r="I338" s="86">
        <v>4</v>
      </c>
      <c r="J338" s="86">
        <v>3</v>
      </c>
      <c r="K338" s="86">
        <v>4</v>
      </c>
      <c r="L338" s="86">
        <f>SUM(Table3[[#This Row],[Strategic priority segment]:[Propensity to buy/ buyer readiness]])</f>
        <v>20</v>
      </c>
      <c r="M338" s="86" t="s">
        <v>152</v>
      </c>
      <c r="N338" s="84" t="s">
        <v>122</v>
      </c>
      <c r="O338" s="84"/>
      <c r="P338" s="87"/>
      <c r="Q338" s="87"/>
      <c r="R338" s="84"/>
      <c r="S338" s="87"/>
      <c r="T338" s="87"/>
      <c r="U338" s="84">
        <v>1</v>
      </c>
      <c r="V338" s="84">
        <v>0</v>
      </c>
      <c r="W338" s="84">
        <v>0</v>
      </c>
      <c r="X338" s="84">
        <v>0</v>
      </c>
      <c r="Y338" s="84">
        <v>0</v>
      </c>
      <c r="Z338" s="84">
        <v>1</v>
      </c>
      <c r="AA338" s="84">
        <v>0</v>
      </c>
      <c r="AB338" s="84">
        <v>1</v>
      </c>
      <c r="AC338" s="84">
        <v>0</v>
      </c>
      <c r="AD338" s="84">
        <v>1</v>
      </c>
      <c r="AE338" s="84">
        <v>0</v>
      </c>
      <c r="AF338" s="84">
        <v>1</v>
      </c>
      <c r="AG338" s="84">
        <v>0</v>
      </c>
      <c r="AH338" s="84">
        <v>0</v>
      </c>
      <c r="AI338" s="84">
        <v>0</v>
      </c>
      <c r="AJ338" s="84">
        <v>0</v>
      </c>
      <c r="AK338" s="84">
        <v>0</v>
      </c>
      <c r="AL338" s="84" cm="1">
        <f t="array" ref="AL3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38" s="84" cm="1">
        <f t="array" ref="AM3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38" s="84" cm="1">
        <f t="array" ref="AN3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38" s="84" cm="1">
        <f t="array" ref="AO3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38" s="84" cm="1">
        <f t="array" ref="AP3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38" s="84" cm="1">
        <f t="array" ref="AQ3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38" s="84" cm="1">
        <f t="array" ref="AR3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8" s="84" cm="1">
        <f t="array" ref="AS3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38" s="84" cm="1">
        <f t="array" ref="AT3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8" s="84" cm="1">
        <f t="array" ref="AU3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38" s="84" cm="1">
        <f t="array" ref="AV3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8" s="84" cm="1">
        <f t="array" ref="AW3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38" s="84" cm="1">
        <f t="array" ref="AX3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8" s="84" cm="1">
        <f t="array" ref="AY3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8" s="84" cm="1">
        <f t="array" ref="AZ3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8" s="84" cm="1">
        <f t="array" ref="BA3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8" s="84" cm="1">
        <f t="array" ref="BB3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8" s="84">
        <f>IF(SUM(Table3[[#This Row],[Column2]:[Column18]])&gt;Table3[[#This Row],[Column19]],Table3[[#This Row],[Column19]],SUM(Table3[[#This Row],[Column2]:[Column18]]))</f>
        <v>150000</v>
      </c>
      <c r="BD338" s="2">
        <f>Table3[[#This Row],[Total Spend]]/SUM(Table3[[#This Row],[Column2]:[Column18]])</f>
        <v>0.89605734767025091</v>
      </c>
    </row>
    <row r="339" spans="1:56">
      <c r="A339" s="84" t="s">
        <v>413</v>
      </c>
      <c r="B339" s="84"/>
      <c r="C339" s="84"/>
      <c r="D339" s="85">
        <v>45566</v>
      </c>
      <c r="E339" s="85" t="s">
        <v>92</v>
      </c>
      <c r="F339" s="84">
        <f>INDEX(Definitions!$G$13:$G$17,MATCH(Table3[[#This Row],[Propensity to buy/ buyer readiness]],Definitions!$A$13:$A$17,0))</f>
        <v>50000</v>
      </c>
      <c r="G339" s="86">
        <v>5</v>
      </c>
      <c r="H339" s="86">
        <v>3</v>
      </c>
      <c r="I339" s="86">
        <v>4</v>
      </c>
      <c r="J339" s="86">
        <v>5</v>
      </c>
      <c r="K339" s="86">
        <v>3</v>
      </c>
      <c r="L339" s="86">
        <f>SUM(Table3[[#This Row],[Strategic priority segment]:[Propensity to buy/ buyer readiness]])</f>
        <v>20</v>
      </c>
      <c r="M339" s="86" t="s">
        <v>59</v>
      </c>
      <c r="N339" s="84" t="s">
        <v>60</v>
      </c>
      <c r="O339" s="87"/>
      <c r="P339" s="87"/>
      <c r="Q339" s="87"/>
      <c r="R339" s="84"/>
      <c r="S339" s="87"/>
      <c r="T339" s="87"/>
      <c r="U339" s="84">
        <v>1</v>
      </c>
      <c r="V339" s="84">
        <v>1</v>
      </c>
      <c r="W339" s="84">
        <v>1</v>
      </c>
      <c r="X339" s="84">
        <v>1</v>
      </c>
      <c r="Y339" s="84">
        <v>1</v>
      </c>
      <c r="Z339" s="84">
        <v>0</v>
      </c>
      <c r="AA339" s="84">
        <v>0</v>
      </c>
      <c r="AB339" s="84">
        <v>0</v>
      </c>
      <c r="AC339" s="84">
        <v>0</v>
      </c>
      <c r="AD339" s="84">
        <v>1</v>
      </c>
      <c r="AE339" s="84">
        <v>0</v>
      </c>
      <c r="AF339" s="84">
        <v>0</v>
      </c>
      <c r="AG339" s="84">
        <v>0</v>
      </c>
      <c r="AH339" s="84">
        <v>0</v>
      </c>
      <c r="AI339" s="84">
        <v>0</v>
      </c>
      <c r="AJ339" s="84">
        <v>0</v>
      </c>
      <c r="AK339" s="84">
        <v>0</v>
      </c>
      <c r="AL339" s="84" cm="1">
        <f t="array" ref="AL3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39" s="84" cm="1">
        <f t="array" ref="AM3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39" s="84" cm="1">
        <f t="array" ref="AN3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39" s="84" cm="1">
        <f t="array" ref="AO3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39" s="84" cm="1">
        <f t="array" ref="AP3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39" s="84" cm="1">
        <f t="array" ref="AQ3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39" s="84" cm="1">
        <f t="array" ref="AR3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39" s="84" cm="1">
        <f t="array" ref="AS3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39" s="84" cm="1">
        <f t="array" ref="AT3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39" s="84" cm="1">
        <f t="array" ref="AU3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39" s="84" cm="1">
        <f t="array" ref="AV3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39" s="84" cm="1">
        <f t="array" ref="AW3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39" s="84" cm="1">
        <f t="array" ref="AX3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39" s="84" cm="1">
        <f t="array" ref="AY3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39" s="84" cm="1">
        <f t="array" ref="AZ3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39" s="84" cm="1">
        <f t="array" ref="BA3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39" s="84" cm="1">
        <f t="array" ref="BB3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39" s="84">
        <f>IF(SUM(Table3[[#This Row],[Column2]:[Column18]])&gt;Table3[[#This Row],[Column19]],Table3[[#This Row],[Column19]],SUM(Table3[[#This Row],[Column2]:[Column18]]))</f>
        <v>50000</v>
      </c>
      <c r="BD339" s="2">
        <f>Table3[[#This Row],[Total Spend]]/SUM(Table3[[#This Row],[Column2]:[Column18]])</f>
        <v>0.26709401709401709</v>
      </c>
    </row>
    <row r="340" spans="1:56">
      <c r="A340" s="84" t="s">
        <v>414</v>
      </c>
      <c r="B340" s="84"/>
      <c r="C340" s="84"/>
      <c r="D340" s="85">
        <v>45566</v>
      </c>
      <c r="E340" s="85" t="s">
        <v>92</v>
      </c>
      <c r="F340" s="84">
        <f>INDEX(Definitions!$G$13:$G$17,MATCH(Table3[[#This Row],[Propensity to buy/ buyer readiness]],Definitions!$A$13:$A$17,0))</f>
        <v>50000</v>
      </c>
      <c r="G340" s="86">
        <v>5</v>
      </c>
      <c r="H340" s="86">
        <v>3</v>
      </c>
      <c r="I340" s="86">
        <v>4</v>
      </c>
      <c r="J340" s="86">
        <v>5</v>
      </c>
      <c r="K340" s="86">
        <v>3</v>
      </c>
      <c r="L340" s="86">
        <f>SUM(Table3[[#This Row],[Strategic priority segment]:[Propensity to buy/ buyer readiness]])</f>
        <v>20</v>
      </c>
      <c r="M340" s="86" t="s">
        <v>59</v>
      </c>
      <c r="N340" s="84" t="s">
        <v>60</v>
      </c>
      <c r="O340" s="87"/>
      <c r="P340" s="87"/>
      <c r="Q340" s="87"/>
      <c r="R340" s="84"/>
      <c r="S340" s="87"/>
      <c r="T340" s="87"/>
      <c r="U340" s="84">
        <v>1</v>
      </c>
      <c r="V340" s="84">
        <v>1</v>
      </c>
      <c r="W340" s="84">
        <v>1</v>
      </c>
      <c r="X340" s="84">
        <v>1</v>
      </c>
      <c r="Y340" s="84">
        <v>1</v>
      </c>
      <c r="Z340" s="84">
        <v>0</v>
      </c>
      <c r="AA340" s="84">
        <v>0</v>
      </c>
      <c r="AB340" s="84">
        <v>0</v>
      </c>
      <c r="AC340" s="84">
        <v>0</v>
      </c>
      <c r="AD340" s="84">
        <v>1</v>
      </c>
      <c r="AE340" s="84">
        <v>0</v>
      </c>
      <c r="AF340" s="84">
        <v>0</v>
      </c>
      <c r="AG340" s="84">
        <v>0</v>
      </c>
      <c r="AH340" s="84">
        <v>0</v>
      </c>
      <c r="AI340" s="84">
        <v>0</v>
      </c>
      <c r="AJ340" s="84">
        <v>0</v>
      </c>
      <c r="AK340" s="84">
        <v>0</v>
      </c>
      <c r="AL340" s="84" cm="1">
        <f t="array" ref="AL3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0" s="84" cm="1">
        <f t="array" ref="AM3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40" s="84" cm="1">
        <f t="array" ref="AN3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40" s="84" cm="1">
        <f t="array" ref="AO3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40" s="84" cm="1">
        <f t="array" ref="AP3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40" s="84" cm="1">
        <f t="array" ref="AQ3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40" s="84" cm="1">
        <f t="array" ref="AR3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40" s="84" cm="1">
        <f t="array" ref="AS3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40" s="84" cm="1">
        <f t="array" ref="AT3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40" s="84" cm="1">
        <f t="array" ref="AU3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40" s="84" cm="1">
        <f t="array" ref="AV3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0" s="84" cm="1">
        <f t="array" ref="AW3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0" s="84" cm="1">
        <f t="array" ref="AX3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0" s="84" cm="1">
        <f t="array" ref="AY3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0" s="84" cm="1">
        <f t="array" ref="AZ3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0" s="84" cm="1">
        <f t="array" ref="BA3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0" s="84" cm="1">
        <f t="array" ref="BB3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0" s="84">
        <f>IF(SUM(Table3[[#This Row],[Column2]:[Column18]])&gt;Table3[[#This Row],[Column19]],Table3[[#This Row],[Column19]],SUM(Table3[[#This Row],[Column2]:[Column18]]))</f>
        <v>50000</v>
      </c>
      <c r="BD340" s="2">
        <f>Table3[[#This Row],[Total Spend]]/SUM(Table3[[#This Row],[Column2]:[Column18]])</f>
        <v>0.26709401709401709</v>
      </c>
    </row>
    <row r="341" spans="1:56">
      <c r="A341" s="84" t="s">
        <v>415</v>
      </c>
      <c r="B341" s="84"/>
      <c r="C341" s="84"/>
      <c r="D341" s="85">
        <v>45566</v>
      </c>
      <c r="E341" s="85" t="s">
        <v>92</v>
      </c>
      <c r="F341" s="84">
        <f>INDEX(Definitions!$G$13:$G$17,MATCH(Table3[[#This Row],[Propensity to buy/ buyer readiness]],Definitions!$A$13:$A$17,0))</f>
        <v>50000</v>
      </c>
      <c r="G341" s="86">
        <v>5</v>
      </c>
      <c r="H341" s="86">
        <v>3</v>
      </c>
      <c r="I341" s="86">
        <v>4</v>
      </c>
      <c r="J341" s="86">
        <v>5</v>
      </c>
      <c r="K341" s="86">
        <v>3</v>
      </c>
      <c r="L341" s="86">
        <f>SUM(Table3[[#This Row],[Strategic priority segment]:[Propensity to buy/ buyer readiness]])</f>
        <v>20</v>
      </c>
      <c r="M341" s="86" t="s">
        <v>59</v>
      </c>
      <c r="N341" s="84" t="s">
        <v>60</v>
      </c>
      <c r="O341" s="87"/>
      <c r="P341" s="87"/>
      <c r="Q341" s="87"/>
      <c r="R341" s="84"/>
      <c r="S341" s="87"/>
      <c r="T341" s="84"/>
      <c r="U341" s="84">
        <v>1</v>
      </c>
      <c r="V341" s="84">
        <v>1</v>
      </c>
      <c r="W341" s="84">
        <v>1</v>
      </c>
      <c r="X341" s="84">
        <v>1</v>
      </c>
      <c r="Y341" s="84">
        <v>1</v>
      </c>
      <c r="Z341" s="84">
        <v>0</v>
      </c>
      <c r="AA341" s="84">
        <v>0</v>
      </c>
      <c r="AB341" s="84">
        <v>0</v>
      </c>
      <c r="AC341" s="84">
        <v>0</v>
      </c>
      <c r="AD341" s="84">
        <v>1</v>
      </c>
      <c r="AE341" s="84">
        <v>0</v>
      </c>
      <c r="AF341" s="84">
        <v>0</v>
      </c>
      <c r="AG341" s="84">
        <v>0</v>
      </c>
      <c r="AH341" s="84">
        <v>0</v>
      </c>
      <c r="AI341" s="84">
        <v>0</v>
      </c>
      <c r="AJ341" s="84">
        <v>0</v>
      </c>
      <c r="AK341" s="84">
        <v>0</v>
      </c>
      <c r="AL341" s="84" cm="1">
        <f t="array" ref="AL3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1" s="84" cm="1">
        <f t="array" ref="AM3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41" s="84" cm="1">
        <f t="array" ref="AN3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41" s="84" cm="1">
        <f t="array" ref="AO3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41" s="84" cm="1">
        <f t="array" ref="AP3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41" s="84" cm="1">
        <f t="array" ref="AQ3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41" s="84" cm="1">
        <f t="array" ref="AR3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41" s="84" cm="1">
        <f t="array" ref="AS3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41" s="84" cm="1">
        <f t="array" ref="AT3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41" s="84" cm="1">
        <f t="array" ref="AU3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41" s="84" cm="1">
        <f t="array" ref="AV3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1" s="84" cm="1">
        <f t="array" ref="AW3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1" s="84" cm="1">
        <f t="array" ref="AX3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1" s="84" cm="1">
        <f t="array" ref="AY3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1" s="84" cm="1">
        <f t="array" ref="AZ3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1" s="84" cm="1">
        <f t="array" ref="BA3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1" s="84" cm="1">
        <f t="array" ref="BB3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1" s="84">
        <f>IF(SUM(Table3[[#This Row],[Column2]:[Column18]])&gt;Table3[[#This Row],[Column19]],Table3[[#This Row],[Column19]],SUM(Table3[[#This Row],[Column2]:[Column18]]))</f>
        <v>50000</v>
      </c>
      <c r="BD341" s="2">
        <f>Table3[[#This Row],[Total Spend]]/SUM(Table3[[#This Row],[Column2]:[Column18]])</f>
        <v>0.26709401709401709</v>
      </c>
    </row>
    <row r="342" spans="1:56" ht="28.5">
      <c r="A342" s="84" t="s">
        <v>416</v>
      </c>
      <c r="B342" s="84" t="s">
        <v>57</v>
      </c>
      <c r="C342" s="84"/>
      <c r="D342" s="85">
        <v>45566</v>
      </c>
      <c r="E342" s="85" t="s">
        <v>92</v>
      </c>
      <c r="F342" s="84">
        <f>INDEX(Definitions!$G$13:$G$17,MATCH(Table3[[#This Row],[Propensity to buy/ buyer readiness]],Definitions!$A$13:$A$17,0))</f>
        <v>50000</v>
      </c>
      <c r="G342" s="86">
        <v>5</v>
      </c>
      <c r="H342" s="86">
        <v>4</v>
      </c>
      <c r="I342" s="86">
        <v>4</v>
      </c>
      <c r="J342" s="86">
        <v>4</v>
      </c>
      <c r="K342" s="86">
        <v>3</v>
      </c>
      <c r="L342" s="86">
        <f>SUM(Table3[[#This Row],[Strategic priority segment]:[Propensity to buy/ buyer readiness]])</f>
        <v>20</v>
      </c>
      <c r="M342" s="86" t="s">
        <v>191</v>
      </c>
      <c r="N342" s="84" t="s">
        <v>135</v>
      </c>
      <c r="O342" s="84" t="s">
        <v>61</v>
      </c>
      <c r="P342" s="87" t="s">
        <v>62</v>
      </c>
      <c r="Q342" s="87"/>
      <c r="R342" s="84"/>
      <c r="S342" s="84"/>
      <c r="T342" s="84"/>
      <c r="U342" s="84">
        <v>1</v>
      </c>
      <c r="V342" s="84">
        <v>0</v>
      </c>
      <c r="W342" s="84">
        <v>0</v>
      </c>
      <c r="X342" s="84">
        <v>0</v>
      </c>
      <c r="Y342" s="84">
        <v>0</v>
      </c>
      <c r="Z342" s="84">
        <v>1</v>
      </c>
      <c r="AA342" s="84">
        <v>1</v>
      </c>
      <c r="AB342" s="84">
        <v>1</v>
      </c>
      <c r="AC342" s="84">
        <v>1</v>
      </c>
      <c r="AD342" s="84">
        <v>1</v>
      </c>
      <c r="AE342" s="84">
        <v>1</v>
      </c>
      <c r="AF342" s="84">
        <v>1</v>
      </c>
      <c r="AG342" s="84">
        <v>1</v>
      </c>
      <c r="AH342" s="84">
        <v>1</v>
      </c>
      <c r="AI342" s="84">
        <v>1</v>
      </c>
      <c r="AJ342" s="84">
        <v>1</v>
      </c>
      <c r="AK342" s="84">
        <v>1</v>
      </c>
      <c r="AL342" s="84" cm="1">
        <f t="array" ref="AL3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2" s="84" cm="1">
        <f t="array" ref="AM3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2" s="84" cm="1">
        <f t="array" ref="AN3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2" s="84" cm="1">
        <f t="array" ref="AO3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2" s="84" cm="1">
        <f t="array" ref="AP3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2" s="84" cm="1">
        <f t="array" ref="AQ3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2" s="84" cm="1">
        <f t="array" ref="AR3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2" s="84" cm="1">
        <f t="array" ref="AS3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2" s="84" cm="1">
        <f t="array" ref="AT3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2" s="84" cm="1">
        <f t="array" ref="AU3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42" s="84" cm="1">
        <f t="array" ref="AV3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42" s="84" cm="1">
        <f t="array" ref="AW3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42" s="84" cm="1">
        <f t="array" ref="AX3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42" s="84" cm="1">
        <f t="array" ref="AY3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42" s="84" cm="1">
        <f t="array" ref="AZ3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42" s="84" cm="1">
        <f t="array" ref="BA3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42" s="84" cm="1">
        <f t="array" ref="BB3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42" s="84">
        <f>IF(SUM(Table3[[#This Row],[Column2]:[Column18]])&gt;Table3[[#This Row],[Column19]],Table3[[#This Row],[Column19]],SUM(Table3[[#This Row],[Column2]:[Column18]]))</f>
        <v>50000</v>
      </c>
      <c r="BD342" s="2">
        <f>Table3[[#This Row],[Total Spend]]/SUM(Table3[[#This Row],[Column2]:[Column18]])</f>
        <v>0.21367521367521367</v>
      </c>
    </row>
    <row r="343" spans="1:56" ht="28.5">
      <c r="A343" s="84" t="s">
        <v>417</v>
      </c>
      <c r="B343" s="84" t="s">
        <v>57</v>
      </c>
      <c r="C343" s="84"/>
      <c r="D343" s="85">
        <v>45566</v>
      </c>
      <c r="E343" s="85" t="s">
        <v>92</v>
      </c>
      <c r="F343" s="84">
        <f>INDEX(Definitions!$G$13:$G$17,MATCH(Table3[[#This Row],[Propensity to buy/ buyer readiness]],Definitions!$A$13:$A$17,0))</f>
        <v>50000</v>
      </c>
      <c r="G343" s="86">
        <v>5</v>
      </c>
      <c r="H343" s="86">
        <v>4</v>
      </c>
      <c r="I343" s="86">
        <v>4</v>
      </c>
      <c r="J343" s="86">
        <v>4</v>
      </c>
      <c r="K343" s="86">
        <v>3</v>
      </c>
      <c r="L343" s="86">
        <f>SUM(Table3[[#This Row],[Strategic priority segment]:[Propensity to buy/ buyer readiness]])</f>
        <v>20</v>
      </c>
      <c r="M343" s="86" t="s">
        <v>191</v>
      </c>
      <c r="N343" s="84" t="s">
        <v>135</v>
      </c>
      <c r="O343" s="84" t="s">
        <v>61</v>
      </c>
      <c r="P343" s="87" t="s">
        <v>62</v>
      </c>
      <c r="Q343" s="87"/>
      <c r="R343" s="84"/>
      <c r="S343" s="84"/>
      <c r="T343" s="87"/>
      <c r="U343" s="84">
        <v>1</v>
      </c>
      <c r="V343" s="84">
        <v>0</v>
      </c>
      <c r="W343" s="84">
        <v>0</v>
      </c>
      <c r="X343" s="84">
        <v>0</v>
      </c>
      <c r="Y343" s="84">
        <v>0</v>
      </c>
      <c r="Z343" s="84">
        <v>1</v>
      </c>
      <c r="AA343" s="84">
        <v>1</v>
      </c>
      <c r="AB343" s="84">
        <v>1</v>
      </c>
      <c r="AC343" s="84">
        <v>1</v>
      </c>
      <c r="AD343" s="84">
        <v>1</v>
      </c>
      <c r="AE343" s="84">
        <v>1</v>
      </c>
      <c r="AF343" s="84">
        <v>1</v>
      </c>
      <c r="AG343" s="84">
        <v>1</v>
      </c>
      <c r="AH343" s="84">
        <v>1</v>
      </c>
      <c r="AI343" s="84">
        <v>1</v>
      </c>
      <c r="AJ343" s="84">
        <v>1</v>
      </c>
      <c r="AK343" s="84">
        <v>1</v>
      </c>
      <c r="AL343" s="84" cm="1">
        <f t="array" ref="AL3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3" s="84" cm="1">
        <f t="array" ref="AM3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3" s="84" cm="1">
        <f t="array" ref="AN3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3" s="84" cm="1">
        <f t="array" ref="AO3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3" s="84" cm="1">
        <f t="array" ref="AP3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3" s="84" cm="1">
        <f t="array" ref="AQ3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3" s="84" cm="1">
        <f t="array" ref="AR3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3" s="84" cm="1">
        <f t="array" ref="AS3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3" s="84" cm="1">
        <f t="array" ref="AT3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3" s="84" cm="1">
        <f t="array" ref="AU3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43" s="84" cm="1">
        <f t="array" ref="AV3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43" s="84" cm="1">
        <f t="array" ref="AW3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43" s="84" cm="1">
        <f t="array" ref="AX3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43" s="84" cm="1">
        <f t="array" ref="AY3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43" s="84" cm="1">
        <f t="array" ref="AZ3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43" s="84" cm="1">
        <f t="array" ref="BA3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43" s="84" cm="1">
        <f t="array" ref="BB3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43" s="84">
        <f>IF(SUM(Table3[[#This Row],[Column2]:[Column18]])&gt;Table3[[#This Row],[Column19]],Table3[[#This Row],[Column19]],SUM(Table3[[#This Row],[Column2]:[Column18]]))</f>
        <v>50000</v>
      </c>
      <c r="BD343" s="2">
        <f>Table3[[#This Row],[Total Spend]]/SUM(Table3[[#This Row],[Column2]:[Column18]])</f>
        <v>0.21367521367521367</v>
      </c>
    </row>
    <row r="344" spans="1:56">
      <c r="A344" s="84" t="s">
        <v>418</v>
      </c>
      <c r="B344" s="84"/>
      <c r="C344" s="84"/>
      <c r="D344" s="85">
        <v>45566</v>
      </c>
      <c r="E344" s="85" t="s">
        <v>92</v>
      </c>
      <c r="F344" s="84">
        <f>INDEX(Definitions!$G$13:$G$17,MATCH(Table3[[#This Row],[Propensity to buy/ buyer readiness]],Definitions!$A$13:$A$17,0))</f>
        <v>50000</v>
      </c>
      <c r="G344" s="86">
        <v>5</v>
      </c>
      <c r="H344" s="86">
        <v>5</v>
      </c>
      <c r="I344" s="86">
        <v>3</v>
      </c>
      <c r="J344" s="86">
        <v>4</v>
      </c>
      <c r="K344" s="86">
        <v>3</v>
      </c>
      <c r="L344" s="86">
        <f>SUM(Table3[[#This Row],[Strategic priority segment]:[Propensity to buy/ buyer readiness]])</f>
        <v>20</v>
      </c>
      <c r="M344" s="86" t="s">
        <v>102</v>
      </c>
      <c r="N344" s="84" t="s">
        <v>61</v>
      </c>
      <c r="O344" s="84"/>
      <c r="P344" s="87"/>
      <c r="Q344" s="87"/>
      <c r="R344" s="84"/>
      <c r="S344" s="87"/>
      <c r="T344" s="87"/>
      <c r="U344" s="84">
        <v>1</v>
      </c>
      <c r="V344" s="84">
        <v>0</v>
      </c>
      <c r="W344" s="84">
        <v>0</v>
      </c>
      <c r="X344" s="84">
        <v>0</v>
      </c>
      <c r="Y344" s="84">
        <v>0</v>
      </c>
      <c r="Z344" s="84">
        <v>1</v>
      </c>
      <c r="AA344" s="84">
        <v>1</v>
      </c>
      <c r="AB344" s="84">
        <v>1</v>
      </c>
      <c r="AC344" s="84">
        <v>1</v>
      </c>
      <c r="AD344" s="84">
        <v>0</v>
      </c>
      <c r="AE344" s="84">
        <v>0</v>
      </c>
      <c r="AF344" s="84">
        <v>0</v>
      </c>
      <c r="AG344" s="84">
        <v>0</v>
      </c>
      <c r="AH344" s="84">
        <v>0</v>
      </c>
      <c r="AI344" s="84">
        <v>0</v>
      </c>
      <c r="AJ344" s="84">
        <v>0</v>
      </c>
      <c r="AK344" s="84">
        <v>0</v>
      </c>
      <c r="AL344" s="84" cm="1">
        <f t="array" ref="AL3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4" s="84" cm="1">
        <f t="array" ref="AM3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4" s="84" cm="1">
        <f t="array" ref="AN3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4" s="84" cm="1">
        <f t="array" ref="AO3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4" s="84" cm="1">
        <f t="array" ref="AP3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4" s="84" cm="1">
        <f t="array" ref="AQ3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4" s="84" cm="1">
        <f t="array" ref="AR3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4" s="84" cm="1">
        <f t="array" ref="AS3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4" s="84" cm="1">
        <f t="array" ref="AT3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4" s="84" cm="1">
        <f t="array" ref="AU3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44" s="84" cm="1">
        <f t="array" ref="AV3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4" s="84" cm="1">
        <f t="array" ref="AW3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4" s="84" cm="1">
        <f t="array" ref="AX3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4" s="84" cm="1">
        <f t="array" ref="AY3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4" s="84" cm="1">
        <f t="array" ref="AZ3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4" s="84" cm="1">
        <f t="array" ref="BA3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4" s="84" cm="1">
        <f t="array" ref="BB3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4" s="84">
        <f>IF(SUM(Table3[[#This Row],[Column2]:[Column18]])&gt;Table3[[#This Row],[Column19]],Table3[[#This Row],[Column19]],SUM(Table3[[#This Row],[Column2]:[Column18]]))</f>
        <v>50000</v>
      </c>
      <c r="BD344" s="2">
        <f>Table3[[#This Row],[Total Spend]]/SUM(Table3[[#This Row],[Column2]:[Column18]])</f>
        <v>0.49164208456243852</v>
      </c>
    </row>
    <row r="345" spans="1:56">
      <c r="A345" s="84" t="s">
        <v>419</v>
      </c>
      <c r="B345" s="84"/>
      <c r="C345" s="84"/>
      <c r="D345" s="85">
        <v>45566</v>
      </c>
      <c r="E345" s="85" t="s">
        <v>92</v>
      </c>
      <c r="F345" s="84">
        <f>INDEX(Definitions!$G$13:$G$17,MATCH(Table3[[#This Row],[Propensity to buy/ buyer readiness]],Definitions!$A$13:$A$17,0))</f>
        <v>50000</v>
      </c>
      <c r="G345" s="86">
        <v>5</v>
      </c>
      <c r="H345" s="86">
        <v>5</v>
      </c>
      <c r="I345" s="86">
        <v>3</v>
      </c>
      <c r="J345" s="86">
        <v>4</v>
      </c>
      <c r="K345" s="86">
        <v>3</v>
      </c>
      <c r="L345" s="86">
        <f>SUM(Table3[[#This Row],[Strategic priority segment]:[Propensity to buy/ buyer readiness]])</f>
        <v>20</v>
      </c>
      <c r="M345" s="86" t="s">
        <v>102</v>
      </c>
      <c r="N345" s="84" t="s">
        <v>61</v>
      </c>
      <c r="O345" s="87"/>
      <c r="P345" s="87"/>
      <c r="Q345" s="87"/>
      <c r="R345" s="87"/>
      <c r="S345" s="87"/>
      <c r="T345" s="87"/>
      <c r="U345" s="84">
        <v>1</v>
      </c>
      <c r="V345" s="84">
        <v>0</v>
      </c>
      <c r="W345" s="84">
        <v>0</v>
      </c>
      <c r="X345" s="84">
        <v>0</v>
      </c>
      <c r="Y345" s="84">
        <v>0</v>
      </c>
      <c r="Z345" s="84">
        <v>1</v>
      </c>
      <c r="AA345" s="84">
        <v>1</v>
      </c>
      <c r="AB345" s="84">
        <v>1</v>
      </c>
      <c r="AC345" s="84">
        <v>1</v>
      </c>
      <c r="AD345" s="84">
        <v>0</v>
      </c>
      <c r="AE345" s="84">
        <v>0</v>
      </c>
      <c r="AF345" s="84">
        <v>0</v>
      </c>
      <c r="AG345" s="84">
        <v>0</v>
      </c>
      <c r="AH345" s="84">
        <v>0</v>
      </c>
      <c r="AI345" s="84">
        <v>0</v>
      </c>
      <c r="AJ345" s="84">
        <v>0</v>
      </c>
      <c r="AK345" s="84">
        <v>0</v>
      </c>
      <c r="AL345" s="84" cm="1">
        <f t="array" ref="AL3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5" s="84" cm="1">
        <f t="array" ref="AM3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5" s="84" cm="1">
        <f t="array" ref="AN3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5" s="84" cm="1">
        <f t="array" ref="AO3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5" s="84" cm="1">
        <f t="array" ref="AP3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5" s="84" cm="1">
        <f t="array" ref="AQ3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5" s="84" cm="1">
        <f t="array" ref="AR3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5" s="84" cm="1">
        <f t="array" ref="AS3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5" s="84" cm="1">
        <f t="array" ref="AT3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5" s="84" cm="1">
        <f t="array" ref="AU3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45" s="84" cm="1">
        <f t="array" ref="AV3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5" s="84" cm="1">
        <f t="array" ref="AW3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5" s="84" cm="1">
        <f t="array" ref="AX3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5" s="84" cm="1">
        <f t="array" ref="AY3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5" s="84" cm="1">
        <f t="array" ref="AZ3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5" s="84" cm="1">
        <f t="array" ref="BA3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5" s="84" cm="1">
        <f t="array" ref="BB3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5" s="84">
        <f>IF(SUM(Table3[[#This Row],[Column2]:[Column18]])&gt;Table3[[#This Row],[Column19]],Table3[[#This Row],[Column19]],SUM(Table3[[#This Row],[Column2]:[Column18]]))</f>
        <v>50000</v>
      </c>
      <c r="BD345" s="2">
        <f>Table3[[#This Row],[Total Spend]]/SUM(Table3[[#This Row],[Column2]:[Column18]])</f>
        <v>0.49164208456243852</v>
      </c>
    </row>
    <row r="346" spans="1:56" ht="18" customHeight="1">
      <c r="A346" s="84" t="s">
        <v>420</v>
      </c>
      <c r="B346" s="84"/>
      <c r="C346" s="84"/>
      <c r="D346" s="85">
        <v>45566</v>
      </c>
      <c r="E346" s="85" t="s">
        <v>92</v>
      </c>
      <c r="F346" s="84">
        <f>INDEX(Definitions!$G$13:$G$17,MATCH(Table3[[#This Row],[Propensity to buy/ buyer readiness]],Definitions!$A$13:$A$17,0))</f>
        <v>150000</v>
      </c>
      <c r="G346" s="86">
        <v>5</v>
      </c>
      <c r="H346" s="86">
        <v>5</v>
      </c>
      <c r="I346" s="86">
        <v>2</v>
      </c>
      <c r="J346" s="86">
        <v>4</v>
      </c>
      <c r="K346" s="86">
        <v>4</v>
      </c>
      <c r="L346" s="86">
        <f>SUM(Table3[[#This Row],[Strategic priority segment]:[Propensity to buy/ buyer readiness]])</f>
        <v>20</v>
      </c>
      <c r="M346" s="86" t="s">
        <v>102</v>
      </c>
      <c r="N346" s="84" t="s">
        <v>61</v>
      </c>
      <c r="O346" s="87"/>
      <c r="P346" s="87"/>
      <c r="Q346" s="87"/>
      <c r="R346" s="87"/>
      <c r="S346" s="87"/>
      <c r="T346" s="87"/>
      <c r="U346" s="84">
        <v>1</v>
      </c>
      <c r="V346" s="84">
        <v>0</v>
      </c>
      <c r="W346" s="84">
        <v>0</v>
      </c>
      <c r="X346" s="84">
        <v>0</v>
      </c>
      <c r="Y346" s="84">
        <v>0</v>
      </c>
      <c r="Z346" s="84">
        <v>1</v>
      </c>
      <c r="AA346" s="84">
        <v>1</v>
      </c>
      <c r="AB346" s="84">
        <v>1</v>
      </c>
      <c r="AC346" s="84">
        <v>1</v>
      </c>
      <c r="AD346" s="84">
        <v>0</v>
      </c>
      <c r="AE346" s="84">
        <v>0</v>
      </c>
      <c r="AF346" s="84">
        <v>0</v>
      </c>
      <c r="AG346" s="84">
        <v>0</v>
      </c>
      <c r="AH346" s="84">
        <v>0</v>
      </c>
      <c r="AI346" s="84">
        <v>0</v>
      </c>
      <c r="AJ346" s="84">
        <v>0</v>
      </c>
      <c r="AK346" s="84">
        <v>0</v>
      </c>
      <c r="AL346" s="84" cm="1">
        <f t="array" ref="AL3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6" s="84" cm="1">
        <f t="array" ref="AM3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6" s="84" cm="1">
        <f t="array" ref="AN3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6" s="84" cm="1">
        <f t="array" ref="AO3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6" s="84" cm="1">
        <f t="array" ref="AP3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6" s="84" cm="1">
        <f t="array" ref="AQ3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6" s="84" cm="1">
        <f t="array" ref="AR3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6" s="84" cm="1">
        <f t="array" ref="AS3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6" s="84" cm="1">
        <f t="array" ref="AT3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6" s="84" cm="1">
        <f t="array" ref="AU3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46" s="84" cm="1">
        <f t="array" ref="AV3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6" s="84" cm="1">
        <f t="array" ref="AW3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6" s="84" cm="1">
        <f t="array" ref="AX3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6" s="84" cm="1">
        <f t="array" ref="AY3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6" s="84" cm="1">
        <f t="array" ref="AZ3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6" s="84" cm="1">
        <f t="array" ref="BA3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6" s="84" cm="1">
        <f t="array" ref="BB3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6" s="84">
        <f>IF(SUM(Table3[[#This Row],[Column2]:[Column18]])&gt;Table3[[#This Row],[Column19]],Table3[[#This Row],[Column19]],SUM(Table3[[#This Row],[Column2]:[Column18]]))</f>
        <v>101700</v>
      </c>
      <c r="BD346" s="2">
        <f>Table3[[#This Row],[Total Spend]]/SUM(Table3[[#This Row],[Column2]:[Column18]])</f>
        <v>1</v>
      </c>
    </row>
    <row r="347" spans="1:56">
      <c r="A347" s="84" t="s">
        <v>421</v>
      </c>
      <c r="B347" s="84" t="s">
        <v>57</v>
      </c>
      <c r="C347" s="84"/>
      <c r="D347" s="85">
        <v>45566</v>
      </c>
      <c r="E347" s="85" t="s">
        <v>92</v>
      </c>
      <c r="F347" s="84">
        <f>INDEX(Definitions!$G$13:$G$17,MATCH(Table3[[#This Row],[Propensity to buy/ buyer readiness]],Definitions!$A$13:$A$17,0))</f>
        <v>50000</v>
      </c>
      <c r="G347" s="86">
        <v>5</v>
      </c>
      <c r="H347" s="86">
        <v>5</v>
      </c>
      <c r="I347" s="86">
        <v>3</v>
      </c>
      <c r="J347" s="86">
        <v>4</v>
      </c>
      <c r="K347" s="86">
        <v>3</v>
      </c>
      <c r="L347" s="86">
        <f>SUM(Table3[[#This Row],[Strategic priority segment]:[Propensity to buy/ buyer readiness]])</f>
        <v>20</v>
      </c>
      <c r="M347" s="86" t="s">
        <v>102</v>
      </c>
      <c r="N347" s="84" t="s">
        <v>61</v>
      </c>
      <c r="O347" s="84"/>
      <c r="P347" s="87"/>
      <c r="Q347" s="87"/>
      <c r="R347" s="84"/>
      <c r="S347" s="84"/>
      <c r="T347" s="84"/>
      <c r="U347" s="84">
        <v>1</v>
      </c>
      <c r="V347" s="84">
        <v>0</v>
      </c>
      <c r="W347" s="84">
        <v>0</v>
      </c>
      <c r="X347" s="84">
        <v>0</v>
      </c>
      <c r="Y347" s="84">
        <v>0</v>
      </c>
      <c r="Z347" s="84">
        <v>1</v>
      </c>
      <c r="AA347" s="84">
        <v>1</v>
      </c>
      <c r="AB347" s="84">
        <v>1</v>
      </c>
      <c r="AC347" s="84">
        <v>1</v>
      </c>
      <c r="AD347" s="84">
        <v>0</v>
      </c>
      <c r="AE347" s="84">
        <v>0</v>
      </c>
      <c r="AF347" s="84">
        <v>0</v>
      </c>
      <c r="AG347" s="84">
        <v>0</v>
      </c>
      <c r="AH347" s="84">
        <v>0</v>
      </c>
      <c r="AI347" s="84">
        <v>0</v>
      </c>
      <c r="AJ347" s="84">
        <v>0</v>
      </c>
      <c r="AK347" s="84">
        <v>0</v>
      </c>
      <c r="AL347" s="84" cm="1">
        <f t="array" ref="AL3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7" s="84" cm="1">
        <f t="array" ref="AM3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7" s="84" cm="1">
        <f t="array" ref="AN3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7" s="84" cm="1">
        <f t="array" ref="AO3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7" s="84" cm="1">
        <f t="array" ref="AP3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7" s="84" cm="1">
        <f t="array" ref="AQ3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7" s="84" cm="1">
        <f t="array" ref="AR3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7" s="84" cm="1">
        <f t="array" ref="AS3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7" s="84" cm="1">
        <f t="array" ref="AT3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7" s="84" cm="1">
        <f t="array" ref="AU3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47" s="84" cm="1">
        <f t="array" ref="AV3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7" s="84" cm="1">
        <f t="array" ref="AW3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7" s="84" cm="1">
        <f t="array" ref="AX3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7" s="84" cm="1">
        <f t="array" ref="AY3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47" s="84" cm="1">
        <f t="array" ref="AZ3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47" s="84" cm="1">
        <f t="array" ref="BA3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47" s="84" cm="1">
        <f t="array" ref="BB3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47" s="84">
        <f>IF(SUM(Table3[[#This Row],[Column2]:[Column18]])&gt;Table3[[#This Row],[Column19]],Table3[[#This Row],[Column19]],SUM(Table3[[#This Row],[Column2]:[Column18]]))</f>
        <v>50000</v>
      </c>
      <c r="BD347" s="2">
        <f>Table3[[#This Row],[Total Spend]]/SUM(Table3[[#This Row],[Column2]:[Column18]])</f>
        <v>0.49164208456243852</v>
      </c>
    </row>
    <row r="348" spans="1:56" ht="28.5">
      <c r="A348" s="84" t="s">
        <v>422</v>
      </c>
      <c r="B348" s="84" t="s">
        <v>57</v>
      </c>
      <c r="C348" s="84" t="s">
        <v>57</v>
      </c>
      <c r="D348" s="85">
        <v>45566</v>
      </c>
      <c r="E348" s="85" t="s">
        <v>58</v>
      </c>
      <c r="F348" s="84">
        <f>INDEX(Definitions!$G$13:$G$17,MATCH(Table3[[#This Row],[Propensity to buy/ buyer readiness]],Definitions!$A$13:$A$17,0))</f>
        <v>50000</v>
      </c>
      <c r="G348" s="86">
        <v>5</v>
      </c>
      <c r="H348" s="86">
        <v>4</v>
      </c>
      <c r="I348" s="86">
        <v>4</v>
      </c>
      <c r="J348" s="86">
        <v>4</v>
      </c>
      <c r="K348" s="86">
        <v>3</v>
      </c>
      <c r="L348" s="86">
        <f>SUM(Table3[[#This Row],[Strategic priority segment]:[Propensity to buy/ buyer readiness]])</f>
        <v>20</v>
      </c>
      <c r="M348" s="86" t="s">
        <v>191</v>
      </c>
      <c r="N348" s="84" t="s">
        <v>135</v>
      </c>
      <c r="O348" s="87" t="s">
        <v>61</v>
      </c>
      <c r="P348" s="87"/>
      <c r="Q348" s="87"/>
      <c r="R348" s="84"/>
      <c r="S348" s="84"/>
      <c r="T348" s="87"/>
      <c r="U348" s="84">
        <v>1</v>
      </c>
      <c r="V348" s="84">
        <v>0</v>
      </c>
      <c r="W348" s="84">
        <v>0</v>
      </c>
      <c r="X348" s="84">
        <v>0</v>
      </c>
      <c r="Y348" s="84">
        <v>0</v>
      </c>
      <c r="Z348" s="84">
        <v>1</v>
      </c>
      <c r="AA348" s="84">
        <v>1</v>
      </c>
      <c r="AB348" s="84">
        <v>1</v>
      </c>
      <c r="AC348" s="84">
        <v>1</v>
      </c>
      <c r="AD348" s="84">
        <v>0</v>
      </c>
      <c r="AE348" s="84">
        <v>0</v>
      </c>
      <c r="AF348" s="84">
        <v>0</v>
      </c>
      <c r="AG348" s="84">
        <v>0</v>
      </c>
      <c r="AH348" s="84">
        <v>1</v>
      </c>
      <c r="AI348" s="84">
        <v>1</v>
      </c>
      <c r="AJ348" s="84">
        <v>1</v>
      </c>
      <c r="AK348" s="84">
        <v>1</v>
      </c>
      <c r="AL348" s="84" cm="1">
        <f t="array" ref="AL3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48" s="84" cm="1">
        <f t="array" ref="AM3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8" s="84" cm="1">
        <f t="array" ref="AN3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8" s="84" cm="1">
        <f t="array" ref="AO3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8" s="84" cm="1">
        <f t="array" ref="AP3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8" s="84" cm="1">
        <f t="array" ref="AQ3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48" s="84" cm="1">
        <f t="array" ref="AR3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48" s="84" cm="1">
        <f t="array" ref="AS3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48" s="84" cm="1">
        <f t="array" ref="AT3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48" s="84" cm="1">
        <f t="array" ref="AU3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48" s="84" cm="1">
        <f t="array" ref="AV3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8" s="84" cm="1">
        <f t="array" ref="AW3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8" s="84" cm="1">
        <f t="array" ref="AX3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8" s="84" cm="1">
        <f t="array" ref="AY3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48" s="84" cm="1">
        <f t="array" ref="AZ3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48" s="84" cm="1">
        <f t="array" ref="BA3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48" s="84" cm="1">
        <f t="array" ref="BB3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48" s="84">
        <f>IF(SUM(Table3[[#This Row],[Column2]:[Column18]])&gt;Table3[[#This Row],[Column19]],Table3[[#This Row],[Column19]],SUM(Table3[[#This Row],[Column2]:[Column18]]))</f>
        <v>50000</v>
      </c>
      <c r="BD348" s="2">
        <f>Table3[[#This Row],[Total Spend]]/SUM(Table3[[#This Row],[Column2]:[Column18]])</f>
        <v>0.24420024420024419</v>
      </c>
    </row>
    <row r="349" spans="1:56">
      <c r="A349" s="84" t="s">
        <v>423</v>
      </c>
      <c r="B349" s="84" t="s">
        <v>57</v>
      </c>
      <c r="C349" s="84"/>
      <c r="D349" s="85">
        <v>45809</v>
      </c>
      <c r="E349" s="85" t="s">
        <v>92</v>
      </c>
      <c r="F349" s="84">
        <f>INDEX(Definitions!$G$13:$G$17,MATCH(Table3[[#This Row],[Propensity to buy/ buyer readiness]],Definitions!$A$13:$A$17,0))</f>
        <v>50000</v>
      </c>
      <c r="G349" s="86">
        <v>4</v>
      </c>
      <c r="H349" s="86">
        <v>5</v>
      </c>
      <c r="I349" s="86">
        <v>4</v>
      </c>
      <c r="J349" s="86">
        <v>4</v>
      </c>
      <c r="K349" s="86">
        <v>3</v>
      </c>
      <c r="L349" s="86">
        <f>SUM(Table3[[#This Row],[Strategic priority segment]:[Propensity to buy/ buyer readiness]])</f>
        <v>20</v>
      </c>
      <c r="M349" s="86" t="s">
        <v>191</v>
      </c>
      <c r="N349" s="84" t="s">
        <v>135</v>
      </c>
      <c r="O349" s="84" t="s">
        <v>61</v>
      </c>
      <c r="P349" s="84"/>
      <c r="Q349" s="84"/>
      <c r="R349" s="84"/>
      <c r="S349" s="84"/>
      <c r="T349" s="87"/>
      <c r="U349" s="84">
        <v>1</v>
      </c>
      <c r="V349" s="84">
        <v>0</v>
      </c>
      <c r="W349" s="84">
        <v>0</v>
      </c>
      <c r="X349" s="84">
        <v>0</v>
      </c>
      <c r="Y349" s="84">
        <v>0</v>
      </c>
      <c r="Z349" s="84">
        <v>1</v>
      </c>
      <c r="AA349" s="84">
        <v>1</v>
      </c>
      <c r="AB349" s="84">
        <v>1</v>
      </c>
      <c r="AC349" s="84">
        <v>1</v>
      </c>
      <c r="AD349" s="84">
        <v>0</v>
      </c>
      <c r="AE349" s="84">
        <v>0</v>
      </c>
      <c r="AF349" s="84">
        <v>0</v>
      </c>
      <c r="AG349" s="84">
        <v>0</v>
      </c>
      <c r="AH349" s="84">
        <v>1</v>
      </c>
      <c r="AI349" s="84">
        <v>1</v>
      </c>
      <c r="AJ349" s="84">
        <v>1</v>
      </c>
      <c r="AK349" s="84">
        <v>1</v>
      </c>
      <c r="AL349" s="84" cm="1">
        <f t="array" ref="AL3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49" s="84" cm="1">
        <f t="array" ref="AM3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49" s="84" cm="1">
        <f t="array" ref="AN3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49" s="84" cm="1">
        <f t="array" ref="AO3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49" s="84" cm="1">
        <f t="array" ref="AP3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49" s="84" cm="1">
        <f t="array" ref="AQ3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49" s="84" cm="1">
        <f t="array" ref="AR3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49" s="84" cm="1">
        <f t="array" ref="AS3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49" s="84" cm="1">
        <f t="array" ref="AT3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49" s="84" cm="1">
        <f t="array" ref="AU3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49" s="84" cm="1">
        <f t="array" ref="AV3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49" s="84" cm="1">
        <f t="array" ref="AW3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49" s="84" cm="1">
        <f t="array" ref="AX3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49" s="84" cm="1">
        <f t="array" ref="AY3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49" s="84" cm="1">
        <f t="array" ref="AZ3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49" s="84" cm="1">
        <f t="array" ref="BA3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49" s="84" cm="1">
        <f t="array" ref="BB3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49" s="84">
        <f>IF(SUM(Table3[[#This Row],[Column2]:[Column18]])&gt;Table3[[#This Row],[Column19]],Table3[[#This Row],[Column19]],SUM(Table3[[#This Row],[Column2]:[Column18]]))</f>
        <v>50000</v>
      </c>
      <c r="BD349" s="2">
        <f>Table3[[#This Row],[Total Spend]]/SUM(Table3[[#This Row],[Column2]:[Column18]])</f>
        <v>0.33772374197906113</v>
      </c>
    </row>
    <row r="350" spans="1:56">
      <c r="A350" s="84" t="s">
        <v>424</v>
      </c>
      <c r="B350" s="84"/>
      <c r="C350" s="84"/>
      <c r="D350" s="85">
        <v>45809</v>
      </c>
      <c r="E350" s="85" t="s">
        <v>58</v>
      </c>
      <c r="F350" s="84">
        <f>INDEX(Definitions!$G$13:$G$17,MATCH(Table3[[#This Row],[Propensity to buy/ buyer readiness]],Definitions!$A$13:$A$17,0))</f>
        <v>150000</v>
      </c>
      <c r="G350" s="86">
        <v>5</v>
      </c>
      <c r="H350" s="86">
        <v>5</v>
      </c>
      <c r="I350" s="86">
        <v>2</v>
      </c>
      <c r="J350" s="86">
        <v>4</v>
      </c>
      <c r="K350" s="86">
        <v>4</v>
      </c>
      <c r="L350" s="86">
        <f>SUM(Table3[[#This Row],[Strategic priority segment]:[Propensity to buy/ buyer readiness]])</f>
        <v>20</v>
      </c>
      <c r="M350" s="86" t="s">
        <v>102</v>
      </c>
      <c r="N350" s="84" t="s">
        <v>61</v>
      </c>
      <c r="O350" s="84"/>
      <c r="P350" s="84"/>
      <c r="Q350" s="84"/>
      <c r="R350" s="84"/>
      <c r="S350" s="84"/>
      <c r="T350" s="84"/>
      <c r="U350" s="84">
        <v>1</v>
      </c>
      <c r="V350" s="84">
        <v>0</v>
      </c>
      <c r="W350" s="84">
        <v>0</v>
      </c>
      <c r="X350" s="84">
        <v>0</v>
      </c>
      <c r="Y350" s="84">
        <v>0</v>
      </c>
      <c r="Z350" s="84">
        <v>1</v>
      </c>
      <c r="AA350" s="84">
        <v>1</v>
      </c>
      <c r="AB350" s="84">
        <v>1</v>
      </c>
      <c r="AC350" s="84">
        <v>1</v>
      </c>
      <c r="AD350" s="84">
        <v>0</v>
      </c>
      <c r="AE350" s="84">
        <v>0</v>
      </c>
      <c r="AF350" s="84">
        <v>0</v>
      </c>
      <c r="AG350" s="84">
        <v>0</v>
      </c>
      <c r="AH350" s="84">
        <v>0</v>
      </c>
      <c r="AI350" s="84">
        <v>0</v>
      </c>
      <c r="AJ350" s="84">
        <v>0</v>
      </c>
      <c r="AK350" s="84">
        <v>0</v>
      </c>
      <c r="AL350" s="84" cm="1">
        <f t="array" ref="AL3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50" s="84" cm="1">
        <f t="array" ref="AM3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0" s="84" cm="1">
        <f t="array" ref="AN3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0" s="84" cm="1">
        <f t="array" ref="AO3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0" s="84" cm="1">
        <f t="array" ref="AP3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0" s="84" cm="1">
        <f t="array" ref="AQ3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50" s="84" cm="1">
        <f t="array" ref="AR3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50" s="84" cm="1">
        <f t="array" ref="AS3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50" s="84" cm="1">
        <f t="array" ref="AT3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50" s="84" cm="1">
        <f t="array" ref="AU3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50" s="84" cm="1">
        <f t="array" ref="AV3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0" s="84" cm="1">
        <f t="array" ref="AW3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0" s="84" cm="1">
        <f t="array" ref="AX3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0" s="84" cm="1">
        <f t="array" ref="AY3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0" s="84" cm="1">
        <f t="array" ref="AZ3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0" s="84" cm="1">
        <f t="array" ref="BA3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0" s="84" cm="1">
        <f t="array" ref="BB3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0" s="84">
        <f>IF(SUM(Table3[[#This Row],[Column2]:[Column18]])&gt;Table3[[#This Row],[Column19]],Table3[[#This Row],[Column19]],SUM(Table3[[#This Row],[Column2]:[Column18]]))</f>
        <v>140400</v>
      </c>
      <c r="BD350" s="2">
        <f>Table3[[#This Row],[Total Spend]]/SUM(Table3[[#This Row],[Column2]:[Column18]])</f>
        <v>1</v>
      </c>
    </row>
    <row r="351" spans="1:56">
      <c r="A351" s="84" t="s">
        <v>425</v>
      </c>
      <c r="B351" s="84" t="s">
        <v>57</v>
      </c>
      <c r="C351" s="84"/>
      <c r="D351" s="85">
        <v>45566</v>
      </c>
      <c r="E351" s="85" t="s">
        <v>92</v>
      </c>
      <c r="F351" s="84">
        <f>INDEX(Definitions!$G$13:$G$17,MATCH(Table3[[#This Row],[Propensity to buy/ buyer readiness]],Definitions!$A$13:$A$17,0))</f>
        <v>10000</v>
      </c>
      <c r="G351" s="86">
        <v>5</v>
      </c>
      <c r="H351" s="86">
        <v>5</v>
      </c>
      <c r="I351" s="86">
        <v>4</v>
      </c>
      <c r="J351" s="86">
        <v>4</v>
      </c>
      <c r="K351" s="86">
        <v>2</v>
      </c>
      <c r="L351" s="86">
        <f>SUM(Table3[[#This Row],[Strategic priority segment]:[Propensity to buy/ buyer readiness]])</f>
        <v>20</v>
      </c>
      <c r="M351" s="86" t="s">
        <v>102</v>
      </c>
      <c r="N351" s="84" t="s">
        <v>61</v>
      </c>
      <c r="O351" s="84" t="s">
        <v>264</v>
      </c>
      <c r="P351" s="87"/>
      <c r="Q351" s="87"/>
      <c r="R351" s="84"/>
      <c r="S351" s="84"/>
      <c r="T351" s="87"/>
      <c r="U351" s="84">
        <v>1</v>
      </c>
      <c r="V351" s="84">
        <v>0</v>
      </c>
      <c r="W351" s="84">
        <v>0</v>
      </c>
      <c r="X351" s="84">
        <v>0</v>
      </c>
      <c r="Y351" s="84">
        <v>0</v>
      </c>
      <c r="Z351" s="84">
        <v>1</v>
      </c>
      <c r="AA351" s="84">
        <v>1</v>
      </c>
      <c r="AB351" s="84">
        <v>1</v>
      </c>
      <c r="AC351" s="84">
        <v>1</v>
      </c>
      <c r="AD351" s="84">
        <v>0</v>
      </c>
      <c r="AE351" s="84">
        <v>0</v>
      </c>
      <c r="AF351" s="84">
        <v>0</v>
      </c>
      <c r="AG351" s="84">
        <v>0</v>
      </c>
      <c r="AH351" s="84">
        <v>0</v>
      </c>
      <c r="AI351" s="84">
        <v>0</v>
      </c>
      <c r="AJ351" s="84">
        <v>0</v>
      </c>
      <c r="AK351" s="84">
        <v>0</v>
      </c>
      <c r="AL351" s="84" cm="1">
        <f t="array" ref="AL3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1" s="84" cm="1">
        <f t="array" ref="AM3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1" s="84" cm="1">
        <f t="array" ref="AN3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1" s="84" cm="1">
        <f t="array" ref="AO3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1" s="84" cm="1">
        <f t="array" ref="AP3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1" s="84" cm="1">
        <f t="array" ref="AQ3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51" s="84" cm="1">
        <f t="array" ref="AR3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51" s="84" cm="1">
        <f t="array" ref="AS3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51" s="84" cm="1">
        <f t="array" ref="AT3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51" s="84" cm="1">
        <f t="array" ref="AU3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51" s="84" cm="1">
        <f t="array" ref="AV3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1" s="84" cm="1">
        <f t="array" ref="AW3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1" s="84" cm="1">
        <f t="array" ref="AX3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1" s="84" cm="1">
        <f t="array" ref="AY3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1" s="84" cm="1">
        <f t="array" ref="AZ3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1" s="84" cm="1">
        <f t="array" ref="BA3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1" s="84" cm="1">
        <f t="array" ref="BB3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1" s="84">
        <f>IF(SUM(Table3[[#This Row],[Column2]:[Column18]])&gt;Table3[[#This Row],[Column19]],Table3[[#This Row],[Column19]],SUM(Table3[[#This Row],[Column2]:[Column18]]))</f>
        <v>10000</v>
      </c>
      <c r="BD351" s="2">
        <f>Table3[[#This Row],[Total Spend]]/SUM(Table3[[#This Row],[Column2]:[Column18]])</f>
        <v>9.8328416912487712E-2</v>
      </c>
    </row>
    <row r="352" spans="1:56">
      <c r="A352" s="84" t="s">
        <v>426</v>
      </c>
      <c r="B352" s="84"/>
      <c r="C352" s="84" t="s">
        <v>57</v>
      </c>
      <c r="D352" s="85">
        <v>45566</v>
      </c>
      <c r="E352" s="85" t="s">
        <v>92</v>
      </c>
      <c r="F352" s="84">
        <f>INDEX(Definitions!$G$13:$G$17,MATCH(Table3[[#This Row],[Propensity to buy/ buyer readiness]],Definitions!$A$13:$A$17,0))</f>
        <v>50000</v>
      </c>
      <c r="G352" s="86">
        <v>5</v>
      </c>
      <c r="H352" s="86">
        <v>5</v>
      </c>
      <c r="I352" s="86">
        <v>3</v>
      </c>
      <c r="J352" s="86">
        <v>4</v>
      </c>
      <c r="K352" s="86">
        <v>3</v>
      </c>
      <c r="L352" s="86">
        <f>SUM(Table3[[#This Row],[Strategic priority segment]:[Propensity to buy/ buyer readiness]])</f>
        <v>20</v>
      </c>
      <c r="M352" s="86" t="s">
        <v>102</v>
      </c>
      <c r="N352" s="84" t="s">
        <v>61</v>
      </c>
      <c r="O352" s="84" t="s">
        <v>62</v>
      </c>
      <c r="P352" s="87"/>
      <c r="Q352" s="87"/>
      <c r="R352" s="84"/>
      <c r="S352" s="87"/>
      <c r="T352" s="87"/>
      <c r="U352" s="84">
        <v>1</v>
      </c>
      <c r="V352" s="84">
        <v>0</v>
      </c>
      <c r="W352" s="84">
        <v>0</v>
      </c>
      <c r="X352" s="84">
        <v>0</v>
      </c>
      <c r="Y352" s="84">
        <v>0</v>
      </c>
      <c r="Z352" s="84">
        <v>1</v>
      </c>
      <c r="AA352" s="84">
        <v>1</v>
      </c>
      <c r="AB352" s="84">
        <v>1</v>
      </c>
      <c r="AC352" s="84">
        <v>1</v>
      </c>
      <c r="AD352" s="84">
        <v>1</v>
      </c>
      <c r="AE352" s="84">
        <v>1</v>
      </c>
      <c r="AF352" s="84">
        <v>1</v>
      </c>
      <c r="AG352" s="84">
        <v>1</v>
      </c>
      <c r="AH352" s="84">
        <v>0</v>
      </c>
      <c r="AI352" s="84">
        <v>0</v>
      </c>
      <c r="AJ352" s="84">
        <v>0</v>
      </c>
      <c r="AK352" s="84">
        <v>0</v>
      </c>
      <c r="AL352" s="84" cm="1">
        <f t="array" ref="AL3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2" s="84" cm="1">
        <f t="array" ref="AM3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2" s="84" cm="1">
        <f t="array" ref="AN3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2" s="84" cm="1">
        <f t="array" ref="AO3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2" s="84" cm="1">
        <f t="array" ref="AP3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2" s="84" cm="1">
        <f t="array" ref="AQ3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52" s="84" cm="1">
        <f t="array" ref="AR3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52" s="84" cm="1">
        <f t="array" ref="AS3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52" s="84" cm="1">
        <f t="array" ref="AT3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52" s="84" cm="1">
        <f t="array" ref="AU3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52" s="84" cm="1">
        <f t="array" ref="AV3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52" s="84" cm="1">
        <f t="array" ref="AW3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52" s="84" cm="1">
        <f t="array" ref="AX3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52" s="84" cm="1">
        <f t="array" ref="AY3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2" s="84" cm="1">
        <f t="array" ref="AZ3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2" s="84" cm="1">
        <f t="array" ref="BA3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2" s="84" cm="1">
        <f t="array" ref="BB3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2" s="84">
        <f>IF(SUM(Table3[[#This Row],[Column2]:[Column18]])&gt;Table3[[#This Row],[Column19]],Table3[[#This Row],[Column19]],SUM(Table3[[#This Row],[Column2]:[Column18]]))</f>
        <v>50000</v>
      </c>
      <c r="BD352" s="2">
        <f>Table3[[#This Row],[Total Spend]]/SUM(Table3[[#This Row],[Column2]:[Column18]])</f>
        <v>0.2664535038635758</v>
      </c>
    </row>
    <row r="353" spans="1:56" ht="15.6" customHeight="1">
      <c r="A353" s="84" t="s">
        <v>427</v>
      </c>
      <c r="B353" s="84"/>
      <c r="C353" s="84" t="s">
        <v>57</v>
      </c>
      <c r="D353" s="85">
        <v>45809</v>
      </c>
      <c r="E353" s="85" t="s">
        <v>58</v>
      </c>
      <c r="F353" s="84">
        <f>INDEX(Definitions!$G$13:$G$17,MATCH(Table3[[#This Row],[Propensity to buy/ buyer readiness]],Definitions!$A$13:$A$17,0))</f>
        <v>150000</v>
      </c>
      <c r="G353" s="86">
        <v>5</v>
      </c>
      <c r="H353" s="86">
        <v>4</v>
      </c>
      <c r="I353" s="86">
        <v>3</v>
      </c>
      <c r="J353" s="86">
        <v>4</v>
      </c>
      <c r="K353" s="86">
        <v>4</v>
      </c>
      <c r="L353" s="86">
        <f>SUM(Table3[[#This Row],[Strategic priority segment]:[Propensity to buy/ buyer readiness]])</f>
        <v>20</v>
      </c>
      <c r="M353" s="86" t="s">
        <v>191</v>
      </c>
      <c r="N353" s="84" t="s">
        <v>135</v>
      </c>
      <c r="O353" s="84"/>
      <c r="P353" s="84"/>
      <c r="Q353" s="84"/>
      <c r="R353" s="84"/>
      <c r="S353" s="84"/>
      <c r="T353" s="87"/>
      <c r="U353" s="84">
        <v>0</v>
      </c>
      <c r="V353" s="84">
        <v>0</v>
      </c>
      <c r="W353" s="84">
        <v>0</v>
      </c>
      <c r="X353" s="84">
        <v>0</v>
      </c>
      <c r="Y353" s="84">
        <v>0</v>
      </c>
      <c r="Z353" s="84">
        <v>0</v>
      </c>
      <c r="AA353" s="84">
        <v>0</v>
      </c>
      <c r="AB353" s="84">
        <v>0</v>
      </c>
      <c r="AC353" s="84">
        <v>0</v>
      </c>
      <c r="AD353" s="84">
        <v>0</v>
      </c>
      <c r="AE353" s="84">
        <v>0</v>
      </c>
      <c r="AF353" s="84">
        <v>0</v>
      </c>
      <c r="AG353" s="84">
        <v>0</v>
      </c>
      <c r="AH353" s="84">
        <v>1</v>
      </c>
      <c r="AI353" s="84">
        <v>1</v>
      </c>
      <c r="AJ353" s="84">
        <v>1</v>
      </c>
      <c r="AK353" s="84">
        <v>1</v>
      </c>
      <c r="AL353" s="84" cm="1">
        <f t="array" ref="AL3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53" s="84" cm="1">
        <f t="array" ref="AM3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3" s="84" cm="1">
        <f t="array" ref="AN3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3" s="84" cm="1">
        <f t="array" ref="AO3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3" s="84" cm="1">
        <f t="array" ref="AP3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3" s="84" cm="1">
        <f t="array" ref="AQ3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53" s="84" cm="1">
        <f t="array" ref="AR3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53" s="84" cm="1">
        <f t="array" ref="AS3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53" s="84" cm="1">
        <f t="array" ref="AT3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53" s="84" cm="1">
        <f t="array" ref="AU3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53" s="84" cm="1">
        <f t="array" ref="AV3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3" s="84" cm="1">
        <f t="array" ref="AW3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3" s="84" cm="1">
        <f t="array" ref="AX3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3" s="84" cm="1">
        <f t="array" ref="AY3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53" s="84" cm="1">
        <f t="array" ref="AZ3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53" s="84" cm="1">
        <f t="array" ref="BA3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53" s="84" cm="1">
        <f t="array" ref="BB3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53" s="84">
        <f>IF(SUM(Table3[[#This Row],[Column2]:[Column18]])&gt;Table3[[#This Row],[Column19]],Table3[[#This Row],[Column19]],SUM(Table3[[#This Row],[Column2]:[Column18]]))</f>
        <v>64350</v>
      </c>
      <c r="BD353" s="2">
        <f>Table3[[#This Row],[Total Spend]]/SUM(Table3[[#This Row],[Column2]:[Column18]])</f>
        <v>1</v>
      </c>
    </row>
    <row r="354" spans="1:56">
      <c r="A354" s="84" t="s">
        <v>428</v>
      </c>
      <c r="B354" s="84"/>
      <c r="C354" s="84" t="s">
        <v>57</v>
      </c>
      <c r="D354" s="85">
        <v>45566</v>
      </c>
      <c r="E354" s="85" t="s">
        <v>92</v>
      </c>
      <c r="F354" s="84">
        <f>INDEX(Definitions!$G$13:$G$17,MATCH(Table3[[#This Row],[Propensity to buy/ buyer readiness]],Definitions!$A$13:$A$17,0))</f>
        <v>10000</v>
      </c>
      <c r="G354" s="86">
        <v>5</v>
      </c>
      <c r="H354" s="86">
        <v>5</v>
      </c>
      <c r="I354" s="86">
        <v>4</v>
      </c>
      <c r="J354" s="86">
        <v>4</v>
      </c>
      <c r="K354" s="86">
        <v>2</v>
      </c>
      <c r="L354" s="86">
        <f>SUM(Table3[[#This Row],[Strategic priority segment]:[Propensity to buy/ buyer readiness]])</f>
        <v>20</v>
      </c>
      <c r="M354" s="86" t="s">
        <v>102</v>
      </c>
      <c r="N354" s="84" t="s">
        <v>61</v>
      </c>
      <c r="O354" s="84" t="s">
        <v>62</v>
      </c>
      <c r="P354" s="87"/>
      <c r="Q354" s="87"/>
      <c r="R354" s="84"/>
      <c r="S354" s="87"/>
      <c r="T354" s="87"/>
      <c r="U354" s="84">
        <v>1</v>
      </c>
      <c r="V354" s="84">
        <v>0</v>
      </c>
      <c r="W354" s="84">
        <v>0</v>
      </c>
      <c r="X354" s="84">
        <v>0</v>
      </c>
      <c r="Y354" s="84">
        <v>0</v>
      </c>
      <c r="Z354" s="84">
        <v>1</v>
      </c>
      <c r="AA354" s="84">
        <v>1</v>
      </c>
      <c r="AB354" s="84">
        <v>1</v>
      </c>
      <c r="AC354" s="84">
        <v>1</v>
      </c>
      <c r="AD354" s="84">
        <v>1</v>
      </c>
      <c r="AE354" s="84">
        <v>1</v>
      </c>
      <c r="AF354" s="84">
        <v>1</v>
      </c>
      <c r="AG354" s="84">
        <v>1</v>
      </c>
      <c r="AH354" s="84">
        <v>0</v>
      </c>
      <c r="AI354" s="84">
        <v>0</v>
      </c>
      <c r="AJ354" s="84">
        <v>0</v>
      </c>
      <c r="AK354" s="84">
        <v>0</v>
      </c>
      <c r="AL354" s="84" cm="1">
        <f t="array" ref="AL3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4" s="84" cm="1">
        <f t="array" ref="AM3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4" s="84" cm="1">
        <f t="array" ref="AN3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4" s="84" cm="1">
        <f t="array" ref="AO3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4" s="84" cm="1">
        <f t="array" ref="AP3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4" s="84" cm="1">
        <f t="array" ref="AQ3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54" s="84" cm="1">
        <f t="array" ref="AR3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54" s="84" cm="1">
        <f t="array" ref="AS3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54" s="84" cm="1">
        <f t="array" ref="AT3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54" s="84" cm="1">
        <f t="array" ref="AU3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54" s="84" cm="1">
        <f t="array" ref="AV3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54" s="84" cm="1">
        <f t="array" ref="AW3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54" s="84" cm="1">
        <f t="array" ref="AX3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54" s="84" cm="1">
        <f t="array" ref="AY3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4" s="84" cm="1">
        <f t="array" ref="AZ3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4" s="84" cm="1">
        <f t="array" ref="BA3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4" s="84" cm="1">
        <f t="array" ref="BB3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4" s="84">
        <f>IF(SUM(Table3[[#This Row],[Column2]:[Column18]])&gt;Table3[[#This Row],[Column19]],Table3[[#This Row],[Column19]],SUM(Table3[[#This Row],[Column2]:[Column18]]))</f>
        <v>10000</v>
      </c>
      <c r="BD354" s="2">
        <f>Table3[[#This Row],[Total Spend]]/SUM(Table3[[#This Row],[Column2]:[Column18]])</f>
        <v>5.3290700772715159E-2</v>
      </c>
    </row>
    <row r="355" spans="1:56">
      <c r="A355" s="84" t="s">
        <v>429</v>
      </c>
      <c r="B355" s="84"/>
      <c r="C355" s="84"/>
      <c r="D355" s="85">
        <v>45566</v>
      </c>
      <c r="E355" s="85" t="s">
        <v>92</v>
      </c>
      <c r="F355" s="84">
        <f>INDEX(Definitions!$G$13:$G$17,MATCH(Table3[[#This Row],[Propensity to buy/ buyer readiness]],Definitions!$A$13:$A$17,0))</f>
        <v>50000</v>
      </c>
      <c r="G355" s="86">
        <v>5</v>
      </c>
      <c r="H355" s="86">
        <v>3</v>
      </c>
      <c r="I355" s="86">
        <v>4</v>
      </c>
      <c r="J355" s="86">
        <v>5</v>
      </c>
      <c r="K355" s="86">
        <v>3</v>
      </c>
      <c r="L355" s="86">
        <f>SUM(Table3[[#This Row],[Strategic priority segment]:[Propensity to buy/ buyer readiness]])</f>
        <v>20</v>
      </c>
      <c r="M355" s="86" t="s">
        <v>59</v>
      </c>
      <c r="N355" s="84" t="s">
        <v>60</v>
      </c>
      <c r="O355" s="87"/>
      <c r="P355" s="87"/>
      <c r="Q355" s="87"/>
      <c r="R355" s="84"/>
      <c r="S355" s="87"/>
      <c r="T355" s="87"/>
      <c r="U355" s="84">
        <v>1</v>
      </c>
      <c r="V355" s="84">
        <v>1</v>
      </c>
      <c r="W355" s="84">
        <v>1</v>
      </c>
      <c r="X355" s="84">
        <v>1</v>
      </c>
      <c r="Y355" s="84">
        <v>1</v>
      </c>
      <c r="Z355" s="84">
        <v>0</v>
      </c>
      <c r="AA355" s="84">
        <v>0</v>
      </c>
      <c r="AB355" s="84">
        <v>0</v>
      </c>
      <c r="AC355" s="84">
        <v>0</v>
      </c>
      <c r="AD355" s="84">
        <v>1</v>
      </c>
      <c r="AE355" s="84">
        <v>0</v>
      </c>
      <c r="AF355" s="84">
        <v>0</v>
      </c>
      <c r="AG355" s="84">
        <v>0</v>
      </c>
      <c r="AH355" s="84">
        <v>0</v>
      </c>
      <c r="AI355" s="84">
        <v>0</v>
      </c>
      <c r="AJ355" s="84">
        <v>0</v>
      </c>
      <c r="AK355" s="84">
        <v>0</v>
      </c>
      <c r="AL355" s="84" cm="1">
        <f t="array" ref="AL3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5" s="84" cm="1">
        <f t="array" ref="AM3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55" s="84" cm="1">
        <f t="array" ref="AN3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55" s="84" cm="1">
        <f t="array" ref="AO3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55" s="84" cm="1">
        <f t="array" ref="AP3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55" s="84" cm="1">
        <f t="array" ref="AQ3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55" s="84" cm="1">
        <f t="array" ref="AR3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55" s="84" cm="1">
        <f t="array" ref="AS3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55" s="84" cm="1">
        <f t="array" ref="AT3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55" s="84" cm="1">
        <f t="array" ref="AU3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55" s="84" cm="1">
        <f t="array" ref="AV3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5" s="84" cm="1">
        <f t="array" ref="AW3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5" s="84" cm="1">
        <f t="array" ref="AX3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5" s="84" cm="1">
        <f t="array" ref="AY3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5" s="84" cm="1">
        <f t="array" ref="AZ3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5" s="84" cm="1">
        <f t="array" ref="BA3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5" s="84" cm="1">
        <f t="array" ref="BB3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5" s="84">
        <f>IF(SUM(Table3[[#This Row],[Column2]:[Column18]])&gt;Table3[[#This Row],[Column19]],Table3[[#This Row],[Column19]],SUM(Table3[[#This Row],[Column2]:[Column18]]))</f>
        <v>50000</v>
      </c>
      <c r="BD355" s="2">
        <f>Table3[[#This Row],[Total Spend]]/SUM(Table3[[#This Row],[Column2]:[Column18]])</f>
        <v>0.26709401709401709</v>
      </c>
    </row>
    <row r="356" spans="1:56">
      <c r="A356" s="84" t="s">
        <v>430</v>
      </c>
      <c r="B356" s="84"/>
      <c r="C356" s="84"/>
      <c r="D356" s="85">
        <v>45566</v>
      </c>
      <c r="E356" s="85" t="s">
        <v>92</v>
      </c>
      <c r="F356" s="84">
        <f>INDEX(Definitions!$G$13:$G$17,MATCH(Table3[[#This Row],[Propensity to buy/ buyer readiness]],Definitions!$A$13:$A$17,0))</f>
        <v>50000</v>
      </c>
      <c r="G356" s="86">
        <v>5</v>
      </c>
      <c r="H356" s="86">
        <v>3</v>
      </c>
      <c r="I356" s="86">
        <v>4</v>
      </c>
      <c r="J356" s="86">
        <v>5</v>
      </c>
      <c r="K356" s="86">
        <v>3</v>
      </c>
      <c r="L356" s="86">
        <f>SUM(Table3[[#This Row],[Strategic priority segment]:[Propensity to buy/ buyer readiness]])</f>
        <v>20</v>
      </c>
      <c r="M356" s="86" t="s">
        <v>59</v>
      </c>
      <c r="N356" s="84" t="s">
        <v>60</v>
      </c>
      <c r="O356" s="87"/>
      <c r="P356" s="87"/>
      <c r="Q356" s="87"/>
      <c r="R356" s="84"/>
      <c r="S356" s="87"/>
      <c r="T356" s="87"/>
      <c r="U356" s="84">
        <v>1</v>
      </c>
      <c r="V356" s="84">
        <v>1</v>
      </c>
      <c r="W356" s="84">
        <v>1</v>
      </c>
      <c r="X356" s="84">
        <v>1</v>
      </c>
      <c r="Y356" s="84">
        <v>1</v>
      </c>
      <c r="Z356" s="84">
        <v>0</v>
      </c>
      <c r="AA356" s="84">
        <v>0</v>
      </c>
      <c r="AB356" s="84">
        <v>0</v>
      </c>
      <c r="AC356" s="84">
        <v>0</v>
      </c>
      <c r="AD356" s="84">
        <v>1</v>
      </c>
      <c r="AE356" s="84">
        <v>0</v>
      </c>
      <c r="AF356" s="84">
        <v>0</v>
      </c>
      <c r="AG356" s="84">
        <v>0</v>
      </c>
      <c r="AH356" s="84">
        <v>0</v>
      </c>
      <c r="AI356" s="84">
        <v>0</v>
      </c>
      <c r="AJ356" s="84">
        <v>0</v>
      </c>
      <c r="AK356" s="84">
        <v>0</v>
      </c>
      <c r="AL356" s="84" cm="1">
        <f t="array" ref="AL3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6" s="84" cm="1">
        <f t="array" ref="AM3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56" s="84" cm="1">
        <f t="array" ref="AN3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56" s="84" cm="1">
        <f t="array" ref="AO3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56" s="84" cm="1">
        <f t="array" ref="AP3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56" s="84" cm="1">
        <f t="array" ref="AQ3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56" s="84" cm="1">
        <f t="array" ref="AR3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56" s="84" cm="1">
        <f t="array" ref="AS3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56" s="84" cm="1">
        <f t="array" ref="AT3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56" s="84" cm="1">
        <f t="array" ref="AU3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56" s="84" cm="1">
        <f t="array" ref="AV3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6" s="84" cm="1">
        <f t="array" ref="AW3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6" s="84" cm="1">
        <f t="array" ref="AX3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6" s="84" cm="1">
        <f t="array" ref="AY3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6" s="84" cm="1">
        <f t="array" ref="AZ3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6" s="84" cm="1">
        <f t="array" ref="BA3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6" s="84" cm="1">
        <f t="array" ref="BB3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6" s="84">
        <f>IF(SUM(Table3[[#This Row],[Column2]:[Column18]])&gt;Table3[[#This Row],[Column19]],Table3[[#This Row],[Column19]],SUM(Table3[[#This Row],[Column2]:[Column18]]))</f>
        <v>50000</v>
      </c>
      <c r="BD356" s="2">
        <f>Table3[[#This Row],[Total Spend]]/SUM(Table3[[#This Row],[Column2]:[Column18]])</f>
        <v>0.26709401709401709</v>
      </c>
    </row>
    <row r="357" spans="1:56">
      <c r="A357" s="84" t="s">
        <v>431</v>
      </c>
      <c r="B357" s="84"/>
      <c r="C357" s="84"/>
      <c r="D357" s="85">
        <v>45566</v>
      </c>
      <c r="E357" s="85" t="s">
        <v>92</v>
      </c>
      <c r="F357" s="84">
        <f>INDEX(Definitions!$G$13:$G$17,MATCH(Table3[[#This Row],[Propensity to buy/ buyer readiness]],Definitions!$A$13:$A$17,0))</f>
        <v>50000</v>
      </c>
      <c r="G357" s="86">
        <v>5</v>
      </c>
      <c r="H357" s="86">
        <v>3</v>
      </c>
      <c r="I357" s="86">
        <v>4</v>
      </c>
      <c r="J357" s="86">
        <v>5</v>
      </c>
      <c r="K357" s="86">
        <v>3</v>
      </c>
      <c r="L357" s="86">
        <f>SUM(Table3[[#This Row],[Strategic priority segment]:[Propensity to buy/ buyer readiness]])</f>
        <v>20</v>
      </c>
      <c r="M357" s="86" t="s">
        <v>59</v>
      </c>
      <c r="N357" s="84" t="s">
        <v>60</v>
      </c>
      <c r="O357" s="87"/>
      <c r="P357" s="87"/>
      <c r="Q357" s="87"/>
      <c r="R357" s="84"/>
      <c r="S357" s="87"/>
      <c r="T357" s="87"/>
      <c r="U357" s="84">
        <v>1</v>
      </c>
      <c r="V357" s="84">
        <v>1</v>
      </c>
      <c r="W357" s="84">
        <v>1</v>
      </c>
      <c r="X357" s="84">
        <v>1</v>
      </c>
      <c r="Y357" s="84">
        <v>1</v>
      </c>
      <c r="Z357" s="84">
        <v>0</v>
      </c>
      <c r="AA357" s="84">
        <v>0</v>
      </c>
      <c r="AB357" s="84">
        <v>0</v>
      </c>
      <c r="AC357" s="84">
        <v>0</v>
      </c>
      <c r="AD357" s="84">
        <v>1</v>
      </c>
      <c r="AE357" s="84">
        <v>0</v>
      </c>
      <c r="AF357" s="84">
        <v>0</v>
      </c>
      <c r="AG357" s="84">
        <v>0</v>
      </c>
      <c r="AH357" s="84">
        <v>0</v>
      </c>
      <c r="AI357" s="84">
        <v>0</v>
      </c>
      <c r="AJ357" s="84">
        <v>0</v>
      </c>
      <c r="AK357" s="84">
        <v>0</v>
      </c>
      <c r="AL357" s="84" cm="1">
        <f t="array" ref="AL3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7" s="84" cm="1">
        <f t="array" ref="AM3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57" s="84" cm="1">
        <f t="array" ref="AN3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57" s="84" cm="1">
        <f t="array" ref="AO3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57" s="84" cm="1">
        <f t="array" ref="AP3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57" s="84" cm="1">
        <f t="array" ref="AQ3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57" s="84" cm="1">
        <f t="array" ref="AR3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57" s="84" cm="1">
        <f t="array" ref="AS3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57" s="84" cm="1">
        <f t="array" ref="AT3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57" s="84" cm="1">
        <f t="array" ref="AU3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57" s="84" cm="1">
        <f t="array" ref="AV3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7" s="84" cm="1">
        <f t="array" ref="AW3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7" s="84" cm="1">
        <f t="array" ref="AX3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7" s="84" cm="1">
        <f t="array" ref="AY3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7" s="84" cm="1">
        <f t="array" ref="AZ3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7" s="84" cm="1">
        <f t="array" ref="BA3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7" s="84" cm="1">
        <f t="array" ref="BB3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7" s="84">
        <f>IF(SUM(Table3[[#This Row],[Column2]:[Column18]])&gt;Table3[[#This Row],[Column19]],Table3[[#This Row],[Column19]],SUM(Table3[[#This Row],[Column2]:[Column18]]))</f>
        <v>50000</v>
      </c>
      <c r="BD357" s="2">
        <f>Table3[[#This Row],[Total Spend]]/SUM(Table3[[#This Row],[Column2]:[Column18]])</f>
        <v>0.26709401709401709</v>
      </c>
    </row>
    <row r="358" spans="1:56">
      <c r="A358" s="88" t="s">
        <v>432</v>
      </c>
      <c r="B358" s="88"/>
      <c r="C358" s="88"/>
      <c r="D358" s="85">
        <v>45566</v>
      </c>
      <c r="E358" s="85" t="s">
        <v>92</v>
      </c>
      <c r="F358" s="84">
        <f>INDEX(Definitions!$G$13:$G$17,MATCH(Table3[[#This Row],[Propensity to buy/ buyer readiness]],Definitions!$A$13:$A$17,0))</f>
        <v>150000</v>
      </c>
      <c r="G358" s="86">
        <v>5</v>
      </c>
      <c r="H358" s="86">
        <v>5</v>
      </c>
      <c r="I358" s="86">
        <v>2</v>
      </c>
      <c r="J358" s="86">
        <v>4</v>
      </c>
      <c r="K358" s="86">
        <v>4</v>
      </c>
      <c r="L358" s="86">
        <f>SUM(Table3[[#This Row],[Strategic priority segment]:[Propensity to buy/ buyer readiness]])</f>
        <v>20</v>
      </c>
      <c r="M358" s="86" t="s">
        <v>102</v>
      </c>
      <c r="N358" s="84" t="s">
        <v>61</v>
      </c>
      <c r="O358" s="84" t="s">
        <v>122</v>
      </c>
      <c r="P358" s="87"/>
      <c r="Q358" s="87"/>
      <c r="R358" s="84"/>
      <c r="S358" s="87"/>
      <c r="T358" s="87"/>
      <c r="U358" s="84">
        <v>1</v>
      </c>
      <c r="V358" s="84">
        <v>0</v>
      </c>
      <c r="W358" s="84">
        <v>0</v>
      </c>
      <c r="X358" s="84">
        <v>0</v>
      </c>
      <c r="Y358" s="84">
        <v>0</v>
      </c>
      <c r="Z358" s="84">
        <v>1</v>
      </c>
      <c r="AA358" s="84">
        <v>1</v>
      </c>
      <c r="AB358" s="84">
        <v>1</v>
      </c>
      <c r="AC358" s="84">
        <v>1</v>
      </c>
      <c r="AD358" s="84">
        <v>1</v>
      </c>
      <c r="AE358" s="84">
        <v>0</v>
      </c>
      <c r="AF358" s="84">
        <v>1</v>
      </c>
      <c r="AG358" s="84">
        <v>0</v>
      </c>
      <c r="AH358" s="84">
        <v>0</v>
      </c>
      <c r="AI358" s="84">
        <v>0</v>
      </c>
      <c r="AJ358" s="84">
        <v>0</v>
      </c>
      <c r="AK358" s="84">
        <v>0</v>
      </c>
      <c r="AL358" s="84" cm="1">
        <f t="array" ref="AL3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8" s="84" cm="1">
        <f t="array" ref="AM3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8" s="84" cm="1">
        <f t="array" ref="AN3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8" s="84" cm="1">
        <f t="array" ref="AO3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8" s="84" cm="1">
        <f t="array" ref="AP3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8" s="84" cm="1">
        <f t="array" ref="AQ3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58" s="84" cm="1">
        <f t="array" ref="AR3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58" s="84" cm="1">
        <f t="array" ref="AS3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58" s="84" cm="1">
        <f t="array" ref="AT3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58" s="84" cm="1">
        <f t="array" ref="AU3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58" s="84" cm="1">
        <f t="array" ref="AV3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8" s="84" cm="1">
        <f t="array" ref="AW3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58" s="84" cm="1">
        <f t="array" ref="AX3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8" s="84" cm="1">
        <f t="array" ref="AY3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58" s="84" cm="1">
        <f t="array" ref="AZ3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58" s="84" cm="1">
        <f t="array" ref="BA3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58" s="84" cm="1">
        <f t="array" ref="BB3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58" s="84">
        <f>IF(SUM(Table3[[#This Row],[Column2]:[Column18]])&gt;Table3[[#This Row],[Column19]],Table3[[#This Row],[Column19]],SUM(Table3[[#This Row],[Column2]:[Column18]]))</f>
        <v>150000</v>
      </c>
      <c r="BD358" s="2">
        <f>Table3[[#This Row],[Total Spend]]/SUM(Table3[[#This Row],[Column2]:[Column18]])</f>
        <v>0.96899224806201545</v>
      </c>
    </row>
    <row r="359" spans="1:56">
      <c r="A359" s="84" t="s">
        <v>433</v>
      </c>
      <c r="B359" s="84"/>
      <c r="C359" s="84" t="s">
        <v>57</v>
      </c>
      <c r="D359" s="85">
        <v>45809</v>
      </c>
      <c r="E359" s="85" t="s">
        <v>92</v>
      </c>
      <c r="F359" s="84">
        <f>INDEX(Definitions!$G$13:$G$17,MATCH(Table3[[#This Row],[Propensity to buy/ buyer readiness]],Definitions!$A$13:$A$17,0))</f>
        <v>50000</v>
      </c>
      <c r="G359" s="86">
        <v>5</v>
      </c>
      <c r="H359" s="86">
        <v>5</v>
      </c>
      <c r="I359" s="86">
        <v>3</v>
      </c>
      <c r="J359" s="86">
        <v>4</v>
      </c>
      <c r="K359" s="86">
        <v>3</v>
      </c>
      <c r="L359" s="86">
        <f>SUM(Table3[[#This Row],[Strategic priority segment]:[Propensity to buy/ buyer readiness]])</f>
        <v>20</v>
      </c>
      <c r="M359" s="86" t="s">
        <v>102</v>
      </c>
      <c r="N359" s="84" t="s">
        <v>61</v>
      </c>
      <c r="O359" s="84" t="s">
        <v>135</v>
      </c>
      <c r="P359" s="84"/>
      <c r="Q359" s="84"/>
      <c r="R359" s="84"/>
      <c r="S359" s="84"/>
      <c r="T359" s="87"/>
      <c r="U359" s="84">
        <v>1</v>
      </c>
      <c r="V359" s="84">
        <v>0</v>
      </c>
      <c r="W359" s="84">
        <v>0</v>
      </c>
      <c r="X359" s="84">
        <v>0</v>
      </c>
      <c r="Y359" s="84">
        <v>0</v>
      </c>
      <c r="Z359" s="84">
        <v>1</v>
      </c>
      <c r="AA359" s="84">
        <v>1</v>
      </c>
      <c r="AB359" s="84">
        <v>1</v>
      </c>
      <c r="AC359" s="84">
        <v>1</v>
      </c>
      <c r="AD359" s="84">
        <v>0</v>
      </c>
      <c r="AE359" s="84">
        <v>0</v>
      </c>
      <c r="AF359" s="84">
        <v>0</v>
      </c>
      <c r="AG359" s="84">
        <v>0</v>
      </c>
      <c r="AH359" s="84">
        <v>1</v>
      </c>
      <c r="AI359" s="84">
        <v>1</v>
      </c>
      <c r="AJ359" s="84">
        <v>1</v>
      </c>
      <c r="AK359" s="84">
        <v>1</v>
      </c>
      <c r="AL359" s="84" cm="1">
        <f t="array" ref="AL3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59" s="84" cm="1">
        <f t="array" ref="AM3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59" s="84" cm="1">
        <f t="array" ref="AN3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59" s="84" cm="1">
        <f t="array" ref="AO3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59" s="84" cm="1">
        <f t="array" ref="AP3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59" s="84" cm="1">
        <f t="array" ref="AQ3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59" s="84" cm="1">
        <f t="array" ref="AR3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59" s="84" cm="1">
        <f t="array" ref="AS3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59" s="84" cm="1">
        <f t="array" ref="AT3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59" s="84" cm="1">
        <f t="array" ref="AU3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59" s="84" cm="1">
        <f t="array" ref="AV3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59" s="84" cm="1">
        <f t="array" ref="AW3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59" s="84" cm="1">
        <f t="array" ref="AX3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59" s="84" cm="1">
        <f t="array" ref="AY3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59" s="84" cm="1">
        <f t="array" ref="AZ3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59" s="84" cm="1">
        <f t="array" ref="BA3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59" s="84" cm="1">
        <f t="array" ref="BB3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59" s="84">
        <f>IF(SUM(Table3[[#This Row],[Column2]:[Column18]])&gt;Table3[[#This Row],[Column19]],Table3[[#This Row],[Column19]],SUM(Table3[[#This Row],[Column2]:[Column18]]))</f>
        <v>50000</v>
      </c>
      <c r="BD359" s="2">
        <f>Table3[[#This Row],[Total Spend]]/SUM(Table3[[#This Row],[Column2]:[Column18]])</f>
        <v>0.33772374197906113</v>
      </c>
    </row>
    <row r="360" spans="1:56">
      <c r="A360" s="84" t="s">
        <v>434</v>
      </c>
      <c r="B360" s="84"/>
      <c r="C360" s="84"/>
      <c r="D360" s="85">
        <v>45809</v>
      </c>
      <c r="E360" s="85" t="s">
        <v>92</v>
      </c>
      <c r="F360" s="84">
        <f>INDEX(Definitions!$G$13:$G$17,MATCH(Table3[[#This Row],[Propensity to buy/ buyer readiness]],Definitions!$A$13:$A$17,0))</f>
        <v>150000</v>
      </c>
      <c r="G360" s="86">
        <v>5</v>
      </c>
      <c r="H360" s="86">
        <v>5</v>
      </c>
      <c r="I360" s="86">
        <v>2</v>
      </c>
      <c r="J360" s="86">
        <v>4</v>
      </c>
      <c r="K360" s="86">
        <v>4</v>
      </c>
      <c r="L360" s="86">
        <f>SUM(Table3[[#This Row],[Strategic priority segment]:[Propensity to buy/ buyer readiness]])</f>
        <v>20</v>
      </c>
      <c r="M360" s="86" t="s">
        <v>102</v>
      </c>
      <c r="N360" s="84" t="s">
        <v>61</v>
      </c>
      <c r="O360" s="84"/>
      <c r="P360" s="84"/>
      <c r="Q360" s="84"/>
      <c r="R360" s="84"/>
      <c r="S360" s="84"/>
      <c r="T360" s="87"/>
      <c r="U360" s="84">
        <v>1</v>
      </c>
      <c r="V360" s="84">
        <v>0</v>
      </c>
      <c r="W360" s="84">
        <v>0</v>
      </c>
      <c r="X360" s="84">
        <v>0</v>
      </c>
      <c r="Y360" s="84">
        <v>0</v>
      </c>
      <c r="Z360" s="84">
        <v>1</v>
      </c>
      <c r="AA360" s="84">
        <v>1</v>
      </c>
      <c r="AB360" s="84">
        <v>1</v>
      </c>
      <c r="AC360" s="84">
        <v>1</v>
      </c>
      <c r="AD360" s="84">
        <v>0</v>
      </c>
      <c r="AE360" s="84">
        <v>0</v>
      </c>
      <c r="AF360" s="84">
        <v>0</v>
      </c>
      <c r="AG360" s="84">
        <v>0</v>
      </c>
      <c r="AH360" s="84">
        <v>0</v>
      </c>
      <c r="AI360" s="84">
        <v>0</v>
      </c>
      <c r="AJ360" s="84">
        <v>0</v>
      </c>
      <c r="AK360" s="84">
        <v>0</v>
      </c>
      <c r="AL360" s="84" cm="1">
        <f t="array" ref="AL3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0" s="84" cm="1">
        <f t="array" ref="AM3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0" s="84" cm="1">
        <f t="array" ref="AN3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0" s="84" cm="1">
        <f t="array" ref="AO3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0" s="84" cm="1">
        <f t="array" ref="AP3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0" s="84" cm="1">
        <f t="array" ref="AQ3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60" s="84" cm="1">
        <f t="array" ref="AR3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60" s="84" cm="1">
        <f t="array" ref="AS3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60" s="84" cm="1">
        <f t="array" ref="AT3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60" s="84" cm="1">
        <f t="array" ref="AU3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60" s="84" cm="1">
        <f t="array" ref="AV3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0" s="84" cm="1">
        <f t="array" ref="AW3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0" s="84" cm="1">
        <f t="array" ref="AX3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0" s="84" cm="1">
        <f t="array" ref="AY3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60" s="84" cm="1">
        <f t="array" ref="AZ3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60" s="84" cm="1">
        <f t="array" ref="BA3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60" s="84" cm="1">
        <f t="array" ref="BB3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60" s="84">
        <f>IF(SUM(Table3[[#This Row],[Column2]:[Column18]])&gt;Table3[[#This Row],[Column19]],Table3[[#This Row],[Column19]],SUM(Table3[[#This Row],[Column2]:[Column18]]))</f>
        <v>101700</v>
      </c>
      <c r="BD360" s="2">
        <f>Table3[[#This Row],[Total Spend]]/SUM(Table3[[#This Row],[Column2]:[Column18]])</f>
        <v>1</v>
      </c>
    </row>
    <row r="361" spans="1:56">
      <c r="A361" s="84" t="s">
        <v>435</v>
      </c>
      <c r="B361" s="84"/>
      <c r="C361" s="84" t="s">
        <v>57</v>
      </c>
      <c r="D361" s="85">
        <v>45566</v>
      </c>
      <c r="E361" s="85" t="s">
        <v>58</v>
      </c>
      <c r="F361" s="84">
        <f>INDEX(Definitions!$G$13:$G$17,MATCH(Table3[[#This Row],[Propensity to buy/ buyer readiness]],Definitions!$A$13:$A$17,0))</f>
        <v>50000</v>
      </c>
      <c r="G361" s="86">
        <v>5</v>
      </c>
      <c r="H361" s="86">
        <v>4</v>
      </c>
      <c r="I361" s="86">
        <v>4</v>
      </c>
      <c r="J361" s="86">
        <v>4</v>
      </c>
      <c r="K361" s="86">
        <v>3</v>
      </c>
      <c r="L361" s="86">
        <f>SUM(Table3[[#This Row],[Strategic priority segment]:[Propensity to buy/ buyer readiness]])</f>
        <v>20</v>
      </c>
      <c r="M361" s="86" t="s">
        <v>191</v>
      </c>
      <c r="N361" s="84" t="s">
        <v>135</v>
      </c>
      <c r="O361" s="84"/>
      <c r="P361" s="84"/>
      <c r="Q361" s="84"/>
      <c r="R361" s="84"/>
      <c r="S361" s="87"/>
      <c r="T361" s="87"/>
      <c r="U361" s="84">
        <v>0</v>
      </c>
      <c r="V361" s="84">
        <v>0</v>
      </c>
      <c r="W361" s="84">
        <v>0</v>
      </c>
      <c r="X361" s="84">
        <v>0</v>
      </c>
      <c r="Y361" s="84">
        <v>0</v>
      </c>
      <c r="Z361" s="84">
        <v>0</v>
      </c>
      <c r="AA361" s="84">
        <v>0</v>
      </c>
      <c r="AB361" s="84">
        <v>0</v>
      </c>
      <c r="AC361" s="84">
        <v>0</v>
      </c>
      <c r="AD361" s="84">
        <v>0</v>
      </c>
      <c r="AE361" s="84">
        <v>0</v>
      </c>
      <c r="AF361" s="84">
        <v>0</v>
      </c>
      <c r="AG361" s="84">
        <v>0</v>
      </c>
      <c r="AH361" s="84">
        <v>1</v>
      </c>
      <c r="AI361" s="84">
        <v>1</v>
      </c>
      <c r="AJ361" s="84">
        <v>1</v>
      </c>
      <c r="AK361" s="84">
        <v>1</v>
      </c>
      <c r="AL361" s="84" cm="1">
        <f t="array" ref="AL3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61" s="84" cm="1">
        <f t="array" ref="AM3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1" s="84" cm="1">
        <f t="array" ref="AN3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1" s="84" cm="1">
        <f t="array" ref="AO3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1" s="84" cm="1">
        <f t="array" ref="AP3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1" s="84" cm="1">
        <f t="array" ref="AQ3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61" s="84" cm="1">
        <f t="array" ref="AR3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61" s="84" cm="1">
        <f t="array" ref="AS3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61" s="84" cm="1">
        <f t="array" ref="AT3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1" s="84" cm="1">
        <f t="array" ref="AU3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61" s="84" cm="1">
        <f t="array" ref="AV3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1" s="84" cm="1">
        <f t="array" ref="AW3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1" s="84" cm="1">
        <f t="array" ref="AX3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1" s="84" cm="1">
        <f t="array" ref="AY3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61" s="84" cm="1">
        <f t="array" ref="AZ3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61" s="84" cm="1">
        <f t="array" ref="BA3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61" s="84" cm="1">
        <f t="array" ref="BB3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61" s="84">
        <f>IF(SUM(Table3[[#This Row],[Column2]:[Column18]])&gt;Table3[[#This Row],[Column19]],Table3[[#This Row],[Column19]],SUM(Table3[[#This Row],[Column2]:[Column18]]))</f>
        <v>50000</v>
      </c>
      <c r="BD361" s="2">
        <f>Table3[[#This Row],[Total Spend]]/SUM(Table3[[#This Row],[Column2]:[Column18]])</f>
        <v>0.77700077700077697</v>
      </c>
    </row>
    <row r="362" spans="1:56">
      <c r="A362" s="84" t="s">
        <v>436</v>
      </c>
      <c r="B362" s="84"/>
      <c r="C362" s="84"/>
      <c r="D362" s="85">
        <v>45566</v>
      </c>
      <c r="E362" s="85" t="s">
        <v>92</v>
      </c>
      <c r="F362" s="84">
        <f>INDEX(Definitions!$G$13:$G$17,MATCH(Table3[[#This Row],[Propensity to buy/ buyer readiness]],Definitions!$A$13:$A$17,0))</f>
        <v>50000</v>
      </c>
      <c r="G362" s="86">
        <v>5</v>
      </c>
      <c r="H362" s="86">
        <v>3</v>
      </c>
      <c r="I362" s="86">
        <v>4</v>
      </c>
      <c r="J362" s="86">
        <v>5</v>
      </c>
      <c r="K362" s="86">
        <v>3</v>
      </c>
      <c r="L362" s="86">
        <f>SUM(Table3[[#This Row],[Strategic priority segment]:[Propensity to buy/ buyer readiness]])</f>
        <v>20</v>
      </c>
      <c r="M362" s="86" t="s">
        <v>59</v>
      </c>
      <c r="N362" s="84" t="s">
        <v>60</v>
      </c>
      <c r="O362" s="87"/>
      <c r="P362" s="87"/>
      <c r="Q362" s="87"/>
      <c r="R362" s="84"/>
      <c r="S362" s="87"/>
      <c r="T362" s="84"/>
      <c r="U362" s="84">
        <v>1</v>
      </c>
      <c r="V362" s="84">
        <v>1</v>
      </c>
      <c r="W362" s="84">
        <v>1</v>
      </c>
      <c r="X362" s="84">
        <v>1</v>
      </c>
      <c r="Y362" s="84">
        <v>1</v>
      </c>
      <c r="Z362" s="84">
        <v>0</v>
      </c>
      <c r="AA362" s="84">
        <v>0</v>
      </c>
      <c r="AB362" s="84">
        <v>0</v>
      </c>
      <c r="AC362" s="84">
        <v>0</v>
      </c>
      <c r="AD362" s="84">
        <v>1</v>
      </c>
      <c r="AE362" s="84">
        <v>0</v>
      </c>
      <c r="AF362" s="84">
        <v>0</v>
      </c>
      <c r="AG362" s="84">
        <v>0</v>
      </c>
      <c r="AH362" s="84">
        <v>0</v>
      </c>
      <c r="AI362" s="84">
        <v>0</v>
      </c>
      <c r="AJ362" s="84">
        <v>0</v>
      </c>
      <c r="AK362" s="84">
        <v>0</v>
      </c>
      <c r="AL362" s="84" cm="1">
        <f t="array" ref="AL3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2" s="84" cm="1">
        <f t="array" ref="AM3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62" s="84" cm="1">
        <f t="array" ref="AN3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62" s="84" cm="1">
        <f t="array" ref="AO3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62" s="84" cm="1">
        <f t="array" ref="AP3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62" s="84" cm="1">
        <f t="array" ref="AQ3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62" s="84" cm="1">
        <f t="array" ref="AR3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62" s="84" cm="1">
        <f t="array" ref="AS3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62" s="84" cm="1">
        <f t="array" ref="AT3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2" s="84" cm="1">
        <f t="array" ref="AU3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62" s="84" cm="1">
        <f t="array" ref="AV3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2" s="84" cm="1">
        <f t="array" ref="AW3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2" s="84" cm="1">
        <f t="array" ref="AX3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2" s="84" cm="1">
        <f t="array" ref="AY3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62" s="84" cm="1">
        <f t="array" ref="AZ3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62" s="84" cm="1">
        <f t="array" ref="BA3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62" s="84" cm="1">
        <f t="array" ref="BB3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62" s="84">
        <f>IF(SUM(Table3[[#This Row],[Column2]:[Column18]])&gt;Table3[[#This Row],[Column19]],Table3[[#This Row],[Column19]],SUM(Table3[[#This Row],[Column2]:[Column18]]))</f>
        <v>50000</v>
      </c>
      <c r="BD362" s="2">
        <f>Table3[[#This Row],[Total Spend]]/SUM(Table3[[#This Row],[Column2]:[Column18]])</f>
        <v>0.26709401709401709</v>
      </c>
    </row>
    <row r="363" spans="1:56">
      <c r="A363" s="84" t="s">
        <v>437</v>
      </c>
      <c r="B363" s="84"/>
      <c r="C363" s="84" t="s">
        <v>57</v>
      </c>
      <c r="D363" s="85">
        <v>45809</v>
      </c>
      <c r="E363" s="85" t="s">
        <v>92</v>
      </c>
      <c r="F363" s="84">
        <f>INDEX(Definitions!$G$13:$G$17,MATCH(Table3[[#This Row],[Propensity to buy/ buyer readiness]],Definitions!$A$13:$A$17,0))</f>
        <v>50000</v>
      </c>
      <c r="G363" s="86">
        <v>5</v>
      </c>
      <c r="H363" s="86">
        <v>5</v>
      </c>
      <c r="I363" s="86">
        <v>3</v>
      </c>
      <c r="J363" s="86">
        <v>4</v>
      </c>
      <c r="K363" s="86">
        <v>3</v>
      </c>
      <c r="L363" s="86">
        <f>SUM(Table3[[#This Row],[Strategic priority segment]:[Propensity to buy/ buyer readiness]])</f>
        <v>20</v>
      </c>
      <c r="M363" s="86" t="s">
        <v>102</v>
      </c>
      <c r="N363" s="84" t="s">
        <v>61</v>
      </c>
      <c r="O363" s="84" t="s">
        <v>135</v>
      </c>
      <c r="P363" s="84"/>
      <c r="Q363" s="84"/>
      <c r="R363" s="84"/>
      <c r="S363" s="84"/>
      <c r="T363" s="87"/>
      <c r="U363" s="84">
        <v>1</v>
      </c>
      <c r="V363" s="84">
        <v>0</v>
      </c>
      <c r="W363" s="84">
        <v>0</v>
      </c>
      <c r="X363" s="84">
        <v>0</v>
      </c>
      <c r="Y363" s="84">
        <v>0</v>
      </c>
      <c r="Z363" s="84">
        <v>1</v>
      </c>
      <c r="AA363" s="84">
        <v>1</v>
      </c>
      <c r="AB363" s="84">
        <v>1</v>
      </c>
      <c r="AC363" s="84">
        <v>1</v>
      </c>
      <c r="AD363" s="84">
        <v>0</v>
      </c>
      <c r="AE363" s="84">
        <v>0</v>
      </c>
      <c r="AF363" s="84">
        <v>0</v>
      </c>
      <c r="AG363" s="84">
        <v>0</v>
      </c>
      <c r="AH363" s="84">
        <v>1</v>
      </c>
      <c r="AI363" s="84">
        <v>1</v>
      </c>
      <c r="AJ363" s="84">
        <v>1</v>
      </c>
      <c r="AK363" s="84">
        <v>1</v>
      </c>
      <c r="AL363" s="84" cm="1">
        <f t="array" ref="AL3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3" s="84" cm="1">
        <f t="array" ref="AM3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3" s="84" cm="1">
        <f t="array" ref="AN3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3" s="84" cm="1">
        <f t="array" ref="AO3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3" s="84" cm="1">
        <f t="array" ref="AP3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3" s="84" cm="1">
        <f t="array" ref="AQ3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63" s="84" cm="1">
        <f t="array" ref="AR3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63" s="84" cm="1">
        <f t="array" ref="AS3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63" s="84" cm="1">
        <f t="array" ref="AT3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63" s="84" cm="1">
        <f t="array" ref="AU3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63" s="84" cm="1">
        <f t="array" ref="AV3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3" s="84" cm="1">
        <f t="array" ref="AW3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3" s="84" cm="1">
        <f t="array" ref="AX3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3" s="84" cm="1">
        <f t="array" ref="AY3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63" s="84" cm="1">
        <f t="array" ref="AZ3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63" s="84" cm="1">
        <f t="array" ref="BA3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63" s="84" cm="1">
        <f t="array" ref="BB3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63" s="84">
        <f>IF(SUM(Table3[[#This Row],[Column2]:[Column18]])&gt;Table3[[#This Row],[Column19]],Table3[[#This Row],[Column19]],SUM(Table3[[#This Row],[Column2]:[Column18]]))</f>
        <v>50000</v>
      </c>
      <c r="BD363" s="2">
        <f>Table3[[#This Row],[Total Spend]]/SUM(Table3[[#This Row],[Column2]:[Column18]])</f>
        <v>0.33772374197906113</v>
      </c>
    </row>
    <row r="364" spans="1:56">
      <c r="A364" s="84" t="s">
        <v>438</v>
      </c>
      <c r="B364" s="84"/>
      <c r="C364" s="84"/>
      <c r="D364" s="85">
        <v>45566</v>
      </c>
      <c r="E364" s="85" t="s">
        <v>92</v>
      </c>
      <c r="F364" s="84">
        <f>INDEX(Definitions!$G$13:$G$17,MATCH(Table3[[#This Row],[Propensity to buy/ buyer readiness]],Definitions!$A$13:$A$17,0))</f>
        <v>50000</v>
      </c>
      <c r="G364" s="86">
        <v>5</v>
      </c>
      <c r="H364" s="86">
        <v>3</v>
      </c>
      <c r="I364" s="86">
        <v>4</v>
      </c>
      <c r="J364" s="86">
        <v>5</v>
      </c>
      <c r="K364" s="86">
        <v>3</v>
      </c>
      <c r="L364" s="86">
        <f>SUM(Table3[[#This Row],[Strategic priority segment]:[Propensity to buy/ buyer readiness]])</f>
        <v>20</v>
      </c>
      <c r="M364" s="86" t="s">
        <v>59</v>
      </c>
      <c r="N364" s="84" t="s">
        <v>60</v>
      </c>
      <c r="O364" s="87"/>
      <c r="P364" s="87"/>
      <c r="Q364" s="87"/>
      <c r="R364" s="84"/>
      <c r="S364" s="87"/>
      <c r="T364" s="87"/>
      <c r="U364" s="84">
        <v>1</v>
      </c>
      <c r="V364" s="84">
        <v>1</v>
      </c>
      <c r="W364" s="84">
        <v>1</v>
      </c>
      <c r="X364" s="84">
        <v>1</v>
      </c>
      <c r="Y364" s="84">
        <v>1</v>
      </c>
      <c r="Z364" s="84">
        <v>0</v>
      </c>
      <c r="AA364" s="84">
        <v>0</v>
      </c>
      <c r="AB364" s="84">
        <v>0</v>
      </c>
      <c r="AC364" s="84">
        <v>0</v>
      </c>
      <c r="AD364" s="84">
        <v>1</v>
      </c>
      <c r="AE364" s="84">
        <v>0</v>
      </c>
      <c r="AF364" s="84">
        <v>0</v>
      </c>
      <c r="AG364" s="84">
        <v>0</v>
      </c>
      <c r="AH364" s="84">
        <v>0</v>
      </c>
      <c r="AI364" s="84">
        <v>0</v>
      </c>
      <c r="AJ364" s="84">
        <v>0</v>
      </c>
      <c r="AK364" s="84">
        <v>0</v>
      </c>
      <c r="AL364" s="84" cm="1">
        <f t="array" ref="AL3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4" s="84" cm="1">
        <f t="array" ref="AM3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64" s="84" cm="1">
        <f t="array" ref="AN3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64" s="84" cm="1">
        <f t="array" ref="AO3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64" s="84" cm="1">
        <f t="array" ref="AP3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64" s="84" cm="1">
        <f t="array" ref="AQ3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64" s="84" cm="1">
        <f t="array" ref="AR3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64" s="84" cm="1">
        <f t="array" ref="AS3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64" s="84" cm="1">
        <f t="array" ref="AT3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4" s="84" cm="1">
        <f t="array" ref="AU3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64" s="84" cm="1">
        <f t="array" ref="AV3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4" s="84" cm="1">
        <f t="array" ref="AW3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4" s="84" cm="1">
        <f t="array" ref="AX3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4" s="84" cm="1">
        <f t="array" ref="AY3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64" s="84" cm="1">
        <f t="array" ref="AZ3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64" s="84" cm="1">
        <f t="array" ref="BA3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64" s="84" cm="1">
        <f t="array" ref="BB3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64" s="84">
        <f>IF(SUM(Table3[[#This Row],[Column2]:[Column18]])&gt;Table3[[#This Row],[Column19]],Table3[[#This Row],[Column19]],SUM(Table3[[#This Row],[Column2]:[Column18]]))</f>
        <v>50000</v>
      </c>
      <c r="BD364" s="2">
        <f>Table3[[#This Row],[Total Spend]]/SUM(Table3[[#This Row],[Column2]:[Column18]])</f>
        <v>0.26709401709401709</v>
      </c>
    </row>
    <row r="365" spans="1:56">
      <c r="A365" s="84" t="s">
        <v>439</v>
      </c>
      <c r="B365" s="84" t="s">
        <v>57</v>
      </c>
      <c r="C365" s="84"/>
      <c r="D365" s="85">
        <v>45566</v>
      </c>
      <c r="E365" s="85" t="s">
        <v>58</v>
      </c>
      <c r="F365" s="84">
        <f>INDEX(Definitions!$G$13:$G$17,MATCH(Table3[[#This Row],[Propensity to buy/ buyer readiness]],Definitions!$A$13:$A$17,0))</f>
        <v>50000</v>
      </c>
      <c r="G365" s="86">
        <v>5</v>
      </c>
      <c r="H365" s="86">
        <v>4</v>
      </c>
      <c r="I365" s="86">
        <v>4</v>
      </c>
      <c r="J365" s="86">
        <v>4</v>
      </c>
      <c r="K365" s="86">
        <v>3</v>
      </c>
      <c r="L365" s="86">
        <f>SUM(Table3[[#This Row],[Strategic priority segment]:[Propensity to buy/ buyer readiness]])</f>
        <v>20</v>
      </c>
      <c r="M365" s="86" t="s">
        <v>191</v>
      </c>
      <c r="N365" s="84" t="s">
        <v>135</v>
      </c>
      <c r="O365" s="84" t="s">
        <v>122</v>
      </c>
      <c r="P365" s="87"/>
      <c r="Q365" s="87"/>
      <c r="R365" s="84"/>
      <c r="S365" s="84"/>
      <c r="T365" s="84"/>
      <c r="U365" s="84">
        <v>1</v>
      </c>
      <c r="V365" s="84">
        <v>0</v>
      </c>
      <c r="W365" s="84">
        <v>0</v>
      </c>
      <c r="X365" s="84">
        <v>0</v>
      </c>
      <c r="Y365" s="84">
        <v>0</v>
      </c>
      <c r="Z365" s="84">
        <v>1</v>
      </c>
      <c r="AA365" s="84">
        <v>0</v>
      </c>
      <c r="AB365" s="84">
        <v>1</v>
      </c>
      <c r="AC365" s="84">
        <v>0</v>
      </c>
      <c r="AD365" s="84">
        <v>1</v>
      </c>
      <c r="AE365" s="84">
        <v>0</v>
      </c>
      <c r="AF365" s="84">
        <v>1</v>
      </c>
      <c r="AG365" s="84">
        <v>0</v>
      </c>
      <c r="AH365" s="84">
        <v>1</v>
      </c>
      <c r="AI365" s="84">
        <v>1</v>
      </c>
      <c r="AJ365" s="84">
        <v>1</v>
      </c>
      <c r="AK365" s="84">
        <v>1</v>
      </c>
      <c r="AL365" s="84" cm="1">
        <f t="array" ref="AL3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65" s="84" cm="1">
        <f t="array" ref="AM3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5" s="84" cm="1">
        <f t="array" ref="AN3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5" s="84" cm="1">
        <f t="array" ref="AO3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5" s="84" cm="1">
        <f t="array" ref="AP3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5" s="84" cm="1">
        <f t="array" ref="AQ3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65" s="84" cm="1">
        <f t="array" ref="AR3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65" s="84" cm="1">
        <f t="array" ref="AS3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65" s="84" cm="1">
        <f t="array" ref="AT3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5" s="84" cm="1">
        <f t="array" ref="AU3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65" s="84" cm="1">
        <f t="array" ref="AV3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5" s="84" cm="1">
        <f t="array" ref="AW3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65" s="84" cm="1">
        <f t="array" ref="AX3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5" s="84" cm="1">
        <f t="array" ref="AY3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65" s="84" cm="1">
        <f t="array" ref="AZ3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65" s="84" cm="1">
        <f t="array" ref="BA3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65" s="84" cm="1">
        <f t="array" ref="BB3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65" s="84">
        <f>IF(SUM(Table3[[#This Row],[Column2]:[Column18]])&gt;Table3[[#This Row],[Column19]],Table3[[#This Row],[Column19]],SUM(Table3[[#This Row],[Column2]:[Column18]]))</f>
        <v>50000</v>
      </c>
      <c r="BD365" s="2">
        <f>Table3[[#This Row],[Total Spend]]/SUM(Table3[[#This Row],[Column2]:[Column18]])</f>
        <v>0.21574973031283712</v>
      </c>
    </row>
    <row r="366" spans="1:56">
      <c r="A366" s="84" t="s">
        <v>440</v>
      </c>
      <c r="B366" s="84" t="s">
        <v>57</v>
      </c>
      <c r="C366" s="84" t="s">
        <v>57</v>
      </c>
      <c r="D366" s="85">
        <v>45566</v>
      </c>
      <c r="E366" s="85" t="s">
        <v>58</v>
      </c>
      <c r="F366" s="84">
        <f>INDEX(Definitions!$G$13:$G$17,MATCH(Table3[[#This Row],[Propensity to buy/ buyer readiness]],Definitions!$A$13:$A$17,0))</f>
        <v>50000</v>
      </c>
      <c r="G366" s="86">
        <v>5</v>
      </c>
      <c r="H366" s="86">
        <v>4</v>
      </c>
      <c r="I366" s="86">
        <v>4</v>
      </c>
      <c r="J366" s="86">
        <v>4</v>
      </c>
      <c r="K366" s="86">
        <v>3</v>
      </c>
      <c r="L366" s="86">
        <f>SUM(Table3[[#This Row],[Strategic priority segment]:[Propensity to buy/ buyer readiness]])</f>
        <v>20</v>
      </c>
      <c r="M366" s="86" t="s">
        <v>191</v>
      </c>
      <c r="N366" s="84" t="s">
        <v>135</v>
      </c>
      <c r="O366" s="84" t="s">
        <v>61</v>
      </c>
      <c r="P366" s="87"/>
      <c r="Q366" s="87"/>
      <c r="R366" s="84"/>
      <c r="S366" s="84"/>
      <c r="T366" s="84"/>
      <c r="U366" s="84">
        <v>1</v>
      </c>
      <c r="V366" s="84">
        <v>0</v>
      </c>
      <c r="W366" s="84">
        <v>0</v>
      </c>
      <c r="X366" s="84">
        <v>0</v>
      </c>
      <c r="Y366" s="84">
        <v>0</v>
      </c>
      <c r="Z366" s="84">
        <v>1</v>
      </c>
      <c r="AA366" s="84">
        <v>1</v>
      </c>
      <c r="AB366" s="84">
        <v>1</v>
      </c>
      <c r="AC366" s="84">
        <v>1</v>
      </c>
      <c r="AD366" s="84">
        <v>0</v>
      </c>
      <c r="AE366" s="84">
        <v>0</v>
      </c>
      <c r="AF366" s="84">
        <v>0</v>
      </c>
      <c r="AG366" s="84">
        <v>0</v>
      </c>
      <c r="AH366" s="84">
        <v>1</v>
      </c>
      <c r="AI366" s="84">
        <v>1</v>
      </c>
      <c r="AJ366" s="84">
        <v>1</v>
      </c>
      <c r="AK366" s="84">
        <v>1</v>
      </c>
      <c r="AL366" s="84" cm="1">
        <f t="array" ref="AL3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66" s="84" cm="1">
        <f t="array" ref="AM3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6" s="84" cm="1">
        <f t="array" ref="AN3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6" s="84" cm="1">
        <f t="array" ref="AO3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6" s="84" cm="1">
        <f t="array" ref="AP3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6" s="84" cm="1">
        <f t="array" ref="AQ3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66" s="84" cm="1">
        <f t="array" ref="AR3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66" s="84" cm="1">
        <f t="array" ref="AS3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66" s="84" cm="1">
        <f t="array" ref="AT3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66" s="84" cm="1">
        <f t="array" ref="AU3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66" s="84" cm="1">
        <f t="array" ref="AV3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6" s="84" cm="1">
        <f t="array" ref="AW3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6" s="84" cm="1">
        <f t="array" ref="AX3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6" s="84" cm="1">
        <f t="array" ref="AY3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66" s="84" cm="1">
        <f t="array" ref="AZ3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66" s="84" cm="1">
        <f t="array" ref="BA3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66" s="84" cm="1">
        <f t="array" ref="BB3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66" s="84">
        <f>IF(SUM(Table3[[#This Row],[Column2]:[Column18]])&gt;Table3[[#This Row],[Column19]],Table3[[#This Row],[Column19]],SUM(Table3[[#This Row],[Column2]:[Column18]]))</f>
        <v>50000</v>
      </c>
      <c r="BD366" s="2">
        <f>Table3[[#This Row],[Total Spend]]/SUM(Table3[[#This Row],[Column2]:[Column18]])</f>
        <v>0.24420024420024419</v>
      </c>
    </row>
    <row r="367" spans="1:56">
      <c r="A367" s="87" t="s">
        <v>441</v>
      </c>
      <c r="B367" s="87"/>
      <c r="C367" s="87" t="s">
        <v>57</v>
      </c>
      <c r="D367" s="85">
        <v>45566</v>
      </c>
      <c r="E367" s="85" t="s">
        <v>58</v>
      </c>
      <c r="F367" s="84">
        <f>INDEX(Definitions!$G$13:$G$17,MATCH(Table3[[#This Row],[Propensity to buy/ buyer readiness]],Definitions!$A$13:$A$17,0))</f>
        <v>50000</v>
      </c>
      <c r="G367" s="86">
        <v>5</v>
      </c>
      <c r="H367" s="86">
        <v>4</v>
      </c>
      <c r="I367" s="86">
        <v>4</v>
      </c>
      <c r="J367" s="86">
        <v>4</v>
      </c>
      <c r="K367" s="86">
        <v>3</v>
      </c>
      <c r="L367" s="86">
        <f>SUM(Table3[[#This Row],[Strategic priority segment]:[Propensity to buy/ buyer readiness]])</f>
        <v>20</v>
      </c>
      <c r="M367" s="86" t="s">
        <v>191</v>
      </c>
      <c r="N367" s="84" t="s">
        <v>135</v>
      </c>
      <c r="O367" s="87"/>
      <c r="P367" s="87"/>
      <c r="Q367" s="87"/>
      <c r="R367" s="84"/>
      <c r="S367" s="87"/>
      <c r="T367" s="87"/>
      <c r="U367" s="84">
        <v>0</v>
      </c>
      <c r="V367" s="84">
        <v>0</v>
      </c>
      <c r="W367" s="84">
        <v>0</v>
      </c>
      <c r="X367" s="84">
        <v>0</v>
      </c>
      <c r="Y367" s="84">
        <v>0</v>
      </c>
      <c r="Z367" s="84">
        <v>0</v>
      </c>
      <c r="AA367" s="84">
        <v>0</v>
      </c>
      <c r="AB367" s="84">
        <v>0</v>
      </c>
      <c r="AC367" s="84">
        <v>0</v>
      </c>
      <c r="AD367" s="84">
        <v>0</v>
      </c>
      <c r="AE367" s="84">
        <v>0</v>
      </c>
      <c r="AF367" s="84">
        <v>0</v>
      </c>
      <c r="AG367" s="84">
        <v>0</v>
      </c>
      <c r="AH367" s="84">
        <v>1</v>
      </c>
      <c r="AI367" s="84">
        <v>1</v>
      </c>
      <c r="AJ367" s="84">
        <v>1</v>
      </c>
      <c r="AK367" s="84">
        <v>1</v>
      </c>
      <c r="AL367" s="84" cm="1">
        <f t="array" ref="AL3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67" s="84" cm="1">
        <f t="array" ref="AM3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7" s="84" cm="1">
        <f t="array" ref="AN3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7" s="84" cm="1">
        <f t="array" ref="AO3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7" s="84" cm="1">
        <f t="array" ref="AP3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7" s="84" cm="1">
        <f t="array" ref="AQ3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67" s="84" cm="1">
        <f t="array" ref="AR3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67" s="84" cm="1">
        <f t="array" ref="AS3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67" s="84" cm="1">
        <f t="array" ref="AT3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7" s="84" cm="1">
        <f t="array" ref="AU3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67" s="84" cm="1">
        <f t="array" ref="AV3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7" s="84" cm="1">
        <f t="array" ref="AW3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7" s="84" cm="1">
        <f t="array" ref="AX3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7" s="84" cm="1">
        <f t="array" ref="AY3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67" s="84" cm="1">
        <f t="array" ref="AZ3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67" s="84" cm="1">
        <f t="array" ref="BA3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67" s="84" cm="1">
        <f t="array" ref="BB3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67" s="84">
        <f>IF(SUM(Table3[[#This Row],[Column2]:[Column18]])&gt;Table3[[#This Row],[Column19]],Table3[[#This Row],[Column19]],SUM(Table3[[#This Row],[Column2]:[Column18]]))</f>
        <v>50000</v>
      </c>
      <c r="BD367" s="2">
        <f>Table3[[#This Row],[Total Spend]]/SUM(Table3[[#This Row],[Column2]:[Column18]])</f>
        <v>0.77700077700077697</v>
      </c>
    </row>
    <row r="368" spans="1:56">
      <c r="A368" s="84" t="s">
        <v>442</v>
      </c>
      <c r="B368" s="84"/>
      <c r="C368" s="84"/>
      <c r="D368" s="85">
        <v>45566</v>
      </c>
      <c r="E368" s="85" t="s">
        <v>92</v>
      </c>
      <c r="F368" s="84">
        <f>INDEX(Definitions!$G$13:$G$17,MATCH(Table3[[#This Row],[Propensity to buy/ buyer readiness]],Definitions!$A$13:$A$17,0))</f>
        <v>50000</v>
      </c>
      <c r="G368" s="86">
        <v>5</v>
      </c>
      <c r="H368" s="86">
        <v>5</v>
      </c>
      <c r="I368" s="86">
        <v>3</v>
      </c>
      <c r="J368" s="86">
        <v>4</v>
      </c>
      <c r="K368" s="86">
        <v>3</v>
      </c>
      <c r="L368" s="86">
        <f>SUM(Table3[[#This Row],[Strategic priority segment]:[Propensity to buy/ buyer readiness]])</f>
        <v>20</v>
      </c>
      <c r="M368" s="86" t="s">
        <v>102</v>
      </c>
      <c r="N368" s="84" t="s">
        <v>61</v>
      </c>
      <c r="O368" s="87" t="s">
        <v>62</v>
      </c>
      <c r="P368" s="87"/>
      <c r="Q368" s="87"/>
      <c r="R368" s="87"/>
      <c r="S368" s="87"/>
      <c r="T368" s="87"/>
      <c r="U368" s="84">
        <v>1</v>
      </c>
      <c r="V368" s="84">
        <v>0</v>
      </c>
      <c r="W368" s="84">
        <v>0</v>
      </c>
      <c r="X368" s="84">
        <v>0</v>
      </c>
      <c r="Y368" s="84">
        <v>0</v>
      </c>
      <c r="Z368" s="84">
        <v>1</v>
      </c>
      <c r="AA368" s="84">
        <v>1</v>
      </c>
      <c r="AB368" s="84">
        <v>1</v>
      </c>
      <c r="AC368" s="84">
        <v>1</v>
      </c>
      <c r="AD368" s="84">
        <v>1</v>
      </c>
      <c r="AE368" s="84">
        <v>1</v>
      </c>
      <c r="AF368" s="84">
        <v>1</v>
      </c>
      <c r="AG368" s="84">
        <v>1</v>
      </c>
      <c r="AH368" s="84">
        <v>0</v>
      </c>
      <c r="AI368" s="84">
        <v>0</v>
      </c>
      <c r="AJ368" s="84">
        <v>0</v>
      </c>
      <c r="AK368" s="84">
        <v>0</v>
      </c>
      <c r="AL368" s="84" cm="1">
        <f t="array" ref="AL3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8" s="84" cm="1">
        <f t="array" ref="AM3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68" s="84" cm="1">
        <f t="array" ref="AN3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68" s="84" cm="1">
        <f t="array" ref="AO3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68" s="84" cm="1">
        <f t="array" ref="AP3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68" s="84" cm="1">
        <f t="array" ref="AQ3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68" s="84" cm="1">
        <f t="array" ref="AR3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68" s="84" cm="1">
        <f t="array" ref="AS3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68" s="84" cm="1">
        <f t="array" ref="AT3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68" s="84" cm="1">
        <f t="array" ref="AU3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68" s="84" cm="1">
        <f t="array" ref="AV3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68" s="84" cm="1">
        <f t="array" ref="AW3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68" s="84" cm="1">
        <f t="array" ref="AX3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68" s="84" cm="1">
        <f t="array" ref="AY3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68" s="84" cm="1">
        <f t="array" ref="AZ3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68" s="84" cm="1">
        <f t="array" ref="BA3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68" s="84" cm="1">
        <f t="array" ref="BB3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68" s="84">
        <f>IF(SUM(Table3[[#This Row],[Column2]:[Column18]])&gt;Table3[[#This Row],[Column19]],Table3[[#This Row],[Column19]],SUM(Table3[[#This Row],[Column2]:[Column18]]))</f>
        <v>50000</v>
      </c>
      <c r="BD368" s="2">
        <f>Table3[[#This Row],[Total Spend]]/SUM(Table3[[#This Row],[Column2]:[Column18]])</f>
        <v>0.2664535038635758</v>
      </c>
    </row>
    <row r="369" spans="1:56">
      <c r="A369" s="84" t="s">
        <v>443</v>
      </c>
      <c r="B369" s="84"/>
      <c r="C369" s="84"/>
      <c r="D369" s="85">
        <v>45566</v>
      </c>
      <c r="E369" s="85" t="s">
        <v>92</v>
      </c>
      <c r="F369" s="84">
        <f>INDEX(Definitions!$G$13:$G$17,MATCH(Table3[[#This Row],[Propensity to buy/ buyer readiness]],Definitions!$A$13:$A$17,0))</f>
        <v>50000</v>
      </c>
      <c r="G369" s="86">
        <v>5</v>
      </c>
      <c r="H369" s="86">
        <v>3</v>
      </c>
      <c r="I369" s="86">
        <v>4</v>
      </c>
      <c r="J369" s="86">
        <v>5</v>
      </c>
      <c r="K369" s="86">
        <v>3</v>
      </c>
      <c r="L369" s="86">
        <f>SUM(Table3[[#This Row],[Strategic priority segment]:[Propensity to buy/ buyer readiness]])</f>
        <v>20</v>
      </c>
      <c r="M369" s="86" t="s">
        <v>59</v>
      </c>
      <c r="N369" s="84" t="s">
        <v>60</v>
      </c>
      <c r="O369" s="87"/>
      <c r="P369" s="87"/>
      <c r="Q369" s="87"/>
      <c r="R369" s="84"/>
      <c r="S369" s="87"/>
      <c r="T369" s="87"/>
      <c r="U369" s="84">
        <v>1</v>
      </c>
      <c r="V369" s="84">
        <v>1</v>
      </c>
      <c r="W369" s="84">
        <v>1</v>
      </c>
      <c r="X369" s="84">
        <v>1</v>
      </c>
      <c r="Y369" s="84">
        <v>1</v>
      </c>
      <c r="Z369" s="84">
        <v>0</v>
      </c>
      <c r="AA369" s="84">
        <v>0</v>
      </c>
      <c r="AB369" s="84">
        <v>0</v>
      </c>
      <c r="AC369" s="84">
        <v>0</v>
      </c>
      <c r="AD369" s="84">
        <v>1</v>
      </c>
      <c r="AE369" s="84">
        <v>0</v>
      </c>
      <c r="AF369" s="84">
        <v>0</v>
      </c>
      <c r="AG369" s="84">
        <v>0</v>
      </c>
      <c r="AH369" s="84">
        <v>0</v>
      </c>
      <c r="AI369" s="84">
        <v>0</v>
      </c>
      <c r="AJ369" s="84">
        <v>0</v>
      </c>
      <c r="AK369" s="84">
        <v>0</v>
      </c>
      <c r="AL369" s="84" cm="1">
        <f t="array" ref="AL3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69" s="84" cm="1">
        <f t="array" ref="AM3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69" s="84" cm="1">
        <f t="array" ref="AN3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69" s="84" cm="1">
        <f t="array" ref="AO3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69" s="84" cm="1">
        <f t="array" ref="AP3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69" s="84" cm="1">
        <f t="array" ref="AQ3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69" s="84" cm="1">
        <f t="array" ref="AR3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69" s="84" cm="1">
        <f t="array" ref="AS3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69" s="84" cm="1">
        <f t="array" ref="AT3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69" s="84" cm="1">
        <f t="array" ref="AU3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69" s="84" cm="1">
        <f t="array" ref="AV3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69" s="84" cm="1">
        <f t="array" ref="AW3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69" s="84" cm="1">
        <f t="array" ref="AX3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69" s="84" cm="1">
        <f t="array" ref="AY3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69" s="84" cm="1">
        <f t="array" ref="AZ3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69" s="84" cm="1">
        <f t="array" ref="BA3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69" s="84" cm="1">
        <f t="array" ref="BB3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69" s="84">
        <f>IF(SUM(Table3[[#This Row],[Column2]:[Column18]])&gt;Table3[[#This Row],[Column19]],Table3[[#This Row],[Column19]],SUM(Table3[[#This Row],[Column2]:[Column18]]))</f>
        <v>50000</v>
      </c>
      <c r="BD369" s="2">
        <f>Table3[[#This Row],[Total Spend]]/SUM(Table3[[#This Row],[Column2]:[Column18]])</f>
        <v>0.26709401709401709</v>
      </c>
    </row>
    <row r="370" spans="1:56">
      <c r="A370" s="84" t="s">
        <v>444</v>
      </c>
      <c r="B370" s="84" t="s">
        <v>57</v>
      </c>
      <c r="C370" s="84"/>
      <c r="D370" s="85">
        <v>45566</v>
      </c>
      <c r="E370" s="85" t="s">
        <v>92</v>
      </c>
      <c r="F370" s="84">
        <f>INDEX(Definitions!$G$13:$G$17,MATCH(Table3[[#This Row],[Propensity to buy/ buyer readiness]],Definitions!$A$13:$A$17,0))</f>
        <v>50000</v>
      </c>
      <c r="G370" s="86">
        <v>4</v>
      </c>
      <c r="H370" s="86">
        <v>4</v>
      </c>
      <c r="I370" s="86">
        <v>5</v>
      </c>
      <c r="J370" s="86">
        <v>4</v>
      </c>
      <c r="K370" s="86">
        <v>3</v>
      </c>
      <c r="L370" s="86">
        <f>SUM(Table3[[#This Row],[Strategic priority segment]:[Propensity to buy/ buyer readiness]])</f>
        <v>20</v>
      </c>
      <c r="M370" s="86" t="s">
        <v>191</v>
      </c>
      <c r="N370" s="84" t="s">
        <v>135</v>
      </c>
      <c r="O370" s="84" t="s">
        <v>130</v>
      </c>
      <c r="P370" s="87"/>
      <c r="Q370" s="87"/>
      <c r="R370" s="84"/>
      <c r="S370" s="84"/>
      <c r="T370" s="87"/>
      <c r="U370" s="84">
        <v>1</v>
      </c>
      <c r="V370" s="84">
        <v>0</v>
      </c>
      <c r="W370" s="84">
        <v>0</v>
      </c>
      <c r="X370" s="84">
        <v>0</v>
      </c>
      <c r="Y370" s="84">
        <v>0</v>
      </c>
      <c r="Z370" s="84">
        <v>0</v>
      </c>
      <c r="AA370" s="84">
        <v>0</v>
      </c>
      <c r="AB370" s="84">
        <v>0</v>
      </c>
      <c r="AC370" s="84">
        <v>0</v>
      </c>
      <c r="AD370" s="84">
        <v>0</v>
      </c>
      <c r="AE370" s="84">
        <v>0</v>
      </c>
      <c r="AF370" s="84">
        <v>0</v>
      </c>
      <c r="AG370" s="84">
        <v>0</v>
      </c>
      <c r="AH370" s="84">
        <v>1</v>
      </c>
      <c r="AI370" s="84">
        <v>1</v>
      </c>
      <c r="AJ370" s="84">
        <v>1</v>
      </c>
      <c r="AK370" s="84">
        <v>1</v>
      </c>
      <c r="AL370" s="84" cm="1">
        <f t="array" ref="AL3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70" s="84" cm="1">
        <f t="array" ref="AM3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0" s="84" cm="1">
        <f t="array" ref="AN3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0" s="84" cm="1">
        <f t="array" ref="AO3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0" s="84" cm="1">
        <f t="array" ref="AP3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0" s="84" cm="1">
        <f t="array" ref="AQ3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0" s="84" cm="1">
        <f t="array" ref="AR3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0" s="84" cm="1">
        <f t="array" ref="AS3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0" s="84" cm="1">
        <f t="array" ref="AT3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0" s="84" cm="1">
        <f t="array" ref="AU3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70" s="84" cm="1">
        <f t="array" ref="AV3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70" s="84" cm="1">
        <f t="array" ref="AW3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70" s="84" cm="1">
        <f t="array" ref="AX3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0" s="84" cm="1">
        <f t="array" ref="AY3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370" s="84" cm="1">
        <f t="array" ref="AZ3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370" s="84" cm="1">
        <f t="array" ref="BA3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370" s="84" cm="1">
        <f t="array" ref="BB3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370" s="84">
        <f>IF(SUM(Table3[[#This Row],[Column2]:[Column18]])&gt;Table3[[#This Row],[Column19]],Table3[[#This Row],[Column19]],SUM(Table3[[#This Row],[Column2]:[Column18]]))</f>
        <v>50000</v>
      </c>
      <c r="BD370" s="2">
        <f>Table3[[#This Row],[Total Spend]]/SUM(Table3[[#This Row],[Column2]:[Column18]])</f>
        <v>0.91827364554637281</v>
      </c>
    </row>
    <row r="371" spans="1:56">
      <c r="A371" s="84" t="s">
        <v>445</v>
      </c>
      <c r="B371" s="84"/>
      <c r="C371" s="84"/>
      <c r="D371" s="85">
        <v>45566</v>
      </c>
      <c r="E371" s="85" t="s">
        <v>92</v>
      </c>
      <c r="F371" s="84">
        <f>INDEX(Definitions!$G$13:$G$17,MATCH(Table3[[#This Row],[Propensity to buy/ buyer readiness]],Definitions!$A$13:$A$17,0))</f>
        <v>50000</v>
      </c>
      <c r="G371" s="86">
        <v>5</v>
      </c>
      <c r="H371" s="86">
        <v>5</v>
      </c>
      <c r="I371" s="86">
        <v>3</v>
      </c>
      <c r="J371" s="86">
        <v>4</v>
      </c>
      <c r="K371" s="86">
        <v>3</v>
      </c>
      <c r="L371" s="86">
        <f>SUM(Table3[[#This Row],[Strategic priority segment]:[Propensity to buy/ buyer readiness]])</f>
        <v>20</v>
      </c>
      <c r="M371" s="86" t="s">
        <v>102</v>
      </c>
      <c r="N371" s="84" t="s">
        <v>61</v>
      </c>
      <c r="O371" s="87" t="s">
        <v>62</v>
      </c>
      <c r="P371" s="87"/>
      <c r="Q371" s="87"/>
      <c r="R371" s="87"/>
      <c r="S371" s="87"/>
      <c r="T371" s="87"/>
      <c r="U371" s="84">
        <v>1</v>
      </c>
      <c r="V371" s="84">
        <v>0</v>
      </c>
      <c r="W371" s="84">
        <v>0</v>
      </c>
      <c r="X371" s="84">
        <v>0</v>
      </c>
      <c r="Y371" s="84">
        <v>0</v>
      </c>
      <c r="Z371" s="84">
        <v>1</v>
      </c>
      <c r="AA371" s="84">
        <v>1</v>
      </c>
      <c r="AB371" s="84">
        <v>1</v>
      </c>
      <c r="AC371" s="84">
        <v>1</v>
      </c>
      <c r="AD371" s="84">
        <v>1</v>
      </c>
      <c r="AE371" s="84">
        <v>1</v>
      </c>
      <c r="AF371" s="84">
        <v>1</v>
      </c>
      <c r="AG371" s="84">
        <v>1</v>
      </c>
      <c r="AH371" s="84">
        <v>0</v>
      </c>
      <c r="AI371" s="84">
        <v>0</v>
      </c>
      <c r="AJ371" s="84">
        <v>0</v>
      </c>
      <c r="AK371" s="84">
        <v>0</v>
      </c>
      <c r="AL371" s="84" cm="1">
        <f t="array" ref="AL3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71" s="84" cm="1">
        <f t="array" ref="AM3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1" s="84" cm="1">
        <f t="array" ref="AN3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1" s="84" cm="1">
        <f t="array" ref="AO3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1" s="84" cm="1">
        <f t="array" ref="AP3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1" s="84" cm="1">
        <f t="array" ref="AQ3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71" s="84" cm="1">
        <f t="array" ref="AR3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71" s="84" cm="1">
        <f t="array" ref="AS3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71" s="84" cm="1">
        <f t="array" ref="AT3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71" s="84" cm="1">
        <f t="array" ref="AU3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71" s="84" cm="1">
        <f t="array" ref="AV3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71" s="84" cm="1">
        <f t="array" ref="AW3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71" s="84" cm="1">
        <f t="array" ref="AX3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71" s="84" cm="1">
        <f t="array" ref="AY3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1" s="84" cm="1">
        <f t="array" ref="AZ3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1" s="84" cm="1">
        <f t="array" ref="BA3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1" s="84" cm="1">
        <f t="array" ref="BB3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1" s="84">
        <f>IF(SUM(Table3[[#This Row],[Column2]:[Column18]])&gt;Table3[[#This Row],[Column19]],Table3[[#This Row],[Column19]],SUM(Table3[[#This Row],[Column2]:[Column18]]))</f>
        <v>50000</v>
      </c>
      <c r="BD371" s="2">
        <f>Table3[[#This Row],[Total Spend]]/SUM(Table3[[#This Row],[Column2]:[Column18]])</f>
        <v>0.2664535038635758</v>
      </c>
    </row>
    <row r="372" spans="1:56">
      <c r="A372" s="84" t="s">
        <v>446</v>
      </c>
      <c r="B372" s="84" t="s">
        <v>57</v>
      </c>
      <c r="C372" s="84"/>
      <c r="D372" s="85">
        <v>45809</v>
      </c>
      <c r="E372" s="85" t="s">
        <v>92</v>
      </c>
      <c r="F372" s="84">
        <f>INDEX(Definitions!$G$13:$G$17,MATCH(Table3[[#This Row],[Propensity to buy/ buyer readiness]],Definitions!$A$13:$A$17,0))</f>
        <v>150000</v>
      </c>
      <c r="G372" s="86">
        <v>4</v>
      </c>
      <c r="H372" s="86">
        <v>3</v>
      </c>
      <c r="I372" s="86">
        <v>5</v>
      </c>
      <c r="J372" s="86">
        <v>4</v>
      </c>
      <c r="K372" s="86">
        <v>4</v>
      </c>
      <c r="L372" s="86">
        <f>SUM(Table3[[#This Row],[Strategic priority segment]:[Propensity to buy/ buyer readiness]])</f>
        <v>20</v>
      </c>
      <c r="M372" s="86" t="s">
        <v>59</v>
      </c>
      <c r="N372" s="84" t="s">
        <v>60</v>
      </c>
      <c r="O372" s="84" t="s">
        <v>264</v>
      </c>
      <c r="P372" s="84"/>
      <c r="Q372" s="84"/>
      <c r="R372" s="84"/>
      <c r="S372" s="84"/>
      <c r="T372" s="84"/>
      <c r="U372" s="84">
        <v>1</v>
      </c>
      <c r="V372" s="84">
        <v>1</v>
      </c>
      <c r="W372" s="84">
        <v>1</v>
      </c>
      <c r="X372" s="84">
        <v>1</v>
      </c>
      <c r="Y372" s="84">
        <v>1</v>
      </c>
      <c r="Z372" s="84">
        <v>0</v>
      </c>
      <c r="AA372" s="84">
        <v>0</v>
      </c>
      <c r="AB372" s="84">
        <v>0</v>
      </c>
      <c r="AC372" s="84">
        <v>0</v>
      </c>
      <c r="AD372" s="84">
        <v>1</v>
      </c>
      <c r="AE372" s="84">
        <v>0</v>
      </c>
      <c r="AF372" s="84">
        <v>0</v>
      </c>
      <c r="AG372" s="84">
        <v>0</v>
      </c>
      <c r="AH372" s="84">
        <v>0</v>
      </c>
      <c r="AI372" s="84">
        <v>0</v>
      </c>
      <c r="AJ372" s="84">
        <v>0</v>
      </c>
      <c r="AK372" s="84">
        <v>0</v>
      </c>
      <c r="AL372" s="84" cm="1">
        <f t="array" ref="AL3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72" s="84" cm="1">
        <f t="array" ref="AM3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72" s="84" cm="1">
        <f t="array" ref="AN3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72" s="84" cm="1">
        <f t="array" ref="AO3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72" s="84" cm="1">
        <f t="array" ref="AP3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72" s="84" cm="1">
        <f t="array" ref="AQ3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2" s="84" cm="1">
        <f t="array" ref="AR3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2" s="84" cm="1">
        <f t="array" ref="AS3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2" s="84" cm="1">
        <f t="array" ref="AT3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2" s="84" cm="1">
        <f t="array" ref="AU3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72" s="84" cm="1">
        <f t="array" ref="AV3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72" s="84" cm="1">
        <f t="array" ref="AW3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72" s="84" cm="1">
        <f t="array" ref="AX3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2" s="84" cm="1">
        <f t="array" ref="AY3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2" s="84" cm="1">
        <f t="array" ref="AZ3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2" s="84" cm="1">
        <f t="array" ref="BA3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2" s="84" cm="1">
        <f t="array" ref="BB3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2" s="84">
        <f>IF(SUM(Table3[[#This Row],[Column2]:[Column18]])&gt;Table3[[#This Row],[Column19]],Table3[[#This Row],[Column19]],SUM(Table3[[#This Row],[Column2]:[Column18]]))</f>
        <v>150000</v>
      </c>
      <c r="BD372" s="2">
        <f>Table3[[#This Row],[Total Spend]]/SUM(Table3[[#This Row],[Column2]:[Column18]])</f>
        <v>0.80128205128205132</v>
      </c>
    </row>
    <row r="373" spans="1:56">
      <c r="A373" s="84" t="s">
        <v>447</v>
      </c>
      <c r="B373" s="84"/>
      <c r="C373" s="84"/>
      <c r="D373" s="85">
        <v>45566</v>
      </c>
      <c r="E373" s="85" t="s">
        <v>92</v>
      </c>
      <c r="F373" s="84">
        <f>INDEX(Definitions!$G$13:$G$17,MATCH(Table3[[#This Row],[Propensity to buy/ buyer readiness]],Definitions!$A$13:$A$17,0))</f>
        <v>50000</v>
      </c>
      <c r="G373" s="86">
        <v>5</v>
      </c>
      <c r="H373" s="86">
        <v>3</v>
      </c>
      <c r="I373" s="86">
        <v>4</v>
      </c>
      <c r="J373" s="86">
        <v>5</v>
      </c>
      <c r="K373" s="86">
        <v>3</v>
      </c>
      <c r="L373" s="86">
        <f>SUM(Table3[[#This Row],[Strategic priority segment]:[Propensity to buy/ buyer readiness]])</f>
        <v>20</v>
      </c>
      <c r="M373" s="86" t="s">
        <v>59</v>
      </c>
      <c r="N373" s="84" t="s">
        <v>60</v>
      </c>
      <c r="O373" s="87"/>
      <c r="P373" s="87"/>
      <c r="Q373" s="87"/>
      <c r="R373" s="84"/>
      <c r="S373" s="87"/>
      <c r="T373" s="87"/>
      <c r="U373" s="84">
        <v>1</v>
      </c>
      <c r="V373" s="84">
        <v>1</v>
      </c>
      <c r="W373" s="84">
        <v>1</v>
      </c>
      <c r="X373" s="84">
        <v>1</v>
      </c>
      <c r="Y373" s="84">
        <v>1</v>
      </c>
      <c r="Z373" s="84">
        <v>0</v>
      </c>
      <c r="AA373" s="84">
        <v>0</v>
      </c>
      <c r="AB373" s="84">
        <v>0</v>
      </c>
      <c r="AC373" s="84">
        <v>0</v>
      </c>
      <c r="AD373" s="84">
        <v>1</v>
      </c>
      <c r="AE373" s="84">
        <v>0</v>
      </c>
      <c r="AF373" s="84">
        <v>0</v>
      </c>
      <c r="AG373" s="84">
        <v>0</v>
      </c>
      <c r="AH373" s="84">
        <v>0</v>
      </c>
      <c r="AI373" s="84">
        <v>0</v>
      </c>
      <c r="AJ373" s="84">
        <v>0</v>
      </c>
      <c r="AK373" s="84">
        <v>0</v>
      </c>
      <c r="AL373" s="84" cm="1">
        <f t="array" ref="AL3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73" s="84" cm="1">
        <f t="array" ref="AM3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73" s="84" cm="1">
        <f t="array" ref="AN3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73" s="84" cm="1">
        <f t="array" ref="AO3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73" s="84" cm="1">
        <f t="array" ref="AP3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73" s="84" cm="1">
        <f t="array" ref="AQ3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3" s="84" cm="1">
        <f t="array" ref="AR3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3" s="84" cm="1">
        <f t="array" ref="AS3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3" s="84" cm="1">
        <f t="array" ref="AT3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3" s="84" cm="1">
        <f t="array" ref="AU3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73" s="84" cm="1">
        <f t="array" ref="AV3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73" s="84" cm="1">
        <f t="array" ref="AW3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73" s="84" cm="1">
        <f t="array" ref="AX3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3" s="84" cm="1">
        <f t="array" ref="AY3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3" s="84" cm="1">
        <f t="array" ref="AZ3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3" s="84" cm="1">
        <f t="array" ref="BA3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3" s="84" cm="1">
        <f t="array" ref="BB3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3" s="84">
        <f>IF(SUM(Table3[[#This Row],[Column2]:[Column18]])&gt;Table3[[#This Row],[Column19]],Table3[[#This Row],[Column19]],SUM(Table3[[#This Row],[Column2]:[Column18]]))</f>
        <v>50000</v>
      </c>
      <c r="BD373" s="2">
        <f>Table3[[#This Row],[Total Spend]]/SUM(Table3[[#This Row],[Column2]:[Column18]])</f>
        <v>0.26709401709401709</v>
      </c>
    </row>
    <row r="374" spans="1:56">
      <c r="A374" s="84" t="s">
        <v>448</v>
      </c>
      <c r="B374" s="84" t="s">
        <v>57</v>
      </c>
      <c r="C374" s="84" t="s">
        <v>57</v>
      </c>
      <c r="D374" s="85">
        <v>45566</v>
      </c>
      <c r="E374" s="85" t="s">
        <v>58</v>
      </c>
      <c r="F374" s="84">
        <f>INDEX(Definitions!$G$13:$G$17,MATCH(Table3[[#This Row],[Propensity to buy/ buyer readiness]],Definitions!$A$13:$A$17,0))</f>
        <v>150000</v>
      </c>
      <c r="G374" s="86">
        <v>5</v>
      </c>
      <c r="H374" s="86">
        <v>4</v>
      </c>
      <c r="I374" s="86">
        <v>3</v>
      </c>
      <c r="J374" s="86">
        <v>4</v>
      </c>
      <c r="K374" s="86">
        <v>4</v>
      </c>
      <c r="L374" s="86">
        <f>SUM(Table3[[#This Row],[Strategic priority segment]:[Propensity to buy/ buyer readiness]])</f>
        <v>20</v>
      </c>
      <c r="M374" s="86" t="s">
        <v>66</v>
      </c>
      <c r="N374" s="84" t="s">
        <v>62</v>
      </c>
      <c r="O374" s="84"/>
      <c r="P374" s="87"/>
      <c r="Q374" s="87"/>
      <c r="R374" s="84"/>
      <c r="S374" s="84"/>
      <c r="T374" s="87"/>
      <c r="U374" s="84">
        <v>1</v>
      </c>
      <c r="V374" s="84">
        <v>0</v>
      </c>
      <c r="W374" s="84">
        <v>0</v>
      </c>
      <c r="X374" s="84">
        <v>0</v>
      </c>
      <c r="Y374" s="84">
        <v>0</v>
      </c>
      <c r="Z374" s="84">
        <v>0</v>
      </c>
      <c r="AA374" s="84">
        <v>0</v>
      </c>
      <c r="AB374" s="84">
        <v>0</v>
      </c>
      <c r="AC374" s="84">
        <v>0</v>
      </c>
      <c r="AD374" s="84">
        <v>1</v>
      </c>
      <c r="AE374" s="84">
        <v>1</v>
      </c>
      <c r="AF374" s="84">
        <v>1</v>
      </c>
      <c r="AG374" s="84">
        <v>1</v>
      </c>
      <c r="AH374" s="84">
        <v>0</v>
      </c>
      <c r="AI374" s="84">
        <v>0</v>
      </c>
      <c r="AJ374" s="84">
        <v>0</v>
      </c>
      <c r="AK374" s="84">
        <v>0</v>
      </c>
      <c r="AL374" s="84" cm="1">
        <f t="array" ref="AL3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74" s="84" cm="1">
        <f t="array" ref="AM3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4" s="84" cm="1">
        <f t="array" ref="AN3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4" s="84" cm="1">
        <f t="array" ref="AO3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4" s="84" cm="1">
        <f t="array" ref="AP3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4" s="84" cm="1">
        <f t="array" ref="AQ3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4" s="84" cm="1">
        <f t="array" ref="AR3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4" s="84" cm="1">
        <f t="array" ref="AS3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4" s="84" cm="1">
        <f t="array" ref="AT3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4" s="84" cm="1">
        <f t="array" ref="AU3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74" s="84" cm="1">
        <f t="array" ref="AV3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74" s="84" cm="1">
        <f t="array" ref="AW3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74" s="84" cm="1">
        <f t="array" ref="AX3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74" s="84" cm="1">
        <f t="array" ref="AY3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4" s="84" cm="1">
        <f t="array" ref="AZ3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4" s="84" cm="1">
        <f t="array" ref="BA3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4" s="84" cm="1">
        <f t="array" ref="BB3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4" s="84">
        <f>IF(SUM(Table3[[#This Row],[Column2]:[Column18]])&gt;Table3[[#This Row],[Column19]],Table3[[#This Row],[Column19]],SUM(Table3[[#This Row],[Column2]:[Column18]]))</f>
        <v>131400</v>
      </c>
      <c r="BD374" s="2">
        <f>Table3[[#This Row],[Total Spend]]/SUM(Table3[[#This Row],[Column2]:[Column18]])</f>
        <v>1</v>
      </c>
    </row>
    <row r="375" spans="1:56">
      <c r="A375" s="84" t="s">
        <v>449</v>
      </c>
      <c r="B375" s="84"/>
      <c r="C375" s="84" t="s">
        <v>57</v>
      </c>
      <c r="D375" s="85">
        <v>45809</v>
      </c>
      <c r="E375" s="85" t="s">
        <v>92</v>
      </c>
      <c r="F375" s="84">
        <f>INDEX(Definitions!$G$13:$G$17,MATCH(Table3[[#This Row],[Propensity to buy/ buyer readiness]],Definitions!$A$13:$A$17,0))</f>
        <v>50000</v>
      </c>
      <c r="G375" s="86">
        <v>5</v>
      </c>
      <c r="H375" s="86">
        <v>5</v>
      </c>
      <c r="I375" s="86">
        <v>3</v>
      </c>
      <c r="J375" s="86">
        <v>4</v>
      </c>
      <c r="K375" s="86">
        <v>3</v>
      </c>
      <c r="L375" s="86">
        <f>SUM(Table3[[#This Row],[Strategic priority segment]:[Propensity to buy/ buyer readiness]])</f>
        <v>20</v>
      </c>
      <c r="M375" s="86" t="s">
        <v>102</v>
      </c>
      <c r="N375" s="84" t="s">
        <v>61</v>
      </c>
      <c r="O375" s="84"/>
      <c r="P375" s="84"/>
      <c r="Q375" s="84"/>
      <c r="R375" s="84"/>
      <c r="S375" s="84"/>
      <c r="T375" s="87"/>
      <c r="U375" s="84">
        <v>1</v>
      </c>
      <c r="V375" s="84">
        <v>0</v>
      </c>
      <c r="W375" s="84">
        <v>0</v>
      </c>
      <c r="X375" s="84">
        <v>0</v>
      </c>
      <c r="Y375" s="84">
        <v>0</v>
      </c>
      <c r="Z375" s="84">
        <v>1</v>
      </c>
      <c r="AA375" s="84">
        <v>1</v>
      </c>
      <c r="AB375" s="84">
        <v>1</v>
      </c>
      <c r="AC375" s="84">
        <v>1</v>
      </c>
      <c r="AD375" s="84">
        <v>0</v>
      </c>
      <c r="AE375" s="84">
        <v>0</v>
      </c>
      <c r="AF375" s="84">
        <v>0</v>
      </c>
      <c r="AG375" s="84">
        <v>0</v>
      </c>
      <c r="AH375" s="84">
        <v>0</v>
      </c>
      <c r="AI375" s="84">
        <v>0</v>
      </c>
      <c r="AJ375" s="84">
        <v>0</v>
      </c>
      <c r="AK375" s="84">
        <v>0</v>
      </c>
      <c r="AL375" s="84" cm="1">
        <f t="array" ref="AL3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75" s="84" cm="1">
        <f t="array" ref="AM3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5" s="84" cm="1">
        <f t="array" ref="AN3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5" s="84" cm="1">
        <f t="array" ref="AO3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5" s="84" cm="1">
        <f t="array" ref="AP3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5" s="84" cm="1">
        <f t="array" ref="AQ3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75" s="84" cm="1">
        <f t="array" ref="AR3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75" s="84" cm="1">
        <f t="array" ref="AS3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75" s="84" cm="1">
        <f t="array" ref="AT3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75" s="84" cm="1">
        <f t="array" ref="AU3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75" s="84" cm="1">
        <f t="array" ref="AV3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75" s="84" cm="1">
        <f t="array" ref="AW3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75" s="84" cm="1">
        <f t="array" ref="AX3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5" s="84" cm="1">
        <f t="array" ref="AY3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5" s="84" cm="1">
        <f t="array" ref="AZ3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5" s="84" cm="1">
        <f t="array" ref="BA3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5" s="84" cm="1">
        <f t="array" ref="BB3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5" s="84">
        <f>IF(SUM(Table3[[#This Row],[Column2]:[Column18]])&gt;Table3[[#This Row],[Column19]],Table3[[#This Row],[Column19]],SUM(Table3[[#This Row],[Column2]:[Column18]]))</f>
        <v>50000</v>
      </c>
      <c r="BD375" s="2">
        <f>Table3[[#This Row],[Total Spend]]/SUM(Table3[[#This Row],[Column2]:[Column18]])</f>
        <v>0.49164208456243852</v>
      </c>
    </row>
    <row r="376" spans="1:56">
      <c r="A376" s="84" t="s">
        <v>450</v>
      </c>
      <c r="B376" s="84" t="s">
        <v>57</v>
      </c>
      <c r="C376" s="84"/>
      <c r="D376" s="85">
        <v>45566</v>
      </c>
      <c r="E376" s="85" t="s">
        <v>58</v>
      </c>
      <c r="F376" s="84">
        <f>INDEX(Definitions!$G$13:$G$17,MATCH(Table3[[#This Row],[Propensity to buy/ buyer readiness]],Definitions!$A$13:$A$17,0))</f>
        <v>150000</v>
      </c>
      <c r="G376" s="86">
        <v>5</v>
      </c>
      <c r="H376" s="86">
        <v>4</v>
      </c>
      <c r="I376" s="86">
        <v>4</v>
      </c>
      <c r="J376" s="86">
        <v>3</v>
      </c>
      <c r="K376" s="86">
        <v>4</v>
      </c>
      <c r="L376" s="86">
        <f>SUM(Table3[[#This Row],[Strategic priority segment]:[Propensity to buy/ buyer readiness]])</f>
        <v>20</v>
      </c>
      <c r="M376" s="86" t="s">
        <v>66</v>
      </c>
      <c r="N376" s="84" t="s">
        <v>62</v>
      </c>
      <c r="O376" s="84"/>
      <c r="P376" s="87"/>
      <c r="Q376" s="87"/>
      <c r="R376" s="84"/>
      <c r="S376" s="84"/>
      <c r="T376" s="84"/>
      <c r="U376" s="84">
        <v>1</v>
      </c>
      <c r="V376" s="84">
        <v>0</v>
      </c>
      <c r="W376" s="84">
        <v>0</v>
      </c>
      <c r="X376" s="84">
        <v>0</v>
      </c>
      <c r="Y376" s="84">
        <v>0</v>
      </c>
      <c r="Z376" s="84">
        <v>0</v>
      </c>
      <c r="AA376" s="84">
        <v>0</v>
      </c>
      <c r="AB376" s="84">
        <v>0</v>
      </c>
      <c r="AC376" s="84">
        <v>0</v>
      </c>
      <c r="AD376" s="84">
        <v>1</v>
      </c>
      <c r="AE376" s="84">
        <v>1</v>
      </c>
      <c r="AF376" s="84">
        <v>1</v>
      </c>
      <c r="AG376" s="84">
        <v>1</v>
      </c>
      <c r="AH376" s="84">
        <v>0</v>
      </c>
      <c r="AI376" s="84">
        <v>0</v>
      </c>
      <c r="AJ376" s="84">
        <v>0</v>
      </c>
      <c r="AK376" s="84">
        <v>0</v>
      </c>
      <c r="AL376" s="84" cm="1">
        <f t="array" ref="AL3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76" s="84" cm="1">
        <f t="array" ref="AM3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6" s="84" cm="1">
        <f t="array" ref="AN3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6" s="84" cm="1">
        <f t="array" ref="AO3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6" s="84" cm="1">
        <f t="array" ref="AP3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6" s="84" cm="1">
        <f t="array" ref="AQ3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6" s="84" cm="1">
        <f t="array" ref="AR3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6" s="84" cm="1">
        <f t="array" ref="AS3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6" s="84" cm="1">
        <f t="array" ref="AT3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6" s="84" cm="1">
        <f t="array" ref="AU3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76" s="84" cm="1">
        <f t="array" ref="AV3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76" s="84" cm="1">
        <f t="array" ref="AW3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76" s="84" cm="1">
        <f t="array" ref="AX3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76" s="84" cm="1">
        <f t="array" ref="AY3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6" s="84" cm="1">
        <f t="array" ref="AZ3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6" s="84" cm="1">
        <f t="array" ref="BA3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6" s="84" cm="1">
        <f t="array" ref="BB3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6" s="84">
        <f>IF(SUM(Table3[[#This Row],[Column2]:[Column18]])&gt;Table3[[#This Row],[Column19]],Table3[[#This Row],[Column19]],SUM(Table3[[#This Row],[Column2]:[Column18]]))</f>
        <v>131400</v>
      </c>
      <c r="BD376" s="2">
        <f>Table3[[#This Row],[Total Spend]]/SUM(Table3[[#This Row],[Column2]:[Column18]])</f>
        <v>1</v>
      </c>
    </row>
    <row r="377" spans="1:56">
      <c r="A377" s="84" t="s">
        <v>451</v>
      </c>
      <c r="B377" s="84" t="s">
        <v>57</v>
      </c>
      <c r="C377" s="84" t="s">
        <v>57</v>
      </c>
      <c r="D377" s="85">
        <v>45566</v>
      </c>
      <c r="E377" s="85" t="s">
        <v>58</v>
      </c>
      <c r="F377" s="84">
        <f>INDEX(Definitions!$G$13:$G$17,MATCH(Table3[[#This Row],[Propensity to buy/ buyer readiness]],Definitions!$A$13:$A$17,0))</f>
        <v>150000</v>
      </c>
      <c r="G377" s="86">
        <v>4</v>
      </c>
      <c r="H377" s="86">
        <v>4</v>
      </c>
      <c r="I377" s="86">
        <v>4</v>
      </c>
      <c r="J377" s="86">
        <v>4</v>
      </c>
      <c r="K377" s="86">
        <v>4</v>
      </c>
      <c r="L377" s="86">
        <f>SUM(Table3[[#This Row],[Strategic priority segment]:[Propensity to buy/ buyer readiness]])</f>
        <v>20</v>
      </c>
      <c r="M377" s="86" t="s">
        <v>152</v>
      </c>
      <c r="N377" s="84" t="s">
        <v>153</v>
      </c>
      <c r="O377" s="84"/>
      <c r="P377" s="87"/>
      <c r="Q377" s="87"/>
      <c r="R377" s="84"/>
      <c r="S377" s="84"/>
      <c r="T377" s="87"/>
      <c r="U377" s="84">
        <v>1</v>
      </c>
      <c r="V377" s="84">
        <v>0</v>
      </c>
      <c r="W377" s="84">
        <v>0</v>
      </c>
      <c r="X377" s="84">
        <v>0</v>
      </c>
      <c r="Y377" s="84">
        <v>0</v>
      </c>
      <c r="Z377" s="84">
        <v>0</v>
      </c>
      <c r="AA377" s="84">
        <v>0</v>
      </c>
      <c r="AB377" s="84">
        <v>0</v>
      </c>
      <c r="AC377" s="84">
        <v>0</v>
      </c>
      <c r="AD377" s="84">
        <v>0</v>
      </c>
      <c r="AE377" s="84">
        <v>0</v>
      </c>
      <c r="AF377" s="84">
        <v>0</v>
      </c>
      <c r="AG377" s="84">
        <v>0</v>
      </c>
      <c r="AH377" s="84">
        <v>0</v>
      </c>
      <c r="AI377" s="84">
        <v>0</v>
      </c>
      <c r="AJ377" s="84">
        <v>0</v>
      </c>
      <c r="AK377" s="84">
        <v>0</v>
      </c>
      <c r="AL377" s="84" cm="1">
        <f t="array" ref="AL3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77" s="84" cm="1">
        <f t="array" ref="AM3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7" s="84" cm="1">
        <f t="array" ref="AN3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7" s="84" cm="1">
        <f t="array" ref="AO3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7" s="84" cm="1">
        <f t="array" ref="AP3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7" s="84" cm="1">
        <f t="array" ref="AQ3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7" s="84" cm="1">
        <f t="array" ref="AR3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7" s="84" cm="1">
        <f t="array" ref="AS3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7" s="84" cm="1">
        <f t="array" ref="AT3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7" s="84" cm="1">
        <f t="array" ref="AU3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77" s="84" cm="1">
        <f t="array" ref="AV3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77" s="84" cm="1">
        <f t="array" ref="AW3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77" s="84" cm="1">
        <f t="array" ref="AX3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7" s="84" cm="1">
        <f t="array" ref="AY3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7" s="84" cm="1">
        <f t="array" ref="AZ3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7" s="84" cm="1">
        <f t="array" ref="BA3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7" s="84" cm="1">
        <f t="array" ref="BB3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7" s="84">
        <f>IF(SUM(Table3[[#This Row],[Column2]:[Column18]])&gt;Table3[[#This Row],[Column19]],Table3[[#This Row],[Column19]],SUM(Table3[[#This Row],[Column2]:[Column18]]))</f>
        <v>10800</v>
      </c>
      <c r="BD377" s="2">
        <f>Table3[[#This Row],[Total Spend]]/SUM(Table3[[#This Row],[Column2]:[Column18]])</f>
        <v>1</v>
      </c>
    </row>
    <row r="378" spans="1:56">
      <c r="A378" s="84" t="s">
        <v>452</v>
      </c>
      <c r="B378" s="84" t="s">
        <v>57</v>
      </c>
      <c r="C378" s="84"/>
      <c r="D378" s="85">
        <v>45566</v>
      </c>
      <c r="E378" s="85" t="s">
        <v>58</v>
      </c>
      <c r="F378" s="84">
        <f>INDEX(Definitions!$G$13:$G$17,MATCH(Table3[[#This Row],[Propensity to buy/ buyer readiness]],Definitions!$A$13:$A$17,0))</f>
        <v>150000</v>
      </c>
      <c r="G378" s="86">
        <v>4</v>
      </c>
      <c r="H378" s="86">
        <v>4</v>
      </c>
      <c r="I378" s="86">
        <v>4</v>
      </c>
      <c r="J378" s="86">
        <v>4</v>
      </c>
      <c r="K378" s="86">
        <v>4</v>
      </c>
      <c r="L378" s="86">
        <f>SUM(Table3[[#This Row],[Strategic priority segment]:[Propensity to buy/ buyer readiness]])</f>
        <v>20</v>
      </c>
      <c r="M378" s="86" t="s">
        <v>59</v>
      </c>
      <c r="N378" s="84" t="s">
        <v>63</v>
      </c>
      <c r="O378" s="84"/>
      <c r="P378" s="87"/>
      <c r="Q378" s="87"/>
      <c r="R378" s="84"/>
      <c r="S378" s="84"/>
      <c r="T378" s="87"/>
      <c r="U378" s="84">
        <v>1</v>
      </c>
      <c r="V378" s="84">
        <v>0</v>
      </c>
      <c r="W378" s="84">
        <v>1</v>
      </c>
      <c r="X378" s="84">
        <v>0</v>
      </c>
      <c r="Y378" s="84">
        <v>0</v>
      </c>
      <c r="Z378" s="84">
        <v>0</v>
      </c>
      <c r="AA378" s="84">
        <v>1</v>
      </c>
      <c r="AB378" s="84">
        <v>0</v>
      </c>
      <c r="AC378" s="84">
        <v>0</v>
      </c>
      <c r="AD378" s="84">
        <v>1</v>
      </c>
      <c r="AE378" s="84">
        <v>1</v>
      </c>
      <c r="AF378" s="84">
        <v>1</v>
      </c>
      <c r="AG378" s="84">
        <v>0</v>
      </c>
      <c r="AH378" s="84">
        <v>0</v>
      </c>
      <c r="AI378" s="84">
        <v>0</v>
      </c>
      <c r="AJ378" s="84">
        <v>0</v>
      </c>
      <c r="AK378" s="84">
        <v>0</v>
      </c>
      <c r="AL378" s="84" cm="1">
        <f t="array" ref="AL3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78" s="84" cm="1">
        <f t="array" ref="AM3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8" s="84" cm="1">
        <f t="array" ref="AN3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78" s="84" cm="1">
        <f t="array" ref="AO3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8" s="84" cm="1">
        <f t="array" ref="AP3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8" s="84" cm="1">
        <f t="array" ref="AQ3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8" s="84" cm="1">
        <f t="array" ref="AR3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78" s="84" cm="1">
        <f t="array" ref="AS3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8" s="84" cm="1">
        <f t="array" ref="AT3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8" s="84" cm="1">
        <f t="array" ref="AU3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78" s="84" cm="1">
        <f t="array" ref="AV3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78" s="84" cm="1">
        <f t="array" ref="AW3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78" s="84" cm="1">
        <f t="array" ref="AX3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8" s="84" cm="1">
        <f t="array" ref="AY3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78" s="84" cm="1">
        <f t="array" ref="AZ3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78" s="84" cm="1">
        <f t="array" ref="BA3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78" s="84" cm="1">
        <f t="array" ref="BB3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78" s="84">
        <f>IF(SUM(Table3[[#This Row],[Column2]:[Column18]])&gt;Table3[[#This Row],[Column19]],Table3[[#This Row],[Column19]],SUM(Table3[[#This Row],[Column2]:[Column18]]))</f>
        <v>150000</v>
      </c>
      <c r="BD378" s="2">
        <f>Table3[[#This Row],[Total Spend]]/SUM(Table3[[#This Row],[Column2]:[Column18]])</f>
        <v>0.78988941548183256</v>
      </c>
    </row>
    <row r="379" spans="1:56">
      <c r="A379" s="84" t="s">
        <v>453</v>
      </c>
      <c r="B379" s="84" t="s">
        <v>57</v>
      </c>
      <c r="C379" s="84"/>
      <c r="D379" s="85">
        <v>45566</v>
      </c>
      <c r="E379" s="85" t="s">
        <v>58</v>
      </c>
      <c r="F379" s="84">
        <f>INDEX(Definitions!$G$13:$G$17,MATCH(Table3[[#This Row],[Propensity to buy/ buyer readiness]],Definitions!$A$13:$A$17,0))</f>
        <v>50000</v>
      </c>
      <c r="G379" s="86">
        <v>5</v>
      </c>
      <c r="H379" s="86">
        <v>4</v>
      </c>
      <c r="I379" s="86">
        <v>4</v>
      </c>
      <c r="J379" s="86">
        <v>4</v>
      </c>
      <c r="K379" s="86">
        <v>3</v>
      </c>
      <c r="L379" s="86">
        <f>SUM(Table3[[#This Row],[Strategic priority segment]:[Propensity to buy/ buyer readiness]])</f>
        <v>20</v>
      </c>
      <c r="M379" s="86" t="s">
        <v>191</v>
      </c>
      <c r="N379" s="84" t="s">
        <v>135</v>
      </c>
      <c r="O379" s="84"/>
      <c r="P379" s="87"/>
      <c r="Q379" s="87"/>
      <c r="R379" s="84"/>
      <c r="S379" s="84"/>
      <c r="T379" s="87"/>
      <c r="U379" s="84">
        <v>0</v>
      </c>
      <c r="V379" s="84">
        <v>0</v>
      </c>
      <c r="W379" s="84">
        <v>0</v>
      </c>
      <c r="X379" s="84">
        <v>0</v>
      </c>
      <c r="Y379" s="84">
        <v>0</v>
      </c>
      <c r="Z379" s="84">
        <v>0</v>
      </c>
      <c r="AA379" s="84">
        <v>0</v>
      </c>
      <c r="AB379" s="84">
        <v>0</v>
      </c>
      <c r="AC379" s="84">
        <v>0</v>
      </c>
      <c r="AD379" s="84">
        <v>0</v>
      </c>
      <c r="AE379" s="84">
        <v>0</v>
      </c>
      <c r="AF379" s="84">
        <v>0</v>
      </c>
      <c r="AG379" s="84">
        <v>0</v>
      </c>
      <c r="AH379" s="84">
        <v>1</v>
      </c>
      <c r="AI379" s="84">
        <v>1</v>
      </c>
      <c r="AJ379" s="84">
        <v>1</v>
      </c>
      <c r="AK379" s="84">
        <v>1</v>
      </c>
      <c r="AL379" s="84" cm="1">
        <f t="array" ref="AL3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79" s="84" cm="1">
        <f t="array" ref="AM3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79" s="84" cm="1">
        <f t="array" ref="AN3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79" s="84" cm="1">
        <f t="array" ref="AO3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79" s="84" cm="1">
        <f t="array" ref="AP3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79" s="84" cm="1">
        <f t="array" ref="AQ3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79" s="84" cm="1">
        <f t="array" ref="AR3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79" s="84" cm="1">
        <f t="array" ref="AS3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79" s="84" cm="1">
        <f t="array" ref="AT3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79" s="84" cm="1">
        <f t="array" ref="AU3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79" s="84" cm="1">
        <f t="array" ref="AV3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79" s="84" cm="1">
        <f t="array" ref="AW3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79" s="84" cm="1">
        <f t="array" ref="AX3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79" s="84" cm="1">
        <f t="array" ref="AY3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79" s="84" cm="1">
        <f t="array" ref="AZ3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79" s="84" cm="1">
        <f t="array" ref="BA3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79" s="84" cm="1">
        <f t="array" ref="BB3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79" s="84">
        <f>IF(SUM(Table3[[#This Row],[Column2]:[Column18]])&gt;Table3[[#This Row],[Column19]],Table3[[#This Row],[Column19]],SUM(Table3[[#This Row],[Column2]:[Column18]]))</f>
        <v>50000</v>
      </c>
      <c r="BD379" s="2">
        <f>Table3[[#This Row],[Total Spend]]/SUM(Table3[[#This Row],[Column2]:[Column18]])</f>
        <v>0.77700077700077697</v>
      </c>
    </row>
    <row r="380" spans="1:56">
      <c r="A380" s="84" t="s">
        <v>454</v>
      </c>
      <c r="B380" s="84"/>
      <c r="C380" s="84"/>
      <c r="D380" s="85">
        <v>45566</v>
      </c>
      <c r="E380" s="85" t="s">
        <v>58</v>
      </c>
      <c r="F380" s="84">
        <f>INDEX(Definitions!$G$13:$G$17,MATCH(Table3[[#This Row],[Propensity to buy/ buyer readiness]],Definitions!$A$13:$A$17,0))</f>
        <v>250000</v>
      </c>
      <c r="G380" s="86">
        <v>5</v>
      </c>
      <c r="H380" s="86">
        <v>4</v>
      </c>
      <c r="I380" s="86">
        <v>3</v>
      </c>
      <c r="J380" s="86">
        <v>3</v>
      </c>
      <c r="K380" s="86">
        <v>5</v>
      </c>
      <c r="L380" s="86">
        <f>SUM(Table3[[#This Row],[Strategic priority segment]:[Propensity to buy/ buyer readiness]])</f>
        <v>20</v>
      </c>
      <c r="M380" s="86" t="s">
        <v>66</v>
      </c>
      <c r="N380" s="84" t="s">
        <v>62</v>
      </c>
      <c r="O380" s="84" t="s">
        <v>61</v>
      </c>
      <c r="P380" s="87"/>
      <c r="Q380" s="87"/>
      <c r="R380" s="84"/>
      <c r="S380" s="87"/>
      <c r="T380" s="87"/>
      <c r="U380" s="84">
        <v>1</v>
      </c>
      <c r="V380" s="84">
        <v>0</v>
      </c>
      <c r="W380" s="84">
        <v>0</v>
      </c>
      <c r="X380" s="84">
        <v>0</v>
      </c>
      <c r="Y380" s="84">
        <v>0</v>
      </c>
      <c r="Z380" s="84">
        <v>1</v>
      </c>
      <c r="AA380" s="84">
        <v>1</v>
      </c>
      <c r="AB380" s="84">
        <v>1</v>
      </c>
      <c r="AC380" s="84">
        <v>1</v>
      </c>
      <c r="AD380" s="84">
        <v>1</v>
      </c>
      <c r="AE380" s="84">
        <v>1</v>
      </c>
      <c r="AF380" s="84">
        <v>1</v>
      </c>
      <c r="AG380" s="84">
        <v>1</v>
      </c>
      <c r="AH380" s="84">
        <v>0</v>
      </c>
      <c r="AI380" s="84">
        <v>0</v>
      </c>
      <c r="AJ380" s="84">
        <v>0</v>
      </c>
      <c r="AK380" s="84">
        <v>0</v>
      </c>
      <c r="AL380" s="84" cm="1">
        <f t="array" ref="AL3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0" s="84" cm="1">
        <f t="array" ref="AM3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0" s="84" cm="1">
        <f t="array" ref="AN3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80" s="84" cm="1">
        <f t="array" ref="AO3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0" s="84" cm="1">
        <f t="array" ref="AP3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0" s="84" cm="1">
        <f t="array" ref="AQ3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80" s="84" cm="1">
        <f t="array" ref="AR3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80" s="84" cm="1">
        <f t="array" ref="AS3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80" s="84" cm="1">
        <f t="array" ref="AT3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80" s="84" cm="1">
        <f t="array" ref="AU3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80" s="84" cm="1">
        <f t="array" ref="AV3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80" s="84" cm="1">
        <f t="array" ref="AW3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80" s="84" cm="1">
        <f t="array" ref="AX3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80" s="84" cm="1">
        <f t="array" ref="AY3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0" s="84" cm="1">
        <f t="array" ref="AZ3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0" s="84" cm="1">
        <f t="array" ref="BA3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0" s="84" cm="1">
        <f t="array" ref="BB3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0" s="84">
        <f>IF(SUM(Table3[[#This Row],[Column2]:[Column18]])&gt;Table3[[#This Row],[Column19]],Table3[[#This Row],[Column19]],SUM(Table3[[#This Row],[Column2]:[Column18]]))</f>
        <v>250000</v>
      </c>
      <c r="BD380" s="2">
        <f>Table3[[#This Row],[Total Spend]]/SUM(Table3[[#This Row],[Column2]:[Column18]])</f>
        <v>0.95785440613026818</v>
      </c>
    </row>
    <row r="381" spans="1:56">
      <c r="A381" s="84" t="s">
        <v>455</v>
      </c>
      <c r="B381" s="84"/>
      <c r="C381" s="84"/>
      <c r="D381" s="85">
        <v>45566</v>
      </c>
      <c r="E381" s="85" t="s">
        <v>92</v>
      </c>
      <c r="F381" s="84">
        <f>INDEX(Definitions!$G$13:$G$17,MATCH(Table3[[#This Row],[Propensity to buy/ buyer readiness]],Definitions!$A$13:$A$17,0))</f>
        <v>50000</v>
      </c>
      <c r="G381" s="86">
        <v>5</v>
      </c>
      <c r="H381" s="86">
        <v>3</v>
      </c>
      <c r="I381" s="86">
        <v>4</v>
      </c>
      <c r="J381" s="86">
        <v>5</v>
      </c>
      <c r="K381" s="86">
        <v>3</v>
      </c>
      <c r="L381" s="86">
        <f>SUM(Table3[[#This Row],[Strategic priority segment]:[Propensity to buy/ buyer readiness]])</f>
        <v>20</v>
      </c>
      <c r="M381" s="86" t="s">
        <v>59</v>
      </c>
      <c r="N381" s="84" t="s">
        <v>60</v>
      </c>
      <c r="O381" s="87"/>
      <c r="P381" s="87"/>
      <c r="Q381" s="87"/>
      <c r="R381" s="84"/>
      <c r="S381" s="87"/>
      <c r="T381" s="87"/>
      <c r="U381" s="84">
        <v>1</v>
      </c>
      <c r="V381" s="84">
        <v>1</v>
      </c>
      <c r="W381" s="84">
        <v>1</v>
      </c>
      <c r="X381" s="84">
        <v>1</v>
      </c>
      <c r="Y381" s="84">
        <v>1</v>
      </c>
      <c r="Z381" s="84">
        <v>0</v>
      </c>
      <c r="AA381" s="84">
        <v>0</v>
      </c>
      <c r="AB381" s="84">
        <v>0</v>
      </c>
      <c r="AC381" s="84">
        <v>0</v>
      </c>
      <c r="AD381" s="84">
        <v>1</v>
      </c>
      <c r="AE381" s="84">
        <v>0</v>
      </c>
      <c r="AF381" s="84">
        <v>0</v>
      </c>
      <c r="AG381" s="84">
        <v>0</v>
      </c>
      <c r="AH381" s="84">
        <v>0</v>
      </c>
      <c r="AI381" s="84">
        <v>0</v>
      </c>
      <c r="AJ381" s="84">
        <v>0</v>
      </c>
      <c r="AK381" s="84">
        <v>0</v>
      </c>
      <c r="AL381" s="84" cm="1">
        <f t="array" ref="AL3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81" s="84" cm="1">
        <f t="array" ref="AM3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81" s="84" cm="1">
        <f t="array" ref="AN3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81" s="84" cm="1">
        <f t="array" ref="AO3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81" s="84" cm="1">
        <f t="array" ref="AP3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81" s="84" cm="1">
        <f t="array" ref="AQ3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81" s="84" cm="1">
        <f t="array" ref="AR3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81" s="84" cm="1">
        <f t="array" ref="AS3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81" s="84" cm="1">
        <f t="array" ref="AT3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81" s="84" cm="1">
        <f t="array" ref="AU3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81" s="84" cm="1">
        <f t="array" ref="AV3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81" s="84" cm="1">
        <f t="array" ref="AW3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81" s="84" cm="1">
        <f t="array" ref="AX3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81" s="84" cm="1">
        <f t="array" ref="AY3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1" s="84" cm="1">
        <f t="array" ref="AZ3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1" s="84" cm="1">
        <f t="array" ref="BA3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1" s="84" cm="1">
        <f t="array" ref="BB3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1" s="84">
        <f>IF(SUM(Table3[[#This Row],[Column2]:[Column18]])&gt;Table3[[#This Row],[Column19]],Table3[[#This Row],[Column19]],SUM(Table3[[#This Row],[Column2]:[Column18]]))</f>
        <v>50000</v>
      </c>
      <c r="BD381" s="2">
        <f>Table3[[#This Row],[Total Spend]]/SUM(Table3[[#This Row],[Column2]:[Column18]])</f>
        <v>0.26709401709401709</v>
      </c>
    </row>
    <row r="382" spans="1:56">
      <c r="A382" s="84" t="s">
        <v>456</v>
      </c>
      <c r="B382" s="84"/>
      <c r="C382" s="84"/>
      <c r="D382" s="85">
        <v>45566</v>
      </c>
      <c r="E382" s="85" t="s">
        <v>92</v>
      </c>
      <c r="F382" s="84">
        <f>INDEX(Definitions!$G$13:$G$17,MATCH(Table3[[#This Row],[Propensity to buy/ buyer readiness]],Definitions!$A$13:$A$17,0))</f>
        <v>50000</v>
      </c>
      <c r="G382" s="86">
        <v>5</v>
      </c>
      <c r="H382" s="86">
        <v>3</v>
      </c>
      <c r="I382" s="86">
        <v>4</v>
      </c>
      <c r="J382" s="86">
        <v>5</v>
      </c>
      <c r="K382" s="86">
        <v>3</v>
      </c>
      <c r="L382" s="86">
        <f>SUM(Table3[[#This Row],[Strategic priority segment]:[Propensity to buy/ buyer readiness]])</f>
        <v>20</v>
      </c>
      <c r="M382" s="86" t="s">
        <v>59</v>
      </c>
      <c r="N382" s="84" t="s">
        <v>60</v>
      </c>
      <c r="O382" s="87"/>
      <c r="P382" s="87"/>
      <c r="Q382" s="87"/>
      <c r="R382" s="84"/>
      <c r="S382" s="87"/>
      <c r="T382" s="84"/>
      <c r="U382" s="84">
        <v>1</v>
      </c>
      <c r="V382" s="84">
        <v>1</v>
      </c>
      <c r="W382" s="84">
        <v>1</v>
      </c>
      <c r="X382" s="84">
        <v>1</v>
      </c>
      <c r="Y382" s="84">
        <v>1</v>
      </c>
      <c r="Z382" s="84">
        <v>0</v>
      </c>
      <c r="AA382" s="84">
        <v>0</v>
      </c>
      <c r="AB382" s="84">
        <v>0</v>
      </c>
      <c r="AC382" s="84">
        <v>0</v>
      </c>
      <c r="AD382" s="84">
        <v>1</v>
      </c>
      <c r="AE382" s="84">
        <v>0</v>
      </c>
      <c r="AF382" s="84">
        <v>0</v>
      </c>
      <c r="AG382" s="84">
        <v>0</v>
      </c>
      <c r="AH382" s="84">
        <v>0</v>
      </c>
      <c r="AI382" s="84">
        <v>0</v>
      </c>
      <c r="AJ382" s="84">
        <v>0</v>
      </c>
      <c r="AK382" s="84">
        <v>0</v>
      </c>
      <c r="AL382" s="84" cm="1">
        <f t="array" ref="AL3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82" s="84" cm="1">
        <f t="array" ref="AM3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82" s="84" cm="1">
        <f t="array" ref="AN3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82" s="84" cm="1">
        <f t="array" ref="AO3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82" s="84" cm="1">
        <f t="array" ref="AP3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82" s="84" cm="1">
        <f t="array" ref="AQ3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82" s="84" cm="1">
        <f t="array" ref="AR3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82" s="84" cm="1">
        <f t="array" ref="AS3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82" s="84" cm="1">
        <f t="array" ref="AT3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82" s="84" cm="1">
        <f t="array" ref="AU3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82" s="84" cm="1">
        <f t="array" ref="AV3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82" s="84" cm="1">
        <f t="array" ref="AW3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82" s="84" cm="1">
        <f t="array" ref="AX3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82" s="84" cm="1">
        <f t="array" ref="AY3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2" s="84" cm="1">
        <f t="array" ref="AZ3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2" s="84" cm="1">
        <f t="array" ref="BA3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2" s="84" cm="1">
        <f t="array" ref="BB3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2" s="84">
        <f>IF(SUM(Table3[[#This Row],[Column2]:[Column18]])&gt;Table3[[#This Row],[Column19]],Table3[[#This Row],[Column19]],SUM(Table3[[#This Row],[Column2]:[Column18]]))</f>
        <v>50000</v>
      </c>
      <c r="BD382" s="2">
        <f>Table3[[#This Row],[Total Spend]]/SUM(Table3[[#This Row],[Column2]:[Column18]])</f>
        <v>0.26709401709401709</v>
      </c>
    </row>
    <row r="383" spans="1:56">
      <c r="A383" s="84" t="s">
        <v>457</v>
      </c>
      <c r="B383" s="84" t="s">
        <v>57</v>
      </c>
      <c r="C383" s="84" t="s">
        <v>57</v>
      </c>
      <c r="D383" s="85">
        <v>45566</v>
      </c>
      <c r="E383" s="85" t="s">
        <v>58</v>
      </c>
      <c r="F383" s="84">
        <f>INDEX(Definitions!$G$13:$G$17,MATCH(Table3[[#This Row],[Propensity to buy/ buyer readiness]],Definitions!$A$13:$A$17,0))</f>
        <v>50000</v>
      </c>
      <c r="G383" s="86">
        <v>5</v>
      </c>
      <c r="H383" s="86">
        <v>4</v>
      </c>
      <c r="I383" s="86">
        <v>4</v>
      </c>
      <c r="J383" s="86">
        <v>4</v>
      </c>
      <c r="K383" s="86">
        <v>3</v>
      </c>
      <c r="L383" s="86">
        <f>SUM(Table3[[#This Row],[Strategic priority segment]:[Propensity to buy/ buyer readiness]])</f>
        <v>20</v>
      </c>
      <c r="M383" s="86" t="s">
        <v>191</v>
      </c>
      <c r="N383" s="84" t="s">
        <v>135</v>
      </c>
      <c r="O383" s="84" t="s">
        <v>62</v>
      </c>
      <c r="P383" s="87"/>
      <c r="Q383" s="87"/>
      <c r="R383" s="84"/>
      <c r="S383" s="84"/>
      <c r="T383" s="87"/>
      <c r="U383" s="84">
        <v>1</v>
      </c>
      <c r="V383" s="84">
        <v>0</v>
      </c>
      <c r="W383" s="84">
        <v>0</v>
      </c>
      <c r="X383" s="84">
        <v>0</v>
      </c>
      <c r="Y383" s="84">
        <v>0</v>
      </c>
      <c r="Z383" s="84">
        <v>0</v>
      </c>
      <c r="AA383" s="84">
        <v>0</v>
      </c>
      <c r="AB383" s="84">
        <v>0</v>
      </c>
      <c r="AC383" s="84">
        <v>0</v>
      </c>
      <c r="AD383" s="84">
        <v>1</v>
      </c>
      <c r="AE383" s="84">
        <v>1</v>
      </c>
      <c r="AF383" s="84">
        <v>1</v>
      </c>
      <c r="AG383" s="84">
        <v>1</v>
      </c>
      <c r="AH383" s="84">
        <v>1</v>
      </c>
      <c r="AI383" s="84">
        <v>1</v>
      </c>
      <c r="AJ383" s="84">
        <v>1</v>
      </c>
      <c r="AK383" s="84">
        <v>1</v>
      </c>
      <c r="AL383" s="84" cm="1">
        <f t="array" ref="AL3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3" s="84" cm="1">
        <f t="array" ref="AM3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3" s="84" cm="1">
        <f t="array" ref="AN3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83" s="84" cm="1">
        <f t="array" ref="AO3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3" s="84" cm="1">
        <f t="array" ref="AP3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3" s="84" cm="1">
        <f t="array" ref="AQ3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83" s="84" cm="1">
        <f t="array" ref="AR3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83" s="84" cm="1">
        <f t="array" ref="AS3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83" s="84" cm="1">
        <f t="array" ref="AT3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83" s="84" cm="1">
        <f t="array" ref="AU3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83" s="84" cm="1">
        <f t="array" ref="AV3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83" s="84" cm="1">
        <f t="array" ref="AW3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83" s="84" cm="1">
        <f t="array" ref="AX3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83" s="84" cm="1">
        <f t="array" ref="AY3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83" s="84" cm="1">
        <f t="array" ref="AZ3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83" s="84" cm="1">
        <f t="array" ref="BA3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83" s="84" cm="1">
        <f t="array" ref="BB3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83" s="84">
        <f>IF(SUM(Table3[[#This Row],[Column2]:[Column18]])&gt;Table3[[#This Row],[Column19]],Table3[[#This Row],[Column19]],SUM(Table3[[#This Row],[Column2]:[Column18]]))</f>
        <v>50000</v>
      </c>
      <c r="BD383" s="2">
        <f>Table3[[#This Row],[Total Spend]]/SUM(Table3[[#This Row],[Column2]:[Column18]])</f>
        <v>0.2554278416347382</v>
      </c>
    </row>
    <row r="384" spans="1:56">
      <c r="A384" s="88" t="s">
        <v>458</v>
      </c>
      <c r="B384" s="88"/>
      <c r="C384" s="88" t="s">
        <v>57</v>
      </c>
      <c r="D384" s="85">
        <v>45566</v>
      </c>
      <c r="E384" s="85" t="s">
        <v>58</v>
      </c>
      <c r="F384" s="84">
        <f>INDEX(Definitions!$G$13:$G$17,MATCH(Table3[[#This Row],[Propensity to buy/ buyer readiness]],Definitions!$A$13:$A$17,0))</f>
        <v>250000</v>
      </c>
      <c r="G384" s="86">
        <v>5</v>
      </c>
      <c r="H384" s="86">
        <v>4</v>
      </c>
      <c r="I384" s="86">
        <v>3</v>
      </c>
      <c r="J384" s="86">
        <v>3</v>
      </c>
      <c r="K384" s="86">
        <v>5</v>
      </c>
      <c r="L384" s="86">
        <f>SUM(Table3[[#This Row],[Strategic priority segment]:[Propensity to buy/ buyer readiness]])</f>
        <v>20</v>
      </c>
      <c r="M384" s="86" t="s">
        <v>66</v>
      </c>
      <c r="N384" s="84" t="s">
        <v>62</v>
      </c>
      <c r="O384" s="84" t="s">
        <v>61</v>
      </c>
      <c r="P384" s="87"/>
      <c r="Q384" s="87"/>
      <c r="R384" s="84"/>
      <c r="S384" s="87"/>
      <c r="T384" s="84"/>
      <c r="U384" s="84">
        <v>1</v>
      </c>
      <c r="V384" s="84">
        <v>0</v>
      </c>
      <c r="W384" s="84">
        <v>0</v>
      </c>
      <c r="X384" s="84">
        <v>0</v>
      </c>
      <c r="Y384" s="84">
        <v>0</v>
      </c>
      <c r="Z384" s="84">
        <v>1</v>
      </c>
      <c r="AA384" s="84">
        <v>1</v>
      </c>
      <c r="AB384" s="84">
        <v>1</v>
      </c>
      <c r="AC384" s="84">
        <v>1</v>
      </c>
      <c r="AD384" s="84">
        <v>1</v>
      </c>
      <c r="AE384" s="84">
        <v>1</v>
      </c>
      <c r="AF384" s="84">
        <v>1</v>
      </c>
      <c r="AG384" s="84">
        <v>1</v>
      </c>
      <c r="AH384" s="84">
        <v>0</v>
      </c>
      <c r="AI384" s="84">
        <v>0</v>
      </c>
      <c r="AJ384" s="84">
        <v>0</v>
      </c>
      <c r="AK384" s="84">
        <v>0</v>
      </c>
      <c r="AL384" s="84" cm="1">
        <f t="array" ref="AL3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4" s="84" cm="1">
        <f t="array" ref="AM3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4" s="84" cm="1">
        <f t="array" ref="AN3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84" s="84" cm="1">
        <f t="array" ref="AO3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4" s="84" cm="1">
        <f t="array" ref="AP3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4" s="84" cm="1">
        <f t="array" ref="AQ3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84" s="84" cm="1">
        <f t="array" ref="AR3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84" s="84" cm="1">
        <f t="array" ref="AS3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84" s="84" cm="1">
        <f t="array" ref="AT3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84" s="84" cm="1">
        <f t="array" ref="AU3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84" s="84" cm="1">
        <f t="array" ref="AV3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84" s="84" cm="1">
        <f t="array" ref="AW3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84" s="84" cm="1">
        <f t="array" ref="AX3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84" s="84" cm="1">
        <f t="array" ref="AY3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4" s="84" cm="1">
        <f t="array" ref="AZ3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4" s="84" cm="1">
        <f t="array" ref="BA3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4" s="84" cm="1">
        <f t="array" ref="BB3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4" s="84">
        <f>IF(SUM(Table3[[#This Row],[Column2]:[Column18]])&gt;Table3[[#This Row],[Column19]],Table3[[#This Row],[Column19]],SUM(Table3[[#This Row],[Column2]:[Column18]]))</f>
        <v>250000</v>
      </c>
      <c r="BD384" s="2">
        <f>Table3[[#This Row],[Total Spend]]/SUM(Table3[[#This Row],[Column2]:[Column18]])</f>
        <v>0.95785440613026818</v>
      </c>
    </row>
    <row r="385" spans="1:56">
      <c r="A385" s="84" t="s">
        <v>459</v>
      </c>
      <c r="B385" s="84" t="s">
        <v>57</v>
      </c>
      <c r="C385" s="84" t="s">
        <v>57</v>
      </c>
      <c r="D385" s="85">
        <v>45566</v>
      </c>
      <c r="E385" s="85" t="s">
        <v>58</v>
      </c>
      <c r="F385" s="84">
        <f>INDEX(Definitions!$G$13:$G$17,MATCH(Table3[[#This Row],[Propensity to buy/ buyer readiness]],Definitions!$A$13:$A$17,0))</f>
        <v>50000</v>
      </c>
      <c r="G385" s="86">
        <v>5</v>
      </c>
      <c r="H385" s="86">
        <v>4</v>
      </c>
      <c r="I385" s="86">
        <v>4</v>
      </c>
      <c r="J385" s="86">
        <v>4</v>
      </c>
      <c r="K385" s="86">
        <v>3</v>
      </c>
      <c r="L385" s="86">
        <f>SUM(Table3[[#This Row],[Strategic priority segment]:[Propensity to buy/ buyer readiness]])</f>
        <v>20</v>
      </c>
      <c r="M385" s="86" t="s">
        <v>191</v>
      </c>
      <c r="N385" s="84" t="s">
        <v>135</v>
      </c>
      <c r="O385" s="84" t="s">
        <v>61</v>
      </c>
      <c r="P385" s="87"/>
      <c r="Q385" s="87"/>
      <c r="R385" s="84"/>
      <c r="S385" s="84"/>
      <c r="T385" s="84"/>
      <c r="U385" s="84">
        <v>1</v>
      </c>
      <c r="V385" s="84">
        <v>0</v>
      </c>
      <c r="W385" s="84">
        <v>0</v>
      </c>
      <c r="X385" s="84">
        <v>0</v>
      </c>
      <c r="Y385" s="84">
        <v>0</v>
      </c>
      <c r="Z385" s="84">
        <v>1</v>
      </c>
      <c r="AA385" s="84">
        <v>1</v>
      </c>
      <c r="AB385" s="84">
        <v>1</v>
      </c>
      <c r="AC385" s="84">
        <v>1</v>
      </c>
      <c r="AD385" s="84">
        <v>0</v>
      </c>
      <c r="AE385" s="84">
        <v>0</v>
      </c>
      <c r="AF385" s="84">
        <v>0</v>
      </c>
      <c r="AG385" s="84">
        <v>0</v>
      </c>
      <c r="AH385" s="84">
        <v>1</v>
      </c>
      <c r="AI385" s="84">
        <v>1</v>
      </c>
      <c r="AJ385" s="84">
        <v>1</v>
      </c>
      <c r="AK385" s="84">
        <v>1</v>
      </c>
      <c r="AL385" s="84" cm="1">
        <f t="array" ref="AL3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5" s="84" cm="1">
        <f t="array" ref="AM3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5" s="84" cm="1">
        <f t="array" ref="AN3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85" s="84" cm="1">
        <f t="array" ref="AO3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5" s="84" cm="1">
        <f t="array" ref="AP3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5" s="84" cm="1">
        <f t="array" ref="AQ3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385" s="84" cm="1">
        <f t="array" ref="AR3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85" s="84" cm="1">
        <f t="array" ref="AS3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385" s="84" cm="1">
        <f t="array" ref="AT3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385" s="84" cm="1">
        <f t="array" ref="AU3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85" s="84" cm="1">
        <f t="array" ref="AV3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85" s="84" cm="1">
        <f t="array" ref="AW3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85" s="84" cm="1">
        <f t="array" ref="AX3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85" s="84" cm="1">
        <f t="array" ref="AY3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85" s="84" cm="1">
        <f t="array" ref="AZ3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85" s="84" cm="1">
        <f t="array" ref="BA3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85" s="84" cm="1">
        <f t="array" ref="BB3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85" s="84">
        <f>IF(SUM(Table3[[#This Row],[Column2]:[Column18]])&gt;Table3[[#This Row],[Column19]],Table3[[#This Row],[Column19]],SUM(Table3[[#This Row],[Column2]:[Column18]]))</f>
        <v>50000</v>
      </c>
      <c r="BD385" s="2">
        <f>Table3[[#This Row],[Total Spend]]/SUM(Table3[[#This Row],[Column2]:[Column18]])</f>
        <v>0.24420024420024419</v>
      </c>
    </row>
    <row r="386" spans="1:56">
      <c r="A386" s="84" t="s">
        <v>460</v>
      </c>
      <c r="B386" s="84"/>
      <c r="C386" s="84"/>
      <c r="D386" s="85">
        <v>45566</v>
      </c>
      <c r="E386" s="85" t="s">
        <v>92</v>
      </c>
      <c r="F386" s="84">
        <f>INDEX(Definitions!$G$13:$G$17,MATCH(Table3[[#This Row],[Propensity to buy/ buyer readiness]],Definitions!$A$13:$A$17,0))</f>
        <v>50000</v>
      </c>
      <c r="G386" s="86">
        <v>5</v>
      </c>
      <c r="H386" s="86">
        <v>3</v>
      </c>
      <c r="I386" s="86">
        <v>4</v>
      </c>
      <c r="J386" s="86">
        <v>5</v>
      </c>
      <c r="K386" s="86">
        <v>3</v>
      </c>
      <c r="L386" s="86">
        <f>SUM(Table3[[#This Row],[Strategic priority segment]:[Propensity to buy/ buyer readiness]])</f>
        <v>20</v>
      </c>
      <c r="M386" s="86" t="s">
        <v>59</v>
      </c>
      <c r="N386" s="84" t="s">
        <v>60</v>
      </c>
      <c r="O386" s="87"/>
      <c r="P386" s="87"/>
      <c r="Q386" s="87"/>
      <c r="R386" s="84"/>
      <c r="S386" s="87"/>
      <c r="T386" s="84"/>
      <c r="U386" s="84">
        <v>1</v>
      </c>
      <c r="V386" s="84">
        <v>1</v>
      </c>
      <c r="W386" s="84">
        <v>1</v>
      </c>
      <c r="X386" s="84">
        <v>1</v>
      </c>
      <c r="Y386" s="84">
        <v>1</v>
      </c>
      <c r="Z386" s="84">
        <v>0</v>
      </c>
      <c r="AA386" s="84">
        <v>0</v>
      </c>
      <c r="AB386" s="84">
        <v>0</v>
      </c>
      <c r="AC386" s="84">
        <v>0</v>
      </c>
      <c r="AD386" s="84">
        <v>1</v>
      </c>
      <c r="AE386" s="84">
        <v>0</v>
      </c>
      <c r="AF386" s="84">
        <v>0</v>
      </c>
      <c r="AG386" s="84">
        <v>0</v>
      </c>
      <c r="AH386" s="84">
        <v>0</v>
      </c>
      <c r="AI386" s="84">
        <v>0</v>
      </c>
      <c r="AJ386" s="84">
        <v>0</v>
      </c>
      <c r="AK386" s="84">
        <v>0</v>
      </c>
      <c r="AL386" s="84" cm="1">
        <f t="array" ref="AL3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86" s="84" cm="1">
        <f t="array" ref="AM3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386" s="84" cm="1">
        <f t="array" ref="AN3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386" s="84" cm="1">
        <f t="array" ref="AO3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386" s="84" cm="1">
        <f t="array" ref="AP3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386" s="84" cm="1">
        <f t="array" ref="AQ3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86" s="84" cm="1">
        <f t="array" ref="AR3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86" s="84" cm="1">
        <f t="array" ref="AS3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86" s="84" cm="1">
        <f t="array" ref="AT3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86" s="84" cm="1">
        <f t="array" ref="AU3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86" s="84" cm="1">
        <f t="array" ref="AV3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86" s="84" cm="1">
        <f t="array" ref="AW3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86" s="84" cm="1">
        <f t="array" ref="AX3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86" s="84" cm="1">
        <f t="array" ref="AY3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6" s="84" cm="1">
        <f t="array" ref="AZ3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6" s="84" cm="1">
        <f t="array" ref="BA3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6" s="84" cm="1">
        <f t="array" ref="BB3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6" s="84">
        <f>IF(SUM(Table3[[#This Row],[Column2]:[Column18]])&gt;Table3[[#This Row],[Column19]],Table3[[#This Row],[Column19]],SUM(Table3[[#This Row],[Column2]:[Column18]]))</f>
        <v>50000</v>
      </c>
      <c r="BD386" s="2">
        <f>Table3[[#This Row],[Total Spend]]/SUM(Table3[[#This Row],[Column2]:[Column18]])</f>
        <v>0.26709401709401709</v>
      </c>
    </row>
    <row r="387" spans="1:56">
      <c r="A387" s="88" t="s">
        <v>461</v>
      </c>
      <c r="B387" s="88"/>
      <c r="C387" s="88"/>
      <c r="D387" s="85">
        <v>45566</v>
      </c>
      <c r="E387" s="85" t="s">
        <v>58</v>
      </c>
      <c r="F387" s="84">
        <f>INDEX(Definitions!$G$13:$G$17,MATCH(Table3[[#This Row],[Propensity to buy/ buyer readiness]],Definitions!$A$13:$A$17,0))</f>
        <v>250000</v>
      </c>
      <c r="G387" s="86">
        <v>5</v>
      </c>
      <c r="H387" s="86">
        <v>4</v>
      </c>
      <c r="I387" s="86">
        <v>3</v>
      </c>
      <c r="J387" s="86">
        <v>3</v>
      </c>
      <c r="K387" s="86">
        <v>5</v>
      </c>
      <c r="L387" s="86">
        <f>SUM(Table3[[#This Row],[Strategic priority segment]:[Propensity to buy/ buyer readiness]])</f>
        <v>20</v>
      </c>
      <c r="M387" s="86" t="s">
        <v>66</v>
      </c>
      <c r="N387" s="84" t="s">
        <v>62</v>
      </c>
      <c r="O387" s="84" t="s">
        <v>63</v>
      </c>
      <c r="P387" s="87"/>
      <c r="Q387" s="87"/>
      <c r="R387" s="84"/>
      <c r="S387" s="87"/>
      <c r="T387" s="87"/>
      <c r="U387" s="84">
        <v>1</v>
      </c>
      <c r="V387" s="84">
        <v>0</v>
      </c>
      <c r="W387" s="84">
        <v>1</v>
      </c>
      <c r="X387" s="84">
        <v>0</v>
      </c>
      <c r="Y387" s="84">
        <v>0</v>
      </c>
      <c r="Z387" s="84">
        <v>0</v>
      </c>
      <c r="AA387" s="84">
        <v>1</v>
      </c>
      <c r="AB387" s="84">
        <v>0</v>
      </c>
      <c r="AC387" s="84">
        <v>0</v>
      </c>
      <c r="AD387" s="84">
        <v>1</v>
      </c>
      <c r="AE387" s="84">
        <v>1</v>
      </c>
      <c r="AF387" s="84">
        <v>1</v>
      </c>
      <c r="AG387" s="84">
        <v>1</v>
      </c>
      <c r="AH387" s="84">
        <v>0</v>
      </c>
      <c r="AI387" s="84">
        <v>0</v>
      </c>
      <c r="AJ387" s="84">
        <v>0</v>
      </c>
      <c r="AK387" s="84">
        <v>0</v>
      </c>
      <c r="AL387" s="84" cm="1">
        <f t="array" ref="AL3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7" s="84" cm="1">
        <f t="array" ref="AM3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7" s="84" cm="1">
        <f t="array" ref="AN3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87" s="84" cm="1">
        <f t="array" ref="AO3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7" s="84" cm="1">
        <f t="array" ref="AP3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7" s="84" cm="1">
        <f t="array" ref="AQ3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87" s="84" cm="1">
        <f t="array" ref="AR3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87" s="84" cm="1">
        <f t="array" ref="AS3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87" s="84" cm="1">
        <f t="array" ref="AT3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87" s="84" cm="1">
        <f t="array" ref="AU3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87" s="84" cm="1">
        <f t="array" ref="AV3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87" s="84" cm="1">
        <f t="array" ref="AW3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87" s="84" cm="1">
        <f t="array" ref="AX3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87" s="84" cm="1">
        <f t="array" ref="AY3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7" s="84" cm="1">
        <f t="array" ref="AZ3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7" s="84" cm="1">
        <f t="array" ref="BA3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7" s="84" cm="1">
        <f t="array" ref="BB3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7" s="84">
        <f>IF(SUM(Table3[[#This Row],[Column2]:[Column18]])&gt;Table3[[#This Row],[Column19]],Table3[[#This Row],[Column19]],SUM(Table3[[#This Row],[Column2]:[Column18]]))</f>
        <v>225900</v>
      </c>
      <c r="BD387" s="2">
        <f>Table3[[#This Row],[Total Spend]]/SUM(Table3[[#This Row],[Column2]:[Column18]])</f>
        <v>1</v>
      </c>
    </row>
    <row r="388" spans="1:56">
      <c r="A388" s="84" t="s">
        <v>462</v>
      </c>
      <c r="B388" s="84"/>
      <c r="C388" s="84" t="s">
        <v>57</v>
      </c>
      <c r="D388" s="85">
        <v>45809</v>
      </c>
      <c r="E388" s="85" t="s">
        <v>92</v>
      </c>
      <c r="F388" s="84">
        <f>INDEX(Definitions!$G$13:$G$17,MATCH(Table3[[#This Row],[Propensity to buy/ buyer readiness]],Definitions!$A$13:$A$17,0))</f>
        <v>50000</v>
      </c>
      <c r="G388" s="86">
        <v>5</v>
      </c>
      <c r="H388" s="86">
        <v>5</v>
      </c>
      <c r="I388" s="86">
        <v>3</v>
      </c>
      <c r="J388" s="86">
        <v>4</v>
      </c>
      <c r="K388" s="86">
        <v>3</v>
      </c>
      <c r="L388" s="86">
        <f>SUM(Table3[[#This Row],[Strategic priority segment]:[Propensity to buy/ buyer readiness]])</f>
        <v>20</v>
      </c>
      <c r="M388" s="86" t="s">
        <v>102</v>
      </c>
      <c r="N388" s="84" t="s">
        <v>61</v>
      </c>
      <c r="O388" s="84" t="s">
        <v>62</v>
      </c>
      <c r="P388" s="84"/>
      <c r="Q388" s="84"/>
      <c r="R388" s="84"/>
      <c r="S388" s="84"/>
      <c r="T388" s="84"/>
      <c r="U388" s="84">
        <v>1</v>
      </c>
      <c r="V388" s="84">
        <v>0</v>
      </c>
      <c r="W388" s="84">
        <v>0</v>
      </c>
      <c r="X388" s="84">
        <v>0</v>
      </c>
      <c r="Y388" s="84">
        <v>0</v>
      </c>
      <c r="Z388" s="84">
        <v>1</v>
      </c>
      <c r="AA388" s="84">
        <v>1</v>
      </c>
      <c r="AB388" s="84">
        <v>1</v>
      </c>
      <c r="AC388" s="84">
        <v>1</v>
      </c>
      <c r="AD388" s="84">
        <v>1</v>
      </c>
      <c r="AE388" s="84">
        <v>1</v>
      </c>
      <c r="AF388" s="84">
        <v>1</v>
      </c>
      <c r="AG388" s="84">
        <v>1</v>
      </c>
      <c r="AH388" s="84">
        <v>0</v>
      </c>
      <c r="AI388" s="84">
        <v>0</v>
      </c>
      <c r="AJ388" s="84">
        <v>0</v>
      </c>
      <c r="AK388" s="84">
        <v>0</v>
      </c>
      <c r="AL388" s="84" cm="1">
        <f t="array" ref="AL3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88" s="84" cm="1">
        <f t="array" ref="AM3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8" s="84" cm="1">
        <f t="array" ref="AN3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88" s="84" cm="1">
        <f t="array" ref="AO3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8" s="84" cm="1">
        <f t="array" ref="AP3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8" s="84" cm="1">
        <f t="array" ref="AQ3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88" s="84" cm="1">
        <f t="array" ref="AR3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88" s="84" cm="1">
        <f t="array" ref="AS3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88" s="84" cm="1">
        <f t="array" ref="AT3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88" s="84" cm="1">
        <f t="array" ref="AU3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88" s="84" cm="1">
        <f t="array" ref="AV3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88" s="84" cm="1">
        <f t="array" ref="AW3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88" s="84" cm="1">
        <f t="array" ref="AX3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88" s="84" cm="1">
        <f t="array" ref="AY3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88" s="84" cm="1">
        <f t="array" ref="AZ3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88" s="84" cm="1">
        <f t="array" ref="BA3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88" s="84" cm="1">
        <f t="array" ref="BB3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88" s="84">
        <f>IF(SUM(Table3[[#This Row],[Column2]:[Column18]])&gt;Table3[[#This Row],[Column19]],Table3[[#This Row],[Column19]],SUM(Table3[[#This Row],[Column2]:[Column18]]))</f>
        <v>50000</v>
      </c>
      <c r="BD388" s="2">
        <f>Table3[[#This Row],[Total Spend]]/SUM(Table3[[#This Row],[Column2]:[Column18]])</f>
        <v>0.2664535038635758</v>
      </c>
    </row>
    <row r="389" spans="1:56">
      <c r="A389" s="84" t="s">
        <v>463</v>
      </c>
      <c r="B389" s="84"/>
      <c r="C389" s="84"/>
      <c r="D389" s="85">
        <v>45566</v>
      </c>
      <c r="E389" s="85" t="s">
        <v>58</v>
      </c>
      <c r="F389" s="84">
        <f>INDEX(Definitions!$G$13:$G$17,MATCH(Table3[[#This Row],[Propensity to buy/ buyer readiness]],Definitions!$A$13:$A$17,0))</f>
        <v>250000</v>
      </c>
      <c r="G389" s="86">
        <v>5</v>
      </c>
      <c r="H389" s="86">
        <v>4</v>
      </c>
      <c r="I389" s="86">
        <v>3</v>
      </c>
      <c r="J389" s="86">
        <v>3</v>
      </c>
      <c r="K389" s="86">
        <v>5</v>
      </c>
      <c r="L389" s="86">
        <f>SUM(Table3[[#This Row],[Strategic priority segment]:[Propensity to buy/ buyer readiness]])</f>
        <v>20</v>
      </c>
      <c r="M389" s="86" t="s">
        <v>66</v>
      </c>
      <c r="N389" s="84" t="s">
        <v>62</v>
      </c>
      <c r="O389" s="87" t="s">
        <v>135</v>
      </c>
      <c r="P389" s="87" t="s">
        <v>63</v>
      </c>
      <c r="Q389" s="87"/>
      <c r="R389" s="87"/>
      <c r="S389" s="87"/>
      <c r="T389" s="87"/>
      <c r="U389" s="84">
        <v>1</v>
      </c>
      <c r="V389" s="84">
        <v>0</v>
      </c>
      <c r="W389" s="84">
        <v>1</v>
      </c>
      <c r="X389" s="84">
        <v>0</v>
      </c>
      <c r="Y389" s="84">
        <v>0</v>
      </c>
      <c r="Z389" s="84">
        <v>0</v>
      </c>
      <c r="AA389" s="84">
        <v>1</v>
      </c>
      <c r="AB389" s="84">
        <v>0</v>
      </c>
      <c r="AC389" s="84">
        <v>0</v>
      </c>
      <c r="AD389" s="84">
        <v>1</v>
      </c>
      <c r="AE389" s="84">
        <v>1</v>
      </c>
      <c r="AF389" s="84">
        <v>1</v>
      </c>
      <c r="AG389" s="84">
        <v>1</v>
      </c>
      <c r="AH389" s="84">
        <v>1</v>
      </c>
      <c r="AI389" s="84">
        <v>1</v>
      </c>
      <c r="AJ389" s="84">
        <v>1</v>
      </c>
      <c r="AK389" s="84">
        <v>1</v>
      </c>
      <c r="AL389" s="84" cm="1">
        <f t="array" ref="AL3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89" s="84" cm="1">
        <f t="array" ref="AM3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89" s="84" cm="1">
        <f t="array" ref="AN3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389" s="84" cm="1">
        <f t="array" ref="AO3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89" s="84" cm="1">
        <f t="array" ref="AP3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89" s="84" cm="1">
        <f t="array" ref="AQ3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89" s="84" cm="1">
        <f t="array" ref="AR3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389" s="84" cm="1">
        <f t="array" ref="AS3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89" s="84" cm="1">
        <f t="array" ref="AT3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89" s="84" cm="1">
        <f t="array" ref="AU3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89" s="84" cm="1">
        <f t="array" ref="AV3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89" s="84" cm="1">
        <f t="array" ref="AW3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89" s="84" cm="1">
        <f t="array" ref="AX3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89" s="84" cm="1">
        <f t="array" ref="AY3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89" s="84" cm="1">
        <f t="array" ref="AZ3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89" s="84" cm="1">
        <f t="array" ref="BA3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89" s="84" cm="1">
        <f t="array" ref="BB3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89" s="84">
        <f>IF(SUM(Table3[[#This Row],[Column2]:[Column18]])&gt;Table3[[#This Row],[Column19]],Table3[[#This Row],[Column19]],SUM(Table3[[#This Row],[Column2]:[Column18]]))</f>
        <v>250000</v>
      </c>
      <c r="BD389" s="2">
        <f>Table3[[#This Row],[Total Spend]]/SUM(Table3[[#This Row],[Column2]:[Column18]])</f>
        <v>0.8613264427217916</v>
      </c>
    </row>
    <row r="390" spans="1:56">
      <c r="A390" s="84" t="s">
        <v>464</v>
      </c>
      <c r="B390" s="84" t="s">
        <v>57</v>
      </c>
      <c r="C390" s="84"/>
      <c r="D390" s="85">
        <v>45566</v>
      </c>
      <c r="E390" s="85" t="s">
        <v>58</v>
      </c>
      <c r="F390" s="84">
        <f>INDEX(Definitions!$G$13:$G$17,MATCH(Table3[[#This Row],[Propensity to buy/ buyer readiness]],Definitions!$A$13:$A$17,0))</f>
        <v>50000</v>
      </c>
      <c r="G390" s="86">
        <v>5</v>
      </c>
      <c r="H390" s="86">
        <v>4</v>
      </c>
      <c r="I390" s="86">
        <v>4</v>
      </c>
      <c r="J390" s="86">
        <v>4</v>
      </c>
      <c r="K390" s="86">
        <v>3</v>
      </c>
      <c r="L390" s="86">
        <f>SUM(Table3[[#This Row],[Strategic priority segment]:[Propensity to buy/ buyer readiness]])</f>
        <v>20</v>
      </c>
      <c r="M390" s="86" t="s">
        <v>191</v>
      </c>
      <c r="N390" s="84" t="s">
        <v>135</v>
      </c>
      <c r="O390" s="84"/>
      <c r="P390" s="87"/>
      <c r="Q390" s="87"/>
      <c r="R390" s="84"/>
      <c r="S390" s="84"/>
      <c r="T390" s="87"/>
      <c r="U390" s="84">
        <v>0</v>
      </c>
      <c r="V390" s="84">
        <v>0</v>
      </c>
      <c r="W390" s="84">
        <v>0</v>
      </c>
      <c r="X390" s="84">
        <v>0</v>
      </c>
      <c r="Y390" s="84">
        <v>0</v>
      </c>
      <c r="Z390" s="84">
        <v>0</v>
      </c>
      <c r="AA390" s="84">
        <v>0</v>
      </c>
      <c r="AB390" s="84">
        <v>0</v>
      </c>
      <c r="AC390" s="84">
        <v>0</v>
      </c>
      <c r="AD390" s="84">
        <v>0</v>
      </c>
      <c r="AE390" s="84">
        <v>0</v>
      </c>
      <c r="AF390" s="84">
        <v>0</v>
      </c>
      <c r="AG390" s="84">
        <v>0</v>
      </c>
      <c r="AH390" s="84">
        <v>1</v>
      </c>
      <c r="AI390" s="84">
        <v>1</v>
      </c>
      <c r="AJ390" s="84">
        <v>1</v>
      </c>
      <c r="AK390" s="84">
        <v>1</v>
      </c>
      <c r="AL390" s="84" cm="1">
        <f t="array" ref="AL3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90" s="84" cm="1">
        <f t="array" ref="AM3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0" s="84" cm="1">
        <f t="array" ref="AN3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0" s="84" cm="1">
        <f t="array" ref="AO3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0" s="84" cm="1">
        <f t="array" ref="AP3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0" s="84" cm="1">
        <f t="array" ref="AQ3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0" s="84" cm="1">
        <f t="array" ref="AR3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0" s="84" cm="1">
        <f t="array" ref="AS3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0" s="84" cm="1">
        <f t="array" ref="AT3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0" s="84" cm="1">
        <f t="array" ref="AU3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90" s="84" cm="1">
        <f t="array" ref="AV3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90" s="84" cm="1">
        <f t="array" ref="AW3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90" s="84" cm="1">
        <f t="array" ref="AX3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0" s="84" cm="1">
        <f t="array" ref="AY3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90" s="84" cm="1">
        <f t="array" ref="AZ3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90" s="84" cm="1">
        <f t="array" ref="BA3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90" s="84" cm="1">
        <f t="array" ref="BB3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90" s="84">
        <f>IF(SUM(Table3[[#This Row],[Column2]:[Column18]])&gt;Table3[[#This Row],[Column19]],Table3[[#This Row],[Column19]],SUM(Table3[[#This Row],[Column2]:[Column18]]))</f>
        <v>50000</v>
      </c>
      <c r="BD390" s="2">
        <f>Table3[[#This Row],[Total Spend]]/SUM(Table3[[#This Row],[Column2]:[Column18]])</f>
        <v>0.77700077700077697</v>
      </c>
    </row>
    <row r="391" spans="1:56">
      <c r="A391" s="84" t="s">
        <v>465</v>
      </c>
      <c r="B391" s="84" t="s">
        <v>57</v>
      </c>
      <c r="C391" s="84"/>
      <c r="D391" s="85">
        <v>45566</v>
      </c>
      <c r="E391" s="85" t="s">
        <v>58</v>
      </c>
      <c r="F391" s="84">
        <f>INDEX(Definitions!$G$13:$G$17,MATCH(Table3[[#This Row],[Propensity to buy/ buyer readiness]],Definitions!$A$13:$A$17,0))</f>
        <v>50000</v>
      </c>
      <c r="G391" s="86">
        <v>5</v>
      </c>
      <c r="H391" s="86">
        <v>4</v>
      </c>
      <c r="I391" s="86">
        <v>4</v>
      </c>
      <c r="J391" s="86">
        <v>4</v>
      </c>
      <c r="K391" s="86">
        <v>3</v>
      </c>
      <c r="L391" s="86">
        <f>SUM(Table3[[#This Row],[Strategic priority segment]:[Propensity to buy/ buyer readiness]])</f>
        <v>20</v>
      </c>
      <c r="M391" s="86" t="s">
        <v>191</v>
      </c>
      <c r="N391" s="84" t="s">
        <v>135</v>
      </c>
      <c r="O391" s="84"/>
      <c r="P391" s="87"/>
      <c r="Q391" s="87"/>
      <c r="R391" s="84"/>
      <c r="S391" s="84"/>
      <c r="T391" s="87"/>
      <c r="U391" s="84">
        <v>0</v>
      </c>
      <c r="V391" s="84">
        <v>0</v>
      </c>
      <c r="W391" s="84">
        <v>0</v>
      </c>
      <c r="X391" s="84">
        <v>0</v>
      </c>
      <c r="Y391" s="84">
        <v>0</v>
      </c>
      <c r="Z391" s="84">
        <v>0</v>
      </c>
      <c r="AA391" s="84">
        <v>0</v>
      </c>
      <c r="AB391" s="84">
        <v>0</v>
      </c>
      <c r="AC391" s="84">
        <v>0</v>
      </c>
      <c r="AD391" s="84">
        <v>0</v>
      </c>
      <c r="AE391" s="84">
        <v>0</v>
      </c>
      <c r="AF391" s="84">
        <v>0</v>
      </c>
      <c r="AG391" s="84">
        <v>0</v>
      </c>
      <c r="AH391" s="84">
        <v>1</v>
      </c>
      <c r="AI391" s="84">
        <v>1</v>
      </c>
      <c r="AJ391" s="84">
        <v>1</v>
      </c>
      <c r="AK391" s="84">
        <v>1</v>
      </c>
      <c r="AL391" s="84" cm="1">
        <f t="array" ref="AL3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91" s="84" cm="1">
        <f t="array" ref="AM3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1" s="84" cm="1">
        <f t="array" ref="AN3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1" s="84" cm="1">
        <f t="array" ref="AO3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1" s="84" cm="1">
        <f t="array" ref="AP3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1" s="84" cm="1">
        <f t="array" ref="AQ3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1" s="84" cm="1">
        <f t="array" ref="AR3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1" s="84" cm="1">
        <f t="array" ref="AS3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1" s="84" cm="1">
        <f t="array" ref="AT3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1" s="84" cm="1">
        <f t="array" ref="AU3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91" s="84" cm="1">
        <f t="array" ref="AV3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91" s="84" cm="1">
        <f t="array" ref="AW3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91" s="84" cm="1">
        <f t="array" ref="AX3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1" s="84" cm="1">
        <f t="array" ref="AY3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91" s="84" cm="1">
        <f t="array" ref="AZ3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91" s="84" cm="1">
        <f t="array" ref="BA3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91" s="84" cm="1">
        <f t="array" ref="BB3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91" s="84">
        <f>IF(SUM(Table3[[#This Row],[Column2]:[Column18]])&gt;Table3[[#This Row],[Column19]],Table3[[#This Row],[Column19]],SUM(Table3[[#This Row],[Column2]:[Column18]]))</f>
        <v>50000</v>
      </c>
      <c r="BD391" s="2">
        <f>Table3[[#This Row],[Total Spend]]/SUM(Table3[[#This Row],[Column2]:[Column18]])</f>
        <v>0.77700077700077697</v>
      </c>
    </row>
    <row r="392" spans="1:56">
      <c r="A392" s="84" t="s">
        <v>466</v>
      </c>
      <c r="B392" s="84" t="s">
        <v>57</v>
      </c>
      <c r="C392" s="84"/>
      <c r="D392" s="85">
        <v>45566</v>
      </c>
      <c r="E392" s="85" t="s">
        <v>58</v>
      </c>
      <c r="F392" s="84">
        <f>INDEX(Definitions!$G$13:$G$17,MATCH(Table3[[#This Row],[Propensity to buy/ buyer readiness]],Definitions!$A$13:$A$17,0))</f>
        <v>50000</v>
      </c>
      <c r="G392" s="86">
        <v>5</v>
      </c>
      <c r="H392" s="86">
        <v>4</v>
      </c>
      <c r="I392" s="86">
        <v>4</v>
      </c>
      <c r="J392" s="86">
        <v>4</v>
      </c>
      <c r="K392" s="86">
        <v>3</v>
      </c>
      <c r="L392" s="86">
        <f>SUM(Table3[[#This Row],[Strategic priority segment]:[Propensity to buy/ buyer readiness]])</f>
        <v>20</v>
      </c>
      <c r="M392" s="86" t="s">
        <v>191</v>
      </c>
      <c r="N392" s="84" t="s">
        <v>135</v>
      </c>
      <c r="O392" s="84"/>
      <c r="P392" s="87"/>
      <c r="Q392" s="87"/>
      <c r="R392" s="84"/>
      <c r="S392" s="84"/>
      <c r="T392" s="87"/>
      <c r="U392" s="84">
        <v>0</v>
      </c>
      <c r="V392" s="84">
        <v>0</v>
      </c>
      <c r="W392" s="84">
        <v>0</v>
      </c>
      <c r="X392" s="84">
        <v>0</v>
      </c>
      <c r="Y392" s="84">
        <v>0</v>
      </c>
      <c r="Z392" s="84">
        <v>0</v>
      </c>
      <c r="AA392" s="84">
        <v>0</v>
      </c>
      <c r="AB392" s="84">
        <v>0</v>
      </c>
      <c r="AC392" s="84">
        <v>0</v>
      </c>
      <c r="AD392" s="84">
        <v>0</v>
      </c>
      <c r="AE392" s="84">
        <v>0</v>
      </c>
      <c r="AF392" s="84">
        <v>0</v>
      </c>
      <c r="AG392" s="84">
        <v>0</v>
      </c>
      <c r="AH392" s="84">
        <v>1</v>
      </c>
      <c r="AI392" s="84">
        <v>1</v>
      </c>
      <c r="AJ392" s="84">
        <v>1</v>
      </c>
      <c r="AK392" s="84">
        <v>1</v>
      </c>
      <c r="AL392" s="84" cm="1">
        <f t="array" ref="AL3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392" s="84" cm="1">
        <f t="array" ref="AM3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2" s="84" cm="1">
        <f t="array" ref="AN3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2" s="84" cm="1">
        <f t="array" ref="AO3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2" s="84" cm="1">
        <f t="array" ref="AP3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2" s="84" cm="1">
        <f t="array" ref="AQ3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2" s="84" cm="1">
        <f t="array" ref="AR3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2" s="84" cm="1">
        <f t="array" ref="AS3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2" s="84" cm="1">
        <f t="array" ref="AT3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2" s="84" cm="1">
        <f t="array" ref="AU3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92" s="84" cm="1">
        <f t="array" ref="AV3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92" s="84" cm="1">
        <f t="array" ref="AW3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92" s="84" cm="1">
        <f t="array" ref="AX3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2" s="84" cm="1">
        <f t="array" ref="AY3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92" s="84" cm="1">
        <f t="array" ref="AZ3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392" s="84" cm="1">
        <f t="array" ref="BA3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92" s="84" cm="1">
        <f t="array" ref="BB3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392" s="84">
        <f>IF(SUM(Table3[[#This Row],[Column2]:[Column18]])&gt;Table3[[#This Row],[Column19]],Table3[[#This Row],[Column19]],SUM(Table3[[#This Row],[Column2]:[Column18]]))</f>
        <v>50000</v>
      </c>
      <c r="BD392" s="2">
        <f>Table3[[#This Row],[Total Spend]]/SUM(Table3[[#This Row],[Column2]:[Column18]])</f>
        <v>0.77700077700077697</v>
      </c>
    </row>
    <row r="393" spans="1:56">
      <c r="A393" s="84" t="s">
        <v>467</v>
      </c>
      <c r="B393" s="84" t="s">
        <v>57</v>
      </c>
      <c r="C393" s="84" t="s">
        <v>57</v>
      </c>
      <c r="D393" s="85">
        <v>45566</v>
      </c>
      <c r="E393" s="85" t="s">
        <v>58</v>
      </c>
      <c r="F393" s="84">
        <f>INDEX(Definitions!$G$13:$G$17,MATCH(Table3[[#This Row],[Propensity to buy/ buyer readiness]],Definitions!$A$13:$A$17,0))</f>
        <v>150000</v>
      </c>
      <c r="G393" s="86">
        <v>5</v>
      </c>
      <c r="H393" s="86">
        <v>4</v>
      </c>
      <c r="I393" s="86">
        <v>4</v>
      </c>
      <c r="J393" s="86">
        <v>3</v>
      </c>
      <c r="K393" s="86">
        <v>4</v>
      </c>
      <c r="L393" s="86">
        <f>SUM(Table3[[#This Row],[Strategic priority segment]:[Propensity to buy/ buyer readiness]])</f>
        <v>20</v>
      </c>
      <c r="M393" s="86" t="s">
        <v>66</v>
      </c>
      <c r="N393" s="84" t="s">
        <v>62</v>
      </c>
      <c r="O393" s="84" t="s">
        <v>76</v>
      </c>
      <c r="P393" s="87"/>
      <c r="Q393" s="87"/>
      <c r="R393" s="84"/>
      <c r="S393" s="84"/>
      <c r="T393" s="84"/>
      <c r="U393" s="84">
        <v>1</v>
      </c>
      <c r="V393" s="84">
        <v>0</v>
      </c>
      <c r="W393" s="84">
        <v>0</v>
      </c>
      <c r="X393" s="84">
        <v>0</v>
      </c>
      <c r="Y393" s="84">
        <v>0</v>
      </c>
      <c r="Z393" s="84">
        <v>0</v>
      </c>
      <c r="AA393" s="84">
        <v>0</v>
      </c>
      <c r="AB393" s="84">
        <v>0</v>
      </c>
      <c r="AC393" s="84">
        <v>0</v>
      </c>
      <c r="AD393" s="84">
        <v>1</v>
      </c>
      <c r="AE393" s="84">
        <v>1</v>
      </c>
      <c r="AF393" s="84">
        <v>1</v>
      </c>
      <c r="AG393" s="84">
        <v>1</v>
      </c>
      <c r="AH393" s="84">
        <v>1</v>
      </c>
      <c r="AI393" s="84">
        <v>0</v>
      </c>
      <c r="AJ393" s="84">
        <v>1</v>
      </c>
      <c r="AK393" s="84">
        <v>0</v>
      </c>
      <c r="AL393" s="84" cm="1">
        <f t="array" ref="AL3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93" s="84" cm="1">
        <f t="array" ref="AM3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3" s="84" cm="1">
        <f t="array" ref="AN3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3" s="84" cm="1">
        <f t="array" ref="AO3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3" s="84" cm="1">
        <f t="array" ref="AP3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3" s="84" cm="1">
        <f t="array" ref="AQ3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3" s="84" cm="1">
        <f t="array" ref="AR3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3" s="84" cm="1">
        <f t="array" ref="AS3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3" s="84" cm="1">
        <f t="array" ref="AT3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3" s="84" cm="1">
        <f t="array" ref="AU3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93" s="84" cm="1">
        <f t="array" ref="AV3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93" s="84" cm="1">
        <f t="array" ref="AW3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93" s="84" cm="1">
        <f t="array" ref="AX3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93" s="84" cm="1">
        <f t="array" ref="AY3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393" s="84" cm="1">
        <f t="array" ref="AZ3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3" s="84" cm="1">
        <f t="array" ref="BA3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393" s="84" cm="1">
        <f t="array" ref="BB3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3" s="84">
        <f>IF(SUM(Table3[[#This Row],[Column2]:[Column18]])&gt;Table3[[#This Row],[Column19]],Table3[[#This Row],[Column19]],SUM(Table3[[#This Row],[Column2]:[Column18]]))</f>
        <v>150000</v>
      </c>
      <c r="BD393" s="2">
        <f>Table3[[#This Row],[Total Spend]]/SUM(Table3[[#This Row],[Column2]:[Column18]])</f>
        <v>0.86355785837651122</v>
      </c>
    </row>
    <row r="394" spans="1:56">
      <c r="A394" s="84" t="s">
        <v>468</v>
      </c>
      <c r="B394" s="84" t="s">
        <v>57</v>
      </c>
      <c r="C394" s="84"/>
      <c r="D394" s="85">
        <v>45566</v>
      </c>
      <c r="E394" s="85" t="s">
        <v>92</v>
      </c>
      <c r="F394" s="84">
        <f>INDEX(Definitions!$G$13:$G$17,MATCH(Table3[[#This Row],[Propensity to buy/ buyer readiness]],Definitions!$A$13:$A$17,0))</f>
        <v>50000</v>
      </c>
      <c r="G394" s="86">
        <v>5</v>
      </c>
      <c r="H394" s="86">
        <v>4</v>
      </c>
      <c r="I394" s="86">
        <v>4</v>
      </c>
      <c r="J394" s="86">
        <v>3</v>
      </c>
      <c r="K394" s="86">
        <v>3</v>
      </c>
      <c r="L394" s="86">
        <f>SUM(Table3[[#This Row],[Strategic priority segment]:[Propensity to buy/ buyer readiness]])</f>
        <v>19</v>
      </c>
      <c r="M394" s="86" t="s">
        <v>66</v>
      </c>
      <c r="N394" s="84" t="s">
        <v>62</v>
      </c>
      <c r="O394" s="84"/>
      <c r="P394" s="87"/>
      <c r="Q394" s="87"/>
      <c r="R394" s="84"/>
      <c r="S394" s="87"/>
      <c r="T394" s="87"/>
      <c r="U394" s="84">
        <v>1</v>
      </c>
      <c r="V394" s="84">
        <v>0</v>
      </c>
      <c r="W394" s="84">
        <v>0</v>
      </c>
      <c r="X394" s="84">
        <v>0</v>
      </c>
      <c r="Y394" s="84">
        <v>0</v>
      </c>
      <c r="Z394" s="84">
        <v>0</v>
      </c>
      <c r="AA394" s="84">
        <v>0</v>
      </c>
      <c r="AB394" s="84">
        <v>0</v>
      </c>
      <c r="AC394" s="84">
        <v>0</v>
      </c>
      <c r="AD394" s="84">
        <v>1</v>
      </c>
      <c r="AE394" s="84">
        <v>1</v>
      </c>
      <c r="AF394" s="84">
        <v>1</v>
      </c>
      <c r="AG394" s="84">
        <v>1</v>
      </c>
      <c r="AH394" s="84">
        <v>0</v>
      </c>
      <c r="AI394" s="84">
        <v>0</v>
      </c>
      <c r="AJ394" s="84">
        <v>0</v>
      </c>
      <c r="AK394" s="84">
        <v>0</v>
      </c>
      <c r="AL394" s="84" cm="1">
        <f t="array" ref="AL3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94" s="84" cm="1">
        <f t="array" ref="AM3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4" s="84" cm="1">
        <f t="array" ref="AN3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4" s="84" cm="1">
        <f t="array" ref="AO3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4" s="84" cm="1">
        <f t="array" ref="AP3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4" s="84" cm="1">
        <f t="array" ref="AQ3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4" s="84" cm="1">
        <f t="array" ref="AR3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4" s="84" cm="1">
        <f t="array" ref="AS3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4" s="84" cm="1">
        <f t="array" ref="AT3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4" s="84" cm="1">
        <f t="array" ref="AU3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94" s="84" cm="1">
        <f t="array" ref="AV3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94" s="84" cm="1">
        <f t="array" ref="AW3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94" s="84" cm="1">
        <f t="array" ref="AX3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94" s="84" cm="1">
        <f t="array" ref="AY3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4" s="84" cm="1">
        <f t="array" ref="AZ3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4" s="84" cm="1">
        <f t="array" ref="BA3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4" s="84" cm="1">
        <f t="array" ref="BB3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4" s="84">
        <f>IF(SUM(Table3[[#This Row],[Column2]:[Column18]])&gt;Table3[[#This Row],[Column19]],Table3[[#This Row],[Column19]],SUM(Table3[[#This Row],[Column2]:[Column18]]))</f>
        <v>50000</v>
      </c>
      <c r="BD394" s="2">
        <f>Table3[[#This Row],[Total Spend]]/SUM(Table3[[#This Row],[Column2]:[Column18]])</f>
        <v>0.53163211057947901</v>
      </c>
    </row>
    <row r="395" spans="1:56">
      <c r="A395" s="84" t="s">
        <v>469</v>
      </c>
      <c r="B395" s="84"/>
      <c r="C395" s="84"/>
      <c r="D395" s="85">
        <v>45809</v>
      </c>
      <c r="E395" s="85" t="s">
        <v>92</v>
      </c>
      <c r="F395" s="84">
        <f>INDEX(Definitions!$G$13:$G$17,MATCH(Table3[[#This Row],[Propensity to buy/ buyer readiness]],Definitions!$A$13:$A$17,0))</f>
        <v>50000</v>
      </c>
      <c r="G395" s="86">
        <v>5</v>
      </c>
      <c r="H395" s="86">
        <v>5</v>
      </c>
      <c r="I395" s="86">
        <v>2</v>
      </c>
      <c r="J395" s="86">
        <v>4</v>
      </c>
      <c r="K395" s="86">
        <v>3</v>
      </c>
      <c r="L395" s="86">
        <f>SUM(Table3[[#This Row],[Strategic priority segment]:[Propensity to buy/ buyer readiness]])</f>
        <v>19</v>
      </c>
      <c r="M395" s="86" t="s">
        <v>102</v>
      </c>
      <c r="N395" s="84" t="s">
        <v>61</v>
      </c>
      <c r="O395" s="84"/>
      <c r="P395" s="87"/>
      <c r="Q395" s="87"/>
      <c r="R395" s="84"/>
      <c r="S395" s="84"/>
      <c r="T395" s="84"/>
      <c r="U395" s="84">
        <v>1</v>
      </c>
      <c r="V395" s="84">
        <v>0</v>
      </c>
      <c r="W395" s="84">
        <v>0</v>
      </c>
      <c r="X395" s="84">
        <v>0</v>
      </c>
      <c r="Y395" s="84">
        <v>0</v>
      </c>
      <c r="Z395" s="84">
        <v>1</v>
      </c>
      <c r="AA395" s="84">
        <v>1</v>
      </c>
      <c r="AB395" s="84">
        <v>1</v>
      </c>
      <c r="AC395" s="84">
        <v>1</v>
      </c>
      <c r="AD395" s="84">
        <v>0</v>
      </c>
      <c r="AE395" s="84">
        <v>0</v>
      </c>
      <c r="AF395" s="84">
        <v>0</v>
      </c>
      <c r="AG395" s="84">
        <v>0</v>
      </c>
      <c r="AH395" s="84">
        <v>0</v>
      </c>
      <c r="AI395" s="84">
        <v>0</v>
      </c>
      <c r="AJ395" s="84">
        <v>0</v>
      </c>
      <c r="AK395" s="84">
        <v>0</v>
      </c>
      <c r="AL395" s="84" cm="1">
        <f t="array" ref="AL3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95" s="84" cm="1">
        <f t="array" ref="AM3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5" s="84" cm="1">
        <f t="array" ref="AN3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5" s="84" cm="1">
        <f t="array" ref="AO3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5" s="84" cm="1">
        <f t="array" ref="AP3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5" s="84" cm="1">
        <f t="array" ref="AQ3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95" s="84" cm="1">
        <f t="array" ref="AR3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95" s="84" cm="1">
        <f t="array" ref="AS3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95" s="84" cm="1">
        <f t="array" ref="AT3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95" s="84" cm="1">
        <f t="array" ref="AU3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95" s="84" cm="1">
        <f t="array" ref="AV3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95" s="84" cm="1">
        <f t="array" ref="AW3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95" s="84" cm="1">
        <f t="array" ref="AX3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5" s="84" cm="1">
        <f t="array" ref="AY3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5" s="84" cm="1">
        <f t="array" ref="AZ3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5" s="84" cm="1">
        <f t="array" ref="BA3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5" s="84" cm="1">
        <f t="array" ref="BB3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5" s="84">
        <f>IF(SUM(Table3[[#This Row],[Column2]:[Column18]])&gt;Table3[[#This Row],[Column19]],Table3[[#This Row],[Column19]],SUM(Table3[[#This Row],[Column2]:[Column18]]))</f>
        <v>50000</v>
      </c>
      <c r="BD395" s="2">
        <f>Table3[[#This Row],[Total Spend]]/SUM(Table3[[#This Row],[Column2]:[Column18]])</f>
        <v>0.49164208456243852</v>
      </c>
    </row>
    <row r="396" spans="1:56">
      <c r="A396" s="87" t="s">
        <v>470</v>
      </c>
      <c r="B396" s="87"/>
      <c r="C396" s="87"/>
      <c r="D396" s="85">
        <v>45566</v>
      </c>
      <c r="E396" s="85" t="s">
        <v>92</v>
      </c>
      <c r="F396" s="84">
        <f>INDEX(Definitions!$G$13:$G$17,MATCH(Table3[[#This Row],[Propensity to buy/ buyer readiness]],Definitions!$A$13:$A$17,0))</f>
        <v>50000</v>
      </c>
      <c r="G396" s="86">
        <v>5</v>
      </c>
      <c r="H396" s="86">
        <v>5</v>
      </c>
      <c r="I396" s="86">
        <v>2</v>
      </c>
      <c r="J396" s="86">
        <v>4</v>
      </c>
      <c r="K396" s="86">
        <v>3</v>
      </c>
      <c r="L396" s="86">
        <f>SUM(Table3[[#This Row],[Strategic priority segment]:[Propensity to buy/ buyer readiness]])</f>
        <v>19</v>
      </c>
      <c r="M396" s="86" t="s">
        <v>102</v>
      </c>
      <c r="N396" s="84" t="s">
        <v>61</v>
      </c>
      <c r="O396" s="84"/>
      <c r="P396" s="87"/>
      <c r="Q396" s="87"/>
      <c r="R396" s="84"/>
      <c r="S396" s="87"/>
      <c r="T396" s="87"/>
      <c r="U396" s="84">
        <v>1</v>
      </c>
      <c r="V396" s="84">
        <v>0</v>
      </c>
      <c r="W396" s="84">
        <v>0</v>
      </c>
      <c r="X396" s="84">
        <v>0</v>
      </c>
      <c r="Y396" s="84">
        <v>0</v>
      </c>
      <c r="Z396" s="84">
        <v>1</v>
      </c>
      <c r="AA396" s="84">
        <v>1</v>
      </c>
      <c r="AB396" s="84">
        <v>1</v>
      </c>
      <c r="AC396" s="84">
        <v>1</v>
      </c>
      <c r="AD396" s="84">
        <v>0</v>
      </c>
      <c r="AE396" s="84">
        <v>0</v>
      </c>
      <c r="AF396" s="84">
        <v>0</v>
      </c>
      <c r="AG396" s="84">
        <v>0</v>
      </c>
      <c r="AH396" s="84">
        <v>0</v>
      </c>
      <c r="AI396" s="84">
        <v>0</v>
      </c>
      <c r="AJ396" s="84">
        <v>0</v>
      </c>
      <c r="AK396" s="84">
        <v>0</v>
      </c>
      <c r="AL396" s="84" cm="1">
        <f t="array" ref="AL3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96" s="84" cm="1">
        <f t="array" ref="AM3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6" s="84" cm="1">
        <f t="array" ref="AN3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6" s="84" cm="1">
        <f t="array" ref="AO3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6" s="84" cm="1">
        <f t="array" ref="AP3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6" s="84" cm="1">
        <f t="array" ref="AQ3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96" s="84" cm="1">
        <f t="array" ref="AR3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96" s="84" cm="1">
        <f t="array" ref="AS3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96" s="84" cm="1">
        <f t="array" ref="AT3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96" s="84" cm="1">
        <f t="array" ref="AU3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96" s="84" cm="1">
        <f t="array" ref="AV3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96" s="84" cm="1">
        <f t="array" ref="AW3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96" s="84" cm="1">
        <f t="array" ref="AX3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6" s="84" cm="1">
        <f t="array" ref="AY3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6" s="84" cm="1">
        <f t="array" ref="AZ3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6" s="84" cm="1">
        <f t="array" ref="BA3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6" s="84" cm="1">
        <f t="array" ref="BB3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6" s="84">
        <f>IF(SUM(Table3[[#This Row],[Column2]:[Column18]])&gt;Table3[[#This Row],[Column19]],Table3[[#This Row],[Column19]],SUM(Table3[[#This Row],[Column2]:[Column18]]))</f>
        <v>50000</v>
      </c>
      <c r="BD396" s="2">
        <f>Table3[[#This Row],[Total Spend]]/SUM(Table3[[#This Row],[Column2]:[Column18]])</f>
        <v>0.49164208456243852</v>
      </c>
    </row>
    <row r="397" spans="1:56">
      <c r="A397" s="88" t="s">
        <v>471</v>
      </c>
      <c r="B397" s="84"/>
      <c r="C397" s="84"/>
      <c r="D397" s="85">
        <v>45566</v>
      </c>
      <c r="E397" s="85" t="s">
        <v>92</v>
      </c>
      <c r="F397" s="84">
        <f>INDEX(Definitions!$G$13:$G$17,MATCH(Table3[[#This Row],[Propensity to buy/ buyer readiness]],Definitions!$A$13:$A$17,0))</f>
        <v>50000</v>
      </c>
      <c r="G397" s="86">
        <v>5</v>
      </c>
      <c r="H397" s="86">
        <v>5</v>
      </c>
      <c r="I397" s="86">
        <v>2</v>
      </c>
      <c r="J397" s="86">
        <v>4</v>
      </c>
      <c r="K397" s="86">
        <v>3</v>
      </c>
      <c r="L397" s="86">
        <f>SUM(Table3[[#This Row],[Strategic priority segment]:[Propensity to buy/ buyer readiness]])</f>
        <v>19</v>
      </c>
      <c r="M397" s="86" t="s">
        <v>102</v>
      </c>
      <c r="N397" s="84" t="s">
        <v>61</v>
      </c>
      <c r="O397" s="84"/>
      <c r="P397" s="84"/>
      <c r="Q397" s="84"/>
      <c r="R397" s="84"/>
      <c r="S397" s="84"/>
      <c r="T397" s="87"/>
      <c r="U397" s="84">
        <v>1</v>
      </c>
      <c r="V397" s="84">
        <v>0</v>
      </c>
      <c r="W397" s="84">
        <v>0</v>
      </c>
      <c r="X397" s="84">
        <v>0</v>
      </c>
      <c r="Y397" s="84">
        <v>0</v>
      </c>
      <c r="Z397" s="84">
        <v>1</v>
      </c>
      <c r="AA397" s="84">
        <v>1</v>
      </c>
      <c r="AB397" s="84">
        <v>1</v>
      </c>
      <c r="AC397" s="84">
        <v>1</v>
      </c>
      <c r="AD397" s="84">
        <v>0</v>
      </c>
      <c r="AE397" s="84">
        <v>0</v>
      </c>
      <c r="AF397" s="84">
        <v>0</v>
      </c>
      <c r="AG397" s="84">
        <v>0</v>
      </c>
      <c r="AH397" s="84">
        <v>0</v>
      </c>
      <c r="AI397" s="84">
        <v>0</v>
      </c>
      <c r="AJ397" s="84">
        <v>0</v>
      </c>
      <c r="AK397" s="84">
        <v>0</v>
      </c>
      <c r="AL397" s="84" cm="1">
        <f t="array" ref="AL3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97" s="84" cm="1">
        <f t="array" ref="AM3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7" s="84" cm="1">
        <f t="array" ref="AN3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7" s="84" cm="1">
        <f t="array" ref="AO3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7" s="84" cm="1">
        <f t="array" ref="AP3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7" s="84" cm="1">
        <f t="array" ref="AQ3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397" s="84" cm="1">
        <f t="array" ref="AR3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397" s="84" cm="1">
        <f t="array" ref="AS3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397" s="84" cm="1">
        <f t="array" ref="AT3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397" s="84" cm="1">
        <f t="array" ref="AU3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397" s="84" cm="1">
        <f t="array" ref="AV3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397" s="84" cm="1">
        <f t="array" ref="AW3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397" s="84" cm="1">
        <f t="array" ref="AX3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397" s="84" cm="1">
        <f t="array" ref="AY3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7" s="84" cm="1">
        <f t="array" ref="AZ3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7" s="84" cm="1">
        <f t="array" ref="BA3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7" s="84" cm="1">
        <f t="array" ref="BB3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7" s="84">
        <f>IF(SUM(Table3[[#This Row],[Column2]:[Column18]])&gt;Table3[[#This Row],[Column19]],Table3[[#This Row],[Column19]],SUM(Table3[[#This Row],[Column2]:[Column18]]))</f>
        <v>50000</v>
      </c>
      <c r="BD397" s="2">
        <f>Table3[[#This Row],[Total Spend]]/SUM(Table3[[#This Row],[Column2]:[Column18]])</f>
        <v>0.49164208456243852</v>
      </c>
    </row>
    <row r="398" spans="1:56">
      <c r="A398" s="84" t="s">
        <v>472</v>
      </c>
      <c r="B398" s="84" t="s">
        <v>57</v>
      </c>
      <c r="C398" s="84" t="s">
        <v>57</v>
      </c>
      <c r="D398" s="85">
        <v>45566</v>
      </c>
      <c r="E398" s="85" t="s">
        <v>92</v>
      </c>
      <c r="F398" s="84">
        <f>INDEX(Definitions!$G$13:$G$17,MATCH(Table3[[#This Row],[Propensity to buy/ buyer readiness]],Definitions!$A$13:$A$17,0))</f>
        <v>50000</v>
      </c>
      <c r="G398" s="86">
        <v>5</v>
      </c>
      <c r="H398" s="86">
        <v>4</v>
      </c>
      <c r="I398" s="86">
        <v>4</v>
      </c>
      <c r="J398" s="86">
        <v>3</v>
      </c>
      <c r="K398" s="86">
        <v>3</v>
      </c>
      <c r="L398" s="86">
        <f>SUM(Table3[[#This Row],[Strategic priority segment]:[Propensity to buy/ buyer readiness]])</f>
        <v>19</v>
      </c>
      <c r="M398" s="86" t="s">
        <v>66</v>
      </c>
      <c r="N398" s="84" t="s">
        <v>62</v>
      </c>
      <c r="O398" s="84"/>
      <c r="P398" s="87"/>
      <c r="Q398" s="87"/>
      <c r="R398" s="84"/>
      <c r="S398" s="87"/>
      <c r="T398" s="87"/>
      <c r="U398" s="84">
        <v>1</v>
      </c>
      <c r="V398" s="84">
        <v>0</v>
      </c>
      <c r="W398" s="84">
        <v>0</v>
      </c>
      <c r="X398" s="84">
        <v>0</v>
      </c>
      <c r="Y398" s="84">
        <v>0</v>
      </c>
      <c r="Z398" s="84">
        <v>0</v>
      </c>
      <c r="AA398" s="84">
        <v>0</v>
      </c>
      <c r="AB398" s="84">
        <v>0</v>
      </c>
      <c r="AC398" s="84">
        <v>0</v>
      </c>
      <c r="AD398" s="84">
        <v>1</v>
      </c>
      <c r="AE398" s="84">
        <v>1</v>
      </c>
      <c r="AF398" s="84">
        <v>1</v>
      </c>
      <c r="AG398" s="84">
        <v>1</v>
      </c>
      <c r="AH398" s="84">
        <v>0</v>
      </c>
      <c r="AI398" s="84">
        <v>0</v>
      </c>
      <c r="AJ398" s="84">
        <v>0</v>
      </c>
      <c r="AK398" s="84">
        <v>0</v>
      </c>
      <c r="AL398" s="84" cm="1">
        <f t="array" ref="AL3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398" s="84" cm="1">
        <f t="array" ref="AM3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8" s="84" cm="1">
        <f t="array" ref="AN3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8" s="84" cm="1">
        <f t="array" ref="AO3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8" s="84" cm="1">
        <f t="array" ref="AP3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8" s="84" cm="1">
        <f t="array" ref="AQ3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8" s="84" cm="1">
        <f t="array" ref="AR3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8" s="84" cm="1">
        <f t="array" ref="AS3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8" s="84" cm="1">
        <f t="array" ref="AT3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8" s="84" cm="1">
        <f t="array" ref="AU3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398" s="84" cm="1">
        <f t="array" ref="AV3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398" s="84" cm="1">
        <f t="array" ref="AW3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398" s="84" cm="1">
        <f t="array" ref="AX3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398" s="84" cm="1">
        <f t="array" ref="AY3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8" s="84" cm="1">
        <f t="array" ref="AZ3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8" s="84" cm="1">
        <f t="array" ref="BA3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8" s="84" cm="1">
        <f t="array" ref="BB3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8" s="84">
        <f>IF(SUM(Table3[[#This Row],[Column2]:[Column18]])&gt;Table3[[#This Row],[Column19]],Table3[[#This Row],[Column19]],SUM(Table3[[#This Row],[Column2]:[Column18]]))</f>
        <v>50000</v>
      </c>
      <c r="BD398" s="2">
        <f>Table3[[#This Row],[Total Spend]]/SUM(Table3[[#This Row],[Column2]:[Column18]])</f>
        <v>0.53163211057947901</v>
      </c>
    </row>
    <row r="399" spans="1:56" ht="15.75" customHeight="1">
      <c r="A399" s="84" t="s">
        <v>473</v>
      </c>
      <c r="B399" s="84"/>
      <c r="C399" s="84"/>
      <c r="D399" s="85">
        <v>45566</v>
      </c>
      <c r="E399" s="85" t="s">
        <v>58</v>
      </c>
      <c r="F399" s="84">
        <f>INDEX(Definitions!$G$13:$G$17,MATCH(Table3[[#This Row],[Propensity to buy/ buyer readiness]],Definitions!$A$13:$A$17,0))</f>
        <v>150000</v>
      </c>
      <c r="G399" s="86">
        <v>5</v>
      </c>
      <c r="H399" s="86">
        <v>4</v>
      </c>
      <c r="I399" s="86">
        <v>3</v>
      </c>
      <c r="J399" s="86">
        <v>3</v>
      </c>
      <c r="K399" s="86">
        <v>4</v>
      </c>
      <c r="L399" s="86">
        <f>SUM(Table3[[#This Row],[Strategic priority segment]:[Propensity to buy/ buyer readiness]])</f>
        <v>19</v>
      </c>
      <c r="M399" s="86" t="s">
        <v>66</v>
      </c>
      <c r="N399" s="84" t="s">
        <v>62</v>
      </c>
      <c r="O399" s="87"/>
      <c r="P399" s="87"/>
      <c r="Q399" s="87"/>
      <c r="R399" s="87"/>
      <c r="S399" s="87"/>
      <c r="T399" s="87"/>
      <c r="U399" s="84">
        <v>1</v>
      </c>
      <c r="V399" s="84">
        <v>0</v>
      </c>
      <c r="W399" s="84">
        <v>0</v>
      </c>
      <c r="X399" s="84">
        <v>0</v>
      </c>
      <c r="Y399" s="84">
        <v>0</v>
      </c>
      <c r="Z399" s="84">
        <v>0</v>
      </c>
      <c r="AA399" s="84">
        <v>0</v>
      </c>
      <c r="AB399" s="84">
        <v>0</v>
      </c>
      <c r="AC399" s="84">
        <v>0</v>
      </c>
      <c r="AD399" s="84">
        <v>1</v>
      </c>
      <c r="AE399" s="84">
        <v>1</v>
      </c>
      <c r="AF399" s="84">
        <v>1</v>
      </c>
      <c r="AG399" s="84">
        <v>1</v>
      </c>
      <c r="AH399" s="84">
        <v>0</v>
      </c>
      <c r="AI399" s="84">
        <v>0</v>
      </c>
      <c r="AJ399" s="84">
        <v>0</v>
      </c>
      <c r="AK399" s="84">
        <v>0</v>
      </c>
      <c r="AL399" s="84" cm="1">
        <f t="array" ref="AL3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399" s="84" cm="1">
        <f t="array" ref="AM3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399" s="84" cm="1">
        <f t="array" ref="AN3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399" s="84" cm="1">
        <f t="array" ref="AO3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399" s="84" cm="1">
        <f t="array" ref="AP3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399" s="84" cm="1">
        <f t="array" ref="AQ3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399" s="84" cm="1">
        <f t="array" ref="AR3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399" s="84" cm="1">
        <f t="array" ref="AS3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399" s="84" cm="1">
        <f t="array" ref="AT3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399" s="84" cm="1">
        <f t="array" ref="AU3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399" s="84" cm="1">
        <f t="array" ref="AV3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399" s="84" cm="1">
        <f t="array" ref="AW3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399" s="84" cm="1">
        <f t="array" ref="AX3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399" s="84" cm="1">
        <f t="array" ref="AY3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399" s="84" cm="1">
        <f t="array" ref="AZ3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399" s="84" cm="1">
        <f t="array" ref="BA3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399" s="84" cm="1">
        <f t="array" ref="BB3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399" s="84">
        <f>IF(SUM(Table3[[#This Row],[Column2]:[Column18]])&gt;Table3[[#This Row],[Column19]],Table3[[#This Row],[Column19]],SUM(Table3[[#This Row],[Column2]:[Column18]]))</f>
        <v>131400</v>
      </c>
      <c r="BD399" s="2">
        <f>Table3[[#This Row],[Total Spend]]/SUM(Table3[[#This Row],[Column2]:[Column18]])</f>
        <v>1</v>
      </c>
    </row>
    <row r="400" spans="1:56" ht="15.75" customHeight="1">
      <c r="A400" s="84" t="s">
        <v>474</v>
      </c>
      <c r="B400" s="84"/>
      <c r="C400" s="84"/>
      <c r="D400" s="85">
        <v>45566</v>
      </c>
      <c r="E400" s="85" t="s">
        <v>92</v>
      </c>
      <c r="F400" s="84">
        <f>INDEX(Definitions!$G$13:$G$17,MATCH(Table3[[#This Row],[Propensity to buy/ buyer readiness]],Definitions!$A$13:$A$17,0))</f>
        <v>50000</v>
      </c>
      <c r="G400" s="86">
        <v>5</v>
      </c>
      <c r="H400" s="86">
        <v>5</v>
      </c>
      <c r="I400" s="86">
        <v>2</v>
      </c>
      <c r="J400" s="86">
        <v>4</v>
      </c>
      <c r="K400" s="86">
        <v>3</v>
      </c>
      <c r="L400" s="86">
        <f>SUM(Table3[[#This Row],[Strategic priority segment]:[Propensity to buy/ buyer readiness]])</f>
        <v>19</v>
      </c>
      <c r="M400" s="86" t="s">
        <v>102</v>
      </c>
      <c r="N400" s="84" t="s">
        <v>61</v>
      </c>
      <c r="O400" s="84"/>
      <c r="P400" s="87"/>
      <c r="Q400" s="87"/>
      <c r="R400" s="84"/>
      <c r="S400" s="87"/>
      <c r="T400" s="87"/>
      <c r="U400" s="84">
        <v>1</v>
      </c>
      <c r="V400" s="84">
        <v>0</v>
      </c>
      <c r="W400" s="84">
        <v>0</v>
      </c>
      <c r="X400" s="84">
        <v>0</v>
      </c>
      <c r="Y400" s="84">
        <v>0</v>
      </c>
      <c r="Z400" s="84">
        <v>1</v>
      </c>
      <c r="AA400" s="84">
        <v>1</v>
      </c>
      <c r="AB400" s="84">
        <v>1</v>
      </c>
      <c r="AC400" s="84">
        <v>1</v>
      </c>
      <c r="AD400" s="84">
        <v>0</v>
      </c>
      <c r="AE400" s="84">
        <v>0</v>
      </c>
      <c r="AF400" s="84">
        <v>0</v>
      </c>
      <c r="AG400" s="84">
        <v>0</v>
      </c>
      <c r="AH400" s="84">
        <v>0</v>
      </c>
      <c r="AI400" s="84">
        <v>0</v>
      </c>
      <c r="AJ400" s="84">
        <v>0</v>
      </c>
      <c r="AK400" s="84">
        <v>0</v>
      </c>
      <c r="AL400" s="84" cm="1">
        <f t="array" ref="AL4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0" s="84" cm="1">
        <f t="array" ref="AM4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0" s="84" cm="1">
        <f t="array" ref="AN4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0" s="84" cm="1">
        <f t="array" ref="AO4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0" s="84" cm="1">
        <f t="array" ref="AP4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0" s="84" cm="1">
        <f t="array" ref="AQ4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0" s="84" cm="1">
        <f t="array" ref="AR4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0" s="84" cm="1">
        <f t="array" ref="AS4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0" s="84" cm="1">
        <f t="array" ref="AT4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0" s="84" cm="1">
        <f t="array" ref="AU4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0" s="84" cm="1">
        <f t="array" ref="AV4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0" s="84" cm="1">
        <f t="array" ref="AW4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0" s="84" cm="1">
        <f t="array" ref="AX4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0" s="84" cm="1">
        <f t="array" ref="AY4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0" s="84" cm="1">
        <f t="array" ref="AZ4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0" s="84" cm="1">
        <f t="array" ref="BA4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0" s="84" cm="1">
        <f t="array" ref="BB4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0" s="84">
        <f>IF(SUM(Table3[[#This Row],[Column2]:[Column18]])&gt;Table3[[#This Row],[Column19]],Table3[[#This Row],[Column19]],SUM(Table3[[#This Row],[Column2]:[Column18]]))</f>
        <v>50000</v>
      </c>
      <c r="BD400" s="2">
        <f>Table3[[#This Row],[Total Spend]]/SUM(Table3[[#This Row],[Column2]:[Column18]])</f>
        <v>0.49164208456243852</v>
      </c>
    </row>
    <row r="401" spans="1:56">
      <c r="A401" s="88" t="s">
        <v>475</v>
      </c>
      <c r="B401" s="84"/>
      <c r="C401" s="84"/>
      <c r="D401" s="85">
        <v>45566</v>
      </c>
      <c r="E401" s="85" t="s">
        <v>92</v>
      </c>
      <c r="F401" s="84">
        <f>INDEX(Definitions!$G$13:$G$17,MATCH(Table3[[#This Row],[Propensity to buy/ buyer readiness]],Definitions!$A$13:$A$17,0))</f>
        <v>50000</v>
      </c>
      <c r="G401" s="86">
        <v>5</v>
      </c>
      <c r="H401" s="86">
        <v>5</v>
      </c>
      <c r="I401" s="86">
        <v>2</v>
      </c>
      <c r="J401" s="86">
        <v>4</v>
      </c>
      <c r="K401" s="86">
        <v>3</v>
      </c>
      <c r="L401" s="86">
        <f>SUM(Table3[[#This Row],[Strategic priority segment]:[Propensity to buy/ buyer readiness]])</f>
        <v>19</v>
      </c>
      <c r="M401" s="86" t="s">
        <v>102</v>
      </c>
      <c r="N401" s="84" t="s">
        <v>61</v>
      </c>
      <c r="O401" s="84" t="s">
        <v>62</v>
      </c>
      <c r="P401" s="84"/>
      <c r="Q401" s="84"/>
      <c r="R401" s="84"/>
      <c r="S401" s="84"/>
      <c r="T401" s="87"/>
      <c r="U401" s="84">
        <v>1</v>
      </c>
      <c r="V401" s="84">
        <v>0</v>
      </c>
      <c r="W401" s="84">
        <v>0</v>
      </c>
      <c r="X401" s="84">
        <v>0</v>
      </c>
      <c r="Y401" s="84">
        <v>0</v>
      </c>
      <c r="Z401" s="84">
        <v>1</v>
      </c>
      <c r="AA401" s="84">
        <v>1</v>
      </c>
      <c r="AB401" s="84">
        <v>1</v>
      </c>
      <c r="AC401" s="84">
        <v>1</v>
      </c>
      <c r="AD401" s="84">
        <v>1</v>
      </c>
      <c r="AE401" s="84">
        <v>1</v>
      </c>
      <c r="AF401" s="84">
        <v>1</v>
      </c>
      <c r="AG401" s="84">
        <v>1</v>
      </c>
      <c r="AH401" s="84">
        <v>0</v>
      </c>
      <c r="AI401" s="84">
        <v>0</v>
      </c>
      <c r="AJ401" s="84">
        <v>0</v>
      </c>
      <c r="AK401" s="84">
        <v>0</v>
      </c>
      <c r="AL401" s="84" cm="1">
        <f t="array" ref="AL4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1" s="84" cm="1">
        <f t="array" ref="AM4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1" s="84" cm="1">
        <f t="array" ref="AN4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1" s="84" cm="1">
        <f t="array" ref="AO4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1" s="84" cm="1">
        <f t="array" ref="AP4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1" s="84" cm="1">
        <f t="array" ref="AQ4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1" s="84" cm="1">
        <f t="array" ref="AR4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1" s="84" cm="1">
        <f t="array" ref="AS4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1" s="84" cm="1">
        <f t="array" ref="AT4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1" s="84" cm="1">
        <f t="array" ref="AU4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01" s="84" cm="1">
        <f t="array" ref="AV4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01" s="84" cm="1">
        <f t="array" ref="AW4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01" s="84" cm="1">
        <f t="array" ref="AX4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01" s="84" cm="1">
        <f t="array" ref="AY4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1" s="84" cm="1">
        <f t="array" ref="AZ4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1" s="84" cm="1">
        <f t="array" ref="BA4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1" s="84" cm="1">
        <f t="array" ref="BB4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1" s="84">
        <f>IF(SUM(Table3[[#This Row],[Column2]:[Column18]])&gt;Table3[[#This Row],[Column19]],Table3[[#This Row],[Column19]],SUM(Table3[[#This Row],[Column2]:[Column18]]))</f>
        <v>50000</v>
      </c>
      <c r="BD401" s="2">
        <f>Table3[[#This Row],[Total Spend]]/SUM(Table3[[#This Row],[Column2]:[Column18]])</f>
        <v>0.2664535038635758</v>
      </c>
    </row>
    <row r="402" spans="1:56">
      <c r="A402" s="84" t="s">
        <v>476</v>
      </c>
      <c r="B402" s="84"/>
      <c r="C402" s="84"/>
      <c r="D402" s="85">
        <v>45566</v>
      </c>
      <c r="E402" s="85" t="s">
        <v>92</v>
      </c>
      <c r="F402" s="84">
        <f>INDEX(Definitions!$G$13:$G$17,MATCH(Table3[[#This Row],[Propensity to buy/ buyer readiness]],Definitions!$A$13:$A$17,0))</f>
        <v>50000</v>
      </c>
      <c r="G402" s="86">
        <v>5</v>
      </c>
      <c r="H402" s="86">
        <v>5</v>
      </c>
      <c r="I402" s="86">
        <v>2</v>
      </c>
      <c r="J402" s="86">
        <v>4</v>
      </c>
      <c r="K402" s="86">
        <v>3</v>
      </c>
      <c r="L402" s="86">
        <f>SUM(Table3[[#This Row],[Strategic priority segment]:[Propensity to buy/ buyer readiness]])</f>
        <v>19</v>
      </c>
      <c r="M402" s="86" t="s">
        <v>102</v>
      </c>
      <c r="N402" s="84" t="s">
        <v>61</v>
      </c>
      <c r="O402" s="87"/>
      <c r="P402" s="87"/>
      <c r="Q402" s="87"/>
      <c r="R402" s="87"/>
      <c r="S402" s="87"/>
      <c r="T402" s="87"/>
      <c r="U402" s="84">
        <v>1</v>
      </c>
      <c r="V402" s="84">
        <v>0</v>
      </c>
      <c r="W402" s="84">
        <v>0</v>
      </c>
      <c r="X402" s="84">
        <v>0</v>
      </c>
      <c r="Y402" s="84">
        <v>0</v>
      </c>
      <c r="Z402" s="84">
        <v>1</v>
      </c>
      <c r="AA402" s="84">
        <v>1</v>
      </c>
      <c r="AB402" s="84">
        <v>1</v>
      </c>
      <c r="AC402" s="84">
        <v>1</v>
      </c>
      <c r="AD402" s="84">
        <v>0</v>
      </c>
      <c r="AE402" s="84">
        <v>0</v>
      </c>
      <c r="AF402" s="84">
        <v>0</v>
      </c>
      <c r="AG402" s="84">
        <v>0</v>
      </c>
      <c r="AH402" s="84">
        <v>0</v>
      </c>
      <c r="AI402" s="84">
        <v>0</v>
      </c>
      <c r="AJ402" s="84">
        <v>0</v>
      </c>
      <c r="AK402" s="84">
        <v>0</v>
      </c>
      <c r="AL402" s="84" cm="1">
        <f t="array" ref="AL4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2" s="84" cm="1">
        <f t="array" ref="AM4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2" s="84" cm="1">
        <f t="array" ref="AN4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2" s="84" cm="1">
        <f t="array" ref="AO4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2" s="84" cm="1">
        <f t="array" ref="AP4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2" s="84" cm="1">
        <f t="array" ref="AQ4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2" s="84" cm="1">
        <f t="array" ref="AR4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2" s="84" cm="1">
        <f t="array" ref="AS4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2" s="84" cm="1">
        <f t="array" ref="AT4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2" s="84" cm="1">
        <f t="array" ref="AU4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2" s="84" cm="1">
        <f t="array" ref="AV4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2" s="84" cm="1">
        <f t="array" ref="AW4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2" s="84" cm="1">
        <f t="array" ref="AX4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2" s="84" cm="1">
        <f t="array" ref="AY4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2" s="84" cm="1">
        <f t="array" ref="AZ4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2" s="84" cm="1">
        <f t="array" ref="BA4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2" s="84" cm="1">
        <f t="array" ref="BB4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2" s="84">
        <f>IF(SUM(Table3[[#This Row],[Column2]:[Column18]])&gt;Table3[[#This Row],[Column19]],Table3[[#This Row],[Column19]],SUM(Table3[[#This Row],[Column2]:[Column18]]))</f>
        <v>50000</v>
      </c>
      <c r="BD402" s="2">
        <f>Table3[[#This Row],[Total Spend]]/SUM(Table3[[#This Row],[Column2]:[Column18]])</f>
        <v>0.49164208456243852</v>
      </c>
    </row>
    <row r="403" spans="1:56">
      <c r="A403" s="84" t="s">
        <v>477</v>
      </c>
      <c r="B403" s="84"/>
      <c r="C403" s="84"/>
      <c r="D403" s="85">
        <v>45566</v>
      </c>
      <c r="E403" s="85" t="s">
        <v>92</v>
      </c>
      <c r="F403" s="84">
        <f>INDEX(Definitions!$G$13:$G$17,MATCH(Table3[[#This Row],[Propensity to buy/ buyer readiness]],Definitions!$A$13:$A$17,0))</f>
        <v>50000</v>
      </c>
      <c r="G403" s="86">
        <v>5</v>
      </c>
      <c r="H403" s="86">
        <v>5</v>
      </c>
      <c r="I403" s="86">
        <v>2</v>
      </c>
      <c r="J403" s="86">
        <v>4</v>
      </c>
      <c r="K403" s="86">
        <v>3</v>
      </c>
      <c r="L403" s="86">
        <f>SUM(Table3[[#This Row],[Strategic priority segment]:[Propensity to buy/ buyer readiness]])</f>
        <v>19</v>
      </c>
      <c r="M403" s="86" t="s">
        <v>102</v>
      </c>
      <c r="N403" s="84" t="s">
        <v>61</v>
      </c>
      <c r="O403" s="84" t="s">
        <v>62</v>
      </c>
      <c r="P403" s="87"/>
      <c r="Q403" s="87"/>
      <c r="R403" s="84"/>
      <c r="S403" s="87"/>
      <c r="T403" s="87"/>
      <c r="U403" s="84">
        <v>1</v>
      </c>
      <c r="V403" s="84">
        <v>0</v>
      </c>
      <c r="W403" s="84">
        <v>0</v>
      </c>
      <c r="X403" s="84">
        <v>0</v>
      </c>
      <c r="Y403" s="84">
        <v>0</v>
      </c>
      <c r="Z403" s="84">
        <v>1</v>
      </c>
      <c r="AA403" s="84">
        <v>1</v>
      </c>
      <c r="AB403" s="84">
        <v>1</v>
      </c>
      <c r="AC403" s="84">
        <v>1</v>
      </c>
      <c r="AD403" s="84">
        <v>1</v>
      </c>
      <c r="AE403" s="84">
        <v>1</v>
      </c>
      <c r="AF403" s="84">
        <v>1</v>
      </c>
      <c r="AG403" s="84">
        <v>1</v>
      </c>
      <c r="AH403" s="84">
        <v>0</v>
      </c>
      <c r="AI403" s="84">
        <v>0</v>
      </c>
      <c r="AJ403" s="84">
        <v>0</v>
      </c>
      <c r="AK403" s="84">
        <v>0</v>
      </c>
      <c r="AL403" s="84" cm="1">
        <f t="array" ref="AL4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3" s="84" cm="1">
        <f t="array" ref="AM4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3" s="84" cm="1">
        <f t="array" ref="AN4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3" s="84" cm="1">
        <f t="array" ref="AO4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3" s="84" cm="1">
        <f t="array" ref="AP4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3" s="84" cm="1">
        <f t="array" ref="AQ4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3" s="84" cm="1">
        <f t="array" ref="AR4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3" s="84" cm="1">
        <f t="array" ref="AS4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3" s="84" cm="1">
        <f t="array" ref="AT4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3" s="84" cm="1">
        <f t="array" ref="AU4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03" s="84" cm="1">
        <f t="array" ref="AV4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03" s="84" cm="1">
        <f t="array" ref="AW4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03" s="84" cm="1">
        <f t="array" ref="AX4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03" s="84" cm="1">
        <f t="array" ref="AY4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3" s="84" cm="1">
        <f t="array" ref="AZ4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3" s="84" cm="1">
        <f t="array" ref="BA4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3" s="84" cm="1">
        <f t="array" ref="BB4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3" s="84">
        <f>IF(SUM(Table3[[#This Row],[Column2]:[Column18]])&gt;Table3[[#This Row],[Column19]],Table3[[#This Row],[Column19]],SUM(Table3[[#This Row],[Column2]:[Column18]]))</f>
        <v>50000</v>
      </c>
      <c r="BD403" s="2">
        <f>Table3[[#This Row],[Total Spend]]/SUM(Table3[[#This Row],[Column2]:[Column18]])</f>
        <v>0.2664535038635758</v>
      </c>
    </row>
    <row r="404" spans="1:56">
      <c r="A404" s="84" t="s">
        <v>478</v>
      </c>
      <c r="B404" s="84"/>
      <c r="C404" s="84"/>
      <c r="D404" s="85">
        <v>45566</v>
      </c>
      <c r="E404" s="85" t="s">
        <v>92</v>
      </c>
      <c r="F404" s="84">
        <f>INDEX(Definitions!$G$13:$G$17,MATCH(Table3[[#This Row],[Propensity to buy/ buyer readiness]],Definitions!$A$13:$A$17,0))</f>
        <v>50000</v>
      </c>
      <c r="G404" s="86">
        <v>5</v>
      </c>
      <c r="H404" s="86">
        <v>5</v>
      </c>
      <c r="I404" s="86">
        <v>2</v>
      </c>
      <c r="J404" s="86">
        <v>4</v>
      </c>
      <c r="K404" s="86">
        <v>3</v>
      </c>
      <c r="L404" s="86">
        <f>SUM(Table3[[#This Row],[Strategic priority segment]:[Propensity to buy/ buyer readiness]])</f>
        <v>19</v>
      </c>
      <c r="M404" s="86" t="s">
        <v>102</v>
      </c>
      <c r="N404" s="84" t="s">
        <v>61</v>
      </c>
      <c r="O404" s="84"/>
      <c r="P404" s="87"/>
      <c r="Q404" s="87"/>
      <c r="R404" s="84"/>
      <c r="S404" s="87"/>
      <c r="T404" s="87"/>
      <c r="U404" s="84">
        <v>1</v>
      </c>
      <c r="V404" s="84">
        <v>0</v>
      </c>
      <c r="W404" s="84">
        <v>0</v>
      </c>
      <c r="X404" s="84">
        <v>0</v>
      </c>
      <c r="Y404" s="84">
        <v>0</v>
      </c>
      <c r="Z404" s="84">
        <v>1</v>
      </c>
      <c r="AA404" s="84">
        <v>1</v>
      </c>
      <c r="AB404" s="84">
        <v>1</v>
      </c>
      <c r="AC404" s="84">
        <v>1</v>
      </c>
      <c r="AD404" s="84">
        <v>0</v>
      </c>
      <c r="AE404" s="84">
        <v>0</v>
      </c>
      <c r="AF404" s="84">
        <v>0</v>
      </c>
      <c r="AG404" s="84">
        <v>0</v>
      </c>
      <c r="AH404" s="84">
        <v>0</v>
      </c>
      <c r="AI404" s="84">
        <v>0</v>
      </c>
      <c r="AJ404" s="84">
        <v>0</v>
      </c>
      <c r="AK404" s="84">
        <v>0</v>
      </c>
      <c r="AL404" s="84" cm="1">
        <f t="array" ref="AL4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4" s="84" cm="1">
        <f t="array" ref="AM4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4" s="84" cm="1">
        <f t="array" ref="AN4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4" s="84" cm="1">
        <f t="array" ref="AO4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4" s="84" cm="1">
        <f t="array" ref="AP4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4" s="84" cm="1">
        <f t="array" ref="AQ4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4" s="84" cm="1">
        <f t="array" ref="AR4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4" s="84" cm="1">
        <f t="array" ref="AS4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4" s="84" cm="1">
        <f t="array" ref="AT4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4" s="84" cm="1">
        <f t="array" ref="AU4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4" s="84" cm="1">
        <f t="array" ref="AV4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4" s="84" cm="1">
        <f t="array" ref="AW4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4" s="84" cm="1">
        <f t="array" ref="AX4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4" s="84" cm="1">
        <f t="array" ref="AY4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4" s="84" cm="1">
        <f t="array" ref="AZ4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4" s="84" cm="1">
        <f t="array" ref="BA4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4" s="84" cm="1">
        <f t="array" ref="BB4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4" s="84">
        <f>IF(SUM(Table3[[#This Row],[Column2]:[Column18]])&gt;Table3[[#This Row],[Column19]],Table3[[#This Row],[Column19]],SUM(Table3[[#This Row],[Column2]:[Column18]]))</f>
        <v>50000</v>
      </c>
      <c r="BD404" s="2">
        <f>Table3[[#This Row],[Total Spend]]/SUM(Table3[[#This Row],[Column2]:[Column18]])</f>
        <v>0.49164208456243852</v>
      </c>
    </row>
    <row r="405" spans="1:56">
      <c r="A405" s="84" t="s">
        <v>479</v>
      </c>
      <c r="B405" s="84"/>
      <c r="C405" s="84"/>
      <c r="D405" s="85">
        <v>45566</v>
      </c>
      <c r="E405" s="85" t="s">
        <v>92</v>
      </c>
      <c r="F405" s="84">
        <f>INDEX(Definitions!$G$13:$G$17,MATCH(Table3[[#This Row],[Propensity to buy/ buyer readiness]],Definitions!$A$13:$A$17,0))</f>
        <v>50000</v>
      </c>
      <c r="G405" s="86">
        <v>5</v>
      </c>
      <c r="H405" s="86">
        <v>5</v>
      </c>
      <c r="I405" s="86">
        <v>2</v>
      </c>
      <c r="J405" s="86">
        <v>4</v>
      </c>
      <c r="K405" s="86">
        <v>3</v>
      </c>
      <c r="L405" s="86">
        <f>SUM(Table3[[#This Row],[Strategic priority segment]:[Propensity to buy/ buyer readiness]])</f>
        <v>19</v>
      </c>
      <c r="M405" s="86" t="s">
        <v>102</v>
      </c>
      <c r="N405" s="84" t="s">
        <v>61</v>
      </c>
      <c r="O405" s="84"/>
      <c r="P405" s="87"/>
      <c r="Q405" s="87"/>
      <c r="R405" s="84"/>
      <c r="S405" s="87"/>
      <c r="T405" s="87"/>
      <c r="U405" s="84">
        <v>1</v>
      </c>
      <c r="V405" s="84">
        <v>0</v>
      </c>
      <c r="W405" s="84">
        <v>0</v>
      </c>
      <c r="X405" s="84">
        <v>0</v>
      </c>
      <c r="Y405" s="84">
        <v>0</v>
      </c>
      <c r="Z405" s="84">
        <v>1</v>
      </c>
      <c r="AA405" s="84">
        <v>1</v>
      </c>
      <c r="AB405" s="84">
        <v>1</v>
      </c>
      <c r="AC405" s="84">
        <v>1</v>
      </c>
      <c r="AD405" s="84">
        <v>0</v>
      </c>
      <c r="AE405" s="84">
        <v>0</v>
      </c>
      <c r="AF405" s="84">
        <v>0</v>
      </c>
      <c r="AG405" s="84">
        <v>0</v>
      </c>
      <c r="AH405" s="84">
        <v>0</v>
      </c>
      <c r="AI405" s="84">
        <v>0</v>
      </c>
      <c r="AJ405" s="84">
        <v>0</v>
      </c>
      <c r="AK405" s="84">
        <v>0</v>
      </c>
      <c r="AL405" s="84" cm="1">
        <f t="array" ref="AL4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5" s="84" cm="1">
        <f t="array" ref="AM4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5" s="84" cm="1">
        <f t="array" ref="AN4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5" s="84" cm="1">
        <f t="array" ref="AO4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5" s="84" cm="1">
        <f t="array" ref="AP4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5" s="84" cm="1">
        <f t="array" ref="AQ4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5" s="84" cm="1">
        <f t="array" ref="AR4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5" s="84" cm="1">
        <f t="array" ref="AS4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5" s="84" cm="1">
        <f t="array" ref="AT4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5" s="84" cm="1">
        <f t="array" ref="AU4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5" s="84" cm="1">
        <f t="array" ref="AV4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5" s="84" cm="1">
        <f t="array" ref="AW4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5" s="84" cm="1">
        <f t="array" ref="AX4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5" s="84" cm="1">
        <f t="array" ref="AY4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5" s="84" cm="1">
        <f t="array" ref="AZ4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5" s="84" cm="1">
        <f t="array" ref="BA4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5" s="84" cm="1">
        <f t="array" ref="BB4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5" s="84">
        <f>IF(SUM(Table3[[#This Row],[Column2]:[Column18]])&gt;Table3[[#This Row],[Column19]],Table3[[#This Row],[Column19]],SUM(Table3[[#This Row],[Column2]:[Column18]]))</f>
        <v>50000</v>
      </c>
      <c r="BD405" s="2">
        <f>Table3[[#This Row],[Total Spend]]/SUM(Table3[[#This Row],[Column2]:[Column18]])</f>
        <v>0.49164208456243852</v>
      </c>
    </row>
    <row r="406" spans="1:56">
      <c r="A406" s="84" t="s">
        <v>480</v>
      </c>
      <c r="B406" s="84"/>
      <c r="C406" s="84"/>
      <c r="D406" s="85">
        <v>45566</v>
      </c>
      <c r="E406" s="85" t="s">
        <v>92</v>
      </c>
      <c r="F406" s="84">
        <f>INDEX(Definitions!$G$13:$G$17,MATCH(Table3[[#This Row],[Propensity to buy/ buyer readiness]],Definitions!$A$13:$A$17,0))</f>
        <v>50000</v>
      </c>
      <c r="G406" s="86">
        <v>5</v>
      </c>
      <c r="H406" s="86">
        <v>5</v>
      </c>
      <c r="I406" s="86">
        <v>2</v>
      </c>
      <c r="J406" s="86">
        <v>4</v>
      </c>
      <c r="K406" s="86">
        <v>3</v>
      </c>
      <c r="L406" s="86">
        <f>SUM(Table3[[#This Row],[Strategic priority segment]:[Propensity to buy/ buyer readiness]])</f>
        <v>19</v>
      </c>
      <c r="M406" s="86" t="s">
        <v>102</v>
      </c>
      <c r="N406" s="84" t="s">
        <v>61</v>
      </c>
      <c r="O406" s="84"/>
      <c r="P406" s="87"/>
      <c r="Q406" s="87"/>
      <c r="R406" s="84"/>
      <c r="S406" s="87"/>
      <c r="T406" s="87"/>
      <c r="U406" s="84">
        <v>1</v>
      </c>
      <c r="V406" s="84">
        <v>0</v>
      </c>
      <c r="W406" s="84">
        <v>0</v>
      </c>
      <c r="X406" s="84">
        <v>0</v>
      </c>
      <c r="Y406" s="84">
        <v>0</v>
      </c>
      <c r="Z406" s="84">
        <v>1</v>
      </c>
      <c r="AA406" s="84">
        <v>1</v>
      </c>
      <c r="AB406" s="84">
        <v>1</v>
      </c>
      <c r="AC406" s="84">
        <v>1</v>
      </c>
      <c r="AD406" s="84">
        <v>0</v>
      </c>
      <c r="AE406" s="84">
        <v>0</v>
      </c>
      <c r="AF406" s="84">
        <v>0</v>
      </c>
      <c r="AG406" s="84">
        <v>0</v>
      </c>
      <c r="AH406" s="84">
        <v>0</v>
      </c>
      <c r="AI406" s="84">
        <v>0</v>
      </c>
      <c r="AJ406" s="84">
        <v>0</v>
      </c>
      <c r="AK406" s="84">
        <v>0</v>
      </c>
      <c r="AL406" s="84" cm="1">
        <f t="array" ref="AL4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6" s="84" cm="1">
        <f t="array" ref="AM4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6" s="84" cm="1">
        <f t="array" ref="AN4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6" s="84" cm="1">
        <f t="array" ref="AO4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6" s="84" cm="1">
        <f t="array" ref="AP4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6" s="84" cm="1">
        <f t="array" ref="AQ4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6" s="84" cm="1">
        <f t="array" ref="AR4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6" s="84" cm="1">
        <f t="array" ref="AS4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6" s="84" cm="1">
        <f t="array" ref="AT4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6" s="84" cm="1">
        <f t="array" ref="AU4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6" s="84" cm="1">
        <f t="array" ref="AV4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6" s="84" cm="1">
        <f t="array" ref="AW4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6" s="84" cm="1">
        <f t="array" ref="AX4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6" s="84" cm="1">
        <f t="array" ref="AY4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6" s="84" cm="1">
        <f t="array" ref="AZ4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6" s="84" cm="1">
        <f t="array" ref="BA4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6" s="84" cm="1">
        <f t="array" ref="BB4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6" s="84">
        <f>IF(SUM(Table3[[#This Row],[Column2]:[Column18]])&gt;Table3[[#This Row],[Column19]],Table3[[#This Row],[Column19]],SUM(Table3[[#This Row],[Column2]:[Column18]]))</f>
        <v>50000</v>
      </c>
      <c r="BD406" s="2">
        <f>Table3[[#This Row],[Total Spend]]/SUM(Table3[[#This Row],[Column2]:[Column18]])</f>
        <v>0.49164208456243852</v>
      </c>
    </row>
    <row r="407" spans="1:56">
      <c r="A407" s="88" t="s">
        <v>481</v>
      </c>
      <c r="B407" s="88"/>
      <c r="C407" s="88"/>
      <c r="D407" s="85">
        <v>45566</v>
      </c>
      <c r="E407" s="85" t="s">
        <v>92</v>
      </c>
      <c r="F407" s="84">
        <f>INDEX(Definitions!$G$13:$G$17,MATCH(Table3[[#This Row],[Propensity to buy/ buyer readiness]],Definitions!$A$13:$A$17,0))</f>
        <v>50000</v>
      </c>
      <c r="G407" s="86">
        <v>5</v>
      </c>
      <c r="H407" s="86">
        <v>5</v>
      </c>
      <c r="I407" s="86">
        <v>2</v>
      </c>
      <c r="J407" s="86">
        <v>4</v>
      </c>
      <c r="K407" s="86">
        <v>3</v>
      </c>
      <c r="L407" s="86">
        <f>SUM(Table3[[#This Row],[Strategic priority segment]:[Propensity to buy/ buyer readiness]])</f>
        <v>19</v>
      </c>
      <c r="M407" s="86" t="s">
        <v>102</v>
      </c>
      <c r="N407" s="84" t="s">
        <v>61</v>
      </c>
      <c r="O407" s="84"/>
      <c r="P407" s="87"/>
      <c r="Q407" s="87"/>
      <c r="R407" s="84"/>
      <c r="S407" s="87"/>
      <c r="T407" s="87"/>
      <c r="U407" s="84">
        <v>1</v>
      </c>
      <c r="V407" s="84">
        <v>0</v>
      </c>
      <c r="W407" s="84">
        <v>0</v>
      </c>
      <c r="X407" s="84">
        <v>0</v>
      </c>
      <c r="Y407" s="84">
        <v>0</v>
      </c>
      <c r="Z407" s="84">
        <v>1</v>
      </c>
      <c r="AA407" s="84">
        <v>1</v>
      </c>
      <c r="AB407" s="84">
        <v>1</v>
      </c>
      <c r="AC407" s="84">
        <v>1</v>
      </c>
      <c r="AD407" s="84">
        <v>0</v>
      </c>
      <c r="AE407" s="84">
        <v>0</v>
      </c>
      <c r="AF407" s="84">
        <v>0</v>
      </c>
      <c r="AG407" s="84">
        <v>0</v>
      </c>
      <c r="AH407" s="84">
        <v>0</v>
      </c>
      <c r="AI407" s="84">
        <v>0</v>
      </c>
      <c r="AJ407" s="84">
        <v>0</v>
      </c>
      <c r="AK407" s="84">
        <v>0</v>
      </c>
      <c r="AL407" s="84" cm="1">
        <f t="array" ref="AL4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7" s="84" cm="1">
        <f t="array" ref="AM4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7" s="84" cm="1">
        <f t="array" ref="AN4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7" s="84" cm="1">
        <f t="array" ref="AO4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7" s="84" cm="1">
        <f t="array" ref="AP4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7" s="84" cm="1">
        <f t="array" ref="AQ4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7" s="84" cm="1">
        <f t="array" ref="AR4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7" s="84" cm="1">
        <f t="array" ref="AS4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7" s="84" cm="1">
        <f t="array" ref="AT4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7" s="84" cm="1">
        <f t="array" ref="AU4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7" s="84" cm="1">
        <f t="array" ref="AV4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7" s="84" cm="1">
        <f t="array" ref="AW4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7" s="84" cm="1">
        <f t="array" ref="AX4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7" s="84" cm="1">
        <f t="array" ref="AY4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7" s="84" cm="1">
        <f t="array" ref="AZ4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7" s="84" cm="1">
        <f t="array" ref="BA4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7" s="84" cm="1">
        <f t="array" ref="BB4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7" s="84">
        <f>IF(SUM(Table3[[#This Row],[Column2]:[Column18]])&gt;Table3[[#This Row],[Column19]],Table3[[#This Row],[Column19]],SUM(Table3[[#This Row],[Column2]:[Column18]]))</f>
        <v>50000</v>
      </c>
      <c r="BD407" s="2">
        <f>Table3[[#This Row],[Total Spend]]/SUM(Table3[[#This Row],[Column2]:[Column18]])</f>
        <v>0.49164208456243852</v>
      </c>
    </row>
    <row r="408" spans="1:56">
      <c r="A408" s="88" t="s">
        <v>482</v>
      </c>
      <c r="B408" s="88"/>
      <c r="C408" s="88"/>
      <c r="D408" s="85">
        <v>45566</v>
      </c>
      <c r="E408" s="85" t="s">
        <v>92</v>
      </c>
      <c r="F408" s="84">
        <f>INDEX(Definitions!$G$13:$G$17,MATCH(Table3[[#This Row],[Propensity to buy/ buyer readiness]],Definitions!$A$13:$A$17,0))</f>
        <v>50000</v>
      </c>
      <c r="G408" s="86">
        <v>5</v>
      </c>
      <c r="H408" s="86">
        <v>5</v>
      </c>
      <c r="I408" s="86">
        <v>2</v>
      </c>
      <c r="J408" s="86">
        <v>4</v>
      </c>
      <c r="K408" s="86">
        <v>3</v>
      </c>
      <c r="L408" s="86">
        <f>SUM(Table3[[#This Row],[Strategic priority segment]:[Propensity to buy/ buyer readiness]])</f>
        <v>19</v>
      </c>
      <c r="M408" s="86" t="s">
        <v>102</v>
      </c>
      <c r="N408" s="84" t="s">
        <v>61</v>
      </c>
      <c r="O408" s="84"/>
      <c r="P408" s="87"/>
      <c r="Q408" s="87"/>
      <c r="R408" s="84"/>
      <c r="S408" s="87"/>
      <c r="T408" s="87"/>
      <c r="U408" s="84">
        <v>1</v>
      </c>
      <c r="V408" s="84">
        <v>0</v>
      </c>
      <c r="W408" s="84">
        <v>0</v>
      </c>
      <c r="X408" s="84">
        <v>0</v>
      </c>
      <c r="Y408" s="84">
        <v>0</v>
      </c>
      <c r="Z408" s="84">
        <v>1</v>
      </c>
      <c r="AA408" s="84">
        <v>1</v>
      </c>
      <c r="AB408" s="84">
        <v>1</v>
      </c>
      <c r="AC408" s="84">
        <v>1</v>
      </c>
      <c r="AD408" s="84">
        <v>0</v>
      </c>
      <c r="AE408" s="84">
        <v>0</v>
      </c>
      <c r="AF408" s="84">
        <v>0</v>
      </c>
      <c r="AG408" s="84">
        <v>0</v>
      </c>
      <c r="AH408" s="84">
        <v>0</v>
      </c>
      <c r="AI408" s="84">
        <v>0</v>
      </c>
      <c r="AJ408" s="84">
        <v>0</v>
      </c>
      <c r="AK408" s="84">
        <v>0</v>
      </c>
      <c r="AL408" s="84" cm="1">
        <f t="array" ref="AL4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8" s="84" cm="1">
        <f t="array" ref="AM4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8" s="84" cm="1">
        <f t="array" ref="AN4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8" s="84" cm="1">
        <f t="array" ref="AO4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8" s="84" cm="1">
        <f t="array" ref="AP4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8" s="84" cm="1">
        <f t="array" ref="AQ4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8" s="84" cm="1">
        <f t="array" ref="AR4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8" s="84" cm="1">
        <f t="array" ref="AS4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8" s="84" cm="1">
        <f t="array" ref="AT4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8" s="84" cm="1">
        <f t="array" ref="AU4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8" s="84" cm="1">
        <f t="array" ref="AV4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8" s="84" cm="1">
        <f t="array" ref="AW4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8" s="84" cm="1">
        <f t="array" ref="AX4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8" s="84" cm="1">
        <f t="array" ref="AY4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8" s="84" cm="1">
        <f t="array" ref="AZ4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8" s="84" cm="1">
        <f t="array" ref="BA4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8" s="84" cm="1">
        <f t="array" ref="BB4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8" s="84">
        <f>IF(SUM(Table3[[#This Row],[Column2]:[Column18]])&gt;Table3[[#This Row],[Column19]],Table3[[#This Row],[Column19]],SUM(Table3[[#This Row],[Column2]:[Column18]]))</f>
        <v>50000</v>
      </c>
      <c r="BD408" s="2">
        <f>Table3[[#This Row],[Total Spend]]/SUM(Table3[[#This Row],[Column2]:[Column18]])</f>
        <v>0.49164208456243852</v>
      </c>
    </row>
    <row r="409" spans="1:56">
      <c r="A409" s="84" t="s">
        <v>483</v>
      </c>
      <c r="B409" s="84"/>
      <c r="C409" s="84"/>
      <c r="D409" s="85">
        <v>45566</v>
      </c>
      <c r="E409" s="85" t="s">
        <v>92</v>
      </c>
      <c r="F409" s="84">
        <f>INDEX(Definitions!$G$13:$G$17,MATCH(Table3[[#This Row],[Propensity to buy/ buyer readiness]],Definitions!$A$13:$A$17,0))</f>
        <v>50000</v>
      </c>
      <c r="G409" s="86">
        <v>5</v>
      </c>
      <c r="H409" s="86">
        <v>5</v>
      </c>
      <c r="I409" s="86">
        <v>2</v>
      </c>
      <c r="J409" s="86">
        <v>4</v>
      </c>
      <c r="K409" s="86">
        <v>3</v>
      </c>
      <c r="L409" s="86">
        <f>SUM(Table3[[#This Row],[Strategic priority segment]:[Propensity to buy/ buyer readiness]])</f>
        <v>19</v>
      </c>
      <c r="M409" s="86" t="s">
        <v>102</v>
      </c>
      <c r="N409" s="84" t="s">
        <v>61</v>
      </c>
      <c r="O409" s="84"/>
      <c r="P409" s="84"/>
      <c r="Q409" s="84"/>
      <c r="R409" s="84"/>
      <c r="S409" s="84"/>
      <c r="T409" s="87"/>
      <c r="U409" s="84">
        <v>1</v>
      </c>
      <c r="V409" s="84">
        <v>0</v>
      </c>
      <c r="W409" s="84">
        <v>0</v>
      </c>
      <c r="X409" s="84">
        <v>0</v>
      </c>
      <c r="Y409" s="84">
        <v>0</v>
      </c>
      <c r="Z409" s="84">
        <v>1</v>
      </c>
      <c r="AA409" s="84">
        <v>1</v>
      </c>
      <c r="AB409" s="84">
        <v>1</v>
      </c>
      <c r="AC409" s="84">
        <v>1</v>
      </c>
      <c r="AD409" s="84">
        <v>0</v>
      </c>
      <c r="AE409" s="84">
        <v>0</v>
      </c>
      <c r="AF409" s="84">
        <v>0</v>
      </c>
      <c r="AG409" s="84">
        <v>0</v>
      </c>
      <c r="AH409" s="84">
        <v>0</v>
      </c>
      <c r="AI409" s="84">
        <v>0</v>
      </c>
      <c r="AJ409" s="84">
        <v>0</v>
      </c>
      <c r="AK409" s="84">
        <v>0</v>
      </c>
      <c r="AL409" s="84" cm="1">
        <f t="array" ref="AL4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09" s="84" cm="1">
        <f t="array" ref="AM4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09" s="84" cm="1">
        <f t="array" ref="AN4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09" s="84" cm="1">
        <f t="array" ref="AO4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09" s="84" cm="1">
        <f t="array" ref="AP4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09" s="84" cm="1">
        <f t="array" ref="AQ4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09" s="84" cm="1">
        <f t="array" ref="AR4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09" s="84" cm="1">
        <f t="array" ref="AS4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09" s="84" cm="1">
        <f t="array" ref="AT4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09" s="84" cm="1">
        <f t="array" ref="AU4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09" s="84" cm="1">
        <f t="array" ref="AV4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09" s="84" cm="1">
        <f t="array" ref="AW4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09" s="84" cm="1">
        <f t="array" ref="AX4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09" s="84" cm="1">
        <f t="array" ref="AY4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09" s="84" cm="1">
        <f t="array" ref="AZ4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09" s="84" cm="1">
        <f t="array" ref="BA4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09" s="84" cm="1">
        <f t="array" ref="BB4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09" s="84">
        <f>IF(SUM(Table3[[#This Row],[Column2]:[Column18]])&gt;Table3[[#This Row],[Column19]],Table3[[#This Row],[Column19]],SUM(Table3[[#This Row],[Column2]:[Column18]]))</f>
        <v>50000</v>
      </c>
      <c r="BD409" s="2">
        <f>Table3[[#This Row],[Total Spend]]/SUM(Table3[[#This Row],[Column2]:[Column18]])</f>
        <v>0.49164208456243852</v>
      </c>
    </row>
    <row r="410" spans="1:56">
      <c r="A410" s="84" t="s">
        <v>484</v>
      </c>
      <c r="B410" s="84"/>
      <c r="C410" s="84"/>
      <c r="D410" s="85">
        <v>45566</v>
      </c>
      <c r="E410" s="85" t="s">
        <v>92</v>
      </c>
      <c r="F410" s="84">
        <f>INDEX(Definitions!$G$13:$G$17,MATCH(Table3[[#This Row],[Propensity to buy/ buyer readiness]],Definitions!$A$13:$A$17,0))</f>
        <v>50000</v>
      </c>
      <c r="G410" s="86">
        <v>5</v>
      </c>
      <c r="H410" s="86">
        <v>5</v>
      </c>
      <c r="I410" s="86">
        <v>2</v>
      </c>
      <c r="J410" s="86">
        <v>4</v>
      </c>
      <c r="K410" s="86">
        <v>3</v>
      </c>
      <c r="L410" s="86">
        <f>SUM(Table3[[#This Row],[Strategic priority segment]:[Propensity to buy/ buyer readiness]])</f>
        <v>19</v>
      </c>
      <c r="M410" s="86" t="s">
        <v>102</v>
      </c>
      <c r="N410" s="84" t="s">
        <v>61</v>
      </c>
      <c r="O410" s="84"/>
      <c r="P410" s="87"/>
      <c r="Q410" s="87"/>
      <c r="R410" s="84"/>
      <c r="S410" s="87"/>
      <c r="T410" s="87"/>
      <c r="U410" s="84">
        <v>1</v>
      </c>
      <c r="V410" s="84">
        <v>0</v>
      </c>
      <c r="W410" s="84">
        <v>0</v>
      </c>
      <c r="X410" s="84">
        <v>0</v>
      </c>
      <c r="Y410" s="84">
        <v>0</v>
      </c>
      <c r="Z410" s="84">
        <v>1</v>
      </c>
      <c r="AA410" s="84">
        <v>1</v>
      </c>
      <c r="AB410" s="84">
        <v>1</v>
      </c>
      <c r="AC410" s="84">
        <v>1</v>
      </c>
      <c r="AD410" s="84">
        <v>0</v>
      </c>
      <c r="AE410" s="84">
        <v>0</v>
      </c>
      <c r="AF410" s="84">
        <v>0</v>
      </c>
      <c r="AG410" s="84">
        <v>0</v>
      </c>
      <c r="AH410" s="84">
        <v>0</v>
      </c>
      <c r="AI410" s="84">
        <v>0</v>
      </c>
      <c r="AJ410" s="84">
        <v>0</v>
      </c>
      <c r="AK410" s="84">
        <v>0</v>
      </c>
      <c r="AL410" s="84" cm="1">
        <f t="array" ref="AL4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0" s="84" cm="1">
        <f t="array" ref="AM4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0" s="84" cm="1">
        <f t="array" ref="AN4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0" s="84" cm="1">
        <f t="array" ref="AO4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0" s="84" cm="1">
        <f t="array" ref="AP4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0" s="84" cm="1">
        <f t="array" ref="AQ4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0" s="84" cm="1">
        <f t="array" ref="AR4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0" s="84" cm="1">
        <f t="array" ref="AS4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0" s="84" cm="1">
        <f t="array" ref="AT4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0" s="84" cm="1">
        <f t="array" ref="AU4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0" s="84" cm="1">
        <f t="array" ref="AV4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0" s="84" cm="1">
        <f t="array" ref="AW4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0" s="84" cm="1">
        <f t="array" ref="AX4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0" s="84" cm="1">
        <f t="array" ref="AY4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0" s="84" cm="1">
        <f t="array" ref="AZ4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0" s="84" cm="1">
        <f t="array" ref="BA4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0" s="84" cm="1">
        <f t="array" ref="BB4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0" s="84">
        <f>IF(SUM(Table3[[#This Row],[Column2]:[Column18]])&gt;Table3[[#This Row],[Column19]],Table3[[#This Row],[Column19]],SUM(Table3[[#This Row],[Column2]:[Column18]]))</f>
        <v>50000</v>
      </c>
      <c r="BD410" s="2">
        <f>Table3[[#This Row],[Total Spend]]/SUM(Table3[[#This Row],[Column2]:[Column18]])</f>
        <v>0.49164208456243852</v>
      </c>
    </row>
    <row r="411" spans="1:56">
      <c r="A411" s="84" t="s">
        <v>485</v>
      </c>
      <c r="B411" s="84"/>
      <c r="C411" s="84"/>
      <c r="D411" s="85">
        <v>45809</v>
      </c>
      <c r="E411" s="85" t="s">
        <v>92</v>
      </c>
      <c r="F411" s="84">
        <f>INDEX(Definitions!$G$13:$G$17,MATCH(Table3[[#This Row],[Propensity to buy/ buyer readiness]],Definitions!$A$13:$A$17,0))</f>
        <v>50000</v>
      </c>
      <c r="G411" s="86">
        <v>5</v>
      </c>
      <c r="H411" s="86">
        <v>5</v>
      </c>
      <c r="I411" s="86">
        <v>2</v>
      </c>
      <c r="J411" s="86">
        <v>4</v>
      </c>
      <c r="K411" s="86">
        <v>3</v>
      </c>
      <c r="L411" s="86">
        <f>SUM(Table3[[#This Row],[Strategic priority segment]:[Propensity to buy/ buyer readiness]])</f>
        <v>19</v>
      </c>
      <c r="M411" s="86" t="s">
        <v>102</v>
      </c>
      <c r="N411" s="84" t="s">
        <v>61</v>
      </c>
      <c r="O411" s="84" t="s">
        <v>62</v>
      </c>
      <c r="P411" s="87" t="s">
        <v>122</v>
      </c>
      <c r="Q411" s="87"/>
      <c r="R411" s="84"/>
      <c r="S411" s="84"/>
      <c r="T411" s="84"/>
      <c r="U411" s="84">
        <v>1</v>
      </c>
      <c r="V411" s="84">
        <v>0</v>
      </c>
      <c r="W411" s="84">
        <v>0</v>
      </c>
      <c r="X411" s="84">
        <v>0</v>
      </c>
      <c r="Y411" s="84">
        <v>0</v>
      </c>
      <c r="Z411" s="84">
        <v>1</v>
      </c>
      <c r="AA411" s="84">
        <v>1</v>
      </c>
      <c r="AB411" s="84">
        <v>1</v>
      </c>
      <c r="AC411" s="84">
        <v>1</v>
      </c>
      <c r="AD411" s="84">
        <v>1</v>
      </c>
      <c r="AE411" s="84">
        <v>1</v>
      </c>
      <c r="AF411" s="84">
        <v>1</v>
      </c>
      <c r="AG411" s="84">
        <v>1</v>
      </c>
      <c r="AH411" s="84">
        <v>0</v>
      </c>
      <c r="AI411" s="84">
        <v>0</v>
      </c>
      <c r="AJ411" s="84">
        <v>0</v>
      </c>
      <c r="AK411" s="84">
        <v>0</v>
      </c>
      <c r="AL411" s="84" cm="1">
        <f t="array" ref="AL4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1" s="84" cm="1">
        <f t="array" ref="AM4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1" s="84" cm="1">
        <f t="array" ref="AN4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1" s="84" cm="1">
        <f t="array" ref="AO4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1" s="84" cm="1">
        <f t="array" ref="AP4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1" s="84" cm="1">
        <f t="array" ref="AQ4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1" s="84" cm="1">
        <f t="array" ref="AR4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1" s="84" cm="1">
        <f t="array" ref="AS4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1" s="84" cm="1">
        <f t="array" ref="AT4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1" s="84" cm="1">
        <f t="array" ref="AU4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11" s="84" cm="1">
        <f t="array" ref="AV4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11" s="84" cm="1">
        <f t="array" ref="AW4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11" s="84" cm="1">
        <f t="array" ref="AX4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11" s="84" cm="1">
        <f t="array" ref="AY4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1" s="84" cm="1">
        <f t="array" ref="AZ4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1" s="84" cm="1">
        <f t="array" ref="BA4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1" s="84" cm="1">
        <f t="array" ref="BB4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1" s="84">
        <f>IF(SUM(Table3[[#This Row],[Column2]:[Column18]])&gt;Table3[[#This Row],[Column19]],Table3[[#This Row],[Column19]],SUM(Table3[[#This Row],[Column2]:[Column18]]))</f>
        <v>50000</v>
      </c>
      <c r="BD411" s="2">
        <f>Table3[[#This Row],[Total Spend]]/SUM(Table3[[#This Row],[Column2]:[Column18]])</f>
        <v>0.2664535038635758</v>
      </c>
    </row>
    <row r="412" spans="1:56">
      <c r="A412" s="84" t="s">
        <v>486</v>
      </c>
      <c r="B412" s="84"/>
      <c r="C412" s="84"/>
      <c r="D412" s="85">
        <v>45566</v>
      </c>
      <c r="E412" s="85" t="s">
        <v>92</v>
      </c>
      <c r="F412" s="84">
        <f>INDEX(Definitions!$G$13:$G$17,MATCH(Table3[[#This Row],[Propensity to buy/ buyer readiness]],Definitions!$A$13:$A$17,0))</f>
        <v>50000</v>
      </c>
      <c r="G412" s="86">
        <v>5</v>
      </c>
      <c r="H412" s="86">
        <v>5</v>
      </c>
      <c r="I412" s="86">
        <v>2</v>
      </c>
      <c r="J412" s="86">
        <v>4</v>
      </c>
      <c r="K412" s="86">
        <v>3</v>
      </c>
      <c r="L412" s="86">
        <f>SUM(Table3[[#This Row],[Strategic priority segment]:[Propensity to buy/ buyer readiness]])</f>
        <v>19</v>
      </c>
      <c r="M412" s="86" t="s">
        <v>102</v>
      </c>
      <c r="N412" s="84" t="s">
        <v>61</v>
      </c>
      <c r="O412" s="84"/>
      <c r="P412" s="87"/>
      <c r="Q412" s="87"/>
      <c r="R412" s="84"/>
      <c r="S412" s="87"/>
      <c r="T412" s="87"/>
      <c r="U412" s="84">
        <v>1</v>
      </c>
      <c r="V412" s="84">
        <v>0</v>
      </c>
      <c r="W412" s="84">
        <v>0</v>
      </c>
      <c r="X412" s="84">
        <v>0</v>
      </c>
      <c r="Y412" s="84">
        <v>0</v>
      </c>
      <c r="Z412" s="84">
        <v>1</v>
      </c>
      <c r="AA412" s="84">
        <v>1</v>
      </c>
      <c r="AB412" s="84">
        <v>1</v>
      </c>
      <c r="AC412" s="84">
        <v>1</v>
      </c>
      <c r="AD412" s="84">
        <v>0</v>
      </c>
      <c r="AE412" s="84">
        <v>0</v>
      </c>
      <c r="AF412" s="84">
        <v>0</v>
      </c>
      <c r="AG412" s="84">
        <v>0</v>
      </c>
      <c r="AH412" s="84">
        <v>0</v>
      </c>
      <c r="AI412" s="84">
        <v>0</v>
      </c>
      <c r="AJ412" s="84">
        <v>0</v>
      </c>
      <c r="AK412" s="84">
        <v>0</v>
      </c>
      <c r="AL412" s="84" cm="1">
        <f t="array" ref="AL4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2" s="84" cm="1">
        <f t="array" ref="AM4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2" s="84" cm="1">
        <f t="array" ref="AN4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2" s="84" cm="1">
        <f t="array" ref="AO4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2" s="84" cm="1">
        <f t="array" ref="AP4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2" s="84" cm="1">
        <f t="array" ref="AQ4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2" s="84" cm="1">
        <f t="array" ref="AR4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2" s="84" cm="1">
        <f t="array" ref="AS4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2" s="84" cm="1">
        <f t="array" ref="AT4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2" s="84" cm="1">
        <f t="array" ref="AU4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2" s="84" cm="1">
        <f t="array" ref="AV4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2" s="84" cm="1">
        <f t="array" ref="AW4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2" s="84" cm="1">
        <f t="array" ref="AX4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2" s="84" cm="1">
        <f t="array" ref="AY4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2" s="84" cm="1">
        <f t="array" ref="AZ4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2" s="84" cm="1">
        <f t="array" ref="BA4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2" s="84" cm="1">
        <f t="array" ref="BB4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2" s="84">
        <f>IF(SUM(Table3[[#This Row],[Column2]:[Column18]])&gt;Table3[[#This Row],[Column19]],Table3[[#This Row],[Column19]],SUM(Table3[[#This Row],[Column2]:[Column18]]))</f>
        <v>50000</v>
      </c>
      <c r="BD412" s="2">
        <f>Table3[[#This Row],[Total Spend]]/SUM(Table3[[#This Row],[Column2]:[Column18]])</f>
        <v>0.49164208456243852</v>
      </c>
    </row>
    <row r="413" spans="1:56">
      <c r="A413" s="84" t="s">
        <v>487</v>
      </c>
      <c r="B413" s="84"/>
      <c r="C413" s="84"/>
      <c r="D413" s="85">
        <v>45566</v>
      </c>
      <c r="E413" s="85" t="s">
        <v>92</v>
      </c>
      <c r="F413" s="84">
        <f>INDEX(Definitions!$G$13:$G$17,MATCH(Table3[[#This Row],[Propensity to buy/ buyer readiness]],Definitions!$A$13:$A$17,0))</f>
        <v>50000</v>
      </c>
      <c r="G413" s="86">
        <v>5</v>
      </c>
      <c r="H413" s="86">
        <v>5</v>
      </c>
      <c r="I413" s="86">
        <v>2</v>
      </c>
      <c r="J413" s="86">
        <v>4</v>
      </c>
      <c r="K413" s="86">
        <v>3</v>
      </c>
      <c r="L413" s="86">
        <f>SUM(Table3[[#This Row],[Strategic priority segment]:[Propensity to buy/ buyer readiness]])</f>
        <v>19</v>
      </c>
      <c r="M413" s="86" t="s">
        <v>102</v>
      </c>
      <c r="N413" s="84" t="s">
        <v>61</v>
      </c>
      <c r="O413" s="84"/>
      <c r="P413" s="87"/>
      <c r="Q413" s="87"/>
      <c r="R413" s="84"/>
      <c r="S413" s="87"/>
      <c r="T413" s="87"/>
      <c r="U413" s="84">
        <v>1</v>
      </c>
      <c r="V413" s="84">
        <v>0</v>
      </c>
      <c r="W413" s="84">
        <v>0</v>
      </c>
      <c r="X413" s="84">
        <v>0</v>
      </c>
      <c r="Y413" s="84">
        <v>0</v>
      </c>
      <c r="Z413" s="84">
        <v>1</v>
      </c>
      <c r="AA413" s="84">
        <v>1</v>
      </c>
      <c r="AB413" s="84">
        <v>1</v>
      </c>
      <c r="AC413" s="84">
        <v>1</v>
      </c>
      <c r="AD413" s="84">
        <v>0</v>
      </c>
      <c r="AE413" s="84">
        <v>0</v>
      </c>
      <c r="AF413" s="84">
        <v>0</v>
      </c>
      <c r="AG413" s="84">
        <v>0</v>
      </c>
      <c r="AH413" s="84">
        <v>0</v>
      </c>
      <c r="AI413" s="84">
        <v>0</v>
      </c>
      <c r="AJ413" s="84">
        <v>0</v>
      </c>
      <c r="AK413" s="84">
        <v>0</v>
      </c>
      <c r="AL413" s="84" cm="1">
        <f t="array" ref="AL4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3" s="84" cm="1">
        <f t="array" ref="AM4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3" s="84" cm="1">
        <f t="array" ref="AN4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3" s="84" cm="1">
        <f t="array" ref="AO4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3" s="84" cm="1">
        <f t="array" ref="AP4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3" s="84" cm="1">
        <f t="array" ref="AQ4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3" s="84" cm="1">
        <f t="array" ref="AR4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3" s="84" cm="1">
        <f t="array" ref="AS4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3" s="84" cm="1">
        <f t="array" ref="AT4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3" s="84" cm="1">
        <f t="array" ref="AU4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3" s="84" cm="1">
        <f t="array" ref="AV4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3" s="84" cm="1">
        <f t="array" ref="AW4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3" s="84" cm="1">
        <f t="array" ref="AX4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3" s="84" cm="1">
        <f t="array" ref="AY4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3" s="84" cm="1">
        <f t="array" ref="AZ4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3" s="84" cm="1">
        <f t="array" ref="BA4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3" s="84" cm="1">
        <f t="array" ref="BB4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3" s="84">
        <f>IF(SUM(Table3[[#This Row],[Column2]:[Column18]])&gt;Table3[[#This Row],[Column19]],Table3[[#This Row],[Column19]],SUM(Table3[[#This Row],[Column2]:[Column18]]))</f>
        <v>50000</v>
      </c>
      <c r="BD413" s="2">
        <f>Table3[[#This Row],[Total Spend]]/SUM(Table3[[#This Row],[Column2]:[Column18]])</f>
        <v>0.49164208456243852</v>
      </c>
    </row>
    <row r="414" spans="1:56">
      <c r="A414" s="84" t="s">
        <v>488</v>
      </c>
      <c r="B414" s="84"/>
      <c r="C414" s="84"/>
      <c r="D414" s="85">
        <v>45566</v>
      </c>
      <c r="E414" s="85" t="s">
        <v>92</v>
      </c>
      <c r="F414" s="84">
        <f>INDEX(Definitions!$G$13:$G$17,MATCH(Table3[[#This Row],[Propensity to buy/ buyer readiness]],Definitions!$A$13:$A$17,0))</f>
        <v>50000</v>
      </c>
      <c r="G414" s="86">
        <v>5</v>
      </c>
      <c r="H414" s="86">
        <v>5</v>
      </c>
      <c r="I414" s="86">
        <v>2</v>
      </c>
      <c r="J414" s="86">
        <v>4</v>
      </c>
      <c r="K414" s="86">
        <v>3</v>
      </c>
      <c r="L414" s="86">
        <f>SUM(Table3[[#This Row],[Strategic priority segment]:[Propensity to buy/ buyer readiness]])</f>
        <v>19</v>
      </c>
      <c r="M414" s="86" t="s">
        <v>102</v>
      </c>
      <c r="N414" s="84" t="s">
        <v>61</v>
      </c>
      <c r="O414" s="84"/>
      <c r="P414" s="87"/>
      <c r="Q414" s="87"/>
      <c r="R414" s="84"/>
      <c r="S414" s="87"/>
      <c r="T414" s="87"/>
      <c r="U414" s="84">
        <v>1</v>
      </c>
      <c r="V414" s="84">
        <v>0</v>
      </c>
      <c r="W414" s="84">
        <v>0</v>
      </c>
      <c r="X414" s="84">
        <v>0</v>
      </c>
      <c r="Y414" s="84">
        <v>0</v>
      </c>
      <c r="Z414" s="84">
        <v>1</v>
      </c>
      <c r="AA414" s="84">
        <v>1</v>
      </c>
      <c r="AB414" s="84">
        <v>1</v>
      </c>
      <c r="AC414" s="84">
        <v>1</v>
      </c>
      <c r="AD414" s="84">
        <v>0</v>
      </c>
      <c r="AE414" s="84">
        <v>0</v>
      </c>
      <c r="AF414" s="84">
        <v>0</v>
      </c>
      <c r="AG414" s="84">
        <v>0</v>
      </c>
      <c r="AH414" s="84">
        <v>0</v>
      </c>
      <c r="AI414" s="84">
        <v>0</v>
      </c>
      <c r="AJ414" s="84">
        <v>0</v>
      </c>
      <c r="AK414" s="84">
        <v>0</v>
      </c>
      <c r="AL414" s="84" cm="1">
        <f t="array" ref="AL4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4" s="84" cm="1">
        <f t="array" ref="AM4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4" s="84" cm="1">
        <f t="array" ref="AN4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4" s="84" cm="1">
        <f t="array" ref="AO4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4" s="84" cm="1">
        <f t="array" ref="AP4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4" s="84" cm="1">
        <f t="array" ref="AQ4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4" s="84" cm="1">
        <f t="array" ref="AR4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4" s="84" cm="1">
        <f t="array" ref="AS4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4" s="84" cm="1">
        <f t="array" ref="AT4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4" s="84" cm="1">
        <f t="array" ref="AU4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4" s="84" cm="1">
        <f t="array" ref="AV4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4" s="84" cm="1">
        <f t="array" ref="AW4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4" s="84" cm="1">
        <f t="array" ref="AX4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4" s="84" cm="1">
        <f t="array" ref="AY4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4" s="84" cm="1">
        <f t="array" ref="AZ4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4" s="84" cm="1">
        <f t="array" ref="BA4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4" s="84" cm="1">
        <f t="array" ref="BB4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4" s="84">
        <f>IF(SUM(Table3[[#This Row],[Column2]:[Column18]])&gt;Table3[[#This Row],[Column19]],Table3[[#This Row],[Column19]],SUM(Table3[[#This Row],[Column2]:[Column18]]))</f>
        <v>50000</v>
      </c>
      <c r="BD414" s="2">
        <f>Table3[[#This Row],[Total Spend]]/SUM(Table3[[#This Row],[Column2]:[Column18]])</f>
        <v>0.49164208456243852</v>
      </c>
    </row>
    <row r="415" spans="1:56" ht="14.25" customHeight="1">
      <c r="A415" s="87" t="s">
        <v>489</v>
      </c>
      <c r="B415" s="87"/>
      <c r="C415" s="87"/>
      <c r="D415" s="85">
        <v>45566</v>
      </c>
      <c r="E415" s="85" t="s">
        <v>92</v>
      </c>
      <c r="F415" s="84">
        <f>INDEX(Definitions!$G$13:$G$17,MATCH(Table3[[#This Row],[Propensity to buy/ buyer readiness]],Definitions!$A$13:$A$17,0))</f>
        <v>50000</v>
      </c>
      <c r="G415" s="86">
        <v>5</v>
      </c>
      <c r="H415" s="86">
        <v>5</v>
      </c>
      <c r="I415" s="86">
        <v>2</v>
      </c>
      <c r="J415" s="86">
        <v>4</v>
      </c>
      <c r="K415" s="86">
        <v>3</v>
      </c>
      <c r="L415" s="86">
        <f>SUM(Table3[[#This Row],[Strategic priority segment]:[Propensity to buy/ buyer readiness]])</f>
        <v>19</v>
      </c>
      <c r="M415" s="86" t="s">
        <v>102</v>
      </c>
      <c r="N415" s="84" t="s">
        <v>61</v>
      </c>
      <c r="O415" s="87"/>
      <c r="P415" s="87"/>
      <c r="Q415" s="87"/>
      <c r="R415" s="84"/>
      <c r="S415" s="87"/>
      <c r="T415" s="87"/>
      <c r="U415" s="84">
        <v>1</v>
      </c>
      <c r="V415" s="84">
        <v>0</v>
      </c>
      <c r="W415" s="84">
        <v>0</v>
      </c>
      <c r="X415" s="84">
        <v>0</v>
      </c>
      <c r="Y415" s="84">
        <v>0</v>
      </c>
      <c r="Z415" s="84">
        <v>1</v>
      </c>
      <c r="AA415" s="84">
        <v>1</v>
      </c>
      <c r="AB415" s="84">
        <v>1</v>
      </c>
      <c r="AC415" s="84">
        <v>1</v>
      </c>
      <c r="AD415" s="84">
        <v>0</v>
      </c>
      <c r="AE415" s="84">
        <v>0</v>
      </c>
      <c r="AF415" s="84">
        <v>0</v>
      </c>
      <c r="AG415" s="84">
        <v>0</v>
      </c>
      <c r="AH415" s="84">
        <v>0</v>
      </c>
      <c r="AI415" s="84">
        <v>0</v>
      </c>
      <c r="AJ415" s="84">
        <v>0</v>
      </c>
      <c r="AK415" s="84">
        <v>0</v>
      </c>
      <c r="AL415" s="84" cm="1">
        <f t="array" ref="AL4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5" s="84" cm="1">
        <f t="array" ref="AM4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5" s="84" cm="1">
        <f t="array" ref="AN4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5" s="84" cm="1">
        <f t="array" ref="AO4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5" s="84" cm="1">
        <f t="array" ref="AP4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5" s="84" cm="1">
        <f t="array" ref="AQ4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5" s="84" cm="1">
        <f t="array" ref="AR4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5" s="84" cm="1">
        <f t="array" ref="AS4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5" s="84" cm="1">
        <f t="array" ref="AT4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5" s="84" cm="1">
        <f t="array" ref="AU4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5" s="84" cm="1">
        <f t="array" ref="AV4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5" s="84" cm="1">
        <f t="array" ref="AW4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5" s="84" cm="1">
        <f t="array" ref="AX4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5" s="84" cm="1">
        <f t="array" ref="AY4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5" s="84" cm="1">
        <f t="array" ref="AZ4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5" s="84" cm="1">
        <f t="array" ref="BA4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5" s="84" cm="1">
        <f t="array" ref="BB4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5" s="84">
        <f>IF(SUM(Table3[[#This Row],[Column2]:[Column18]])&gt;Table3[[#This Row],[Column19]],Table3[[#This Row],[Column19]],SUM(Table3[[#This Row],[Column2]:[Column18]]))</f>
        <v>50000</v>
      </c>
      <c r="BD415" s="2">
        <f>Table3[[#This Row],[Total Spend]]/SUM(Table3[[#This Row],[Column2]:[Column18]])</f>
        <v>0.49164208456243852</v>
      </c>
    </row>
    <row r="416" spans="1:56">
      <c r="A416" s="84" t="s">
        <v>490</v>
      </c>
      <c r="B416" s="84"/>
      <c r="C416" s="84"/>
      <c r="D416" s="85">
        <v>45566</v>
      </c>
      <c r="E416" s="85" t="s">
        <v>92</v>
      </c>
      <c r="F416" s="84">
        <f>INDEX(Definitions!$G$13:$G$17,MATCH(Table3[[#This Row],[Propensity to buy/ buyer readiness]],Definitions!$A$13:$A$17,0))</f>
        <v>50000</v>
      </c>
      <c r="G416" s="86">
        <v>5</v>
      </c>
      <c r="H416" s="86">
        <v>5</v>
      </c>
      <c r="I416" s="86">
        <v>2</v>
      </c>
      <c r="J416" s="86">
        <v>4</v>
      </c>
      <c r="K416" s="86">
        <v>3</v>
      </c>
      <c r="L416" s="86">
        <f>SUM(Table3[[#This Row],[Strategic priority segment]:[Propensity to buy/ buyer readiness]])</f>
        <v>19</v>
      </c>
      <c r="M416" s="86" t="s">
        <v>102</v>
      </c>
      <c r="N416" s="84" t="s">
        <v>61</v>
      </c>
      <c r="O416" s="84"/>
      <c r="P416" s="87"/>
      <c r="Q416" s="87"/>
      <c r="R416" s="84"/>
      <c r="S416" s="87"/>
      <c r="T416" s="87"/>
      <c r="U416" s="84">
        <v>1</v>
      </c>
      <c r="V416" s="84">
        <v>0</v>
      </c>
      <c r="W416" s="84">
        <v>0</v>
      </c>
      <c r="X416" s="84">
        <v>0</v>
      </c>
      <c r="Y416" s="84">
        <v>0</v>
      </c>
      <c r="Z416" s="84">
        <v>1</v>
      </c>
      <c r="AA416" s="84">
        <v>1</v>
      </c>
      <c r="AB416" s="84">
        <v>1</v>
      </c>
      <c r="AC416" s="84">
        <v>1</v>
      </c>
      <c r="AD416" s="84">
        <v>0</v>
      </c>
      <c r="AE416" s="84">
        <v>0</v>
      </c>
      <c r="AF416" s="84">
        <v>0</v>
      </c>
      <c r="AG416" s="84">
        <v>0</v>
      </c>
      <c r="AH416" s="84">
        <v>0</v>
      </c>
      <c r="AI416" s="84">
        <v>0</v>
      </c>
      <c r="AJ416" s="84">
        <v>0</v>
      </c>
      <c r="AK416" s="84">
        <v>0</v>
      </c>
      <c r="AL416" s="84" cm="1">
        <f t="array" ref="AL4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6" s="84" cm="1">
        <f t="array" ref="AM4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6" s="84" cm="1">
        <f t="array" ref="AN4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6" s="84" cm="1">
        <f t="array" ref="AO4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6" s="84" cm="1">
        <f t="array" ref="AP4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6" s="84" cm="1">
        <f t="array" ref="AQ4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6" s="84" cm="1">
        <f t="array" ref="AR4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6" s="84" cm="1">
        <f t="array" ref="AS4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6" s="84" cm="1">
        <f t="array" ref="AT4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6" s="84" cm="1">
        <f t="array" ref="AU4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6" s="84" cm="1">
        <f t="array" ref="AV4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6" s="84" cm="1">
        <f t="array" ref="AW4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6" s="84" cm="1">
        <f t="array" ref="AX4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6" s="84" cm="1">
        <f t="array" ref="AY4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6" s="84" cm="1">
        <f t="array" ref="AZ4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6" s="84" cm="1">
        <f t="array" ref="BA4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6" s="84" cm="1">
        <f t="array" ref="BB4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6" s="84">
        <f>IF(SUM(Table3[[#This Row],[Column2]:[Column18]])&gt;Table3[[#This Row],[Column19]],Table3[[#This Row],[Column19]],SUM(Table3[[#This Row],[Column2]:[Column18]]))</f>
        <v>50000</v>
      </c>
      <c r="BD416" s="2">
        <f>Table3[[#This Row],[Total Spend]]/SUM(Table3[[#This Row],[Column2]:[Column18]])</f>
        <v>0.49164208456243852</v>
      </c>
    </row>
    <row r="417" spans="1:56">
      <c r="A417" s="84" t="s">
        <v>491</v>
      </c>
      <c r="B417" s="84"/>
      <c r="C417" s="84"/>
      <c r="D417" s="85">
        <v>45566</v>
      </c>
      <c r="E417" s="85" t="s">
        <v>92</v>
      </c>
      <c r="F417" s="84">
        <f>INDEX(Definitions!$G$13:$G$17,MATCH(Table3[[#This Row],[Propensity to buy/ buyer readiness]],Definitions!$A$13:$A$17,0))</f>
        <v>50000</v>
      </c>
      <c r="G417" s="86">
        <v>5</v>
      </c>
      <c r="H417" s="86">
        <v>5</v>
      </c>
      <c r="I417" s="86">
        <v>2</v>
      </c>
      <c r="J417" s="86">
        <v>4</v>
      </c>
      <c r="K417" s="86">
        <v>3</v>
      </c>
      <c r="L417" s="86">
        <f>SUM(Table3[[#This Row],[Strategic priority segment]:[Propensity to buy/ buyer readiness]])</f>
        <v>19</v>
      </c>
      <c r="M417" s="86" t="s">
        <v>102</v>
      </c>
      <c r="N417" s="84" t="s">
        <v>61</v>
      </c>
      <c r="O417" s="84"/>
      <c r="P417" s="84"/>
      <c r="Q417" s="84"/>
      <c r="R417" s="84"/>
      <c r="S417" s="84"/>
      <c r="T417" s="84"/>
      <c r="U417" s="84">
        <v>1</v>
      </c>
      <c r="V417" s="84">
        <v>0</v>
      </c>
      <c r="W417" s="84">
        <v>0</v>
      </c>
      <c r="X417" s="84">
        <v>0</v>
      </c>
      <c r="Y417" s="84">
        <v>0</v>
      </c>
      <c r="Z417" s="84">
        <v>1</v>
      </c>
      <c r="AA417" s="84">
        <v>1</v>
      </c>
      <c r="AB417" s="84">
        <v>1</v>
      </c>
      <c r="AC417" s="84">
        <v>1</v>
      </c>
      <c r="AD417" s="84">
        <v>0</v>
      </c>
      <c r="AE417" s="84">
        <v>0</v>
      </c>
      <c r="AF417" s="84">
        <v>0</v>
      </c>
      <c r="AG417" s="84">
        <v>0</v>
      </c>
      <c r="AH417" s="84">
        <v>0</v>
      </c>
      <c r="AI417" s="84">
        <v>0</v>
      </c>
      <c r="AJ417" s="84">
        <v>0</v>
      </c>
      <c r="AK417" s="84">
        <v>0</v>
      </c>
      <c r="AL417" s="84" cm="1">
        <f t="array" ref="AL4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7" s="84" cm="1">
        <f t="array" ref="AM4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7" s="84" cm="1">
        <f t="array" ref="AN4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7" s="84" cm="1">
        <f t="array" ref="AO4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7" s="84" cm="1">
        <f t="array" ref="AP4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7" s="84" cm="1">
        <f t="array" ref="AQ4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7" s="84" cm="1">
        <f t="array" ref="AR4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7" s="84" cm="1">
        <f t="array" ref="AS4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7" s="84" cm="1">
        <f t="array" ref="AT4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7" s="84" cm="1">
        <f t="array" ref="AU4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7" s="84" cm="1">
        <f t="array" ref="AV4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7" s="84" cm="1">
        <f t="array" ref="AW4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7" s="84" cm="1">
        <f t="array" ref="AX4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7" s="84" cm="1">
        <f t="array" ref="AY4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7" s="84" cm="1">
        <f t="array" ref="AZ4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7" s="84" cm="1">
        <f t="array" ref="BA4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7" s="84" cm="1">
        <f t="array" ref="BB4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7" s="84">
        <f>IF(SUM(Table3[[#This Row],[Column2]:[Column18]])&gt;Table3[[#This Row],[Column19]],Table3[[#This Row],[Column19]],SUM(Table3[[#This Row],[Column2]:[Column18]]))</f>
        <v>50000</v>
      </c>
      <c r="BD417" s="2">
        <f>Table3[[#This Row],[Total Spend]]/SUM(Table3[[#This Row],[Column2]:[Column18]])</f>
        <v>0.49164208456243852</v>
      </c>
    </row>
    <row r="418" spans="1:56">
      <c r="A418" s="84" t="s">
        <v>492</v>
      </c>
      <c r="B418" s="84"/>
      <c r="C418" s="84"/>
      <c r="D418" s="85">
        <v>45566</v>
      </c>
      <c r="E418" s="85" t="s">
        <v>92</v>
      </c>
      <c r="F418" s="84">
        <f>INDEX(Definitions!$G$13:$G$17,MATCH(Table3[[#This Row],[Propensity to buy/ buyer readiness]],Definitions!$A$13:$A$17,0))</f>
        <v>50000</v>
      </c>
      <c r="G418" s="86">
        <v>5</v>
      </c>
      <c r="H418" s="86">
        <v>5</v>
      </c>
      <c r="I418" s="86">
        <v>2</v>
      </c>
      <c r="J418" s="86">
        <v>4</v>
      </c>
      <c r="K418" s="86">
        <v>3</v>
      </c>
      <c r="L418" s="86">
        <f>SUM(Table3[[#This Row],[Strategic priority segment]:[Propensity to buy/ buyer readiness]])</f>
        <v>19</v>
      </c>
      <c r="M418" s="86" t="s">
        <v>102</v>
      </c>
      <c r="N418" s="84" t="s">
        <v>61</v>
      </c>
      <c r="O418" s="84"/>
      <c r="P418" s="87"/>
      <c r="Q418" s="87"/>
      <c r="R418" s="84"/>
      <c r="S418" s="87"/>
      <c r="T418" s="87"/>
      <c r="U418" s="84">
        <v>1</v>
      </c>
      <c r="V418" s="84">
        <v>0</v>
      </c>
      <c r="W418" s="84">
        <v>0</v>
      </c>
      <c r="X418" s="84">
        <v>0</v>
      </c>
      <c r="Y418" s="84">
        <v>0</v>
      </c>
      <c r="Z418" s="84">
        <v>1</v>
      </c>
      <c r="AA418" s="84">
        <v>1</v>
      </c>
      <c r="AB418" s="84">
        <v>1</v>
      </c>
      <c r="AC418" s="84">
        <v>1</v>
      </c>
      <c r="AD418" s="84">
        <v>0</v>
      </c>
      <c r="AE418" s="84">
        <v>0</v>
      </c>
      <c r="AF418" s="84">
        <v>0</v>
      </c>
      <c r="AG418" s="84">
        <v>0</v>
      </c>
      <c r="AH418" s="84">
        <v>0</v>
      </c>
      <c r="AI418" s="84">
        <v>0</v>
      </c>
      <c r="AJ418" s="84">
        <v>0</v>
      </c>
      <c r="AK418" s="84">
        <v>0</v>
      </c>
      <c r="AL418" s="84" cm="1">
        <f t="array" ref="AL4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8" s="84" cm="1">
        <f t="array" ref="AM4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8" s="84" cm="1">
        <f t="array" ref="AN4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8" s="84" cm="1">
        <f t="array" ref="AO4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8" s="84" cm="1">
        <f t="array" ref="AP4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8" s="84" cm="1">
        <f t="array" ref="AQ4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8" s="84" cm="1">
        <f t="array" ref="AR4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8" s="84" cm="1">
        <f t="array" ref="AS4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8" s="84" cm="1">
        <f t="array" ref="AT4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8" s="84" cm="1">
        <f t="array" ref="AU4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8" s="84" cm="1">
        <f t="array" ref="AV4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8" s="84" cm="1">
        <f t="array" ref="AW4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8" s="84" cm="1">
        <f t="array" ref="AX4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8" s="84" cm="1">
        <f t="array" ref="AY4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8" s="84" cm="1">
        <f t="array" ref="AZ4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8" s="84" cm="1">
        <f t="array" ref="BA4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8" s="84" cm="1">
        <f t="array" ref="BB4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8" s="84">
        <f>IF(SUM(Table3[[#This Row],[Column2]:[Column18]])&gt;Table3[[#This Row],[Column19]],Table3[[#This Row],[Column19]],SUM(Table3[[#This Row],[Column2]:[Column18]]))</f>
        <v>50000</v>
      </c>
      <c r="BD418" s="2">
        <f>Table3[[#This Row],[Total Spend]]/SUM(Table3[[#This Row],[Column2]:[Column18]])</f>
        <v>0.49164208456243852</v>
      </c>
    </row>
    <row r="419" spans="1:56">
      <c r="A419" s="84" t="s">
        <v>493</v>
      </c>
      <c r="B419" s="84"/>
      <c r="C419" s="84"/>
      <c r="D419" s="85">
        <v>45566</v>
      </c>
      <c r="E419" s="85" t="s">
        <v>92</v>
      </c>
      <c r="F419" s="84">
        <f>INDEX(Definitions!$G$13:$G$17,MATCH(Table3[[#This Row],[Propensity to buy/ buyer readiness]],Definitions!$A$13:$A$17,0))</f>
        <v>50000</v>
      </c>
      <c r="G419" s="86">
        <v>5</v>
      </c>
      <c r="H419" s="86">
        <v>5</v>
      </c>
      <c r="I419" s="86">
        <v>2</v>
      </c>
      <c r="J419" s="86">
        <v>4</v>
      </c>
      <c r="K419" s="86">
        <v>3</v>
      </c>
      <c r="L419" s="86">
        <f>SUM(Table3[[#This Row],[Strategic priority segment]:[Propensity to buy/ buyer readiness]])</f>
        <v>19</v>
      </c>
      <c r="M419" s="86" t="s">
        <v>102</v>
      </c>
      <c r="N419" s="84" t="s">
        <v>61</v>
      </c>
      <c r="O419" s="84"/>
      <c r="P419" s="84"/>
      <c r="Q419" s="84"/>
      <c r="R419" s="84"/>
      <c r="S419" s="84"/>
      <c r="T419" s="87"/>
      <c r="U419" s="84">
        <v>1</v>
      </c>
      <c r="V419" s="84">
        <v>0</v>
      </c>
      <c r="W419" s="84">
        <v>0</v>
      </c>
      <c r="X419" s="84">
        <v>0</v>
      </c>
      <c r="Y419" s="84">
        <v>0</v>
      </c>
      <c r="Z419" s="84">
        <v>1</v>
      </c>
      <c r="AA419" s="84">
        <v>1</v>
      </c>
      <c r="AB419" s="84">
        <v>1</v>
      </c>
      <c r="AC419" s="84">
        <v>1</v>
      </c>
      <c r="AD419" s="84">
        <v>0</v>
      </c>
      <c r="AE419" s="84">
        <v>0</v>
      </c>
      <c r="AF419" s="84">
        <v>0</v>
      </c>
      <c r="AG419" s="84">
        <v>0</v>
      </c>
      <c r="AH419" s="84">
        <v>0</v>
      </c>
      <c r="AI419" s="84">
        <v>0</v>
      </c>
      <c r="AJ419" s="84">
        <v>0</v>
      </c>
      <c r="AK419" s="84">
        <v>0</v>
      </c>
      <c r="AL419" s="84" cm="1">
        <f t="array" ref="AL4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19" s="84" cm="1">
        <f t="array" ref="AM4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19" s="84" cm="1">
        <f t="array" ref="AN4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19" s="84" cm="1">
        <f t="array" ref="AO4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19" s="84" cm="1">
        <f t="array" ref="AP4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19" s="84" cm="1">
        <f t="array" ref="AQ4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19" s="84" cm="1">
        <f t="array" ref="AR4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19" s="84" cm="1">
        <f t="array" ref="AS4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19" s="84" cm="1">
        <f t="array" ref="AT4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19" s="84" cm="1">
        <f t="array" ref="AU4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19" s="84" cm="1">
        <f t="array" ref="AV4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19" s="84" cm="1">
        <f t="array" ref="AW4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19" s="84" cm="1">
        <f t="array" ref="AX4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19" s="84" cm="1">
        <f t="array" ref="AY4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19" s="84" cm="1">
        <f t="array" ref="AZ4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19" s="84" cm="1">
        <f t="array" ref="BA4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19" s="84" cm="1">
        <f t="array" ref="BB4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19" s="84">
        <f>IF(SUM(Table3[[#This Row],[Column2]:[Column18]])&gt;Table3[[#This Row],[Column19]],Table3[[#This Row],[Column19]],SUM(Table3[[#This Row],[Column2]:[Column18]]))</f>
        <v>50000</v>
      </c>
      <c r="BD419" s="2">
        <f>Table3[[#This Row],[Total Spend]]/SUM(Table3[[#This Row],[Column2]:[Column18]])</f>
        <v>0.49164208456243852</v>
      </c>
    </row>
    <row r="420" spans="1:56">
      <c r="A420" s="84" t="s">
        <v>494</v>
      </c>
      <c r="B420" s="84"/>
      <c r="C420" s="84"/>
      <c r="D420" s="85">
        <v>45566</v>
      </c>
      <c r="E420" s="85" t="s">
        <v>92</v>
      </c>
      <c r="F420" s="84">
        <f>INDEX(Definitions!$G$13:$G$17,MATCH(Table3[[#This Row],[Propensity to buy/ buyer readiness]],Definitions!$A$13:$A$17,0))</f>
        <v>50000</v>
      </c>
      <c r="G420" s="86">
        <v>5</v>
      </c>
      <c r="H420" s="86">
        <v>5</v>
      </c>
      <c r="I420" s="86">
        <v>2</v>
      </c>
      <c r="J420" s="86">
        <v>4</v>
      </c>
      <c r="K420" s="86">
        <v>3</v>
      </c>
      <c r="L420" s="86">
        <f>SUM(Table3[[#This Row],[Strategic priority segment]:[Propensity to buy/ buyer readiness]])</f>
        <v>19</v>
      </c>
      <c r="M420" s="86" t="s">
        <v>102</v>
      </c>
      <c r="N420" s="84" t="s">
        <v>61</v>
      </c>
      <c r="O420" s="84"/>
      <c r="P420" s="87"/>
      <c r="Q420" s="87"/>
      <c r="R420" s="84"/>
      <c r="S420" s="87"/>
      <c r="T420" s="87"/>
      <c r="U420" s="84">
        <v>1</v>
      </c>
      <c r="V420" s="84">
        <v>0</v>
      </c>
      <c r="W420" s="84">
        <v>0</v>
      </c>
      <c r="X420" s="84">
        <v>0</v>
      </c>
      <c r="Y420" s="84">
        <v>0</v>
      </c>
      <c r="Z420" s="84">
        <v>1</v>
      </c>
      <c r="AA420" s="84">
        <v>1</v>
      </c>
      <c r="AB420" s="84">
        <v>1</v>
      </c>
      <c r="AC420" s="84">
        <v>1</v>
      </c>
      <c r="AD420" s="84">
        <v>0</v>
      </c>
      <c r="AE420" s="84">
        <v>0</v>
      </c>
      <c r="AF420" s="84">
        <v>0</v>
      </c>
      <c r="AG420" s="84">
        <v>0</v>
      </c>
      <c r="AH420" s="84">
        <v>0</v>
      </c>
      <c r="AI420" s="84">
        <v>0</v>
      </c>
      <c r="AJ420" s="84">
        <v>0</v>
      </c>
      <c r="AK420" s="84">
        <v>0</v>
      </c>
      <c r="AL420" s="84" cm="1">
        <f t="array" ref="AL4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0" s="84" cm="1">
        <f t="array" ref="AM4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0" s="84" cm="1">
        <f t="array" ref="AN4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0" s="84" cm="1">
        <f t="array" ref="AO4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0" s="84" cm="1">
        <f t="array" ref="AP4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0" s="84" cm="1">
        <f t="array" ref="AQ4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0" s="84" cm="1">
        <f t="array" ref="AR4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0" s="84" cm="1">
        <f t="array" ref="AS4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0" s="84" cm="1">
        <f t="array" ref="AT4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0" s="84" cm="1">
        <f t="array" ref="AU4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0" s="84" cm="1">
        <f t="array" ref="AV4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0" s="84" cm="1">
        <f t="array" ref="AW4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0" s="84" cm="1">
        <f t="array" ref="AX4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0" s="84" cm="1">
        <f t="array" ref="AY4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0" s="84" cm="1">
        <f t="array" ref="AZ4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0" s="84" cm="1">
        <f t="array" ref="BA4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0" s="84" cm="1">
        <f t="array" ref="BB4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0" s="84">
        <f>IF(SUM(Table3[[#This Row],[Column2]:[Column18]])&gt;Table3[[#This Row],[Column19]],Table3[[#This Row],[Column19]],SUM(Table3[[#This Row],[Column2]:[Column18]]))</f>
        <v>50000</v>
      </c>
      <c r="BD420" s="2">
        <f>Table3[[#This Row],[Total Spend]]/SUM(Table3[[#This Row],[Column2]:[Column18]])</f>
        <v>0.49164208456243852</v>
      </c>
    </row>
    <row r="421" spans="1:56">
      <c r="A421" s="84" t="s">
        <v>495</v>
      </c>
      <c r="B421" s="84"/>
      <c r="C421" s="84"/>
      <c r="D421" s="85">
        <v>45566</v>
      </c>
      <c r="E421" s="85" t="s">
        <v>92</v>
      </c>
      <c r="F421" s="84">
        <f>INDEX(Definitions!$G$13:$G$17,MATCH(Table3[[#This Row],[Propensity to buy/ buyer readiness]],Definitions!$A$13:$A$17,0))</f>
        <v>50000</v>
      </c>
      <c r="G421" s="86">
        <v>5</v>
      </c>
      <c r="H421" s="86">
        <v>5</v>
      </c>
      <c r="I421" s="86">
        <v>2</v>
      </c>
      <c r="J421" s="86">
        <v>4</v>
      </c>
      <c r="K421" s="86">
        <v>3</v>
      </c>
      <c r="L421" s="86">
        <f>SUM(Table3[[#This Row],[Strategic priority segment]:[Propensity to buy/ buyer readiness]])</f>
        <v>19</v>
      </c>
      <c r="M421" s="86" t="s">
        <v>102</v>
      </c>
      <c r="N421" s="84" t="s">
        <v>61</v>
      </c>
      <c r="O421" s="84"/>
      <c r="P421" s="84"/>
      <c r="Q421" s="84"/>
      <c r="R421" s="84"/>
      <c r="S421" s="84"/>
      <c r="T421" s="84"/>
      <c r="U421" s="84">
        <v>1</v>
      </c>
      <c r="V421" s="84">
        <v>0</v>
      </c>
      <c r="W421" s="84">
        <v>0</v>
      </c>
      <c r="X421" s="84">
        <v>0</v>
      </c>
      <c r="Y421" s="84">
        <v>0</v>
      </c>
      <c r="Z421" s="84">
        <v>1</v>
      </c>
      <c r="AA421" s="84">
        <v>1</v>
      </c>
      <c r="AB421" s="84">
        <v>1</v>
      </c>
      <c r="AC421" s="84">
        <v>1</v>
      </c>
      <c r="AD421" s="84">
        <v>0</v>
      </c>
      <c r="AE421" s="84">
        <v>0</v>
      </c>
      <c r="AF421" s="84">
        <v>0</v>
      </c>
      <c r="AG421" s="84">
        <v>0</v>
      </c>
      <c r="AH421" s="84">
        <v>0</v>
      </c>
      <c r="AI421" s="84">
        <v>0</v>
      </c>
      <c r="AJ421" s="84">
        <v>0</v>
      </c>
      <c r="AK421" s="84">
        <v>0</v>
      </c>
      <c r="AL421" s="84" cm="1">
        <f t="array" ref="AL4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1" s="84" cm="1">
        <f t="array" ref="AM4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1" s="84" cm="1">
        <f t="array" ref="AN4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1" s="84" cm="1">
        <f t="array" ref="AO4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1" s="84" cm="1">
        <f t="array" ref="AP4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1" s="84" cm="1">
        <f t="array" ref="AQ4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1" s="84" cm="1">
        <f t="array" ref="AR4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1" s="84" cm="1">
        <f t="array" ref="AS4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1" s="84" cm="1">
        <f t="array" ref="AT4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1" s="84" cm="1">
        <f t="array" ref="AU4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1" s="84" cm="1">
        <f t="array" ref="AV4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1" s="84" cm="1">
        <f t="array" ref="AW4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1" s="84" cm="1">
        <f t="array" ref="AX4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1" s="84" cm="1">
        <f t="array" ref="AY4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1" s="84" cm="1">
        <f t="array" ref="AZ4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1" s="84" cm="1">
        <f t="array" ref="BA4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1" s="84" cm="1">
        <f t="array" ref="BB4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1" s="84">
        <f>IF(SUM(Table3[[#This Row],[Column2]:[Column18]])&gt;Table3[[#This Row],[Column19]],Table3[[#This Row],[Column19]],SUM(Table3[[#This Row],[Column2]:[Column18]]))</f>
        <v>50000</v>
      </c>
      <c r="BD421" s="2">
        <f>Table3[[#This Row],[Total Spend]]/SUM(Table3[[#This Row],[Column2]:[Column18]])</f>
        <v>0.49164208456243852</v>
      </c>
    </row>
    <row r="422" spans="1:56">
      <c r="A422" s="84" t="s">
        <v>496</v>
      </c>
      <c r="B422" s="84" t="s">
        <v>57</v>
      </c>
      <c r="C422" s="84" t="s">
        <v>57</v>
      </c>
      <c r="D422" s="85">
        <v>45566</v>
      </c>
      <c r="E422" s="85" t="s">
        <v>92</v>
      </c>
      <c r="F422" s="84">
        <f>INDEX(Definitions!$G$13:$G$17,MATCH(Table3[[#This Row],[Propensity to buy/ buyer readiness]],Definitions!$A$13:$A$17,0))</f>
        <v>50000</v>
      </c>
      <c r="G422" s="86">
        <v>5</v>
      </c>
      <c r="H422" s="86">
        <v>4</v>
      </c>
      <c r="I422" s="86">
        <v>4</v>
      </c>
      <c r="J422" s="86">
        <v>3</v>
      </c>
      <c r="K422" s="86">
        <v>3</v>
      </c>
      <c r="L422" s="86">
        <f>SUM(Table3[[#This Row],[Strategic priority segment]:[Propensity to buy/ buyer readiness]])</f>
        <v>19</v>
      </c>
      <c r="M422" s="86" t="s">
        <v>66</v>
      </c>
      <c r="N422" s="84" t="s">
        <v>62</v>
      </c>
      <c r="O422" s="84" t="s">
        <v>63</v>
      </c>
      <c r="P422" s="87"/>
      <c r="Q422" s="87"/>
      <c r="R422" s="84"/>
      <c r="S422" s="87"/>
      <c r="T422" s="87"/>
      <c r="U422" s="84">
        <v>1</v>
      </c>
      <c r="V422" s="84">
        <v>0</v>
      </c>
      <c r="W422" s="84">
        <v>1</v>
      </c>
      <c r="X422" s="84">
        <v>0</v>
      </c>
      <c r="Y422" s="84">
        <v>0</v>
      </c>
      <c r="Z422" s="84">
        <v>0</v>
      </c>
      <c r="AA422" s="84">
        <v>1</v>
      </c>
      <c r="AB422" s="84">
        <v>0</v>
      </c>
      <c r="AC422" s="84">
        <v>0</v>
      </c>
      <c r="AD422" s="84">
        <v>1</v>
      </c>
      <c r="AE422" s="84">
        <v>1</v>
      </c>
      <c r="AF422" s="84">
        <v>1</v>
      </c>
      <c r="AG422" s="84">
        <v>1</v>
      </c>
      <c r="AH422" s="84">
        <v>0</v>
      </c>
      <c r="AI422" s="84">
        <v>0</v>
      </c>
      <c r="AJ422" s="84">
        <v>0</v>
      </c>
      <c r="AK422" s="84">
        <v>0</v>
      </c>
      <c r="AL422" s="84" cm="1">
        <f t="array" ref="AL4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2" s="84" cm="1">
        <f t="array" ref="AM4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2" s="84" cm="1">
        <f t="array" ref="AN4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22" s="84" cm="1">
        <f t="array" ref="AO4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2" s="84" cm="1">
        <f t="array" ref="AP4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2" s="84" cm="1">
        <f t="array" ref="AQ4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22" s="84" cm="1">
        <f t="array" ref="AR4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2" s="84" cm="1">
        <f t="array" ref="AS4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22" s="84" cm="1">
        <f t="array" ref="AT4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22" s="84" cm="1">
        <f t="array" ref="AU4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22" s="84" cm="1">
        <f t="array" ref="AV4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22" s="84" cm="1">
        <f t="array" ref="AW4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22" s="84" cm="1">
        <f t="array" ref="AX4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22" s="84" cm="1">
        <f t="array" ref="AY4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2" s="84" cm="1">
        <f t="array" ref="AZ4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2" s="84" cm="1">
        <f t="array" ref="BA4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2" s="84" cm="1">
        <f t="array" ref="BB4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2" s="84">
        <f>IF(SUM(Table3[[#This Row],[Column2]:[Column18]])&gt;Table3[[#This Row],[Column19]],Table3[[#This Row],[Column19]],SUM(Table3[[#This Row],[Column2]:[Column18]]))</f>
        <v>50000</v>
      </c>
      <c r="BD422" s="2">
        <f>Table3[[#This Row],[Total Spend]]/SUM(Table3[[#This Row],[Column2]:[Column18]])</f>
        <v>0.30778701138811942</v>
      </c>
    </row>
    <row r="423" spans="1:56">
      <c r="A423" s="84" t="s">
        <v>497</v>
      </c>
      <c r="B423" s="84"/>
      <c r="C423" s="84" t="s">
        <v>57</v>
      </c>
      <c r="D423" s="85">
        <v>45566</v>
      </c>
      <c r="E423" s="85" t="s">
        <v>58</v>
      </c>
      <c r="F423" s="84">
        <f>INDEX(Definitions!$G$13:$G$17,MATCH(Table3[[#This Row],[Propensity to buy/ buyer readiness]],Definitions!$A$13:$A$17,0))</f>
        <v>150000</v>
      </c>
      <c r="G423" s="86">
        <v>4</v>
      </c>
      <c r="H423" s="86">
        <v>3</v>
      </c>
      <c r="I423" s="86">
        <v>4</v>
      </c>
      <c r="J423" s="86">
        <v>4</v>
      </c>
      <c r="K423" s="86">
        <v>4</v>
      </c>
      <c r="L423" s="86">
        <f>SUM(Table3[[#This Row],[Strategic priority segment]:[Propensity to buy/ buyer readiness]])</f>
        <v>19</v>
      </c>
      <c r="M423" s="86" t="s">
        <v>152</v>
      </c>
      <c r="N423" s="84" t="s">
        <v>122</v>
      </c>
      <c r="O423" s="84" t="s">
        <v>135</v>
      </c>
      <c r="P423" s="87"/>
      <c r="Q423" s="87"/>
      <c r="R423" s="84"/>
      <c r="S423" s="87"/>
      <c r="T423" s="87"/>
      <c r="U423" s="84">
        <v>1</v>
      </c>
      <c r="V423" s="84">
        <v>0</v>
      </c>
      <c r="W423" s="84">
        <v>0</v>
      </c>
      <c r="X423" s="84">
        <v>0</v>
      </c>
      <c r="Y423" s="84">
        <v>0</v>
      </c>
      <c r="Z423" s="84">
        <v>1</v>
      </c>
      <c r="AA423" s="84">
        <v>0</v>
      </c>
      <c r="AB423" s="84">
        <v>1</v>
      </c>
      <c r="AC423" s="84">
        <v>0</v>
      </c>
      <c r="AD423" s="84">
        <v>1</v>
      </c>
      <c r="AE423" s="84">
        <v>0</v>
      </c>
      <c r="AF423" s="84">
        <v>1</v>
      </c>
      <c r="AG423" s="84">
        <v>0</v>
      </c>
      <c r="AH423" s="84">
        <v>1</v>
      </c>
      <c r="AI423" s="84">
        <v>1</v>
      </c>
      <c r="AJ423" s="84">
        <v>1</v>
      </c>
      <c r="AK423" s="84">
        <v>1</v>
      </c>
      <c r="AL423" s="84" cm="1">
        <f t="array" ref="AL4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23" s="84" cm="1">
        <f t="array" ref="AM4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3" s="84" cm="1">
        <f t="array" ref="AN4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3" s="84" cm="1">
        <f t="array" ref="AO4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3" s="84" cm="1">
        <f t="array" ref="AP4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3" s="84" cm="1">
        <f t="array" ref="AQ4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23" s="84" cm="1">
        <f t="array" ref="AR4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23" s="84" cm="1">
        <f t="array" ref="AS4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23" s="84" cm="1">
        <f t="array" ref="AT4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23" s="84" cm="1">
        <f t="array" ref="AU4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23" s="84" cm="1">
        <f t="array" ref="AV4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3" s="84" cm="1">
        <f t="array" ref="AW4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23" s="84" cm="1">
        <f t="array" ref="AX4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3" s="84" cm="1">
        <f t="array" ref="AY4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423" s="84" cm="1">
        <f t="array" ref="AZ4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423" s="84" cm="1">
        <f t="array" ref="BA4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423" s="84" cm="1">
        <f t="array" ref="BB4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423" s="84">
        <f>IF(SUM(Table3[[#This Row],[Column2]:[Column18]])&gt;Table3[[#This Row],[Column19]],Table3[[#This Row],[Column19]],SUM(Table3[[#This Row],[Column2]:[Column18]]))</f>
        <v>150000</v>
      </c>
      <c r="BD423" s="2">
        <f>Table3[[#This Row],[Total Spend]]/SUM(Table3[[#This Row],[Column2]:[Column18]])</f>
        <v>0.6472491909385113</v>
      </c>
    </row>
    <row r="424" spans="1:56">
      <c r="A424" s="84" t="s">
        <v>498</v>
      </c>
      <c r="B424" s="84"/>
      <c r="C424" s="84"/>
      <c r="D424" s="85">
        <v>45809</v>
      </c>
      <c r="E424" s="85" t="s">
        <v>92</v>
      </c>
      <c r="F424" s="84">
        <f>INDEX(Definitions!$G$13:$G$17,MATCH(Table3[[#This Row],[Propensity to buy/ buyer readiness]],Definitions!$A$13:$A$17,0))</f>
        <v>50000</v>
      </c>
      <c r="G424" s="86">
        <v>5</v>
      </c>
      <c r="H424" s="86">
        <v>5</v>
      </c>
      <c r="I424" s="86">
        <v>2</v>
      </c>
      <c r="J424" s="86">
        <v>4</v>
      </c>
      <c r="K424" s="86">
        <v>3</v>
      </c>
      <c r="L424" s="86">
        <f>SUM(Table3[[#This Row],[Strategic priority segment]:[Propensity to buy/ buyer readiness]])</f>
        <v>19</v>
      </c>
      <c r="M424" s="86" t="s">
        <v>102</v>
      </c>
      <c r="N424" s="84" t="s">
        <v>61</v>
      </c>
      <c r="O424" s="84"/>
      <c r="P424" s="87"/>
      <c r="Q424" s="87"/>
      <c r="R424" s="84"/>
      <c r="S424" s="87"/>
      <c r="T424" s="87"/>
      <c r="U424" s="84">
        <v>1</v>
      </c>
      <c r="V424" s="84">
        <v>0</v>
      </c>
      <c r="W424" s="84">
        <v>0</v>
      </c>
      <c r="X424" s="84">
        <v>0</v>
      </c>
      <c r="Y424" s="84">
        <v>0</v>
      </c>
      <c r="Z424" s="84">
        <v>1</v>
      </c>
      <c r="AA424" s="84">
        <v>1</v>
      </c>
      <c r="AB424" s="84">
        <v>1</v>
      </c>
      <c r="AC424" s="84">
        <v>1</v>
      </c>
      <c r="AD424" s="84">
        <v>0</v>
      </c>
      <c r="AE424" s="84">
        <v>0</v>
      </c>
      <c r="AF424" s="84">
        <v>0</v>
      </c>
      <c r="AG424" s="84">
        <v>0</v>
      </c>
      <c r="AH424" s="84">
        <v>0</v>
      </c>
      <c r="AI424" s="84">
        <v>0</v>
      </c>
      <c r="AJ424" s="84">
        <v>0</v>
      </c>
      <c r="AK424" s="84">
        <v>0</v>
      </c>
      <c r="AL424" s="84" cm="1">
        <f t="array" ref="AL4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4" s="84" cm="1">
        <f t="array" ref="AM4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4" s="84" cm="1">
        <f t="array" ref="AN4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4" s="84" cm="1">
        <f t="array" ref="AO4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4" s="84" cm="1">
        <f t="array" ref="AP4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4" s="84" cm="1">
        <f t="array" ref="AQ4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4" s="84" cm="1">
        <f t="array" ref="AR4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4" s="84" cm="1">
        <f t="array" ref="AS4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4" s="84" cm="1">
        <f t="array" ref="AT4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4" s="84" cm="1">
        <f t="array" ref="AU4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4" s="84" cm="1">
        <f t="array" ref="AV4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4" s="84" cm="1">
        <f t="array" ref="AW4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4" s="84" cm="1">
        <f t="array" ref="AX4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4" s="84" cm="1">
        <f t="array" ref="AY4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4" s="84" cm="1">
        <f t="array" ref="AZ4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4" s="84" cm="1">
        <f t="array" ref="BA4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4" s="84" cm="1">
        <f t="array" ref="BB4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4" s="84">
        <f>IF(SUM(Table3[[#This Row],[Column2]:[Column18]])&gt;Table3[[#This Row],[Column19]],Table3[[#This Row],[Column19]],SUM(Table3[[#This Row],[Column2]:[Column18]]))</f>
        <v>50000</v>
      </c>
      <c r="BD424" s="2">
        <f>Table3[[#This Row],[Total Spend]]/SUM(Table3[[#This Row],[Column2]:[Column18]])</f>
        <v>0.49164208456243852</v>
      </c>
    </row>
    <row r="425" spans="1:56">
      <c r="A425" s="84" t="s">
        <v>499</v>
      </c>
      <c r="B425" s="84"/>
      <c r="C425" s="84"/>
      <c r="D425" s="85">
        <v>45809</v>
      </c>
      <c r="E425" s="85" t="s">
        <v>92</v>
      </c>
      <c r="F425" s="84">
        <f>INDEX(Definitions!$G$13:$G$17,MATCH(Table3[[#This Row],[Propensity to buy/ buyer readiness]],Definitions!$A$13:$A$17,0))</f>
        <v>50000</v>
      </c>
      <c r="G425" s="86">
        <v>5</v>
      </c>
      <c r="H425" s="86">
        <v>5</v>
      </c>
      <c r="I425" s="86">
        <v>2</v>
      </c>
      <c r="J425" s="86">
        <v>4</v>
      </c>
      <c r="K425" s="86">
        <v>3</v>
      </c>
      <c r="L425" s="86">
        <f>SUM(Table3[[#This Row],[Strategic priority segment]:[Propensity to buy/ buyer readiness]])</f>
        <v>19</v>
      </c>
      <c r="M425" s="86" t="s">
        <v>102</v>
      </c>
      <c r="N425" s="84" t="s">
        <v>61</v>
      </c>
      <c r="O425" s="84"/>
      <c r="P425" s="87"/>
      <c r="Q425" s="87"/>
      <c r="R425" s="84"/>
      <c r="S425" s="84"/>
      <c r="T425" s="84"/>
      <c r="U425" s="84">
        <v>1</v>
      </c>
      <c r="V425" s="84">
        <v>0</v>
      </c>
      <c r="W425" s="84">
        <v>0</v>
      </c>
      <c r="X425" s="84">
        <v>0</v>
      </c>
      <c r="Y425" s="84">
        <v>0</v>
      </c>
      <c r="Z425" s="84">
        <v>1</v>
      </c>
      <c r="AA425" s="84">
        <v>1</v>
      </c>
      <c r="AB425" s="84">
        <v>1</v>
      </c>
      <c r="AC425" s="84">
        <v>1</v>
      </c>
      <c r="AD425" s="84">
        <v>0</v>
      </c>
      <c r="AE425" s="84">
        <v>0</v>
      </c>
      <c r="AF425" s="84">
        <v>0</v>
      </c>
      <c r="AG425" s="84">
        <v>0</v>
      </c>
      <c r="AH425" s="84">
        <v>0</v>
      </c>
      <c r="AI425" s="84">
        <v>0</v>
      </c>
      <c r="AJ425" s="84">
        <v>0</v>
      </c>
      <c r="AK425" s="84">
        <v>0</v>
      </c>
      <c r="AL425" s="84" cm="1">
        <f t="array" ref="AL4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5" s="84" cm="1">
        <f t="array" ref="AM4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5" s="84" cm="1">
        <f t="array" ref="AN4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5" s="84" cm="1">
        <f t="array" ref="AO4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5" s="84" cm="1">
        <f t="array" ref="AP4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5" s="84" cm="1">
        <f t="array" ref="AQ4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5" s="84" cm="1">
        <f t="array" ref="AR4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5" s="84" cm="1">
        <f t="array" ref="AS4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5" s="84" cm="1">
        <f t="array" ref="AT4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5" s="84" cm="1">
        <f t="array" ref="AU4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5" s="84" cm="1">
        <f t="array" ref="AV4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5" s="84" cm="1">
        <f t="array" ref="AW4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5" s="84" cm="1">
        <f t="array" ref="AX4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5" s="84" cm="1">
        <f t="array" ref="AY4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5" s="84" cm="1">
        <f t="array" ref="AZ4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5" s="84" cm="1">
        <f t="array" ref="BA4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5" s="84" cm="1">
        <f t="array" ref="BB4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5" s="84">
        <f>IF(SUM(Table3[[#This Row],[Column2]:[Column18]])&gt;Table3[[#This Row],[Column19]],Table3[[#This Row],[Column19]],SUM(Table3[[#This Row],[Column2]:[Column18]]))</f>
        <v>50000</v>
      </c>
      <c r="BD425" s="2">
        <f>Table3[[#This Row],[Total Spend]]/SUM(Table3[[#This Row],[Column2]:[Column18]])</f>
        <v>0.49164208456243852</v>
      </c>
    </row>
    <row r="426" spans="1:56">
      <c r="A426" s="84" t="s">
        <v>500</v>
      </c>
      <c r="B426" s="84"/>
      <c r="C426" s="84"/>
      <c r="D426" s="85">
        <v>45566</v>
      </c>
      <c r="E426" s="85" t="s">
        <v>92</v>
      </c>
      <c r="F426" s="84">
        <f>INDEX(Definitions!$G$13:$G$17,MATCH(Table3[[#This Row],[Propensity to buy/ buyer readiness]],Definitions!$A$13:$A$17,0))</f>
        <v>50000</v>
      </c>
      <c r="G426" s="86">
        <v>5</v>
      </c>
      <c r="H426" s="86">
        <v>5</v>
      </c>
      <c r="I426" s="86">
        <v>2</v>
      </c>
      <c r="J426" s="86">
        <v>4</v>
      </c>
      <c r="K426" s="86">
        <v>3</v>
      </c>
      <c r="L426" s="86">
        <f>SUM(Table3[[#This Row],[Strategic priority segment]:[Propensity to buy/ buyer readiness]])</f>
        <v>19</v>
      </c>
      <c r="M426" s="86" t="s">
        <v>102</v>
      </c>
      <c r="N426" s="84" t="s">
        <v>61</v>
      </c>
      <c r="O426" s="84"/>
      <c r="P426" s="87"/>
      <c r="Q426" s="87"/>
      <c r="R426" s="84"/>
      <c r="S426" s="87"/>
      <c r="T426" s="87"/>
      <c r="U426" s="84">
        <v>1</v>
      </c>
      <c r="V426" s="84">
        <v>0</v>
      </c>
      <c r="W426" s="84">
        <v>0</v>
      </c>
      <c r="X426" s="84">
        <v>0</v>
      </c>
      <c r="Y426" s="84">
        <v>0</v>
      </c>
      <c r="Z426" s="84">
        <v>1</v>
      </c>
      <c r="AA426" s="84">
        <v>1</v>
      </c>
      <c r="AB426" s="84">
        <v>1</v>
      </c>
      <c r="AC426" s="84">
        <v>1</v>
      </c>
      <c r="AD426" s="84">
        <v>0</v>
      </c>
      <c r="AE426" s="84">
        <v>0</v>
      </c>
      <c r="AF426" s="84">
        <v>0</v>
      </c>
      <c r="AG426" s="84">
        <v>0</v>
      </c>
      <c r="AH426" s="84">
        <v>0</v>
      </c>
      <c r="AI426" s="84">
        <v>0</v>
      </c>
      <c r="AJ426" s="84">
        <v>0</v>
      </c>
      <c r="AK426" s="84">
        <v>0</v>
      </c>
      <c r="AL426" s="84" cm="1">
        <f t="array" ref="AL4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6" s="84" cm="1">
        <f t="array" ref="AM4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6" s="84" cm="1">
        <f t="array" ref="AN4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6" s="84" cm="1">
        <f t="array" ref="AO4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6" s="84" cm="1">
        <f t="array" ref="AP4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6" s="84" cm="1">
        <f t="array" ref="AQ4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6" s="84" cm="1">
        <f t="array" ref="AR4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6" s="84" cm="1">
        <f t="array" ref="AS4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6" s="84" cm="1">
        <f t="array" ref="AT4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6" s="84" cm="1">
        <f t="array" ref="AU4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6" s="84" cm="1">
        <f t="array" ref="AV4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6" s="84" cm="1">
        <f t="array" ref="AW4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6" s="84" cm="1">
        <f t="array" ref="AX4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6" s="84" cm="1">
        <f t="array" ref="AY4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6" s="84" cm="1">
        <f t="array" ref="AZ4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6" s="84" cm="1">
        <f t="array" ref="BA4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6" s="84" cm="1">
        <f t="array" ref="BB4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6" s="84">
        <f>IF(SUM(Table3[[#This Row],[Column2]:[Column18]])&gt;Table3[[#This Row],[Column19]],Table3[[#This Row],[Column19]],SUM(Table3[[#This Row],[Column2]:[Column18]]))</f>
        <v>50000</v>
      </c>
      <c r="BD426" s="2">
        <f>Table3[[#This Row],[Total Spend]]/SUM(Table3[[#This Row],[Column2]:[Column18]])</f>
        <v>0.49164208456243852</v>
      </c>
    </row>
    <row r="427" spans="1:56">
      <c r="A427" s="84" t="s">
        <v>501</v>
      </c>
      <c r="B427" s="84"/>
      <c r="C427" s="84"/>
      <c r="D427" s="85">
        <v>45566</v>
      </c>
      <c r="E427" s="85" t="s">
        <v>92</v>
      </c>
      <c r="F427" s="84">
        <f>INDEX(Definitions!$G$13:$G$17,MATCH(Table3[[#This Row],[Propensity to buy/ buyer readiness]],Definitions!$A$13:$A$17,0))</f>
        <v>50000</v>
      </c>
      <c r="G427" s="86">
        <v>5</v>
      </c>
      <c r="H427" s="86">
        <v>5</v>
      </c>
      <c r="I427" s="86">
        <v>2</v>
      </c>
      <c r="J427" s="86">
        <v>4</v>
      </c>
      <c r="K427" s="86">
        <v>3</v>
      </c>
      <c r="L427" s="86">
        <f>SUM(Table3[[#This Row],[Strategic priority segment]:[Propensity to buy/ buyer readiness]])</f>
        <v>19</v>
      </c>
      <c r="M427" s="86" t="s">
        <v>102</v>
      </c>
      <c r="N427" s="84" t="s">
        <v>61</v>
      </c>
      <c r="O427" s="84"/>
      <c r="P427" s="87"/>
      <c r="Q427" s="87"/>
      <c r="R427" s="84"/>
      <c r="S427" s="87"/>
      <c r="T427" s="87"/>
      <c r="U427" s="84">
        <v>1</v>
      </c>
      <c r="V427" s="84">
        <v>0</v>
      </c>
      <c r="W427" s="84">
        <v>0</v>
      </c>
      <c r="X427" s="84">
        <v>0</v>
      </c>
      <c r="Y427" s="84">
        <v>0</v>
      </c>
      <c r="Z427" s="84">
        <v>1</v>
      </c>
      <c r="AA427" s="84">
        <v>1</v>
      </c>
      <c r="AB427" s="84">
        <v>1</v>
      </c>
      <c r="AC427" s="84">
        <v>1</v>
      </c>
      <c r="AD427" s="84">
        <v>0</v>
      </c>
      <c r="AE427" s="84">
        <v>0</v>
      </c>
      <c r="AF427" s="84">
        <v>0</v>
      </c>
      <c r="AG427" s="84">
        <v>0</v>
      </c>
      <c r="AH427" s="84">
        <v>0</v>
      </c>
      <c r="AI427" s="84">
        <v>0</v>
      </c>
      <c r="AJ427" s="84">
        <v>0</v>
      </c>
      <c r="AK427" s="84">
        <v>0</v>
      </c>
      <c r="AL427" s="84" cm="1">
        <f t="array" ref="AL4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7" s="84" cm="1">
        <f t="array" ref="AM4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7" s="84" cm="1">
        <f t="array" ref="AN4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7" s="84" cm="1">
        <f t="array" ref="AO4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7" s="84" cm="1">
        <f t="array" ref="AP4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7" s="84" cm="1">
        <f t="array" ref="AQ4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7" s="84" cm="1">
        <f t="array" ref="AR4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7" s="84" cm="1">
        <f t="array" ref="AS4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7" s="84" cm="1">
        <f t="array" ref="AT4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7" s="84" cm="1">
        <f t="array" ref="AU4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7" s="84" cm="1">
        <f t="array" ref="AV4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7" s="84" cm="1">
        <f t="array" ref="AW4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7" s="84" cm="1">
        <f t="array" ref="AX4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7" s="84" cm="1">
        <f t="array" ref="AY4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7" s="84" cm="1">
        <f t="array" ref="AZ4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7" s="84" cm="1">
        <f t="array" ref="BA4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7" s="84" cm="1">
        <f t="array" ref="BB4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7" s="84">
        <f>IF(SUM(Table3[[#This Row],[Column2]:[Column18]])&gt;Table3[[#This Row],[Column19]],Table3[[#This Row],[Column19]],SUM(Table3[[#This Row],[Column2]:[Column18]]))</f>
        <v>50000</v>
      </c>
      <c r="BD427" s="2">
        <f>Table3[[#This Row],[Total Spend]]/SUM(Table3[[#This Row],[Column2]:[Column18]])</f>
        <v>0.49164208456243852</v>
      </c>
    </row>
    <row r="428" spans="1:56">
      <c r="A428" s="88" t="s">
        <v>502</v>
      </c>
      <c r="B428" s="88"/>
      <c r="C428" s="88"/>
      <c r="D428" s="85">
        <v>45566</v>
      </c>
      <c r="E428" s="85" t="s">
        <v>92</v>
      </c>
      <c r="F428" s="84">
        <f>INDEX(Definitions!$G$13:$G$17,MATCH(Table3[[#This Row],[Propensity to buy/ buyer readiness]],Definitions!$A$13:$A$17,0))</f>
        <v>50000</v>
      </c>
      <c r="G428" s="86">
        <v>5</v>
      </c>
      <c r="H428" s="86">
        <v>5</v>
      </c>
      <c r="I428" s="86">
        <v>2</v>
      </c>
      <c r="J428" s="86">
        <v>4</v>
      </c>
      <c r="K428" s="86">
        <v>3</v>
      </c>
      <c r="L428" s="86">
        <f>SUM(Table3[[#This Row],[Strategic priority segment]:[Propensity to buy/ buyer readiness]])</f>
        <v>19</v>
      </c>
      <c r="M428" s="86" t="s">
        <v>102</v>
      </c>
      <c r="N428" s="84" t="s">
        <v>61</v>
      </c>
      <c r="O428" s="84"/>
      <c r="P428" s="87"/>
      <c r="Q428" s="87"/>
      <c r="R428" s="84"/>
      <c r="S428" s="87"/>
      <c r="T428" s="87"/>
      <c r="U428" s="84">
        <v>1</v>
      </c>
      <c r="V428" s="84">
        <v>0</v>
      </c>
      <c r="W428" s="84">
        <v>0</v>
      </c>
      <c r="X428" s="84">
        <v>0</v>
      </c>
      <c r="Y428" s="84">
        <v>0</v>
      </c>
      <c r="Z428" s="84">
        <v>1</v>
      </c>
      <c r="AA428" s="84">
        <v>1</v>
      </c>
      <c r="AB428" s="84">
        <v>1</v>
      </c>
      <c r="AC428" s="84">
        <v>1</v>
      </c>
      <c r="AD428" s="84">
        <v>0</v>
      </c>
      <c r="AE428" s="84">
        <v>0</v>
      </c>
      <c r="AF428" s="84">
        <v>0</v>
      </c>
      <c r="AG428" s="84">
        <v>0</v>
      </c>
      <c r="AH428" s="84">
        <v>0</v>
      </c>
      <c r="AI428" s="84">
        <v>0</v>
      </c>
      <c r="AJ428" s="84">
        <v>0</v>
      </c>
      <c r="AK428" s="84">
        <v>0</v>
      </c>
      <c r="AL428" s="84" cm="1">
        <f t="array" ref="AL4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8" s="84" cm="1">
        <f t="array" ref="AM4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8" s="84" cm="1">
        <f t="array" ref="AN4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8" s="84" cm="1">
        <f t="array" ref="AO4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8" s="84" cm="1">
        <f t="array" ref="AP4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8" s="84" cm="1">
        <f t="array" ref="AQ4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28" s="84" cm="1">
        <f t="array" ref="AR4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28" s="84" cm="1">
        <f t="array" ref="AS4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28" s="84" cm="1">
        <f t="array" ref="AT4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28" s="84" cm="1">
        <f t="array" ref="AU4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28" s="84" cm="1">
        <f t="array" ref="AV4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28" s="84" cm="1">
        <f t="array" ref="AW4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28" s="84" cm="1">
        <f t="array" ref="AX4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28" s="84" cm="1">
        <f t="array" ref="AY4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8" s="84" cm="1">
        <f t="array" ref="AZ4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8" s="84" cm="1">
        <f t="array" ref="BA4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8" s="84" cm="1">
        <f t="array" ref="BB4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8" s="84">
        <f>IF(SUM(Table3[[#This Row],[Column2]:[Column18]])&gt;Table3[[#This Row],[Column19]],Table3[[#This Row],[Column19]],SUM(Table3[[#This Row],[Column2]:[Column18]]))</f>
        <v>50000</v>
      </c>
      <c r="BD428" s="2">
        <f>Table3[[#This Row],[Total Spend]]/SUM(Table3[[#This Row],[Column2]:[Column18]])</f>
        <v>0.49164208456243852</v>
      </c>
    </row>
    <row r="429" spans="1:56">
      <c r="A429" s="84" t="s">
        <v>503</v>
      </c>
      <c r="B429" s="84" t="s">
        <v>57</v>
      </c>
      <c r="C429" s="84" t="s">
        <v>57</v>
      </c>
      <c r="D429" s="85">
        <v>45566</v>
      </c>
      <c r="E429" s="85" t="s">
        <v>92</v>
      </c>
      <c r="F429" s="84">
        <f>INDEX(Definitions!$G$13:$G$17,MATCH(Table3[[#This Row],[Propensity to buy/ buyer readiness]],Definitions!$A$13:$A$17,0))</f>
        <v>50000</v>
      </c>
      <c r="G429" s="86">
        <v>5</v>
      </c>
      <c r="H429" s="86">
        <v>4</v>
      </c>
      <c r="I429" s="86">
        <v>4</v>
      </c>
      <c r="J429" s="86">
        <v>3</v>
      </c>
      <c r="K429" s="86">
        <v>3</v>
      </c>
      <c r="L429" s="86">
        <f>SUM(Table3[[#This Row],[Strategic priority segment]:[Propensity to buy/ buyer readiness]])</f>
        <v>19</v>
      </c>
      <c r="M429" s="86" t="s">
        <v>66</v>
      </c>
      <c r="N429" s="84" t="s">
        <v>62</v>
      </c>
      <c r="O429" s="84"/>
      <c r="P429" s="87"/>
      <c r="Q429" s="87"/>
      <c r="R429" s="84"/>
      <c r="S429" s="87"/>
      <c r="T429" s="87"/>
      <c r="U429" s="84">
        <v>1</v>
      </c>
      <c r="V429" s="84">
        <v>0</v>
      </c>
      <c r="W429" s="84">
        <v>0</v>
      </c>
      <c r="X429" s="84">
        <v>0</v>
      </c>
      <c r="Y429" s="84">
        <v>0</v>
      </c>
      <c r="Z429" s="84">
        <v>0</v>
      </c>
      <c r="AA429" s="84">
        <v>0</v>
      </c>
      <c r="AB429" s="84">
        <v>0</v>
      </c>
      <c r="AC429" s="84">
        <v>0</v>
      </c>
      <c r="AD429" s="84">
        <v>1</v>
      </c>
      <c r="AE429" s="84">
        <v>1</v>
      </c>
      <c r="AF429" s="84">
        <v>1</v>
      </c>
      <c r="AG429" s="84">
        <v>1</v>
      </c>
      <c r="AH429" s="84">
        <v>0</v>
      </c>
      <c r="AI429" s="84">
        <v>0</v>
      </c>
      <c r="AJ429" s="84">
        <v>0</v>
      </c>
      <c r="AK429" s="84">
        <v>0</v>
      </c>
      <c r="AL429" s="84" cm="1">
        <f t="array" ref="AL4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29" s="84" cm="1">
        <f t="array" ref="AM4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29" s="84" cm="1">
        <f t="array" ref="AN4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29" s="84" cm="1">
        <f t="array" ref="AO4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29" s="84" cm="1">
        <f t="array" ref="AP4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29" s="84" cm="1">
        <f t="array" ref="AQ4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29" s="84" cm="1">
        <f t="array" ref="AR4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29" s="84" cm="1">
        <f t="array" ref="AS4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29" s="84" cm="1">
        <f t="array" ref="AT4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29" s="84" cm="1">
        <f t="array" ref="AU4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29" s="84" cm="1">
        <f t="array" ref="AV4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29" s="84" cm="1">
        <f t="array" ref="AW4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29" s="84" cm="1">
        <f t="array" ref="AX4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29" s="84" cm="1">
        <f t="array" ref="AY4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29" s="84" cm="1">
        <f t="array" ref="AZ4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29" s="84" cm="1">
        <f t="array" ref="BA4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29" s="84" cm="1">
        <f t="array" ref="BB4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29" s="84">
        <f>IF(SUM(Table3[[#This Row],[Column2]:[Column18]])&gt;Table3[[#This Row],[Column19]],Table3[[#This Row],[Column19]],SUM(Table3[[#This Row],[Column2]:[Column18]]))</f>
        <v>50000</v>
      </c>
      <c r="BD429" s="2">
        <f>Table3[[#This Row],[Total Spend]]/SUM(Table3[[#This Row],[Column2]:[Column18]])</f>
        <v>0.53163211057947901</v>
      </c>
    </row>
    <row r="430" spans="1:56">
      <c r="A430" s="87" t="s">
        <v>504</v>
      </c>
      <c r="B430" s="87"/>
      <c r="C430" s="87"/>
      <c r="D430" s="85">
        <v>45809</v>
      </c>
      <c r="E430" s="85" t="s">
        <v>92</v>
      </c>
      <c r="F430" s="84">
        <f>INDEX(Definitions!$G$13:$G$17,MATCH(Table3[[#This Row],[Propensity to buy/ buyer readiness]],Definitions!$A$13:$A$17,0))</f>
        <v>50000</v>
      </c>
      <c r="G430" s="86">
        <v>5</v>
      </c>
      <c r="H430" s="86">
        <v>5</v>
      </c>
      <c r="I430" s="86">
        <v>2</v>
      </c>
      <c r="J430" s="86">
        <v>4</v>
      </c>
      <c r="K430" s="86">
        <v>3</v>
      </c>
      <c r="L430" s="86">
        <f>SUM(Table3[[#This Row],[Strategic priority segment]:[Propensity to buy/ buyer readiness]])</f>
        <v>19</v>
      </c>
      <c r="M430" s="86" t="s">
        <v>102</v>
      </c>
      <c r="N430" s="84" t="s">
        <v>61</v>
      </c>
      <c r="O430" s="87"/>
      <c r="P430" s="87"/>
      <c r="Q430" s="87"/>
      <c r="R430" s="84"/>
      <c r="S430" s="87"/>
      <c r="T430" s="87"/>
      <c r="U430" s="84">
        <v>1</v>
      </c>
      <c r="V430" s="84">
        <v>0</v>
      </c>
      <c r="W430" s="84">
        <v>0</v>
      </c>
      <c r="X430" s="84">
        <v>0</v>
      </c>
      <c r="Y430" s="84">
        <v>0</v>
      </c>
      <c r="Z430" s="84">
        <v>1</v>
      </c>
      <c r="AA430" s="84">
        <v>1</v>
      </c>
      <c r="AB430" s="84">
        <v>1</v>
      </c>
      <c r="AC430" s="84">
        <v>1</v>
      </c>
      <c r="AD430" s="84">
        <v>0</v>
      </c>
      <c r="AE430" s="84">
        <v>0</v>
      </c>
      <c r="AF430" s="84">
        <v>0</v>
      </c>
      <c r="AG430" s="84">
        <v>0</v>
      </c>
      <c r="AH430" s="84">
        <v>0</v>
      </c>
      <c r="AI430" s="84">
        <v>0</v>
      </c>
      <c r="AJ430" s="84">
        <v>0</v>
      </c>
      <c r="AK430" s="84">
        <v>0</v>
      </c>
      <c r="AL430" s="84" cm="1">
        <f t="array" ref="AL4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0" s="84" cm="1">
        <f t="array" ref="AM4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0" s="84" cm="1">
        <f t="array" ref="AN4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0" s="84" cm="1">
        <f t="array" ref="AO4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0" s="84" cm="1">
        <f t="array" ref="AP4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0" s="84" cm="1">
        <f t="array" ref="AQ4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0" s="84" cm="1">
        <f t="array" ref="AR4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0" s="84" cm="1">
        <f t="array" ref="AS4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0" s="84" cm="1">
        <f t="array" ref="AT4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0" s="84" cm="1">
        <f t="array" ref="AU4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0" s="84" cm="1">
        <f t="array" ref="AV4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0" s="84" cm="1">
        <f t="array" ref="AW4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0" s="84" cm="1">
        <f t="array" ref="AX4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0" s="84" cm="1">
        <f t="array" ref="AY4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0" s="84" cm="1">
        <f t="array" ref="AZ4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0" s="84" cm="1">
        <f t="array" ref="BA4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0" s="84" cm="1">
        <f t="array" ref="BB4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0" s="84">
        <f>IF(SUM(Table3[[#This Row],[Column2]:[Column18]])&gt;Table3[[#This Row],[Column19]],Table3[[#This Row],[Column19]],SUM(Table3[[#This Row],[Column2]:[Column18]]))</f>
        <v>50000</v>
      </c>
      <c r="BD430" s="2">
        <f>Table3[[#This Row],[Total Spend]]/SUM(Table3[[#This Row],[Column2]:[Column18]])</f>
        <v>0.49164208456243852</v>
      </c>
    </row>
    <row r="431" spans="1:56">
      <c r="A431" s="84" t="s">
        <v>505</v>
      </c>
      <c r="B431" s="84"/>
      <c r="C431" s="84"/>
      <c r="D431" s="85">
        <v>45566</v>
      </c>
      <c r="E431" s="85" t="s">
        <v>92</v>
      </c>
      <c r="F431" s="84">
        <f>INDEX(Definitions!$G$13:$G$17,MATCH(Table3[[#This Row],[Propensity to buy/ buyer readiness]],Definitions!$A$13:$A$17,0))</f>
        <v>50000</v>
      </c>
      <c r="G431" s="86">
        <v>5</v>
      </c>
      <c r="H431" s="86">
        <v>5</v>
      </c>
      <c r="I431" s="86">
        <v>2</v>
      </c>
      <c r="J431" s="86">
        <v>4</v>
      </c>
      <c r="K431" s="86">
        <v>3</v>
      </c>
      <c r="L431" s="86">
        <f>SUM(Table3[[#This Row],[Strategic priority segment]:[Propensity to buy/ buyer readiness]])</f>
        <v>19</v>
      </c>
      <c r="M431" s="86" t="s">
        <v>102</v>
      </c>
      <c r="N431" s="84" t="s">
        <v>61</v>
      </c>
      <c r="O431" s="84" t="s">
        <v>62</v>
      </c>
      <c r="P431" s="87"/>
      <c r="Q431" s="87"/>
      <c r="R431" s="84"/>
      <c r="S431" s="87"/>
      <c r="T431" s="87"/>
      <c r="U431" s="84">
        <v>1</v>
      </c>
      <c r="V431" s="84">
        <v>0</v>
      </c>
      <c r="W431" s="84">
        <v>0</v>
      </c>
      <c r="X431" s="84">
        <v>0</v>
      </c>
      <c r="Y431" s="84">
        <v>0</v>
      </c>
      <c r="Z431" s="84">
        <v>1</v>
      </c>
      <c r="AA431" s="84">
        <v>1</v>
      </c>
      <c r="AB431" s="84">
        <v>1</v>
      </c>
      <c r="AC431" s="84">
        <v>1</v>
      </c>
      <c r="AD431" s="84">
        <v>1</v>
      </c>
      <c r="AE431" s="84">
        <v>1</v>
      </c>
      <c r="AF431" s="84">
        <v>1</v>
      </c>
      <c r="AG431" s="84">
        <v>1</v>
      </c>
      <c r="AH431" s="84">
        <v>0</v>
      </c>
      <c r="AI431" s="84">
        <v>0</v>
      </c>
      <c r="AJ431" s="84">
        <v>0</v>
      </c>
      <c r="AK431" s="84">
        <v>0</v>
      </c>
      <c r="AL431" s="84" cm="1">
        <f t="array" ref="AL4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1" s="84" cm="1">
        <f t="array" ref="AM4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1" s="84" cm="1">
        <f t="array" ref="AN4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1" s="84" cm="1">
        <f t="array" ref="AO4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1" s="84" cm="1">
        <f t="array" ref="AP4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1" s="84" cm="1">
        <f t="array" ref="AQ4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1" s="84" cm="1">
        <f t="array" ref="AR4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1" s="84" cm="1">
        <f t="array" ref="AS4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1" s="84" cm="1">
        <f t="array" ref="AT4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1" s="84" cm="1">
        <f t="array" ref="AU4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31" s="84" cm="1">
        <f t="array" ref="AV4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31" s="84" cm="1">
        <f t="array" ref="AW4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31" s="84" cm="1">
        <f t="array" ref="AX4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31" s="84" cm="1">
        <f t="array" ref="AY4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1" s="84" cm="1">
        <f t="array" ref="AZ4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1" s="84" cm="1">
        <f t="array" ref="BA4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1" s="84" cm="1">
        <f t="array" ref="BB4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1" s="84">
        <f>IF(SUM(Table3[[#This Row],[Column2]:[Column18]])&gt;Table3[[#This Row],[Column19]],Table3[[#This Row],[Column19]],SUM(Table3[[#This Row],[Column2]:[Column18]]))</f>
        <v>50000</v>
      </c>
      <c r="BD431" s="2">
        <f>Table3[[#This Row],[Total Spend]]/SUM(Table3[[#This Row],[Column2]:[Column18]])</f>
        <v>0.2664535038635758</v>
      </c>
    </row>
    <row r="432" spans="1:56">
      <c r="A432" s="84" t="s">
        <v>506</v>
      </c>
      <c r="B432" s="84"/>
      <c r="C432" s="84"/>
      <c r="D432" s="85">
        <v>45566</v>
      </c>
      <c r="E432" s="85" t="s">
        <v>92</v>
      </c>
      <c r="F432" s="84">
        <f>INDEX(Definitions!$G$13:$G$17,MATCH(Table3[[#This Row],[Propensity to buy/ buyer readiness]],Definitions!$A$13:$A$17,0))</f>
        <v>50000</v>
      </c>
      <c r="G432" s="86">
        <v>5</v>
      </c>
      <c r="H432" s="86">
        <v>5</v>
      </c>
      <c r="I432" s="86">
        <v>2</v>
      </c>
      <c r="J432" s="86">
        <v>4</v>
      </c>
      <c r="K432" s="86">
        <v>3</v>
      </c>
      <c r="L432" s="86">
        <f>SUM(Table3[[#This Row],[Strategic priority segment]:[Propensity to buy/ buyer readiness]])</f>
        <v>19</v>
      </c>
      <c r="M432" s="86" t="s">
        <v>102</v>
      </c>
      <c r="N432" s="84" t="s">
        <v>61</v>
      </c>
      <c r="O432" s="84"/>
      <c r="P432" s="84"/>
      <c r="Q432" s="84"/>
      <c r="R432" s="84"/>
      <c r="S432" s="84"/>
      <c r="T432" s="87"/>
      <c r="U432" s="84">
        <v>1</v>
      </c>
      <c r="V432" s="84">
        <v>0</v>
      </c>
      <c r="W432" s="84">
        <v>0</v>
      </c>
      <c r="X432" s="84">
        <v>0</v>
      </c>
      <c r="Y432" s="84">
        <v>0</v>
      </c>
      <c r="Z432" s="84">
        <v>1</v>
      </c>
      <c r="AA432" s="84">
        <v>1</v>
      </c>
      <c r="AB432" s="84">
        <v>1</v>
      </c>
      <c r="AC432" s="84">
        <v>1</v>
      </c>
      <c r="AD432" s="84">
        <v>0</v>
      </c>
      <c r="AE432" s="84">
        <v>0</v>
      </c>
      <c r="AF432" s="84">
        <v>0</v>
      </c>
      <c r="AG432" s="84">
        <v>0</v>
      </c>
      <c r="AH432" s="84">
        <v>0</v>
      </c>
      <c r="AI432" s="84">
        <v>0</v>
      </c>
      <c r="AJ432" s="84">
        <v>0</v>
      </c>
      <c r="AK432" s="84">
        <v>0</v>
      </c>
      <c r="AL432" s="84" cm="1">
        <f t="array" ref="AL4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2" s="84" cm="1">
        <f t="array" ref="AM4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2" s="84" cm="1">
        <f t="array" ref="AN4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2" s="84" cm="1">
        <f t="array" ref="AO4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2" s="84" cm="1">
        <f t="array" ref="AP4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2" s="84" cm="1">
        <f t="array" ref="AQ4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2" s="84" cm="1">
        <f t="array" ref="AR4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2" s="84" cm="1">
        <f t="array" ref="AS4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2" s="84" cm="1">
        <f t="array" ref="AT4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2" s="84" cm="1">
        <f t="array" ref="AU4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2" s="84" cm="1">
        <f t="array" ref="AV4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2" s="84" cm="1">
        <f t="array" ref="AW4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2" s="84" cm="1">
        <f t="array" ref="AX4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2" s="84" cm="1">
        <f t="array" ref="AY4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2" s="84" cm="1">
        <f t="array" ref="AZ4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2" s="84" cm="1">
        <f t="array" ref="BA4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2" s="84" cm="1">
        <f t="array" ref="BB4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2" s="84">
        <f>IF(SUM(Table3[[#This Row],[Column2]:[Column18]])&gt;Table3[[#This Row],[Column19]],Table3[[#This Row],[Column19]],SUM(Table3[[#This Row],[Column2]:[Column18]]))</f>
        <v>50000</v>
      </c>
      <c r="BD432" s="2">
        <f>Table3[[#This Row],[Total Spend]]/SUM(Table3[[#This Row],[Column2]:[Column18]])</f>
        <v>0.49164208456243852</v>
      </c>
    </row>
    <row r="433" spans="1:56">
      <c r="A433" s="84" t="s">
        <v>507</v>
      </c>
      <c r="B433" s="84"/>
      <c r="C433" s="84"/>
      <c r="D433" s="85">
        <v>45566</v>
      </c>
      <c r="E433" s="85" t="s">
        <v>92</v>
      </c>
      <c r="F433" s="84">
        <f>INDEX(Definitions!$G$13:$G$17,MATCH(Table3[[#This Row],[Propensity to buy/ buyer readiness]],Definitions!$A$13:$A$17,0))</f>
        <v>50000</v>
      </c>
      <c r="G433" s="86">
        <v>5</v>
      </c>
      <c r="H433" s="86">
        <v>5</v>
      </c>
      <c r="I433" s="86">
        <v>2</v>
      </c>
      <c r="J433" s="86">
        <v>4</v>
      </c>
      <c r="K433" s="86">
        <v>3</v>
      </c>
      <c r="L433" s="86">
        <f>SUM(Table3[[#This Row],[Strategic priority segment]:[Propensity to buy/ buyer readiness]])</f>
        <v>19</v>
      </c>
      <c r="M433" s="86" t="s">
        <v>102</v>
      </c>
      <c r="N433" s="84" t="s">
        <v>61</v>
      </c>
      <c r="O433" s="84"/>
      <c r="P433" s="87"/>
      <c r="Q433" s="87"/>
      <c r="R433" s="84"/>
      <c r="S433" s="87"/>
      <c r="T433" s="87"/>
      <c r="U433" s="84">
        <v>1</v>
      </c>
      <c r="V433" s="84">
        <v>0</v>
      </c>
      <c r="W433" s="84">
        <v>0</v>
      </c>
      <c r="X433" s="84">
        <v>0</v>
      </c>
      <c r="Y433" s="84">
        <v>0</v>
      </c>
      <c r="Z433" s="84">
        <v>1</v>
      </c>
      <c r="AA433" s="84">
        <v>1</v>
      </c>
      <c r="AB433" s="84">
        <v>1</v>
      </c>
      <c r="AC433" s="84">
        <v>1</v>
      </c>
      <c r="AD433" s="84">
        <v>0</v>
      </c>
      <c r="AE433" s="84">
        <v>0</v>
      </c>
      <c r="AF433" s="84">
        <v>0</v>
      </c>
      <c r="AG433" s="84">
        <v>0</v>
      </c>
      <c r="AH433" s="84">
        <v>0</v>
      </c>
      <c r="AI433" s="84">
        <v>0</v>
      </c>
      <c r="AJ433" s="84">
        <v>0</v>
      </c>
      <c r="AK433" s="84">
        <v>0</v>
      </c>
      <c r="AL433" s="84" cm="1">
        <f t="array" ref="AL4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3" s="84" cm="1">
        <f t="array" ref="AM4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3" s="84" cm="1">
        <f t="array" ref="AN4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3" s="84" cm="1">
        <f t="array" ref="AO4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3" s="84" cm="1">
        <f t="array" ref="AP4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3" s="84" cm="1">
        <f t="array" ref="AQ4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3" s="84" cm="1">
        <f t="array" ref="AR4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3" s="84" cm="1">
        <f t="array" ref="AS4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3" s="84" cm="1">
        <f t="array" ref="AT4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3" s="84" cm="1">
        <f t="array" ref="AU4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3" s="84" cm="1">
        <f t="array" ref="AV4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3" s="84" cm="1">
        <f t="array" ref="AW4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3" s="84" cm="1">
        <f t="array" ref="AX4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3" s="84" cm="1">
        <f t="array" ref="AY4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3" s="84" cm="1">
        <f t="array" ref="AZ4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3" s="84" cm="1">
        <f t="array" ref="BA4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3" s="84" cm="1">
        <f t="array" ref="BB4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3" s="84">
        <f>IF(SUM(Table3[[#This Row],[Column2]:[Column18]])&gt;Table3[[#This Row],[Column19]],Table3[[#This Row],[Column19]],SUM(Table3[[#This Row],[Column2]:[Column18]]))</f>
        <v>50000</v>
      </c>
      <c r="BD433" s="2">
        <f>Table3[[#This Row],[Total Spend]]/SUM(Table3[[#This Row],[Column2]:[Column18]])</f>
        <v>0.49164208456243852</v>
      </c>
    </row>
    <row r="434" spans="1:56">
      <c r="A434" s="84" t="s">
        <v>508</v>
      </c>
      <c r="B434" s="84"/>
      <c r="C434" s="84"/>
      <c r="D434" s="85">
        <v>45566</v>
      </c>
      <c r="E434" s="85" t="s">
        <v>92</v>
      </c>
      <c r="F434" s="84">
        <f>INDEX(Definitions!$G$13:$G$17,MATCH(Table3[[#This Row],[Propensity to buy/ buyer readiness]],Definitions!$A$13:$A$17,0))</f>
        <v>50000</v>
      </c>
      <c r="G434" s="86">
        <v>5</v>
      </c>
      <c r="H434" s="86">
        <v>5</v>
      </c>
      <c r="I434" s="86">
        <v>2</v>
      </c>
      <c r="J434" s="86">
        <v>4</v>
      </c>
      <c r="K434" s="86">
        <v>3</v>
      </c>
      <c r="L434" s="86">
        <f>SUM(Table3[[#This Row],[Strategic priority segment]:[Propensity to buy/ buyer readiness]])</f>
        <v>19</v>
      </c>
      <c r="M434" s="86" t="s">
        <v>102</v>
      </c>
      <c r="N434" s="84" t="s">
        <v>61</v>
      </c>
      <c r="O434" s="84"/>
      <c r="P434" s="87"/>
      <c r="Q434" s="87"/>
      <c r="R434" s="84"/>
      <c r="S434" s="87"/>
      <c r="T434" s="87"/>
      <c r="U434" s="84">
        <v>1</v>
      </c>
      <c r="V434" s="84">
        <v>0</v>
      </c>
      <c r="W434" s="84">
        <v>0</v>
      </c>
      <c r="X434" s="84">
        <v>0</v>
      </c>
      <c r="Y434" s="84">
        <v>0</v>
      </c>
      <c r="Z434" s="84">
        <v>1</v>
      </c>
      <c r="AA434" s="84">
        <v>1</v>
      </c>
      <c r="AB434" s="84">
        <v>1</v>
      </c>
      <c r="AC434" s="84">
        <v>1</v>
      </c>
      <c r="AD434" s="84">
        <v>0</v>
      </c>
      <c r="AE434" s="84">
        <v>0</v>
      </c>
      <c r="AF434" s="84">
        <v>0</v>
      </c>
      <c r="AG434" s="84">
        <v>0</v>
      </c>
      <c r="AH434" s="84">
        <v>0</v>
      </c>
      <c r="AI434" s="84">
        <v>0</v>
      </c>
      <c r="AJ434" s="84">
        <v>0</v>
      </c>
      <c r="AK434" s="84">
        <v>0</v>
      </c>
      <c r="AL434" s="84" cm="1">
        <f t="array" ref="AL4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4" s="84" cm="1">
        <f t="array" ref="AM4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4" s="84" cm="1">
        <f t="array" ref="AN4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4" s="84" cm="1">
        <f t="array" ref="AO4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4" s="84" cm="1">
        <f t="array" ref="AP4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4" s="84" cm="1">
        <f t="array" ref="AQ4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4" s="84" cm="1">
        <f t="array" ref="AR4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4" s="84" cm="1">
        <f t="array" ref="AS4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4" s="84" cm="1">
        <f t="array" ref="AT4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4" s="84" cm="1">
        <f t="array" ref="AU4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4" s="84" cm="1">
        <f t="array" ref="AV4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4" s="84" cm="1">
        <f t="array" ref="AW4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4" s="84" cm="1">
        <f t="array" ref="AX4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4" s="84" cm="1">
        <f t="array" ref="AY4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4" s="84" cm="1">
        <f t="array" ref="AZ4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4" s="84" cm="1">
        <f t="array" ref="BA4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4" s="84" cm="1">
        <f t="array" ref="BB4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4" s="84">
        <f>IF(SUM(Table3[[#This Row],[Column2]:[Column18]])&gt;Table3[[#This Row],[Column19]],Table3[[#This Row],[Column19]],SUM(Table3[[#This Row],[Column2]:[Column18]]))</f>
        <v>50000</v>
      </c>
      <c r="BD434" s="2">
        <f>Table3[[#This Row],[Total Spend]]/SUM(Table3[[#This Row],[Column2]:[Column18]])</f>
        <v>0.49164208456243852</v>
      </c>
    </row>
    <row r="435" spans="1:56" ht="28.5">
      <c r="A435" s="84" t="s">
        <v>509</v>
      </c>
      <c r="B435" s="84" t="s">
        <v>57</v>
      </c>
      <c r="C435" s="84"/>
      <c r="D435" s="85">
        <v>45566</v>
      </c>
      <c r="E435" s="85" t="s">
        <v>92</v>
      </c>
      <c r="F435" s="84">
        <f>INDEX(Definitions!$G$13:$G$17,MATCH(Table3[[#This Row],[Propensity to buy/ buyer readiness]],Definitions!$A$13:$A$17,0))</f>
        <v>50000</v>
      </c>
      <c r="G435" s="86">
        <v>4</v>
      </c>
      <c r="H435" s="86">
        <v>4</v>
      </c>
      <c r="I435" s="86">
        <v>4</v>
      </c>
      <c r="J435" s="86">
        <v>4</v>
      </c>
      <c r="K435" s="86">
        <v>3</v>
      </c>
      <c r="L435" s="86">
        <f>SUM(Table3[[#This Row],[Strategic priority segment]:[Propensity to buy/ buyer readiness]])</f>
        <v>19</v>
      </c>
      <c r="M435" s="86" t="s">
        <v>152</v>
      </c>
      <c r="N435" s="84" t="s">
        <v>122</v>
      </c>
      <c r="O435" s="84" t="s">
        <v>61</v>
      </c>
      <c r="P435" s="87" t="s">
        <v>62</v>
      </c>
      <c r="Q435" s="87"/>
      <c r="R435" s="84"/>
      <c r="S435" s="87"/>
      <c r="T435" s="87"/>
      <c r="U435" s="84">
        <v>1</v>
      </c>
      <c r="V435" s="84">
        <v>0</v>
      </c>
      <c r="W435" s="84">
        <v>0</v>
      </c>
      <c r="X435" s="84">
        <v>0</v>
      </c>
      <c r="Y435" s="84">
        <v>0</v>
      </c>
      <c r="Z435" s="84">
        <v>1</v>
      </c>
      <c r="AA435" s="84">
        <v>1</v>
      </c>
      <c r="AB435" s="84">
        <v>1</v>
      </c>
      <c r="AC435" s="84">
        <v>1</v>
      </c>
      <c r="AD435" s="84">
        <v>1</v>
      </c>
      <c r="AE435" s="84">
        <v>1</v>
      </c>
      <c r="AF435" s="84">
        <v>1</v>
      </c>
      <c r="AG435" s="84">
        <v>1</v>
      </c>
      <c r="AH435" s="84">
        <v>0</v>
      </c>
      <c r="AI435" s="84">
        <v>0</v>
      </c>
      <c r="AJ435" s="84">
        <v>0</v>
      </c>
      <c r="AK435" s="84">
        <v>0</v>
      </c>
      <c r="AL435" s="84" cm="1">
        <f t="array" ref="AL4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5" s="84" cm="1">
        <f t="array" ref="AM4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5" s="84" cm="1">
        <f t="array" ref="AN4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5" s="84" cm="1">
        <f t="array" ref="AO4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5" s="84" cm="1">
        <f t="array" ref="AP4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5" s="84" cm="1">
        <f t="array" ref="AQ4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5" s="84" cm="1">
        <f t="array" ref="AR4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5" s="84" cm="1">
        <f t="array" ref="AS4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5" s="84" cm="1">
        <f t="array" ref="AT4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5" s="84" cm="1">
        <f t="array" ref="AU4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35" s="84" cm="1">
        <f t="array" ref="AV4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35" s="84" cm="1">
        <f t="array" ref="AW4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35" s="84" cm="1">
        <f t="array" ref="AX4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35" s="84" cm="1">
        <f t="array" ref="AY4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5" s="84" cm="1">
        <f t="array" ref="AZ4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5" s="84" cm="1">
        <f t="array" ref="BA4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5" s="84" cm="1">
        <f t="array" ref="BB4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5" s="84">
        <f>IF(SUM(Table3[[#This Row],[Column2]:[Column18]])&gt;Table3[[#This Row],[Column19]],Table3[[#This Row],[Column19]],SUM(Table3[[#This Row],[Column2]:[Column18]]))</f>
        <v>50000</v>
      </c>
      <c r="BD435" s="2">
        <f>Table3[[#This Row],[Total Spend]]/SUM(Table3[[#This Row],[Column2]:[Column18]])</f>
        <v>0.2664535038635758</v>
      </c>
    </row>
    <row r="436" spans="1:56">
      <c r="A436" s="84" t="s">
        <v>510</v>
      </c>
      <c r="B436" s="84"/>
      <c r="C436" s="84"/>
      <c r="D436" s="85">
        <v>45566</v>
      </c>
      <c r="E436" s="85" t="s">
        <v>92</v>
      </c>
      <c r="F436" s="84">
        <f>INDEX(Definitions!$G$13:$G$17,MATCH(Table3[[#This Row],[Propensity to buy/ buyer readiness]],Definitions!$A$13:$A$17,0))</f>
        <v>50000</v>
      </c>
      <c r="G436" s="86">
        <v>5</v>
      </c>
      <c r="H436" s="86">
        <v>5</v>
      </c>
      <c r="I436" s="86">
        <v>2</v>
      </c>
      <c r="J436" s="86">
        <v>4</v>
      </c>
      <c r="K436" s="86">
        <v>3</v>
      </c>
      <c r="L436" s="86">
        <f>SUM(Table3[[#This Row],[Strategic priority segment]:[Propensity to buy/ buyer readiness]])</f>
        <v>19</v>
      </c>
      <c r="M436" s="86" t="s">
        <v>102</v>
      </c>
      <c r="N436" s="84" t="s">
        <v>61</v>
      </c>
      <c r="O436" s="84"/>
      <c r="P436" s="87"/>
      <c r="Q436" s="87"/>
      <c r="R436" s="84"/>
      <c r="S436" s="87"/>
      <c r="T436" s="87"/>
      <c r="U436" s="84">
        <v>1</v>
      </c>
      <c r="V436" s="84">
        <v>0</v>
      </c>
      <c r="W436" s="84">
        <v>0</v>
      </c>
      <c r="X436" s="84">
        <v>0</v>
      </c>
      <c r="Y436" s="84">
        <v>0</v>
      </c>
      <c r="Z436" s="84">
        <v>1</v>
      </c>
      <c r="AA436" s="84">
        <v>1</v>
      </c>
      <c r="AB436" s="84">
        <v>1</v>
      </c>
      <c r="AC436" s="84">
        <v>1</v>
      </c>
      <c r="AD436" s="84">
        <v>0</v>
      </c>
      <c r="AE436" s="84">
        <v>0</v>
      </c>
      <c r="AF436" s="84">
        <v>0</v>
      </c>
      <c r="AG436" s="84">
        <v>0</v>
      </c>
      <c r="AH436" s="84">
        <v>0</v>
      </c>
      <c r="AI436" s="84">
        <v>0</v>
      </c>
      <c r="AJ436" s="84">
        <v>0</v>
      </c>
      <c r="AK436" s="84">
        <v>0</v>
      </c>
      <c r="AL436" s="84" cm="1">
        <f t="array" ref="AL4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6" s="84" cm="1">
        <f t="array" ref="AM4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6" s="84" cm="1">
        <f t="array" ref="AN4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6" s="84" cm="1">
        <f t="array" ref="AO4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6" s="84" cm="1">
        <f t="array" ref="AP4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6" s="84" cm="1">
        <f t="array" ref="AQ4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6" s="84" cm="1">
        <f t="array" ref="AR4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6" s="84" cm="1">
        <f t="array" ref="AS4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6" s="84" cm="1">
        <f t="array" ref="AT4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6" s="84" cm="1">
        <f t="array" ref="AU4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6" s="84" cm="1">
        <f t="array" ref="AV4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6" s="84" cm="1">
        <f t="array" ref="AW4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6" s="84" cm="1">
        <f t="array" ref="AX4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6" s="84" cm="1">
        <f t="array" ref="AY4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6" s="84" cm="1">
        <f t="array" ref="AZ4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6" s="84" cm="1">
        <f t="array" ref="BA4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6" s="84" cm="1">
        <f t="array" ref="BB4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6" s="84">
        <f>IF(SUM(Table3[[#This Row],[Column2]:[Column18]])&gt;Table3[[#This Row],[Column19]],Table3[[#This Row],[Column19]],SUM(Table3[[#This Row],[Column2]:[Column18]]))</f>
        <v>50000</v>
      </c>
      <c r="BD436" s="2">
        <f>Table3[[#This Row],[Total Spend]]/SUM(Table3[[#This Row],[Column2]:[Column18]])</f>
        <v>0.49164208456243852</v>
      </c>
    </row>
    <row r="437" spans="1:56">
      <c r="A437" s="84" t="s">
        <v>511</v>
      </c>
      <c r="B437" s="84"/>
      <c r="C437" s="84"/>
      <c r="D437" s="85">
        <v>45566</v>
      </c>
      <c r="E437" s="85" t="s">
        <v>92</v>
      </c>
      <c r="F437" s="84">
        <f>INDEX(Definitions!$G$13:$G$17,MATCH(Table3[[#This Row],[Propensity to buy/ buyer readiness]],Definitions!$A$13:$A$17,0))</f>
        <v>50000</v>
      </c>
      <c r="G437" s="86">
        <v>5</v>
      </c>
      <c r="H437" s="86">
        <v>5</v>
      </c>
      <c r="I437" s="86">
        <v>2</v>
      </c>
      <c r="J437" s="86">
        <v>4</v>
      </c>
      <c r="K437" s="86">
        <v>3</v>
      </c>
      <c r="L437" s="86">
        <f>SUM(Table3[[#This Row],[Strategic priority segment]:[Propensity to buy/ buyer readiness]])</f>
        <v>19</v>
      </c>
      <c r="M437" s="86" t="s">
        <v>102</v>
      </c>
      <c r="N437" s="84" t="s">
        <v>61</v>
      </c>
      <c r="O437" s="84"/>
      <c r="P437" s="87"/>
      <c r="Q437" s="87"/>
      <c r="R437" s="84"/>
      <c r="S437" s="87"/>
      <c r="T437" s="87"/>
      <c r="U437" s="84">
        <v>1</v>
      </c>
      <c r="V437" s="84">
        <v>0</v>
      </c>
      <c r="W437" s="84">
        <v>0</v>
      </c>
      <c r="X437" s="84">
        <v>0</v>
      </c>
      <c r="Y437" s="84">
        <v>0</v>
      </c>
      <c r="Z437" s="84">
        <v>1</v>
      </c>
      <c r="AA437" s="84">
        <v>1</v>
      </c>
      <c r="AB437" s="84">
        <v>1</v>
      </c>
      <c r="AC437" s="84">
        <v>1</v>
      </c>
      <c r="AD437" s="84">
        <v>0</v>
      </c>
      <c r="AE437" s="84">
        <v>0</v>
      </c>
      <c r="AF437" s="84">
        <v>0</v>
      </c>
      <c r="AG437" s="84">
        <v>0</v>
      </c>
      <c r="AH437" s="84">
        <v>0</v>
      </c>
      <c r="AI437" s="84">
        <v>0</v>
      </c>
      <c r="AJ437" s="84">
        <v>0</v>
      </c>
      <c r="AK437" s="84">
        <v>0</v>
      </c>
      <c r="AL437" s="84" cm="1">
        <f t="array" ref="AL4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7" s="84" cm="1">
        <f t="array" ref="AM4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7" s="84" cm="1">
        <f t="array" ref="AN4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7" s="84" cm="1">
        <f t="array" ref="AO4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7" s="84" cm="1">
        <f t="array" ref="AP4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7" s="84" cm="1">
        <f t="array" ref="AQ4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7" s="84" cm="1">
        <f t="array" ref="AR4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7" s="84" cm="1">
        <f t="array" ref="AS4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7" s="84" cm="1">
        <f t="array" ref="AT4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7" s="84" cm="1">
        <f t="array" ref="AU4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7" s="84" cm="1">
        <f t="array" ref="AV4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7" s="84" cm="1">
        <f t="array" ref="AW4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7" s="84" cm="1">
        <f t="array" ref="AX4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7" s="84" cm="1">
        <f t="array" ref="AY4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7" s="84" cm="1">
        <f t="array" ref="AZ4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7" s="84" cm="1">
        <f t="array" ref="BA4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7" s="84" cm="1">
        <f t="array" ref="BB4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7" s="84">
        <f>IF(SUM(Table3[[#This Row],[Column2]:[Column18]])&gt;Table3[[#This Row],[Column19]],Table3[[#This Row],[Column19]],SUM(Table3[[#This Row],[Column2]:[Column18]]))</f>
        <v>50000</v>
      </c>
      <c r="BD437" s="2">
        <f>Table3[[#This Row],[Total Spend]]/SUM(Table3[[#This Row],[Column2]:[Column18]])</f>
        <v>0.49164208456243852</v>
      </c>
    </row>
    <row r="438" spans="1:56">
      <c r="A438" s="84" t="s">
        <v>512</v>
      </c>
      <c r="B438" s="84"/>
      <c r="C438" s="84"/>
      <c r="D438" s="85">
        <v>45566</v>
      </c>
      <c r="E438" s="85" t="s">
        <v>92</v>
      </c>
      <c r="F438" s="84">
        <f>INDEX(Definitions!$G$13:$G$17,MATCH(Table3[[#This Row],[Propensity to buy/ buyer readiness]],Definitions!$A$13:$A$17,0))</f>
        <v>50000</v>
      </c>
      <c r="G438" s="86">
        <v>5</v>
      </c>
      <c r="H438" s="86">
        <v>5</v>
      </c>
      <c r="I438" s="86">
        <v>2</v>
      </c>
      <c r="J438" s="86">
        <v>4</v>
      </c>
      <c r="K438" s="86">
        <v>3</v>
      </c>
      <c r="L438" s="86">
        <f>SUM(Table3[[#This Row],[Strategic priority segment]:[Propensity to buy/ buyer readiness]])</f>
        <v>19</v>
      </c>
      <c r="M438" s="86" t="s">
        <v>102</v>
      </c>
      <c r="N438" s="84" t="s">
        <v>61</v>
      </c>
      <c r="O438" s="87"/>
      <c r="P438" s="87"/>
      <c r="Q438" s="87"/>
      <c r="R438" s="87"/>
      <c r="S438" s="87"/>
      <c r="T438" s="87"/>
      <c r="U438" s="84">
        <v>1</v>
      </c>
      <c r="V438" s="84">
        <v>0</v>
      </c>
      <c r="W438" s="84">
        <v>0</v>
      </c>
      <c r="X438" s="84">
        <v>0</v>
      </c>
      <c r="Y438" s="84">
        <v>0</v>
      </c>
      <c r="Z438" s="84">
        <v>1</v>
      </c>
      <c r="AA438" s="84">
        <v>1</v>
      </c>
      <c r="AB438" s="84">
        <v>1</v>
      </c>
      <c r="AC438" s="84">
        <v>1</v>
      </c>
      <c r="AD438" s="84">
        <v>0</v>
      </c>
      <c r="AE438" s="84">
        <v>0</v>
      </c>
      <c r="AF438" s="84">
        <v>0</v>
      </c>
      <c r="AG438" s="84">
        <v>0</v>
      </c>
      <c r="AH438" s="84">
        <v>0</v>
      </c>
      <c r="AI438" s="84">
        <v>0</v>
      </c>
      <c r="AJ438" s="84">
        <v>0</v>
      </c>
      <c r="AK438" s="84">
        <v>0</v>
      </c>
      <c r="AL438" s="84" cm="1">
        <f t="array" ref="AL4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8" s="84" cm="1">
        <f t="array" ref="AM4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8" s="84" cm="1">
        <f t="array" ref="AN4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8" s="84" cm="1">
        <f t="array" ref="AO4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8" s="84" cm="1">
        <f t="array" ref="AP4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8" s="84" cm="1">
        <f t="array" ref="AQ4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8" s="84" cm="1">
        <f t="array" ref="AR4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8" s="84" cm="1">
        <f t="array" ref="AS4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8" s="84" cm="1">
        <f t="array" ref="AT4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8" s="84" cm="1">
        <f t="array" ref="AU4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8" s="84" cm="1">
        <f t="array" ref="AV4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8" s="84" cm="1">
        <f t="array" ref="AW4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8" s="84" cm="1">
        <f t="array" ref="AX4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8" s="84" cm="1">
        <f t="array" ref="AY4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8" s="84" cm="1">
        <f t="array" ref="AZ4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8" s="84" cm="1">
        <f t="array" ref="BA4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8" s="84" cm="1">
        <f t="array" ref="BB4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8" s="84">
        <f>IF(SUM(Table3[[#This Row],[Column2]:[Column18]])&gt;Table3[[#This Row],[Column19]],Table3[[#This Row],[Column19]],SUM(Table3[[#This Row],[Column2]:[Column18]]))</f>
        <v>50000</v>
      </c>
      <c r="BD438" s="2">
        <f>Table3[[#This Row],[Total Spend]]/SUM(Table3[[#This Row],[Column2]:[Column18]])</f>
        <v>0.49164208456243852</v>
      </c>
    </row>
    <row r="439" spans="1:56">
      <c r="A439" s="84" t="s">
        <v>513</v>
      </c>
      <c r="B439" s="84"/>
      <c r="C439" s="84"/>
      <c r="D439" s="85">
        <v>45566</v>
      </c>
      <c r="E439" s="85" t="s">
        <v>92</v>
      </c>
      <c r="F439" s="84">
        <f>INDEX(Definitions!$G$13:$G$17,MATCH(Table3[[#This Row],[Propensity to buy/ buyer readiness]],Definitions!$A$13:$A$17,0))</f>
        <v>50000</v>
      </c>
      <c r="G439" s="86">
        <v>5</v>
      </c>
      <c r="H439" s="86">
        <v>5</v>
      </c>
      <c r="I439" s="86">
        <v>2</v>
      </c>
      <c r="J439" s="86">
        <v>4</v>
      </c>
      <c r="K439" s="86">
        <v>3</v>
      </c>
      <c r="L439" s="86">
        <f>SUM(Table3[[#This Row],[Strategic priority segment]:[Propensity to buy/ buyer readiness]])</f>
        <v>19</v>
      </c>
      <c r="M439" s="86" t="s">
        <v>102</v>
      </c>
      <c r="N439" s="84" t="s">
        <v>61</v>
      </c>
      <c r="O439" s="84"/>
      <c r="P439" s="87"/>
      <c r="Q439" s="87"/>
      <c r="R439" s="84"/>
      <c r="S439" s="87"/>
      <c r="T439" s="87"/>
      <c r="U439" s="84">
        <v>1</v>
      </c>
      <c r="V439" s="84">
        <v>0</v>
      </c>
      <c r="W439" s="84">
        <v>0</v>
      </c>
      <c r="X439" s="84">
        <v>0</v>
      </c>
      <c r="Y439" s="84">
        <v>0</v>
      </c>
      <c r="Z439" s="84">
        <v>1</v>
      </c>
      <c r="AA439" s="84">
        <v>1</v>
      </c>
      <c r="AB439" s="84">
        <v>1</v>
      </c>
      <c r="AC439" s="84">
        <v>1</v>
      </c>
      <c r="AD439" s="84">
        <v>0</v>
      </c>
      <c r="AE439" s="84">
        <v>0</v>
      </c>
      <c r="AF439" s="84">
        <v>0</v>
      </c>
      <c r="AG439" s="84">
        <v>0</v>
      </c>
      <c r="AH439" s="84">
        <v>0</v>
      </c>
      <c r="AI439" s="84">
        <v>0</v>
      </c>
      <c r="AJ439" s="84">
        <v>0</v>
      </c>
      <c r="AK439" s="84">
        <v>0</v>
      </c>
      <c r="AL439" s="84" cm="1">
        <f t="array" ref="AL4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39" s="84" cm="1">
        <f t="array" ref="AM4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39" s="84" cm="1">
        <f t="array" ref="AN4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39" s="84" cm="1">
        <f t="array" ref="AO4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39" s="84" cm="1">
        <f t="array" ref="AP4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39" s="84" cm="1">
        <f t="array" ref="AQ4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39" s="84" cm="1">
        <f t="array" ref="AR4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39" s="84" cm="1">
        <f t="array" ref="AS4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39" s="84" cm="1">
        <f t="array" ref="AT4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39" s="84" cm="1">
        <f t="array" ref="AU4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39" s="84" cm="1">
        <f t="array" ref="AV4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39" s="84" cm="1">
        <f t="array" ref="AW4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39" s="84" cm="1">
        <f t="array" ref="AX4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39" s="84" cm="1">
        <f t="array" ref="AY4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39" s="84" cm="1">
        <f t="array" ref="AZ4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39" s="84" cm="1">
        <f t="array" ref="BA4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39" s="84" cm="1">
        <f t="array" ref="BB4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39" s="84">
        <f>IF(SUM(Table3[[#This Row],[Column2]:[Column18]])&gt;Table3[[#This Row],[Column19]],Table3[[#This Row],[Column19]],SUM(Table3[[#This Row],[Column2]:[Column18]]))</f>
        <v>50000</v>
      </c>
      <c r="BD439" s="2">
        <f>Table3[[#This Row],[Total Spend]]/SUM(Table3[[#This Row],[Column2]:[Column18]])</f>
        <v>0.49164208456243852</v>
      </c>
    </row>
    <row r="440" spans="1:56">
      <c r="A440" s="84" t="s">
        <v>514</v>
      </c>
      <c r="B440" s="84"/>
      <c r="C440" s="84"/>
      <c r="D440" s="85">
        <v>45566</v>
      </c>
      <c r="E440" s="85" t="s">
        <v>92</v>
      </c>
      <c r="F440" s="84">
        <f>INDEX(Definitions!$G$13:$G$17,MATCH(Table3[[#This Row],[Propensity to buy/ buyer readiness]],Definitions!$A$13:$A$17,0))</f>
        <v>50000</v>
      </c>
      <c r="G440" s="86">
        <v>5</v>
      </c>
      <c r="H440" s="86">
        <v>5</v>
      </c>
      <c r="I440" s="86">
        <v>2</v>
      </c>
      <c r="J440" s="86">
        <v>4</v>
      </c>
      <c r="K440" s="86">
        <v>3</v>
      </c>
      <c r="L440" s="86">
        <f>SUM(Table3[[#This Row],[Strategic priority segment]:[Propensity to buy/ buyer readiness]])</f>
        <v>19</v>
      </c>
      <c r="M440" s="86" t="s">
        <v>102</v>
      </c>
      <c r="N440" s="84" t="s">
        <v>61</v>
      </c>
      <c r="O440" s="84" t="s">
        <v>122</v>
      </c>
      <c r="P440" s="84"/>
      <c r="Q440" s="84"/>
      <c r="R440" s="84"/>
      <c r="S440" s="84"/>
      <c r="T440" s="84"/>
      <c r="U440" s="84">
        <v>1</v>
      </c>
      <c r="V440" s="84">
        <v>0</v>
      </c>
      <c r="W440" s="84">
        <v>0</v>
      </c>
      <c r="X440" s="84">
        <v>0</v>
      </c>
      <c r="Y440" s="84">
        <v>0</v>
      </c>
      <c r="Z440" s="84">
        <v>1</v>
      </c>
      <c r="AA440" s="84">
        <v>1</v>
      </c>
      <c r="AB440" s="84">
        <v>1</v>
      </c>
      <c r="AC440" s="84">
        <v>1</v>
      </c>
      <c r="AD440" s="84">
        <v>1</v>
      </c>
      <c r="AE440" s="84">
        <v>0</v>
      </c>
      <c r="AF440" s="84">
        <v>1</v>
      </c>
      <c r="AG440" s="84">
        <v>0</v>
      </c>
      <c r="AH440" s="84">
        <v>0</v>
      </c>
      <c r="AI440" s="84">
        <v>0</v>
      </c>
      <c r="AJ440" s="84">
        <v>0</v>
      </c>
      <c r="AK440" s="84">
        <v>0</v>
      </c>
      <c r="AL440" s="84" cm="1">
        <f t="array" ref="AL4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0" s="84" cm="1">
        <f t="array" ref="AM4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0" s="84" cm="1">
        <f t="array" ref="AN4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0" s="84" cm="1">
        <f t="array" ref="AO4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0" s="84" cm="1">
        <f t="array" ref="AP4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0" s="84" cm="1">
        <f t="array" ref="AQ4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0" s="84" cm="1">
        <f t="array" ref="AR4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0" s="84" cm="1">
        <f t="array" ref="AS4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0" s="84" cm="1">
        <f t="array" ref="AT4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0" s="84" cm="1">
        <f t="array" ref="AU4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40" s="84" cm="1">
        <f t="array" ref="AV4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0" s="84" cm="1">
        <f t="array" ref="AW4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40" s="84" cm="1">
        <f t="array" ref="AX4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0" s="84" cm="1">
        <f t="array" ref="AY4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0" s="84" cm="1">
        <f t="array" ref="AZ4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0" s="84" cm="1">
        <f t="array" ref="BA4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0" s="84" cm="1">
        <f t="array" ref="BB4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0" s="84">
        <f>IF(SUM(Table3[[#This Row],[Column2]:[Column18]])&gt;Table3[[#This Row],[Column19]],Table3[[#This Row],[Column19]],SUM(Table3[[#This Row],[Column2]:[Column18]]))</f>
        <v>50000</v>
      </c>
      <c r="BD440" s="2">
        <f>Table3[[#This Row],[Total Spend]]/SUM(Table3[[#This Row],[Column2]:[Column18]])</f>
        <v>0.32299741602067183</v>
      </c>
    </row>
    <row r="441" spans="1:56">
      <c r="A441" s="84" t="s">
        <v>515</v>
      </c>
      <c r="B441" s="84"/>
      <c r="C441" s="84"/>
      <c r="D441" s="85">
        <v>45566</v>
      </c>
      <c r="E441" s="85" t="s">
        <v>92</v>
      </c>
      <c r="F441" s="84">
        <f>INDEX(Definitions!$G$13:$G$17,MATCH(Table3[[#This Row],[Propensity to buy/ buyer readiness]],Definitions!$A$13:$A$17,0))</f>
        <v>50000</v>
      </c>
      <c r="G441" s="86">
        <v>5</v>
      </c>
      <c r="H441" s="86">
        <v>5</v>
      </c>
      <c r="I441" s="86">
        <v>2</v>
      </c>
      <c r="J441" s="86">
        <v>4</v>
      </c>
      <c r="K441" s="86">
        <v>3</v>
      </c>
      <c r="L441" s="86">
        <f>SUM(Table3[[#This Row],[Strategic priority segment]:[Propensity to buy/ buyer readiness]])</f>
        <v>19</v>
      </c>
      <c r="M441" s="86" t="s">
        <v>102</v>
      </c>
      <c r="N441" s="84" t="s">
        <v>61</v>
      </c>
      <c r="O441" s="84"/>
      <c r="P441" s="87"/>
      <c r="Q441" s="87"/>
      <c r="R441" s="84"/>
      <c r="S441" s="87"/>
      <c r="T441" s="87"/>
      <c r="U441" s="84">
        <v>1</v>
      </c>
      <c r="V441" s="84">
        <v>0</v>
      </c>
      <c r="W441" s="84">
        <v>0</v>
      </c>
      <c r="X441" s="84">
        <v>0</v>
      </c>
      <c r="Y441" s="84">
        <v>0</v>
      </c>
      <c r="Z441" s="84">
        <v>1</v>
      </c>
      <c r="AA441" s="84">
        <v>1</v>
      </c>
      <c r="AB441" s="84">
        <v>1</v>
      </c>
      <c r="AC441" s="84">
        <v>1</v>
      </c>
      <c r="AD441" s="84">
        <v>0</v>
      </c>
      <c r="AE441" s="84">
        <v>0</v>
      </c>
      <c r="AF441" s="84">
        <v>0</v>
      </c>
      <c r="AG441" s="84">
        <v>0</v>
      </c>
      <c r="AH441" s="84">
        <v>0</v>
      </c>
      <c r="AI441" s="84">
        <v>0</v>
      </c>
      <c r="AJ441" s="84">
        <v>0</v>
      </c>
      <c r="AK441" s="84">
        <v>0</v>
      </c>
      <c r="AL441" s="84" cm="1">
        <f t="array" ref="AL4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1" s="84" cm="1">
        <f t="array" ref="AM4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1" s="84" cm="1">
        <f t="array" ref="AN4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1" s="84" cm="1">
        <f t="array" ref="AO4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1" s="84" cm="1">
        <f t="array" ref="AP4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1" s="84" cm="1">
        <f t="array" ref="AQ4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1" s="84" cm="1">
        <f t="array" ref="AR4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1" s="84" cm="1">
        <f t="array" ref="AS4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1" s="84" cm="1">
        <f t="array" ref="AT4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1" s="84" cm="1">
        <f t="array" ref="AU4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41" s="84" cm="1">
        <f t="array" ref="AV4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1" s="84" cm="1">
        <f t="array" ref="AW4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1" s="84" cm="1">
        <f t="array" ref="AX4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1" s="84" cm="1">
        <f t="array" ref="AY4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1" s="84" cm="1">
        <f t="array" ref="AZ4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1" s="84" cm="1">
        <f t="array" ref="BA4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1" s="84" cm="1">
        <f t="array" ref="BB4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1" s="84">
        <f>IF(SUM(Table3[[#This Row],[Column2]:[Column18]])&gt;Table3[[#This Row],[Column19]],Table3[[#This Row],[Column19]],SUM(Table3[[#This Row],[Column2]:[Column18]]))</f>
        <v>50000</v>
      </c>
      <c r="BD441" s="2">
        <f>Table3[[#This Row],[Total Spend]]/SUM(Table3[[#This Row],[Column2]:[Column18]])</f>
        <v>0.49164208456243852</v>
      </c>
    </row>
    <row r="442" spans="1:56">
      <c r="A442" s="84" t="s">
        <v>516</v>
      </c>
      <c r="B442" s="84"/>
      <c r="C442" s="84"/>
      <c r="D442" s="85">
        <v>45566</v>
      </c>
      <c r="E442" s="85" t="s">
        <v>92</v>
      </c>
      <c r="F442" s="84">
        <f>INDEX(Definitions!$G$13:$G$17,MATCH(Table3[[#This Row],[Propensity to buy/ buyer readiness]],Definitions!$A$13:$A$17,0))</f>
        <v>50000</v>
      </c>
      <c r="G442" s="86">
        <v>5</v>
      </c>
      <c r="H442" s="86">
        <v>5</v>
      </c>
      <c r="I442" s="86">
        <v>2</v>
      </c>
      <c r="J442" s="86">
        <v>4</v>
      </c>
      <c r="K442" s="86">
        <v>3</v>
      </c>
      <c r="L442" s="86">
        <f>SUM(Table3[[#This Row],[Strategic priority segment]:[Propensity to buy/ buyer readiness]])</f>
        <v>19</v>
      </c>
      <c r="M442" s="86" t="s">
        <v>102</v>
      </c>
      <c r="N442" s="84" t="s">
        <v>61</v>
      </c>
      <c r="O442" s="84"/>
      <c r="P442" s="87"/>
      <c r="Q442" s="87"/>
      <c r="R442" s="84"/>
      <c r="S442" s="87"/>
      <c r="T442" s="87"/>
      <c r="U442" s="84">
        <v>1</v>
      </c>
      <c r="V442" s="84">
        <v>0</v>
      </c>
      <c r="W442" s="84">
        <v>0</v>
      </c>
      <c r="X442" s="84">
        <v>0</v>
      </c>
      <c r="Y442" s="84">
        <v>0</v>
      </c>
      <c r="Z442" s="84">
        <v>1</v>
      </c>
      <c r="AA442" s="84">
        <v>1</v>
      </c>
      <c r="AB442" s="84">
        <v>1</v>
      </c>
      <c r="AC442" s="84">
        <v>1</v>
      </c>
      <c r="AD442" s="84">
        <v>0</v>
      </c>
      <c r="AE442" s="84">
        <v>0</v>
      </c>
      <c r="AF442" s="84">
        <v>0</v>
      </c>
      <c r="AG442" s="84">
        <v>0</v>
      </c>
      <c r="AH442" s="84">
        <v>0</v>
      </c>
      <c r="AI442" s="84">
        <v>0</v>
      </c>
      <c r="AJ442" s="84">
        <v>0</v>
      </c>
      <c r="AK442" s="84">
        <v>0</v>
      </c>
      <c r="AL442" s="84" cm="1">
        <f t="array" ref="AL4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2" s="84" cm="1">
        <f t="array" ref="AM4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2" s="84" cm="1">
        <f t="array" ref="AN4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2" s="84" cm="1">
        <f t="array" ref="AO4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2" s="84" cm="1">
        <f t="array" ref="AP4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2" s="84" cm="1">
        <f t="array" ref="AQ4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2" s="84" cm="1">
        <f t="array" ref="AR4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2" s="84" cm="1">
        <f t="array" ref="AS4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2" s="84" cm="1">
        <f t="array" ref="AT4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2" s="84" cm="1">
        <f t="array" ref="AU4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42" s="84" cm="1">
        <f t="array" ref="AV4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2" s="84" cm="1">
        <f t="array" ref="AW4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2" s="84" cm="1">
        <f t="array" ref="AX4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2" s="84" cm="1">
        <f t="array" ref="AY4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2" s="84" cm="1">
        <f t="array" ref="AZ4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2" s="84" cm="1">
        <f t="array" ref="BA4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2" s="84" cm="1">
        <f t="array" ref="BB4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2" s="84">
        <f>IF(SUM(Table3[[#This Row],[Column2]:[Column18]])&gt;Table3[[#This Row],[Column19]],Table3[[#This Row],[Column19]],SUM(Table3[[#This Row],[Column2]:[Column18]]))</f>
        <v>50000</v>
      </c>
      <c r="BD442" s="2">
        <f>Table3[[#This Row],[Total Spend]]/SUM(Table3[[#This Row],[Column2]:[Column18]])</f>
        <v>0.49164208456243852</v>
      </c>
    </row>
    <row r="443" spans="1:56">
      <c r="A443" s="84" t="s">
        <v>517</v>
      </c>
      <c r="B443" s="84" t="s">
        <v>57</v>
      </c>
      <c r="C443" s="84"/>
      <c r="D443" s="85">
        <v>45566</v>
      </c>
      <c r="E443" s="85" t="s">
        <v>92</v>
      </c>
      <c r="F443" s="84">
        <f>INDEX(Definitions!$G$13:$G$17,MATCH(Table3[[#This Row],[Propensity to buy/ buyer readiness]],Definitions!$A$13:$A$17,0))</f>
        <v>50000</v>
      </c>
      <c r="G443" s="86">
        <v>4</v>
      </c>
      <c r="H443" s="86">
        <v>4</v>
      </c>
      <c r="I443" s="86">
        <v>4</v>
      </c>
      <c r="J443" s="86">
        <v>4</v>
      </c>
      <c r="K443" s="86">
        <v>3</v>
      </c>
      <c r="L443" s="86">
        <f>SUM(Table3[[#This Row],[Strategic priority segment]:[Propensity to buy/ buyer readiness]])</f>
        <v>19</v>
      </c>
      <c r="M443" s="86" t="s">
        <v>59</v>
      </c>
      <c r="N443" s="84" t="s">
        <v>63</v>
      </c>
      <c r="O443" s="84"/>
      <c r="P443" s="87"/>
      <c r="Q443" s="87"/>
      <c r="R443" s="84"/>
      <c r="S443" s="87"/>
      <c r="T443" s="87"/>
      <c r="U443" s="84">
        <v>1</v>
      </c>
      <c r="V443" s="84">
        <v>0</v>
      </c>
      <c r="W443" s="84">
        <v>1</v>
      </c>
      <c r="X443" s="84">
        <v>0</v>
      </c>
      <c r="Y443" s="84">
        <v>0</v>
      </c>
      <c r="Z443" s="84">
        <v>0</v>
      </c>
      <c r="AA443" s="84">
        <v>1</v>
      </c>
      <c r="AB443" s="84">
        <v>0</v>
      </c>
      <c r="AC443" s="84">
        <v>0</v>
      </c>
      <c r="AD443" s="84">
        <v>1</v>
      </c>
      <c r="AE443" s="84">
        <v>1</v>
      </c>
      <c r="AF443" s="84">
        <v>1</v>
      </c>
      <c r="AG443" s="84">
        <v>0</v>
      </c>
      <c r="AH443" s="84">
        <v>0</v>
      </c>
      <c r="AI443" s="84">
        <v>0</v>
      </c>
      <c r="AJ443" s="84">
        <v>0</v>
      </c>
      <c r="AK443" s="84">
        <v>0</v>
      </c>
      <c r="AL443" s="84" cm="1">
        <f t="array" ref="AL4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3" s="84" cm="1">
        <f t="array" ref="AM4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3" s="84" cm="1">
        <f t="array" ref="AN4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43" s="84" cm="1">
        <f t="array" ref="AO4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3" s="84" cm="1">
        <f t="array" ref="AP4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3" s="84" cm="1">
        <f t="array" ref="AQ4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43" s="84" cm="1">
        <f t="array" ref="AR4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3" s="84" cm="1">
        <f t="array" ref="AS4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43" s="84" cm="1">
        <f t="array" ref="AT4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43" s="84" cm="1">
        <f t="array" ref="AU4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43" s="84" cm="1">
        <f t="array" ref="AV4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43" s="84" cm="1">
        <f t="array" ref="AW4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43" s="84" cm="1">
        <f t="array" ref="AX4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3" s="84" cm="1">
        <f t="array" ref="AY4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3" s="84" cm="1">
        <f t="array" ref="AZ4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3" s="84" cm="1">
        <f t="array" ref="BA4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3" s="84" cm="1">
        <f t="array" ref="BB4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3" s="84">
        <f>IF(SUM(Table3[[#This Row],[Column2]:[Column18]])&gt;Table3[[#This Row],[Column19]],Table3[[#This Row],[Column19]],SUM(Table3[[#This Row],[Column2]:[Column18]]))</f>
        <v>50000</v>
      </c>
      <c r="BD443" s="2">
        <f>Table3[[#This Row],[Total Spend]]/SUM(Table3[[#This Row],[Column2]:[Column18]])</f>
        <v>0.36429872495446264</v>
      </c>
    </row>
    <row r="444" spans="1:56">
      <c r="A444" s="84" t="s">
        <v>518</v>
      </c>
      <c r="B444" s="84"/>
      <c r="C444" s="84"/>
      <c r="D444" s="85">
        <v>45566</v>
      </c>
      <c r="E444" s="85" t="s">
        <v>92</v>
      </c>
      <c r="F444" s="84">
        <f>INDEX(Definitions!$G$13:$G$17,MATCH(Table3[[#This Row],[Propensity to buy/ buyer readiness]],Definitions!$A$13:$A$17,0))</f>
        <v>50000</v>
      </c>
      <c r="G444" s="86">
        <v>5</v>
      </c>
      <c r="H444" s="86">
        <v>5</v>
      </c>
      <c r="I444" s="86">
        <v>2</v>
      </c>
      <c r="J444" s="86">
        <v>4</v>
      </c>
      <c r="K444" s="86">
        <v>3</v>
      </c>
      <c r="L444" s="86">
        <f>SUM(Table3[[#This Row],[Strategic priority segment]:[Propensity to buy/ buyer readiness]])</f>
        <v>19</v>
      </c>
      <c r="M444" s="86" t="s">
        <v>102</v>
      </c>
      <c r="N444" s="84" t="s">
        <v>61</v>
      </c>
      <c r="O444" s="87"/>
      <c r="P444" s="87"/>
      <c r="Q444" s="87"/>
      <c r="R444" s="84"/>
      <c r="S444" s="87"/>
      <c r="T444" s="87"/>
      <c r="U444" s="84">
        <v>1</v>
      </c>
      <c r="V444" s="84">
        <v>0</v>
      </c>
      <c r="W444" s="84">
        <v>0</v>
      </c>
      <c r="X444" s="84">
        <v>0</v>
      </c>
      <c r="Y444" s="84">
        <v>0</v>
      </c>
      <c r="Z444" s="84">
        <v>1</v>
      </c>
      <c r="AA444" s="84">
        <v>1</v>
      </c>
      <c r="AB444" s="84">
        <v>1</v>
      </c>
      <c r="AC444" s="84">
        <v>1</v>
      </c>
      <c r="AD444" s="84">
        <v>0</v>
      </c>
      <c r="AE444" s="84">
        <v>0</v>
      </c>
      <c r="AF444" s="84">
        <v>0</v>
      </c>
      <c r="AG444" s="84">
        <v>0</v>
      </c>
      <c r="AH444" s="84">
        <v>0</v>
      </c>
      <c r="AI444" s="84">
        <v>0</v>
      </c>
      <c r="AJ444" s="84">
        <v>0</v>
      </c>
      <c r="AK444" s="84">
        <v>0</v>
      </c>
      <c r="AL444" s="84" cm="1">
        <f t="array" ref="AL4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4" s="84" cm="1">
        <f t="array" ref="AM4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4" s="84" cm="1">
        <f t="array" ref="AN4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4" s="84" cm="1">
        <f t="array" ref="AO4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4" s="84" cm="1">
        <f t="array" ref="AP4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4" s="84" cm="1">
        <f t="array" ref="AQ4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4" s="84" cm="1">
        <f t="array" ref="AR4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4" s="84" cm="1">
        <f t="array" ref="AS4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4" s="84" cm="1">
        <f t="array" ref="AT4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4" s="84" cm="1">
        <f t="array" ref="AU4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44" s="84" cm="1">
        <f t="array" ref="AV4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4" s="84" cm="1">
        <f t="array" ref="AW4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4" s="84" cm="1">
        <f t="array" ref="AX4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4" s="84" cm="1">
        <f t="array" ref="AY4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4" s="84" cm="1">
        <f t="array" ref="AZ4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4" s="84" cm="1">
        <f t="array" ref="BA4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4" s="84" cm="1">
        <f t="array" ref="BB4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4" s="84">
        <f>IF(SUM(Table3[[#This Row],[Column2]:[Column18]])&gt;Table3[[#This Row],[Column19]],Table3[[#This Row],[Column19]],SUM(Table3[[#This Row],[Column2]:[Column18]]))</f>
        <v>50000</v>
      </c>
      <c r="BD444" s="2">
        <f>Table3[[#This Row],[Total Spend]]/SUM(Table3[[#This Row],[Column2]:[Column18]])</f>
        <v>0.49164208456243852</v>
      </c>
    </row>
    <row r="445" spans="1:56">
      <c r="A445" s="84" t="s">
        <v>519</v>
      </c>
      <c r="B445" s="84"/>
      <c r="C445" s="84"/>
      <c r="D445" s="85">
        <v>45566</v>
      </c>
      <c r="E445" s="85" t="s">
        <v>92</v>
      </c>
      <c r="F445" s="84">
        <f>INDEX(Definitions!$G$13:$G$17,MATCH(Table3[[#This Row],[Propensity to buy/ buyer readiness]],Definitions!$A$13:$A$17,0))</f>
        <v>50000</v>
      </c>
      <c r="G445" s="86">
        <v>5</v>
      </c>
      <c r="H445" s="86">
        <v>5</v>
      </c>
      <c r="I445" s="86">
        <v>2</v>
      </c>
      <c r="J445" s="86">
        <v>4</v>
      </c>
      <c r="K445" s="86">
        <v>3</v>
      </c>
      <c r="L445" s="86">
        <f>SUM(Table3[[#This Row],[Strategic priority segment]:[Propensity to buy/ buyer readiness]])</f>
        <v>19</v>
      </c>
      <c r="M445" s="86" t="s">
        <v>102</v>
      </c>
      <c r="N445" s="84" t="s">
        <v>61</v>
      </c>
      <c r="O445" s="84"/>
      <c r="P445" s="87"/>
      <c r="Q445" s="87"/>
      <c r="R445" s="84"/>
      <c r="S445" s="87"/>
      <c r="T445" s="87"/>
      <c r="U445" s="84">
        <v>1</v>
      </c>
      <c r="V445" s="84">
        <v>0</v>
      </c>
      <c r="W445" s="84">
        <v>0</v>
      </c>
      <c r="X445" s="84">
        <v>0</v>
      </c>
      <c r="Y445" s="84">
        <v>0</v>
      </c>
      <c r="Z445" s="84">
        <v>1</v>
      </c>
      <c r="AA445" s="84">
        <v>1</v>
      </c>
      <c r="AB445" s="84">
        <v>1</v>
      </c>
      <c r="AC445" s="84">
        <v>1</v>
      </c>
      <c r="AD445" s="84">
        <v>0</v>
      </c>
      <c r="AE445" s="84">
        <v>0</v>
      </c>
      <c r="AF445" s="84">
        <v>0</v>
      </c>
      <c r="AG445" s="84">
        <v>0</v>
      </c>
      <c r="AH445" s="84">
        <v>0</v>
      </c>
      <c r="AI445" s="84">
        <v>0</v>
      </c>
      <c r="AJ445" s="84">
        <v>0</v>
      </c>
      <c r="AK445" s="84">
        <v>0</v>
      </c>
      <c r="AL445" s="84" cm="1">
        <f t="array" ref="AL4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5" s="84" cm="1">
        <f t="array" ref="AM4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5" s="84" cm="1">
        <f t="array" ref="AN4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5" s="84" cm="1">
        <f t="array" ref="AO4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5" s="84" cm="1">
        <f t="array" ref="AP4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5" s="84" cm="1">
        <f t="array" ref="AQ4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5" s="84" cm="1">
        <f t="array" ref="AR4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5" s="84" cm="1">
        <f t="array" ref="AS4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5" s="84" cm="1">
        <f t="array" ref="AT4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5" s="84" cm="1">
        <f t="array" ref="AU4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45" s="84" cm="1">
        <f t="array" ref="AV4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5" s="84" cm="1">
        <f t="array" ref="AW4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5" s="84" cm="1">
        <f t="array" ref="AX4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5" s="84" cm="1">
        <f t="array" ref="AY4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5" s="84" cm="1">
        <f t="array" ref="AZ4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5" s="84" cm="1">
        <f t="array" ref="BA4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5" s="84" cm="1">
        <f t="array" ref="BB4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5" s="84">
        <f>IF(SUM(Table3[[#This Row],[Column2]:[Column18]])&gt;Table3[[#This Row],[Column19]],Table3[[#This Row],[Column19]],SUM(Table3[[#This Row],[Column2]:[Column18]]))</f>
        <v>50000</v>
      </c>
      <c r="BD445" s="2">
        <f>Table3[[#This Row],[Total Spend]]/SUM(Table3[[#This Row],[Column2]:[Column18]])</f>
        <v>0.49164208456243852</v>
      </c>
    </row>
    <row r="446" spans="1:56">
      <c r="A446" s="84" t="s">
        <v>520</v>
      </c>
      <c r="B446" s="84"/>
      <c r="C446" s="84"/>
      <c r="D446" s="85">
        <v>45809</v>
      </c>
      <c r="E446" s="85" t="s">
        <v>58</v>
      </c>
      <c r="F446" s="84">
        <f>INDEX(Definitions!$G$13:$G$17,MATCH(Table3[[#This Row],[Propensity to buy/ buyer readiness]],Definitions!$A$13:$A$17,0))</f>
        <v>150000</v>
      </c>
      <c r="G446" s="86">
        <v>5</v>
      </c>
      <c r="H446" s="86">
        <v>4</v>
      </c>
      <c r="I446" s="86">
        <v>3</v>
      </c>
      <c r="J446" s="86">
        <v>3</v>
      </c>
      <c r="K446" s="86">
        <v>4</v>
      </c>
      <c r="L446" s="86">
        <f>SUM(Table3[[#This Row],[Strategic priority segment]:[Propensity to buy/ buyer readiness]])</f>
        <v>19</v>
      </c>
      <c r="M446" s="86" t="s">
        <v>66</v>
      </c>
      <c r="N446" s="84" t="s">
        <v>62</v>
      </c>
      <c r="O446" s="84"/>
      <c r="P446" s="84"/>
      <c r="Q446" s="84"/>
      <c r="R446" s="84"/>
      <c r="S446" s="84"/>
      <c r="T446" s="87"/>
      <c r="U446" s="84">
        <v>1</v>
      </c>
      <c r="V446" s="84">
        <v>0</v>
      </c>
      <c r="W446" s="84">
        <v>0</v>
      </c>
      <c r="X446" s="84">
        <v>0</v>
      </c>
      <c r="Y446" s="84">
        <v>0</v>
      </c>
      <c r="Z446" s="84">
        <v>0</v>
      </c>
      <c r="AA446" s="84">
        <v>0</v>
      </c>
      <c r="AB446" s="84">
        <v>0</v>
      </c>
      <c r="AC446" s="84">
        <v>0</v>
      </c>
      <c r="AD446" s="84">
        <v>1</v>
      </c>
      <c r="AE446" s="84">
        <v>1</v>
      </c>
      <c r="AF446" s="84">
        <v>1</v>
      </c>
      <c r="AG446" s="84">
        <v>1</v>
      </c>
      <c r="AH446" s="84">
        <v>0</v>
      </c>
      <c r="AI446" s="84">
        <v>0</v>
      </c>
      <c r="AJ446" s="84">
        <v>0</v>
      </c>
      <c r="AK446" s="84">
        <v>0</v>
      </c>
      <c r="AL446" s="84" cm="1">
        <f t="array" ref="AL4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46" s="84" cm="1">
        <f t="array" ref="AM4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6" s="84" cm="1">
        <f t="array" ref="AN4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6" s="84" cm="1">
        <f t="array" ref="AO4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6" s="84" cm="1">
        <f t="array" ref="AP4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6" s="84" cm="1">
        <f t="array" ref="AQ4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46" s="84" cm="1">
        <f t="array" ref="AR4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46" s="84" cm="1">
        <f t="array" ref="AS4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46" s="84" cm="1">
        <f t="array" ref="AT4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46" s="84" cm="1">
        <f t="array" ref="AU4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46" s="84" cm="1">
        <f t="array" ref="AV4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46" s="84" cm="1">
        <f t="array" ref="AW4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46" s="84" cm="1">
        <f t="array" ref="AX4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446" s="84" cm="1">
        <f t="array" ref="AY4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6" s="84" cm="1">
        <f t="array" ref="AZ4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6" s="84" cm="1">
        <f t="array" ref="BA4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6" s="84" cm="1">
        <f t="array" ref="BB4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6" s="84">
        <f>IF(SUM(Table3[[#This Row],[Column2]:[Column18]])&gt;Table3[[#This Row],[Column19]],Table3[[#This Row],[Column19]],SUM(Table3[[#This Row],[Column2]:[Column18]]))</f>
        <v>131400</v>
      </c>
      <c r="BD446" s="2">
        <f>Table3[[#This Row],[Total Spend]]/SUM(Table3[[#This Row],[Column2]:[Column18]])</f>
        <v>1</v>
      </c>
    </row>
    <row r="447" spans="1:56">
      <c r="A447" s="84" t="s">
        <v>521</v>
      </c>
      <c r="B447" s="84"/>
      <c r="C447" s="84"/>
      <c r="D447" s="85">
        <v>45809</v>
      </c>
      <c r="E447" s="85" t="s">
        <v>92</v>
      </c>
      <c r="F447" s="84">
        <f>INDEX(Definitions!$G$13:$G$17,MATCH(Table3[[#This Row],[Propensity to buy/ buyer readiness]],Definitions!$A$13:$A$17,0))</f>
        <v>50000</v>
      </c>
      <c r="G447" s="86">
        <v>5</v>
      </c>
      <c r="H447" s="86">
        <v>5</v>
      </c>
      <c r="I447" s="86">
        <v>2</v>
      </c>
      <c r="J447" s="86">
        <v>4</v>
      </c>
      <c r="K447" s="86">
        <v>3</v>
      </c>
      <c r="L447" s="86">
        <f>SUM(Table3[[#This Row],[Strategic priority segment]:[Propensity to buy/ buyer readiness]])</f>
        <v>19</v>
      </c>
      <c r="M447" s="86" t="s">
        <v>102</v>
      </c>
      <c r="N447" s="84" t="s">
        <v>61</v>
      </c>
      <c r="O447" s="84"/>
      <c r="P447" s="87"/>
      <c r="Q447" s="87"/>
      <c r="R447" s="84"/>
      <c r="S447" s="84"/>
      <c r="T447" s="84"/>
      <c r="U447" s="84">
        <v>1</v>
      </c>
      <c r="V447" s="84">
        <v>0</v>
      </c>
      <c r="W447" s="84">
        <v>0</v>
      </c>
      <c r="X447" s="84">
        <v>0</v>
      </c>
      <c r="Y447" s="84">
        <v>0</v>
      </c>
      <c r="Z447" s="84">
        <v>1</v>
      </c>
      <c r="AA447" s="84">
        <v>1</v>
      </c>
      <c r="AB447" s="84">
        <v>1</v>
      </c>
      <c r="AC447" s="84">
        <v>1</v>
      </c>
      <c r="AD447" s="84">
        <v>0</v>
      </c>
      <c r="AE447" s="84">
        <v>0</v>
      </c>
      <c r="AF447" s="84">
        <v>0</v>
      </c>
      <c r="AG447" s="84">
        <v>0</v>
      </c>
      <c r="AH447" s="84">
        <v>0</v>
      </c>
      <c r="AI447" s="84">
        <v>0</v>
      </c>
      <c r="AJ447" s="84">
        <v>0</v>
      </c>
      <c r="AK447" s="84">
        <v>0</v>
      </c>
      <c r="AL447" s="84" cm="1">
        <f t="array" ref="AL4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7" s="84" cm="1">
        <f t="array" ref="AM4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7" s="84" cm="1">
        <f t="array" ref="AN4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7" s="84" cm="1">
        <f t="array" ref="AO4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7" s="84" cm="1">
        <f t="array" ref="AP4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7" s="84" cm="1">
        <f t="array" ref="AQ4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7" s="84" cm="1">
        <f t="array" ref="AR4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7" s="84" cm="1">
        <f t="array" ref="AS4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7" s="84" cm="1">
        <f t="array" ref="AT4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7" s="84" cm="1">
        <f t="array" ref="AU4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47" s="84" cm="1">
        <f t="array" ref="AV4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7" s="84" cm="1">
        <f t="array" ref="AW4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7" s="84" cm="1">
        <f t="array" ref="AX4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7" s="84" cm="1">
        <f t="array" ref="AY4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7" s="84" cm="1">
        <f t="array" ref="AZ4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7" s="84" cm="1">
        <f t="array" ref="BA4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7" s="84" cm="1">
        <f t="array" ref="BB4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7" s="84">
        <f>IF(SUM(Table3[[#This Row],[Column2]:[Column18]])&gt;Table3[[#This Row],[Column19]],Table3[[#This Row],[Column19]],SUM(Table3[[#This Row],[Column2]:[Column18]]))</f>
        <v>50000</v>
      </c>
      <c r="BD447" s="2">
        <f>Table3[[#This Row],[Total Spend]]/SUM(Table3[[#This Row],[Column2]:[Column18]])</f>
        <v>0.49164208456243852</v>
      </c>
    </row>
    <row r="448" spans="1:56">
      <c r="A448" s="84" t="s">
        <v>522</v>
      </c>
      <c r="B448" s="84" t="s">
        <v>57</v>
      </c>
      <c r="C448" s="84"/>
      <c r="D448" s="85">
        <v>45566</v>
      </c>
      <c r="E448" s="85" t="s">
        <v>92</v>
      </c>
      <c r="F448" s="84">
        <f>INDEX(Definitions!$G$13:$G$17,MATCH(Table3[[#This Row],[Propensity to buy/ buyer readiness]],Definitions!$A$13:$A$17,0))</f>
        <v>50000</v>
      </c>
      <c r="G448" s="86">
        <v>4</v>
      </c>
      <c r="H448" s="86">
        <v>4</v>
      </c>
      <c r="I448" s="86">
        <v>4</v>
      </c>
      <c r="J448" s="86">
        <v>4</v>
      </c>
      <c r="K448" s="86">
        <v>3</v>
      </c>
      <c r="L448" s="86">
        <f>SUM(Table3[[#This Row],[Strategic priority segment]:[Propensity to buy/ buyer readiness]])</f>
        <v>19</v>
      </c>
      <c r="M448" s="86" t="s">
        <v>59</v>
      </c>
      <c r="N448" s="84" t="s">
        <v>63</v>
      </c>
      <c r="O448" s="84"/>
      <c r="P448" s="87"/>
      <c r="Q448" s="87"/>
      <c r="R448" s="84"/>
      <c r="S448" s="87"/>
      <c r="T448" s="87"/>
      <c r="U448" s="84">
        <v>1</v>
      </c>
      <c r="V448" s="84">
        <v>0</v>
      </c>
      <c r="W448" s="84">
        <v>1</v>
      </c>
      <c r="X448" s="84">
        <v>0</v>
      </c>
      <c r="Y448" s="84">
        <v>0</v>
      </c>
      <c r="Z448" s="84">
        <v>0</v>
      </c>
      <c r="AA448" s="84">
        <v>1</v>
      </c>
      <c r="AB448" s="84">
        <v>0</v>
      </c>
      <c r="AC448" s="84">
        <v>0</v>
      </c>
      <c r="AD448" s="84">
        <v>1</v>
      </c>
      <c r="AE448" s="84">
        <v>1</v>
      </c>
      <c r="AF448" s="84">
        <v>1</v>
      </c>
      <c r="AG448" s="84">
        <v>0</v>
      </c>
      <c r="AH448" s="84">
        <v>0</v>
      </c>
      <c r="AI448" s="84">
        <v>0</v>
      </c>
      <c r="AJ448" s="84">
        <v>0</v>
      </c>
      <c r="AK448" s="84">
        <v>0</v>
      </c>
      <c r="AL448" s="84" cm="1">
        <f t="array" ref="AL4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8" s="84" cm="1">
        <f t="array" ref="AM4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8" s="84" cm="1">
        <f t="array" ref="AN4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48" s="84" cm="1">
        <f t="array" ref="AO4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8" s="84" cm="1">
        <f t="array" ref="AP4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8" s="84" cm="1">
        <f t="array" ref="AQ4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48" s="84" cm="1">
        <f t="array" ref="AR4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8" s="84" cm="1">
        <f t="array" ref="AS4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48" s="84" cm="1">
        <f t="array" ref="AT4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48" s="84" cm="1">
        <f t="array" ref="AU4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48" s="84" cm="1">
        <f t="array" ref="AV4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48" s="84" cm="1">
        <f t="array" ref="AW4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48" s="84" cm="1">
        <f t="array" ref="AX4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8" s="84" cm="1">
        <f t="array" ref="AY4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8" s="84" cm="1">
        <f t="array" ref="AZ4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8" s="84" cm="1">
        <f t="array" ref="BA4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8" s="84" cm="1">
        <f t="array" ref="BB4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8" s="84">
        <f>IF(SUM(Table3[[#This Row],[Column2]:[Column18]])&gt;Table3[[#This Row],[Column19]],Table3[[#This Row],[Column19]],SUM(Table3[[#This Row],[Column2]:[Column18]]))</f>
        <v>50000</v>
      </c>
      <c r="BD448" s="2">
        <f>Table3[[#This Row],[Total Spend]]/SUM(Table3[[#This Row],[Column2]:[Column18]])</f>
        <v>0.36429872495446264</v>
      </c>
    </row>
    <row r="449" spans="1:56">
      <c r="A449" s="87" t="s">
        <v>523</v>
      </c>
      <c r="B449" s="87"/>
      <c r="C449" s="87"/>
      <c r="D449" s="89">
        <v>45809</v>
      </c>
      <c r="E449" s="85" t="s">
        <v>92</v>
      </c>
      <c r="F449" s="84">
        <f>INDEX(Definitions!$G$13:$G$17,MATCH(Table3[[#This Row],[Propensity to buy/ buyer readiness]],Definitions!$A$13:$A$17,0))</f>
        <v>50000</v>
      </c>
      <c r="G449" s="86">
        <v>5</v>
      </c>
      <c r="H449" s="86">
        <v>5</v>
      </c>
      <c r="I449" s="86">
        <v>2</v>
      </c>
      <c r="J449" s="86">
        <v>4</v>
      </c>
      <c r="K449" s="90">
        <v>3</v>
      </c>
      <c r="L449" s="90">
        <f>SUM(Table3[[#This Row],[Strategic priority segment]:[Propensity to buy/ buyer readiness]])</f>
        <v>19</v>
      </c>
      <c r="M449" s="86" t="s">
        <v>102</v>
      </c>
      <c r="N449" s="84" t="s">
        <v>61</v>
      </c>
      <c r="O449" s="87"/>
      <c r="P449" s="87"/>
      <c r="Q449" s="87"/>
      <c r="R449" s="84"/>
      <c r="S449" s="87"/>
      <c r="T449" s="87"/>
      <c r="U449" s="84">
        <v>1</v>
      </c>
      <c r="V449" s="84">
        <v>0</v>
      </c>
      <c r="W449" s="84">
        <v>0</v>
      </c>
      <c r="X449" s="84">
        <v>0</v>
      </c>
      <c r="Y449" s="84">
        <v>0</v>
      </c>
      <c r="Z449" s="84">
        <v>1</v>
      </c>
      <c r="AA449" s="84">
        <v>1</v>
      </c>
      <c r="AB449" s="84">
        <v>1</v>
      </c>
      <c r="AC449" s="84">
        <v>1</v>
      </c>
      <c r="AD449" s="84">
        <v>0</v>
      </c>
      <c r="AE449" s="84">
        <v>0</v>
      </c>
      <c r="AF449" s="84">
        <v>0</v>
      </c>
      <c r="AG449" s="84">
        <v>0</v>
      </c>
      <c r="AH449" s="84">
        <v>0</v>
      </c>
      <c r="AI449" s="84">
        <v>0</v>
      </c>
      <c r="AJ449" s="84">
        <v>0</v>
      </c>
      <c r="AK449" s="84">
        <v>0</v>
      </c>
      <c r="AL449" s="84" cm="1">
        <f t="array" ref="AL4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49" s="84" cm="1">
        <f t="array" ref="AM4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49" s="84" cm="1">
        <f t="array" ref="AN4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49" s="84" cm="1">
        <f t="array" ref="AO4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49" s="84" cm="1">
        <f t="array" ref="AP4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49" s="84" cm="1">
        <f t="array" ref="AQ4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49" s="84" cm="1">
        <f t="array" ref="AR4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49" s="84" cm="1">
        <f t="array" ref="AS4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49" s="84" cm="1">
        <f t="array" ref="AT4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49" s="84" cm="1">
        <f t="array" ref="AU4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49" s="84" cm="1">
        <f t="array" ref="AV4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49" s="84" cm="1">
        <f t="array" ref="AW4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49" s="84" cm="1">
        <f t="array" ref="AX4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49" s="84" cm="1">
        <f t="array" ref="AY4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49" s="84" cm="1">
        <f t="array" ref="AZ4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49" s="84" cm="1">
        <f t="array" ref="BA4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49" s="84" cm="1">
        <f t="array" ref="BB4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49" s="84">
        <f>IF(SUM(Table3[[#This Row],[Column2]:[Column18]])&gt;Table3[[#This Row],[Column19]],Table3[[#This Row],[Column19]],SUM(Table3[[#This Row],[Column2]:[Column18]]))</f>
        <v>50000</v>
      </c>
      <c r="BD449" s="2">
        <f>Table3[[#This Row],[Total Spend]]/SUM(Table3[[#This Row],[Column2]:[Column18]])</f>
        <v>0.49164208456243852</v>
      </c>
    </row>
    <row r="450" spans="1:56">
      <c r="A450" s="84" t="s">
        <v>524</v>
      </c>
      <c r="B450" s="84"/>
      <c r="C450" s="84"/>
      <c r="D450" s="85">
        <v>45566</v>
      </c>
      <c r="E450" s="85" t="s">
        <v>92</v>
      </c>
      <c r="F450" s="84">
        <f>INDEX(Definitions!$G$13:$G$17,MATCH(Table3[[#This Row],[Propensity to buy/ buyer readiness]],Definitions!$A$13:$A$17,0))</f>
        <v>50000</v>
      </c>
      <c r="G450" s="86">
        <v>5</v>
      </c>
      <c r="H450" s="86">
        <v>5</v>
      </c>
      <c r="I450" s="86">
        <v>2</v>
      </c>
      <c r="J450" s="86">
        <v>4</v>
      </c>
      <c r="K450" s="86">
        <v>3</v>
      </c>
      <c r="L450" s="86">
        <f>SUM(Table3[[#This Row],[Strategic priority segment]:[Propensity to buy/ buyer readiness]])</f>
        <v>19</v>
      </c>
      <c r="M450" s="86" t="s">
        <v>102</v>
      </c>
      <c r="N450" s="84" t="s">
        <v>61</v>
      </c>
      <c r="O450" s="84"/>
      <c r="P450" s="87"/>
      <c r="Q450" s="87"/>
      <c r="R450" s="84"/>
      <c r="S450" s="87"/>
      <c r="T450" s="87"/>
      <c r="U450" s="84">
        <v>1</v>
      </c>
      <c r="V450" s="84">
        <v>0</v>
      </c>
      <c r="W450" s="84">
        <v>0</v>
      </c>
      <c r="X450" s="84">
        <v>0</v>
      </c>
      <c r="Y450" s="84">
        <v>0</v>
      </c>
      <c r="Z450" s="84">
        <v>1</v>
      </c>
      <c r="AA450" s="84">
        <v>1</v>
      </c>
      <c r="AB450" s="84">
        <v>1</v>
      </c>
      <c r="AC450" s="84">
        <v>1</v>
      </c>
      <c r="AD450" s="84">
        <v>0</v>
      </c>
      <c r="AE450" s="84">
        <v>0</v>
      </c>
      <c r="AF450" s="84">
        <v>0</v>
      </c>
      <c r="AG450" s="84">
        <v>0</v>
      </c>
      <c r="AH450" s="84">
        <v>0</v>
      </c>
      <c r="AI450" s="84">
        <v>0</v>
      </c>
      <c r="AJ450" s="84">
        <v>0</v>
      </c>
      <c r="AK450" s="84">
        <v>0</v>
      </c>
      <c r="AL450" s="84" cm="1">
        <f t="array" ref="AL4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0" s="84" cm="1">
        <f t="array" ref="AM4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0" s="84" cm="1">
        <f t="array" ref="AN4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0" s="84" cm="1">
        <f t="array" ref="AO4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0" s="84" cm="1">
        <f t="array" ref="AP4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0" s="84" cm="1">
        <f t="array" ref="AQ4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0" s="84" cm="1">
        <f t="array" ref="AR4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0" s="84" cm="1">
        <f t="array" ref="AS4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0" s="84" cm="1">
        <f t="array" ref="AT4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0" s="84" cm="1">
        <f t="array" ref="AU4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0" s="84" cm="1">
        <f t="array" ref="AV4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0" s="84" cm="1">
        <f t="array" ref="AW4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0" s="84" cm="1">
        <f t="array" ref="AX4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0" s="84" cm="1">
        <f t="array" ref="AY4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0" s="84" cm="1">
        <f t="array" ref="AZ4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0" s="84" cm="1">
        <f t="array" ref="BA4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0" s="84" cm="1">
        <f t="array" ref="BB4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0" s="84">
        <f>IF(SUM(Table3[[#This Row],[Column2]:[Column18]])&gt;Table3[[#This Row],[Column19]],Table3[[#This Row],[Column19]],SUM(Table3[[#This Row],[Column2]:[Column18]]))</f>
        <v>50000</v>
      </c>
      <c r="BD450" s="2">
        <f>Table3[[#This Row],[Total Spend]]/SUM(Table3[[#This Row],[Column2]:[Column18]])</f>
        <v>0.49164208456243852</v>
      </c>
    </row>
    <row r="451" spans="1:56">
      <c r="A451" s="84" t="s">
        <v>525</v>
      </c>
      <c r="B451" s="84"/>
      <c r="C451" s="84" t="s">
        <v>57</v>
      </c>
      <c r="D451" s="85">
        <v>45566</v>
      </c>
      <c r="E451" s="85" t="s">
        <v>92</v>
      </c>
      <c r="F451" s="84">
        <f>INDEX(Definitions!$G$13:$G$17,MATCH(Table3[[#This Row],[Propensity to buy/ buyer readiness]],Definitions!$A$13:$A$17,0))</f>
        <v>50000</v>
      </c>
      <c r="G451" s="86">
        <v>5</v>
      </c>
      <c r="H451" s="86">
        <v>4</v>
      </c>
      <c r="I451" s="86">
        <v>4</v>
      </c>
      <c r="J451" s="86">
        <v>3</v>
      </c>
      <c r="K451" s="86">
        <v>3</v>
      </c>
      <c r="L451" s="86">
        <f>SUM(Table3[[#This Row],[Strategic priority segment]:[Propensity to buy/ buyer readiness]])</f>
        <v>19</v>
      </c>
      <c r="M451" s="86" t="s">
        <v>66</v>
      </c>
      <c r="N451" s="84" t="s">
        <v>62</v>
      </c>
      <c r="O451" s="84"/>
      <c r="P451" s="87"/>
      <c r="Q451" s="87"/>
      <c r="R451" s="84"/>
      <c r="S451" s="87"/>
      <c r="T451" s="87"/>
      <c r="U451" s="84">
        <v>1</v>
      </c>
      <c r="V451" s="84">
        <v>0</v>
      </c>
      <c r="W451" s="84">
        <v>0</v>
      </c>
      <c r="X451" s="84">
        <v>0</v>
      </c>
      <c r="Y451" s="84">
        <v>0</v>
      </c>
      <c r="Z451" s="84">
        <v>0</v>
      </c>
      <c r="AA451" s="84">
        <v>0</v>
      </c>
      <c r="AB451" s="84">
        <v>0</v>
      </c>
      <c r="AC451" s="84">
        <v>0</v>
      </c>
      <c r="AD451" s="84">
        <v>1</v>
      </c>
      <c r="AE451" s="84">
        <v>1</v>
      </c>
      <c r="AF451" s="84">
        <v>1</v>
      </c>
      <c r="AG451" s="84">
        <v>1</v>
      </c>
      <c r="AH451" s="84">
        <v>0</v>
      </c>
      <c r="AI451" s="84">
        <v>0</v>
      </c>
      <c r="AJ451" s="84">
        <v>0</v>
      </c>
      <c r="AK451" s="84">
        <v>0</v>
      </c>
      <c r="AL451" s="84" cm="1">
        <f t="array" ref="AL4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1" s="84" cm="1">
        <f t="array" ref="AM4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1" s="84" cm="1">
        <f t="array" ref="AN4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1" s="84" cm="1">
        <f t="array" ref="AO4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1" s="84" cm="1">
        <f t="array" ref="AP4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1" s="84" cm="1">
        <f t="array" ref="AQ4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51" s="84" cm="1">
        <f t="array" ref="AR4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51" s="84" cm="1">
        <f t="array" ref="AS4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51" s="84" cm="1">
        <f t="array" ref="AT4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51" s="84" cm="1">
        <f t="array" ref="AU4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51" s="84" cm="1">
        <f t="array" ref="AV4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51" s="84" cm="1">
        <f t="array" ref="AW4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51" s="84" cm="1">
        <f t="array" ref="AX4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51" s="84" cm="1">
        <f t="array" ref="AY4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1" s="84" cm="1">
        <f t="array" ref="AZ4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1" s="84" cm="1">
        <f t="array" ref="BA4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1" s="84" cm="1">
        <f t="array" ref="BB4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1" s="84">
        <f>IF(SUM(Table3[[#This Row],[Column2]:[Column18]])&gt;Table3[[#This Row],[Column19]],Table3[[#This Row],[Column19]],SUM(Table3[[#This Row],[Column2]:[Column18]]))</f>
        <v>50000</v>
      </c>
      <c r="BD451" s="2">
        <f>Table3[[#This Row],[Total Spend]]/SUM(Table3[[#This Row],[Column2]:[Column18]])</f>
        <v>0.53163211057947901</v>
      </c>
    </row>
    <row r="452" spans="1:56">
      <c r="A452" s="88" t="s">
        <v>526</v>
      </c>
      <c r="B452" s="88"/>
      <c r="C452" s="88"/>
      <c r="D452" s="85">
        <v>45566</v>
      </c>
      <c r="E452" s="85" t="s">
        <v>58</v>
      </c>
      <c r="F452" s="84">
        <f>INDEX(Definitions!$G$13:$G$17,MATCH(Table3[[#This Row],[Propensity to buy/ buyer readiness]],Definitions!$A$13:$A$17,0))</f>
        <v>150000</v>
      </c>
      <c r="G452" s="86">
        <v>5</v>
      </c>
      <c r="H452" s="86">
        <v>4</v>
      </c>
      <c r="I452" s="86">
        <v>3</v>
      </c>
      <c r="J452" s="86">
        <v>3</v>
      </c>
      <c r="K452" s="86">
        <v>4</v>
      </c>
      <c r="L452" s="86">
        <f>SUM(Table3[[#This Row],[Strategic priority segment]:[Propensity to buy/ buyer readiness]])</f>
        <v>19</v>
      </c>
      <c r="M452" s="86" t="s">
        <v>66</v>
      </c>
      <c r="N452" s="84" t="s">
        <v>62</v>
      </c>
      <c r="O452" s="84"/>
      <c r="P452" s="87"/>
      <c r="Q452" s="87"/>
      <c r="R452" s="84"/>
      <c r="S452" s="87"/>
      <c r="T452" s="87"/>
      <c r="U452" s="84">
        <v>1</v>
      </c>
      <c r="V452" s="84">
        <v>0</v>
      </c>
      <c r="W452" s="84">
        <v>0</v>
      </c>
      <c r="X452" s="84">
        <v>0</v>
      </c>
      <c r="Y452" s="84">
        <v>0</v>
      </c>
      <c r="Z452" s="84">
        <v>0</v>
      </c>
      <c r="AA452" s="84">
        <v>0</v>
      </c>
      <c r="AB452" s="84">
        <v>0</v>
      </c>
      <c r="AC452" s="84">
        <v>0</v>
      </c>
      <c r="AD452" s="84">
        <v>1</v>
      </c>
      <c r="AE452" s="84">
        <v>1</v>
      </c>
      <c r="AF452" s="84">
        <v>1</v>
      </c>
      <c r="AG452" s="84">
        <v>1</v>
      </c>
      <c r="AH452" s="84">
        <v>0</v>
      </c>
      <c r="AI452" s="84">
        <v>0</v>
      </c>
      <c r="AJ452" s="84">
        <v>0</v>
      </c>
      <c r="AK452" s="84">
        <v>0</v>
      </c>
      <c r="AL452" s="84" cm="1">
        <f t="array" ref="AL4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52" s="84" cm="1">
        <f t="array" ref="AM4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2" s="84" cm="1">
        <f t="array" ref="AN4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2" s="84" cm="1">
        <f t="array" ref="AO4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2" s="84" cm="1">
        <f t="array" ref="AP4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2" s="84" cm="1">
        <f t="array" ref="AQ4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52" s="84" cm="1">
        <f t="array" ref="AR4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52" s="84" cm="1">
        <f t="array" ref="AS4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52" s="84" cm="1">
        <f t="array" ref="AT4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52" s="84" cm="1">
        <f t="array" ref="AU4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52" s="84" cm="1">
        <f t="array" ref="AV4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52" s="84" cm="1">
        <f t="array" ref="AW4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52" s="84" cm="1">
        <f t="array" ref="AX4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452" s="84" cm="1">
        <f t="array" ref="AY4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2" s="84" cm="1">
        <f t="array" ref="AZ4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2" s="84" cm="1">
        <f t="array" ref="BA4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2" s="84" cm="1">
        <f t="array" ref="BB4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2" s="84">
        <f>IF(SUM(Table3[[#This Row],[Column2]:[Column18]])&gt;Table3[[#This Row],[Column19]],Table3[[#This Row],[Column19]],SUM(Table3[[#This Row],[Column2]:[Column18]]))</f>
        <v>131400</v>
      </c>
      <c r="BD452" s="2">
        <f>Table3[[#This Row],[Total Spend]]/SUM(Table3[[#This Row],[Column2]:[Column18]])</f>
        <v>1</v>
      </c>
    </row>
    <row r="453" spans="1:56">
      <c r="A453" s="84" t="s">
        <v>527</v>
      </c>
      <c r="B453" s="84" t="s">
        <v>57</v>
      </c>
      <c r="C453" s="84"/>
      <c r="D453" s="85">
        <v>45566</v>
      </c>
      <c r="E453" s="85" t="s">
        <v>92</v>
      </c>
      <c r="F453" s="84">
        <f>INDEX(Definitions!$G$13:$G$17,MATCH(Table3[[#This Row],[Propensity to buy/ buyer readiness]],Definitions!$A$13:$A$17,0))</f>
        <v>50000</v>
      </c>
      <c r="G453" s="86">
        <v>4</v>
      </c>
      <c r="H453" s="86">
        <v>4</v>
      </c>
      <c r="I453" s="86">
        <v>4</v>
      </c>
      <c r="J453" s="86">
        <v>4</v>
      </c>
      <c r="K453" s="86">
        <v>3</v>
      </c>
      <c r="L453" s="86">
        <f>SUM(Table3[[#This Row],[Strategic priority segment]:[Propensity to buy/ buyer readiness]])</f>
        <v>19</v>
      </c>
      <c r="M453" s="86" t="s">
        <v>59</v>
      </c>
      <c r="N453" s="84" t="s">
        <v>63</v>
      </c>
      <c r="O453" s="84" t="s">
        <v>62</v>
      </c>
      <c r="P453" s="87" t="s">
        <v>144</v>
      </c>
      <c r="Q453" s="87"/>
      <c r="R453" s="84"/>
      <c r="S453" s="87"/>
      <c r="T453" s="87"/>
      <c r="U453" s="84">
        <v>1</v>
      </c>
      <c r="V453" s="84">
        <v>0</v>
      </c>
      <c r="W453" s="84">
        <v>1</v>
      </c>
      <c r="X453" s="84">
        <v>0</v>
      </c>
      <c r="Y453" s="84">
        <v>0</v>
      </c>
      <c r="Z453" s="84">
        <v>0</v>
      </c>
      <c r="AA453" s="84">
        <v>1</v>
      </c>
      <c r="AB453" s="84">
        <v>0</v>
      </c>
      <c r="AC453" s="84">
        <v>0</v>
      </c>
      <c r="AD453" s="84">
        <v>1</v>
      </c>
      <c r="AE453" s="84">
        <v>1</v>
      </c>
      <c r="AF453" s="84">
        <v>1</v>
      </c>
      <c r="AG453" s="84">
        <v>1</v>
      </c>
      <c r="AH453" s="84">
        <v>0</v>
      </c>
      <c r="AI453" s="84">
        <v>0</v>
      </c>
      <c r="AJ453" s="84">
        <v>1</v>
      </c>
      <c r="AK453" s="84">
        <v>0</v>
      </c>
      <c r="AL453" s="84" cm="1">
        <f t="array" ref="AL4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3" s="84" cm="1">
        <f t="array" ref="AM4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3" s="84" cm="1">
        <f t="array" ref="AN4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453" s="84" cm="1">
        <f t="array" ref="AO4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3" s="84" cm="1">
        <f t="array" ref="AP4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3" s="84" cm="1">
        <f t="array" ref="AQ4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53" s="84" cm="1">
        <f t="array" ref="AR4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3" s="84" cm="1">
        <f t="array" ref="AS4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53" s="84" cm="1">
        <f t="array" ref="AT4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53" s="84" cm="1">
        <f t="array" ref="AU4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53" s="84" cm="1">
        <f t="array" ref="AV4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53" s="84" cm="1">
        <f t="array" ref="AW4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53" s="84" cm="1">
        <f t="array" ref="AX4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53" s="84" cm="1">
        <f t="array" ref="AY4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3" s="84" cm="1">
        <f t="array" ref="AZ4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3" s="84" cm="1">
        <f t="array" ref="BA4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453" s="84" cm="1">
        <f t="array" ref="BB4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3" s="84">
        <f>IF(SUM(Table3[[#This Row],[Column2]:[Column18]])&gt;Table3[[#This Row],[Column19]],Table3[[#This Row],[Column19]],SUM(Table3[[#This Row],[Column2]:[Column18]]))</f>
        <v>50000</v>
      </c>
      <c r="BD453" s="2">
        <f>Table3[[#This Row],[Total Spend]]/SUM(Table3[[#This Row],[Column2]:[Column18]])</f>
        <v>0.27434842249657065</v>
      </c>
    </row>
    <row r="454" spans="1:56">
      <c r="A454" s="84" t="s">
        <v>528</v>
      </c>
      <c r="B454" s="84"/>
      <c r="C454" s="84"/>
      <c r="D454" s="85">
        <v>45566</v>
      </c>
      <c r="E454" s="85" t="s">
        <v>92</v>
      </c>
      <c r="F454" s="84">
        <f>INDEX(Definitions!$G$13:$G$17,MATCH(Table3[[#This Row],[Propensity to buy/ buyer readiness]],Definitions!$A$13:$A$17,0))</f>
        <v>50000</v>
      </c>
      <c r="G454" s="86">
        <v>5</v>
      </c>
      <c r="H454" s="86">
        <v>5</v>
      </c>
      <c r="I454" s="86">
        <v>2</v>
      </c>
      <c r="J454" s="86">
        <v>4</v>
      </c>
      <c r="K454" s="86">
        <v>3</v>
      </c>
      <c r="L454" s="86">
        <f>SUM(Table3[[#This Row],[Strategic priority segment]:[Propensity to buy/ buyer readiness]])</f>
        <v>19</v>
      </c>
      <c r="M454" s="86" t="s">
        <v>102</v>
      </c>
      <c r="N454" s="84" t="s">
        <v>61</v>
      </c>
      <c r="O454" s="84"/>
      <c r="P454" s="87"/>
      <c r="Q454" s="87"/>
      <c r="R454" s="84"/>
      <c r="S454" s="87"/>
      <c r="T454" s="87"/>
      <c r="U454" s="84">
        <v>1</v>
      </c>
      <c r="V454" s="84">
        <v>0</v>
      </c>
      <c r="W454" s="84">
        <v>0</v>
      </c>
      <c r="X454" s="84">
        <v>0</v>
      </c>
      <c r="Y454" s="84">
        <v>0</v>
      </c>
      <c r="Z454" s="84">
        <v>1</v>
      </c>
      <c r="AA454" s="84">
        <v>1</v>
      </c>
      <c r="AB454" s="84">
        <v>1</v>
      </c>
      <c r="AC454" s="84">
        <v>1</v>
      </c>
      <c r="AD454" s="84">
        <v>0</v>
      </c>
      <c r="AE454" s="84">
        <v>0</v>
      </c>
      <c r="AF454" s="84">
        <v>0</v>
      </c>
      <c r="AG454" s="84">
        <v>0</v>
      </c>
      <c r="AH454" s="84">
        <v>0</v>
      </c>
      <c r="AI454" s="84">
        <v>0</v>
      </c>
      <c r="AJ454" s="84">
        <v>0</v>
      </c>
      <c r="AK454" s="84">
        <v>0</v>
      </c>
      <c r="AL454" s="84" cm="1">
        <f t="array" ref="AL4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4" s="84" cm="1">
        <f t="array" ref="AM4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4" s="84" cm="1">
        <f t="array" ref="AN4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4" s="84" cm="1">
        <f t="array" ref="AO4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4" s="84" cm="1">
        <f t="array" ref="AP4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4" s="84" cm="1">
        <f t="array" ref="AQ4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4" s="84" cm="1">
        <f t="array" ref="AR4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4" s="84" cm="1">
        <f t="array" ref="AS4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4" s="84" cm="1">
        <f t="array" ref="AT4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4" s="84" cm="1">
        <f t="array" ref="AU4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4" s="84" cm="1">
        <f t="array" ref="AV4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4" s="84" cm="1">
        <f t="array" ref="AW4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4" s="84" cm="1">
        <f t="array" ref="AX4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4" s="84" cm="1">
        <f t="array" ref="AY4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4" s="84" cm="1">
        <f t="array" ref="AZ4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4" s="84" cm="1">
        <f t="array" ref="BA4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4" s="84" cm="1">
        <f t="array" ref="BB4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4" s="84">
        <f>IF(SUM(Table3[[#This Row],[Column2]:[Column18]])&gt;Table3[[#This Row],[Column19]],Table3[[#This Row],[Column19]],SUM(Table3[[#This Row],[Column2]:[Column18]]))</f>
        <v>50000</v>
      </c>
      <c r="BD454" s="2">
        <f>Table3[[#This Row],[Total Spend]]/SUM(Table3[[#This Row],[Column2]:[Column18]])</f>
        <v>0.49164208456243852</v>
      </c>
    </row>
    <row r="455" spans="1:56">
      <c r="A455" s="88" t="s">
        <v>529</v>
      </c>
      <c r="B455" s="88"/>
      <c r="C455" s="88"/>
      <c r="D455" s="85">
        <v>45566</v>
      </c>
      <c r="E455" s="85" t="s">
        <v>92</v>
      </c>
      <c r="F455" s="84">
        <f>INDEX(Definitions!$G$13:$G$17,MATCH(Table3[[#This Row],[Propensity to buy/ buyer readiness]],Definitions!$A$13:$A$17,0))</f>
        <v>50000</v>
      </c>
      <c r="G455" s="86">
        <v>5</v>
      </c>
      <c r="H455" s="86">
        <v>5</v>
      </c>
      <c r="I455" s="86">
        <v>2</v>
      </c>
      <c r="J455" s="86">
        <v>4</v>
      </c>
      <c r="K455" s="86">
        <v>3</v>
      </c>
      <c r="L455" s="86">
        <f>SUM(Table3[[#This Row],[Strategic priority segment]:[Propensity to buy/ buyer readiness]])</f>
        <v>19</v>
      </c>
      <c r="M455" s="86" t="s">
        <v>102</v>
      </c>
      <c r="N455" s="84" t="s">
        <v>61</v>
      </c>
      <c r="O455" s="84"/>
      <c r="P455" s="87"/>
      <c r="Q455" s="87"/>
      <c r="R455" s="84"/>
      <c r="S455" s="87"/>
      <c r="T455" s="87"/>
      <c r="U455" s="84">
        <v>1</v>
      </c>
      <c r="V455" s="84">
        <v>0</v>
      </c>
      <c r="W455" s="84">
        <v>0</v>
      </c>
      <c r="X455" s="84">
        <v>0</v>
      </c>
      <c r="Y455" s="84">
        <v>0</v>
      </c>
      <c r="Z455" s="84">
        <v>1</v>
      </c>
      <c r="AA455" s="84">
        <v>1</v>
      </c>
      <c r="AB455" s="84">
        <v>1</v>
      </c>
      <c r="AC455" s="84">
        <v>1</v>
      </c>
      <c r="AD455" s="84">
        <v>0</v>
      </c>
      <c r="AE455" s="84">
        <v>0</v>
      </c>
      <c r="AF455" s="84">
        <v>0</v>
      </c>
      <c r="AG455" s="84">
        <v>0</v>
      </c>
      <c r="AH455" s="84">
        <v>0</v>
      </c>
      <c r="AI455" s="84">
        <v>0</v>
      </c>
      <c r="AJ455" s="84">
        <v>0</v>
      </c>
      <c r="AK455" s="84">
        <v>0</v>
      </c>
      <c r="AL455" s="84" cm="1">
        <f t="array" ref="AL4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5" s="84" cm="1">
        <f t="array" ref="AM4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5" s="84" cm="1">
        <f t="array" ref="AN4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5" s="84" cm="1">
        <f t="array" ref="AO4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5" s="84" cm="1">
        <f t="array" ref="AP4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5" s="84" cm="1">
        <f t="array" ref="AQ4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5" s="84" cm="1">
        <f t="array" ref="AR4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5" s="84" cm="1">
        <f t="array" ref="AS4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5" s="84" cm="1">
        <f t="array" ref="AT4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5" s="84" cm="1">
        <f t="array" ref="AU4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5" s="84" cm="1">
        <f t="array" ref="AV4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5" s="84" cm="1">
        <f t="array" ref="AW4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5" s="84" cm="1">
        <f t="array" ref="AX4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5" s="84" cm="1">
        <f t="array" ref="AY4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5" s="84" cm="1">
        <f t="array" ref="AZ4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5" s="84" cm="1">
        <f t="array" ref="BA4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5" s="84" cm="1">
        <f t="array" ref="BB4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5" s="84">
        <f>IF(SUM(Table3[[#This Row],[Column2]:[Column18]])&gt;Table3[[#This Row],[Column19]],Table3[[#This Row],[Column19]],SUM(Table3[[#This Row],[Column2]:[Column18]]))</f>
        <v>50000</v>
      </c>
      <c r="BD455" s="2">
        <f>Table3[[#This Row],[Total Spend]]/SUM(Table3[[#This Row],[Column2]:[Column18]])</f>
        <v>0.49164208456243852</v>
      </c>
    </row>
    <row r="456" spans="1:56">
      <c r="A456" s="84" t="s">
        <v>530</v>
      </c>
      <c r="B456" s="84"/>
      <c r="C456" s="84"/>
      <c r="D456" s="85">
        <v>45566</v>
      </c>
      <c r="E456" s="85" t="s">
        <v>92</v>
      </c>
      <c r="F456" s="84">
        <f>INDEX(Definitions!$G$13:$G$17,MATCH(Table3[[#This Row],[Propensity to buy/ buyer readiness]],Definitions!$A$13:$A$17,0))</f>
        <v>50000</v>
      </c>
      <c r="G456" s="86">
        <v>5</v>
      </c>
      <c r="H456" s="86">
        <v>5</v>
      </c>
      <c r="I456" s="86">
        <v>2</v>
      </c>
      <c r="J456" s="86">
        <v>4</v>
      </c>
      <c r="K456" s="86">
        <v>3</v>
      </c>
      <c r="L456" s="86">
        <f>SUM(Table3[[#This Row],[Strategic priority segment]:[Propensity to buy/ buyer readiness]])</f>
        <v>19</v>
      </c>
      <c r="M456" s="86" t="s">
        <v>102</v>
      </c>
      <c r="N456" s="84" t="s">
        <v>61</v>
      </c>
      <c r="O456" s="84" t="s">
        <v>62</v>
      </c>
      <c r="P456" s="87"/>
      <c r="Q456" s="87"/>
      <c r="R456" s="84"/>
      <c r="S456" s="87"/>
      <c r="T456" s="87"/>
      <c r="U456" s="84">
        <v>1</v>
      </c>
      <c r="V456" s="84">
        <v>0</v>
      </c>
      <c r="W456" s="84">
        <v>0</v>
      </c>
      <c r="X456" s="84">
        <v>0</v>
      </c>
      <c r="Y456" s="84">
        <v>0</v>
      </c>
      <c r="Z456" s="84">
        <v>1</v>
      </c>
      <c r="AA456" s="84">
        <v>1</v>
      </c>
      <c r="AB456" s="84">
        <v>1</v>
      </c>
      <c r="AC456" s="84">
        <v>1</v>
      </c>
      <c r="AD456" s="84">
        <v>1</v>
      </c>
      <c r="AE456" s="84">
        <v>1</v>
      </c>
      <c r="AF456" s="84">
        <v>1</v>
      </c>
      <c r="AG456" s="84">
        <v>1</v>
      </c>
      <c r="AH456" s="84">
        <v>0</v>
      </c>
      <c r="AI456" s="84">
        <v>0</v>
      </c>
      <c r="AJ456" s="84">
        <v>0</v>
      </c>
      <c r="AK456" s="84">
        <v>0</v>
      </c>
      <c r="AL456" s="84" cm="1">
        <f t="array" ref="AL4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6" s="84" cm="1">
        <f t="array" ref="AM4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6" s="84" cm="1">
        <f t="array" ref="AN4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6" s="84" cm="1">
        <f t="array" ref="AO4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6" s="84" cm="1">
        <f t="array" ref="AP4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6" s="84" cm="1">
        <f t="array" ref="AQ4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6" s="84" cm="1">
        <f t="array" ref="AR4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6" s="84" cm="1">
        <f t="array" ref="AS4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6" s="84" cm="1">
        <f t="array" ref="AT4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6" s="84" cm="1">
        <f t="array" ref="AU4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56" s="84" cm="1">
        <f t="array" ref="AV4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56" s="84" cm="1">
        <f t="array" ref="AW4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56" s="84" cm="1">
        <f t="array" ref="AX4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56" s="84" cm="1">
        <f t="array" ref="AY4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6" s="84" cm="1">
        <f t="array" ref="AZ4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6" s="84" cm="1">
        <f t="array" ref="BA4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6" s="84" cm="1">
        <f t="array" ref="BB4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6" s="84">
        <f>IF(SUM(Table3[[#This Row],[Column2]:[Column18]])&gt;Table3[[#This Row],[Column19]],Table3[[#This Row],[Column19]],SUM(Table3[[#This Row],[Column2]:[Column18]]))</f>
        <v>50000</v>
      </c>
      <c r="BD456" s="2">
        <f>Table3[[#This Row],[Total Spend]]/SUM(Table3[[#This Row],[Column2]:[Column18]])</f>
        <v>0.2664535038635758</v>
      </c>
    </row>
    <row r="457" spans="1:56">
      <c r="A457" s="84" t="s">
        <v>531</v>
      </c>
      <c r="B457" s="84"/>
      <c r="C457" s="84"/>
      <c r="D457" s="85">
        <v>45566</v>
      </c>
      <c r="E457" s="85" t="s">
        <v>92</v>
      </c>
      <c r="F457" s="84">
        <f>INDEX(Definitions!$G$13:$G$17,MATCH(Table3[[#This Row],[Propensity to buy/ buyer readiness]],Definitions!$A$13:$A$17,0))</f>
        <v>50000</v>
      </c>
      <c r="G457" s="86">
        <v>5</v>
      </c>
      <c r="H457" s="86">
        <v>5</v>
      </c>
      <c r="I457" s="86">
        <v>2</v>
      </c>
      <c r="J457" s="86">
        <v>4</v>
      </c>
      <c r="K457" s="86">
        <v>3</v>
      </c>
      <c r="L457" s="86">
        <f>SUM(Table3[[#This Row],[Strategic priority segment]:[Propensity to buy/ buyer readiness]])</f>
        <v>19</v>
      </c>
      <c r="M457" s="86" t="s">
        <v>102</v>
      </c>
      <c r="N457" s="84" t="s">
        <v>61</v>
      </c>
      <c r="O457" s="84"/>
      <c r="P457" s="87"/>
      <c r="Q457" s="87"/>
      <c r="R457" s="84"/>
      <c r="S457" s="87"/>
      <c r="T457" s="87"/>
      <c r="U457" s="84">
        <v>1</v>
      </c>
      <c r="V457" s="84">
        <v>0</v>
      </c>
      <c r="W457" s="84">
        <v>0</v>
      </c>
      <c r="X457" s="84">
        <v>0</v>
      </c>
      <c r="Y457" s="84">
        <v>0</v>
      </c>
      <c r="Z457" s="84">
        <v>1</v>
      </c>
      <c r="AA457" s="84">
        <v>1</v>
      </c>
      <c r="AB457" s="84">
        <v>1</v>
      </c>
      <c r="AC457" s="84">
        <v>1</v>
      </c>
      <c r="AD457" s="84">
        <v>0</v>
      </c>
      <c r="AE457" s="84">
        <v>0</v>
      </c>
      <c r="AF457" s="84">
        <v>0</v>
      </c>
      <c r="AG457" s="84">
        <v>0</v>
      </c>
      <c r="AH457" s="84">
        <v>0</v>
      </c>
      <c r="AI457" s="84">
        <v>0</v>
      </c>
      <c r="AJ457" s="84">
        <v>0</v>
      </c>
      <c r="AK457" s="84">
        <v>0</v>
      </c>
      <c r="AL457" s="84" cm="1">
        <f t="array" ref="AL4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7" s="84" cm="1">
        <f t="array" ref="AM4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7" s="84" cm="1">
        <f t="array" ref="AN4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7" s="84" cm="1">
        <f t="array" ref="AO4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7" s="84" cm="1">
        <f t="array" ref="AP4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7" s="84" cm="1">
        <f t="array" ref="AQ4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7" s="84" cm="1">
        <f t="array" ref="AR4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7" s="84" cm="1">
        <f t="array" ref="AS4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7" s="84" cm="1">
        <f t="array" ref="AT4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7" s="84" cm="1">
        <f t="array" ref="AU4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7" s="84" cm="1">
        <f t="array" ref="AV4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7" s="84" cm="1">
        <f t="array" ref="AW4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7" s="84" cm="1">
        <f t="array" ref="AX4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7" s="84" cm="1">
        <f t="array" ref="AY4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7" s="84" cm="1">
        <f t="array" ref="AZ4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7" s="84" cm="1">
        <f t="array" ref="BA4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7" s="84" cm="1">
        <f t="array" ref="BB4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7" s="84">
        <f>IF(SUM(Table3[[#This Row],[Column2]:[Column18]])&gt;Table3[[#This Row],[Column19]],Table3[[#This Row],[Column19]],SUM(Table3[[#This Row],[Column2]:[Column18]]))</f>
        <v>50000</v>
      </c>
      <c r="BD457" s="2">
        <f>Table3[[#This Row],[Total Spend]]/SUM(Table3[[#This Row],[Column2]:[Column18]])</f>
        <v>0.49164208456243852</v>
      </c>
    </row>
    <row r="458" spans="1:56">
      <c r="A458" s="84" t="s">
        <v>532</v>
      </c>
      <c r="B458" s="84"/>
      <c r="C458" s="84"/>
      <c r="D458" s="85">
        <v>45809</v>
      </c>
      <c r="E458" s="85" t="s">
        <v>92</v>
      </c>
      <c r="F458" s="84">
        <f>INDEX(Definitions!$G$13:$G$17,MATCH(Table3[[#This Row],[Propensity to buy/ buyer readiness]],Definitions!$A$13:$A$17,0))</f>
        <v>50000</v>
      </c>
      <c r="G458" s="86">
        <v>5</v>
      </c>
      <c r="H458" s="86">
        <v>5</v>
      </c>
      <c r="I458" s="86">
        <v>2</v>
      </c>
      <c r="J458" s="86">
        <v>4</v>
      </c>
      <c r="K458" s="86">
        <v>3</v>
      </c>
      <c r="L458" s="86">
        <f>SUM(Table3[[#This Row],[Strategic priority segment]:[Propensity to buy/ buyer readiness]])</f>
        <v>19</v>
      </c>
      <c r="M458" s="86" t="s">
        <v>102</v>
      </c>
      <c r="N458" s="84" t="s">
        <v>61</v>
      </c>
      <c r="O458" s="84"/>
      <c r="P458" s="87"/>
      <c r="Q458" s="87"/>
      <c r="R458" s="84"/>
      <c r="S458" s="87"/>
      <c r="T458" s="87"/>
      <c r="U458" s="84">
        <v>1</v>
      </c>
      <c r="V458" s="84">
        <v>0</v>
      </c>
      <c r="W458" s="84">
        <v>0</v>
      </c>
      <c r="X458" s="84">
        <v>0</v>
      </c>
      <c r="Y458" s="84">
        <v>0</v>
      </c>
      <c r="Z458" s="84">
        <v>1</v>
      </c>
      <c r="AA458" s="84">
        <v>1</v>
      </c>
      <c r="AB458" s="84">
        <v>1</v>
      </c>
      <c r="AC458" s="84">
        <v>1</v>
      </c>
      <c r="AD458" s="84">
        <v>0</v>
      </c>
      <c r="AE458" s="84">
        <v>0</v>
      </c>
      <c r="AF458" s="84">
        <v>0</v>
      </c>
      <c r="AG458" s="84">
        <v>0</v>
      </c>
      <c r="AH458" s="84">
        <v>0</v>
      </c>
      <c r="AI458" s="84">
        <v>0</v>
      </c>
      <c r="AJ458" s="84">
        <v>0</v>
      </c>
      <c r="AK458" s="84">
        <v>0</v>
      </c>
      <c r="AL458" s="84" cm="1">
        <f t="array" ref="AL4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8" s="84" cm="1">
        <f t="array" ref="AM4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8" s="84" cm="1">
        <f t="array" ref="AN4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8" s="84" cm="1">
        <f t="array" ref="AO4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8" s="84" cm="1">
        <f t="array" ref="AP4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8" s="84" cm="1">
        <f t="array" ref="AQ4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8" s="84" cm="1">
        <f t="array" ref="AR4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8" s="84" cm="1">
        <f t="array" ref="AS4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8" s="84" cm="1">
        <f t="array" ref="AT4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8" s="84" cm="1">
        <f t="array" ref="AU4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8" s="84" cm="1">
        <f t="array" ref="AV4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8" s="84" cm="1">
        <f t="array" ref="AW4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8" s="84" cm="1">
        <f t="array" ref="AX4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8" s="84" cm="1">
        <f t="array" ref="AY4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58" s="84" cm="1">
        <f t="array" ref="AZ4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58" s="84" cm="1">
        <f t="array" ref="BA4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58" s="84" cm="1">
        <f t="array" ref="BB4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58" s="84">
        <f>IF(SUM(Table3[[#This Row],[Column2]:[Column18]])&gt;Table3[[#This Row],[Column19]],Table3[[#This Row],[Column19]],SUM(Table3[[#This Row],[Column2]:[Column18]]))</f>
        <v>50000</v>
      </c>
      <c r="BD458" s="2">
        <f>Table3[[#This Row],[Total Spend]]/SUM(Table3[[#This Row],[Column2]:[Column18]])</f>
        <v>0.49164208456243852</v>
      </c>
    </row>
    <row r="459" spans="1:56">
      <c r="A459" s="84" t="s">
        <v>533</v>
      </c>
      <c r="B459" s="84"/>
      <c r="C459" s="84"/>
      <c r="D459" s="85">
        <v>45809</v>
      </c>
      <c r="E459" s="85" t="s">
        <v>92</v>
      </c>
      <c r="F459" s="84">
        <f>INDEX(Definitions!$G$13:$G$17,MATCH(Table3[[#This Row],[Propensity to buy/ buyer readiness]],Definitions!$A$13:$A$17,0))</f>
        <v>50000</v>
      </c>
      <c r="G459" s="86">
        <v>5</v>
      </c>
      <c r="H459" s="86">
        <v>5</v>
      </c>
      <c r="I459" s="86">
        <v>2</v>
      </c>
      <c r="J459" s="86">
        <v>4</v>
      </c>
      <c r="K459" s="86">
        <v>3</v>
      </c>
      <c r="L459" s="86">
        <f>SUM(Table3[[#This Row],[Strategic priority segment]:[Propensity to buy/ buyer readiness]])</f>
        <v>19</v>
      </c>
      <c r="M459" s="86" t="s">
        <v>102</v>
      </c>
      <c r="N459" s="84" t="s">
        <v>61</v>
      </c>
      <c r="O459" s="84" t="s">
        <v>135</v>
      </c>
      <c r="P459" s="87"/>
      <c r="Q459" s="87"/>
      <c r="R459" s="84"/>
      <c r="S459" s="87"/>
      <c r="T459" s="87"/>
      <c r="U459" s="84">
        <v>1</v>
      </c>
      <c r="V459" s="84">
        <v>0</v>
      </c>
      <c r="W459" s="84">
        <v>0</v>
      </c>
      <c r="X459" s="84">
        <v>0</v>
      </c>
      <c r="Y459" s="84">
        <v>0</v>
      </c>
      <c r="Z459" s="84">
        <v>1</v>
      </c>
      <c r="AA459" s="84">
        <v>1</v>
      </c>
      <c r="AB459" s="84">
        <v>1</v>
      </c>
      <c r="AC459" s="84">
        <v>1</v>
      </c>
      <c r="AD459" s="84">
        <v>0</v>
      </c>
      <c r="AE459" s="84">
        <v>0</v>
      </c>
      <c r="AF459" s="84">
        <v>0</v>
      </c>
      <c r="AG459" s="84">
        <v>0</v>
      </c>
      <c r="AH459" s="84">
        <v>1</v>
      </c>
      <c r="AI459" s="84">
        <v>1</v>
      </c>
      <c r="AJ459" s="84">
        <v>1</v>
      </c>
      <c r="AK459" s="84">
        <v>1</v>
      </c>
      <c r="AL459" s="84" cm="1">
        <f t="array" ref="AL4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59" s="84" cm="1">
        <f t="array" ref="AM4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59" s="84" cm="1">
        <f t="array" ref="AN4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59" s="84" cm="1">
        <f t="array" ref="AO4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59" s="84" cm="1">
        <f t="array" ref="AP4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59" s="84" cm="1">
        <f t="array" ref="AQ4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59" s="84" cm="1">
        <f t="array" ref="AR4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59" s="84" cm="1">
        <f t="array" ref="AS4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59" s="84" cm="1">
        <f t="array" ref="AT4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59" s="84" cm="1">
        <f t="array" ref="AU4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59" s="84" cm="1">
        <f t="array" ref="AV4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59" s="84" cm="1">
        <f t="array" ref="AW4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59" s="84" cm="1">
        <f t="array" ref="AX4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59" s="84" cm="1">
        <f t="array" ref="AY4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459" s="84" cm="1">
        <f t="array" ref="AZ4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459" s="84" cm="1">
        <f t="array" ref="BA4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459" s="84" cm="1">
        <f t="array" ref="BB4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459" s="84">
        <f>IF(SUM(Table3[[#This Row],[Column2]:[Column18]])&gt;Table3[[#This Row],[Column19]],Table3[[#This Row],[Column19]],SUM(Table3[[#This Row],[Column2]:[Column18]]))</f>
        <v>50000</v>
      </c>
      <c r="BD459" s="2">
        <f>Table3[[#This Row],[Total Spend]]/SUM(Table3[[#This Row],[Column2]:[Column18]])</f>
        <v>0.33772374197906113</v>
      </c>
    </row>
    <row r="460" spans="1:56">
      <c r="A460" s="84" t="s">
        <v>534</v>
      </c>
      <c r="B460" s="84"/>
      <c r="C460" s="84"/>
      <c r="D460" s="85">
        <v>45809</v>
      </c>
      <c r="E460" s="85" t="s">
        <v>92</v>
      </c>
      <c r="F460" s="84">
        <f>INDEX(Definitions!$G$13:$G$17,MATCH(Table3[[#This Row],[Propensity to buy/ buyer readiness]],Definitions!$A$13:$A$17,0))</f>
        <v>50000</v>
      </c>
      <c r="G460" s="86">
        <v>5</v>
      </c>
      <c r="H460" s="86">
        <v>5</v>
      </c>
      <c r="I460" s="86">
        <v>2</v>
      </c>
      <c r="J460" s="86">
        <v>4</v>
      </c>
      <c r="K460" s="86">
        <v>3</v>
      </c>
      <c r="L460" s="86">
        <f>SUM(Table3[[#This Row],[Strategic priority segment]:[Propensity to buy/ buyer readiness]])</f>
        <v>19</v>
      </c>
      <c r="M460" s="86" t="s">
        <v>102</v>
      </c>
      <c r="N460" s="84" t="s">
        <v>61</v>
      </c>
      <c r="O460" s="84" t="s">
        <v>62</v>
      </c>
      <c r="P460" s="87"/>
      <c r="Q460" s="87"/>
      <c r="R460" s="84"/>
      <c r="S460" s="87"/>
      <c r="T460" s="87"/>
      <c r="U460" s="84">
        <v>1</v>
      </c>
      <c r="V460" s="84">
        <v>0</v>
      </c>
      <c r="W460" s="84">
        <v>0</v>
      </c>
      <c r="X460" s="84">
        <v>0</v>
      </c>
      <c r="Y460" s="84">
        <v>0</v>
      </c>
      <c r="Z460" s="84">
        <v>1</v>
      </c>
      <c r="AA460" s="84">
        <v>1</v>
      </c>
      <c r="AB460" s="84">
        <v>1</v>
      </c>
      <c r="AC460" s="84">
        <v>1</v>
      </c>
      <c r="AD460" s="84">
        <v>1</v>
      </c>
      <c r="AE460" s="84">
        <v>1</v>
      </c>
      <c r="AF460" s="84">
        <v>1</v>
      </c>
      <c r="AG460" s="84">
        <v>1</v>
      </c>
      <c r="AH460" s="84">
        <v>0</v>
      </c>
      <c r="AI460" s="84">
        <v>0</v>
      </c>
      <c r="AJ460" s="84">
        <v>0</v>
      </c>
      <c r="AK460" s="84">
        <v>0</v>
      </c>
      <c r="AL460" s="84" cm="1">
        <f t="array" ref="AL4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0" s="84" cm="1">
        <f t="array" ref="AM4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0" s="84" cm="1">
        <f t="array" ref="AN4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0" s="84" cm="1">
        <f t="array" ref="AO4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0" s="84" cm="1">
        <f t="array" ref="AP4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0" s="84" cm="1">
        <f t="array" ref="AQ4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0" s="84" cm="1">
        <f t="array" ref="AR4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0" s="84" cm="1">
        <f t="array" ref="AS4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0" s="84" cm="1">
        <f t="array" ref="AT4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0" s="84" cm="1">
        <f t="array" ref="AU4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60" s="84" cm="1">
        <f t="array" ref="AV4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60" s="84" cm="1">
        <f t="array" ref="AW4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60" s="84" cm="1">
        <f t="array" ref="AX4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60" s="84" cm="1">
        <f t="array" ref="AY4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0" s="84" cm="1">
        <f t="array" ref="AZ4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0" s="84" cm="1">
        <f t="array" ref="BA4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0" s="84" cm="1">
        <f t="array" ref="BB4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0" s="84">
        <f>IF(SUM(Table3[[#This Row],[Column2]:[Column18]])&gt;Table3[[#This Row],[Column19]],Table3[[#This Row],[Column19]],SUM(Table3[[#This Row],[Column2]:[Column18]]))</f>
        <v>50000</v>
      </c>
      <c r="BD460" s="2">
        <f>Table3[[#This Row],[Total Spend]]/SUM(Table3[[#This Row],[Column2]:[Column18]])</f>
        <v>0.2664535038635758</v>
      </c>
    </row>
    <row r="461" spans="1:56">
      <c r="A461" s="84" t="s">
        <v>535</v>
      </c>
      <c r="B461" s="84" t="s">
        <v>57</v>
      </c>
      <c r="C461" s="84"/>
      <c r="D461" s="85">
        <v>45566</v>
      </c>
      <c r="E461" s="85" t="s">
        <v>58</v>
      </c>
      <c r="F461" s="84">
        <f>INDEX(Definitions!$G$13:$G$17,MATCH(Table3[[#This Row],[Propensity to buy/ buyer readiness]],Definitions!$A$13:$A$17,0))</f>
        <v>150000</v>
      </c>
      <c r="G461" s="86">
        <v>4</v>
      </c>
      <c r="H461" s="86">
        <v>4</v>
      </c>
      <c r="I461" s="86">
        <v>4</v>
      </c>
      <c r="J461" s="86">
        <v>3</v>
      </c>
      <c r="K461" s="86">
        <v>4</v>
      </c>
      <c r="L461" s="86">
        <f>SUM(Table3[[#This Row],[Strategic priority segment]:[Propensity to buy/ buyer readiness]])</f>
        <v>19</v>
      </c>
      <c r="M461" s="86" t="s">
        <v>152</v>
      </c>
      <c r="N461" s="84" t="s">
        <v>122</v>
      </c>
      <c r="O461" s="84" t="s">
        <v>63</v>
      </c>
      <c r="P461" s="87"/>
      <c r="Q461" s="87"/>
      <c r="R461" s="84"/>
      <c r="S461" s="87"/>
      <c r="T461" s="87"/>
      <c r="U461" s="84">
        <v>1</v>
      </c>
      <c r="V461" s="84">
        <v>0</v>
      </c>
      <c r="W461" s="84">
        <v>1</v>
      </c>
      <c r="X461" s="84">
        <v>0</v>
      </c>
      <c r="Y461" s="84">
        <v>0</v>
      </c>
      <c r="Z461" s="84">
        <v>1</v>
      </c>
      <c r="AA461" s="84">
        <v>1</v>
      </c>
      <c r="AB461" s="84">
        <v>1</v>
      </c>
      <c r="AC461" s="84">
        <v>0</v>
      </c>
      <c r="AD461" s="84">
        <v>1</v>
      </c>
      <c r="AE461" s="84">
        <v>1</v>
      </c>
      <c r="AF461" s="84">
        <v>1</v>
      </c>
      <c r="AG461" s="84">
        <v>0</v>
      </c>
      <c r="AH461" s="84">
        <v>0</v>
      </c>
      <c r="AI461" s="84">
        <v>0</v>
      </c>
      <c r="AJ461" s="84">
        <v>0</v>
      </c>
      <c r="AK461" s="84">
        <v>0</v>
      </c>
      <c r="AL461" s="84" cm="1">
        <f t="array" ref="AL4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61" s="84" cm="1">
        <f t="array" ref="AM4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1" s="84" cm="1">
        <f t="array" ref="AN4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461" s="84" cm="1">
        <f t="array" ref="AO4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1" s="84" cm="1">
        <f t="array" ref="AP4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1" s="84" cm="1">
        <f t="array" ref="AQ4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61" s="84" cm="1">
        <f t="array" ref="AR4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461" s="84" cm="1">
        <f t="array" ref="AS4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61" s="84" cm="1">
        <f t="array" ref="AT4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61" s="84" cm="1">
        <f t="array" ref="AU4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61" s="84" cm="1">
        <f t="array" ref="AV4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61" s="84" cm="1">
        <f t="array" ref="AW4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61" s="84" cm="1">
        <f t="array" ref="AX4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1" s="84" cm="1">
        <f t="array" ref="AY4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1" s="84" cm="1">
        <f t="array" ref="AZ4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1" s="84" cm="1">
        <f t="array" ref="BA4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1" s="84" cm="1">
        <f t="array" ref="BB4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1" s="84">
        <f>IF(SUM(Table3[[#This Row],[Column2]:[Column18]])&gt;Table3[[#This Row],[Column19]],Table3[[#This Row],[Column19]],SUM(Table3[[#This Row],[Column2]:[Column18]]))</f>
        <v>150000</v>
      </c>
      <c r="BD461" s="2">
        <f>Table3[[#This Row],[Total Spend]]/SUM(Table3[[#This Row],[Column2]:[Column18]])</f>
        <v>0.55005500550055009</v>
      </c>
    </row>
    <row r="462" spans="1:56">
      <c r="A462" s="88" t="s">
        <v>536</v>
      </c>
      <c r="B462" s="88"/>
      <c r="C462" s="88"/>
      <c r="D462" s="85">
        <v>45566</v>
      </c>
      <c r="E462" s="85" t="s">
        <v>58</v>
      </c>
      <c r="F462" s="84">
        <f>INDEX(Definitions!$G$13:$G$17,MATCH(Table3[[#This Row],[Propensity to buy/ buyer readiness]],Definitions!$A$13:$A$17,0))</f>
        <v>150000</v>
      </c>
      <c r="G462" s="86">
        <v>5</v>
      </c>
      <c r="H462" s="86">
        <v>4</v>
      </c>
      <c r="I462" s="86">
        <v>3</v>
      </c>
      <c r="J462" s="86">
        <v>3</v>
      </c>
      <c r="K462" s="86">
        <v>4</v>
      </c>
      <c r="L462" s="86">
        <f>SUM(Table3[[#This Row],[Strategic priority segment]:[Propensity to buy/ buyer readiness]])</f>
        <v>19</v>
      </c>
      <c r="M462" s="86" t="s">
        <v>66</v>
      </c>
      <c r="N462" s="84" t="s">
        <v>62</v>
      </c>
      <c r="O462" s="84"/>
      <c r="P462" s="87"/>
      <c r="Q462" s="87"/>
      <c r="R462" s="84"/>
      <c r="S462" s="87"/>
      <c r="T462" s="87"/>
      <c r="U462" s="84">
        <v>1</v>
      </c>
      <c r="V462" s="84">
        <v>0</v>
      </c>
      <c r="W462" s="84">
        <v>0</v>
      </c>
      <c r="X462" s="84">
        <v>0</v>
      </c>
      <c r="Y462" s="84">
        <v>0</v>
      </c>
      <c r="Z462" s="84">
        <v>0</v>
      </c>
      <c r="AA462" s="84">
        <v>0</v>
      </c>
      <c r="AB462" s="84">
        <v>0</v>
      </c>
      <c r="AC462" s="84">
        <v>0</v>
      </c>
      <c r="AD462" s="84">
        <v>1</v>
      </c>
      <c r="AE462" s="84">
        <v>1</v>
      </c>
      <c r="AF462" s="84">
        <v>1</v>
      </c>
      <c r="AG462" s="84">
        <v>1</v>
      </c>
      <c r="AH462" s="84">
        <v>0</v>
      </c>
      <c r="AI462" s="84">
        <v>0</v>
      </c>
      <c r="AJ462" s="84">
        <v>0</v>
      </c>
      <c r="AK462" s="84">
        <v>0</v>
      </c>
      <c r="AL462" s="84" cm="1">
        <f t="array" ref="AL4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62" s="84" cm="1">
        <f t="array" ref="AM4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2" s="84" cm="1">
        <f t="array" ref="AN4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2" s="84" cm="1">
        <f t="array" ref="AO4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2" s="84" cm="1">
        <f t="array" ref="AP4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2" s="84" cm="1">
        <f t="array" ref="AQ4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62" s="84" cm="1">
        <f t="array" ref="AR4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62" s="84" cm="1">
        <f t="array" ref="AS4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62" s="84" cm="1">
        <f t="array" ref="AT4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62" s="84" cm="1">
        <f t="array" ref="AU4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62" s="84" cm="1">
        <f t="array" ref="AV4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62" s="84" cm="1">
        <f t="array" ref="AW4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62" s="84" cm="1">
        <f t="array" ref="AX4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462" s="84" cm="1">
        <f t="array" ref="AY4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2" s="84" cm="1">
        <f t="array" ref="AZ4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2" s="84" cm="1">
        <f t="array" ref="BA4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2" s="84" cm="1">
        <f t="array" ref="BB4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2" s="84">
        <f>IF(SUM(Table3[[#This Row],[Column2]:[Column18]])&gt;Table3[[#This Row],[Column19]],Table3[[#This Row],[Column19]],SUM(Table3[[#This Row],[Column2]:[Column18]]))</f>
        <v>131400</v>
      </c>
      <c r="BD462" s="2">
        <f>Table3[[#This Row],[Total Spend]]/SUM(Table3[[#This Row],[Column2]:[Column18]])</f>
        <v>1</v>
      </c>
    </row>
    <row r="463" spans="1:56">
      <c r="A463" s="84" t="s">
        <v>537</v>
      </c>
      <c r="B463" s="84"/>
      <c r="C463" s="84"/>
      <c r="D463" s="85">
        <v>45566</v>
      </c>
      <c r="E463" s="85" t="s">
        <v>92</v>
      </c>
      <c r="F463" s="84">
        <f>INDEX(Definitions!$G$13:$G$17,MATCH(Table3[[#This Row],[Propensity to buy/ buyer readiness]],Definitions!$A$13:$A$17,0))</f>
        <v>50000</v>
      </c>
      <c r="G463" s="86">
        <v>5</v>
      </c>
      <c r="H463" s="86">
        <v>5</v>
      </c>
      <c r="I463" s="86">
        <v>2</v>
      </c>
      <c r="J463" s="86">
        <v>4</v>
      </c>
      <c r="K463" s="86">
        <v>3</v>
      </c>
      <c r="L463" s="86">
        <f>SUM(Table3[[#This Row],[Strategic priority segment]:[Propensity to buy/ buyer readiness]])</f>
        <v>19</v>
      </c>
      <c r="M463" s="86" t="s">
        <v>102</v>
      </c>
      <c r="N463" s="84" t="s">
        <v>61</v>
      </c>
      <c r="O463" s="84"/>
      <c r="P463" s="87"/>
      <c r="Q463" s="87"/>
      <c r="R463" s="84"/>
      <c r="S463" s="87"/>
      <c r="T463" s="87"/>
      <c r="U463" s="84">
        <v>1</v>
      </c>
      <c r="V463" s="84">
        <v>0</v>
      </c>
      <c r="W463" s="84">
        <v>0</v>
      </c>
      <c r="X463" s="84">
        <v>0</v>
      </c>
      <c r="Y463" s="84">
        <v>0</v>
      </c>
      <c r="Z463" s="84">
        <v>1</v>
      </c>
      <c r="AA463" s="84">
        <v>1</v>
      </c>
      <c r="AB463" s="84">
        <v>1</v>
      </c>
      <c r="AC463" s="84">
        <v>1</v>
      </c>
      <c r="AD463" s="84">
        <v>0</v>
      </c>
      <c r="AE463" s="84">
        <v>0</v>
      </c>
      <c r="AF463" s="84">
        <v>0</v>
      </c>
      <c r="AG463" s="84">
        <v>0</v>
      </c>
      <c r="AH463" s="84">
        <v>0</v>
      </c>
      <c r="AI463" s="84">
        <v>0</v>
      </c>
      <c r="AJ463" s="84">
        <v>0</v>
      </c>
      <c r="AK463" s="84">
        <v>0</v>
      </c>
      <c r="AL463" s="84" cm="1">
        <f t="array" ref="AL4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3" s="84" cm="1">
        <f t="array" ref="AM4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3" s="84" cm="1">
        <f t="array" ref="AN4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3" s="84" cm="1">
        <f t="array" ref="AO4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3" s="84" cm="1">
        <f t="array" ref="AP4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3" s="84" cm="1">
        <f t="array" ref="AQ4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3" s="84" cm="1">
        <f t="array" ref="AR4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3" s="84" cm="1">
        <f t="array" ref="AS4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3" s="84" cm="1">
        <f t="array" ref="AT4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3" s="84" cm="1">
        <f t="array" ref="AU4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3" s="84" cm="1">
        <f t="array" ref="AV4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3" s="84" cm="1">
        <f t="array" ref="AW4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3" s="84" cm="1">
        <f t="array" ref="AX4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3" s="84" cm="1">
        <f t="array" ref="AY4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3" s="84" cm="1">
        <f t="array" ref="AZ4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3" s="84" cm="1">
        <f t="array" ref="BA4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3" s="84" cm="1">
        <f t="array" ref="BB4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3" s="84">
        <f>IF(SUM(Table3[[#This Row],[Column2]:[Column18]])&gt;Table3[[#This Row],[Column19]],Table3[[#This Row],[Column19]],SUM(Table3[[#This Row],[Column2]:[Column18]]))</f>
        <v>50000</v>
      </c>
      <c r="BD463" s="2">
        <f>Table3[[#This Row],[Total Spend]]/SUM(Table3[[#This Row],[Column2]:[Column18]])</f>
        <v>0.49164208456243852</v>
      </c>
    </row>
    <row r="464" spans="1:56">
      <c r="A464" s="84" t="s">
        <v>538</v>
      </c>
      <c r="B464" s="84"/>
      <c r="C464" s="84"/>
      <c r="D464" s="85">
        <v>45566</v>
      </c>
      <c r="E464" s="85" t="s">
        <v>92</v>
      </c>
      <c r="F464" s="84">
        <f>INDEX(Definitions!$G$13:$G$17,MATCH(Table3[[#This Row],[Propensity to buy/ buyer readiness]],Definitions!$A$13:$A$17,0))</f>
        <v>50000</v>
      </c>
      <c r="G464" s="86">
        <v>5</v>
      </c>
      <c r="H464" s="86">
        <v>5</v>
      </c>
      <c r="I464" s="86">
        <v>2</v>
      </c>
      <c r="J464" s="86">
        <v>4</v>
      </c>
      <c r="K464" s="86">
        <v>3</v>
      </c>
      <c r="L464" s="86">
        <f>SUM(Table3[[#This Row],[Strategic priority segment]:[Propensity to buy/ buyer readiness]])</f>
        <v>19</v>
      </c>
      <c r="M464" s="86" t="s">
        <v>102</v>
      </c>
      <c r="N464" s="84" t="s">
        <v>61</v>
      </c>
      <c r="O464" s="84"/>
      <c r="P464" s="87"/>
      <c r="Q464" s="87"/>
      <c r="R464" s="84"/>
      <c r="S464" s="87"/>
      <c r="T464" s="87"/>
      <c r="U464" s="84">
        <v>1</v>
      </c>
      <c r="V464" s="84">
        <v>0</v>
      </c>
      <c r="W464" s="84">
        <v>0</v>
      </c>
      <c r="X464" s="84">
        <v>0</v>
      </c>
      <c r="Y464" s="84">
        <v>0</v>
      </c>
      <c r="Z464" s="84">
        <v>1</v>
      </c>
      <c r="AA464" s="84">
        <v>1</v>
      </c>
      <c r="AB464" s="84">
        <v>1</v>
      </c>
      <c r="AC464" s="84">
        <v>1</v>
      </c>
      <c r="AD464" s="84">
        <v>0</v>
      </c>
      <c r="AE464" s="84">
        <v>0</v>
      </c>
      <c r="AF464" s="84">
        <v>0</v>
      </c>
      <c r="AG464" s="84">
        <v>0</v>
      </c>
      <c r="AH464" s="84">
        <v>0</v>
      </c>
      <c r="AI464" s="84">
        <v>0</v>
      </c>
      <c r="AJ464" s="84">
        <v>0</v>
      </c>
      <c r="AK464" s="84">
        <v>0</v>
      </c>
      <c r="AL464" s="84" cm="1">
        <f t="array" ref="AL4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4" s="84" cm="1">
        <f t="array" ref="AM4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4" s="84" cm="1">
        <f t="array" ref="AN4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4" s="84" cm="1">
        <f t="array" ref="AO4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4" s="84" cm="1">
        <f t="array" ref="AP4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4" s="84" cm="1">
        <f t="array" ref="AQ4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4" s="84" cm="1">
        <f t="array" ref="AR4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4" s="84" cm="1">
        <f t="array" ref="AS4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4" s="84" cm="1">
        <f t="array" ref="AT4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4" s="84" cm="1">
        <f t="array" ref="AU4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4" s="84" cm="1">
        <f t="array" ref="AV4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4" s="84" cm="1">
        <f t="array" ref="AW4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4" s="84" cm="1">
        <f t="array" ref="AX4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4" s="84" cm="1">
        <f t="array" ref="AY4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4" s="84" cm="1">
        <f t="array" ref="AZ4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4" s="84" cm="1">
        <f t="array" ref="BA4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4" s="84" cm="1">
        <f t="array" ref="BB4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4" s="84">
        <f>IF(SUM(Table3[[#This Row],[Column2]:[Column18]])&gt;Table3[[#This Row],[Column19]],Table3[[#This Row],[Column19]],SUM(Table3[[#This Row],[Column2]:[Column18]]))</f>
        <v>50000</v>
      </c>
      <c r="BD464" s="2">
        <f>Table3[[#This Row],[Total Spend]]/SUM(Table3[[#This Row],[Column2]:[Column18]])</f>
        <v>0.49164208456243852</v>
      </c>
    </row>
    <row r="465" spans="1:56">
      <c r="A465" s="84" t="s">
        <v>539</v>
      </c>
      <c r="B465" s="84"/>
      <c r="C465" s="84"/>
      <c r="D465" s="85">
        <v>45566</v>
      </c>
      <c r="E465" s="85" t="s">
        <v>92</v>
      </c>
      <c r="F465" s="84">
        <f>INDEX(Definitions!$G$13:$G$17,MATCH(Table3[[#This Row],[Propensity to buy/ buyer readiness]],Definitions!$A$13:$A$17,0))</f>
        <v>50000</v>
      </c>
      <c r="G465" s="86">
        <v>5</v>
      </c>
      <c r="H465" s="86">
        <v>5</v>
      </c>
      <c r="I465" s="86">
        <v>2</v>
      </c>
      <c r="J465" s="86">
        <v>4</v>
      </c>
      <c r="K465" s="86">
        <v>3</v>
      </c>
      <c r="L465" s="86">
        <f>SUM(Table3[[#This Row],[Strategic priority segment]:[Propensity to buy/ buyer readiness]])</f>
        <v>19</v>
      </c>
      <c r="M465" s="86" t="s">
        <v>102</v>
      </c>
      <c r="N465" s="84" t="s">
        <v>61</v>
      </c>
      <c r="O465" s="84"/>
      <c r="P465" s="87"/>
      <c r="Q465" s="87"/>
      <c r="R465" s="84"/>
      <c r="S465" s="87"/>
      <c r="T465" s="87"/>
      <c r="U465" s="84">
        <v>1</v>
      </c>
      <c r="V465" s="84">
        <v>0</v>
      </c>
      <c r="W465" s="84">
        <v>0</v>
      </c>
      <c r="X465" s="84">
        <v>0</v>
      </c>
      <c r="Y465" s="84">
        <v>0</v>
      </c>
      <c r="Z465" s="84">
        <v>1</v>
      </c>
      <c r="AA465" s="84">
        <v>1</v>
      </c>
      <c r="AB465" s="84">
        <v>1</v>
      </c>
      <c r="AC465" s="84">
        <v>1</v>
      </c>
      <c r="AD465" s="84">
        <v>0</v>
      </c>
      <c r="AE465" s="84">
        <v>0</v>
      </c>
      <c r="AF465" s="84">
        <v>0</v>
      </c>
      <c r="AG465" s="84">
        <v>0</v>
      </c>
      <c r="AH465" s="84">
        <v>0</v>
      </c>
      <c r="AI465" s="84">
        <v>0</v>
      </c>
      <c r="AJ465" s="84">
        <v>0</v>
      </c>
      <c r="AK465" s="84">
        <v>0</v>
      </c>
      <c r="AL465" s="84" cm="1">
        <f t="array" ref="AL4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5" s="84" cm="1">
        <f t="array" ref="AM4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5" s="84" cm="1">
        <f t="array" ref="AN4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5" s="84" cm="1">
        <f t="array" ref="AO4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5" s="84" cm="1">
        <f t="array" ref="AP4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5" s="84" cm="1">
        <f t="array" ref="AQ4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5" s="84" cm="1">
        <f t="array" ref="AR4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5" s="84" cm="1">
        <f t="array" ref="AS4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5" s="84" cm="1">
        <f t="array" ref="AT4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5" s="84" cm="1">
        <f t="array" ref="AU4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5" s="84" cm="1">
        <f t="array" ref="AV4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5" s="84" cm="1">
        <f t="array" ref="AW4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5" s="84" cm="1">
        <f t="array" ref="AX4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5" s="84" cm="1">
        <f t="array" ref="AY4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5" s="84" cm="1">
        <f t="array" ref="AZ4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5" s="84" cm="1">
        <f t="array" ref="BA4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5" s="84" cm="1">
        <f t="array" ref="BB4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5" s="84">
        <f>IF(SUM(Table3[[#This Row],[Column2]:[Column18]])&gt;Table3[[#This Row],[Column19]],Table3[[#This Row],[Column19]],SUM(Table3[[#This Row],[Column2]:[Column18]]))</f>
        <v>50000</v>
      </c>
      <c r="BD465" s="2">
        <f>Table3[[#This Row],[Total Spend]]/SUM(Table3[[#This Row],[Column2]:[Column18]])</f>
        <v>0.49164208456243852</v>
      </c>
    </row>
    <row r="466" spans="1:56">
      <c r="A466" s="84" t="s">
        <v>540</v>
      </c>
      <c r="B466" s="84"/>
      <c r="C466" s="84"/>
      <c r="D466" s="85">
        <v>45566</v>
      </c>
      <c r="E466" s="85" t="s">
        <v>92</v>
      </c>
      <c r="F466" s="84">
        <f>INDEX(Definitions!$G$13:$G$17,MATCH(Table3[[#This Row],[Propensity to buy/ buyer readiness]],Definitions!$A$13:$A$17,0))</f>
        <v>50000</v>
      </c>
      <c r="G466" s="86">
        <v>5</v>
      </c>
      <c r="H466" s="86">
        <v>5</v>
      </c>
      <c r="I466" s="86">
        <v>2</v>
      </c>
      <c r="J466" s="86">
        <v>4</v>
      </c>
      <c r="K466" s="86">
        <v>3</v>
      </c>
      <c r="L466" s="86">
        <f>SUM(Table3[[#This Row],[Strategic priority segment]:[Propensity to buy/ buyer readiness]])</f>
        <v>19</v>
      </c>
      <c r="M466" s="86" t="s">
        <v>102</v>
      </c>
      <c r="N466" s="84" t="s">
        <v>61</v>
      </c>
      <c r="O466" s="84"/>
      <c r="P466" s="87"/>
      <c r="Q466" s="87"/>
      <c r="R466" s="84"/>
      <c r="S466" s="87"/>
      <c r="T466" s="87"/>
      <c r="U466" s="84">
        <v>1</v>
      </c>
      <c r="V466" s="84">
        <v>0</v>
      </c>
      <c r="W466" s="84">
        <v>0</v>
      </c>
      <c r="X466" s="84">
        <v>0</v>
      </c>
      <c r="Y466" s="84">
        <v>0</v>
      </c>
      <c r="Z466" s="84">
        <v>1</v>
      </c>
      <c r="AA466" s="84">
        <v>1</v>
      </c>
      <c r="AB466" s="84">
        <v>1</v>
      </c>
      <c r="AC466" s="84">
        <v>1</v>
      </c>
      <c r="AD466" s="84">
        <v>0</v>
      </c>
      <c r="AE466" s="84">
        <v>0</v>
      </c>
      <c r="AF466" s="84">
        <v>0</v>
      </c>
      <c r="AG466" s="84">
        <v>0</v>
      </c>
      <c r="AH466" s="84">
        <v>0</v>
      </c>
      <c r="AI466" s="84">
        <v>0</v>
      </c>
      <c r="AJ466" s="84">
        <v>0</v>
      </c>
      <c r="AK466" s="84">
        <v>0</v>
      </c>
      <c r="AL466" s="84" cm="1">
        <f t="array" ref="AL4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6" s="84" cm="1">
        <f t="array" ref="AM4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6" s="84" cm="1">
        <f t="array" ref="AN4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6" s="84" cm="1">
        <f t="array" ref="AO4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6" s="84" cm="1">
        <f t="array" ref="AP4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6" s="84" cm="1">
        <f t="array" ref="AQ4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6" s="84" cm="1">
        <f t="array" ref="AR4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6" s="84" cm="1">
        <f t="array" ref="AS4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6" s="84" cm="1">
        <f t="array" ref="AT4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6" s="84" cm="1">
        <f t="array" ref="AU4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6" s="84" cm="1">
        <f t="array" ref="AV4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6" s="84" cm="1">
        <f t="array" ref="AW4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6" s="84" cm="1">
        <f t="array" ref="AX4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6" s="84" cm="1">
        <f t="array" ref="AY4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6" s="84" cm="1">
        <f t="array" ref="AZ4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6" s="84" cm="1">
        <f t="array" ref="BA4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6" s="84" cm="1">
        <f t="array" ref="BB4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6" s="84">
        <f>IF(SUM(Table3[[#This Row],[Column2]:[Column18]])&gt;Table3[[#This Row],[Column19]],Table3[[#This Row],[Column19]],SUM(Table3[[#This Row],[Column2]:[Column18]]))</f>
        <v>50000</v>
      </c>
      <c r="BD466" s="2">
        <f>Table3[[#This Row],[Total Spend]]/SUM(Table3[[#This Row],[Column2]:[Column18]])</f>
        <v>0.49164208456243852</v>
      </c>
    </row>
    <row r="467" spans="1:56">
      <c r="A467" s="84" t="s">
        <v>541</v>
      </c>
      <c r="B467" s="84"/>
      <c r="C467" s="84"/>
      <c r="D467" s="85">
        <v>45566</v>
      </c>
      <c r="E467" s="85" t="s">
        <v>92</v>
      </c>
      <c r="F467" s="84">
        <f>INDEX(Definitions!$G$13:$G$17,MATCH(Table3[[#This Row],[Propensity to buy/ buyer readiness]],Definitions!$A$13:$A$17,0))</f>
        <v>50000</v>
      </c>
      <c r="G467" s="86">
        <v>5</v>
      </c>
      <c r="H467" s="86">
        <v>5</v>
      </c>
      <c r="I467" s="86">
        <v>2</v>
      </c>
      <c r="J467" s="86">
        <v>4</v>
      </c>
      <c r="K467" s="86">
        <v>3</v>
      </c>
      <c r="L467" s="86">
        <f>SUM(Table3[[#This Row],[Strategic priority segment]:[Propensity to buy/ buyer readiness]])</f>
        <v>19</v>
      </c>
      <c r="M467" s="86" t="s">
        <v>102</v>
      </c>
      <c r="N467" s="84" t="s">
        <v>61</v>
      </c>
      <c r="O467" s="84"/>
      <c r="P467" s="87"/>
      <c r="Q467" s="87"/>
      <c r="R467" s="84"/>
      <c r="S467" s="87"/>
      <c r="T467" s="87"/>
      <c r="U467" s="84">
        <v>1</v>
      </c>
      <c r="V467" s="84">
        <v>0</v>
      </c>
      <c r="W467" s="84">
        <v>0</v>
      </c>
      <c r="X467" s="84">
        <v>0</v>
      </c>
      <c r="Y467" s="84">
        <v>0</v>
      </c>
      <c r="Z467" s="84">
        <v>1</v>
      </c>
      <c r="AA467" s="84">
        <v>1</v>
      </c>
      <c r="AB467" s="84">
        <v>1</v>
      </c>
      <c r="AC467" s="84">
        <v>1</v>
      </c>
      <c r="AD467" s="84">
        <v>0</v>
      </c>
      <c r="AE467" s="84">
        <v>0</v>
      </c>
      <c r="AF467" s="84">
        <v>0</v>
      </c>
      <c r="AG467" s="84">
        <v>0</v>
      </c>
      <c r="AH467" s="84">
        <v>0</v>
      </c>
      <c r="AI467" s="84">
        <v>0</v>
      </c>
      <c r="AJ467" s="84">
        <v>0</v>
      </c>
      <c r="AK467" s="84">
        <v>0</v>
      </c>
      <c r="AL467" s="84" cm="1">
        <f t="array" ref="AL4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7" s="84" cm="1">
        <f t="array" ref="AM4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7" s="84" cm="1">
        <f t="array" ref="AN4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7" s="84" cm="1">
        <f t="array" ref="AO4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7" s="84" cm="1">
        <f t="array" ref="AP4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7" s="84" cm="1">
        <f t="array" ref="AQ4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7" s="84" cm="1">
        <f t="array" ref="AR4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7" s="84" cm="1">
        <f t="array" ref="AS4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7" s="84" cm="1">
        <f t="array" ref="AT4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7" s="84" cm="1">
        <f t="array" ref="AU4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7" s="84" cm="1">
        <f t="array" ref="AV4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7" s="84" cm="1">
        <f t="array" ref="AW4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7" s="84" cm="1">
        <f t="array" ref="AX4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7" s="84" cm="1">
        <f t="array" ref="AY4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7" s="84" cm="1">
        <f t="array" ref="AZ4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7" s="84" cm="1">
        <f t="array" ref="BA4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7" s="84" cm="1">
        <f t="array" ref="BB4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7" s="84">
        <f>IF(SUM(Table3[[#This Row],[Column2]:[Column18]])&gt;Table3[[#This Row],[Column19]],Table3[[#This Row],[Column19]],SUM(Table3[[#This Row],[Column2]:[Column18]]))</f>
        <v>50000</v>
      </c>
      <c r="BD467" s="2">
        <f>Table3[[#This Row],[Total Spend]]/SUM(Table3[[#This Row],[Column2]:[Column18]])</f>
        <v>0.49164208456243852</v>
      </c>
    </row>
    <row r="468" spans="1:56">
      <c r="A468" s="84" t="s">
        <v>542</v>
      </c>
      <c r="B468" s="84"/>
      <c r="C468" s="84"/>
      <c r="D468" s="85">
        <v>45566</v>
      </c>
      <c r="E468" s="85" t="s">
        <v>92</v>
      </c>
      <c r="F468" s="84">
        <f>INDEX(Definitions!$G$13:$G$17,MATCH(Table3[[#This Row],[Propensity to buy/ buyer readiness]],Definitions!$A$13:$A$17,0))</f>
        <v>50000</v>
      </c>
      <c r="G468" s="86">
        <v>5</v>
      </c>
      <c r="H468" s="86">
        <v>5</v>
      </c>
      <c r="I468" s="86">
        <v>2</v>
      </c>
      <c r="J468" s="86">
        <v>4</v>
      </c>
      <c r="K468" s="86">
        <v>3</v>
      </c>
      <c r="L468" s="86">
        <f>SUM(Table3[[#This Row],[Strategic priority segment]:[Propensity to buy/ buyer readiness]])</f>
        <v>19</v>
      </c>
      <c r="M468" s="86" t="s">
        <v>102</v>
      </c>
      <c r="N468" s="84" t="s">
        <v>61</v>
      </c>
      <c r="O468" s="84"/>
      <c r="P468" s="87"/>
      <c r="Q468" s="87"/>
      <c r="R468" s="84"/>
      <c r="S468" s="87"/>
      <c r="T468" s="87"/>
      <c r="U468" s="84">
        <v>1</v>
      </c>
      <c r="V468" s="84">
        <v>0</v>
      </c>
      <c r="W468" s="84">
        <v>0</v>
      </c>
      <c r="X468" s="84">
        <v>0</v>
      </c>
      <c r="Y468" s="84">
        <v>0</v>
      </c>
      <c r="Z468" s="84">
        <v>1</v>
      </c>
      <c r="AA468" s="84">
        <v>1</v>
      </c>
      <c r="AB468" s="84">
        <v>1</v>
      </c>
      <c r="AC468" s="84">
        <v>1</v>
      </c>
      <c r="AD468" s="84">
        <v>0</v>
      </c>
      <c r="AE468" s="84">
        <v>0</v>
      </c>
      <c r="AF468" s="84">
        <v>0</v>
      </c>
      <c r="AG468" s="84">
        <v>0</v>
      </c>
      <c r="AH468" s="84">
        <v>0</v>
      </c>
      <c r="AI468" s="84">
        <v>0</v>
      </c>
      <c r="AJ468" s="84">
        <v>0</v>
      </c>
      <c r="AK468" s="84">
        <v>0</v>
      </c>
      <c r="AL468" s="84" cm="1">
        <f t="array" ref="AL4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8" s="84" cm="1">
        <f t="array" ref="AM4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8" s="84" cm="1">
        <f t="array" ref="AN4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8" s="84" cm="1">
        <f t="array" ref="AO4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8" s="84" cm="1">
        <f t="array" ref="AP4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8" s="84" cm="1">
        <f t="array" ref="AQ4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8" s="84" cm="1">
        <f t="array" ref="AR4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8" s="84" cm="1">
        <f t="array" ref="AS4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8" s="84" cm="1">
        <f t="array" ref="AT4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8" s="84" cm="1">
        <f t="array" ref="AU4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8" s="84" cm="1">
        <f t="array" ref="AV4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8" s="84" cm="1">
        <f t="array" ref="AW4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8" s="84" cm="1">
        <f t="array" ref="AX4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8" s="84" cm="1">
        <f t="array" ref="AY4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8" s="84" cm="1">
        <f t="array" ref="AZ4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8" s="84" cm="1">
        <f t="array" ref="BA4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8" s="84" cm="1">
        <f t="array" ref="BB4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8" s="84">
        <f>IF(SUM(Table3[[#This Row],[Column2]:[Column18]])&gt;Table3[[#This Row],[Column19]],Table3[[#This Row],[Column19]],SUM(Table3[[#This Row],[Column2]:[Column18]]))</f>
        <v>50000</v>
      </c>
      <c r="BD468" s="2">
        <f>Table3[[#This Row],[Total Spend]]/SUM(Table3[[#This Row],[Column2]:[Column18]])</f>
        <v>0.49164208456243852</v>
      </c>
    </row>
    <row r="469" spans="1:56">
      <c r="A469" s="87" t="s">
        <v>543</v>
      </c>
      <c r="B469" s="87"/>
      <c r="C469" s="87"/>
      <c r="D469" s="85">
        <v>45809</v>
      </c>
      <c r="E469" s="85" t="s">
        <v>92</v>
      </c>
      <c r="F469" s="84">
        <f>INDEX(Definitions!$G$13:$G$17,MATCH(Table3[[#This Row],[Propensity to buy/ buyer readiness]],Definitions!$A$13:$A$17,0))</f>
        <v>50000</v>
      </c>
      <c r="G469" s="86">
        <v>5</v>
      </c>
      <c r="H469" s="86">
        <v>5</v>
      </c>
      <c r="I469" s="86">
        <v>2</v>
      </c>
      <c r="J469" s="86">
        <v>4</v>
      </c>
      <c r="K469" s="86">
        <v>3</v>
      </c>
      <c r="L469" s="86">
        <f>SUM(Table3[[#This Row],[Strategic priority segment]:[Propensity to buy/ buyer readiness]])</f>
        <v>19</v>
      </c>
      <c r="M469" s="86" t="s">
        <v>102</v>
      </c>
      <c r="N469" s="84" t="s">
        <v>61</v>
      </c>
      <c r="O469" s="87"/>
      <c r="P469" s="87"/>
      <c r="Q469" s="87"/>
      <c r="R469" s="84"/>
      <c r="S469" s="87"/>
      <c r="T469" s="87"/>
      <c r="U469" s="84">
        <v>1</v>
      </c>
      <c r="V469" s="84">
        <v>0</v>
      </c>
      <c r="W469" s="84">
        <v>0</v>
      </c>
      <c r="X469" s="84">
        <v>0</v>
      </c>
      <c r="Y469" s="84">
        <v>0</v>
      </c>
      <c r="Z469" s="84">
        <v>1</v>
      </c>
      <c r="AA469" s="84">
        <v>1</v>
      </c>
      <c r="AB469" s="84">
        <v>1</v>
      </c>
      <c r="AC469" s="84">
        <v>1</v>
      </c>
      <c r="AD469" s="84">
        <v>0</v>
      </c>
      <c r="AE469" s="84">
        <v>0</v>
      </c>
      <c r="AF469" s="84">
        <v>0</v>
      </c>
      <c r="AG469" s="84">
        <v>0</v>
      </c>
      <c r="AH469" s="84">
        <v>0</v>
      </c>
      <c r="AI469" s="84">
        <v>0</v>
      </c>
      <c r="AJ469" s="84">
        <v>0</v>
      </c>
      <c r="AK469" s="84">
        <v>0</v>
      </c>
      <c r="AL469" s="84" cm="1">
        <f t="array" ref="AL4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69" s="84" cm="1">
        <f t="array" ref="AM4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69" s="84" cm="1">
        <f t="array" ref="AN4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69" s="84" cm="1">
        <f t="array" ref="AO4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69" s="84" cm="1">
        <f t="array" ref="AP4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69" s="84" cm="1">
        <f t="array" ref="AQ4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69" s="84" cm="1">
        <f t="array" ref="AR4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69" s="84" cm="1">
        <f t="array" ref="AS4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69" s="84" cm="1">
        <f t="array" ref="AT4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69" s="84" cm="1">
        <f t="array" ref="AU4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69" s="84" cm="1">
        <f t="array" ref="AV4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69" s="84" cm="1">
        <f t="array" ref="AW4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69" s="84" cm="1">
        <f t="array" ref="AX4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69" s="84" cm="1">
        <f t="array" ref="AY4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69" s="84" cm="1">
        <f t="array" ref="AZ4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69" s="84" cm="1">
        <f t="array" ref="BA4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69" s="84" cm="1">
        <f t="array" ref="BB4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69" s="84">
        <f>IF(SUM(Table3[[#This Row],[Column2]:[Column18]])&gt;Table3[[#This Row],[Column19]],Table3[[#This Row],[Column19]],SUM(Table3[[#This Row],[Column2]:[Column18]]))</f>
        <v>50000</v>
      </c>
      <c r="BD469" s="2">
        <f>Table3[[#This Row],[Total Spend]]/SUM(Table3[[#This Row],[Column2]:[Column18]])</f>
        <v>0.49164208456243852</v>
      </c>
    </row>
    <row r="470" spans="1:56">
      <c r="A470" s="84" t="s">
        <v>544</v>
      </c>
      <c r="B470" s="84"/>
      <c r="C470" s="84"/>
      <c r="D470" s="85">
        <v>45809</v>
      </c>
      <c r="E470" s="85" t="s">
        <v>92</v>
      </c>
      <c r="F470" s="84">
        <f>INDEX(Definitions!$G$13:$G$17,MATCH(Table3[[#This Row],[Propensity to buy/ buyer readiness]],Definitions!$A$13:$A$17,0))</f>
        <v>50000</v>
      </c>
      <c r="G470" s="86">
        <v>5</v>
      </c>
      <c r="H470" s="86">
        <v>5</v>
      </c>
      <c r="I470" s="86">
        <v>2</v>
      </c>
      <c r="J470" s="86">
        <v>4</v>
      </c>
      <c r="K470" s="86">
        <v>3</v>
      </c>
      <c r="L470" s="86">
        <f>SUM(Table3[[#This Row],[Strategic priority segment]:[Propensity to buy/ buyer readiness]])</f>
        <v>19</v>
      </c>
      <c r="M470" s="86" t="s">
        <v>102</v>
      </c>
      <c r="N470" s="84" t="s">
        <v>61</v>
      </c>
      <c r="O470" s="84"/>
      <c r="P470" s="87"/>
      <c r="Q470" s="87"/>
      <c r="R470" s="84"/>
      <c r="S470" s="87"/>
      <c r="T470" s="87"/>
      <c r="U470" s="84">
        <v>1</v>
      </c>
      <c r="V470" s="84">
        <v>0</v>
      </c>
      <c r="W470" s="84">
        <v>0</v>
      </c>
      <c r="X470" s="84">
        <v>0</v>
      </c>
      <c r="Y470" s="84">
        <v>0</v>
      </c>
      <c r="Z470" s="84">
        <v>1</v>
      </c>
      <c r="AA470" s="84">
        <v>1</v>
      </c>
      <c r="AB470" s="84">
        <v>1</v>
      </c>
      <c r="AC470" s="84">
        <v>1</v>
      </c>
      <c r="AD470" s="84">
        <v>0</v>
      </c>
      <c r="AE470" s="84">
        <v>0</v>
      </c>
      <c r="AF470" s="84">
        <v>0</v>
      </c>
      <c r="AG470" s="84">
        <v>0</v>
      </c>
      <c r="AH470" s="84">
        <v>0</v>
      </c>
      <c r="AI470" s="84">
        <v>0</v>
      </c>
      <c r="AJ470" s="84">
        <v>0</v>
      </c>
      <c r="AK470" s="84">
        <v>0</v>
      </c>
      <c r="AL470" s="84" cm="1">
        <f t="array" ref="AL4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0" s="84" cm="1">
        <f t="array" ref="AM4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0" s="84" cm="1">
        <f t="array" ref="AN4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0" s="84" cm="1">
        <f t="array" ref="AO4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0" s="84" cm="1">
        <f t="array" ref="AP4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0" s="84" cm="1">
        <f t="array" ref="AQ4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0" s="84" cm="1">
        <f t="array" ref="AR4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0" s="84" cm="1">
        <f t="array" ref="AS4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0" s="84" cm="1">
        <f t="array" ref="AT4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0" s="84" cm="1">
        <f t="array" ref="AU4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0" s="84" cm="1">
        <f t="array" ref="AV4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0" s="84" cm="1">
        <f t="array" ref="AW4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0" s="84" cm="1">
        <f t="array" ref="AX4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0" s="84" cm="1">
        <f t="array" ref="AY4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0" s="84" cm="1">
        <f t="array" ref="AZ4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0" s="84" cm="1">
        <f t="array" ref="BA4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0" s="84" cm="1">
        <f t="array" ref="BB4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0" s="84">
        <f>IF(SUM(Table3[[#This Row],[Column2]:[Column18]])&gt;Table3[[#This Row],[Column19]],Table3[[#This Row],[Column19]],SUM(Table3[[#This Row],[Column2]:[Column18]]))</f>
        <v>50000</v>
      </c>
      <c r="BD470" s="2">
        <f>Table3[[#This Row],[Total Spend]]/SUM(Table3[[#This Row],[Column2]:[Column18]])</f>
        <v>0.49164208456243852</v>
      </c>
    </row>
    <row r="471" spans="1:56">
      <c r="A471" s="84" t="s">
        <v>545</v>
      </c>
      <c r="B471" s="84"/>
      <c r="C471" s="84"/>
      <c r="D471" s="85">
        <v>45809</v>
      </c>
      <c r="E471" s="85" t="s">
        <v>92</v>
      </c>
      <c r="F471" s="84">
        <f>INDEX(Definitions!$G$13:$G$17,MATCH(Table3[[#This Row],[Propensity to buy/ buyer readiness]],Definitions!$A$13:$A$17,0))</f>
        <v>50000</v>
      </c>
      <c r="G471" s="86">
        <v>5</v>
      </c>
      <c r="H471" s="86">
        <v>5</v>
      </c>
      <c r="I471" s="86">
        <v>2</v>
      </c>
      <c r="J471" s="86">
        <v>4</v>
      </c>
      <c r="K471" s="86">
        <v>3</v>
      </c>
      <c r="L471" s="86">
        <f>SUM(Table3[[#This Row],[Strategic priority segment]:[Propensity to buy/ buyer readiness]])</f>
        <v>19</v>
      </c>
      <c r="M471" s="86" t="s">
        <v>102</v>
      </c>
      <c r="N471" s="84" t="s">
        <v>61</v>
      </c>
      <c r="O471" s="84" t="s">
        <v>135</v>
      </c>
      <c r="P471" s="87"/>
      <c r="Q471" s="87"/>
      <c r="R471" s="84"/>
      <c r="S471" s="84"/>
      <c r="T471" s="84"/>
      <c r="U471" s="84">
        <v>1</v>
      </c>
      <c r="V471" s="84">
        <v>0</v>
      </c>
      <c r="W471" s="84">
        <v>0</v>
      </c>
      <c r="X471" s="84">
        <v>0</v>
      </c>
      <c r="Y471" s="84">
        <v>0</v>
      </c>
      <c r="Z471" s="84">
        <v>1</v>
      </c>
      <c r="AA471" s="84">
        <v>1</v>
      </c>
      <c r="AB471" s="84">
        <v>1</v>
      </c>
      <c r="AC471" s="84">
        <v>1</v>
      </c>
      <c r="AD471" s="84">
        <v>0</v>
      </c>
      <c r="AE471" s="84">
        <v>0</v>
      </c>
      <c r="AF471" s="84">
        <v>0</v>
      </c>
      <c r="AG471" s="84">
        <v>0</v>
      </c>
      <c r="AH471" s="84">
        <v>1</v>
      </c>
      <c r="AI471" s="84">
        <v>1</v>
      </c>
      <c r="AJ471" s="84">
        <v>1</v>
      </c>
      <c r="AK471" s="84">
        <v>1</v>
      </c>
      <c r="AL471" s="84" cm="1">
        <f t="array" ref="AL4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1" s="84" cm="1">
        <f t="array" ref="AM4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1" s="84" cm="1">
        <f t="array" ref="AN4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1" s="84" cm="1">
        <f t="array" ref="AO4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1" s="84" cm="1">
        <f t="array" ref="AP4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1" s="84" cm="1">
        <f t="array" ref="AQ4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1" s="84" cm="1">
        <f t="array" ref="AR4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1" s="84" cm="1">
        <f t="array" ref="AS4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1" s="84" cm="1">
        <f t="array" ref="AT4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1" s="84" cm="1">
        <f t="array" ref="AU4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1" s="84" cm="1">
        <f t="array" ref="AV4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1" s="84" cm="1">
        <f t="array" ref="AW4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1" s="84" cm="1">
        <f t="array" ref="AX4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1" s="84" cm="1">
        <f t="array" ref="AY4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471" s="84" cm="1">
        <f t="array" ref="AZ4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471" s="84" cm="1">
        <f t="array" ref="BA4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471" s="84" cm="1">
        <f t="array" ref="BB4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471" s="84">
        <f>IF(SUM(Table3[[#This Row],[Column2]:[Column18]])&gt;Table3[[#This Row],[Column19]],Table3[[#This Row],[Column19]],SUM(Table3[[#This Row],[Column2]:[Column18]]))</f>
        <v>50000</v>
      </c>
      <c r="BD471" s="2">
        <f>Table3[[#This Row],[Total Spend]]/SUM(Table3[[#This Row],[Column2]:[Column18]])</f>
        <v>0.33772374197906113</v>
      </c>
    </row>
    <row r="472" spans="1:56">
      <c r="A472" s="84" t="s">
        <v>546</v>
      </c>
      <c r="B472" s="84"/>
      <c r="C472" s="84"/>
      <c r="D472" s="85">
        <v>45566</v>
      </c>
      <c r="E472" s="85" t="s">
        <v>92</v>
      </c>
      <c r="F472" s="84">
        <f>INDEX(Definitions!$G$13:$G$17,MATCH(Table3[[#This Row],[Propensity to buy/ buyer readiness]],Definitions!$A$13:$A$17,0))</f>
        <v>50000</v>
      </c>
      <c r="G472" s="86">
        <v>5</v>
      </c>
      <c r="H472" s="86">
        <v>5</v>
      </c>
      <c r="I472" s="86">
        <v>2</v>
      </c>
      <c r="J472" s="86">
        <v>4</v>
      </c>
      <c r="K472" s="86">
        <v>3</v>
      </c>
      <c r="L472" s="86">
        <f>SUM(Table3[[#This Row],[Strategic priority segment]:[Propensity to buy/ buyer readiness]])</f>
        <v>19</v>
      </c>
      <c r="M472" s="86" t="s">
        <v>102</v>
      </c>
      <c r="N472" s="84" t="s">
        <v>61</v>
      </c>
      <c r="O472" s="84"/>
      <c r="P472" s="87"/>
      <c r="Q472" s="87"/>
      <c r="R472" s="84"/>
      <c r="S472" s="87"/>
      <c r="T472" s="87"/>
      <c r="U472" s="84">
        <v>1</v>
      </c>
      <c r="V472" s="84">
        <v>0</v>
      </c>
      <c r="W472" s="84">
        <v>0</v>
      </c>
      <c r="X472" s="84">
        <v>0</v>
      </c>
      <c r="Y472" s="84">
        <v>0</v>
      </c>
      <c r="Z472" s="84">
        <v>1</v>
      </c>
      <c r="AA472" s="84">
        <v>1</v>
      </c>
      <c r="AB472" s="84">
        <v>1</v>
      </c>
      <c r="AC472" s="84">
        <v>1</v>
      </c>
      <c r="AD472" s="84">
        <v>0</v>
      </c>
      <c r="AE472" s="84">
        <v>0</v>
      </c>
      <c r="AF472" s="84">
        <v>0</v>
      </c>
      <c r="AG472" s="84">
        <v>0</v>
      </c>
      <c r="AH472" s="84">
        <v>0</v>
      </c>
      <c r="AI472" s="84">
        <v>0</v>
      </c>
      <c r="AJ472" s="84">
        <v>0</v>
      </c>
      <c r="AK472" s="84">
        <v>0</v>
      </c>
      <c r="AL472" s="84" cm="1">
        <f t="array" ref="AL4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2" s="84" cm="1">
        <f t="array" ref="AM4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2" s="84" cm="1">
        <f t="array" ref="AN4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2" s="84" cm="1">
        <f t="array" ref="AO4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2" s="84" cm="1">
        <f t="array" ref="AP4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2" s="84" cm="1">
        <f t="array" ref="AQ4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2" s="84" cm="1">
        <f t="array" ref="AR4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2" s="84" cm="1">
        <f t="array" ref="AS4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2" s="84" cm="1">
        <f t="array" ref="AT4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2" s="84" cm="1">
        <f t="array" ref="AU4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2" s="84" cm="1">
        <f t="array" ref="AV4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2" s="84" cm="1">
        <f t="array" ref="AW4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2" s="84" cm="1">
        <f t="array" ref="AX4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2" s="84" cm="1">
        <f t="array" ref="AY4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2" s="84" cm="1">
        <f t="array" ref="AZ4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2" s="84" cm="1">
        <f t="array" ref="BA4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2" s="84" cm="1">
        <f t="array" ref="BB4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2" s="84">
        <f>IF(SUM(Table3[[#This Row],[Column2]:[Column18]])&gt;Table3[[#This Row],[Column19]],Table3[[#This Row],[Column19]],SUM(Table3[[#This Row],[Column2]:[Column18]]))</f>
        <v>50000</v>
      </c>
      <c r="BD472" s="2">
        <f>Table3[[#This Row],[Total Spend]]/SUM(Table3[[#This Row],[Column2]:[Column18]])</f>
        <v>0.49164208456243852</v>
      </c>
    </row>
    <row r="473" spans="1:56">
      <c r="A473" s="84" t="s">
        <v>547</v>
      </c>
      <c r="B473" s="84"/>
      <c r="C473" s="84"/>
      <c r="D473" s="85">
        <v>45566</v>
      </c>
      <c r="E473" s="85" t="s">
        <v>92</v>
      </c>
      <c r="F473" s="84">
        <f>INDEX(Definitions!$G$13:$G$17,MATCH(Table3[[#This Row],[Propensity to buy/ buyer readiness]],Definitions!$A$13:$A$17,0))</f>
        <v>50000</v>
      </c>
      <c r="G473" s="86">
        <v>5</v>
      </c>
      <c r="H473" s="86">
        <v>5</v>
      </c>
      <c r="I473" s="86">
        <v>2</v>
      </c>
      <c r="J473" s="86">
        <v>4</v>
      </c>
      <c r="K473" s="86">
        <v>3</v>
      </c>
      <c r="L473" s="86">
        <f>SUM(Table3[[#This Row],[Strategic priority segment]:[Propensity to buy/ buyer readiness]])</f>
        <v>19</v>
      </c>
      <c r="M473" s="86" t="s">
        <v>102</v>
      </c>
      <c r="N473" s="84" t="s">
        <v>61</v>
      </c>
      <c r="O473" s="84"/>
      <c r="P473" s="87"/>
      <c r="Q473" s="87"/>
      <c r="R473" s="84"/>
      <c r="S473" s="87"/>
      <c r="T473" s="87"/>
      <c r="U473" s="84">
        <v>1</v>
      </c>
      <c r="V473" s="84">
        <v>0</v>
      </c>
      <c r="W473" s="84">
        <v>0</v>
      </c>
      <c r="X473" s="84">
        <v>0</v>
      </c>
      <c r="Y473" s="84">
        <v>0</v>
      </c>
      <c r="Z473" s="84">
        <v>1</v>
      </c>
      <c r="AA473" s="84">
        <v>1</v>
      </c>
      <c r="AB473" s="84">
        <v>1</v>
      </c>
      <c r="AC473" s="84">
        <v>1</v>
      </c>
      <c r="AD473" s="84">
        <v>0</v>
      </c>
      <c r="AE473" s="84">
        <v>0</v>
      </c>
      <c r="AF473" s="84">
        <v>0</v>
      </c>
      <c r="AG473" s="84">
        <v>0</v>
      </c>
      <c r="AH473" s="84">
        <v>0</v>
      </c>
      <c r="AI473" s="84">
        <v>0</v>
      </c>
      <c r="AJ473" s="84">
        <v>0</v>
      </c>
      <c r="AK473" s="84">
        <v>0</v>
      </c>
      <c r="AL473" s="84" cm="1">
        <f t="array" ref="AL4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3" s="84" cm="1">
        <f t="array" ref="AM4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3" s="84" cm="1">
        <f t="array" ref="AN4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3" s="84" cm="1">
        <f t="array" ref="AO4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3" s="84" cm="1">
        <f t="array" ref="AP4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3" s="84" cm="1">
        <f t="array" ref="AQ4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3" s="84" cm="1">
        <f t="array" ref="AR4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3" s="84" cm="1">
        <f t="array" ref="AS4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3" s="84" cm="1">
        <f t="array" ref="AT4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3" s="84" cm="1">
        <f t="array" ref="AU4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3" s="84" cm="1">
        <f t="array" ref="AV4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3" s="84" cm="1">
        <f t="array" ref="AW4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3" s="84" cm="1">
        <f t="array" ref="AX4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3" s="84" cm="1">
        <f t="array" ref="AY4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3" s="84" cm="1">
        <f t="array" ref="AZ4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3" s="84" cm="1">
        <f t="array" ref="BA4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3" s="84" cm="1">
        <f t="array" ref="BB4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3" s="84">
        <f>IF(SUM(Table3[[#This Row],[Column2]:[Column18]])&gt;Table3[[#This Row],[Column19]],Table3[[#This Row],[Column19]],SUM(Table3[[#This Row],[Column2]:[Column18]]))</f>
        <v>50000</v>
      </c>
      <c r="BD473" s="2">
        <f>Table3[[#This Row],[Total Spend]]/SUM(Table3[[#This Row],[Column2]:[Column18]])</f>
        <v>0.49164208456243852</v>
      </c>
    </row>
    <row r="474" spans="1:56">
      <c r="A474" s="84" t="s">
        <v>548</v>
      </c>
      <c r="B474" s="84"/>
      <c r="C474" s="84"/>
      <c r="D474" s="85">
        <v>45566</v>
      </c>
      <c r="E474" s="85" t="s">
        <v>92</v>
      </c>
      <c r="F474" s="84">
        <f>INDEX(Definitions!$G$13:$G$17,MATCH(Table3[[#This Row],[Propensity to buy/ buyer readiness]],Definitions!$A$13:$A$17,0))</f>
        <v>50000</v>
      </c>
      <c r="G474" s="86">
        <v>5</v>
      </c>
      <c r="H474" s="86">
        <v>5</v>
      </c>
      <c r="I474" s="86">
        <v>2</v>
      </c>
      <c r="J474" s="86">
        <v>4</v>
      </c>
      <c r="K474" s="86">
        <v>3</v>
      </c>
      <c r="L474" s="86">
        <f>SUM(Table3[[#This Row],[Strategic priority segment]:[Propensity to buy/ buyer readiness]])</f>
        <v>19</v>
      </c>
      <c r="M474" s="86" t="s">
        <v>102</v>
      </c>
      <c r="N474" s="84" t="s">
        <v>61</v>
      </c>
      <c r="O474" s="84"/>
      <c r="P474" s="87"/>
      <c r="Q474" s="87"/>
      <c r="R474" s="84"/>
      <c r="S474" s="87"/>
      <c r="T474" s="87"/>
      <c r="U474" s="84">
        <v>1</v>
      </c>
      <c r="V474" s="84">
        <v>0</v>
      </c>
      <c r="W474" s="84">
        <v>0</v>
      </c>
      <c r="X474" s="84">
        <v>0</v>
      </c>
      <c r="Y474" s="84">
        <v>0</v>
      </c>
      <c r="Z474" s="84">
        <v>1</v>
      </c>
      <c r="AA474" s="84">
        <v>1</v>
      </c>
      <c r="AB474" s="84">
        <v>1</v>
      </c>
      <c r="AC474" s="84">
        <v>1</v>
      </c>
      <c r="AD474" s="84">
        <v>0</v>
      </c>
      <c r="AE474" s="84">
        <v>0</v>
      </c>
      <c r="AF474" s="84">
        <v>0</v>
      </c>
      <c r="AG474" s="84">
        <v>0</v>
      </c>
      <c r="AH474" s="84">
        <v>0</v>
      </c>
      <c r="AI474" s="84">
        <v>0</v>
      </c>
      <c r="AJ474" s="84">
        <v>0</v>
      </c>
      <c r="AK474" s="84">
        <v>0</v>
      </c>
      <c r="AL474" s="84" cm="1">
        <f t="array" ref="AL4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4" s="84" cm="1">
        <f t="array" ref="AM4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4" s="84" cm="1">
        <f t="array" ref="AN4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4" s="84" cm="1">
        <f t="array" ref="AO4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4" s="84" cm="1">
        <f t="array" ref="AP4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4" s="84" cm="1">
        <f t="array" ref="AQ4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4" s="84" cm="1">
        <f t="array" ref="AR4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4" s="84" cm="1">
        <f t="array" ref="AS4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4" s="84" cm="1">
        <f t="array" ref="AT4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4" s="84" cm="1">
        <f t="array" ref="AU4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4" s="84" cm="1">
        <f t="array" ref="AV4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4" s="84" cm="1">
        <f t="array" ref="AW4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4" s="84" cm="1">
        <f t="array" ref="AX4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4" s="84" cm="1">
        <f t="array" ref="AY4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4" s="84" cm="1">
        <f t="array" ref="AZ4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4" s="84" cm="1">
        <f t="array" ref="BA4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4" s="84" cm="1">
        <f t="array" ref="BB4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4" s="84">
        <f>IF(SUM(Table3[[#This Row],[Column2]:[Column18]])&gt;Table3[[#This Row],[Column19]],Table3[[#This Row],[Column19]],SUM(Table3[[#This Row],[Column2]:[Column18]]))</f>
        <v>50000</v>
      </c>
      <c r="BD474" s="2">
        <f>Table3[[#This Row],[Total Spend]]/SUM(Table3[[#This Row],[Column2]:[Column18]])</f>
        <v>0.49164208456243852</v>
      </c>
    </row>
    <row r="475" spans="1:56">
      <c r="A475" s="84" t="s">
        <v>549</v>
      </c>
      <c r="B475" s="84"/>
      <c r="C475" s="84"/>
      <c r="D475" s="85">
        <v>45566</v>
      </c>
      <c r="E475" s="85" t="s">
        <v>92</v>
      </c>
      <c r="F475" s="84">
        <f>INDEX(Definitions!$G$13:$G$17,MATCH(Table3[[#This Row],[Propensity to buy/ buyer readiness]],Definitions!$A$13:$A$17,0))</f>
        <v>50000</v>
      </c>
      <c r="G475" s="86">
        <v>5</v>
      </c>
      <c r="H475" s="86">
        <v>5</v>
      </c>
      <c r="I475" s="86">
        <v>2</v>
      </c>
      <c r="J475" s="86">
        <v>4</v>
      </c>
      <c r="K475" s="86">
        <v>3</v>
      </c>
      <c r="L475" s="86">
        <f>SUM(Table3[[#This Row],[Strategic priority segment]:[Propensity to buy/ buyer readiness]])</f>
        <v>19</v>
      </c>
      <c r="M475" s="86" t="s">
        <v>102</v>
      </c>
      <c r="N475" s="84" t="s">
        <v>61</v>
      </c>
      <c r="O475" s="84"/>
      <c r="P475" s="87"/>
      <c r="Q475" s="87"/>
      <c r="R475" s="84"/>
      <c r="S475" s="87"/>
      <c r="T475" s="87"/>
      <c r="U475" s="84">
        <v>1</v>
      </c>
      <c r="V475" s="84">
        <v>0</v>
      </c>
      <c r="W475" s="84">
        <v>0</v>
      </c>
      <c r="X475" s="84">
        <v>0</v>
      </c>
      <c r="Y475" s="84">
        <v>0</v>
      </c>
      <c r="Z475" s="84">
        <v>1</v>
      </c>
      <c r="AA475" s="84">
        <v>1</v>
      </c>
      <c r="AB475" s="84">
        <v>1</v>
      </c>
      <c r="AC475" s="84">
        <v>1</v>
      </c>
      <c r="AD475" s="84">
        <v>0</v>
      </c>
      <c r="AE475" s="84">
        <v>0</v>
      </c>
      <c r="AF475" s="84">
        <v>0</v>
      </c>
      <c r="AG475" s="84">
        <v>0</v>
      </c>
      <c r="AH475" s="84">
        <v>0</v>
      </c>
      <c r="AI475" s="84">
        <v>0</v>
      </c>
      <c r="AJ475" s="84">
        <v>0</v>
      </c>
      <c r="AK475" s="84">
        <v>0</v>
      </c>
      <c r="AL475" s="84" cm="1">
        <f t="array" ref="AL4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5" s="84" cm="1">
        <f t="array" ref="AM4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5" s="84" cm="1">
        <f t="array" ref="AN4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5" s="84" cm="1">
        <f t="array" ref="AO4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5" s="84" cm="1">
        <f t="array" ref="AP4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5" s="84" cm="1">
        <f t="array" ref="AQ4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5" s="84" cm="1">
        <f t="array" ref="AR4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5" s="84" cm="1">
        <f t="array" ref="AS4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5" s="84" cm="1">
        <f t="array" ref="AT4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5" s="84" cm="1">
        <f t="array" ref="AU4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5" s="84" cm="1">
        <f t="array" ref="AV4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5" s="84" cm="1">
        <f t="array" ref="AW4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5" s="84" cm="1">
        <f t="array" ref="AX4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5" s="84" cm="1">
        <f t="array" ref="AY4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5" s="84" cm="1">
        <f t="array" ref="AZ4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5" s="84" cm="1">
        <f t="array" ref="BA4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5" s="84" cm="1">
        <f t="array" ref="BB4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5" s="84">
        <f>IF(SUM(Table3[[#This Row],[Column2]:[Column18]])&gt;Table3[[#This Row],[Column19]],Table3[[#This Row],[Column19]],SUM(Table3[[#This Row],[Column2]:[Column18]]))</f>
        <v>50000</v>
      </c>
      <c r="BD475" s="2">
        <f>Table3[[#This Row],[Total Spend]]/SUM(Table3[[#This Row],[Column2]:[Column18]])</f>
        <v>0.49164208456243852</v>
      </c>
    </row>
    <row r="476" spans="1:56">
      <c r="A476" s="88" t="s">
        <v>550</v>
      </c>
      <c r="B476" s="88"/>
      <c r="C476" s="88"/>
      <c r="D476" s="85">
        <v>45566</v>
      </c>
      <c r="E476" s="85" t="s">
        <v>92</v>
      </c>
      <c r="F476" s="84">
        <f>INDEX(Definitions!$G$13:$G$17,MATCH(Table3[[#This Row],[Propensity to buy/ buyer readiness]],Definitions!$A$13:$A$17,0))</f>
        <v>50000</v>
      </c>
      <c r="G476" s="86">
        <v>5</v>
      </c>
      <c r="H476" s="86">
        <v>5</v>
      </c>
      <c r="I476" s="86">
        <v>2</v>
      </c>
      <c r="J476" s="86">
        <v>4</v>
      </c>
      <c r="K476" s="86">
        <v>3</v>
      </c>
      <c r="L476" s="86">
        <f>SUM(Table3[[#This Row],[Strategic priority segment]:[Propensity to buy/ buyer readiness]])</f>
        <v>19</v>
      </c>
      <c r="M476" s="86" t="s">
        <v>102</v>
      </c>
      <c r="N476" s="84" t="s">
        <v>61</v>
      </c>
      <c r="O476" s="84"/>
      <c r="P476" s="87"/>
      <c r="Q476" s="87"/>
      <c r="R476" s="84"/>
      <c r="S476" s="87"/>
      <c r="T476" s="87"/>
      <c r="U476" s="84">
        <v>1</v>
      </c>
      <c r="V476" s="84">
        <v>0</v>
      </c>
      <c r="W476" s="84">
        <v>0</v>
      </c>
      <c r="X476" s="84">
        <v>0</v>
      </c>
      <c r="Y476" s="84">
        <v>0</v>
      </c>
      <c r="Z476" s="84">
        <v>1</v>
      </c>
      <c r="AA476" s="84">
        <v>1</v>
      </c>
      <c r="AB476" s="84">
        <v>1</v>
      </c>
      <c r="AC476" s="84">
        <v>1</v>
      </c>
      <c r="AD476" s="84">
        <v>0</v>
      </c>
      <c r="AE476" s="84">
        <v>0</v>
      </c>
      <c r="AF476" s="84">
        <v>0</v>
      </c>
      <c r="AG476" s="84">
        <v>0</v>
      </c>
      <c r="AH476" s="84">
        <v>0</v>
      </c>
      <c r="AI476" s="84">
        <v>0</v>
      </c>
      <c r="AJ476" s="84">
        <v>0</v>
      </c>
      <c r="AK476" s="84">
        <v>0</v>
      </c>
      <c r="AL476" s="84" cm="1">
        <f t="array" ref="AL4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6" s="84" cm="1">
        <f t="array" ref="AM4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6" s="84" cm="1">
        <f t="array" ref="AN4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6" s="84" cm="1">
        <f t="array" ref="AO4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6" s="84" cm="1">
        <f t="array" ref="AP4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6" s="84" cm="1">
        <f t="array" ref="AQ4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6" s="84" cm="1">
        <f t="array" ref="AR4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6" s="84" cm="1">
        <f t="array" ref="AS4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6" s="84" cm="1">
        <f t="array" ref="AT4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6" s="84" cm="1">
        <f t="array" ref="AU4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6" s="84" cm="1">
        <f t="array" ref="AV4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6" s="84" cm="1">
        <f t="array" ref="AW4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6" s="84" cm="1">
        <f t="array" ref="AX4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6" s="84" cm="1">
        <f t="array" ref="AY4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6" s="84" cm="1">
        <f t="array" ref="AZ4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6" s="84" cm="1">
        <f t="array" ref="BA4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6" s="84" cm="1">
        <f t="array" ref="BB4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6" s="84">
        <f>IF(SUM(Table3[[#This Row],[Column2]:[Column18]])&gt;Table3[[#This Row],[Column19]],Table3[[#This Row],[Column19]],SUM(Table3[[#This Row],[Column2]:[Column18]]))</f>
        <v>50000</v>
      </c>
      <c r="BD476" s="2">
        <f>Table3[[#This Row],[Total Spend]]/SUM(Table3[[#This Row],[Column2]:[Column18]])</f>
        <v>0.49164208456243852</v>
      </c>
    </row>
    <row r="477" spans="1:56">
      <c r="A477" s="84" t="s">
        <v>551</v>
      </c>
      <c r="B477" s="84"/>
      <c r="C477" s="84"/>
      <c r="D477" s="85">
        <v>45566</v>
      </c>
      <c r="E477" s="85" t="s">
        <v>92</v>
      </c>
      <c r="F477" s="84">
        <f>INDEX(Definitions!$G$13:$G$17,MATCH(Table3[[#This Row],[Propensity to buy/ buyer readiness]],Definitions!$A$13:$A$17,0))</f>
        <v>50000</v>
      </c>
      <c r="G477" s="86">
        <v>5</v>
      </c>
      <c r="H477" s="86">
        <v>5</v>
      </c>
      <c r="I477" s="86">
        <v>2</v>
      </c>
      <c r="J477" s="86">
        <v>4</v>
      </c>
      <c r="K477" s="86">
        <v>3</v>
      </c>
      <c r="L477" s="86">
        <f>SUM(Table3[[#This Row],[Strategic priority segment]:[Propensity to buy/ buyer readiness]])</f>
        <v>19</v>
      </c>
      <c r="M477" s="86" t="s">
        <v>102</v>
      </c>
      <c r="N477" s="84" t="s">
        <v>61</v>
      </c>
      <c r="O477" s="87"/>
      <c r="P477" s="87"/>
      <c r="Q477" s="87"/>
      <c r="R477" s="87"/>
      <c r="S477" s="87"/>
      <c r="T477" s="87"/>
      <c r="U477" s="84">
        <v>1</v>
      </c>
      <c r="V477" s="84">
        <v>0</v>
      </c>
      <c r="W477" s="84">
        <v>0</v>
      </c>
      <c r="X477" s="84">
        <v>0</v>
      </c>
      <c r="Y477" s="84">
        <v>0</v>
      </c>
      <c r="Z477" s="84">
        <v>1</v>
      </c>
      <c r="AA477" s="84">
        <v>1</v>
      </c>
      <c r="AB477" s="84">
        <v>1</v>
      </c>
      <c r="AC477" s="84">
        <v>1</v>
      </c>
      <c r="AD477" s="84">
        <v>0</v>
      </c>
      <c r="AE477" s="84">
        <v>0</v>
      </c>
      <c r="AF477" s="84">
        <v>0</v>
      </c>
      <c r="AG477" s="84">
        <v>0</v>
      </c>
      <c r="AH477" s="84">
        <v>0</v>
      </c>
      <c r="AI477" s="84">
        <v>0</v>
      </c>
      <c r="AJ477" s="84">
        <v>0</v>
      </c>
      <c r="AK477" s="84">
        <v>0</v>
      </c>
      <c r="AL477" s="84" cm="1">
        <f t="array" ref="AL4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7" s="84" cm="1">
        <f t="array" ref="AM4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7" s="84" cm="1">
        <f t="array" ref="AN4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7" s="84" cm="1">
        <f t="array" ref="AO4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7" s="84" cm="1">
        <f t="array" ref="AP4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7" s="84" cm="1">
        <f t="array" ref="AQ4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7" s="84" cm="1">
        <f t="array" ref="AR4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7" s="84" cm="1">
        <f t="array" ref="AS4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7" s="84" cm="1">
        <f t="array" ref="AT4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7" s="84" cm="1">
        <f t="array" ref="AU4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77" s="84" cm="1">
        <f t="array" ref="AV4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77" s="84" cm="1">
        <f t="array" ref="AW4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77" s="84" cm="1">
        <f t="array" ref="AX4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77" s="84" cm="1">
        <f t="array" ref="AY4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7" s="84" cm="1">
        <f t="array" ref="AZ4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7" s="84" cm="1">
        <f t="array" ref="BA4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7" s="84" cm="1">
        <f t="array" ref="BB4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7" s="84">
        <f>IF(SUM(Table3[[#This Row],[Column2]:[Column18]])&gt;Table3[[#This Row],[Column19]],Table3[[#This Row],[Column19]],SUM(Table3[[#This Row],[Column2]:[Column18]]))</f>
        <v>50000</v>
      </c>
      <c r="BD477" s="2">
        <f>Table3[[#This Row],[Total Spend]]/SUM(Table3[[#This Row],[Column2]:[Column18]])</f>
        <v>0.49164208456243852</v>
      </c>
    </row>
    <row r="478" spans="1:56">
      <c r="A478" s="84" t="s">
        <v>552</v>
      </c>
      <c r="B478" s="84" t="s">
        <v>57</v>
      </c>
      <c r="C478" s="84" t="s">
        <v>57</v>
      </c>
      <c r="D478" s="85">
        <v>45566</v>
      </c>
      <c r="E478" s="85" t="s">
        <v>92</v>
      </c>
      <c r="F478" s="84">
        <f>INDEX(Definitions!$G$13:$G$17,MATCH(Table3[[#This Row],[Propensity to buy/ buyer readiness]],Definitions!$A$13:$A$17,0))</f>
        <v>50000</v>
      </c>
      <c r="G478" s="86">
        <v>5</v>
      </c>
      <c r="H478" s="86">
        <v>4</v>
      </c>
      <c r="I478" s="86">
        <v>4</v>
      </c>
      <c r="J478" s="86">
        <v>3</v>
      </c>
      <c r="K478" s="86">
        <v>3</v>
      </c>
      <c r="L478" s="86">
        <f>SUM(Table3[[#This Row],[Strategic priority segment]:[Propensity to buy/ buyer readiness]])</f>
        <v>19</v>
      </c>
      <c r="M478" s="86" t="s">
        <v>66</v>
      </c>
      <c r="N478" s="84" t="s">
        <v>62</v>
      </c>
      <c r="O478" s="84" t="s">
        <v>61</v>
      </c>
      <c r="P478" s="87"/>
      <c r="Q478" s="87"/>
      <c r="R478" s="84"/>
      <c r="S478" s="84"/>
      <c r="T478" s="87"/>
      <c r="U478" s="84">
        <v>1</v>
      </c>
      <c r="V478" s="84">
        <v>0</v>
      </c>
      <c r="W478" s="84">
        <v>0</v>
      </c>
      <c r="X478" s="84">
        <v>0</v>
      </c>
      <c r="Y478" s="84">
        <v>0</v>
      </c>
      <c r="Z478" s="84">
        <v>1</v>
      </c>
      <c r="AA478" s="84">
        <v>1</v>
      </c>
      <c r="AB478" s="84">
        <v>1</v>
      </c>
      <c r="AC478" s="84">
        <v>1</v>
      </c>
      <c r="AD478" s="84">
        <v>1</v>
      </c>
      <c r="AE478" s="84">
        <v>1</v>
      </c>
      <c r="AF478" s="84">
        <v>1</v>
      </c>
      <c r="AG478" s="84">
        <v>1</v>
      </c>
      <c r="AH478" s="84">
        <v>0</v>
      </c>
      <c r="AI478" s="84">
        <v>0</v>
      </c>
      <c r="AJ478" s="84">
        <v>0</v>
      </c>
      <c r="AK478" s="84">
        <v>0</v>
      </c>
      <c r="AL478" s="84" cm="1">
        <f t="array" ref="AL4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8" s="84" cm="1">
        <f t="array" ref="AM4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8" s="84" cm="1">
        <f t="array" ref="AN4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8" s="84" cm="1">
        <f t="array" ref="AO4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8" s="84" cm="1">
        <f t="array" ref="AP4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8" s="84" cm="1">
        <f t="array" ref="AQ4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8" s="84" cm="1">
        <f t="array" ref="AR4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8" s="84" cm="1">
        <f t="array" ref="AS4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8" s="84" cm="1">
        <f t="array" ref="AT4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8" s="84" cm="1">
        <f t="array" ref="AU4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78" s="84" cm="1">
        <f t="array" ref="AV4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78" s="84" cm="1">
        <f t="array" ref="AW4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78" s="84" cm="1">
        <f t="array" ref="AX4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78" s="84" cm="1">
        <f t="array" ref="AY4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8" s="84" cm="1">
        <f t="array" ref="AZ4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8" s="84" cm="1">
        <f t="array" ref="BA4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8" s="84" cm="1">
        <f t="array" ref="BB4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8" s="84">
        <f>IF(SUM(Table3[[#This Row],[Column2]:[Column18]])&gt;Table3[[#This Row],[Column19]],Table3[[#This Row],[Column19]],SUM(Table3[[#This Row],[Column2]:[Column18]]))</f>
        <v>50000</v>
      </c>
      <c r="BD478" s="2">
        <f>Table3[[#This Row],[Total Spend]]/SUM(Table3[[#This Row],[Column2]:[Column18]])</f>
        <v>0.2664535038635758</v>
      </c>
    </row>
    <row r="479" spans="1:56">
      <c r="A479" s="84" t="s">
        <v>553</v>
      </c>
      <c r="B479" s="84" t="s">
        <v>57</v>
      </c>
      <c r="C479" s="84" t="s">
        <v>57</v>
      </c>
      <c r="D479" s="85">
        <v>45566</v>
      </c>
      <c r="E479" s="85" t="s">
        <v>92</v>
      </c>
      <c r="F479" s="84">
        <f>INDEX(Definitions!$G$13:$G$17,MATCH(Table3[[#This Row],[Propensity to buy/ buyer readiness]],Definitions!$A$13:$A$17,0))</f>
        <v>50000</v>
      </c>
      <c r="G479" s="86">
        <v>5</v>
      </c>
      <c r="H479" s="86">
        <v>4</v>
      </c>
      <c r="I479" s="86">
        <v>4</v>
      </c>
      <c r="J479" s="86">
        <v>3</v>
      </c>
      <c r="K479" s="86">
        <v>3</v>
      </c>
      <c r="L479" s="86">
        <f>SUM(Table3[[#This Row],[Strategic priority segment]:[Propensity to buy/ buyer readiness]])</f>
        <v>19</v>
      </c>
      <c r="M479" s="86" t="s">
        <v>66</v>
      </c>
      <c r="N479" s="84" t="s">
        <v>62</v>
      </c>
      <c r="O479" s="84" t="s">
        <v>61</v>
      </c>
      <c r="P479" s="87"/>
      <c r="Q479" s="87"/>
      <c r="R479" s="84"/>
      <c r="S479" s="84"/>
      <c r="T479" s="87"/>
      <c r="U479" s="84">
        <v>1</v>
      </c>
      <c r="V479" s="84">
        <v>0</v>
      </c>
      <c r="W479" s="84">
        <v>0</v>
      </c>
      <c r="X479" s="84">
        <v>0</v>
      </c>
      <c r="Y479" s="84">
        <v>0</v>
      </c>
      <c r="Z479" s="84">
        <v>1</v>
      </c>
      <c r="AA479" s="84">
        <v>1</v>
      </c>
      <c r="AB479" s="84">
        <v>1</v>
      </c>
      <c r="AC479" s="84">
        <v>1</v>
      </c>
      <c r="AD479" s="84">
        <v>1</v>
      </c>
      <c r="AE479" s="84">
        <v>1</v>
      </c>
      <c r="AF479" s="84">
        <v>1</v>
      </c>
      <c r="AG479" s="84">
        <v>1</v>
      </c>
      <c r="AH479" s="84">
        <v>0</v>
      </c>
      <c r="AI479" s="84">
        <v>0</v>
      </c>
      <c r="AJ479" s="84">
        <v>0</v>
      </c>
      <c r="AK479" s="84">
        <v>0</v>
      </c>
      <c r="AL479" s="84" cm="1">
        <f t="array" ref="AL4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79" s="84" cm="1">
        <f t="array" ref="AM4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79" s="84" cm="1">
        <f t="array" ref="AN4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79" s="84" cm="1">
        <f t="array" ref="AO4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79" s="84" cm="1">
        <f t="array" ref="AP4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79" s="84" cm="1">
        <f t="array" ref="AQ4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79" s="84" cm="1">
        <f t="array" ref="AR4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79" s="84" cm="1">
        <f t="array" ref="AS4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79" s="84" cm="1">
        <f t="array" ref="AT4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79" s="84" cm="1">
        <f t="array" ref="AU4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79" s="84" cm="1">
        <f t="array" ref="AV4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79" s="84" cm="1">
        <f t="array" ref="AW4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79" s="84" cm="1">
        <f t="array" ref="AX4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79" s="84" cm="1">
        <f t="array" ref="AY4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79" s="84" cm="1">
        <f t="array" ref="AZ4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79" s="84" cm="1">
        <f t="array" ref="BA4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79" s="84" cm="1">
        <f t="array" ref="BB4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79" s="84">
        <f>IF(SUM(Table3[[#This Row],[Column2]:[Column18]])&gt;Table3[[#This Row],[Column19]],Table3[[#This Row],[Column19]],SUM(Table3[[#This Row],[Column2]:[Column18]]))</f>
        <v>50000</v>
      </c>
      <c r="BD479" s="2">
        <f>Table3[[#This Row],[Total Spend]]/SUM(Table3[[#This Row],[Column2]:[Column18]])</f>
        <v>0.2664535038635758</v>
      </c>
    </row>
    <row r="480" spans="1:56" ht="15.75" customHeight="1">
      <c r="A480" s="84" t="s">
        <v>554</v>
      </c>
      <c r="B480" s="84" t="s">
        <v>57</v>
      </c>
      <c r="C480" s="84" t="s">
        <v>57</v>
      </c>
      <c r="D480" s="85">
        <v>45566</v>
      </c>
      <c r="E480" s="85" t="s">
        <v>92</v>
      </c>
      <c r="F480" s="84">
        <f>INDEX(Definitions!$G$13:$G$17,MATCH(Table3[[#This Row],[Propensity to buy/ buyer readiness]],Definitions!$A$13:$A$17,0))</f>
        <v>50000</v>
      </c>
      <c r="G480" s="86">
        <v>5</v>
      </c>
      <c r="H480" s="86">
        <v>4</v>
      </c>
      <c r="I480" s="86">
        <v>4</v>
      </c>
      <c r="J480" s="86">
        <v>3</v>
      </c>
      <c r="K480" s="86">
        <v>3</v>
      </c>
      <c r="L480" s="86">
        <f>SUM(Table3[[#This Row],[Strategic priority segment]:[Propensity to buy/ buyer readiness]])</f>
        <v>19</v>
      </c>
      <c r="M480" s="86" t="s">
        <v>66</v>
      </c>
      <c r="N480" s="84" t="s">
        <v>62</v>
      </c>
      <c r="O480" s="84"/>
      <c r="P480" s="87"/>
      <c r="Q480" s="87"/>
      <c r="R480" s="84"/>
      <c r="S480" s="84"/>
      <c r="T480" s="87"/>
      <c r="U480" s="84">
        <v>1</v>
      </c>
      <c r="V480" s="84">
        <v>0</v>
      </c>
      <c r="W480" s="84">
        <v>0</v>
      </c>
      <c r="X480" s="84">
        <v>0</v>
      </c>
      <c r="Y480" s="84">
        <v>0</v>
      </c>
      <c r="Z480" s="84">
        <v>0</v>
      </c>
      <c r="AA480" s="84">
        <v>0</v>
      </c>
      <c r="AB480" s="84">
        <v>0</v>
      </c>
      <c r="AC480" s="84">
        <v>0</v>
      </c>
      <c r="AD480" s="84">
        <v>1</v>
      </c>
      <c r="AE480" s="84">
        <v>1</v>
      </c>
      <c r="AF480" s="84">
        <v>1</v>
      </c>
      <c r="AG480" s="84">
        <v>1</v>
      </c>
      <c r="AH480" s="84">
        <v>0</v>
      </c>
      <c r="AI480" s="84">
        <v>0</v>
      </c>
      <c r="AJ480" s="84">
        <v>0</v>
      </c>
      <c r="AK480" s="84">
        <v>0</v>
      </c>
      <c r="AL480" s="84" cm="1">
        <f t="array" ref="AL4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0" s="84" cm="1">
        <f t="array" ref="AM4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0" s="84" cm="1">
        <f t="array" ref="AN4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0" s="84" cm="1">
        <f t="array" ref="AO4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0" s="84" cm="1">
        <f t="array" ref="AP4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0" s="84" cm="1">
        <f t="array" ref="AQ4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80" s="84" cm="1">
        <f t="array" ref="AR4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80" s="84" cm="1">
        <f t="array" ref="AS4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80" s="84" cm="1">
        <f t="array" ref="AT4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80" s="84" cm="1">
        <f t="array" ref="AU4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80" s="84" cm="1">
        <f t="array" ref="AV4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80" s="84" cm="1">
        <f t="array" ref="AW4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80" s="84" cm="1">
        <f t="array" ref="AX4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80" s="84" cm="1">
        <f t="array" ref="AY4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0" s="84" cm="1">
        <f t="array" ref="AZ4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0" s="84" cm="1">
        <f t="array" ref="BA4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0" s="84" cm="1">
        <f t="array" ref="BB4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0" s="84">
        <f>IF(SUM(Table3[[#This Row],[Column2]:[Column18]])&gt;Table3[[#This Row],[Column19]],Table3[[#This Row],[Column19]],SUM(Table3[[#This Row],[Column2]:[Column18]]))</f>
        <v>50000</v>
      </c>
      <c r="BD480" s="2">
        <f>Table3[[#This Row],[Total Spend]]/SUM(Table3[[#This Row],[Column2]:[Column18]])</f>
        <v>0.53163211057947901</v>
      </c>
    </row>
    <row r="481" spans="1:56">
      <c r="A481" s="84" t="s">
        <v>555</v>
      </c>
      <c r="B481" s="84"/>
      <c r="C481" s="84"/>
      <c r="D481" s="85">
        <v>45566</v>
      </c>
      <c r="E481" s="85" t="s">
        <v>92</v>
      </c>
      <c r="F481" s="84">
        <f>INDEX(Definitions!$G$13:$G$17,MATCH(Table3[[#This Row],[Propensity to buy/ buyer readiness]],Definitions!$A$13:$A$17,0))</f>
        <v>50000</v>
      </c>
      <c r="G481" s="86">
        <v>5</v>
      </c>
      <c r="H481" s="86">
        <v>5</v>
      </c>
      <c r="I481" s="86">
        <v>2</v>
      </c>
      <c r="J481" s="86">
        <v>4</v>
      </c>
      <c r="K481" s="86">
        <v>3</v>
      </c>
      <c r="L481" s="86">
        <f>SUM(Table3[[#This Row],[Strategic priority segment]:[Propensity to buy/ buyer readiness]])</f>
        <v>19</v>
      </c>
      <c r="M481" s="86" t="s">
        <v>102</v>
      </c>
      <c r="N481" s="84" t="s">
        <v>61</v>
      </c>
      <c r="O481" s="84"/>
      <c r="P481" s="87"/>
      <c r="Q481" s="87"/>
      <c r="R481" s="84"/>
      <c r="S481" s="87"/>
      <c r="T481" s="87"/>
      <c r="U481" s="84">
        <v>1</v>
      </c>
      <c r="V481" s="84">
        <v>0</v>
      </c>
      <c r="W481" s="84">
        <v>0</v>
      </c>
      <c r="X481" s="84">
        <v>0</v>
      </c>
      <c r="Y481" s="84">
        <v>0</v>
      </c>
      <c r="Z481" s="84">
        <v>1</v>
      </c>
      <c r="AA481" s="84">
        <v>1</v>
      </c>
      <c r="AB481" s="84">
        <v>1</v>
      </c>
      <c r="AC481" s="84">
        <v>1</v>
      </c>
      <c r="AD481" s="84">
        <v>0</v>
      </c>
      <c r="AE481" s="84">
        <v>0</v>
      </c>
      <c r="AF481" s="84">
        <v>0</v>
      </c>
      <c r="AG481" s="84">
        <v>0</v>
      </c>
      <c r="AH481" s="84">
        <v>0</v>
      </c>
      <c r="AI481" s="84">
        <v>0</v>
      </c>
      <c r="AJ481" s="84">
        <v>0</v>
      </c>
      <c r="AK481" s="84">
        <v>0</v>
      </c>
      <c r="AL481" s="84" cm="1">
        <f t="array" ref="AL4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1" s="84" cm="1">
        <f t="array" ref="AM4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1" s="84" cm="1">
        <f t="array" ref="AN4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1" s="84" cm="1">
        <f t="array" ref="AO4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1" s="84" cm="1">
        <f t="array" ref="AP4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1" s="84" cm="1">
        <f t="array" ref="AQ4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1" s="84" cm="1">
        <f t="array" ref="AR4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1" s="84" cm="1">
        <f t="array" ref="AS4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1" s="84" cm="1">
        <f t="array" ref="AT4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1" s="84" cm="1">
        <f t="array" ref="AU4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1" s="84" cm="1">
        <f t="array" ref="AV4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1" s="84" cm="1">
        <f t="array" ref="AW4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1" s="84" cm="1">
        <f t="array" ref="AX4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1" s="84" cm="1">
        <f t="array" ref="AY4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1" s="84" cm="1">
        <f t="array" ref="AZ4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1" s="84" cm="1">
        <f t="array" ref="BA4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1" s="84" cm="1">
        <f t="array" ref="BB4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1" s="84">
        <f>IF(SUM(Table3[[#This Row],[Column2]:[Column18]])&gt;Table3[[#This Row],[Column19]],Table3[[#This Row],[Column19]],SUM(Table3[[#This Row],[Column2]:[Column18]]))</f>
        <v>50000</v>
      </c>
      <c r="BD481" s="2">
        <f>Table3[[#This Row],[Total Spend]]/SUM(Table3[[#This Row],[Column2]:[Column18]])</f>
        <v>0.49164208456243852</v>
      </c>
    </row>
    <row r="482" spans="1:56">
      <c r="A482" s="84" t="s">
        <v>556</v>
      </c>
      <c r="B482" s="84"/>
      <c r="C482" s="84"/>
      <c r="D482" s="85">
        <v>45566</v>
      </c>
      <c r="E482" s="85" t="s">
        <v>92</v>
      </c>
      <c r="F482" s="84">
        <f>INDEX(Definitions!$G$13:$G$17,MATCH(Table3[[#This Row],[Propensity to buy/ buyer readiness]],Definitions!$A$13:$A$17,0))</f>
        <v>50000</v>
      </c>
      <c r="G482" s="86">
        <v>5</v>
      </c>
      <c r="H482" s="86">
        <v>5</v>
      </c>
      <c r="I482" s="86">
        <v>2</v>
      </c>
      <c r="J482" s="86">
        <v>4</v>
      </c>
      <c r="K482" s="86">
        <v>3</v>
      </c>
      <c r="L482" s="86">
        <f>SUM(Table3[[#This Row],[Strategic priority segment]:[Propensity to buy/ buyer readiness]])</f>
        <v>19</v>
      </c>
      <c r="M482" s="86" t="s">
        <v>102</v>
      </c>
      <c r="N482" s="84" t="s">
        <v>61</v>
      </c>
      <c r="O482" s="84"/>
      <c r="P482" s="87"/>
      <c r="Q482" s="87"/>
      <c r="R482" s="84"/>
      <c r="S482" s="87"/>
      <c r="T482" s="87"/>
      <c r="U482" s="84">
        <v>1</v>
      </c>
      <c r="V482" s="84">
        <v>0</v>
      </c>
      <c r="W482" s="84">
        <v>0</v>
      </c>
      <c r="X482" s="84">
        <v>0</v>
      </c>
      <c r="Y482" s="84">
        <v>0</v>
      </c>
      <c r="Z482" s="84">
        <v>1</v>
      </c>
      <c r="AA482" s="84">
        <v>1</v>
      </c>
      <c r="AB482" s="84">
        <v>1</v>
      </c>
      <c r="AC482" s="84">
        <v>1</v>
      </c>
      <c r="AD482" s="84">
        <v>0</v>
      </c>
      <c r="AE482" s="84">
        <v>0</v>
      </c>
      <c r="AF482" s="84">
        <v>0</v>
      </c>
      <c r="AG482" s="84">
        <v>0</v>
      </c>
      <c r="AH482" s="84">
        <v>0</v>
      </c>
      <c r="AI482" s="84">
        <v>0</v>
      </c>
      <c r="AJ482" s="84">
        <v>0</v>
      </c>
      <c r="AK482" s="84">
        <v>0</v>
      </c>
      <c r="AL482" s="84" cm="1">
        <f t="array" ref="AL4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2" s="84" cm="1">
        <f t="array" ref="AM4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2" s="84" cm="1">
        <f t="array" ref="AN4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2" s="84" cm="1">
        <f t="array" ref="AO4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2" s="84" cm="1">
        <f t="array" ref="AP4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2" s="84" cm="1">
        <f t="array" ref="AQ4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2" s="84" cm="1">
        <f t="array" ref="AR4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2" s="84" cm="1">
        <f t="array" ref="AS4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2" s="84" cm="1">
        <f t="array" ref="AT4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2" s="84" cm="1">
        <f t="array" ref="AU4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2" s="84" cm="1">
        <f t="array" ref="AV4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2" s="84" cm="1">
        <f t="array" ref="AW4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2" s="84" cm="1">
        <f t="array" ref="AX4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2" s="84" cm="1">
        <f t="array" ref="AY4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2" s="84" cm="1">
        <f t="array" ref="AZ4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2" s="84" cm="1">
        <f t="array" ref="BA4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2" s="84" cm="1">
        <f t="array" ref="BB4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2" s="84">
        <f>IF(SUM(Table3[[#This Row],[Column2]:[Column18]])&gt;Table3[[#This Row],[Column19]],Table3[[#This Row],[Column19]],SUM(Table3[[#This Row],[Column2]:[Column18]]))</f>
        <v>50000</v>
      </c>
      <c r="BD482" s="2">
        <f>Table3[[#This Row],[Total Spend]]/SUM(Table3[[#This Row],[Column2]:[Column18]])</f>
        <v>0.49164208456243852</v>
      </c>
    </row>
    <row r="483" spans="1:56">
      <c r="A483" s="84" t="s">
        <v>557</v>
      </c>
      <c r="B483" s="84"/>
      <c r="C483" s="84"/>
      <c r="D483" s="85">
        <v>45566</v>
      </c>
      <c r="E483" s="85" t="s">
        <v>92</v>
      </c>
      <c r="F483" s="84">
        <f>INDEX(Definitions!$G$13:$G$17,MATCH(Table3[[#This Row],[Propensity to buy/ buyer readiness]],Definitions!$A$13:$A$17,0))</f>
        <v>50000</v>
      </c>
      <c r="G483" s="86">
        <v>5</v>
      </c>
      <c r="H483" s="86">
        <v>5</v>
      </c>
      <c r="I483" s="86">
        <v>2</v>
      </c>
      <c r="J483" s="86">
        <v>4</v>
      </c>
      <c r="K483" s="86">
        <v>3</v>
      </c>
      <c r="L483" s="86">
        <f>SUM(Table3[[#This Row],[Strategic priority segment]:[Propensity to buy/ buyer readiness]])</f>
        <v>19</v>
      </c>
      <c r="M483" s="86" t="s">
        <v>102</v>
      </c>
      <c r="N483" s="84" t="s">
        <v>61</v>
      </c>
      <c r="O483" s="84" t="s">
        <v>62</v>
      </c>
      <c r="P483" s="84"/>
      <c r="Q483" s="84"/>
      <c r="R483" s="84"/>
      <c r="S483" s="84"/>
      <c r="T483" s="84"/>
      <c r="U483" s="84">
        <v>1</v>
      </c>
      <c r="V483" s="84">
        <v>0</v>
      </c>
      <c r="W483" s="84">
        <v>0</v>
      </c>
      <c r="X483" s="84">
        <v>0</v>
      </c>
      <c r="Y483" s="84">
        <v>0</v>
      </c>
      <c r="Z483" s="84">
        <v>1</v>
      </c>
      <c r="AA483" s="84">
        <v>1</v>
      </c>
      <c r="AB483" s="84">
        <v>1</v>
      </c>
      <c r="AC483" s="84">
        <v>1</v>
      </c>
      <c r="AD483" s="84">
        <v>1</v>
      </c>
      <c r="AE483" s="84">
        <v>1</v>
      </c>
      <c r="AF483" s="84">
        <v>1</v>
      </c>
      <c r="AG483" s="84">
        <v>1</v>
      </c>
      <c r="AH483" s="84">
        <v>0</v>
      </c>
      <c r="AI483" s="84">
        <v>0</v>
      </c>
      <c r="AJ483" s="84">
        <v>0</v>
      </c>
      <c r="AK483" s="84">
        <v>0</v>
      </c>
      <c r="AL483" s="84" cm="1">
        <f t="array" ref="AL4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3" s="84" cm="1">
        <f t="array" ref="AM4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3" s="84" cm="1">
        <f t="array" ref="AN4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3" s="84" cm="1">
        <f t="array" ref="AO4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3" s="84" cm="1">
        <f t="array" ref="AP4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3" s="84" cm="1">
        <f t="array" ref="AQ4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3" s="84" cm="1">
        <f t="array" ref="AR4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3" s="84" cm="1">
        <f t="array" ref="AS4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3" s="84" cm="1">
        <f t="array" ref="AT4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3" s="84" cm="1">
        <f t="array" ref="AU4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83" s="84" cm="1">
        <f t="array" ref="AV4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83" s="84" cm="1">
        <f t="array" ref="AW4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83" s="84" cm="1">
        <f t="array" ref="AX4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83" s="84" cm="1">
        <f t="array" ref="AY4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3" s="84" cm="1">
        <f t="array" ref="AZ4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3" s="84" cm="1">
        <f t="array" ref="BA4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3" s="84" cm="1">
        <f t="array" ref="BB4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3" s="84">
        <f>IF(SUM(Table3[[#This Row],[Column2]:[Column18]])&gt;Table3[[#This Row],[Column19]],Table3[[#This Row],[Column19]],SUM(Table3[[#This Row],[Column2]:[Column18]]))</f>
        <v>50000</v>
      </c>
      <c r="BD483" s="2">
        <f>Table3[[#This Row],[Total Spend]]/SUM(Table3[[#This Row],[Column2]:[Column18]])</f>
        <v>0.2664535038635758</v>
      </c>
    </row>
    <row r="484" spans="1:56" ht="15.75" customHeight="1">
      <c r="A484" s="84" t="s">
        <v>558</v>
      </c>
      <c r="B484" s="84"/>
      <c r="C484" s="84"/>
      <c r="D484" s="85">
        <v>45566</v>
      </c>
      <c r="E484" s="85" t="s">
        <v>92</v>
      </c>
      <c r="F484" s="84">
        <f>INDEX(Definitions!$G$13:$G$17,MATCH(Table3[[#This Row],[Propensity to buy/ buyer readiness]],Definitions!$A$13:$A$17,0))</f>
        <v>50000</v>
      </c>
      <c r="G484" s="86">
        <v>5</v>
      </c>
      <c r="H484" s="86">
        <v>5</v>
      </c>
      <c r="I484" s="86">
        <v>2</v>
      </c>
      <c r="J484" s="86">
        <v>4</v>
      </c>
      <c r="K484" s="86">
        <v>3</v>
      </c>
      <c r="L484" s="86">
        <f>SUM(Table3[[#This Row],[Strategic priority segment]:[Propensity to buy/ buyer readiness]])</f>
        <v>19</v>
      </c>
      <c r="M484" s="86" t="s">
        <v>102</v>
      </c>
      <c r="N484" s="84" t="s">
        <v>61</v>
      </c>
      <c r="O484" s="84"/>
      <c r="P484" s="87"/>
      <c r="Q484" s="87"/>
      <c r="R484" s="84"/>
      <c r="S484" s="87"/>
      <c r="T484" s="87"/>
      <c r="U484" s="84">
        <v>1</v>
      </c>
      <c r="V484" s="84">
        <v>0</v>
      </c>
      <c r="W484" s="84">
        <v>0</v>
      </c>
      <c r="X484" s="84">
        <v>0</v>
      </c>
      <c r="Y484" s="84">
        <v>0</v>
      </c>
      <c r="Z484" s="84">
        <v>1</v>
      </c>
      <c r="AA484" s="84">
        <v>1</v>
      </c>
      <c r="AB484" s="84">
        <v>1</v>
      </c>
      <c r="AC484" s="84">
        <v>1</v>
      </c>
      <c r="AD484" s="84">
        <v>0</v>
      </c>
      <c r="AE484" s="84">
        <v>0</v>
      </c>
      <c r="AF484" s="84">
        <v>0</v>
      </c>
      <c r="AG484" s="84">
        <v>0</v>
      </c>
      <c r="AH484" s="84">
        <v>0</v>
      </c>
      <c r="AI484" s="84">
        <v>0</v>
      </c>
      <c r="AJ484" s="84">
        <v>0</v>
      </c>
      <c r="AK484" s="84">
        <v>0</v>
      </c>
      <c r="AL484" s="84" cm="1">
        <f t="array" ref="AL4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4" s="84" cm="1">
        <f t="array" ref="AM4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4" s="84" cm="1">
        <f t="array" ref="AN4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4" s="84" cm="1">
        <f t="array" ref="AO4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4" s="84" cm="1">
        <f t="array" ref="AP4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4" s="84" cm="1">
        <f t="array" ref="AQ4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4" s="84" cm="1">
        <f t="array" ref="AR4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4" s="84" cm="1">
        <f t="array" ref="AS4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4" s="84" cm="1">
        <f t="array" ref="AT4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4" s="84" cm="1">
        <f t="array" ref="AU4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4" s="84" cm="1">
        <f t="array" ref="AV4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4" s="84" cm="1">
        <f t="array" ref="AW4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4" s="84" cm="1">
        <f t="array" ref="AX4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4" s="84" cm="1">
        <f t="array" ref="AY4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4" s="84" cm="1">
        <f t="array" ref="AZ4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4" s="84" cm="1">
        <f t="array" ref="BA4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4" s="84" cm="1">
        <f t="array" ref="BB4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4" s="84">
        <f>IF(SUM(Table3[[#This Row],[Column2]:[Column18]])&gt;Table3[[#This Row],[Column19]],Table3[[#This Row],[Column19]],SUM(Table3[[#This Row],[Column2]:[Column18]]))</f>
        <v>50000</v>
      </c>
      <c r="BD484" s="2">
        <f>Table3[[#This Row],[Total Spend]]/SUM(Table3[[#This Row],[Column2]:[Column18]])</f>
        <v>0.49164208456243852</v>
      </c>
    </row>
    <row r="485" spans="1:56">
      <c r="A485" s="88" t="s">
        <v>559</v>
      </c>
      <c r="B485" s="88"/>
      <c r="C485" s="88"/>
      <c r="D485" s="85">
        <v>45566</v>
      </c>
      <c r="E485" s="85" t="s">
        <v>92</v>
      </c>
      <c r="F485" s="84">
        <f>INDEX(Definitions!$G$13:$G$17,MATCH(Table3[[#This Row],[Propensity to buy/ buyer readiness]],Definitions!$A$13:$A$17,0))</f>
        <v>50000</v>
      </c>
      <c r="G485" s="86">
        <v>5</v>
      </c>
      <c r="H485" s="86">
        <v>5</v>
      </c>
      <c r="I485" s="86">
        <v>2</v>
      </c>
      <c r="J485" s="86">
        <v>4</v>
      </c>
      <c r="K485" s="86">
        <v>3</v>
      </c>
      <c r="L485" s="86">
        <f>SUM(Table3[[#This Row],[Strategic priority segment]:[Propensity to buy/ buyer readiness]])</f>
        <v>19</v>
      </c>
      <c r="M485" s="86" t="s">
        <v>102</v>
      </c>
      <c r="N485" s="84" t="s">
        <v>61</v>
      </c>
      <c r="O485" s="84"/>
      <c r="P485" s="87"/>
      <c r="Q485" s="87"/>
      <c r="R485" s="84"/>
      <c r="S485" s="87"/>
      <c r="T485" s="87"/>
      <c r="U485" s="84">
        <v>1</v>
      </c>
      <c r="V485" s="84">
        <v>0</v>
      </c>
      <c r="W485" s="84">
        <v>0</v>
      </c>
      <c r="X485" s="84">
        <v>0</v>
      </c>
      <c r="Y485" s="84">
        <v>0</v>
      </c>
      <c r="Z485" s="84">
        <v>1</v>
      </c>
      <c r="AA485" s="84">
        <v>1</v>
      </c>
      <c r="AB485" s="84">
        <v>1</v>
      </c>
      <c r="AC485" s="84">
        <v>1</v>
      </c>
      <c r="AD485" s="84">
        <v>0</v>
      </c>
      <c r="AE485" s="84">
        <v>0</v>
      </c>
      <c r="AF485" s="84">
        <v>0</v>
      </c>
      <c r="AG485" s="84">
        <v>0</v>
      </c>
      <c r="AH485" s="84">
        <v>0</v>
      </c>
      <c r="AI485" s="84">
        <v>0</v>
      </c>
      <c r="AJ485" s="84">
        <v>0</v>
      </c>
      <c r="AK485" s="84">
        <v>0</v>
      </c>
      <c r="AL485" s="84" cm="1">
        <f t="array" ref="AL4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5" s="84" cm="1">
        <f t="array" ref="AM4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5" s="84" cm="1">
        <f t="array" ref="AN4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5" s="84" cm="1">
        <f t="array" ref="AO4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5" s="84" cm="1">
        <f t="array" ref="AP4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5" s="84" cm="1">
        <f t="array" ref="AQ4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5" s="84" cm="1">
        <f t="array" ref="AR4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5" s="84" cm="1">
        <f t="array" ref="AS4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5" s="84" cm="1">
        <f t="array" ref="AT4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5" s="84" cm="1">
        <f t="array" ref="AU4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5" s="84" cm="1">
        <f t="array" ref="AV4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5" s="84" cm="1">
        <f t="array" ref="AW4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5" s="84" cm="1">
        <f t="array" ref="AX4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5" s="84" cm="1">
        <f t="array" ref="AY4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5" s="84" cm="1">
        <f t="array" ref="AZ4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5" s="84" cm="1">
        <f t="array" ref="BA4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5" s="84" cm="1">
        <f t="array" ref="BB4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5" s="84">
        <f>IF(SUM(Table3[[#This Row],[Column2]:[Column18]])&gt;Table3[[#This Row],[Column19]],Table3[[#This Row],[Column19]],SUM(Table3[[#This Row],[Column2]:[Column18]]))</f>
        <v>50000</v>
      </c>
      <c r="BD485" s="2">
        <f>Table3[[#This Row],[Total Spend]]/SUM(Table3[[#This Row],[Column2]:[Column18]])</f>
        <v>0.49164208456243852</v>
      </c>
    </row>
    <row r="486" spans="1:56">
      <c r="A486" s="84" t="s">
        <v>560</v>
      </c>
      <c r="B486" s="84"/>
      <c r="C486" s="84"/>
      <c r="D486" s="85">
        <v>45566</v>
      </c>
      <c r="E486" s="85" t="s">
        <v>92</v>
      </c>
      <c r="F486" s="84">
        <f>INDEX(Definitions!$G$13:$G$17,MATCH(Table3[[#This Row],[Propensity to buy/ buyer readiness]],Definitions!$A$13:$A$17,0))</f>
        <v>50000</v>
      </c>
      <c r="G486" s="86">
        <v>5</v>
      </c>
      <c r="H486" s="86">
        <v>5</v>
      </c>
      <c r="I486" s="86">
        <v>2</v>
      </c>
      <c r="J486" s="86">
        <v>4</v>
      </c>
      <c r="K486" s="86">
        <v>3</v>
      </c>
      <c r="L486" s="86">
        <f>SUM(Table3[[#This Row],[Strategic priority segment]:[Propensity to buy/ buyer readiness]])</f>
        <v>19</v>
      </c>
      <c r="M486" s="86" t="s">
        <v>102</v>
      </c>
      <c r="N486" s="84" t="s">
        <v>61</v>
      </c>
      <c r="O486" s="84"/>
      <c r="P486" s="87"/>
      <c r="Q486" s="87"/>
      <c r="R486" s="84"/>
      <c r="S486" s="87"/>
      <c r="T486" s="87"/>
      <c r="U486" s="84">
        <v>1</v>
      </c>
      <c r="V486" s="84">
        <v>0</v>
      </c>
      <c r="W486" s="84">
        <v>0</v>
      </c>
      <c r="X486" s="84">
        <v>0</v>
      </c>
      <c r="Y486" s="84">
        <v>0</v>
      </c>
      <c r="Z486" s="84">
        <v>1</v>
      </c>
      <c r="AA486" s="84">
        <v>1</v>
      </c>
      <c r="AB486" s="84">
        <v>1</v>
      </c>
      <c r="AC486" s="84">
        <v>1</v>
      </c>
      <c r="AD486" s="84">
        <v>0</v>
      </c>
      <c r="AE486" s="84">
        <v>0</v>
      </c>
      <c r="AF486" s="84">
        <v>0</v>
      </c>
      <c r="AG486" s="84">
        <v>0</v>
      </c>
      <c r="AH486" s="84">
        <v>0</v>
      </c>
      <c r="AI486" s="84">
        <v>0</v>
      </c>
      <c r="AJ486" s="84">
        <v>0</v>
      </c>
      <c r="AK486" s="84">
        <v>0</v>
      </c>
      <c r="AL486" s="84" cm="1">
        <f t="array" ref="AL4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6" s="84" cm="1">
        <f t="array" ref="AM4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6" s="84" cm="1">
        <f t="array" ref="AN4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6" s="84" cm="1">
        <f t="array" ref="AO4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6" s="84" cm="1">
        <f t="array" ref="AP4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6" s="84" cm="1">
        <f t="array" ref="AQ4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6" s="84" cm="1">
        <f t="array" ref="AR4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6" s="84" cm="1">
        <f t="array" ref="AS4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6" s="84" cm="1">
        <f t="array" ref="AT4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6" s="84" cm="1">
        <f t="array" ref="AU4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6" s="84" cm="1">
        <f t="array" ref="AV4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6" s="84" cm="1">
        <f t="array" ref="AW4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6" s="84" cm="1">
        <f t="array" ref="AX4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6" s="84" cm="1">
        <f t="array" ref="AY4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6" s="84" cm="1">
        <f t="array" ref="AZ4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6" s="84" cm="1">
        <f t="array" ref="BA4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6" s="84" cm="1">
        <f t="array" ref="BB4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6" s="84">
        <f>IF(SUM(Table3[[#This Row],[Column2]:[Column18]])&gt;Table3[[#This Row],[Column19]],Table3[[#This Row],[Column19]],SUM(Table3[[#This Row],[Column2]:[Column18]]))</f>
        <v>50000</v>
      </c>
      <c r="BD486" s="2">
        <f>Table3[[#This Row],[Total Spend]]/SUM(Table3[[#This Row],[Column2]:[Column18]])</f>
        <v>0.49164208456243852</v>
      </c>
    </row>
    <row r="487" spans="1:56">
      <c r="A487" s="84" t="s">
        <v>561</v>
      </c>
      <c r="B487" s="84"/>
      <c r="C487" s="84"/>
      <c r="D487" s="85">
        <v>45566</v>
      </c>
      <c r="E487" s="85" t="s">
        <v>92</v>
      </c>
      <c r="F487" s="84">
        <f>INDEX(Definitions!$G$13:$G$17,MATCH(Table3[[#This Row],[Propensity to buy/ buyer readiness]],Definitions!$A$13:$A$17,0))</f>
        <v>50000</v>
      </c>
      <c r="G487" s="86">
        <v>5</v>
      </c>
      <c r="H487" s="86">
        <v>5</v>
      </c>
      <c r="I487" s="86">
        <v>2</v>
      </c>
      <c r="J487" s="86">
        <v>4</v>
      </c>
      <c r="K487" s="86">
        <v>3</v>
      </c>
      <c r="L487" s="86">
        <f>SUM(Table3[[#This Row],[Strategic priority segment]:[Propensity to buy/ buyer readiness]])</f>
        <v>19</v>
      </c>
      <c r="M487" s="86" t="s">
        <v>102</v>
      </c>
      <c r="N487" s="84" t="s">
        <v>61</v>
      </c>
      <c r="O487" s="84" t="s">
        <v>62</v>
      </c>
      <c r="P487" s="84"/>
      <c r="Q487" s="84"/>
      <c r="R487" s="84"/>
      <c r="S487" s="84"/>
      <c r="T487" s="84"/>
      <c r="U487" s="84">
        <v>1</v>
      </c>
      <c r="V487" s="84">
        <v>0</v>
      </c>
      <c r="W487" s="84">
        <v>0</v>
      </c>
      <c r="X487" s="84">
        <v>0</v>
      </c>
      <c r="Y487" s="84">
        <v>0</v>
      </c>
      <c r="Z487" s="84">
        <v>1</v>
      </c>
      <c r="AA487" s="84">
        <v>1</v>
      </c>
      <c r="AB487" s="84">
        <v>1</v>
      </c>
      <c r="AC487" s="84">
        <v>1</v>
      </c>
      <c r="AD487" s="84">
        <v>1</v>
      </c>
      <c r="AE487" s="84">
        <v>1</v>
      </c>
      <c r="AF487" s="84">
        <v>1</v>
      </c>
      <c r="AG487" s="84">
        <v>1</v>
      </c>
      <c r="AH487" s="84">
        <v>0</v>
      </c>
      <c r="AI487" s="84">
        <v>0</v>
      </c>
      <c r="AJ487" s="84">
        <v>0</v>
      </c>
      <c r="AK487" s="84">
        <v>0</v>
      </c>
      <c r="AL487" s="84" cm="1">
        <f t="array" ref="AL4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7" s="84" cm="1">
        <f t="array" ref="AM4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7" s="84" cm="1">
        <f t="array" ref="AN4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7" s="84" cm="1">
        <f t="array" ref="AO4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7" s="84" cm="1">
        <f t="array" ref="AP4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7" s="84" cm="1">
        <f t="array" ref="AQ4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7" s="84" cm="1">
        <f t="array" ref="AR4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7" s="84" cm="1">
        <f t="array" ref="AS4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7" s="84" cm="1">
        <f t="array" ref="AT4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7" s="84" cm="1">
        <f t="array" ref="AU4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87" s="84" cm="1">
        <f t="array" ref="AV4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87" s="84" cm="1">
        <f t="array" ref="AW4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87" s="84" cm="1">
        <f t="array" ref="AX4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87" s="84" cm="1">
        <f t="array" ref="AY4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7" s="84" cm="1">
        <f t="array" ref="AZ4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7" s="84" cm="1">
        <f t="array" ref="BA4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7" s="84" cm="1">
        <f t="array" ref="BB4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7" s="84">
        <f>IF(SUM(Table3[[#This Row],[Column2]:[Column18]])&gt;Table3[[#This Row],[Column19]],Table3[[#This Row],[Column19]],SUM(Table3[[#This Row],[Column2]:[Column18]]))</f>
        <v>50000</v>
      </c>
      <c r="BD487" s="2">
        <f>Table3[[#This Row],[Total Spend]]/SUM(Table3[[#This Row],[Column2]:[Column18]])</f>
        <v>0.2664535038635758</v>
      </c>
    </row>
    <row r="488" spans="1:56">
      <c r="A488" s="84" t="s">
        <v>562</v>
      </c>
      <c r="B488" s="84"/>
      <c r="C488" s="84"/>
      <c r="D488" s="85">
        <v>45566</v>
      </c>
      <c r="E488" s="85" t="s">
        <v>92</v>
      </c>
      <c r="F488" s="84">
        <f>INDEX(Definitions!$G$13:$G$17,MATCH(Table3[[#This Row],[Propensity to buy/ buyer readiness]],Definitions!$A$13:$A$17,0))</f>
        <v>50000</v>
      </c>
      <c r="G488" s="86">
        <v>5</v>
      </c>
      <c r="H488" s="86">
        <v>5</v>
      </c>
      <c r="I488" s="86">
        <v>2</v>
      </c>
      <c r="J488" s="86">
        <v>4</v>
      </c>
      <c r="K488" s="86">
        <v>3</v>
      </c>
      <c r="L488" s="86">
        <f>SUM(Table3[[#This Row],[Strategic priority segment]:[Propensity to buy/ buyer readiness]])</f>
        <v>19</v>
      </c>
      <c r="M488" s="86" t="s">
        <v>102</v>
      </c>
      <c r="N488" s="84" t="s">
        <v>61</v>
      </c>
      <c r="O488" s="84"/>
      <c r="P488" s="87"/>
      <c r="Q488" s="87"/>
      <c r="R488" s="84"/>
      <c r="S488" s="87"/>
      <c r="T488" s="87"/>
      <c r="U488" s="84">
        <v>1</v>
      </c>
      <c r="V488" s="84">
        <v>0</v>
      </c>
      <c r="W488" s="84">
        <v>0</v>
      </c>
      <c r="X488" s="84">
        <v>0</v>
      </c>
      <c r="Y488" s="84">
        <v>0</v>
      </c>
      <c r="Z488" s="84">
        <v>1</v>
      </c>
      <c r="AA488" s="84">
        <v>1</v>
      </c>
      <c r="AB488" s="84">
        <v>1</v>
      </c>
      <c r="AC488" s="84">
        <v>1</v>
      </c>
      <c r="AD488" s="84">
        <v>0</v>
      </c>
      <c r="AE488" s="84">
        <v>0</v>
      </c>
      <c r="AF488" s="84">
        <v>0</v>
      </c>
      <c r="AG488" s="84">
        <v>0</v>
      </c>
      <c r="AH488" s="84">
        <v>0</v>
      </c>
      <c r="AI488" s="84">
        <v>0</v>
      </c>
      <c r="AJ488" s="84">
        <v>0</v>
      </c>
      <c r="AK488" s="84">
        <v>0</v>
      </c>
      <c r="AL488" s="84" cm="1">
        <f t="array" ref="AL4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88" s="84" cm="1">
        <f t="array" ref="AM4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8" s="84" cm="1">
        <f t="array" ref="AN4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8" s="84" cm="1">
        <f t="array" ref="AO4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8" s="84" cm="1">
        <f t="array" ref="AP4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8" s="84" cm="1">
        <f t="array" ref="AQ4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88" s="84" cm="1">
        <f t="array" ref="AR4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88" s="84" cm="1">
        <f t="array" ref="AS4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88" s="84" cm="1">
        <f t="array" ref="AT4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88" s="84" cm="1">
        <f t="array" ref="AU4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8" s="84" cm="1">
        <f t="array" ref="AV4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8" s="84" cm="1">
        <f t="array" ref="AW4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8" s="84" cm="1">
        <f t="array" ref="AX4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8" s="84" cm="1">
        <f t="array" ref="AY4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8" s="84" cm="1">
        <f t="array" ref="AZ4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8" s="84" cm="1">
        <f t="array" ref="BA4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8" s="84" cm="1">
        <f t="array" ref="BB4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8" s="84">
        <f>IF(SUM(Table3[[#This Row],[Column2]:[Column18]])&gt;Table3[[#This Row],[Column19]],Table3[[#This Row],[Column19]],SUM(Table3[[#This Row],[Column2]:[Column18]]))</f>
        <v>50000</v>
      </c>
      <c r="BD488" s="2">
        <f>Table3[[#This Row],[Total Spend]]/SUM(Table3[[#This Row],[Column2]:[Column18]])</f>
        <v>0.49164208456243852</v>
      </c>
    </row>
    <row r="489" spans="1:56">
      <c r="A489" s="84" t="s">
        <v>563</v>
      </c>
      <c r="B489" s="84" t="s">
        <v>57</v>
      </c>
      <c r="C489" s="84" t="s">
        <v>57</v>
      </c>
      <c r="D489" s="85">
        <v>45566</v>
      </c>
      <c r="E489" s="85" t="s">
        <v>58</v>
      </c>
      <c r="F489" s="84">
        <f>INDEX(Definitions!$G$13:$G$17,MATCH(Table3[[#This Row],[Propensity to buy/ buyer readiness]],Definitions!$A$13:$A$17,0))</f>
        <v>50000</v>
      </c>
      <c r="G489" s="86">
        <v>4</v>
      </c>
      <c r="H489" s="86">
        <v>4</v>
      </c>
      <c r="I489" s="86">
        <v>4</v>
      </c>
      <c r="J489" s="86">
        <v>4</v>
      </c>
      <c r="K489" s="86">
        <v>3</v>
      </c>
      <c r="L489" s="86">
        <f>SUM(Table3[[#This Row],[Strategic priority segment]:[Propensity to buy/ buyer readiness]])</f>
        <v>19</v>
      </c>
      <c r="M489" s="86" t="s">
        <v>102</v>
      </c>
      <c r="N489" s="84" t="s">
        <v>153</v>
      </c>
      <c r="O489" s="84"/>
      <c r="P489" s="87"/>
      <c r="Q489" s="87"/>
      <c r="R489" s="84"/>
      <c r="S489" s="84"/>
      <c r="T489" s="84"/>
      <c r="U489" s="84">
        <v>1</v>
      </c>
      <c r="V489" s="84">
        <v>0</v>
      </c>
      <c r="W489" s="84">
        <v>0</v>
      </c>
      <c r="X489" s="84">
        <v>0</v>
      </c>
      <c r="Y489" s="84">
        <v>0</v>
      </c>
      <c r="Z489" s="84">
        <v>0</v>
      </c>
      <c r="AA489" s="84">
        <v>0</v>
      </c>
      <c r="AB489" s="84">
        <v>0</v>
      </c>
      <c r="AC489" s="84">
        <v>0</v>
      </c>
      <c r="AD489" s="84">
        <v>0</v>
      </c>
      <c r="AE489" s="84">
        <v>0</v>
      </c>
      <c r="AF489" s="84">
        <v>0</v>
      </c>
      <c r="AG489" s="84">
        <v>0</v>
      </c>
      <c r="AH489" s="84">
        <v>0</v>
      </c>
      <c r="AI489" s="84">
        <v>0</v>
      </c>
      <c r="AJ489" s="84">
        <v>0</v>
      </c>
      <c r="AK489" s="84">
        <v>0</v>
      </c>
      <c r="AL489" s="84" cm="1">
        <f t="array" ref="AL4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89" s="84" cm="1">
        <f t="array" ref="AM4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89" s="84" cm="1">
        <f t="array" ref="AN4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89" s="84" cm="1">
        <f t="array" ref="AO4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89" s="84" cm="1">
        <f t="array" ref="AP4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89" s="84" cm="1">
        <f t="array" ref="AQ4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89" s="84" cm="1">
        <f t="array" ref="AR4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89" s="84" cm="1">
        <f t="array" ref="AS4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89" s="84" cm="1">
        <f t="array" ref="AT4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89" s="84" cm="1">
        <f t="array" ref="AU4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89" s="84" cm="1">
        <f t="array" ref="AV4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89" s="84" cm="1">
        <f t="array" ref="AW4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89" s="84" cm="1">
        <f t="array" ref="AX4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89" s="84" cm="1">
        <f t="array" ref="AY4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89" s="84" cm="1">
        <f t="array" ref="AZ4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89" s="84" cm="1">
        <f t="array" ref="BA4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89" s="84" cm="1">
        <f t="array" ref="BB4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89" s="84">
        <f>IF(SUM(Table3[[#This Row],[Column2]:[Column18]])&gt;Table3[[#This Row],[Column19]],Table3[[#This Row],[Column19]],SUM(Table3[[#This Row],[Column2]:[Column18]]))</f>
        <v>10800</v>
      </c>
      <c r="BD489" s="2">
        <f>Table3[[#This Row],[Total Spend]]/SUM(Table3[[#This Row],[Column2]:[Column18]])</f>
        <v>1</v>
      </c>
    </row>
    <row r="490" spans="1:56">
      <c r="A490" s="88" t="s">
        <v>564</v>
      </c>
      <c r="B490" s="88"/>
      <c r="C490" s="88"/>
      <c r="D490" s="85">
        <v>45809</v>
      </c>
      <c r="E490" s="85" t="s">
        <v>92</v>
      </c>
      <c r="F490" s="84">
        <f>INDEX(Definitions!$G$13:$G$17,MATCH(Table3[[#This Row],[Propensity to buy/ buyer readiness]],Definitions!$A$13:$A$17,0))</f>
        <v>50000</v>
      </c>
      <c r="G490" s="86">
        <v>5</v>
      </c>
      <c r="H490" s="86">
        <v>5</v>
      </c>
      <c r="I490" s="86">
        <v>2</v>
      </c>
      <c r="J490" s="86">
        <v>4</v>
      </c>
      <c r="K490" s="86">
        <v>3</v>
      </c>
      <c r="L490" s="86">
        <f>SUM(Table3[[#This Row],[Strategic priority segment]:[Propensity to buy/ buyer readiness]])</f>
        <v>19</v>
      </c>
      <c r="M490" s="86" t="s">
        <v>102</v>
      </c>
      <c r="N490" s="84" t="s">
        <v>61</v>
      </c>
      <c r="O490" s="84"/>
      <c r="P490" s="87"/>
      <c r="Q490" s="87"/>
      <c r="R490" s="84"/>
      <c r="S490" s="87"/>
      <c r="T490" s="87"/>
      <c r="U490" s="84">
        <v>1</v>
      </c>
      <c r="V490" s="84">
        <v>0</v>
      </c>
      <c r="W490" s="84">
        <v>0</v>
      </c>
      <c r="X490" s="84">
        <v>0</v>
      </c>
      <c r="Y490" s="84">
        <v>0</v>
      </c>
      <c r="Z490" s="84">
        <v>1</v>
      </c>
      <c r="AA490" s="84">
        <v>1</v>
      </c>
      <c r="AB490" s="84">
        <v>1</v>
      </c>
      <c r="AC490" s="84">
        <v>1</v>
      </c>
      <c r="AD490" s="84">
        <v>0</v>
      </c>
      <c r="AE490" s="84">
        <v>0</v>
      </c>
      <c r="AF490" s="84">
        <v>0</v>
      </c>
      <c r="AG490" s="84">
        <v>0</v>
      </c>
      <c r="AH490" s="84">
        <v>0</v>
      </c>
      <c r="AI490" s="84">
        <v>0</v>
      </c>
      <c r="AJ490" s="84">
        <v>0</v>
      </c>
      <c r="AK490" s="84">
        <v>0</v>
      </c>
      <c r="AL490" s="84" cm="1">
        <f t="array" ref="AL4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0" s="84" cm="1">
        <f t="array" ref="AM4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0" s="84" cm="1">
        <f t="array" ref="AN4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0" s="84" cm="1">
        <f t="array" ref="AO4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0" s="84" cm="1">
        <f t="array" ref="AP4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0" s="84" cm="1">
        <f t="array" ref="AQ4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0" s="84" cm="1">
        <f t="array" ref="AR4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0" s="84" cm="1">
        <f t="array" ref="AS4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0" s="84" cm="1">
        <f t="array" ref="AT4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0" s="84" cm="1">
        <f t="array" ref="AU4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0" s="84" cm="1">
        <f t="array" ref="AV4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0" s="84" cm="1">
        <f t="array" ref="AW4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0" s="84" cm="1">
        <f t="array" ref="AX4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0" s="84" cm="1">
        <f t="array" ref="AY4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0" s="84" cm="1">
        <f t="array" ref="AZ4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0" s="84" cm="1">
        <f t="array" ref="BA4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0" s="84" cm="1">
        <f t="array" ref="BB4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0" s="84">
        <f>IF(SUM(Table3[[#This Row],[Column2]:[Column18]])&gt;Table3[[#This Row],[Column19]],Table3[[#This Row],[Column19]],SUM(Table3[[#This Row],[Column2]:[Column18]]))</f>
        <v>50000</v>
      </c>
      <c r="BD490" s="2">
        <f>Table3[[#This Row],[Total Spend]]/SUM(Table3[[#This Row],[Column2]:[Column18]])</f>
        <v>0.49164208456243852</v>
      </c>
    </row>
    <row r="491" spans="1:56">
      <c r="A491" s="84" t="s">
        <v>565</v>
      </c>
      <c r="B491" s="84"/>
      <c r="C491" s="84"/>
      <c r="D491" s="85">
        <v>45566</v>
      </c>
      <c r="E491" s="85" t="s">
        <v>58</v>
      </c>
      <c r="F491" s="84">
        <f>INDEX(Definitions!$G$13:$G$17,MATCH(Table3[[#This Row],[Propensity to buy/ buyer readiness]],Definitions!$A$13:$A$17,0))</f>
        <v>150000</v>
      </c>
      <c r="G491" s="86">
        <v>5</v>
      </c>
      <c r="H491" s="86">
        <v>4</v>
      </c>
      <c r="I491" s="86">
        <v>3</v>
      </c>
      <c r="J491" s="86">
        <v>3</v>
      </c>
      <c r="K491" s="86">
        <v>4</v>
      </c>
      <c r="L491" s="86">
        <f>SUM(Table3[[#This Row],[Strategic priority segment]:[Propensity to buy/ buyer readiness]])</f>
        <v>19</v>
      </c>
      <c r="M491" s="86" t="s">
        <v>66</v>
      </c>
      <c r="N491" s="84" t="s">
        <v>62</v>
      </c>
      <c r="O491" s="87"/>
      <c r="P491" s="87"/>
      <c r="Q491" s="87"/>
      <c r="R491" s="87"/>
      <c r="S491" s="87"/>
      <c r="T491" s="87"/>
      <c r="U491" s="84">
        <v>1</v>
      </c>
      <c r="V491" s="84">
        <v>0</v>
      </c>
      <c r="W491" s="84">
        <v>0</v>
      </c>
      <c r="X491" s="84">
        <v>0</v>
      </c>
      <c r="Y491" s="84">
        <v>0</v>
      </c>
      <c r="Z491" s="84">
        <v>0</v>
      </c>
      <c r="AA491" s="84">
        <v>0</v>
      </c>
      <c r="AB491" s="84">
        <v>0</v>
      </c>
      <c r="AC491" s="84">
        <v>0</v>
      </c>
      <c r="AD491" s="84">
        <v>1</v>
      </c>
      <c r="AE491" s="84">
        <v>1</v>
      </c>
      <c r="AF491" s="84">
        <v>1</v>
      </c>
      <c r="AG491" s="84">
        <v>1</v>
      </c>
      <c r="AH491" s="84">
        <v>0</v>
      </c>
      <c r="AI491" s="84">
        <v>0</v>
      </c>
      <c r="AJ491" s="84">
        <v>0</v>
      </c>
      <c r="AK491" s="84">
        <v>0</v>
      </c>
      <c r="AL491" s="84" cm="1">
        <f t="array" ref="AL4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91" s="84" cm="1">
        <f t="array" ref="AM4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1" s="84" cm="1">
        <f t="array" ref="AN4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1" s="84" cm="1">
        <f t="array" ref="AO4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1" s="84" cm="1">
        <f t="array" ref="AP4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1" s="84" cm="1">
        <f t="array" ref="AQ4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491" s="84" cm="1">
        <f t="array" ref="AR4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91" s="84" cm="1">
        <f t="array" ref="AS4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491" s="84" cm="1">
        <f t="array" ref="AT4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91" s="84" cm="1">
        <f t="array" ref="AU4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91" s="84" cm="1">
        <f t="array" ref="AV4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491" s="84" cm="1">
        <f t="array" ref="AW4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91" s="84" cm="1">
        <f t="array" ref="AX4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491" s="84" cm="1">
        <f t="array" ref="AY4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1" s="84" cm="1">
        <f t="array" ref="AZ4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1" s="84" cm="1">
        <f t="array" ref="BA4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1" s="84" cm="1">
        <f t="array" ref="BB4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1" s="84">
        <f>IF(SUM(Table3[[#This Row],[Column2]:[Column18]])&gt;Table3[[#This Row],[Column19]],Table3[[#This Row],[Column19]],SUM(Table3[[#This Row],[Column2]:[Column18]]))</f>
        <v>131400</v>
      </c>
      <c r="BD491" s="2">
        <f>Table3[[#This Row],[Total Spend]]/SUM(Table3[[#This Row],[Column2]:[Column18]])</f>
        <v>1</v>
      </c>
    </row>
    <row r="492" spans="1:56">
      <c r="A492" s="87" t="s">
        <v>566</v>
      </c>
      <c r="B492" s="87"/>
      <c r="C492" s="87" t="s">
        <v>57</v>
      </c>
      <c r="D492" s="85">
        <v>45566</v>
      </c>
      <c r="E492" s="85" t="s">
        <v>58</v>
      </c>
      <c r="F492" s="84">
        <f>INDEX(Definitions!$G$13:$G$17,MATCH(Table3[[#This Row],[Propensity to buy/ buyer readiness]],Definitions!$A$13:$A$17,0))</f>
        <v>150000</v>
      </c>
      <c r="G492" s="86">
        <v>4</v>
      </c>
      <c r="H492" s="86">
        <v>4</v>
      </c>
      <c r="I492" s="86">
        <v>4</v>
      </c>
      <c r="J492" s="86">
        <v>3</v>
      </c>
      <c r="K492" s="86">
        <v>4</v>
      </c>
      <c r="L492" s="86">
        <f>SUM(Table3[[#This Row],[Strategic priority segment]:[Propensity to buy/ buyer readiness]])</f>
        <v>19</v>
      </c>
      <c r="M492" s="86" t="s">
        <v>152</v>
      </c>
      <c r="N492" s="84" t="s">
        <v>122</v>
      </c>
      <c r="O492" s="87"/>
      <c r="P492" s="87"/>
      <c r="Q492" s="87"/>
      <c r="R492" s="84"/>
      <c r="S492" s="87"/>
      <c r="T492" s="87"/>
      <c r="U492" s="84">
        <v>1</v>
      </c>
      <c r="V492" s="84">
        <v>0</v>
      </c>
      <c r="W492" s="84">
        <v>0</v>
      </c>
      <c r="X492" s="84">
        <v>0</v>
      </c>
      <c r="Y492" s="84">
        <v>0</v>
      </c>
      <c r="Z492" s="84">
        <v>1</v>
      </c>
      <c r="AA492" s="84">
        <v>0</v>
      </c>
      <c r="AB492" s="84">
        <v>1</v>
      </c>
      <c r="AC492" s="84">
        <v>0</v>
      </c>
      <c r="AD492" s="84">
        <v>1</v>
      </c>
      <c r="AE492" s="84">
        <v>0</v>
      </c>
      <c r="AF492" s="84">
        <v>1</v>
      </c>
      <c r="AG492" s="84">
        <v>0</v>
      </c>
      <c r="AH492" s="84">
        <v>0</v>
      </c>
      <c r="AI492" s="84">
        <v>0</v>
      </c>
      <c r="AJ492" s="84">
        <v>0</v>
      </c>
      <c r="AK492" s="84">
        <v>0</v>
      </c>
      <c r="AL492" s="84" cm="1">
        <f t="array" ref="AL4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492" s="84" cm="1">
        <f t="array" ref="AM4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2" s="84" cm="1">
        <f t="array" ref="AN4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2" s="84" cm="1">
        <f t="array" ref="AO4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2" s="84" cm="1">
        <f t="array" ref="AP4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2" s="84" cm="1">
        <f t="array" ref="AQ4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492" s="84" cm="1">
        <f t="array" ref="AR4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492" s="84" cm="1">
        <f t="array" ref="AS4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492" s="84" cm="1">
        <f t="array" ref="AT4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492" s="84" cm="1">
        <f t="array" ref="AU4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492" s="84" cm="1">
        <f t="array" ref="AV4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2" s="84" cm="1">
        <f t="array" ref="AW4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492" s="84" cm="1">
        <f t="array" ref="AX4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2" s="84" cm="1">
        <f t="array" ref="AY4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2" s="84" cm="1">
        <f t="array" ref="AZ4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2" s="84" cm="1">
        <f t="array" ref="BA4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2" s="84" cm="1">
        <f t="array" ref="BB4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2" s="84">
        <f>IF(SUM(Table3[[#This Row],[Column2]:[Column18]])&gt;Table3[[#This Row],[Column19]],Table3[[#This Row],[Column19]],SUM(Table3[[#This Row],[Column2]:[Column18]]))</f>
        <v>150000</v>
      </c>
      <c r="BD492" s="2">
        <f>Table3[[#This Row],[Total Spend]]/SUM(Table3[[#This Row],[Column2]:[Column18]])</f>
        <v>0.89605734767025091</v>
      </c>
    </row>
    <row r="493" spans="1:56">
      <c r="A493" s="84" t="s">
        <v>567</v>
      </c>
      <c r="B493" s="84"/>
      <c r="C493" s="84"/>
      <c r="D493" s="85">
        <v>45566</v>
      </c>
      <c r="E493" s="85" t="s">
        <v>92</v>
      </c>
      <c r="F493" s="84">
        <f>INDEX(Definitions!$G$13:$G$17,MATCH(Table3[[#This Row],[Propensity to buy/ buyer readiness]],Definitions!$A$13:$A$17,0))</f>
        <v>50000</v>
      </c>
      <c r="G493" s="86">
        <v>5</v>
      </c>
      <c r="H493" s="86">
        <v>5</v>
      </c>
      <c r="I493" s="86">
        <v>2</v>
      </c>
      <c r="J493" s="86">
        <v>4</v>
      </c>
      <c r="K493" s="86">
        <v>3</v>
      </c>
      <c r="L493" s="86">
        <f>SUM(Table3[[#This Row],[Strategic priority segment]:[Propensity to buy/ buyer readiness]])</f>
        <v>19</v>
      </c>
      <c r="M493" s="86" t="s">
        <v>102</v>
      </c>
      <c r="N493" s="84" t="s">
        <v>61</v>
      </c>
      <c r="O493" s="84"/>
      <c r="P493" s="87"/>
      <c r="Q493" s="87"/>
      <c r="R493" s="84"/>
      <c r="S493" s="87"/>
      <c r="T493" s="87"/>
      <c r="U493" s="84">
        <v>1</v>
      </c>
      <c r="V493" s="84">
        <v>0</v>
      </c>
      <c r="W493" s="84">
        <v>0</v>
      </c>
      <c r="X493" s="84">
        <v>0</v>
      </c>
      <c r="Y493" s="84">
        <v>0</v>
      </c>
      <c r="Z493" s="84">
        <v>1</v>
      </c>
      <c r="AA493" s="84">
        <v>1</v>
      </c>
      <c r="AB493" s="84">
        <v>1</v>
      </c>
      <c r="AC493" s="84">
        <v>1</v>
      </c>
      <c r="AD493" s="84">
        <v>0</v>
      </c>
      <c r="AE493" s="84">
        <v>0</v>
      </c>
      <c r="AF493" s="84">
        <v>0</v>
      </c>
      <c r="AG493" s="84">
        <v>0</v>
      </c>
      <c r="AH493" s="84">
        <v>0</v>
      </c>
      <c r="AI493" s="84">
        <v>0</v>
      </c>
      <c r="AJ493" s="84">
        <v>0</v>
      </c>
      <c r="AK493" s="84">
        <v>0</v>
      </c>
      <c r="AL493" s="84" cm="1">
        <f t="array" ref="AL4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3" s="84" cm="1">
        <f t="array" ref="AM4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3" s="84" cm="1">
        <f t="array" ref="AN4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3" s="84" cm="1">
        <f t="array" ref="AO4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3" s="84" cm="1">
        <f t="array" ref="AP4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3" s="84" cm="1">
        <f t="array" ref="AQ4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3" s="84" cm="1">
        <f t="array" ref="AR4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3" s="84" cm="1">
        <f t="array" ref="AS4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3" s="84" cm="1">
        <f t="array" ref="AT4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3" s="84" cm="1">
        <f t="array" ref="AU4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3" s="84" cm="1">
        <f t="array" ref="AV4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3" s="84" cm="1">
        <f t="array" ref="AW4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3" s="84" cm="1">
        <f t="array" ref="AX4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3" s="84" cm="1">
        <f t="array" ref="AY4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3" s="84" cm="1">
        <f t="array" ref="AZ4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3" s="84" cm="1">
        <f t="array" ref="BA4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3" s="84" cm="1">
        <f t="array" ref="BB4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3" s="84">
        <f>IF(SUM(Table3[[#This Row],[Column2]:[Column18]])&gt;Table3[[#This Row],[Column19]],Table3[[#This Row],[Column19]],SUM(Table3[[#This Row],[Column2]:[Column18]]))</f>
        <v>50000</v>
      </c>
      <c r="BD493" s="2">
        <f>Table3[[#This Row],[Total Spend]]/SUM(Table3[[#This Row],[Column2]:[Column18]])</f>
        <v>0.49164208456243852</v>
      </c>
    </row>
    <row r="494" spans="1:56">
      <c r="A494" s="84" t="s">
        <v>568</v>
      </c>
      <c r="B494" s="84"/>
      <c r="C494" s="84"/>
      <c r="D494" s="85">
        <v>45566</v>
      </c>
      <c r="E494" s="85" t="s">
        <v>92</v>
      </c>
      <c r="F494" s="84">
        <f>INDEX(Definitions!$G$13:$G$17,MATCH(Table3[[#This Row],[Propensity to buy/ buyer readiness]],Definitions!$A$13:$A$17,0))</f>
        <v>50000</v>
      </c>
      <c r="G494" s="86">
        <v>5</v>
      </c>
      <c r="H494" s="86">
        <v>5</v>
      </c>
      <c r="I494" s="86">
        <v>2</v>
      </c>
      <c r="J494" s="86">
        <v>4</v>
      </c>
      <c r="K494" s="86">
        <v>3</v>
      </c>
      <c r="L494" s="86">
        <f>SUM(Table3[[#This Row],[Strategic priority segment]:[Propensity to buy/ buyer readiness]])</f>
        <v>19</v>
      </c>
      <c r="M494" s="86" t="s">
        <v>102</v>
      </c>
      <c r="N494" s="84" t="s">
        <v>61</v>
      </c>
      <c r="O494" s="84" t="s">
        <v>62</v>
      </c>
      <c r="P494" s="87"/>
      <c r="Q494" s="87"/>
      <c r="R494" s="84"/>
      <c r="S494" s="87"/>
      <c r="T494" s="87"/>
      <c r="U494" s="84">
        <v>1</v>
      </c>
      <c r="V494" s="84">
        <v>0</v>
      </c>
      <c r="W494" s="84">
        <v>0</v>
      </c>
      <c r="X494" s="84">
        <v>0</v>
      </c>
      <c r="Y494" s="84">
        <v>0</v>
      </c>
      <c r="Z494" s="84">
        <v>1</v>
      </c>
      <c r="AA494" s="84">
        <v>1</v>
      </c>
      <c r="AB494" s="84">
        <v>1</v>
      </c>
      <c r="AC494" s="84">
        <v>1</v>
      </c>
      <c r="AD494" s="84">
        <v>1</v>
      </c>
      <c r="AE494" s="84">
        <v>1</v>
      </c>
      <c r="AF494" s="84">
        <v>1</v>
      </c>
      <c r="AG494" s="84">
        <v>1</v>
      </c>
      <c r="AH494" s="84">
        <v>0</v>
      </c>
      <c r="AI494" s="84">
        <v>0</v>
      </c>
      <c r="AJ494" s="84">
        <v>0</v>
      </c>
      <c r="AK494" s="84">
        <v>0</v>
      </c>
      <c r="AL494" s="84" cm="1">
        <f t="array" ref="AL4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4" s="84" cm="1">
        <f t="array" ref="AM4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4" s="84" cm="1">
        <f t="array" ref="AN4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4" s="84" cm="1">
        <f t="array" ref="AO4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4" s="84" cm="1">
        <f t="array" ref="AP4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4" s="84" cm="1">
        <f t="array" ref="AQ4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4" s="84" cm="1">
        <f t="array" ref="AR4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4" s="84" cm="1">
        <f t="array" ref="AS4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4" s="84" cm="1">
        <f t="array" ref="AT4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4" s="84" cm="1">
        <f t="array" ref="AU4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494" s="84" cm="1">
        <f t="array" ref="AV4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494" s="84" cm="1">
        <f t="array" ref="AW4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494" s="84" cm="1">
        <f t="array" ref="AX4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494" s="84" cm="1">
        <f t="array" ref="AY4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4" s="84" cm="1">
        <f t="array" ref="AZ4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4" s="84" cm="1">
        <f t="array" ref="BA4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4" s="84" cm="1">
        <f t="array" ref="BB4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4" s="84">
        <f>IF(SUM(Table3[[#This Row],[Column2]:[Column18]])&gt;Table3[[#This Row],[Column19]],Table3[[#This Row],[Column19]],SUM(Table3[[#This Row],[Column2]:[Column18]]))</f>
        <v>50000</v>
      </c>
      <c r="BD494" s="2">
        <f>Table3[[#This Row],[Total Spend]]/SUM(Table3[[#This Row],[Column2]:[Column18]])</f>
        <v>0.2664535038635758</v>
      </c>
    </row>
    <row r="495" spans="1:56">
      <c r="A495" s="84" t="s">
        <v>569</v>
      </c>
      <c r="B495" s="84"/>
      <c r="C495" s="84"/>
      <c r="D495" s="85">
        <v>45566</v>
      </c>
      <c r="E495" s="85" t="s">
        <v>92</v>
      </c>
      <c r="F495" s="84">
        <f>INDEX(Definitions!$G$13:$G$17,MATCH(Table3[[#This Row],[Propensity to buy/ buyer readiness]],Definitions!$A$13:$A$17,0))</f>
        <v>50000</v>
      </c>
      <c r="G495" s="86">
        <v>5</v>
      </c>
      <c r="H495" s="86">
        <v>5</v>
      </c>
      <c r="I495" s="86">
        <v>2</v>
      </c>
      <c r="J495" s="86">
        <v>4</v>
      </c>
      <c r="K495" s="86">
        <v>3</v>
      </c>
      <c r="L495" s="86">
        <f>SUM(Table3[[#This Row],[Strategic priority segment]:[Propensity to buy/ buyer readiness]])</f>
        <v>19</v>
      </c>
      <c r="M495" s="86" t="s">
        <v>102</v>
      </c>
      <c r="N495" s="84" t="s">
        <v>61</v>
      </c>
      <c r="O495" s="84"/>
      <c r="P495" s="87"/>
      <c r="Q495" s="87"/>
      <c r="R495" s="84"/>
      <c r="S495" s="87"/>
      <c r="T495" s="87"/>
      <c r="U495" s="84">
        <v>1</v>
      </c>
      <c r="V495" s="84">
        <v>0</v>
      </c>
      <c r="W495" s="84">
        <v>0</v>
      </c>
      <c r="X495" s="84">
        <v>0</v>
      </c>
      <c r="Y495" s="84">
        <v>0</v>
      </c>
      <c r="Z495" s="84">
        <v>1</v>
      </c>
      <c r="AA495" s="84">
        <v>1</v>
      </c>
      <c r="AB495" s="84">
        <v>1</v>
      </c>
      <c r="AC495" s="84">
        <v>1</v>
      </c>
      <c r="AD495" s="84">
        <v>0</v>
      </c>
      <c r="AE495" s="84">
        <v>0</v>
      </c>
      <c r="AF495" s="84">
        <v>0</v>
      </c>
      <c r="AG495" s="84">
        <v>0</v>
      </c>
      <c r="AH495" s="84">
        <v>0</v>
      </c>
      <c r="AI495" s="84">
        <v>0</v>
      </c>
      <c r="AJ495" s="84">
        <v>0</v>
      </c>
      <c r="AK495" s="84">
        <v>0</v>
      </c>
      <c r="AL495" s="84" cm="1">
        <f t="array" ref="AL4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5" s="84" cm="1">
        <f t="array" ref="AM4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5" s="84" cm="1">
        <f t="array" ref="AN4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5" s="84" cm="1">
        <f t="array" ref="AO4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5" s="84" cm="1">
        <f t="array" ref="AP4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5" s="84" cm="1">
        <f t="array" ref="AQ4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5" s="84" cm="1">
        <f t="array" ref="AR4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5" s="84" cm="1">
        <f t="array" ref="AS4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5" s="84" cm="1">
        <f t="array" ref="AT4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5" s="84" cm="1">
        <f t="array" ref="AU4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5" s="84" cm="1">
        <f t="array" ref="AV4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5" s="84" cm="1">
        <f t="array" ref="AW4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5" s="84" cm="1">
        <f t="array" ref="AX4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5" s="84" cm="1">
        <f t="array" ref="AY4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5" s="84" cm="1">
        <f t="array" ref="AZ4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5" s="84" cm="1">
        <f t="array" ref="BA4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5" s="84" cm="1">
        <f t="array" ref="BB4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5" s="84">
        <f>IF(SUM(Table3[[#This Row],[Column2]:[Column18]])&gt;Table3[[#This Row],[Column19]],Table3[[#This Row],[Column19]],SUM(Table3[[#This Row],[Column2]:[Column18]]))</f>
        <v>50000</v>
      </c>
      <c r="BD495" s="2">
        <f>Table3[[#This Row],[Total Spend]]/SUM(Table3[[#This Row],[Column2]:[Column18]])</f>
        <v>0.49164208456243852</v>
      </c>
    </row>
    <row r="496" spans="1:56">
      <c r="A496" s="84" t="s">
        <v>570</v>
      </c>
      <c r="B496" s="84"/>
      <c r="C496" s="84"/>
      <c r="D496" s="85">
        <v>45566</v>
      </c>
      <c r="E496" s="85" t="s">
        <v>92</v>
      </c>
      <c r="F496" s="84">
        <f>INDEX(Definitions!$G$13:$G$17,MATCH(Table3[[#This Row],[Propensity to buy/ buyer readiness]],Definitions!$A$13:$A$17,0))</f>
        <v>50000</v>
      </c>
      <c r="G496" s="86">
        <v>5</v>
      </c>
      <c r="H496" s="86">
        <v>5</v>
      </c>
      <c r="I496" s="86">
        <v>2</v>
      </c>
      <c r="J496" s="86">
        <v>4</v>
      </c>
      <c r="K496" s="86">
        <v>3</v>
      </c>
      <c r="L496" s="86">
        <f>SUM(Table3[[#This Row],[Strategic priority segment]:[Propensity to buy/ buyer readiness]])</f>
        <v>19</v>
      </c>
      <c r="M496" s="86" t="s">
        <v>102</v>
      </c>
      <c r="N496" s="84" t="s">
        <v>61</v>
      </c>
      <c r="O496" s="84"/>
      <c r="P496" s="87"/>
      <c r="Q496" s="87"/>
      <c r="R496" s="84"/>
      <c r="S496" s="87"/>
      <c r="T496" s="87"/>
      <c r="U496" s="84">
        <v>1</v>
      </c>
      <c r="V496" s="84">
        <v>0</v>
      </c>
      <c r="W496" s="84">
        <v>0</v>
      </c>
      <c r="X496" s="84">
        <v>0</v>
      </c>
      <c r="Y496" s="84">
        <v>0</v>
      </c>
      <c r="Z496" s="84">
        <v>1</v>
      </c>
      <c r="AA496" s="84">
        <v>1</v>
      </c>
      <c r="AB496" s="84">
        <v>1</v>
      </c>
      <c r="AC496" s="84">
        <v>1</v>
      </c>
      <c r="AD496" s="84">
        <v>0</v>
      </c>
      <c r="AE496" s="84">
        <v>0</v>
      </c>
      <c r="AF496" s="84">
        <v>0</v>
      </c>
      <c r="AG496" s="84">
        <v>0</v>
      </c>
      <c r="AH496" s="84">
        <v>0</v>
      </c>
      <c r="AI496" s="84">
        <v>0</v>
      </c>
      <c r="AJ496" s="84">
        <v>0</v>
      </c>
      <c r="AK496" s="84">
        <v>0</v>
      </c>
      <c r="AL496" s="84" cm="1">
        <f t="array" ref="AL4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6" s="84" cm="1">
        <f t="array" ref="AM4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6" s="84" cm="1">
        <f t="array" ref="AN4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6" s="84" cm="1">
        <f t="array" ref="AO4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6" s="84" cm="1">
        <f t="array" ref="AP4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6" s="84" cm="1">
        <f t="array" ref="AQ4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6" s="84" cm="1">
        <f t="array" ref="AR4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6" s="84" cm="1">
        <f t="array" ref="AS4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6" s="84" cm="1">
        <f t="array" ref="AT4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6" s="84" cm="1">
        <f t="array" ref="AU4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6" s="84" cm="1">
        <f t="array" ref="AV4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6" s="84" cm="1">
        <f t="array" ref="AW4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6" s="84" cm="1">
        <f t="array" ref="AX4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6" s="84" cm="1">
        <f t="array" ref="AY4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6" s="84" cm="1">
        <f t="array" ref="AZ4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6" s="84" cm="1">
        <f t="array" ref="BA4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6" s="84" cm="1">
        <f t="array" ref="BB4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6" s="84">
        <f>IF(SUM(Table3[[#This Row],[Column2]:[Column18]])&gt;Table3[[#This Row],[Column19]],Table3[[#This Row],[Column19]],SUM(Table3[[#This Row],[Column2]:[Column18]]))</f>
        <v>50000</v>
      </c>
      <c r="BD496" s="2">
        <f>Table3[[#This Row],[Total Spend]]/SUM(Table3[[#This Row],[Column2]:[Column18]])</f>
        <v>0.49164208456243852</v>
      </c>
    </row>
    <row r="497" spans="1:56">
      <c r="A497" s="84" t="s">
        <v>571</v>
      </c>
      <c r="B497" s="84"/>
      <c r="C497" s="84"/>
      <c r="D497" s="85">
        <v>45566</v>
      </c>
      <c r="E497" s="85" t="s">
        <v>92</v>
      </c>
      <c r="F497" s="84">
        <f>INDEX(Definitions!$G$13:$G$17,MATCH(Table3[[#This Row],[Propensity to buy/ buyer readiness]],Definitions!$A$13:$A$17,0))</f>
        <v>50000</v>
      </c>
      <c r="G497" s="86">
        <v>5</v>
      </c>
      <c r="H497" s="86">
        <v>5</v>
      </c>
      <c r="I497" s="86">
        <v>2</v>
      </c>
      <c r="J497" s="86">
        <v>4</v>
      </c>
      <c r="K497" s="86">
        <v>3</v>
      </c>
      <c r="L497" s="86">
        <f>SUM(Table3[[#This Row],[Strategic priority segment]:[Propensity to buy/ buyer readiness]])</f>
        <v>19</v>
      </c>
      <c r="M497" s="86" t="s">
        <v>102</v>
      </c>
      <c r="N497" s="84" t="s">
        <v>61</v>
      </c>
      <c r="O497" s="84"/>
      <c r="P497" s="84"/>
      <c r="Q497" s="84"/>
      <c r="R497" s="84"/>
      <c r="S497" s="84"/>
      <c r="T497" s="84"/>
      <c r="U497" s="84">
        <v>1</v>
      </c>
      <c r="V497" s="84">
        <v>0</v>
      </c>
      <c r="W497" s="84">
        <v>0</v>
      </c>
      <c r="X497" s="84">
        <v>0</v>
      </c>
      <c r="Y497" s="84">
        <v>0</v>
      </c>
      <c r="Z497" s="84">
        <v>1</v>
      </c>
      <c r="AA497" s="84">
        <v>1</v>
      </c>
      <c r="AB497" s="84">
        <v>1</v>
      </c>
      <c r="AC497" s="84">
        <v>1</v>
      </c>
      <c r="AD497" s="84">
        <v>0</v>
      </c>
      <c r="AE497" s="84">
        <v>0</v>
      </c>
      <c r="AF497" s="84">
        <v>0</v>
      </c>
      <c r="AG497" s="84">
        <v>0</v>
      </c>
      <c r="AH497" s="84">
        <v>0</v>
      </c>
      <c r="AI497" s="84">
        <v>0</v>
      </c>
      <c r="AJ497" s="84">
        <v>0</v>
      </c>
      <c r="AK497" s="84">
        <v>0</v>
      </c>
      <c r="AL497" s="84" cm="1">
        <f t="array" ref="AL4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7" s="84" cm="1">
        <f t="array" ref="AM4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7" s="84" cm="1">
        <f t="array" ref="AN4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7" s="84" cm="1">
        <f t="array" ref="AO4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7" s="84" cm="1">
        <f t="array" ref="AP4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7" s="84" cm="1">
        <f t="array" ref="AQ4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7" s="84" cm="1">
        <f t="array" ref="AR4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7" s="84" cm="1">
        <f t="array" ref="AS4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7" s="84" cm="1">
        <f t="array" ref="AT4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7" s="84" cm="1">
        <f t="array" ref="AU4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7" s="84" cm="1">
        <f t="array" ref="AV4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7" s="84" cm="1">
        <f t="array" ref="AW4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7" s="84" cm="1">
        <f t="array" ref="AX4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7" s="84" cm="1">
        <f t="array" ref="AY4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7" s="84" cm="1">
        <f t="array" ref="AZ4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7" s="84" cm="1">
        <f t="array" ref="BA4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7" s="84" cm="1">
        <f t="array" ref="BB4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7" s="84">
        <f>IF(SUM(Table3[[#This Row],[Column2]:[Column18]])&gt;Table3[[#This Row],[Column19]],Table3[[#This Row],[Column19]],SUM(Table3[[#This Row],[Column2]:[Column18]]))</f>
        <v>50000</v>
      </c>
      <c r="BD497" s="2">
        <f>Table3[[#This Row],[Total Spend]]/SUM(Table3[[#This Row],[Column2]:[Column18]])</f>
        <v>0.49164208456243852</v>
      </c>
    </row>
    <row r="498" spans="1:56">
      <c r="A498" s="84" t="s">
        <v>572</v>
      </c>
      <c r="B498" s="84"/>
      <c r="C498" s="84"/>
      <c r="D498" s="85">
        <v>45566</v>
      </c>
      <c r="E498" s="85" t="s">
        <v>92</v>
      </c>
      <c r="F498" s="84">
        <f>INDEX(Definitions!$G$13:$G$17,MATCH(Table3[[#This Row],[Propensity to buy/ buyer readiness]],Definitions!$A$13:$A$17,0))</f>
        <v>50000</v>
      </c>
      <c r="G498" s="86">
        <v>5</v>
      </c>
      <c r="H498" s="86">
        <v>5</v>
      </c>
      <c r="I498" s="86">
        <v>2</v>
      </c>
      <c r="J498" s="86">
        <v>4</v>
      </c>
      <c r="K498" s="86">
        <v>3</v>
      </c>
      <c r="L498" s="86">
        <f>SUM(Table3[[#This Row],[Strategic priority segment]:[Propensity to buy/ buyer readiness]])</f>
        <v>19</v>
      </c>
      <c r="M498" s="86" t="s">
        <v>102</v>
      </c>
      <c r="N498" s="84" t="s">
        <v>61</v>
      </c>
      <c r="O498" s="84"/>
      <c r="P498" s="87"/>
      <c r="Q498" s="87"/>
      <c r="R498" s="84"/>
      <c r="S498" s="87"/>
      <c r="T498" s="87"/>
      <c r="U498" s="84">
        <v>1</v>
      </c>
      <c r="V498" s="84">
        <v>0</v>
      </c>
      <c r="W498" s="84">
        <v>0</v>
      </c>
      <c r="X498" s="84">
        <v>0</v>
      </c>
      <c r="Y498" s="84">
        <v>0</v>
      </c>
      <c r="Z498" s="84">
        <v>1</v>
      </c>
      <c r="AA498" s="84">
        <v>1</v>
      </c>
      <c r="AB498" s="84">
        <v>1</v>
      </c>
      <c r="AC498" s="84">
        <v>1</v>
      </c>
      <c r="AD498" s="84">
        <v>0</v>
      </c>
      <c r="AE498" s="84">
        <v>0</v>
      </c>
      <c r="AF498" s="84">
        <v>0</v>
      </c>
      <c r="AG498" s="84">
        <v>0</v>
      </c>
      <c r="AH498" s="84">
        <v>0</v>
      </c>
      <c r="AI498" s="84">
        <v>0</v>
      </c>
      <c r="AJ498" s="84">
        <v>0</v>
      </c>
      <c r="AK498" s="84">
        <v>0</v>
      </c>
      <c r="AL498" s="84" cm="1">
        <f t="array" ref="AL4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8" s="84" cm="1">
        <f t="array" ref="AM4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8" s="84" cm="1">
        <f t="array" ref="AN4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8" s="84" cm="1">
        <f t="array" ref="AO4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8" s="84" cm="1">
        <f t="array" ref="AP4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8" s="84" cm="1">
        <f t="array" ref="AQ4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8" s="84" cm="1">
        <f t="array" ref="AR4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8" s="84" cm="1">
        <f t="array" ref="AS4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8" s="84" cm="1">
        <f t="array" ref="AT4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8" s="84" cm="1">
        <f t="array" ref="AU4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8" s="84" cm="1">
        <f t="array" ref="AV4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8" s="84" cm="1">
        <f t="array" ref="AW4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8" s="84" cm="1">
        <f t="array" ref="AX4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8" s="84" cm="1">
        <f t="array" ref="AY4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8" s="84" cm="1">
        <f t="array" ref="AZ4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8" s="84" cm="1">
        <f t="array" ref="BA4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8" s="84" cm="1">
        <f t="array" ref="BB4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8" s="84">
        <f>IF(SUM(Table3[[#This Row],[Column2]:[Column18]])&gt;Table3[[#This Row],[Column19]],Table3[[#This Row],[Column19]],SUM(Table3[[#This Row],[Column2]:[Column18]]))</f>
        <v>50000</v>
      </c>
      <c r="BD498" s="2">
        <f>Table3[[#This Row],[Total Spend]]/SUM(Table3[[#This Row],[Column2]:[Column18]])</f>
        <v>0.49164208456243852</v>
      </c>
    </row>
    <row r="499" spans="1:56" ht="17.25" customHeight="1">
      <c r="A499" s="84" t="s">
        <v>573</v>
      </c>
      <c r="B499" s="84"/>
      <c r="C499" s="84"/>
      <c r="D499" s="85">
        <v>45566</v>
      </c>
      <c r="E499" s="85" t="s">
        <v>92</v>
      </c>
      <c r="F499" s="84">
        <f>INDEX(Definitions!$G$13:$G$17,MATCH(Table3[[#This Row],[Propensity to buy/ buyer readiness]],Definitions!$A$13:$A$17,0))</f>
        <v>50000</v>
      </c>
      <c r="G499" s="86">
        <v>5</v>
      </c>
      <c r="H499" s="86">
        <v>5</v>
      </c>
      <c r="I499" s="86">
        <v>2</v>
      </c>
      <c r="J499" s="86">
        <v>4</v>
      </c>
      <c r="K499" s="86">
        <v>3</v>
      </c>
      <c r="L499" s="86">
        <f>SUM(Table3[[#This Row],[Strategic priority segment]:[Propensity to buy/ buyer readiness]])</f>
        <v>19</v>
      </c>
      <c r="M499" s="86" t="s">
        <v>102</v>
      </c>
      <c r="N499" s="84" t="s">
        <v>61</v>
      </c>
      <c r="O499" s="84" t="s">
        <v>264</v>
      </c>
      <c r="P499" s="87"/>
      <c r="Q499" s="87"/>
      <c r="R499" s="84"/>
      <c r="S499" s="87"/>
      <c r="T499" s="87"/>
      <c r="U499" s="84">
        <v>1</v>
      </c>
      <c r="V499" s="84">
        <v>0</v>
      </c>
      <c r="W499" s="84">
        <v>0</v>
      </c>
      <c r="X499" s="84">
        <v>0</v>
      </c>
      <c r="Y499" s="84">
        <v>0</v>
      </c>
      <c r="Z499" s="84">
        <v>1</v>
      </c>
      <c r="AA499" s="84">
        <v>1</v>
      </c>
      <c r="AB499" s="84">
        <v>1</v>
      </c>
      <c r="AC499" s="84">
        <v>1</v>
      </c>
      <c r="AD499" s="84">
        <v>0</v>
      </c>
      <c r="AE499" s="84">
        <v>0</v>
      </c>
      <c r="AF499" s="84">
        <v>0</v>
      </c>
      <c r="AG499" s="84">
        <v>0</v>
      </c>
      <c r="AH499" s="84">
        <v>0</v>
      </c>
      <c r="AI499" s="84">
        <v>0</v>
      </c>
      <c r="AJ499" s="84">
        <v>0</v>
      </c>
      <c r="AK499" s="84">
        <v>0</v>
      </c>
      <c r="AL499" s="84" cm="1">
        <f t="array" ref="AL4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499" s="84" cm="1">
        <f t="array" ref="AM4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499" s="84" cm="1">
        <f t="array" ref="AN4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499" s="84" cm="1">
        <f t="array" ref="AO4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499" s="84" cm="1">
        <f t="array" ref="AP4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499" s="84" cm="1">
        <f t="array" ref="AQ4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499" s="84" cm="1">
        <f t="array" ref="AR4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499" s="84" cm="1">
        <f t="array" ref="AS4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499" s="84" cm="1">
        <f t="array" ref="AT4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499" s="84" cm="1">
        <f t="array" ref="AU4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499" s="84" cm="1">
        <f t="array" ref="AV4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499" s="84" cm="1">
        <f t="array" ref="AW4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499" s="84" cm="1">
        <f t="array" ref="AX4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499" s="84" cm="1">
        <f t="array" ref="AY4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499" s="84" cm="1">
        <f t="array" ref="AZ4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499" s="84" cm="1">
        <f t="array" ref="BA4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499" s="84" cm="1">
        <f t="array" ref="BB4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499" s="84">
        <f>IF(SUM(Table3[[#This Row],[Column2]:[Column18]])&gt;Table3[[#This Row],[Column19]],Table3[[#This Row],[Column19]],SUM(Table3[[#This Row],[Column2]:[Column18]]))</f>
        <v>50000</v>
      </c>
      <c r="BD499" s="2">
        <f>Table3[[#This Row],[Total Spend]]/SUM(Table3[[#This Row],[Column2]:[Column18]])</f>
        <v>0.49164208456243852</v>
      </c>
    </row>
    <row r="500" spans="1:56" ht="18" customHeight="1">
      <c r="A500" s="84" t="s">
        <v>574</v>
      </c>
      <c r="B500" s="84"/>
      <c r="C500" s="84"/>
      <c r="D500" s="85">
        <v>45566</v>
      </c>
      <c r="E500" s="85" t="s">
        <v>92</v>
      </c>
      <c r="F500" s="84">
        <f>INDEX(Definitions!$G$13:$G$17,MATCH(Table3[[#This Row],[Propensity to buy/ buyer readiness]],Definitions!$A$13:$A$17,0))</f>
        <v>50000</v>
      </c>
      <c r="G500" s="86">
        <v>5</v>
      </c>
      <c r="H500" s="86">
        <v>5</v>
      </c>
      <c r="I500" s="86">
        <v>2</v>
      </c>
      <c r="J500" s="86">
        <v>4</v>
      </c>
      <c r="K500" s="86">
        <v>3</v>
      </c>
      <c r="L500" s="86">
        <f>SUM(Table3[[#This Row],[Strategic priority segment]:[Propensity to buy/ buyer readiness]])</f>
        <v>19</v>
      </c>
      <c r="M500" s="86" t="s">
        <v>102</v>
      </c>
      <c r="N500" s="84" t="s">
        <v>61</v>
      </c>
      <c r="O500" s="84"/>
      <c r="P500" s="84"/>
      <c r="Q500" s="84"/>
      <c r="R500" s="84"/>
      <c r="S500" s="84"/>
      <c r="T500" s="84"/>
      <c r="U500" s="84">
        <v>1</v>
      </c>
      <c r="V500" s="84">
        <v>0</v>
      </c>
      <c r="W500" s="84">
        <v>0</v>
      </c>
      <c r="X500" s="84">
        <v>0</v>
      </c>
      <c r="Y500" s="84">
        <v>0</v>
      </c>
      <c r="Z500" s="84">
        <v>1</v>
      </c>
      <c r="AA500" s="84">
        <v>1</v>
      </c>
      <c r="AB500" s="84">
        <v>1</v>
      </c>
      <c r="AC500" s="84">
        <v>1</v>
      </c>
      <c r="AD500" s="84">
        <v>0</v>
      </c>
      <c r="AE500" s="84">
        <v>0</v>
      </c>
      <c r="AF500" s="84">
        <v>0</v>
      </c>
      <c r="AG500" s="84">
        <v>0</v>
      </c>
      <c r="AH500" s="84">
        <v>0</v>
      </c>
      <c r="AI500" s="84">
        <v>0</v>
      </c>
      <c r="AJ500" s="84">
        <v>0</v>
      </c>
      <c r="AK500" s="84">
        <v>0</v>
      </c>
      <c r="AL500" s="84" cm="1">
        <f t="array" ref="AL5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0" s="84" cm="1">
        <f t="array" ref="AM5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0" s="84" cm="1">
        <f t="array" ref="AN5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0" s="84" cm="1">
        <f t="array" ref="AO5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0" s="84" cm="1">
        <f t="array" ref="AP5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0" s="84" cm="1">
        <f t="array" ref="AQ5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0" s="84" cm="1">
        <f t="array" ref="AR5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0" s="84" cm="1">
        <f t="array" ref="AS5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0" s="84" cm="1">
        <f t="array" ref="AT5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0" s="84" cm="1">
        <f t="array" ref="AU5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0" s="84" cm="1">
        <f t="array" ref="AV5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0" s="84" cm="1">
        <f t="array" ref="AW5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0" s="84" cm="1">
        <f t="array" ref="AX5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0" s="84" cm="1">
        <f t="array" ref="AY5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0" s="84" cm="1">
        <f t="array" ref="AZ5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0" s="84" cm="1">
        <f t="array" ref="BA5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0" s="84" cm="1">
        <f t="array" ref="BB5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0" s="84">
        <f>IF(SUM(Table3[[#This Row],[Column2]:[Column18]])&gt;Table3[[#This Row],[Column19]],Table3[[#This Row],[Column19]],SUM(Table3[[#This Row],[Column2]:[Column18]]))</f>
        <v>50000</v>
      </c>
      <c r="BD500" s="2">
        <f>Table3[[#This Row],[Total Spend]]/SUM(Table3[[#This Row],[Column2]:[Column18]])</f>
        <v>0.49164208456243852</v>
      </c>
    </row>
    <row r="501" spans="1:56" ht="28.5">
      <c r="A501" s="87" t="s">
        <v>575</v>
      </c>
      <c r="B501" s="87"/>
      <c r="C501" s="87" t="s">
        <v>57</v>
      </c>
      <c r="D501" s="85">
        <v>45566</v>
      </c>
      <c r="E501" s="85" t="s">
        <v>92</v>
      </c>
      <c r="F501" s="84">
        <f>INDEX(Definitions!$G$13:$G$17,MATCH(Table3[[#This Row],[Propensity to buy/ buyer readiness]],Definitions!$A$13:$A$17,0))</f>
        <v>150000</v>
      </c>
      <c r="G501" s="86">
        <v>5</v>
      </c>
      <c r="H501" s="86">
        <v>4</v>
      </c>
      <c r="I501" s="86">
        <v>3</v>
      </c>
      <c r="J501" s="86">
        <v>3</v>
      </c>
      <c r="K501" s="86">
        <v>4</v>
      </c>
      <c r="L501" s="86">
        <f>SUM(Table3[[#This Row],[Strategic priority segment]:[Propensity to buy/ buyer readiness]])</f>
        <v>19</v>
      </c>
      <c r="M501" s="86" t="s">
        <v>66</v>
      </c>
      <c r="N501" s="84" t="s">
        <v>62</v>
      </c>
      <c r="O501" s="87" t="s">
        <v>61</v>
      </c>
      <c r="P501" s="87"/>
      <c r="Q501" s="87"/>
      <c r="R501" s="84"/>
      <c r="S501" s="87"/>
      <c r="T501" s="87"/>
      <c r="U501" s="84">
        <v>1</v>
      </c>
      <c r="V501" s="84">
        <v>0</v>
      </c>
      <c r="W501" s="84">
        <v>0</v>
      </c>
      <c r="X501" s="84">
        <v>0</v>
      </c>
      <c r="Y501" s="84">
        <v>0</v>
      </c>
      <c r="Z501" s="84">
        <v>1</v>
      </c>
      <c r="AA501" s="84">
        <v>1</v>
      </c>
      <c r="AB501" s="84">
        <v>1</v>
      </c>
      <c r="AC501" s="84">
        <v>1</v>
      </c>
      <c r="AD501" s="84">
        <v>1</v>
      </c>
      <c r="AE501" s="84">
        <v>1</v>
      </c>
      <c r="AF501" s="84">
        <v>1</v>
      </c>
      <c r="AG501" s="84">
        <v>1</v>
      </c>
      <c r="AH501" s="84">
        <v>0</v>
      </c>
      <c r="AI501" s="84">
        <v>0</v>
      </c>
      <c r="AJ501" s="84">
        <v>0</v>
      </c>
      <c r="AK501" s="84">
        <v>0</v>
      </c>
      <c r="AL501" s="84" cm="1">
        <f t="array" ref="AL5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1" s="84" cm="1">
        <f t="array" ref="AM5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1" s="84" cm="1">
        <f t="array" ref="AN5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1" s="84" cm="1">
        <f t="array" ref="AO5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1" s="84" cm="1">
        <f t="array" ref="AP5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1" s="84" cm="1">
        <f t="array" ref="AQ5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1" s="84" cm="1">
        <f t="array" ref="AR5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1" s="84" cm="1">
        <f t="array" ref="AS5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1" s="84" cm="1">
        <f t="array" ref="AT5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1" s="84" cm="1">
        <f t="array" ref="AU5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01" s="84" cm="1">
        <f t="array" ref="AV5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01" s="84" cm="1">
        <f t="array" ref="AW5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01" s="84" cm="1">
        <f t="array" ref="AX5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01" s="84" cm="1">
        <f t="array" ref="AY5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1" s="84" cm="1">
        <f t="array" ref="AZ5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1" s="84" cm="1">
        <f t="array" ref="BA5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1" s="84" cm="1">
        <f t="array" ref="BB5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1" s="84">
        <f>IF(SUM(Table3[[#This Row],[Column2]:[Column18]])&gt;Table3[[#This Row],[Column19]],Table3[[#This Row],[Column19]],SUM(Table3[[#This Row],[Column2]:[Column18]]))</f>
        <v>150000</v>
      </c>
      <c r="BD501" s="2">
        <f>Table3[[#This Row],[Total Spend]]/SUM(Table3[[#This Row],[Column2]:[Column18]])</f>
        <v>0.79936051159072741</v>
      </c>
    </row>
    <row r="502" spans="1:56">
      <c r="A502" s="84" t="s">
        <v>576</v>
      </c>
      <c r="B502" s="84"/>
      <c r="C502" s="84"/>
      <c r="D502" s="85">
        <v>45566</v>
      </c>
      <c r="E502" s="85" t="s">
        <v>92</v>
      </c>
      <c r="F502" s="84">
        <f>INDEX(Definitions!$G$13:$G$17,MATCH(Table3[[#This Row],[Propensity to buy/ buyer readiness]],Definitions!$A$13:$A$17,0))</f>
        <v>50000</v>
      </c>
      <c r="G502" s="86">
        <v>5</v>
      </c>
      <c r="H502" s="86">
        <v>5</v>
      </c>
      <c r="I502" s="86">
        <v>2</v>
      </c>
      <c r="J502" s="86">
        <v>4</v>
      </c>
      <c r="K502" s="86">
        <v>3</v>
      </c>
      <c r="L502" s="86">
        <f>SUM(Table3[[#This Row],[Strategic priority segment]:[Propensity to buy/ buyer readiness]])</f>
        <v>19</v>
      </c>
      <c r="M502" s="86" t="s">
        <v>102</v>
      </c>
      <c r="N502" s="84" t="s">
        <v>61</v>
      </c>
      <c r="O502" s="84"/>
      <c r="P502" s="87"/>
      <c r="Q502" s="87"/>
      <c r="R502" s="84"/>
      <c r="S502" s="87"/>
      <c r="T502" s="87"/>
      <c r="U502" s="84">
        <v>1</v>
      </c>
      <c r="V502" s="84">
        <v>0</v>
      </c>
      <c r="W502" s="84">
        <v>0</v>
      </c>
      <c r="X502" s="84">
        <v>0</v>
      </c>
      <c r="Y502" s="84">
        <v>0</v>
      </c>
      <c r="Z502" s="84">
        <v>1</v>
      </c>
      <c r="AA502" s="84">
        <v>1</v>
      </c>
      <c r="AB502" s="84">
        <v>1</v>
      </c>
      <c r="AC502" s="84">
        <v>1</v>
      </c>
      <c r="AD502" s="84">
        <v>0</v>
      </c>
      <c r="AE502" s="84">
        <v>0</v>
      </c>
      <c r="AF502" s="84">
        <v>0</v>
      </c>
      <c r="AG502" s="84">
        <v>0</v>
      </c>
      <c r="AH502" s="84">
        <v>0</v>
      </c>
      <c r="AI502" s="84">
        <v>0</v>
      </c>
      <c r="AJ502" s="84">
        <v>0</v>
      </c>
      <c r="AK502" s="84">
        <v>0</v>
      </c>
      <c r="AL502" s="84" cm="1">
        <f t="array" ref="AL5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2" s="84" cm="1">
        <f t="array" ref="AM5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2" s="84" cm="1">
        <f t="array" ref="AN5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2" s="84" cm="1">
        <f t="array" ref="AO5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2" s="84" cm="1">
        <f t="array" ref="AP5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2" s="84" cm="1">
        <f t="array" ref="AQ5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2" s="84" cm="1">
        <f t="array" ref="AR5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2" s="84" cm="1">
        <f t="array" ref="AS5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2" s="84" cm="1">
        <f t="array" ref="AT5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2" s="84" cm="1">
        <f t="array" ref="AU5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2" s="84" cm="1">
        <f t="array" ref="AV5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2" s="84" cm="1">
        <f t="array" ref="AW5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2" s="84" cm="1">
        <f t="array" ref="AX5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2" s="84" cm="1">
        <f t="array" ref="AY5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2" s="84" cm="1">
        <f t="array" ref="AZ5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2" s="84" cm="1">
        <f t="array" ref="BA5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2" s="84" cm="1">
        <f t="array" ref="BB5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2" s="84">
        <f>IF(SUM(Table3[[#This Row],[Column2]:[Column18]])&gt;Table3[[#This Row],[Column19]],Table3[[#This Row],[Column19]],SUM(Table3[[#This Row],[Column2]:[Column18]]))</f>
        <v>50000</v>
      </c>
      <c r="BD502" s="2">
        <f>Table3[[#This Row],[Total Spend]]/SUM(Table3[[#This Row],[Column2]:[Column18]])</f>
        <v>0.49164208456243852</v>
      </c>
    </row>
    <row r="503" spans="1:56">
      <c r="A503" s="84" t="s">
        <v>577</v>
      </c>
      <c r="B503" s="84"/>
      <c r="C503" s="84"/>
      <c r="D503" s="85">
        <v>45566</v>
      </c>
      <c r="E503" s="85" t="s">
        <v>92</v>
      </c>
      <c r="F503" s="84">
        <f>INDEX(Definitions!$G$13:$G$17,MATCH(Table3[[#This Row],[Propensity to buy/ buyer readiness]],Definitions!$A$13:$A$17,0))</f>
        <v>50000</v>
      </c>
      <c r="G503" s="86">
        <v>5</v>
      </c>
      <c r="H503" s="86">
        <v>5</v>
      </c>
      <c r="I503" s="86">
        <v>2</v>
      </c>
      <c r="J503" s="86">
        <v>4</v>
      </c>
      <c r="K503" s="86">
        <v>3</v>
      </c>
      <c r="L503" s="86">
        <f>SUM(Table3[[#This Row],[Strategic priority segment]:[Propensity to buy/ buyer readiness]])</f>
        <v>19</v>
      </c>
      <c r="M503" s="86" t="s">
        <v>102</v>
      </c>
      <c r="N503" s="84" t="s">
        <v>61</v>
      </c>
      <c r="O503" s="84"/>
      <c r="P503" s="87"/>
      <c r="Q503" s="87"/>
      <c r="R503" s="84"/>
      <c r="S503" s="87"/>
      <c r="T503" s="87"/>
      <c r="U503" s="84">
        <v>1</v>
      </c>
      <c r="V503" s="84">
        <v>0</v>
      </c>
      <c r="W503" s="84">
        <v>0</v>
      </c>
      <c r="X503" s="84">
        <v>0</v>
      </c>
      <c r="Y503" s="84">
        <v>0</v>
      </c>
      <c r="Z503" s="84">
        <v>1</v>
      </c>
      <c r="AA503" s="84">
        <v>1</v>
      </c>
      <c r="AB503" s="84">
        <v>1</v>
      </c>
      <c r="AC503" s="84">
        <v>1</v>
      </c>
      <c r="AD503" s="84">
        <v>0</v>
      </c>
      <c r="AE503" s="84">
        <v>0</v>
      </c>
      <c r="AF503" s="84">
        <v>0</v>
      </c>
      <c r="AG503" s="84">
        <v>0</v>
      </c>
      <c r="AH503" s="84">
        <v>0</v>
      </c>
      <c r="AI503" s="84">
        <v>0</v>
      </c>
      <c r="AJ503" s="84">
        <v>0</v>
      </c>
      <c r="AK503" s="84">
        <v>0</v>
      </c>
      <c r="AL503" s="84" cm="1">
        <f t="array" ref="AL5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3" s="84" cm="1">
        <f t="array" ref="AM5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3" s="84" cm="1">
        <f t="array" ref="AN5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3" s="84" cm="1">
        <f t="array" ref="AO5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3" s="84" cm="1">
        <f t="array" ref="AP5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3" s="84" cm="1">
        <f t="array" ref="AQ5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3" s="84" cm="1">
        <f t="array" ref="AR5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3" s="84" cm="1">
        <f t="array" ref="AS5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3" s="84" cm="1">
        <f t="array" ref="AT5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3" s="84" cm="1">
        <f t="array" ref="AU5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3" s="84" cm="1">
        <f t="array" ref="AV5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3" s="84" cm="1">
        <f t="array" ref="AW5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3" s="84" cm="1">
        <f t="array" ref="AX5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3" s="84" cm="1">
        <f t="array" ref="AY5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3" s="84" cm="1">
        <f t="array" ref="AZ5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3" s="84" cm="1">
        <f t="array" ref="BA5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3" s="84" cm="1">
        <f t="array" ref="BB5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3" s="84">
        <f>IF(SUM(Table3[[#This Row],[Column2]:[Column18]])&gt;Table3[[#This Row],[Column19]],Table3[[#This Row],[Column19]],SUM(Table3[[#This Row],[Column2]:[Column18]]))</f>
        <v>50000</v>
      </c>
      <c r="BD503" s="2">
        <f>Table3[[#This Row],[Total Spend]]/SUM(Table3[[#This Row],[Column2]:[Column18]])</f>
        <v>0.49164208456243852</v>
      </c>
    </row>
    <row r="504" spans="1:56">
      <c r="A504" s="84" t="s">
        <v>578</v>
      </c>
      <c r="B504" s="84"/>
      <c r="C504" s="84"/>
      <c r="D504" s="85">
        <v>45566</v>
      </c>
      <c r="E504" s="85" t="s">
        <v>92</v>
      </c>
      <c r="F504" s="84">
        <f>INDEX(Definitions!$G$13:$G$17,MATCH(Table3[[#This Row],[Propensity to buy/ buyer readiness]],Definitions!$A$13:$A$17,0))</f>
        <v>50000</v>
      </c>
      <c r="G504" s="86">
        <v>5</v>
      </c>
      <c r="H504" s="86">
        <v>5</v>
      </c>
      <c r="I504" s="86">
        <v>2</v>
      </c>
      <c r="J504" s="86">
        <v>4</v>
      </c>
      <c r="K504" s="86">
        <v>3</v>
      </c>
      <c r="L504" s="86">
        <f>SUM(Table3[[#This Row],[Strategic priority segment]:[Propensity to buy/ buyer readiness]])</f>
        <v>19</v>
      </c>
      <c r="M504" s="86" t="s">
        <v>102</v>
      </c>
      <c r="N504" s="84" t="s">
        <v>61</v>
      </c>
      <c r="O504" s="84"/>
      <c r="P504" s="87"/>
      <c r="Q504" s="87"/>
      <c r="R504" s="84"/>
      <c r="S504" s="87"/>
      <c r="T504" s="87"/>
      <c r="U504" s="84">
        <v>1</v>
      </c>
      <c r="V504" s="84">
        <v>0</v>
      </c>
      <c r="W504" s="84">
        <v>0</v>
      </c>
      <c r="X504" s="84">
        <v>0</v>
      </c>
      <c r="Y504" s="84">
        <v>0</v>
      </c>
      <c r="Z504" s="84">
        <v>1</v>
      </c>
      <c r="AA504" s="84">
        <v>1</v>
      </c>
      <c r="AB504" s="84">
        <v>1</v>
      </c>
      <c r="AC504" s="84">
        <v>1</v>
      </c>
      <c r="AD504" s="84">
        <v>0</v>
      </c>
      <c r="AE504" s="84">
        <v>0</v>
      </c>
      <c r="AF504" s="84">
        <v>0</v>
      </c>
      <c r="AG504" s="84">
        <v>0</v>
      </c>
      <c r="AH504" s="84">
        <v>0</v>
      </c>
      <c r="AI504" s="84">
        <v>0</v>
      </c>
      <c r="AJ504" s="84">
        <v>0</v>
      </c>
      <c r="AK504" s="84">
        <v>0</v>
      </c>
      <c r="AL504" s="84" cm="1">
        <f t="array" ref="AL5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4" s="84" cm="1">
        <f t="array" ref="AM5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4" s="84" cm="1">
        <f t="array" ref="AN5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4" s="84" cm="1">
        <f t="array" ref="AO5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4" s="84" cm="1">
        <f t="array" ref="AP5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4" s="84" cm="1">
        <f t="array" ref="AQ5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4" s="84" cm="1">
        <f t="array" ref="AR5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4" s="84" cm="1">
        <f t="array" ref="AS5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4" s="84" cm="1">
        <f t="array" ref="AT5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4" s="84" cm="1">
        <f t="array" ref="AU5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4" s="84" cm="1">
        <f t="array" ref="AV5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4" s="84" cm="1">
        <f t="array" ref="AW5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4" s="84" cm="1">
        <f t="array" ref="AX5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4" s="84" cm="1">
        <f t="array" ref="AY5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4" s="84" cm="1">
        <f t="array" ref="AZ5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4" s="84" cm="1">
        <f t="array" ref="BA5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4" s="84" cm="1">
        <f t="array" ref="BB5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4" s="84">
        <f>IF(SUM(Table3[[#This Row],[Column2]:[Column18]])&gt;Table3[[#This Row],[Column19]],Table3[[#This Row],[Column19]],SUM(Table3[[#This Row],[Column2]:[Column18]]))</f>
        <v>50000</v>
      </c>
      <c r="BD504" s="2">
        <f>Table3[[#This Row],[Total Spend]]/SUM(Table3[[#This Row],[Column2]:[Column18]])</f>
        <v>0.49164208456243852</v>
      </c>
    </row>
    <row r="505" spans="1:56">
      <c r="A505" s="84" t="s">
        <v>579</v>
      </c>
      <c r="B505" s="84"/>
      <c r="C505" s="84"/>
      <c r="D505" s="85">
        <v>45566</v>
      </c>
      <c r="E505" s="85" t="s">
        <v>92</v>
      </c>
      <c r="F505" s="84">
        <f>INDEX(Definitions!$G$13:$G$17,MATCH(Table3[[#This Row],[Propensity to buy/ buyer readiness]],Definitions!$A$13:$A$17,0))</f>
        <v>50000</v>
      </c>
      <c r="G505" s="86">
        <v>5</v>
      </c>
      <c r="H505" s="86">
        <v>5</v>
      </c>
      <c r="I505" s="86">
        <v>2</v>
      </c>
      <c r="J505" s="86">
        <v>4</v>
      </c>
      <c r="K505" s="86">
        <v>3</v>
      </c>
      <c r="L505" s="86">
        <f>SUM(Table3[[#This Row],[Strategic priority segment]:[Propensity to buy/ buyer readiness]])</f>
        <v>19</v>
      </c>
      <c r="M505" s="86" t="s">
        <v>102</v>
      </c>
      <c r="N505" s="84" t="s">
        <v>61</v>
      </c>
      <c r="O505" s="84"/>
      <c r="P505" s="87"/>
      <c r="Q505" s="87"/>
      <c r="R505" s="84"/>
      <c r="S505" s="87"/>
      <c r="T505" s="87"/>
      <c r="U505" s="84">
        <v>1</v>
      </c>
      <c r="V505" s="84">
        <v>0</v>
      </c>
      <c r="W505" s="84">
        <v>0</v>
      </c>
      <c r="X505" s="84">
        <v>0</v>
      </c>
      <c r="Y505" s="84">
        <v>0</v>
      </c>
      <c r="Z505" s="84">
        <v>1</v>
      </c>
      <c r="AA505" s="84">
        <v>1</v>
      </c>
      <c r="AB505" s="84">
        <v>1</v>
      </c>
      <c r="AC505" s="84">
        <v>1</v>
      </c>
      <c r="AD505" s="84">
        <v>0</v>
      </c>
      <c r="AE505" s="84">
        <v>0</v>
      </c>
      <c r="AF505" s="84">
        <v>0</v>
      </c>
      <c r="AG505" s="84">
        <v>0</v>
      </c>
      <c r="AH505" s="84">
        <v>0</v>
      </c>
      <c r="AI505" s="84">
        <v>0</v>
      </c>
      <c r="AJ505" s="84">
        <v>0</v>
      </c>
      <c r="AK505" s="84">
        <v>0</v>
      </c>
      <c r="AL505" s="84" cm="1">
        <f t="array" ref="AL5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5" s="84" cm="1">
        <f t="array" ref="AM5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5" s="84" cm="1">
        <f t="array" ref="AN5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5" s="84" cm="1">
        <f t="array" ref="AO5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5" s="84" cm="1">
        <f t="array" ref="AP5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5" s="84" cm="1">
        <f t="array" ref="AQ5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5" s="84" cm="1">
        <f t="array" ref="AR5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5" s="84" cm="1">
        <f t="array" ref="AS5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5" s="84" cm="1">
        <f t="array" ref="AT5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5" s="84" cm="1">
        <f t="array" ref="AU5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5" s="84" cm="1">
        <f t="array" ref="AV5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5" s="84" cm="1">
        <f t="array" ref="AW5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5" s="84" cm="1">
        <f t="array" ref="AX5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5" s="84" cm="1">
        <f t="array" ref="AY5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5" s="84" cm="1">
        <f t="array" ref="AZ5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5" s="84" cm="1">
        <f t="array" ref="BA5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5" s="84" cm="1">
        <f t="array" ref="BB5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5" s="84">
        <f>IF(SUM(Table3[[#This Row],[Column2]:[Column18]])&gt;Table3[[#This Row],[Column19]],Table3[[#This Row],[Column19]],SUM(Table3[[#This Row],[Column2]:[Column18]]))</f>
        <v>50000</v>
      </c>
      <c r="BD505" s="2">
        <f>Table3[[#This Row],[Total Spend]]/SUM(Table3[[#This Row],[Column2]:[Column18]])</f>
        <v>0.49164208456243852</v>
      </c>
    </row>
    <row r="506" spans="1:56">
      <c r="A506" s="84" t="s">
        <v>580</v>
      </c>
      <c r="B506" s="84"/>
      <c r="C506" s="84"/>
      <c r="D506" s="85">
        <v>45566</v>
      </c>
      <c r="E506" s="85" t="s">
        <v>92</v>
      </c>
      <c r="F506" s="84">
        <f>INDEX(Definitions!$G$13:$G$17,MATCH(Table3[[#This Row],[Propensity to buy/ buyer readiness]],Definitions!$A$13:$A$17,0))</f>
        <v>50000</v>
      </c>
      <c r="G506" s="86">
        <v>5</v>
      </c>
      <c r="H506" s="86">
        <v>5</v>
      </c>
      <c r="I506" s="86">
        <v>2</v>
      </c>
      <c r="J506" s="86">
        <v>4</v>
      </c>
      <c r="K506" s="86">
        <v>3</v>
      </c>
      <c r="L506" s="86">
        <f>SUM(Table3[[#This Row],[Strategic priority segment]:[Propensity to buy/ buyer readiness]])</f>
        <v>19</v>
      </c>
      <c r="M506" s="86" t="s">
        <v>102</v>
      </c>
      <c r="N506" s="84" t="s">
        <v>61</v>
      </c>
      <c r="O506" s="84"/>
      <c r="P506" s="84"/>
      <c r="Q506" s="84"/>
      <c r="R506" s="84"/>
      <c r="S506" s="84"/>
      <c r="T506" s="84"/>
      <c r="U506" s="84">
        <v>1</v>
      </c>
      <c r="V506" s="84">
        <v>0</v>
      </c>
      <c r="W506" s="84">
        <v>0</v>
      </c>
      <c r="X506" s="84">
        <v>0</v>
      </c>
      <c r="Y506" s="84">
        <v>0</v>
      </c>
      <c r="Z506" s="84">
        <v>1</v>
      </c>
      <c r="AA506" s="84">
        <v>1</v>
      </c>
      <c r="AB506" s="84">
        <v>1</v>
      </c>
      <c r="AC506" s="84">
        <v>1</v>
      </c>
      <c r="AD506" s="84">
        <v>0</v>
      </c>
      <c r="AE506" s="84">
        <v>0</v>
      </c>
      <c r="AF506" s="84">
        <v>0</v>
      </c>
      <c r="AG506" s="84">
        <v>0</v>
      </c>
      <c r="AH506" s="84">
        <v>0</v>
      </c>
      <c r="AI506" s="84">
        <v>0</v>
      </c>
      <c r="AJ506" s="84">
        <v>0</v>
      </c>
      <c r="AK506" s="84">
        <v>0</v>
      </c>
      <c r="AL506" s="84" cm="1">
        <f t="array" ref="AL5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6" s="84" cm="1">
        <f t="array" ref="AM5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6" s="84" cm="1">
        <f t="array" ref="AN5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6" s="84" cm="1">
        <f t="array" ref="AO5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6" s="84" cm="1">
        <f t="array" ref="AP5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6" s="84" cm="1">
        <f t="array" ref="AQ5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6" s="84" cm="1">
        <f t="array" ref="AR5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6" s="84" cm="1">
        <f t="array" ref="AS5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6" s="84" cm="1">
        <f t="array" ref="AT5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6" s="84" cm="1">
        <f t="array" ref="AU5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6" s="84" cm="1">
        <f t="array" ref="AV5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6" s="84" cm="1">
        <f t="array" ref="AW5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6" s="84" cm="1">
        <f t="array" ref="AX5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6" s="84" cm="1">
        <f t="array" ref="AY5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6" s="84" cm="1">
        <f t="array" ref="AZ5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6" s="84" cm="1">
        <f t="array" ref="BA5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6" s="84" cm="1">
        <f t="array" ref="BB5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6" s="84">
        <f>IF(SUM(Table3[[#This Row],[Column2]:[Column18]])&gt;Table3[[#This Row],[Column19]],Table3[[#This Row],[Column19]],SUM(Table3[[#This Row],[Column2]:[Column18]]))</f>
        <v>50000</v>
      </c>
      <c r="BD506" s="2">
        <f>Table3[[#This Row],[Total Spend]]/SUM(Table3[[#This Row],[Column2]:[Column18]])</f>
        <v>0.49164208456243852</v>
      </c>
    </row>
    <row r="507" spans="1:56">
      <c r="A507" s="88" t="s">
        <v>581</v>
      </c>
      <c r="B507" s="88"/>
      <c r="C507" s="88"/>
      <c r="D507" s="85">
        <v>45566</v>
      </c>
      <c r="E507" s="85" t="s">
        <v>92</v>
      </c>
      <c r="F507" s="84">
        <f>INDEX(Definitions!$G$13:$G$17,MATCH(Table3[[#This Row],[Propensity to buy/ buyer readiness]],Definitions!$A$13:$A$17,0))</f>
        <v>50000</v>
      </c>
      <c r="G507" s="86">
        <v>5</v>
      </c>
      <c r="H507" s="86">
        <v>5</v>
      </c>
      <c r="I507" s="86">
        <v>2</v>
      </c>
      <c r="J507" s="86">
        <v>4</v>
      </c>
      <c r="K507" s="86">
        <v>3</v>
      </c>
      <c r="L507" s="86">
        <f>SUM(Table3[[#This Row],[Strategic priority segment]:[Propensity to buy/ buyer readiness]])</f>
        <v>19</v>
      </c>
      <c r="M507" s="86" t="s">
        <v>102</v>
      </c>
      <c r="N507" s="84" t="s">
        <v>61</v>
      </c>
      <c r="O507" s="84"/>
      <c r="P507" s="87"/>
      <c r="Q507" s="87"/>
      <c r="R507" s="84"/>
      <c r="S507" s="87"/>
      <c r="T507" s="87"/>
      <c r="U507" s="84">
        <v>1</v>
      </c>
      <c r="V507" s="84">
        <v>0</v>
      </c>
      <c r="W507" s="84">
        <v>0</v>
      </c>
      <c r="X507" s="84">
        <v>0</v>
      </c>
      <c r="Y507" s="84">
        <v>0</v>
      </c>
      <c r="Z507" s="84">
        <v>1</v>
      </c>
      <c r="AA507" s="84">
        <v>1</v>
      </c>
      <c r="AB507" s="84">
        <v>1</v>
      </c>
      <c r="AC507" s="84">
        <v>1</v>
      </c>
      <c r="AD507" s="84">
        <v>0</v>
      </c>
      <c r="AE507" s="84">
        <v>0</v>
      </c>
      <c r="AF507" s="84">
        <v>0</v>
      </c>
      <c r="AG507" s="84">
        <v>0</v>
      </c>
      <c r="AH507" s="84">
        <v>0</v>
      </c>
      <c r="AI507" s="84">
        <v>0</v>
      </c>
      <c r="AJ507" s="84">
        <v>0</v>
      </c>
      <c r="AK507" s="84">
        <v>0</v>
      </c>
      <c r="AL507" s="84" cm="1">
        <f t="array" ref="AL5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7" s="84" cm="1">
        <f t="array" ref="AM5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7" s="84" cm="1">
        <f t="array" ref="AN5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7" s="84" cm="1">
        <f t="array" ref="AO5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7" s="84" cm="1">
        <f t="array" ref="AP5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7" s="84" cm="1">
        <f t="array" ref="AQ5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7" s="84" cm="1">
        <f t="array" ref="AR5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7" s="84" cm="1">
        <f t="array" ref="AS5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7" s="84" cm="1">
        <f t="array" ref="AT5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7" s="84" cm="1">
        <f t="array" ref="AU5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7" s="84" cm="1">
        <f t="array" ref="AV5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7" s="84" cm="1">
        <f t="array" ref="AW5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7" s="84" cm="1">
        <f t="array" ref="AX5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7" s="84" cm="1">
        <f t="array" ref="AY5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7" s="84" cm="1">
        <f t="array" ref="AZ5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7" s="84" cm="1">
        <f t="array" ref="BA5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7" s="84" cm="1">
        <f t="array" ref="BB5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7" s="84">
        <f>IF(SUM(Table3[[#This Row],[Column2]:[Column18]])&gt;Table3[[#This Row],[Column19]],Table3[[#This Row],[Column19]],SUM(Table3[[#This Row],[Column2]:[Column18]]))</f>
        <v>50000</v>
      </c>
      <c r="BD507" s="2">
        <f>Table3[[#This Row],[Total Spend]]/SUM(Table3[[#This Row],[Column2]:[Column18]])</f>
        <v>0.49164208456243852</v>
      </c>
    </row>
    <row r="508" spans="1:56">
      <c r="A508" s="84" t="s">
        <v>582</v>
      </c>
      <c r="B508" s="84"/>
      <c r="C508" s="84"/>
      <c r="D508" s="85">
        <v>45566</v>
      </c>
      <c r="E508" s="85" t="s">
        <v>92</v>
      </c>
      <c r="F508" s="84">
        <f>INDEX(Definitions!$G$13:$G$17,MATCH(Table3[[#This Row],[Propensity to buy/ buyer readiness]],Definitions!$A$13:$A$17,0))</f>
        <v>50000</v>
      </c>
      <c r="G508" s="86">
        <v>5</v>
      </c>
      <c r="H508" s="86">
        <v>5</v>
      </c>
      <c r="I508" s="86">
        <v>2</v>
      </c>
      <c r="J508" s="86">
        <v>4</v>
      </c>
      <c r="K508" s="86">
        <v>3</v>
      </c>
      <c r="L508" s="86">
        <f>SUM(Table3[[#This Row],[Strategic priority segment]:[Propensity to buy/ buyer readiness]])</f>
        <v>19</v>
      </c>
      <c r="M508" s="86" t="s">
        <v>102</v>
      </c>
      <c r="N508" s="84" t="s">
        <v>61</v>
      </c>
      <c r="O508" s="84"/>
      <c r="P508" s="87"/>
      <c r="Q508" s="87"/>
      <c r="R508" s="84"/>
      <c r="S508" s="87"/>
      <c r="T508" s="87"/>
      <c r="U508" s="84">
        <v>1</v>
      </c>
      <c r="V508" s="84">
        <v>0</v>
      </c>
      <c r="W508" s="84">
        <v>0</v>
      </c>
      <c r="X508" s="84">
        <v>0</v>
      </c>
      <c r="Y508" s="84">
        <v>0</v>
      </c>
      <c r="Z508" s="84">
        <v>1</v>
      </c>
      <c r="AA508" s="84">
        <v>1</v>
      </c>
      <c r="AB508" s="84">
        <v>1</v>
      </c>
      <c r="AC508" s="84">
        <v>1</v>
      </c>
      <c r="AD508" s="84">
        <v>0</v>
      </c>
      <c r="AE508" s="84">
        <v>0</v>
      </c>
      <c r="AF508" s="84">
        <v>0</v>
      </c>
      <c r="AG508" s="84">
        <v>0</v>
      </c>
      <c r="AH508" s="84">
        <v>0</v>
      </c>
      <c r="AI508" s="84">
        <v>0</v>
      </c>
      <c r="AJ508" s="84">
        <v>0</v>
      </c>
      <c r="AK508" s="84">
        <v>0</v>
      </c>
      <c r="AL508" s="84" cm="1">
        <f t="array" ref="AL5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8" s="84" cm="1">
        <f t="array" ref="AM5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8" s="84" cm="1">
        <f t="array" ref="AN5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8" s="84" cm="1">
        <f t="array" ref="AO5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8" s="84" cm="1">
        <f t="array" ref="AP5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8" s="84" cm="1">
        <f t="array" ref="AQ5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8" s="84" cm="1">
        <f t="array" ref="AR5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8" s="84" cm="1">
        <f t="array" ref="AS5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8" s="84" cm="1">
        <f t="array" ref="AT5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8" s="84" cm="1">
        <f t="array" ref="AU5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8" s="84" cm="1">
        <f t="array" ref="AV5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8" s="84" cm="1">
        <f t="array" ref="AW5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8" s="84" cm="1">
        <f t="array" ref="AX5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8" s="84" cm="1">
        <f t="array" ref="AY5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8" s="84" cm="1">
        <f t="array" ref="AZ5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8" s="84" cm="1">
        <f t="array" ref="BA5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8" s="84" cm="1">
        <f t="array" ref="BB5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8" s="84">
        <f>IF(SUM(Table3[[#This Row],[Column2]:[Column18]])&gt;Table3[[#This Row],[Column19]],Table3[[#This Row],[Column19]],SUM(Table3[[#This Row],[Column2]:[Column18]]))</f>
        <v>50000</v>
      </c>
      <c r="BD508" s="2">
        <f>Table3[[#This Row],[Total Spend]]/SUM(Table3[[#This Row],[Column2]:[Column18]])</f>
        <v>0.49164208456243852</v>
      </c>
    </row>
    <row r="509" spans="1:56">
      <c r="A509" s="84" t="s">
        <v>583</v>
      </c>
      <c r="B509" s="84"/>
      <c r="C509" s="84"/>
      <c r="D509" s="85">
        <v>45566</v>
      </c>
      <c r="E509" s="85" t="s">
        <v>92</v>
      </c>
      <c r="F509" s="84">
        <f>INDEX(Definitions!$G$13:$G$17,MATCH(Table3[[#This Row],[Propensity to buy/ buyer readiness]],Definitions!$A$13:$A$17,0))</f>
        <v>50000</v>
      </c>
      <c r="G509" s="86">
        <v>5</v>
      </c>
      <c r="H509" s="86">
        <v>5</v>
      </c>
      <c r="I509" s="86">
        <v>2</v>
      </c>
      <c r="J509" s="86">
        <v>4</v>
      </c>
      <c r="K509" s="86">
        <v>3</v>
      </c>
      <c r="L509" s="86">
        <f>SUM(Table3[[#This Row],[Strategic priority segment]:[Propensity to buy/ buyer readiness]])</f>
        <v>19</v>
      </c>
      <c r="M509" s="86" t="s">
        <v>102</v>
      </c>
      <c r="N509" s="84" t="s">
        <v>61</v>
      </c>
      <c r="O509" s="84"/>
      <c r="P509" s="87"/>
      <c r="Q509" s="87"/>
      <c r="R509" s="84"/>
      <c r="S509" s="87"/>
      <c r="T509" s="87"/>
      <c r="U509" s="84">
        <v>1</v>
      </c>
      <c r="V509" s="84">
        <v>0</v>
      </c>
      <c r="W509" s="84">
        <v>0</v>
      </c>
      <c r="X509" s="84">
        <v>0</v>
      </c>
      <c r="Y509" s="84">
        <v>0</v>
      </c>
      <c r="Z509" s="84">
        <v>1</v>
      </c>
      <c r="AA509" s="84">
        <v>1</v>
      </c>
      <c r="AB509" s="84">
        <v>1</v>
      </c>
      <c r="AC509" s="84">
        <v>1</v>
      </c>
      <c r="AD509" s="84">
        <v>0</v>
      </c>
      <c r="AE509" s="84">
        <v>0</v>
      </c>
      <c r="AF509" s="84">
        <v>0</v>
      </c>
      <c r="AG509" s="84">
        <v>0</v>
      </c>
      <c r="AH509" s="84">
        <v>0</v>
      </c>
      <c r="AI509" s="84">
        <v>0</v>
      </c>
      <c r="AJ509" s="84">
        <v>0</v>
      </c>
      <c r="AK509" s="84">
        <v>0</v>
      </c>
      <c r="AL509" s="84" cm="1">
        <f t="array" ref="AL5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09" s="84" cm="1">
        <f t="array" ref="AM5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09" s="84" cm="1">
        <f t="array" ref="AN5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09" s="84" cm="1">
        <f t="array" ref="AO5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09" s="84" cm="1">
        <f t="array" ref="AP5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09" s="84" cm="1">
        <f t="array" ref="AQ5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09" s="84" cm="1">
        <f t="array" ref="AR5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09" s="84" cm="1">
        <f t="array" ref="AS5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09" s="84" cm="1">
        <f t="array" ref="AT5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09" s="84" cm="1">
        <f t="array" ref="AU5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09" s="84" cm="1">
        <f t="array" ref="AV5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09" s="84" cm="1">
        <f t="array" ref="AW5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09" s="84" cm="1">
        <f t="array" ref="AX5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09" s="84" cm="1">
        <f t="array" ref="AY5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09" s="84" cm="1">
        <f t="array" ref="AZ5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09" s="84" cm="1">
        <f t="array" ref="BA5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09" s="84" cm="1">
        <f t="array" ref="BB5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09" s="84">
        <f>IF(SUM(Table3[[#This Row],[Column2]:[Column18]])&gt;Table3[[#This Row],[Column19]],Table3[[#This Row],[Column19]],SUM(Table3[[#This Row],[Column2]:[Column18]]))</f>
        <v>50000</v>
      </c>
      <c r="BD509" s="2">
        <f>Table3[[#This Row],[Total Spend]]/SUM(Table3[[#This Row],[Column2]:[Column18]])</f>
        <v>0.49164208456243852</v>
      </c>
    </row>
    <row r="510" spans="1:56">
      <c r="A510" s="84" t="s">
        <v>584</v>
      </c>
      <c r="B510" s="84" t="s">
        <v>57</v>
      </c>
      <c r="C510" s="84"/>
      <c r="D510" s="85">
        <v>45566</v>
      </c>
      <c r="E510" s="85" t="s">
        <v>92</v>
      </c>
      <c r="F510" s="84">
        <f>INDEX(Definitions!$G$13:$G$17,MATCH(Table3[[#This Row],[Propensity to buy/ buyer readiness]],Definitions!$A$13:$A$17,0))</f>
        <v>50000</v>
      </c>
      <c r="G510" s="86">
        <v>4</v>
      </c>
      <c r="H510" s="86">
        <v>4</v>
      </c>
      <c r="I510" s="86">
        <v>4</v>
      </c>
      <c r="J510" s="86">
        <v>4</v>
      </c>
      <c r="K510" s="86">
        <v>3</v>
      </c>
      <c r="L510" s="86">
        <f>SUM(Table3[[#This Row],[Strategic priority segment]:[Propensity to buy/ buyer readiness]])</f>
        <v>19</v>
      </c>
      <c r="M510" s="86" t="s">
        <v>152</v>
      </c>
      <c r="N510" s="84" t="s">
        <v>122</v>
      </c>
      <c r="O510" s="84" t="s">
        <v>61</v>
      </c>
      <c r="P510" s="87"/>
      <c r="Q510" s="87"/>
      <c r="R510" s="84"/>
      <c r="S510" s="84"/>
      <c r="T510" s="87"/>
      <c r="U510" s="84">
        <v>1</v>
      </c>
      <c r="V510" s="84">
        <v>0</v>
      </c>
      <c r="W510" s="84">
        <v>0</v>
      </c>
      <c r="X510" s="84">
        <v>0</v>
      </c>
      <c r="Y510" s="84">
        <v>0</v>
      </c>
      <c r="Z510" s="84">
        <v>1</v>
      </c>
      <c r="AA510" s="84">
        <v>1</v>
      </c>
      <c r="AB510" s="84">
        <v>1</v>
      </c>
      <c r="AC510" s="84">
        <v>1</v>
      </c>
      <c r="AD510" s="84">
        <v>1</v>
      </c>
      <c r="AE510" s="84">
        <v>0</v>
      </c>
      <c r="AF510" s="84">
        <v>1</v>
      </c>
      <c r="AG510" s="84">
        <v>0</v>
      </c>
      <c r="AH510" s="84">
        <v>0</v>
      </c>
      <c r="AI510" s="84">
        <v>0</v>
      </c>
      <c r="AJ510" s="84">
        <v>0</v>
      </c>
      <c r="AK510" s="84">
        <v>0</v>
      </c>
      <c r="AL510" s="84" cm="1">
        <f t="array" ref="AL5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0" s="84" cm="1">
        <f t="array" ref="AM5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0" s="84" cm="1">
        <f t="array" ref="AN5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0" s="84" cm="1">
        <f t="array" ref="AO5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0" s="84" cm="1">
        <f t="array" ref="AP5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0" s="84" cm="1">
        <f t="array" ref="AQ5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0" s="84" cm="1">
        <f t="array" ref="AR5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0" s="84" cm="1">
        <f t="array" ref="AS5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0" s="84" cm="1">
        <f t="array" ref="AT5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0" s="84" cm="1">
        <f t="array" ref="AU5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10" s="84" cm="1">
        <f t="array" ref="AV5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0" s="84" cm="1">
        <f t="array" ref="AW5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10" s="84" cm="1">
        <f t="array" ref="AX5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0" s="84" cm="1">
        <f t="array" ref="AY5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0" s="84" cm="1">
        <f t="array" ref="AZ5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0" s="84" cm="1">
        <f t="array" ref="BA5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0" s="84" cm="1">
        <f t="array" ref="BB5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0" s="84">
        <f>IF(SUM(Table3[[#This Row],[Column2]:[Column18]])&gt;Table3[[#This Row],[Column19]],Table3[[#This Row],[Column19]],SUM(Table3[[#This Row],[Column2]:[Column18]]))</f>
        <v>50000</v>
      </c>
      <c r="BD510" s="2">
        <f>Table3[[#This Row],[Total Spend]]/SUM(Table3[[#This Row],[Column2]:[Column18]])</f>
        <v>0.32299741602067183</v>
      </c>
    </row>
    <row r="511" spans="1:56">
      <c r="A511" s="84" t="s">
        <v>585</v>
      </c>
      <c r="B511" s="84"/>
      <c r="C511" s="84"/>
      <c r="D511" s="85">
        <v>45566</v>
      </c>
      <c r="E511" s="85" t="s">
        <v>92</v>
      </c>
      <c r="F511" s="84">
        <f>INDEX(Definitions!$G$13:$G$17,MATCH(Table3[[#This Row],[Propensity to buy/ buyer readiness]],Definitions!$A$13:$A$17,0))</f>
        <v>50000</v>
      </c>
      <c r="G511" s="86">
        <v>5</v>
      </c>
      <c r="H511" s="86">
        <v>5</v>
      </c>
      <c r="I511" s="86">
        <v>2</v>
      </c>
      <c r="J511" s="86">
        <v>4</v>
      </c>
      <c r="K511" s="86">
        <v>3</v>
      </c>
      <c r="L511" s="86">
        <f>SUM(Table3[[#This Row],[Strategic priority segment]:[Propensity to buy/ buyer readiness]])</f>
        <v>19</v>
      </c>
      <c r="M511" s="86" t="s">
        <v>102</v>
      </c>
      <c r="N511" s="84" t="s">
        <v>61</v>
      </c>
      <c r="O511" s="84"/>
      <c r="P511" s="87"/>
      <c r="Q511" s="87"/>
      <c r="R511" s="84"/>
      <c r="S511" s="87"/>
      <c r="T511" s="87"/>
      <c r="U511" s="84">
        <v>1</v>
      </c>
      <c r="V511" s="84">
        <v>0</v>
      </c>
      <c r="W511" s="84">
        <v>0</v>
      </c>
      <c r="X511" s="84">
        <v>0</v>
      </c>
      <c r="Y511" s="84">
        <v>0</v>
      </c>
      <c r="Z511" s="84">
        <v>1</v>
      </c>
      <c r="AA511" s="84">
        <v>1</v>
      </c>
      <c r="AB511" s="84">
        <v>1</v>
      </c>
      <c r="AC511" s="84">
        <v>1</v>
      </c>
      <c r="AD511" s="84">
        <v>0</v>
      </c>
      <c r="AE511" s="84">
        <v>0</v>
      </c>
      <c r="AF511" s="84">
        <v>0</v>
      </c>
      <c r="AG511" s="84">
        <v>0</v>
      </c>
      <c r="AH511" s="84">
        <v>0</v>
      </c>
      <c r="AI511" s="84">
        <v>0</v>
      </c>
      <c r="AJ511" s="84">
        <v>0</v>
      </c>
      <c r="AK511" s="84">
        <v>0</v>
      </c>
      <c r="AL511" s="84" cm="1">
        <f t="array" ref="AL5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1" s="84" cm="1">
        <f t="array" ref="AM5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1" s="84" cm="1">
        <f t="array" ref="AN5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1" s="84" cm="1">
        <f t="array" ref="AO5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1" s="84" cm="1">
        <f t="array" ref="AP5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1" s="84" cm="1">
        <f t="array" ref="AQ5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1" s="84" cm="1">
        <f t="array" ref="AR5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1" s="84" cm="1">
        <f t="array" ref="AS5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1" s="84" cm="1">
        <f t="array" ref="AT5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1" s="84" cm="1">
        <f t="array" ref="AU5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1" s="84" cm="1">
        <f t="array" ref="AV5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1" s="84" cm="1">
        <f t="array" ref="AW5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1" s="84" cm="1">
        <f t="array" ref="AX5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1" s="84" cm="1">
        <f t="array" ref="AY5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1" s="84" cm="1">
        <f t="array" ref="AZ5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1" s="84" cm="1">
        <f t="array" ref="BA5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1" s="84" cm="1">
        <f t="array" ref="BB5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1" s="84">
        <f>IF(SUM(Table3[[#This Row],[Column2]:[Column18]])&gt;Table3[[#This Row],[Column19]],Table3[[#This Row],[Column19]],SUM(Table3[[#This Row],[Column2]:[Column18]]))</f>
        <v>50000</v>
      </c>
      <c r="BD511" s="2">
        <f>Table3[[#This Row],[Total Spend]]/SUM(Table3[[#This Row],[Column2]:[Column18]])</f>
        <v>0.49164208456243852</v>
      </c>
    </row>
    <row r="512" spans="1:56">
      <c r="A512" s="84" t="s">
        <v>586</v>
      </c>
      <c r="B512" s="84"/>
      <c r="C512" s="84"/>
      <c r="D512" s="85">
        <v>45566</v>
      </c>
      <c r="E512" s="85" t="s">
        <v>92</v>
      </c>
      <c r="F512" s="84">
        <f>INDEX(Definitions!$G$13:$G$17,MATCH(Table3[[#This Row],[Propensity to buy/ buyer readiness]],Definitions!$A$13:$A$17,0))</f>
        <v>50000</v>
      </c>
      <c r="G512" s="86">
        <v>5</v>
      </c>
      <c r="H512" s="86">
        <v>5</v>
      </c>
      <c r="I512" s="86">
        <v>2</v>
      </c>
      <c r="J512" s="86">
        <v>4</v>
      </c>
      <c r="K512" s="86">
        <v>3</v>
      </c>
      <c r="L512" s="86">
        <f>SUM(Table3[[#This Row],[Strategic priority segment]:[Propensity to buy/ buyer readiness]])</f>
        <v>19</v>
      </c>
      <c r="M512" s="86" t="s">
        <v>102</v>
      </c>
      <c r="N512" s="84" t="s">
        <v>61</v>
      </c>
      <c r="O512" s="84"/>
      <c r="P512" s="87"/>
      <c r="Q512" s="87"/>
      <c r="R512" s="84"/>
      <c r="S512" s="87"/>
      <c r="T512" s="87"/>
      <c r="U512" s="84">
        <v>1</v>
      </c>
      <c r="V512" s="84">
        <v>0</v>
      </c>
      <c r="W512" s="84">
        <v>0</v>
      </c>
      <c r="X512" s="84">
        <v>0</v>
      </c>
      <c r="Y512" s="84">
        <v>0</v>
      </c>
      <c r="Z512" s="84">
        <v>1</v>
      </c>
      <c r="AA512" s="84">
        <v>1</v>
      </c>
      <c r="AB512" s="84">
        <v>1</v>
      </c>
      <c r="AC512" s="84">
        <v>1</v>
      </c>
      <c r="AD512" s="84">
        <v>0</v>
      </c>
      <c r="AE512" s="84">
        <v>0</v>
      </c>
      <c r="AF512" s="84">
        <v>0</v>
      </c>
      <c r="AG512" s="84">
        <v>0</v>
      </c>
      <c r="AH512" s="84">
        <v>0</v>
      </c>
      <c r="AI512" s="84">
        <v>0</v>
      </c>
      <c r="AJ512" s="84">
        <v>0</v>
      </c>
      <c r="AK512" s="84">
        <v>0</v>
      </c>
      <c r="AL512" s="84" cm="1">
        <f t="array" ref="AL5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2" s="84" cm="1">
        <f t="array" ref="AM5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2" s="84" cm="1">
        <f t="array" ref="AN5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2" s="84" cm="1">
        <f t="array" ref="AO5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2" s="84" cm="1">
        <f t="array" ref="AP5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2" s="84" cm="1">
        <f t="array" ref="AQ5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2" s="84" cm="1">
        <f t="array" ref="AR5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2" s="84" cm="1">
        <f t="array" ref="AS5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2" s="84" cm="1">
        <f t="array" ref="AT5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2" s="84" cm="1">
        <f t="array" ref="AU5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2" s="84" cm="1">
        <f t="array" ref="AV5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2" s="84" cm="1">
        <f t="array" ref="AW5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2" s="84" cm="1">
        <f t="array" ref="AX5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2" s="84" cm="1">
        <f t="array" ref="AY5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2" s="84" cm="1">
        <f t="array" ref="AZ5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2" s="84" cm="1">
        <f t="array" ref="BA5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2" s="84" cm="1">
        <f t="array" ref="BB5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2" s="84">
        <f>IF(SUM(Table3[[#This Row],[Column2]:[Column18]])&gt;Table3[[#This Row],[Column19]],Table3[[#This Row],[Column19]],SUM(Table3[[#This Row],[Column2]:[Column18]]))</f>
        <v>50000</v>
      </c>
      <c r="BD512" s="2">
        <f>Table3[[#This Row],[Total Spend]]/SUM(Table3[[#This Row],[Column2]:[Column18]])</f>
        <v>0.49164208456243852</v>
      </c>
    </row>
    <row r="513" spans="1:56">
      <c r="A513" s="84" t="s">
        <v>587</v>
      </c>
      <c r="B513" s="84"/>
      <c r="C513" s="84"/>
      <c r="D513" s="85">
        <v>45809</v>
      </c>
      <c r="E513" s="85" t="s">
        <v>92</v>
      </c>
      <c r="F513" s="84">
        <f>INDEX(Definitions!$G$13:$G$17,MATCH(Table3[[#This Row],[Propensity to buy/ buyer readiness]],Definitions!$A$13:$A$17,0))</f>
        <v>50000</v>
      </c>
      <c r="G513" s="86">
        <v>5</v>
      </c>
      <c r="H513" s="86">
        <v>5</v>
      </c>
      <c r="I513" s="86">
        <v>2</v>
      </c>
      <c r="J513" s="86">
        <v>4</v>
      </c>
      <c r="K513" s="86">
        <v>3</v>
      </c>
      <c r="L513" s="86">
        <f>SUM(Table3[[#This Row],[Strategic priority segment]:[Propensity to buy/ buyer readiness]])</f>
        <v>19</v>
      </c>
      <c r="M513" s="86" t="s">
        <v>102</v>
      </c>
      <c r="N513" s="84" t="s">
        <v>61</v>
      </c>
      <c r="O513" s="84"/>
      <c r="P513" s="87"/>
      <c r="Q513" s="87"/>
      <c r="R513" s="84"/>
      <c r="S513" s="87"/>
      <c r="T513" s="87"/>
      <c r="U513" s="84">
        <v>1</v>
      </c>
      <c r="V513" s="84">
        <v>0</v>
      </c>
      <c r="W513" s="84">
        <v>0</v>
      </c>
      <c r="X513" s="84">
        <v>0</v>
      </c>
      <c r="Y513" s="84">
        <v>0</v>
      </c>
      <c r="Z513" s="84">
        <v>1</v>
      </c>
      <c r="AA513" s="84">
        <v>1</v>
      </c>
      <c r="AB513" s="84">
        <v>1</v>
      </c>
      <c r="AC513" s="84">
        <v>1</v>
      </c>
      <c r="AD513" s="84">
        <v>0</v>
      </c>
      <c r="AE513" s="84">
        <v>0</v>
      </c>
      <c r="AF513" s="84">
        <v>0</v>
      </c>
      <c r="AG513" s="84">
        <v>0</v>
      </c>
      <c r="AH513" s="84">
        <v>0</v>
      </c>
      <c r="AI513" s="84">
        <v>0</v>
      </c>
      <c r="AJ513" s="84">
        <v>0</v>
      </c>
      <c r="AK513" s="84">
        <v>0</v>
      </c>
      <c r="AL513" s="84" cm="1">
        <f t="array" ref="AL5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3" s="84" cm="1">
        <f t="array" ref="AM5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3" s="84" cm="1">
        <f t="array" ref="AN5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3" s="84" cm="1">
        <f t="array" ref="AO5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3" s="84" cm="1">
        <f t="array" ref="AP5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3" s="84" cm="1">
        <f t="array" ref="AQ5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3" s="84" cm="1">
        <f t="array" ref="AR5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3" s="84" cm="1">
        <f t="array" ref="AS5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3" s="84" cm="1">
        <f t="array" ref="AT5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3" s="84" cm="1">
        <f t="array" ref="AU5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3" s="84" cm="1">
        <f t="array" ref="AV5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3" s="84" cm="1">
        <f t="array" ref="AW5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3" s="84" cm="1">
        <f t="array" ref="AX5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3" s="84" cm="1">
        <f t="array" ref="AY5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3" s="84" cm="1">
        <f t="array" ref="AZ5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3" s="84" cm="1">
        <f t="array" ref="BA5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3" s="84" cm="1">
        <f t="array" ref="BB5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3" s="84">
        <f>IF(SUM(Table3[[#This Row],[Column2]:[Column18]])&gt;Table3[[#This Row],[Column19]],Table3[[#This Row],[Column19]],SUM(Table3[[#This Row],[Column2]:[Column18]]))</f>
        <v>50000</v>
      </c>
      <c r="BD513" s="2">
        <f>Table3[[#This Row],[Total Spend]]/SUM(Table3[[#This Row],[Column2]:[Column18]])</f>
        <v>0.49164208456243852</v>
      </c>
    </row>
    <row r="514" spans="1:56">
      <c r="A514" s="84" t="s">
        <v>588</v>
      </c>
      <c r="B514" s="84"/>
      <c r="C514" s="84" t="s">
        <v>57</v>
      </c>
      <c r="D514" s="85">
        <v>45809</v>
      </c>
      <c r="E514" s="85" t="s">
        <v>92</v>
      </c>
      <c r="F514" s="84">
        <f>INDEX(Definitions!$G$13:$G$17,MATCH(Table3[[#This Row],[Propensity to buy/ buyer readiness]],Definitions!$A$13:$A$17,0))</f>
        <v>50000</v>
      </c>
      <c r="G514" s="86">
        <v>5</v>
      </c>
      <c r="H514" s="86">
        <v>4</v>
      </c>
      <c r="I514" s="86">
        <v>4</v>
      </c>
      <c r="J514" s="86">
        <v>3</v>
      </c>
      <c r="K514" s="86">
        <v>3</v>
      </c>
      <c r="L514" s="86">
        <f>SUM(Table3[[#This Row],[Strategic priority segment]:[Propensity to buy/ buyer readiness]])</f>
        <v>19</v>
      </c>
      <c r="M514" s="86" t="s">
        <v>66</v>
      </c>
      <c r="N514" s="84" t="s">
        <v>62</v>
      </c>
      <c r="O514" s="84" t="s">
        <v>61</v>
      </c>
      <c r="P514" s="84"/>
      <c r="Q514" s="84"/>
      <c r="R514" s="84"/>
      <c r="S514" s="84"/>
      <c r="T514" s="87"/>
      <c r="U514" s="84">
        <v>1</v>
      </c>
      <c r="V514" s="84">
        <v>0</v>
      </c>
      <c r="W514" s="84">
        <v>0</v>
      </c>
      <c r="X514" s="84">
        <v>0</v>
      </c>
      <c r="Y514" s="84">
        <v>0</v>
      </c>
      <c r="Z514" s="84">
        <v>1</v>
      </c>
      <c r="AA514" s="84">
        <v>1</v>
      </c>
      <c r="AB514" s="84">
        <v>1</v>
      </c>
      <c r="AC514" s="84">
        <v>1</v>
      </c>
      <c r="AD514" s="84">
        <v>1</v>
      </c>
      <c r="AE514" s="84">
        <v>1</v>
      </c>
      <c r="AF514" s="84">
        <v>1</v>
      </c>
      <c r="AG514" s="84">
        <v>1</v>
      </c>
      <c r="AH514" s="84">
        <v>0</v>
      </c>
      <c r="AI514" s="84">
        <v>0</v>
      </c>
      <c r="AJ514" s="84">
        <v>0</v>
      </c>
      <c r="AK514" s="84">
        <v>0</v>
      </c>
      <c r="AL514" s="84" cm="1">
        <f t="array" ref="AL5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4" s="84" cm="1">
        <f t="array" ref="AM5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4" s="84" cm="1">
        <f t="array" ref="AN5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4" s="84" cm="1">
        <f t="array" ref="AO5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4" s="84" cm="1">
        <f t="array" ref="AP5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4" s="84" cm="1">
        <f t="array" ref="AQ5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4" s="84" cm="1">
        <f t="array" ref="AR5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4" s="84" cm="1">
        <f t="array" ref="AS5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4" s="84" cm="1">
        <f t="array" ref="AT5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4" s="84" cm="1">
        <f t="array" ref="AU5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14" s="84" cm="1">
        <f t="array" ref="AV5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14" s="84" cm="1">
        <f t="array" ref="AW5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14" s="84" cm="1">
        <f t="array" ref="AX5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14" s="84" cm="1">
        <f t="array" ref="AY5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4" s="84" cm="1">
        <f t="array" ref="AZ5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4" s="84" cm="1">
        <f t="array" ref="BA5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4" s="84" cm="1">
        <f t="array" ref="BB5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4" s="84">
        <f>IF(SUM(Table3[[#This Row],[Column2]:[Column18]])&gt;Table3[[#This Row],[Column19]],Table3[[#This Row],[Column19]],SUM(Table3[[#This Row],[Column2]:[Column18]]))</f>
        <v>50000</v>
      </c>
      <c r="BD514" s="2">
        <f>Table3[[#This Row],[Total Spend]]/SUM(Table3[[#This Row],[Column2]:[Column18]])</f>
        <v>0.2664535038635758</v>
      </c>
    </row>
    <row r="515" spans="1:56">
      <c r="A515" s="84" t="s">
        <v>589</v>
      </c>
      <c r="B515" s="84"/>
      <c r="C515" s="84"/>
      <c r="D515" s="85">
        <v>45566</v>
      </c>
      <c r="E515" s="85" t="s">
        <v>92</v>
      </c>
      <c r="F515" s="84">
        <f>INDEX(Definitions!$G$13:$G$17,MATCH(Table3[[#This Row],[Propensity to buy/ buyer readiness]],Definitions!$A$13:$A$17,0))</f>
        <v>50000</v>
      </c>
      <c r="G515" s="86">
        <v>5</v>
      </c>
      <c r="H515" s="86">
        <v>5</v>
      </c>
      <c r="I515" s="86">
        <v>2</v>
      </c>
      <c r="J515" s="86">
        <v>4</v>
      </c>
      <c r="K515" s="86">
        <v>3</v>
      </c>
      <c r="L515" s="86">
        <f>SUM(Table3[[#This Row],[Strategic priority segment]:[Propensity to buy/ buyer readiness]])</f>
        <v>19</v>
      </c>
      <c r="M515" s="86" t="s">
        <v>102</v>
      </c>
      <c r="N515" s="84" t="s">
        <v>61</v>
      </c>
      <c r="O515" s="84"/>
      <c r="P515" s="87"/>
      <c r="Q515" s="87"/>
      <c r="R515" s="84"/>
      <c r="S515" s="87"/>
      <c r="T515" s="87"/>
      <c r="U515" s="84">
        <v>1</v>
      </c>
      <c r="V515" s="84">
        <v>0</v>
      </c>
      <c r="W515" s="84">
        <v>0</v>
      </c>
      <c r="X515" s="84">
        <v>0</v>
      </c>
      <c r="Y515" s="84">
        <v>0</v>
      </c>
      <c r="Z515" s="84">
        <v>1</v>
      </c>
      <c r="AA515" s="84">
        <v>1</v>
      </c>
      <c r="AB515" s="84">
        <v>1</v>
      </c>
      <c r="AC515" s="84">
        <v>1</v>
      </c>
      <c r="AD515" s="84">
        <v>0</v>
      </c>
      <c r="AE515" s="84">
        <v>0</v>
      </c>
      <c r="AF515" s="84">
        <v>0</v>
      </c>
      <c r="AG515" s="84">
        <v>0</v>
      </c>
      <c r="AH515" s="84">
        <v>0</v>
      </c>
      <c r="AI515" s="84">
        <v>0</v>
      </c>
      <c r="AJ515" s="84">
        <v>0</v>
      </c>
      <c r="AK515" s="84">
        <v>0</v>
      </c>
      <c r="AL515" s="84" cm="1">
        <f t="array" ref="AL5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5" s="84" cm="1">
        <f t="array" ref="AM5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5" s="84" cm="1">
        <f t="array" ref="AN5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5" s="84" cm="1">
        <f t="array" ref="AO5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5" s="84" cm="1">
        <f t="array" ref="AP5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5" s="84" cm="1">
        <f t="array" ref="AQ5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5" s="84" cm="1">
        <f t="array" ref="AR5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5" s="84" cm="1">
        <f t="array" ref="AS5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5" s="84" cm="1">
        <f t="array" ref="AT5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5" s="84" cm="1">
        <f t="array" ref="AU5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5" s="84" cm="1">
        <f t="array" ref="AV5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5" s="84" cm="1">
        <f t="array" ref="AW5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5" s="84" cm="1">
        <f t="array" ref="AX5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5" s="84" cm="1">
        <f t="array" ref="AY5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5" s="84" cm="1">
        <f t="array" ref="AZ5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5" s="84" cm="1">
        <f t="array" ref="BA5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5" s="84" cm="1">
        <f t="array" ref="BB5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5" s="84">
        <f>IF(SUM(Table3[[#This Row],[Column2]:[Column18]])&gt;Table3[[#This Row],[Column19]],Table3[[#This Row],[Column19]],SUM(Table3[[#This Row],[Column2]:[Column18]]))</f>
        <v>50000</v>
      </c>
      <c r="BD515" s="2">
        <f>Table3[[#This Row],[Total Spend]]/SUM(Table3[[#This Row],[Column2]:[Column18]])</f>
        <v>0.49164208456243852</v>
      </c>
    </row>
    <row r="516" spans="1:56">
      <c r="A516" s="88" t="s">
        <v>590</v>
      </c>
      <c r="B516" s="88"/>
      <c r="C516" s="88"/>
      <c r="D516" s="85">
        <v>45566</v>
      </c>
      <c r="E516" s="85" t="s">
        <v>92</v>
      </c>
      <c r="F516" s="84">
        <f>INDEX(Definitions!$G$13:$G$17,MATCH(Table3[[#This Row],[Propensity to buy/ buyer readiness]],Definitions!$A$13:$A$17,0))</f>
        <v>50000</v>
      </c>
      <c r="G516" s="86">
        <v>5</v>
      </c>
      <c r="H516" s="86">
        <v>5</v>
      </c>
      <c r="I516" s="86">
        <v>2</v>
      </c>
      <c r="J516" s="86">
        <v>4</v>
      </c>
      <c r="K516" s="86">
        <v>3</v>
      </c>
      <c r="L516" s="86">
        <f>SUM(Table3[[#This Row],[Strategic priority segment]:[Propensity to buy/ buyer readiness]])</f>
        <v>19</v>
      </c>
      <c r="M516" s="86" t="s">
        <v>102</v>
      </c>
      <c r="N516" s="84" t="s">
        <v>61</v>
      </c>
      <c r="O516" s="84"/>
      <c r="P516" s="87"/>
      <c r="Q516" s="87"/>
      <c r="R516" s="84"/>
      <c r="S516" s="87"/>
      <c r="T516" s="84"/>
      <c r="U516" s="84">
        <v>1</v>
      </c>
      <c r="V516" s="84">
        <v>0</v>
      </c>
      <c r="W516" s="84">
        <v>0</v>
      </c>
      <c r="X516" s="84">
        <v>0</v>
      </c>
      <c r="Y516" s="84">
        <v>0</v>
      </c>
      <c r="Z516" s="84">
        <v>1</v>
      </c>
      <c r="AA516" s="84">
        <v>1</v>
      </c>
      <c r="AB516" s="84">
        <v>1</v>
      </c>
      <c r="AC516" s="84">
        <v>1</v>
      </c>
      <c r="AD516" s="84">
        <v>0</v>
      </c>
      <c r="AE516" s="84">
        <v>0</v>
      </c>
      <c r="AF516" s="84">
        <v>0</v>
      </c>
      <c r="AG516" s="84">
        <v>0</v>
      </c>
      <c r="AH516" s="84">
        <v>0</v>
      </c>
      <c r="AI516" s="84">
        <v>0</v>
      </c>
      <c r="AJ516" s="84">
        <v>0</v>
      </c>
      <c r="AK516" s="84">
        <v>0</v>
      </c>
      <c r="AL516" s="84" cm="1">
        <f t="array" ref="AL5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6" s="84" cm="1">
        <f t="array" ref="AM5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6" s="84" cm="1">
        <f t="array" ref="AN5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6" s="84" cm="1">
        <f t="array" ref="AO5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6" s="84" cm="1">
        <f t="array" ref="AP5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6" s="84" cm="1">
        <f t="array" ref="AQ5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6" s="84" cm="1">
        <f t="array" ref="AR5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6" s="84" cm="1">
        <f t="array" ref="AS5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6" s="84" cm="1">
        <f t="array" ref="AT5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6" s="84" cm="1">
        <f t="array" ref="AU5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6" s="84" cm="1">
        <f t="array" ref="AV5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6" s="84" cm="1">
        <f t="array" ref="AW5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6" s="84" cm="1">
        <f t="array" ref="AX5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6" s="84" cm="1">
        <f t="array" ref="AY5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6" s="84" cm="1">
        <f t="array" ref="AZ5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6" s="84" cm="1">
        <f t="array" ref="BA5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6" s="84" cm="1">
        <f t="array" ref="BB5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6" s="84">
        <f>IF(SUM(Table3[[#This Row],[Column2]:[Column18]])&gt;Table3[[#This Row],[Column19]],Table3[[#This Row],[Column19]],SUM(Table3[[#This Row],[Column2]:[Column18]]))</f>
        <v>50000</v>
      </c>
      <c r="BD516" s="2">
        <f>Table3[[#This Row],[Total Spend]]/SUM(Table3[[#This Row],[Column2]:[Column18]])</f>
        <v>0.49164208456243852</v>
      </c>
    </row>
    <row r="517" spans="1:56">
      <c r="A517" s="84" t="s">
        <v>591</v>
      </c>
      <c r="B517" s="84"/>
      <c r="C517" s="84"/>
      <c r="D517" s="85">
        <v>45566</v>
      </c>
      <c r="E517" s="85" t="s">
        <v>92</v>
      </c>
      <c r="F517" s="84">
        <f>INDEX(Definitions!$G$13:$G$17,MATCH(Table3[[#This Row],[Propensity to buy/ buyer readiness]],Definitions!$A$13:$A$17,0))</f>
        <v>50000</v>
      </c>
      <c r="G517" s="86">
        <v>5</v>
      </c>
      <c r="H517" s="86">
        <v>5</v>
      </c>
      <c r="I517" s="86">
        <v>2</v>
      </c>
      <c r="J517" s="86">
        <v>4</v>
      </c>
      <c r="K517" s="86">
        <v>3</v>
      </c>
      <c r="L517" s="86">
        <f>SUM(Table3[[#This Row],[Strategic priority segment]:[Propensity to buy/ buyer readiness]])</f>
        <v>19</v>
      </c>
      <c r="M517" s="86" t="s">
        <v>102</v>
      </c>
      <c r="N517" s="84" t="s">
        <v>61</v>
      </c>
      <c r="O517" s="84"/>
      <c r="P517" s="87"/>
      <c r="Q517" s="87"/>
      <c r="R517" s="84"/>
      <c r="S517" s="87"/>
      <c r="T517" s="87"/>
      <c r="U517" s="84">
        <v>1</v>
      </c>
      <c r="V517" s="84">
        <v>0</v>
      </c>
      <c r="W517" s="84">
        <v>0</v>
      </c>
      <c r="X517" s="84">
        <v>0</v>
      </c>
      <c r="Y517" s="84">
        <v>0</v>
      </c>
      <c r="Z517" s="84">
        <v>1</v>
      </c>
      <c r="AA517" s="84">
        <v>1</v>
      </c>
      <c r="AB517" s="84">
        <v>1</v>
      </c>
      <c r="AC517" s="84">
        <v>1</v>
      </c>
      <c r="AD517" s="84">
        <v>0</v>
      </c>
      <c r="AE517" s="84">
        <v>0</v>
      </c>
      <c r="AF517" s="84">
        <v>0</v>
      </c>
      <c r="AG517" s="84">
        <v>0</v>
      </c>
      <c r="AH517" s="84">
        <v>0</v>
      </c>
      <c r="AI517" s="84">
        <v>0</v>
      </c>
      <c r="AJ517" s="84">
        <v>0</v>
      </c>
      <c r="AK517" s="84">
        <v>0</v>
      </c>
      <c r="AL517" s="84" cm="1">
        <f t="array" ref="AL5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7" s="84" cm="1">
        <f t="array" ref="AM5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7" s="84" cm="1">
        <f t="array" ref="AN5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7" s="84" cm="1">
        <f t="array" ref="AO5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7" s="84" cm="1">
        <f t="array" ref="AP5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7" s="84" cm="1">
        <f t="array" ref="AQ5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7" s="84" cm="1">
        <f t="array" ref="AR5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7" s="84" cm="1">
        <f t="array" ref="AS5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7" s="84" cm="1">
        <f t="array" ref="AT5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7" s="84" cm="1">
        <f t="array" ref="AU5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7" s="84" cm="1">
        <f t="array" ref="AV5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7" s="84" cm="1">
        <f t="array" ref="AW5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7" s="84" cm="1">
        <f t="array" ref="AX5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7" s="84" cm="1">
        <f t="array" ref="AY5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7" s="84" cm="1">
        <f t="array" ref="AZ5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7" s="84" cm="1">
        <f t="array" ref="BA5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7" s="84" cm="1">
        <f t="array" ref="BB5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7" s="84">
        <f>IF(SUM(Table3[[#This Row],[Column2]:[Column18]])&gt;Table3[[#This Row],[Column19]],Table3[[#This Row],[Column19]],SUM(Table3[[#This Row],[Column2]:[Column18]]))</f>
        <v>50000</v>
      </c>
      <c r="BD517" s="2">
        <f>Table3[[#This Row],[Total Spend]]/SUM(Table3[[#This Row],[Column2]:[Column18]])</f>
        <v>0.49164208456243852</v>
      </c>
    </row>
    <row r="518" spans="1:56">
      <c r="A518" s="84" t="s">
        <v>592</v>
      </c>
      <c r="B518" s="84"/>
      <c r="C518" s="84"/>
      <c r="D518" s="85">
        <v>45566</v>
      </c>
      <c r="E518" s="85" t="s">
        <v>92</v>
      </c>
      <c r="F518" s="84">
        <f>INDEX(Definitions!$G$13:$G$17,MATCH(Table3[[#This Row],[Propensity to buy/ buyer readiness]],Definitions!$A$13:$A$17,0))</f>
        <v>50000</v>
      </c>
      <c r="G518" s="86">
        <v>5</v>
      </c>
      <c r="H518" s="86">
        <v>5</v>
      </c>
      <c r="I518" s="86">
        <v>2</v>
      </c>
      <c r="J518" s="86">
        <v>4</v>
      </c>
      <c r="K518" s="86">
        <v>3</v>
      </c>
      <c r="L518" s="86">
        <f>SUM(Table3[[#This Row],[Strategic priority segment]:[Propensity to buy/ buyer readiness]])</f>
        <v>19</v>
      </c>
      <c r="M518" s="86" t="s">
        <v>102</v>
      </c>
      <c r="N518" s="84" t="s">
        <v>61</v>
      </c>
      <c r="O518" s="84"/>
      <c r="P518" s="87"/>
      <c r="Q518" s="87"/>
      <c r="R518" s="84"/>
      <c r="S518" s="87"/>
      <c r="T518" s="87"/>
      <c r="U518" s="84">
        <v>1</v>
      </c>
      <c r="V518" s="84">
        <v>0</v>
      </c>
      <c r="W518" s="84">
        <v>0</v>
      </c>
      <c r="X518" s="84">
        <v>0</v>
      </c>
      <c r="Y518" s="84">
        <v>0</v>
      </c>
      <c r="Z518" s="84">
        <v>1</v>
      </c>
      <c r="AA518" s="84">
        <v>1</v>
      </c>
      <c r="AB518" s="84">
        <v>1</v>
      </c>
      <c r="AC518" s="84">
        <v>1</v>
      </c>
      <c r="AD518" s="84">
        <v>0</v>
      </c>
      <c r="AE518" s="84">
        <v>0</v>
      </c>
      <c r="AF518" s="84">
        <v>0</v>
      </c>
      <c r="AG518" s="84">
        <v>0</v>
      </c>
      <c r="AH518" s="84">
        <v>0</v>
      </c>
      <c r="AI518" s="84">
        <v>0</v>
      </c>
      <c r="AJ518" s="84">
        <v>0</v>
      </c>
      <c r="AK518" s="84">
        <v>0</v>
      </c>
      <c r="AL518" s="84" cm="1">
        <f t="array" ref="AL5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8" s="84" cm="1">
        <f t="array" ref="AM5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8" s="84" cm="1">
        <f t="array" ref="AN5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8" s="84" cm="1">
        <f t="array" ref="AO5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8" s="84" cm="1">
        <f t="array" ref="AP5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8" s="84" cm="1">
        <f t="array" ref="AQ5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8" s="84" cm="1">
        <f t="array" ref="AR5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8" s="84" cm="1">
        <f t="array" ref="AS5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8" s="84" cm="1">
        <f t="array" ref="AT5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8" s="84" cm="1">
        <f t="array" ref="AU5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8" s="84" cm="1">
        <f t="array" ref="AV5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8" s="84" cm="1">
        <f t="array" ref="AW5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8" s="84" cm="1">
        <f t="array" ref="AX5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8" s="84" cm="1">
        <f t="array" ref="AY5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8" s="84" cm="1">
        <f t="array" ref="AZ5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8" s="84" cm="1">
        <f t="array" ref="BA5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8" s="84" cm="1">
        <f t="array" ref="BB5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8" s="84">
        <f>IF(SUM(Table3[[#This Row],[Column2]:[Column18]])&gt;Table3[[#This Row],[Column19]],Table3[[#This Row],[Column19]],SUM(Table3[[#This Row],[Column2]:[Column18]]))</f>
        <v>50000</v>
      </c>
      <c r="BD518" s="2">
        <f>Table3[[#This Row],[Total Spend]]/SUM(Table3[[#This Row],[Column2]:[Column18]])</f>
        <v>0.49164208456243852</v>
      </c>
    </row>
    <row r="519" spans="1:56">
      <c r="A519" s="88" t="s">
        <v>593</v>
      </c>
      <c r="B519" s="88"/>
      <c r="C519" s="88"/>
      <c r="D519" s="85">
        <v>45566</v>
      </c>
      <c r="E519" s="85" t="s">
        <v>92</v>
      </c>
      <c r="F519" s="84">
        <f>INDEX(Definitions!$G$13:$G$17,MATCH(Table3[[#This Row],[Propensity to buy/ buyer readiness]],Definitions!$A$13:$A$17,0))</f>
        <v>50000</v>
      </c>
      <c r="G519" s="86">
        <v>5</v>
      </c>
      <c r="H519" s="86">
        <v>5</v>
      </c>
      <c r="I519" s="86">
        <v>2</v>
      </c>
      <c r="J519" s="86">
        <v>4</v>
      </c>
      <c r="K519" s="86">
        <v>3</v>
      </c>
      <c r="L519" s="86">
        <f>SUM(Table3[[#This Row],[Strategic priority segment]:[Propensity to buy/ buyer readiness]])</f>
        <v>19</v>
      </c>
      <c r="M519" s="86" t="s">
        <v>102</v>
      </c>
      <c r="N519" s="84" t="s">
        <v>61</v>
      </c>
      <c r="O519" s="84"/>
      <c r="P519" s="87"/>
      <c r="Q519" s="87"/>
      <c r="R519" s="84"/>
      <c r="S519" s="87"/>
      <c r="T519" s="87"/>
      <c r="U519" s="84">
        <v>1</v>
      </c>
      <c r="V519" s="84">
        <v>0</v>
      </c>
      <c r="W519" s="84">
        <v>0</v>
      </c>
      <c r="X519" s="84">
        <v>0</v>
      </c>
      <c r="Y519" s="84">
        <v>0</v>
      </c>
      <c r="Z519" s="84">
        <v>1</v>
      </c>
      <c r="AA519" s="84">
        <v>1</v>
      </c>
      <c r="AB519" s="84">
        <v>1</v>
      </c>
      <c r="AC519" s="84">
        <v>1</v>
      </c>
      <c r="AD519" s="84">
        <v>0</v>
      </c>
      <c r="AE519" s="84">
        <v>0</v>
      </c>
      <c r="AF519" s="84">
        <v>0</v>
      </c>
      <c r="AG519" s="84">
        <v>0</v>
      </c>
      <c r="AH519" s="84">
        <v>0</v>
      </c>
      <c r="AI519" s="84">
        <v>0</v>
      </c>
      <c r="AJ519" s="84">
        <v>0</v>
      </c>
      <c r="AK519" s="84">
        <v>0</v>
      </c>
      <c r="AL519" s="84" cm="1">
        <f t="array" ref="AL5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19" s="84" cm="1">
        <f t="array" ref="AM5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19" s="84" cm="1">
        <f t="array" ref="AN5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19" s="84" cm="1">
        <f t="array" ref="AO5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19" s="84" cm="1">
        <f t="array" ref="AP5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19" s="84" cm="1">
        <f t="array" ref="AQ5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19" s="84" cm="1">
        <f t="array" ref="AR5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19" s="84" cm="1">
        <f t="array" ref="AS5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19" s="84" cm="1">
        <f t="array" ref="AT5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19" s="84" cm="1">
        <f t="array" ref="AU5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19" s="84" cm="1">
        <f t="array" ref="AV5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19" s="84" cm="1">
        <f t="array" ref="AW5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19" s="84" cm="1">
        <f t="array" ref="AX5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19" s="84" cm="1">
        <f t="array" ref="AY5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19" s="84" cm="1">
        <f t="array" ref="AZ5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19" s="84" cm="1">
        <f t="array" ref="BA5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19" s="84" cm="1">
        <f t="array" ref="BB5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19" s="84">
        <f>IF(SUM(Table3[[#This Row],[Column2]:[Column18]])&gt;Table3[[#This Row],[Column19]],Table3[[#This Row],[Column19]],SUM(Table3[[#This Row],[Column2]:[Column18]]))</f>
        <v>50000</v>
      </c>
      <c r="BD519" s="2">
        <f>Table3[[#This Row],[Total Spend]]/SUM(Table3[[#This Row],[Column2]:[Column18]])</f>
        <v>0.49164208456243852</v>
      </c>
    </row>
    <row r="520" spans="1:56" ht="28.5">
      <c r="A520" s="87" t="s">
        <v>594</v>
      </c>
      <c r="B520" s="87"/>
      <c r="C520" s="87"/>
      <c r="D520" s="85">
        <v>45566</v>
      </c>
      <c r="E520" s="85" t="s">
        <v>92</v>
      </c>
      <c r="F520" s="84">
        <f>INDEX(Definitions!$G$13:$G$17,MATCH(Table3[[#This Row],[Propensity to buy/ buyer readiness]],Definitions!$A$13:$A$17,0))</f>
        <v>50000</v>
      </c>
      <c r="G520" s="86">
        <v>5</v>
      </c>
      <c r="H520" s="86">
        <v>5</v>
      </c>
      <c r="I520" s="86">
        <v>2</v>
      </c>
      <c r="J520" s="86">
        <v>4</v>
      </c>
      <c r="K520" s="86">
        <v>3</v>
      </c>
      <c r="L520" s="86">
        <f>SUM(Table3[[#This Row],[Strategic priority segment]:[Propensity to buy/ buyer readiness]])</f>
        <v>19</v>
      </c>
      <c r="M520" s="86" t="s">
        <v>102</v>
      </c>
      <c r="N520" s="84" t="s">
        <v>61</v>
      </c>
      <c r="O520" s="87"/>
      <c r="P520" s="87"/>
      <c r="Q520" s="87"/>
      <c r="R520" s="84"/>
      <c r="S520" s="87"/>
      <c r="T520" s="87"/>
      <c r="U520" s="84">
        <v>1</v>
      </c>
      <c r="V520" s="84">
        <v>0</v>
      </c>
      <c r="W520" s="84">
        <v>0</v>
      </c>
      <c r="X520" s="84">
        <v>0</v>
      </c>
      <c r="Y520" s="84">
        <v>0</v>
      </c>
      <c r="Z520" s="84">
        <v>1</v>
      </c>
      <c r="AA520" s="84">
        <v>1</v>
      </c>
      <c r="AB520" s="84">
        <v>1</v>
      </c>
      <c r="AC520" s="84">
        <v>1</v>
      </c>
      <c r="AD520" s="84">
        <v>0</v>
      </c>
      <c r="AE520" s="84">
        <v>0</v>
      </c>
      <c r="AF520" s="84">
        <v>0</v>
      </c>
      <c r="AG520" s="84">
        <v>0</v>
      </c>
      <c r="AH520" s="84">
        <v>0</v>
      </c>
      <c r="AI520" s="84">
        <v>0</v>
      </c>
      <c r="AJ520" s="84">
        <v>0</v>
      </c>
      <c r="AK520" s="84">
        <v>0</v>
      </c>
      <c r="AL520" s="84" cm="1">
        <f t="array" ref="AL5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0" s="84" cm="1">
        <f t="array" ref="AM5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0" s="84" cm="1">
        <f t="array" ref="AN5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0" s="84" cm="1">
        <f t="array" ref="AO5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0" s="84" cm="1">
        <f t="array" ref="AP5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0" s="84" cm="1">
        <f t="array" ref="AQ5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0" s="84" cm="1">
        <f t="array" ref="AR5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0" s="84" cm="1">
        <f t="array" ref="AS5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0" s="84" cm="1">
        <f t="array" ref="AT5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0" s="84" cm="1">
        <f t="array" ref="AU5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20" s="84" cm="1">
        <f t="array" ref="AV5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0" s="84" cm="1">
        <f t="array" ref="AW5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20" s="84" cm="1">
        <f t="array" ref="AX5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0" s="84" cm="1">
        <f t="array" ref="AY5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0" s="84" cm="1">
        <f t="array" ref="AZ5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0" s="84" cm="1">
        <f t="array" ref="BA5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0" s="84" cm="1">
        <f t="array" ref="BB5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0" s="84">
        <f>IF(SUM(Table3[[#This Row],[Column2]:[Column18]])&gt;Table3[[#This Row],[Column19]],Table3[[#This Row],[Column19]],SUM(Table3[[#This Row],[Column2]:[Column18]]))</f>
        <v>50000</v>
      </c>
      <c r="BD520" s="2">
        <f>Table3[[#This Row],[Total Spend]]/SUM(Table3[[#This Row],[Column2]:[Column18]])</f>
        <v>0.49164208456243852</v>
      </c>
    </row>
    <row r="521" spans="1:56">
      <c r="A521" s="84" t="s">
        <v>595</v>
      </c>
      <c r="B521" s="84"/>
      <c r="C521" s="84"/>
      <c r="D521" s="85">
        <v>45566</v>
      </c>
      <c r="E521" s="85" t="s">
        <v>92</v>
      </c>
      <c r="F521" s="84">
        <f>INDEX(Definitions!$G$13:$G$17,MATCH(Table3[[#This Row],[Propensity to buy/ buyer readiness]],Definitions!$A$13:$A$17,0))</f>
        <v>50000</v>
      </c>
      <c r="G521" s="86">
        <v>5</v>
      </c>
      <c r="H521" s="86">
        <v>5</v>
      </c>
      <c r="I521" s="86">
        <v>2</v>
      </c>
      <c r="J521" s="86">
        <v>4</v>
      </c>
      <c r="K521" s="86">
        <v>3</v>
      </c>
      <c r="L521" s="86">
        <f>SUM(Table3[[#This Row],[Strategic priority segment]:[Propensity to buy/ buyer readiness]])</f>
        <v>19</v>
      </c>
      <c r="M521" s="86" t="s">
        <v>102</v>
      </c>
      <c r="N521" s="84" t="s">
        <v>61</v>
      </c>
      <c r="O521" s="84"/>
      <c r="P521" s="87"/>
      <c r="Q521" s="87"/>
      <c r="R521" s="84"/>
      <c r="S521" s="87"/>
      <c r="T521" s="87"/>
      <c r="U521" s="84">
        <v>1</v>
      </c>
      <c r="V521" s="84">
        <v>0</v>
      </c>
      <c r="W521" s="84">
        <v>0</v>
      </c>
      <c r="X521" s="84">
        <v>0</v>
      </c>
      <c r="Y521" s="84">
        <v>0</v>
      </c>
      <c r="Z521" s="84">
        <v>1</v>
      </c>
      <c r="AA521" s="84">
        <v>1</v>
      </c>
      <c r="AB521" s="84">
        <v>1</v>
      </c>
      <c r="AC521" s="84">
        <v>1</v>
      </c>
      <c r="AD521" s="84">
        <v>0</v>
      </c>
      <c r="AE521" s="84">
        <v>0</v>
      </c>
      <c r="AF521" s="84">
        <v>0</v>
      </c>
      <c r="AG521" s="84">
        <v>0</v>
      </c>
      <c r="AH521" s="84">
        <v>0</v>
      </c>
      <c r="AI521" s="84">
        <v>0</v>
      </c>
      <c r="AJ521" s="84">
        <v>0</v>
      </c>
      <c r="AK521" s="84">
        <v>0</v>
      </c>
      <c r="AL521" s="84" cm="1">
        <f t="array" ref="AL5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1" s="84" cm="1">
        <f t="array" ref="AM5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1" s="84" cm="1">
        <f t="array" ref="AN5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1" s="84" cm="1">
        <f t="array" ref="AO5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1" s="84" cm="1">
        <f t="array" ref="AP5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1" s="84" cm="1">
        <f t="array" ref="AQ5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1" s="84" cm="1">
        <f t="array" ref="AR5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1" s="84" cm="1">
        <f t="array" ref="AS5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1" s="84" cm="1">
        <f t="array" ref="AT5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1" s="84" cm="1">
        <f t="array" ref="AU5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21" s="84" cm="1">
        <f t="array" ref="AV5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1" s="84" cm="1">
        <f t="array" ref="AW5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21" s="84" cm="1">
        <f t="array" ref="AX5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1" s="84" cm="1">
        <f t="array" ref="AY5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1" s="84" cm="1">
        <f t="array" ref="AZ5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1" s="84" cm="1">
        <f t="array" ref="BA5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1" s="84" cm="1">
        <f t="array" ref="BB5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1" s="84">
        <f>IF(SUM(Table3[[#This Row],[Column2]:[Column18]])&gt;Table3[[#This Row],[Column19]],Table3[[#This Row],[Column19]],SUM(Table3[[#This Row],[Column2]:[Column18]]))</f>
        <v>50000</v>
      </c>
      <c r="BD521" s="2">
        <f>Table3[[#This Row],[Total Spend]]/SUM(Table3[[#This Row],[Column2]:[Column18]])</f>
        <v>0.49164208456243852</v>
      </c>
    </row>
    <row r="522" spans="1:56">
      <c r="A522" s="84" t="s">
        <v>596</v>
      </c>
      <c r="B522" s="84"/>
      <c r="C522" s="84"/>
      <c r="D522" s="85">
        <v>45566</v>
      </c>
      <c r="E522" s="85" t="s">
        <v>92</v>
      </c>
      <c r="F522" s="84">
        <f>INDEX(Definitions!$G$13:$G$17,MATCH(Table3[[#This Row],[Propensity to buy/ buyer readiness]],Definitions!$A$13:$A$17,0))</f>
        <v>50000</v>
      </c>
      <c r="G522" s="86">
        <v>5</v>
      </c>
      <c r="H522" s="86">
        <v>5</v>
      </c>
      <c r="I522" s="86">
        <v>2</v>
      </c>
      <c r="J522" s="86">
        <v>4</v>
      </c>
      <c r="K522" s="86">
        <v>3</v>
      </c>
      <c r="L522" s="86">
        <f>SUM(Table3[[#This Row],[Strategic priority segment]:[Propensity to buy/ buyer readiness]])</f>
        <v>19</v>
      </c>
      <c r="M522" s="86" t="s">
        <v>102</v>
      </c>
      <c r="N522" s="84" t="s">
        <v>61</v>
      </c>
      <c r="O522" s="84"/>
      <c r="P522" s="87"/>
      <c r="Q522" s="87"/>
      <c r="R522" s="84"/>
      <c r="S522" s="87"/>
      <c r="T522" s="87"/>
      <c r="U522" s="84">
        <v>1</v>
      </c>
      <c r="V522" s="84">
        <v>0</v>
      </c>
      <c r="W522" s="84">
        <v>0</v>
      </c>
      <c r="X522" s="84">
        <v>0</v>
      </c>
      <c r="Y522" s="84">
        <v>0</v>
      </c>
      <c r="Z522" s="84">
        <v>1</v>
      </c>
      <c r="AA522" s="84">
        <v>1</v>
      </c>
      <c r="AB522" s="84">
        <v>1</v>
      </c>
      <c r="AC522" s="84">
        <v>1</v>
      </c>
      <c r="AD522" s="84">
        <v>0</v>
      </c>
      <c r="AE522" s="84">
        <v>0</v>
      </c>
      <c r="AF522" s="84">
        <v>0</v>
      </c>
      <c r="AG522" s="84">
        <v>0</v>
      </c>
      <c r="AH522" s="84">
        <v>0</v>
      </c>
      <c r="AI522" s="84">
        <v>0</v>
      </c>
      <c r="AJ522" s="84">
        <v>0</v>
      </c>
      <c r="AK522" s="84">
        <v>0</v>
      </c>
      <c r="AL522" s="84" cm="1">
        <f t="array" ref="AL5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2" s="84" cm="1">
        <f t="array" ref="AM5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2" s="84" cm="1">
        <f t="array" ref="AN5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2" s="84" cm="1">
        <f t="array" ref="AO5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2" s="84" cm="1">
        <f t="array" ref="AP5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2" s="84" cm="1">
        <f t="array" ref="AQ5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2" s="84" cm="1">
        <f t="array" ref="AR5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2" s="84" cm="1">
        <f t="array" ref="AS5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2" s="84" cm="1">
        <f t="array" ref="AT5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2" s="84" cm="1">
        <f t="array" ref="AU5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22" s="84" cm="1">
        <f t="array" ref="AV5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2" s="84" cm="1">
        <f t="array" ref="AW5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22" s="84" cm="1">
        <f t="array" ref="AX5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2" s="84" cm="1">
        <f t="array" ref="AY5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2" s="84" cm="1">
        <f t="array" ref="AZ5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2" s="84" cm="1">
        <f t="array" ref="BA5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2" s="84" cm="1">
        <f t="array" ref="BB5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2" s="84">
        <f>IF(SUM(Table3[[#This Row],[Column2]:[Column18]])&gt;Table3[[#This Row],[Column19]],Table3[[#This Row],[Column19]],SUM(Table3[[#This Row],[Column2]:[Column18]]))</f>
        <v>50000</v>
      </c>
      <c r="BD522" s="2">
        <f>Table3[[#This Row],[Total Spend]]/SUM(Table3[[#This Row],[Column2]:[Column18]])</f>
        <v>0.49164208456243852</v>
      </c>
    </row>
    <row r="523" spans="1:56">
      <c r="A523" s="84" t="s">
        <v>597</v>
      </c>
      <c r="B523" s="84" t="s">
        <v>57</v>
      </c>
      <c r="C523" s="84"/>
      <c r="D523" s="85">
        <v>45566</v>
      </c>
      <c r="E523" s="85" t="s">
        <v>92</v>
      </c>
      <c r="F523" s="84">
        <f>INDEX(Definitions!$G$13:$G$17,MATCH(Table3[[#This Row],[Propensity to buy/ buyer readiness]],Definitions!$A$13:$A$17,0))</f>
        <v>50000</v>
      </c>
      <c r="G523" s="86">
        <v>4</v>
      </c>
      <c r="H523" s="86">
        <v>4</v>
      </c>
      <c r="I523" s="86">
        <v>4</v>
      </c>
      <c r="J523" s="86">
        <v>4</v>
      </c>
      <c r="K523" s="86">
        <v>3</v>
      </c>
      <c r="L523" s="86">
        <f>SUM(Table3[[#This Row],[Strategic priority segment]:[Propensity to buy/ buyer readiness]])</f>
        <v>19</v>
      </c>
      <c r="M523" s="86" t="s">
        <v>152</v>
      </c>
      <c r="N523" s="84" t="s">
        <v>122</v>
      </c>
      <c r="O523" s="84" t="s">
        <v>61</v>
      </c>
      <c r="P523" s="87"/>
      <c r="Q523" s="87"/>
      <c r="R523" s="84"/>
      <c r="S523" s="84"/>
      <c r="T523" s="87"/>
      <c r="U523" s="84">
        <v>1</v>
      </c>
      <c r="V523" s="84">
        <v>0</v>
      </c>
      <c r="W523" s="84">
        <v>0</v>
      </c>
      <c r="X523" s="84">
        <v>0</v>
      </c>
      <c r="Y523" s="84">
        <v>0</v>
      </c>
      <c r="Z523" s="84">
        <v>1</v>
      </c>
      <c r="AA523" s="84">
        <v>1</v>
      </c>
      <c r="AB523" s="84">
        <v>1</v>
      </c>
      <c r="AC523" s="84">
        <v>1</v>
      </c>
      <c r="AD523" s="84">
        <v>1</v>
      </c>
      <c r="AE523" s="84">
        <v>0</v>
      </c>
      <c r="AF523" s="84">
        <v>1</v>
      </c>
      <c r="AG523" s="84">
        <v>0</v>
      </c>
      <c r="AH523" s="84">
        <v>0</v>
      </c>
      <c r="AI523" s="84">
        <v>0</v>
      </c>
      <c r="AJ523" s="84">
        <v>0</v>
      </c>
      <c r="AK523" s="84">
        <v>0</v>
      </c>
      <c r="AL523" s="84" cm="1">
        <f t="array" ref="AL5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3" s="84" cm="1">
        <f t="array" ref="AM5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3" s="84" cm="1">
        <f t="array" ref="AN5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3" s="84" cm="1">
        <f t="array" ref="AO5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3" s="84" cm="1">
        <f t="array" ref="AP5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3" s="84" cm="1">
        <f t="array" ref="AQ5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3" s="84" cm="1">
        <f t="array" ref="AR5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3" s="84" cm="1">
        <f t="array" ref="AS5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3" s="84" cm="1">
        <f t="array" ref="AT5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3" s="84" cm="1">
        <f t="array" ref="AU5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23" s="84" cm="1">
        <f t="array" ref="AV5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3" s="84" cm="1">
        <f t="array" ref="AW5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23" s="84" cm="1">
        <f t="array" ref="AX5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3" s="84" cm="1">
        <f t="array" ref="AY5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3" s="84" cm="1">
        <f t="array" ref="AZ5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3" s="84" cm="1">
        <f t="array" ref="BA5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3" s="84" cm="1">
        <f t="array" ref="BB5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3" s="84">
        <f>IF(SUM(Table3[[#This Row],[Column2]:[Column18]])&gt;Table3[[#This Row],[Column19]],Table3[[#This Row],[Column19]],SUM(Table3[[#This Row],[Column2]:[Column18]]))</f>
        <v>50000</v>
      </c>
      <c r="BD523" s="2">
        <f>Table3[[#This Row],[Total Spend]]/SUM(Table3[[#This Row],[Column2]:[Column18]])</f>
        <v>0.32299741602067183</v>
      </c>
    </row>
    <row r="524" spans="1:56">
      <c r="A524" s="84" t="s">
        <v>598</v>
      </c>
      <c r="B524" s="84" t="s">
        <v>57</v>
      </c>
      <c r="C524" s="84"/>
      <c r="D524" s="85">
        <v>45566</v>
      </c>
      <c r="E524" s="85" t="s">
        <v>92</v>
      </c>
      <c r="F524" s="84">
        <f>INDEX(Definitions!$G$13:$G$17,MATCH(Table3[[#This Row],[Propensity to buy/ buyer readiness]],Definitions!$A$13:$A$17,0))</f>
        <v>50000</v>
      </c>
      <c r="G524" s="86">
        <v>4</v>
      </c>
      <c r="H524" s="86">
        <v>4</v>
      </c>
      <c r="I524" s="86">
        <v>4</v>
      </c>
      <c r="J524" s="86">
        <v>4</v>
      </c>
      <c r="K524" s="86">
        <v>3</v>
      </c>
      <c r="L524" s="86">
        <f>SUM(Table3[[#This Row],[Strategic priority segment]:[Propensity to buy/ buyer readiness]])</f>
        <v>19</v>
      </c>
      <c r="M524" s="86" t="s">
        <v>152</v>
      </c>
      <c r="N524" s="84" t="s">
        <v>122</v>
      </c>
      <c r="O524" s="84" t="s">
        <v>61</v>
      </c>
      <c r="P524" s="87"/>
      <c r="Q524" s="87"/>
      <c r="R524" s="84"/>
      <c r="S524" s="84"/>
      <c r="T524" s="87"/>
      <c r="U524" s="84">
        <v>1</v>
      </c>
      <c r="V524" s="84">
        <v>0</v>
      </c>
      <c r="W524" s="84">
        <v>0</v>
      </c>
      <c r="X524" s="84">
        <v>0</v>
      </c>
      <c r="Y524" s="84">
        <v>0</v>
      </c>
      <c r="Z524" s="84">
        <v>1</v>
      </c>
      <c r="AA524" s="84">
        <v>1</v>
      </c>
      <c r="AB524" s="84">
        <v>1</v>
      </c>
      <c r="AC524" s="84">
        <v>1</v>
      </c>
      <c r="AD524" s="84">
        <v>1</v>
      </c>
      <c r="AE524" s="84">
        <v>0</v>
      </c>
      <c r="AF524" s="84">
        <v>1</v>
      </c>
      <c r="AG524" s="84">
        <v>0</v>
      </c>
      <c r="AH524" s="84">
        <v>0</v>
      </c>
      <c r="AI524" s="84">
        <v>0</v>
      </c>
      <c r="AJ524" s="84">
        <v>0</v>
      </c>
      <c r="AK524" s="84">
        <v>0</v>
      </c>
      <c r="AL524" s="84" cm="1">
        <f t="array" ref="AL5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4" s="84" cm="1">
        <f t="array" ref="AM5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4" s="84" cm="1">
        <f t="array" ref="AN5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4" s="84" cm="1">
        <f t="array" ref="AO5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4" s="84" cm="1">
        <f t="array" ref="AP5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4" s="84" cm="1">
        <f t="array" ref="AQ5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4" s="84" cm="1">
        <f t="array" ref="AR5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4" s="84" cm="1">
        <f t="array" ref="AS5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4" s="84" cm="1">
        <f t="array" ref="AT5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4" s="84" cm="1">
        <f t="array" ref="AU5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24" s="84" cm="1">
        <f t="array" ref="AV5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4" s="84" cm="1">
        <f t="array" ref="AW5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24" s="84" cm="1">
        <f t="array" ref="AX5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4" s="84" cm="1">
        <f t="array" ref="AY5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4" s="84" cm="1">
        <f t="array" ref="AZ5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4" s="84" cm="1">
        <f t="array" ref="BA5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4" s="84" cm="1">
        <f t="array" ref="BB5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4" s="84">
        <f>IF(SUM(Table3[[#This Row],[Column2]:[Column18]])&gt;Table3[[#This Row],[Column19]],Table3[[#This Row],[Column19]],SUM(Table3[[#This Row],[Column2]:[Column18]]))</f>
        <v>50000</v>
      </c>
      <c r="BD524" s="2">
        <f>Table3[[#This Row],[Total Spend]]/SUM(Table3[[#This Row],[Column2]:[Column18]])</f>
        <v>0.32299741602067183</v>
      </c>
    </row>
    <row r="525" spans="1:56">
      <c r="A525" s="88" t="s">
        <v>599</v>
      </c>
      <c r="B525" s="88"/>
      <c r="C525" s="88"/>
      <c r="D525" s="85">
        <v>45566</v>
      </c>
      <c r="E525" s="85" t="s">
        <v>92</v>
      </c>
      <c r="F525" s="84">
        <f>INDEX(Definitions!$G$13:$G$17,MATCH(Table3[[#This Row],[Propensity to buy/ buyer readiness]],Definitions!$A$13:$A$17,0))</f>
        <v>50000</v>
      </c>
      <c r="G525" s="86">
        <v>5</v>
      </c>
      <c r="H525" s="86">
        <v>5</v>
      </c>
      <c r="I525" s="86">
        <v>2</v>
      </c>
      <c r="J525" s="86">
        <v>4</v>
      </c>
      <c r="K525" s="86">
        <v>3</v>
      </c>
      <c r="L525" s="86">
        <f>SUM(Table3[[#This Row],[Strategic priority segment]:[Propensity to buy/ buyer readiness]])</f>
        <v>19</v>
      </c>
      <c r="M525" s="86" t="s">
        <v>102</v>
      </c>
      <c r="N525" s="84" t="s">
        <v>61</v>
      </c>
      <c r="O525" s="84"/>
      <c r="P525" s="87"/>
      <c r="Q525" s="87"/>
      <c r="R525" s="84"/>
      <c r="S525" s="87"/>
      <c r="T525" s="84"/>
      <c r="U525" s="84">
        <v>1</v>
      </c>
      <c r="V525" s="84">
        <v>0</v>
      </c>
      <c r="W525" s="84">
        <v>0</v>
      </c>
      <c r="X525" s="84">
        <v>0</v>
      </c>
      <c r="Y525" s="84">
        <v>0</v>
      </c>
      <c r="Z525" s="84">
        <v>1</v>
      </c>
      <c r="AA525" s="84">
        <v>1</v>
      </c>
      <c r="AB525" s="84">
        <v>1</v>
      </c>
      <c r="AC525" s="84">
        <v>1</v>
      </c>
      <c r="AD525" s="84">
        <v>0</v>
      </c>
      <c r="AE525" s="84">
        <v>0</v>
      </c>
      <c r="AF525" s="84">
        <v>0</v>
      </c>
      <c r="AG525" s="84">
        <v>0</v>
      </c>
      <c r="AH525" s="84">
        <v>0</v>
      </c>
      <c r="AI525" s="84">
        <v>0</v>
      </c>
      <c r="AJ525" s="84">
        <v>0</v>
      </c>
      <c r="AK525" s="84">
        <v>0</v>
      </c>
      <c r="AL525" s="84" cm="1">
        <f t="array" ref="AL5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5" s="84" cm="1">
        <f t="array" ref="AM5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5" s="84" cm="1">
        <f t="array" ref="AN5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5" s="84" cm="1">
        <f t="array" ref="AO5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5" s="84" cm="1">
        <f t="array" ref="AP5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5" s="84" cm="1">
        <f t="array" ref="AQ5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5" s="84" cm="1">
        <f t="array" ref="AR5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5" s="84" cm="1">
        <f t="array" ref="AS5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5" s="84" cm="1">
        <f t="array" ref="AT5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5" s="84" cm="1">
        <f t="array" ref="AU5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25" s="84" cm="1">
        <f t="array" ref="AV5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5" s="84" cm="1">
        <f t="array" ref="AW5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25" s="84" cm="1">
        <f t="array" ref="AX5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5" s="84" cm="1">
        <f t="array" ref="AY5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5" s="84" cm="1">
        <f t="array" ref="AZ5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5" s="84" cm="1">
        <f t="array" ref="BA5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5" s="84" cm="1">
        <f t="array" ref="BB5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5" s="84">
        <f>IF(SUM(Table3[[#This Row],[Column2]:[Column18]])&gt;Table3[[#This Row],[Column19]],Table3[[#This Row],[Column19]],SUM(Table3[[#This Row],[Column2]:[Column18]]))</f>
        <v>50000</v>
      </c>
      <c r="BD525" s="2">
        <f>Table3[[#This Row],[Total Spend]]/SUM(Table3[[#This Row],[Column2]:[Column18]])</f>
        <v>0.49164208456243852</v>
      </c>
    </row>
    <row r="526" spans="1:56">
      <c r="A526" s="84" t="s">
        <v>600</v>
      </c>
      <c r="B526" s="84"/>
      <c r="C526" s="84"/>
      <c r="D526" s="85">
        <v>45809</v>
      </c>
      <c r="E526" s="85" t="s">
        <v>92</v>
      </c>
      <c r="F526" s="84">
        <f>INDEX(Definitions!$G$13:$G$17,MATCH(Table3[[#This Row],[Propensity to buy/ buyer readiness]],Definitions!$A$13:$A$17,0))</f>
        <v>50000</v>
      </c>
      <c r="G526" s="86">
        <v>5</v>
      </c>
      <c r="H526" s="86">
        <v>5</v>
      </c>
      <c r="I526" s="86">
        <v>2</v>
      </c>
      <c r="J526" s="86">
        <v>4</v>
      </c>
      <c r="K526" s="86">
        <v>3</v>
      </c>
      <c r="L526" s="86">
        <f>SUM(Table3[[#This Row],[Strategic priority segment]:[Propensity to buy/ buyer readiness]])</f>
        <v>19</v>
      </c>
      <c r="M526" s="86" t="s">
        <v>102</v>
      </c>
      <c r="N526" s="84" t="s">
        <v>61</v>
      </c>
      <c r="O526" s="84" t="s">
        <v>135</v>
      </c>
      <c r="P526" s="87"/>
      <c r="Q526" s="87"/>
      <c r="R526" s="84"/>
      <c r="S526" s="84"/>
      <c r="T526" s="84"/>
      <c r="U526" s="84">
        <v>1</v>
      </c>
      <c r="V526" s="84">
        <v>0</v>
      </c>
      <c r="W526" s="84">
        <v>0</v>
      </c>
      <c r="X526" s="84">
        <v>0</v>
      </c>
      <c r="Y526" s="84">
        <v>0</v>
      </c>
      <c r="Z526" s="84">
        <v>1</v>
      </c>
      <c r="AA526" s="84">
        <v>1</v>
      </c>
      <c r="AB526" s="84">
        <v>1</v>
      </c>
      <c r="AC526" s="84">
        <v>1</v>
      </c>
      <c r="AD526" s="84">
        <v>0</v>
      </c>
      <c r="AE526" s="84">
        <v>0</v>
      </c>
      <c r="AF526" s="84">
        <v>0</v>
      </c>
      <c r="AG526" s="84">
        <v>0</v>
      </c>
      <c r="AH526" s="84">
        <v>1</v>
      </c>
      <c r="AI526" s="84">
        <v>1</v>
      </c>
      <c r="AJ526" s="84">
        <v>1</v>
      </c>
      <c r="AK526" s="84">
        <v>1</v>
      </c>
      <c r="AL526" s="84" cm="1">
        <f t="array" ref="AL5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6" s="84" cm="1">
        <f t="array" ref="AM5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6" s="84" cm="1">
        <f t="array" ref="AN5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6" s="84" cm="1">
        <f t="array" ref="AO5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6" s="84" cm="1">
        <f t="array" ref="AP5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6" s="84" cm="1">
        <f t="array" ref="AQ5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6" s="84" cm="1">
        <f t="array" ref="AR5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6" s="84" cm="1">
        <f t="array" ref="AS5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6" s="84" cm="1">
        <f t="array" ref="AT5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6" s="84" cm="1">
        <f t="array" ref="AU5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26" s="84" cm="1">
        <f t="array" ref="AV5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6" s="84" cm="1">
        <f t="array" ref="AW5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26" s="84" cm="1">
        <f t="array" ref="AX5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6" s="84" cm="1">
        <f t="array" ref="AY5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526" s="84" cm="1">
        <f t="array" ref="AZ5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526" s="84" cm="1">
        <f t="array" ref="BA5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526" s="84" cm="1">
        <f t="array" ref="BB5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526" s="84">
        <f>IF(SUM(Table3[[#This Row],[Column2]:[Column18]])&gt;Table3[[#This Row],[Column19]],Table3[[#This Row],[Column19]],SUM(Table3[[#This Row],[Column2]:[Column18]]))</f>
        <v>50000</v>
      </c>
      <c r="BD526" s="2">
        <f>Table3[[#This Row],[Total Spend]]/SUM(Table3[[#This Row],[Column2]:[Column18]])</f>
        <v>0.33772374197906113</v>
      </c>
    </row>
    <row r="527" spans="1:56">
      <c r="A527" s="84" t="s">
        <v>601</v>
      </c>
      <c r="B527" s="84" t="s">
        <v>57</v>
      </c>
      <c r="C527" s="84"/>
      <c r="D527" s="85">
        <v>45566</v>
      </c>
      <c r="E527" s="85" t="s">
        <v>58</v>
      </c>
      <c r="F527" s="84">
        <f>INDEX(Definitions!$G$13:$G$17,MATCH(Table3[[#This Row],[Propensity to buy/ buyer readiness]],Definitions!$A$13:$A$17,0))</f>
        <v>150000</v>
      </c>
      <c r="G527" s="86">
        <v>5</v>
      </c>
      <c r="H527" s="86">
        <v>4</v>
      </c>
      <c r="I527" s="86">
        <v>3</v>
      </c>
      <c r="J527" s="86">
        <v>3</v>
      </c>
      <c r="K527" s="86">
        <v>4</v>
      </c>
      <c r="L527" s="86">
        <f>SUM(Table3[[#This Row],[Strategic priority segment]:[Propensity to buy/ buyer readiness]])</f>
        <v>19</v>
      </c>
      <c r="M527" s="86" t="s">
        <v>66</v>
      </c>
      <c r="N527" s="84" t="s">
        <v>62</v>
      </c>
      <c r="O527" s="84"/>
      <c r="P527" s="87"/>
      <c r="Q527" s="87"/>
      <c r="R527" s="84"/>
      <c r="S527" s="84"/>
      <c r="T527" s="84"/>
      <c r="U527" s="84">
        <v>1</v>
      </c>
      <c r="V527" s="84">
        <v>0</v>
      </c>
      <c r="W527" s="84">
        <v>0</v>
      </c>
      <c r="X527" s="84">
        <v>0</v>
      </c>
      <c r="Y527" s="84">
        <v>0</v>
      </c>
      <c r="Z527" s="84">
        <v>0</v>
      </c>
      <c r="AA527" s="84">
        <v>0</v>
      </c>
      <c r="AB527" s="84">
        <v>0</v>
      </c>
      <c r="AC527" s="84">
        <v>0</v>
      </c>
      <c r="AD527" s="84">
        <v>1</v>
      </c>
      <c r="AE527" s="84">
        <v>1</v>
      </c>
      <c r="AF527" s="84">
        <v>1</v>
      </c>
      <c r="AG527" s="84">
        <v>1</v>
      </c>
      <c r="AH527" s="84">
        <v>0</v>
      </c>
      <c r="AI527" s="84">
        <v>0</v>
      </c>
      <c r="AJ527" s="84">
        <v>0</v>
      </c>
      <c r="AK527" s="84">
        <v>0</v>
      </c>
      <c r="AL527" s="84" cm="1">
        <f t="array" ref="AL5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27" s="84" cm="1">
        <f t="array" ref="AM5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7" s="84" cm="1">
        <f t="array" ref="AN5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7" s="84" cm="1">
        <f t="array" ref="AO5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7" s="84" cm="1">
        <f t="array" ref="AP5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7" s="84" cm="1">
        <f t="array" ref="AQ5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27" s="84" cm="1">
        <f t="array" ref="AR5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27" s="84" cm="1">
        <f t="array" ref="AS5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27" s="84" cm="1">
        <f t="array" ref="AT5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27" s="84" cm="1">
        <f t="array" ref="AU5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27" s="84" cm="1">
        <f t="array" ref="AV5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27" s="84" cm="1">
        <f t="array" ref="AW5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27" s="84" cm="1">
        <f t="array" ref="AX5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27" s="84" cm="1">
        <f t="array" ref="AY5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7" s="84" cm="1">
        <f t="array" ref="AZ5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7" s="84" cm="1">
        <f t="array" ref="BA5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7" s="84" cm="1">
        <f t="array" ref="BB5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7" s="84">
        <f>IF(SUM(Table3[[#This Row],[Column2]:[Column18]])&gt;Table3[[#This Row],[Column19]],Table3[[#This Row],[Column19]],SUM(Table3[[#This Row],[Column2]:[Column18]]))</f>
        <v>131400</v>
      </c>
      <c r="BD527" s="2">
        <f>Table3[[#This Row],[Total Spend]]/SUM(Table3[[#This Row],[Column2]:[Column18]])</f>
        <v>1</v>
      </c>
    </row>
    <row r="528" spans="1:56">
      <c r="A528" s="84" t="s">
        <v>602</v>
      </c>
      <c r="B528" s="84" t="s">
        <v>57</v>
      </c>
      <c r="C528" s="84"/>
      <c r="D528" s="85">
        <v>45566</v>
      </c>
      <c r="E528" s="85" t="s">
        <v>58</v>
      </c>
      <c r="F528" s="84">
        <f>INDEX(Definitions!$G$13:$G$17,MATCH(Table3[[#This Row],[Propensity to buy/ buyer readiness]],Definitions!$A$13:$A$17,0))</f>
        <v>150000</v>
      </c>
      <c r="G528" s="86">
        <v>5</v>
      </c>
      <c r="H528" s="86">
        <v>4</v>
      </c>
      <c r="I528" s="86">
        <v>3</v>
      </c>
      <c r="J528" s="86">
        <v>3</v>
      </c>
      <c r="K528" s="86">
        <v>4</v>
      </c>
      <c r="L528" s="86">
        <f>SUM(Table3[[#This Row],[Strategic priority segment]:[Propensity to buy/ buyer readiness]])</f>
        <v>19</v>
      </c>
      <c r="M528" s="86" t="s">
        <v>66</v>
      </c>
      <c r="N528" s="84" t="s">
        <v>62</v>
      </c>
      <c r="O528" s="84" t="s">
        <v>61</v>
      </c>
      <c r="P528" s="87"/>
      <c r="Q528" s="87"/>
      <c r="R528" s="84"/>
      <c r="S528" s="84"/>
      <c r="T528" s="87"/>
      <c r="U528" s="84">
        <v>1</v>
      </c>
      <c r="V528" s="84">
        <v>0</v>
      </c>
      <c r="W528" s="84">
        <v>0</v>
      </c>
      <c r="X528" s="84">
        <v>0</v>
      </c>
      <c r="Y528" s="84">
        <v>0</v>
      </c>
      <c r="Z528" s="84">
        <v>1</v>
      </c>
      <c r="AA528" s="84">
        <v>1</v>
      </c>
      <c r="AB528" s="84">
        <v>1</v>
      </c>
      <c r="AC528" s="84">
        <v>1</v>
      </c>
      <c r="AD528" s="84">
        <v>1</v>
      </c>
      <c r="AE528" s="84">
        <v>1</v>
      </c>
      <c r="AF528" s="84">
        <v>1</v>
      </c>
      <c r="AG528" s="84">
        <v>1</v>
      </c>
      <c r="AH528" s="84">
        <v>0</v>
      </c>
      <c r="AI528" s="84">
        <v>0</v>
      </c>
      <c r="AJ528" s="84">
        <v>0</v>
      </c>
      <c r="AK528" s="84">
        <v>0</v>
      </c>
      <c r="AL528" s="84" cm="1">
        <f t="array" ref="AL5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28" s="84" cm="1">
        <f t="array" ref="AM5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8" s="84" cm="1">
        <f t="array" ref="AN5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8" s="84" cm="1">
        <f t="array" ref="AO5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8" s="84" cm="1">
        <f t="array" ref="AP5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8" s="84" cm="1">
        <f t="array" ref="AQ5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28" s="84" cm="1">
        <f t="array" ref="AR5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28" s="84" cm="1">
        <f t="array" ref="AS5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28" s="84" cm="1">
        <f t="array" ref="AT5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28" s="84" cm="1">
        <f t="array" ref="AU5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28" s="84" cm="1">
        <f t="array" ref="AV5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28" s="84" cm="1">
        <f t="array" ref="AW5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28" s="84" cm="1">
        <f t="array" ref="AX5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28" s="84" cm="1">
        <f t="array" ref="AY5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8" s="84" cm="1">
        <f t="array" ref="AZ5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8" s="84" cm="1">
        <f t="array" ref="BA5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8" s="84" cm="1">
        <f t="array" ref="BB5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8" s="84">
        <f>IF(SUM(Table3[[#This Row],[Column2]:[Column18]])&gt;Table3[[#This Row],[Column19]],Table3[[#This Row],[Column19]],SUM(Table3[[#This Row],[Column2]:[Column18]]))</f>
        <v>150000</v>
      </c>
      <c r="BD528" s="2">
        <f>Table3[[#This Row],[Total Spend]]/SUM(Table3[[#This Row],[Column2]:[Column18]])</f>
        <v>0.57471264367816088</v>
      </c>
    </row>
    <row r="529" spans="1:56">
      <c r="A529" s="84" t="s">
        <v>603</v>
      </c>
      <c r="B529" s="84"/>
      <c r="C529" s="84"/>
      <c r="D529" s="85">
        <v>45566</v>
      </c>
      <c r="E529" s="85" t="s">
        <v>92</v>
      </c>
      <c r="F529" s="84">
        <f>INDEX(Definitions!$G$13:$G$17,MATCH(Table3[[#This Row],[Propensity to buy/ buyer readiness]],Definitions!$A$13:$A$17,0))</f>
        <v>50000</v>
      </c>
      <c r="G529" s="86">
        <v>5</v>
      </c>
      <c r="H529" s="86">
        <v>5</v>
      </c>
      <c r="I529" s="86">
        <v>2</v>
      </c>
      <c r="J529" s="86">
        <v>4</v>
      </c>
      <c r="K529" s="86">
        <v>3</v>
      </c>
      <c r="L529" s="86">
        <f>SUM(Table3[[#This Row],[Strategic priority segment]:[Propensity to buy/ buyer readiness]])</f>
        <v>19</v>
      </c>
      <c r="M529" s="86" t="s">
        <v>102</v>
      </c>
      <c r="N529" s="84" t="s">
        <v>61</v>
      </c>
      <c r="O529" s="84"/>
      <c r="P529" s="87"/>
      <c r="Q529" s="87"/>
      <c r="R529" s="84"/>
      <c r="S529" s="87"/>
      <c r="T529" s="87"/>
      <c r="U529" s="84">
        <v>1</v>
      </c>
      <c r="V529" s="84">
        <v>0</v>
      </c>
      <c r="W529" s="84">
        <v>0</v>
      </c>
      <c r="X529" s="84">
        <v>0</v>
      </c>
      <c r="Y529" s="84">
        <v>0</v>
      </c>
      <c r="Z529" s="84">
        <v>1</v>
      </c>
      <c r="AA529" s="84">
        <v>1</v>
      </c>
      <c r="AB529" s="84">
        <v>1</v>
      </c>
      <c r="AC529" s="84">
        <v>1</v>
      </c>
      <c r="AD529" s="84">
        <v>0</v>
      </c>
      <c r="AE529" s="84">
        <v>0</v>
      </c>
      <c r="AF529" s="84">
        <v>0</v>
      </c>
      <c r="AG529" s="84">
        <v>0</v>
      </c>
      <c r="AH529" s="84">
        <v>0</v>
      </c>
      <c r="AI529" s="84">
        <v>0</v>
      </c>
      <c r="AJ529" s="84">
        <v>0</v>
      </c>
      <c r="AK529" s="84">
        <v>0</v>
      </c>
      <c r="AL529" s="84" cm="1">
        <f t="array" ref="AL5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29" s="84" cm="1">
        <f t="array" ref="AM5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29" s="84" cm="1">
        <f t="array" ref="AN5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29" s="84" cm="1">
        <f t="array" ref="AO5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29" s="84" cm="1">
        <f t="array" ref="AP5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29" s="84" cm="1">
        <f t="array" ref="AQ5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29" s="84" cm="1">
        <f t="array" ref="AR5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29" s="84" cm="1">
        <f t="array" ref="AS5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29" s="84" cm="1">
        <f t="array" ref="AT5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29" s="84" cm="1">
        <f t="array" ref="AU5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29" s="84" cm="1">
        <f t="array" ref="AV5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29" s="84" cm="1">
        <f t="array" ref="AW5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29" s="84" cm="1">
        <f t="array" ref="AX5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29" s="84" cm="1">
        <f t="array" ref="AY5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29" s="84" cm="1">
        <f t="array" ref="AZ5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29" s="84" cm="1">
        <f t="array" ref="BA5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29" s="84" cm="1">
        <f t="array" ref="BB5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29" s="84">
        <f>IF(SUM(Table3[[#This Row],[Column2]:[Column18]])&gt;Table3[[#This Row],[Column19]],Table3[[#This Row],[Column19]],SUM(Table3[[#This Row],[Column2]:[Column18]]))</f>
        <v>50000</v>
      </c>
      <c r="BD529" s="2">
        <f>Table3[[#This Row],[Total Spend]]/SUM(Table3[[#This Row],[Column2]:[Column18]])</f>
        <v>0.49164208456243852</v>
      </c>
    </row>
    <row r="530" spans="1:56">
      <c r="A530" s="84" t="s">
        <v>604</v>
      </c>
      <c r="B530" s="84" t="s">
        <v>57</v>
      </c>
      <c r="C530" s="84" t="s">
        <v>57</v>
      </c>
      <c r="D530" s="85">
        <v>45566</v>
      </c>
      <c r="E530" s="85" t="s">
        <v>92</v>
      </c>
      <c r="F530" s="84">
        <f>INDEX(Definitions!$G$13:$G$17,MATCH(Table3[[#This Row],[Propensity to buy/ buyer readiness]],Definitions!$A$13:$A$17,0))</f>
        <v>50000</v>
      </c>
      <c r="G530" s="86">
        <v>4</v>
      </c>
      <c r="H530" s="86">
        <v>4</v>
      </c>
      <c r="I530" s="86">
        <v>4</v>
      </c>
      <c r="J530" s="86">
        <v>4</v>
      </c>
      <c r="K530" s="86">
        <v>3</v>
      </c>
      <c r="L530" s="86">
        <f>SUM(Table3[[#This Row],[Strategic priority segment]:[Propensity to buy/ buyer readiness]])</f>
        <v>19</v>
      </c>
      <c r="M530" s="86" t="s">
        <v>59</v>
      </c>
      <c r="N530" s="84" t="s">
        <v>153</v>
      </c>
      <c r="O530" s="84" t="s">
        <v>85</v>
      </c>
      <c r="P530" s="87"/>
      <c r="Q530" s="87"/>
      <c r="R530" s="84"/>
      <c r="S530" s="84"/>
      <c r="T530" s="87"/>
      <c r="U530" s="84">
        <v>1</v>
      </c>
      <c r="V530" s="84">
        <v>0</v>
      </c>
      <c r="W530" s="84">
        <v>0</v>
      </c>
      <c r="X530" s="84">
        <v>0</v>
      </c>
      <c r="Y530" s="84">
        <v>1</v>
      </c>
      <c r="Z530" s="84">
        <v>0</v>
      </c>
      <c r="AA530" s="84">
        <v>0</v>
      </c>
      <c r="AB530" s="84">
        <v>0</v>
      </c>
      <c r="AC530" s="84">
        <v>0</v>
      </c>
      <c r="AD530" s="84">
        <v>0</v>
      </c>
      <c r="AE530" s="84">
        <v>0</v>
      </c>
      <c r="AF530" s="84">
        <v>0</v>
      </c>
      <c r="AG530" s="84">
        <v>0</v>
      </c>
      <c r="AH530" s="84">
        <v>0</v>
      </c>
      <c r="AI530" s="84">
        <v>0</v>
      </c>
      <c r="AJ530" s="84">
        <v>0</v>
      </c>
      <c r="AK530" s="84">
        <v>0</v>
      </c>
      <c r="AL530" s="84" cm="1">
        <f t="array" ref="AL5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0" s="84" cm="1">
        <f t="array" ref="AM5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0" s="84" cm="1">
        <f t="array" ref="AN5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0" s="84" cm="1">
        <f t="array" ref="AO5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0" s="84" cm="1">
        <f t="array" ref="AP5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530" s="84" cm="1">
        <f t="array" ref="AQ5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30" s="84" cm="1">
        <f t="array" ref="AR5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30" s="84" cm="1">
        <f t="array" ref="AS5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30" s="84" cm="1">
        <f t="array" ref="AT5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30" s="84" cm="1">
        <f t="array" ref="AU5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0" s="84" cm="1">
        <f t="array" ref="AV5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0" s="84" cm="1">
        <f t="array" ref="AW5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0" s="84" cm="1">
        <f t="array" ref="AX5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0" s="84" cm="1">
        <f t="array" ref="AY5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0" s="84" cm="1">
        <f t="array" ref="AZ5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0" s="84" cm="1">
        <f t="array" ref="BA5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0" s="84" cm="1">
        <f t="array" ref="BB5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0" s="84">
        <f>IF(SUM(Table3[[#This Row],[Column2]:[Column18]])&gt;Table3[[#This Row],[Column19]],Table3[[#This Row],[Column19]],SUM(Table3[[#This Row],[Column2]:[Column18]]))</f>
        <v>47700</v>
      </c>
      <c r="BD530" s="2">
        <f>Table3[[#This Row],[Total Spend]]/SUM(Table3[[#This Row],[Column2]:[Column18]])</f>
        <v>1</v>
      </c>
    </row>
    <row r="531" spans="1:56" ht="18.75" customHeight="1">
      <c r="A531" s="84" t="s">
        <v>605</v>
      </c>
      <c r="B531" s="84"/>
      <c r="C531" s="84"/>
      <c r="D531" s="85">
        <v>45566</v>
      </c>
      <c r="E531" s="85" t="s">
        <v>92</v>
      </c>
      <c r="F531" s="84">
        <f>INDEX(Definitions!$G$13:$G$17,MATCH(Table3[[#This Row],[Propensity to buy/ buyer readiness]],Definitions!$A$13:$A$17,0))</f>
        <v>50000</v>
      </c>
      <c r="G531" s="86">
        <v>5</v>
      </c>
      <c r="H531" s="86">
        <v>5</v>
      </c>
      <c r="I531" s="86">
        <v>2</v>
      </c>
      <c r="J531" s="86">
        <v>4</v>
      </c>
      <c r="K531" s="86">
        <v>3</v>
      </c>
      <c r="L531" s="86">
        <f>SUM(Table3[[#This Row],[Strategic priority segment]:[Propensity to buy/ buyer readiness]])</f>
        <v>19</v>
      </c>
      <c r="M531" s="86" t="s">
        <v>102</v>
      </c>
      <c r="N531" s="84" t="s">
        <v>61</v>
      </c>
      <c r="O531" s="84"/>
      <c r="P531" s="87"/>
      <c r="Q531" s="87"/>
      <c r="R531" s="84"/>
      <c r="S531" s="87"/>
      <c r="T531" s="87"/>
      <c r="U531" s="84">
        <v>1</v>
      </c>
      <c r="V531" s="84">
        <v>0</v>
      </c>
      <c r="W531" s="84">
        <v>0</v>
      </c>
      <c r="X531" s="84">
        <v>0</v>
      </c>
      <c r="Y531" s="84">
        <v>0</v>
      </c>
      <c r="Z531" s="84">
        <v>1</v>
      </c>
      <c r="AA531" s="84">
        <v>1</v>
      </c>
      <c r="AB531" s="84">
        <v>1</v>
      </c>
      <c r="AC531" s="84">
        <v>1</v>
      </c>
      <c r="AD531" s="84">
        <v>0</v>
      </c>
      <c r="AE531" s="84">
        <v>0</v>
      </c>
      <c r="AF531" s="84">
        <v>0</v>
      </c>
      <c r="AG531" s="84">
        <v>0</v>
      </c>
      <c r="AH531" s="84">
        <v>0</v>
      </c>
      <c r="AI531" s="84">
        <v>0</v>
      </c>
      <c r="AJ531" s="84">
        <v>0</v>
      </c>
      <c r="AK531" s="84">
        <v>0</v>
      </c>
      <c r="AL531" s="84" cm="1">
        <f t="array" ref="AL5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1" s="84" cm="1">
        <f t="array" ref="AM5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1" s="84" cm="1">
        <f t="array" ref="AN5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1" s="84" cm="1">
        <f t="array" ref="AO5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1" s="84" cm="1">
        <f t="array" ref="AP5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1" s="84" cm="1">
        <f t="array" ref="AQ5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1" s="84" cm="1">
        <f t="array" ref="AR5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1" s="84" cm="1">
        <f t="array" ref="AS5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1" s="84" cm="1">
        <f t="array" ref="AT5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1" s="84" cm="1">
        <f t="array" ref="AU5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1" s="84" cm="1">
        <f t="array" ref="AV5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1" s="84" cm="1">
        <f t="array" ref="AW5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1" s="84" cm="1">
        <f t="array" ref="AX5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1" s="84" cm="1">
        <f t="array" ref="AY5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1" s="84" cm="1">
        <f t="array" ref="AZ5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1" s="84" cm="1">
        <f t="array" ref="BA5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1" s="84" cm="1">
        <f t="array" ref="BB5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1" s="84">
        <f>IF(SUM(Table3[[#This Row],[Column2]:[Column18]])&gt;Table3[[#This Row],[Column19]],Table3[[#This Row],[Column19]],SUM(Table3[[#This Row],[Column2]:[Column18]]))</f>
        <v>50000</v>
      </c>
      <c r="BD531" s="2">
        <f>Table3[[#This Row],[Total Spend]]/SUM(Table3[[#This Row],[Column2]:[Column18]])</f>
        <v>0.49164208456243852</v>
      </c>
    </row>
    <row r="532" spans="1:56">
      <c r="A532" s="88" t="s">
        <v>606</v>
      </c>
      <c r="B532" s="88"/>
      <c r="C532" s="88"/>
      <c r="D532" s="85">
        <v>45566</v>
      </c>
      <c r="E532" s="85" t="s">
        <v>92</v>
      </c>
      <c r="F532" s="84">
        <f>INDEX(Definitions!$G$13:$G$17,MATCH(Table3[[#This Row],[Propensity to buy/ buyer readiness]],Definitions!$A$13:$A$17,0))</f>
        <v>50000</v>
      </c>
      <c r="G532" s="86">
        <v>5</v>
      </c>
      <c r="H532" s="86">
        <v>5</v>
      </c>
      <c r="I532" s="86">
        <v>2</v>
      </c>
      <c r="J532" s="86">
        <v>4</v>
      </c>
      <c r="K532" s="86">
        <v>3</v>
      </c>
      <c r="L532" s="86">
        <f>SUM(Table3[[#This Row],[Strategic priority segment]:[Propensity to buy/ buyer readiness]])</f>
        <v>19</v>
      </c>
      <c r="M532" s="86" t="s">
        <v>102</v>
      </c>
      <c r="N532" s="84" t="s">
        <v>61</v>
      </c>
      <c r="O532" s="84"/>
      <c r="P532" s="87"/>
      <c r="Q532" s="87"/>
      <c r="R532" s="84"/>
      <c r="S532" s="87"/>
      <c r="T532" s="87"/>
      <c r="U532" s="84">
        <v>1</v>
      </c>
      <c r="V532" s="84">
        <v>0</v>
      </c>
      <c r="W532" s="84">
        <v>0</v>
      </c>
      <c r="X532" s="84">
        <v>0</v>
      </c>
      <c r="Y532" s="84">
        <v>0</v>
      </c>
      <c r="Z532" s="84">
        <v>1</v>
      </c>
      <c r="AA532" s="84">
        <v>1</v>
      </c>
      <c r="AB532" s="84">
        <v>1</v>
      </c>
      <c r="AC532" s="84">
        <v>1</v>
      </c>
      <c r="AD532" s="84">
        <v>0</v>
      </c>
      <c r="AE532" s="84">
        <v>0</v>
      </c>
      <c r="AF532" s="84">
        <v>0</v>
      </c>
      <c r="AG532" s="84">
        <v>0</v>
      </c>
      <c r="AH532" s="84">
        <v>0</v>
      </c>
      <c r="AI532" s="84">
        <v>0</v>
      </c>
      <c r="AJ532" s="84">
        <v>0</v>
      </c>
      <c r="AK532" s="84">
        <v>0</v>
      </c>
      <c r="AL532" s="84" cm="1">
        <f t="array" ref="AL5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2" s="84" cm="1">
        <f t="array" ref="AM5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2" s="84" cm="1">
        <f t="array" ref="AN5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2" s="84" cm="1">
        <f t="array" ref="AO5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2" s="84" cm="1">
        <f t="array" ref="AP5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2" s="84" cm="1">
        <f t="array" ref="AQ5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2" s="84" cm="1">
        <f t="array" ref="AR5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2" s="84" cm="1">
        <f t="array" ref="AS5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2" s="84" cm="1">
        <f t="array" ref="AT5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2" s="84" cm="1">
        <f t="array" ref="AU5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2" s="84" cm="1">
        <f t="array" ref="AV5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2" s="84" cm="1">
        <f t="array" ref="AW5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2" s="84" cm="1">
        <f t="array" ref="AX5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2" s="84" cm="1">
        <f t="array" ref="AY5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2" s="84" cm="1">
        <f t="array" ref="AZ5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2" s="84" cm="1">
        <f t="array" ref="BA5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2" s="84" cm="1">
        <f t="array" ref="BB5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2" s="84">
        <f>IF(SUM(Table3[[#This Row],[Column2]:[Column18]])&gt;Table3[[#This Row],[Column19]],Table3[[#This Row],[Column19]],SUM(Table3[[#This Row],[Column2]:[Column18]]))</f>
        <v>50000</v>
      </c>
      <c r="BD532" s="2">
        <f>Table3[[#This Row],[Total Spend]]/SUM(Table3[[#This Row],[Column2]:[Column18]])</f>
        <v>0.49164208456243852</v>
      </c>
    </row>
    <row r="533" spans="1:56">
      <c r="A533" s="88" t="s">
        <v>607</v>
      </c>
      <c r="B533" s="88"/>
      <c r="C533" s="88"/>
      <c r="D533" s="85">
        <v>45566</v>
      </c>
      <c r="E533" s="85" t="s">
        <v>92</v>
      </c>
      <c r="F533" s="84">
        <f>INDEX(Definitions!$G$13:$G$17,MATCH(Table3[[#This Row],[Propensity to buy/ buyer readiness]],Definitions!$A$13:$A$17,0))</f>
        <v>50000</v>
      </c>
      <c r="G533" s="86">
        <v>5</v>
      </c>
      <c r="H533" s="86">
        <v>5</v>
      </c>
      <c r="I533" s="86">
        <v>2</v>
      </c>
      <c r="J533" s="86">
        <v>4</v>
      </c>
      <c r="K533" s="86">
        <v>3</v>
      </c>
      <c r="L533" s="86">
        <f>SUM(Table3[[#This Row],[Strategic priority segment]:[Propensity to buy/ buyer readiness]])</f>
        <v>19</v>
      </c>
      <c r="M533" s="86" t="s">
        <v>102</v>
      </c>
      <c r="N533" s="84" t="s">
        <v>61</v>
      </c>
      <c r="O533" s="84"/>
      <c r="P533" s="87"/>
      <c r="Q533" s="87"/>
      <c r="R533" s="84"/>
      <c r="S533" s="87"/>
      <c r="T533" s="84"/>
      <c r="U533" s="84">
        <v>1</v>
      </c>
      <c r="V533" s="84">
        <v>0</v>
      </c>
      <c r="W533" s="84">
        <v>0</v>
      </c>
      <c r="X533" s="84">
        <v>0</v>
      </c>
      <c r="Y533" s="84">
        <v>0</v>
      </c>
      <c r="Z533" s="84">
        <v>1</v>
      </c>
      <c r="AA533" s="84">
        <v>1</v>
      </c>
      <c r="AB533" s="84">
        <v>1</v>
      </c>
      <c r="AC533" s="84">
        <v>1</v>
      </c>
      <c r="AD533" s="84">
        <v>0</v>
      </c>
      <c r="AE533" s="84">
        <v>0</v>
      </c>
      <c r="AF533" s="84">
        <v>0</v>
      </c>
      <c r="AG533" s="84">
        <v>0</v>
      </c>
      <c r="AH533" s="84">
        <v>0</v>
      </c>
      <c r="AI533" s="84">
        <v>0</v>
      </c>
      <c r="AJ533" s="84">
        <v>0</v>
      </c>
      <c r="AK533" s="84">
        <v>0</v>
      </c>
      <c r="AL533" s="84" cm="1">
        <f t="array" ref="AL5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3" s="84" cm="1">
        <f t="array" ref="AM5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3" s="84" cm="1">
        <f t="array" ref="AN5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3" s="84" cm="1">
        <f t="array" ref="AO5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3" s="84" cm="1">
        <f t="array" ref="AP5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3" s="84" cm="1">
        <f t="array" ref="AQ5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3" s="84" cm="1">
        <f t="array" ref="AR5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3" s="84" cm="1">
        <f t="array" ref="AS5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3" s="84" cm="1">
        <f t="array" ref="AT5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3" s="84" cm="1">
        <f t="array" ref="AU5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3" s="84" cm="1">
        <f t="array" ref="AV5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3" s="84" cm="1">
        <f t="array" ref="AW5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3" s="84" cm="1">
        <f t="array" ref="AX5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3" s="84" cm="1">
        <f t="array" ref="AY5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3" s="84" cm="1">
        <f t="array" ref="AZ5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3" s="84" cm="1">
        <f t="array" ref="BA5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3" s="84" cm="1">
        <f t="array" ref="BB5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3" s="84">
        <f>IF(SUM(Table3[[#This Row],[Column2]:[Column18]])&gt;Table3[[#This Row],[Column19]],Table3[[#This Row],[Column19]],SUM(Table3[[#This Row],[Column2]:[Column18]]))</f>
        <v>50000</v>
      </c>
      <c r="BD533" s="2">
        <f>Table3[[#This Row],[Total Spend]]/SUM(Table3[[#This Row],[Column2]:[Column18]])</f>
        <v>0.49164208456243852</v>
      </c>
    </row>
    <row r="534" spans="1:56">
      <c r="A534" s="84" t="s">
        <v>608</v>
      </c>
      <c r="B534" s="84"/>
      <c r="C534" s="84"/>
      <c r="D534" s="85">
        <v>45566</v>
      </c>
      <c r="E534" s="85" t="s">
        <v>92</v>
      </c>
      <c r="F534" s="84">
        <f>INDEX(Definitions!$G$13:$G$17,MATCH(Table3[[#This Row],[Propensity to buy/ buyer readiness]],Definitions!$A$13:$A$17,0))</f>
        <v>50000</v>
      </c>
      <c r="G534" s="86">
        <v>5</v>
      </c>
      <c r="H534" s="86">
        <v>5</v>
      </c>
      <c r="I534" s="86">
        <v>2</v>
      </c>
      <c r="J534" s="86">
        <v>4</v>
      </c>
      <c r="K534" s="86">
        <v>3</v>
      </c>
      <c r="L534" s="86">
        <f>SUM(Table3[[#This Row],[Strategic priority segment]:[Propensity to buy/ buyer readiness]])</f>
        <v>19</v>
      </c>
      <c r="M534" s="86" t="s">
        <v>102</v>
      </c>
      <c r="N534" s="84" t="s">
        <v>61</v>
      </c>
      <c r="O534" s="87" t="s">
        <v>135</v>
      </c>
      <c r="P534" s="87"/>
      <c r="Q534" s="87"/>
      <c r="R534" s="87"/>
      <c r="S534" s="87"/>
      <c r="T534" s="87"/>
      <c r="U534" s="84">
        <v>1</v>
      </c>
      <c r="V534" s="84">
        <v>0</v>
      </c>
      <c r="W534" s="84">
        <v>0</v>
      </c>
      <c r="X534" s="84">
        <v>0</v>
      </c>
      <c r="Y534" s="84">
        <v>0</v>
      </c>
      <c r="Z534" s="84">
        <v>1</v>
      </c>
      <c r="AA534" s="84">
        <v>1</v>
      </c>
      <c r="AB534" s="84">
        <v>1</v>
      </c>
      <c r="AC534" s="84">
        <v>1</v>
      </c>
      <c r="AD534" s="84">
        <v>0</v>
      </c>
      <c r="AE534" s="84">
        <v>0</v>
      </c>
      <c r="AF534" s="84">
        <v>0</v>
      </c>
      <c r="AG534" s="84">
        <v>0</v>
      </c>
      <c r="AH534" s="84">
        <v>1</v>
      </c>
      <c r="AI534" s="84">
        <v>1</v>
      </c>
      <c r="AJ534" s="84">
        <v>1</v>
      </c>
      <c r="AK534" s="84">
        <v>1</v>
      </c>
      <c r="AL534" s="84" cm="1">
        <f t="array" ref="AL5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4" s="84" cm="1">
        <f t="array" ref="AM5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4" s="84" cm="1">
        <f t="array" ref="AN5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4" s="84" cm="1">
        <f t="array" ref="AO5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4" s="84" cm="1">
        <f t="array" ref="AP5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4" s="84" cm="1">
        <f t="array" ref="AQ5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4" s="84" cm="1">
        <f t="array" ref="AR5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4" s="84" cm="1">
        <f t="array" ref="AS5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4" s="84" cm="1">
        <f t="array" ref="AT5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4" s="84" cm="1">
        <f t="array" ref="AU5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4" s="84" cm="1">
        <f t="array" ref="AV5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4" s="84" cm="1">
        <f t="array" ref="AW5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4" s="84" cm="1">
        <f t="array" ref="AX5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4" s="84" cm="1">
        <f t="array" ref="AY5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534" s="84" cm="1">
        <f t="array" ref="AZ5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534" s="84" cm="1">
        <f t="array" ref="BA5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534" s="84" cm="1">
        <f t="array" ref="BB5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534" s="84">
        <f>IF(SUM(Table3[[#This Row],[Column2]:[Column18]])&gt;Table3[[#This Row],[Column19]],Table3[[#This Row],[Column19]],SUM(Table3[[#This Row],[Column2]:[Column18]]))</f>
        <v>50000</v>
      </c>
      <c r="BD534" s="2">
        <f>Table3[[#This Row],[Total Spend]]/SUM(Table3[[#This Row],[Column2]:[Column18]])</f>
        <v>0.33772374197906113</v>
      </c>
    </row>
    <row r="535" spans="1:56">
      <c r="A535" s="84" t="s">
        <v>609</v>
      </c>
      <c r="B535" s="84"/>
      <c r="C535" s="84"/>
      <c r="D535" s="85">
        <v>45566</v>
      </c>
      <c r="E535" s="85" t="s">
        <v>92</v>
      </c>
      <c r="F535" s="84">
        <f>INDEX(Definitions!$G$13:$G$17,MATCH(Table3[[#This Row],[Propensity to buy/ buyer readiness]],Definitions!$A$13:$A$17,0))</f>
        <v>50000</v>
      </c>
      <c r="G535" s="86">
        <v>5</v>
      </c>
      <c r="H535" s="86">
        <v>5</v>
      </c>
      <c r="I535" s="86">
        <v>2</v>
      </c>
      <c r="J535" s="86">
        <v>4</v>
      </c>
      <c r="K535" s="86">
        <v>3</v>
      </c>
      <c r="L535" s="86">
        <f>SUM(Table3[[#This Row],[Strategic priority segment]:[Propensity to buy/ buyer readiness]])</f>
        <v>19</v>
      </c>
      <c r="M535" s="86" t="s">
        <v>102</v>
      </c>
      <c r="N535" s="84" t="s">
        <v>61</v>
      </c>
      <c r="O535" s="84"/>
      <c r="P535" s="87"/>
      <c r="Q535" s="87"/>
      <c r="R535" s="84"/>
      <c r="S535" s="87"/>
      <c r="T535" s="87"/>
      <c r="U535" s="84">
        <v>1</v>
      </c>
      <c r="V535" s="84">
        <v>0</v>
      </c>
      <c r="W535" s="84">
        <v>0</v>
      </c>
      <c r="X535" s="84">
        <v>0</v>
      </c>
      <c r="Y535" s="84">
        <v>0</v>
      </c>
      <c r="Z535" s="84">
        <v>1</v>
      </c>
      <c r="AA535" s="84">
        <v>1</v>
      </c>
      <c r="AB535" s="84">
        <v>1</v>
      </c>
      <c r="AC535" s="84">
        <v>1</v>
      </c>
      <c r="AD535" s="84">
        <v>0</v>
      </c>
      <c r="AE535" s="84">
        <v>0</v>
      </c>
      <c r="AF535" s="84">
        <v>0</v>
      </c>
      <c r="AG535" s="84">
        <v>0</v>
      </c>
      <c r="AH535" s="84">
        <v>0</v>
      </c>
      <c r="AI535" s="84">
        <v>0</v>
      </c>
      <c r="AJ535" s="84">
        <v>0</v>
      </c>
      <c r="AK535" s="84">
        <v>0</v>
      </c>
      <c r="AL535" s="84" cm="1">
        <f t="array" ref="AL5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5" s="84" cm="1">
        <f t="array" ref="AM5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5" s="84" cm="1">
        <f t="array" ref="AN5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5" s="84" cm="1">
        <f t="array" ref="AO5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5" s="84" cm="1">
        <f t="array" ref="AP5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5" s="84" cm="1">
        <f t="array" ref="AQ5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5" s="84" cm="1">
        <f t="array" ref="AR5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5" s="84" cm="1">
        <f t="array" ref="AS5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5" s="84" cm="1">
        <f t="array" ref="AT5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5" s="84" cm="1">
        <f t="array" ref="AU5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5" s="84" cm="1">
        <f t="array" ref="AV5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5" s="84" cm="1">
        <f t="array" ref="AW5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5" s="84" cm="1">
        <f t="array" ref="AX5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5" s="84" cm="1">
        <f t="array" ref="AY5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5" s="84" cm="1">
        <f t="array" ref="AZ5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5" s="84" cm="1">
        <f t="array" ref="BA5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5" s="84" cm="1">
        <f t="array" ref="BB5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5" s="84">
        <f>IF(SUM(Table3[[#This Row],[Column2]:[Column18]])&gt;Table3[[#This Row],[Column19]],Table3[[#This Row],[Column19]],SUM(Table3[[#This Row],[Column2]:[Column18]]))</f>
        <v>50000</v>
      </c>
      <c r="BD535" s="2">
        <f>Table3[[#This Row],[Total Spend]]/SUM(Table3[[#This Row],[Column2]:[Column18]])</f>
        <v>0.49164208456243852</v>
      </c>
    </row>
    <row r="536" spans="1:56">
      <c r="A536" s="84" t="s">
        <v>610</v>
      </c>
      <c r="B536" s="84"/>
      <c r="C536" s="84"/>
      <c r="D536" s="85">
        <v>45566</v>
      </c>
      <c r="E536" s="85" t="s">
        <v>92</v>
      </c>
      <c r="F536" s="84">
        <f>INDEX(Definitions!$G$13:$G$17,MATCH(Table3[[#This Row],[Propensity to buy/ buyer readiness]],Definitions!$A$13:$A$17,0))</f>
        <v>50000</v>
      </c>
      <c r="G536" s="86">
        <v>5</v>
      </c>
      <c r="H536" s="86">
        <v>5</v>
      </c>
      <c r="I536" s="86">
        <v>2</v>
      </c>
      <c r="J536" s="86">
        <v>4</v>
      </c>
      <c r="K536" s="86">
        <v>3</v>
      </c>
      <c r="L536" s="86">
        <f>SUM(Table3[[#This Row],[Strategic priority segment]:[Propensity to buy/ buyer readiness]])</f>
        <v>19</v>
      </c>
      <c r="M536" s="86" t="s">
        <v>102</v>
      </c>
      <c r="N536" s="84" t="s">
        <v>61</v>
      </c>
      <c r="O536" s="84"/>
      <c r="P536" s="87"/>
      <c r="Q536" s="87"/>
      <c r="R536" s="84"/>
      <c r="S536" s="87"/>
      <c r="T536" s="87"/>
      <c r="U536" s="84">
        <v>1</v>
      </c>
      <c r="V536" s="84">
        <v>0</v>
      </c>
      <c r="W536" s="84">
        <v>0</v>
      </c>
      <c r="X536" s="84">
        <v>0</v>
      </c>
      <c r="Y536" s="84">
        <v>0</v>
      </c>
      <c r="Z536" s="84">
        <v>1</v>
      </c>
      <c r="AA536" s="84">
        <v>1</v>
      </c>
      <c r="AB536" s="84">
        <v>1</v>
      </c>
      <c r="AC536" s="84">
        <v>1</v>
      </c>
      <c r="AD536" s="84">
        <v>0</v>
      </c>
      <c r="AE536" s="84">
        <v>0</v>
      </c>
      <c r="AF536" s="84">
        <v>0</v>
      </c>
      <c r="AG536" s="84">
        <v>0</v>
      </c>
      <c r="AH536" s="84">
        <v>0</v>
      </c>
      <c r="AI536" s="84">
        <v>0</v>
      </c>
      <c r="AJ536" s="84">
        <v>0</v>
      </c>
      <c r="AK536" s="84">
        <v>0</v>
      </c>
      <c r="AL536" s="84" cm="1">
        <f t="array" ref="AL5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6" s="84" cm="1">
        <f t="array" ref="AM5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6" s="84" cm="1">
        <f t="array" ref="AN5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6" s="84" cm="1">
        <f t="array" ref="AO5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6" s="84" cm="1">
        <f t="array" ref="AP5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6" s="84" cm="1">
        <f t="array" ref="AQ5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6" s="84" cm="1">
        <f t="array" ref="AR5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6" s="84" cm="1">
        <f t="array" ref="AS5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6" s="84" cm="1">
        <f t="array" ref="AT5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6" s="84" cm="1">
        <f t="array" ref="AU5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6" s="84" cm="1">
        <f t="array" ref="AV5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6" s="84" cm="1">
        <f t="array" ref="AW5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6" s="84" cm="1">
        <f t="array" ref="AX5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6" s="84" cm="1">
        <f t="array" ref="AY5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6" s="84" cm="1">
        <f t="array" ref="AZ5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6" s="84" cm="1">
        <f t="array" ref="BA5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6" s="84" cm="1">
        <f t="array" ref="BB5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6" s="84">
        <f>IF(SUM(Table3[[#This Row],[Column2]:[Column18]])&gt;Table3[[#This Row],[Column19]],Table3[[#This Row],[Column19]],SUM(Table3[[#This Row],[Column2]:[Column18]]))</f>
        <v>50000</v>
      </c>
      <c r="BD536" s="2">
        <f>Table3[[#This Row],[Total Spend]]/SUM(Table3[[#This Row],[Column2]:[Column18]])</f>
        <v>0.49164208456243852</v>
      </c>
    </row>
    <row r="537" spans="1:56">
      <c r="A537" s="84" t="s">
        <v>611</v>
      </c>
      <c r="B537" s="84"/>
      <c r="C537" s="84"/>
      <c r="D537" s="85">
        <v>45566</v>
      </c>
      <c r="E537" s="85" t="s">
        <v>92</v>
      </c>
      <c r="F537" s="84">
        <f>INDEX(Definitions!$G$13:$G$17,MATCH(Table3[[#This Row],[Propensity to buy/ buyer readiness]],Definitions!$A$13:$A$17,0))</f>
        <v>50000</v>
      </c>
      <c r="G537" s="86">
        <v>5</v>
      </c>
      <c r="H537" s="86">
        <v>5</v>
      </c>
      <c r="I537" s="86">
        <v>2</v>
      </c>
      <c r="J537" s="86">
        <v>4</v>
      </c>
      <c r="K537" s="86">
        <v>3</v>
      </c>
      <c r="L537" s="86">
        <f>SUM(Table3[[#This Row],[Strategic priority segment]:[Propensity to buy/ buyer readiness]])</f>
        <v>19</v>
      </c>
      <c r="M537" s="86" t="s">
        <v>102</v>
      </c>
      <c r="N537" s="84" t="s">
        <v>61</v>
      </c>
      <c r="O537" s="84"/>
      <c r="P537" s="87"/>
      <c r="Q537" s="87"/>
      <c r="R537" s="84"/>
      <c r="S537" s="87"/>
      <c r="T537" s="87"/>
      <c r="U537" s="84">
        <v>1</v>
      </c>
      <c r="V537" s="84">
        <v>0</v>
      </c>
      <c r="W537" s="84">
        <v>0</v>
      </c>
      <c r="X537" s="84">
        <v>0</v>
      </c>
      <c r="Y537" s="84">
        <v>0</v>
      </c>
      <c r="Z537" s="84">
        <v>1</v>
      </c>
      <c r="AA537" s="84">
        <v>1</v>
      </c>
      <c r="AB537" s="84">
        <v>1</v>
      </c>
      <c r="AC537" s="84">
        <v>1</v>
      </c>
      <c r="AD537" s="84">
        <v>0</v>
      </c>
      <c r="AE537" s="84">
        <v>0</v>
      </c>
      <c r="AF537" s="84">
        <v>0</v>
      </c>
      <c r="AG537" s="84">
        <v>0</v>
      </c>
      <c r="AH537" s="84">
        <v>0</v>
      </c>
      <c r="AI537" s="84">
        <v>0</v>
      </c>
      <c r="AJ537" s="84">
        <v>0</v>
      </c>
      <c r="AK537" s="84">
        <v>0</v>
      </c>
      <c r="AL537" s="84" cm="1">
        <f t="array" ref="AL5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7" s="84" cm="1">
        <f t="array" ref="AM5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7" s="84" cm="1">
        <f t="array" ref="AN5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7" s="84" cm="1">
        <f t="array" ref="AO5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7" s="84" cm="1">
        <f t="array" ref="AP5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7" s="84" cm="1">
        <f t="array" ref="AQ5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7" s="84" cm="1">
        <f t="array" ref="AR5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7" s="84" cm="1">
        <f t="array" ref="AS5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7" s="84" cm="1">
        <f t="array" ref="AT5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7" s="84" cm="1">
        <f t="array" ref="AU5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7" s="84" cm="1">
        <f t="array" ref="AV5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7" s="84" cm="1">
        <f t="array" ref="AW5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7" s="84" cm="1">
        <f t="array" ref="AX5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7" s="84" cm="1">
        <f t="array" ref="AY5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7" s="84" cm="1">
        <f t="array" ref="AZ5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7" s="84" cm="1">
        <f t="array" ref="BA5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7" s="84" cm="1">
        <f t="array" ref="BB5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7" s="84">
        <f>IF(SUM(Table3[[#This Row],[Column2]:[Column18]])&gt;Table3[[#This Row],[Column19]],Table3[[#This Row],[Column19]],SUM(Table3[[#This Row],[Column2]:[Column18]]))</f>
        <v>50000</v>
      </c>
      <c r="BD537" s="2">
        <f>Table3[[#This Row],[Total Spend]]/SUM(Table3[[#This Row],[Column2]:[Column18]])</f>
        <v>0.49164208456243852</v>
      </c>
    </row>
    <row r="538" spans="1:56" ht="28.5">
      <c r="A538" s="87" t="s">
        <v>612</v>
      </c>
      <c r="B538" s="87"/>
      <c r="C538" s="87" t="s">
        <v>57</v>
      </c>
      <c r="D538" s="85">
        <v>45566</v>
      </c>
      <c r="E538" s="85" t="s">
        <v>58</v>
      </c>
      <c r="F538" s="84">
        <f>INDEX(Definitions!$G$13:$G$17,MATCH(Table3[[#This Row],[Propensity to buy/ buyer readiness]],Definitions!$A$13:$A$17,0))</f>
        <v>50000</v>
      </c>
      <c r="G538" s="86">
        <v>5</v>
      </c>
      <c r="H538" s="86">
        <v>4</v>
      </c>
      <c r="I538" s="86">
        <v>3</v>
      </c>
      <c r="J538" s="86">
        <v>4</v>
      </c>
      <c r="K538" s="86">
        <v>3</v>
      </c>
      <c r="L538" s="86">
        <f>SUM(Table3[[#This Row],[Strategic priority segment]:[Propensity to buy/ buyer readiness]])</f>
        <v>19</v>
      </c>
      <c r="M538" s="86" t="s">
        <v>191</v>
      </c>
      <c r="N538" s="84" t="s">
        <v>135</v>
      </c>
      <c r="O538" s="87" t="s">
        <v>61</v>
      </c>
      <c r="P538" s="87"/>
      <c r="Q538" s="87"/>
      <c r="R538" s="84"/>
      <c r="S538" s="87"/>
      <c r="T538" s="87"/>
      <c r="U538" s="84">
        <v>1</v>
      </c>
      <c r="V538" s="84">
        <v>0</v>
      </c>
      <c r="W538" s="84">
        <v>0</v>
      </c>
      <c r="X538" s="84">
        <v>0</v>
      </c>
      <c r="Y538" s="84">
        <v>0</v>
      </c>
      <c r="Z538" s="84">
        <v>1</v>
      </c>
      <c r="AA538" s="84">
        <v>1</v>
      </c>
      <c r="AB538" s="84">
        <v>1</v>
      </c>
      <c r="AC538" s="84">
        <v>1</v>
      </c>
      <c r="AD538" s="84">
        <v>0</v>
      </c>
      <c r="AE538" s="84">
        <v>0</v>
      </c>
      <c r="AF538" s="84">
        <v>0</v>
      </c>
      <c r="AG538" s="84">
        <v>0</v>
      </c>
      <c r="AH538" s="84">
        <v>1</v>
      </c>
      <c r="AI538" s="84">
        <v>1</v>
      </c>
      <c r="AJ538" s="84">
        <v>1</v>
      </c>
      <c r="AK538" s="84">
        <v>1</v>
      </c>
      <c r="AL538" s="84" cm="1">
        <f t="array" ref="AL5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38" s="84" cm="1">
        <f t="array" ref="AM5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8" s="84" cm="1">
        <f t="array" ref="AN5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8" s="84" cm="1">
        <f t="array" ref="AO5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8" s="84" cm="1">
        <f t="array" ref="AP5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8" s="84" cm="1">
        <f t="array" ref="AQ5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38" s="84" cm="1">
        <f t="array" ref="AR5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38" s="84" cm="1">
        <f t="array" ref="AS5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38" s="84" cm="1">
        <f t="array" ref="AT5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38" s="84" cm="1">
        <f t="array" ref="AU5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38" s="84" cm="1">
        <f t="array" ref="AV5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38" s="84" cm="1">
        <f t="array" ref="AW5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38" s="84" cm="1">
        <f t="array" ref="AX5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38" s="84" cm="1">
        <f t="array" ref="AY5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38" s="84" cm="1">
        <f t="array" ref="AZ5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38" s="84" cm="1">
        <f t="array" ref="BA5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38" s="84" cm="1">
        <f t="array" ref="BB5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38" s="84">
        <f>IF(SUM(Table3[[#This Row],[Column2]:[Column18]])&gt;Table3[[#This Row],[Column19]],Table3[[#This Row],[Column19]],SUM(Table3[[#This Row],[Column2]:[Column18]]))</f>
        <v>50000</v>
      </c>
      <c r="BD538" s="2">
        <f>Table3[[#This Row],[Total Spend]]/SUM(Table3[[#This Row],[Column2]:[Column18]])</f>
        <v>0.24420024420024419</v>
      </c>
    </row>
    <row r="539" spans="1:56">
      <c r="A539" s="88" t="s">
        <v>613</v>
      </c>
      <c r="B539" s="88"/>
      <c r="C539" s="88"/>
      <c r="D539" s="85">
        <v>45566</v>
      </c>
      <c r="E539" s="85" t="s">
        <v>92</v>
      </c>
      <c r="F539" s="84">
        <f>INDEX(Definitions!$G$13:$G$17,MATCH(Table3[[#This Row],[Propensity to buy/ buyer readiness]],Definitions!$A$13:$A$17,0))</f>
        <v>50000</v>
      </c>
      <c r="G539" s="86">
        <v>5</v>
      </c>
      <c r="H539" s="86">
        <v>5</v>
      </c>
      <c r="I539" s="86">
        <v>2</v>
      </c>
      <c r="J539" s="86">
        <v>4</v>
      </c>
      <c r="K539" s="86">
        <v>3</v>
      </c>
      <c r="L539" s="86">
        <f>SUM(Table3[[#This Row],[Strategic priority segment]:[Propensity to buy/ buyer readiness]])</f>
        <v>19</v>
      </c>
      <c r="M539" s="86" t="s">
        <v>102</v>
      </c>
      <c r="N539" s="84" t="s">
        <v>61</v>
      </c>
      <c r="O539" s="84" t="s">
        <v>62</v>
      </c>
      <c r="P539" s="87"/>
      <c r="Q539" s="87"/>
      <c r="R539" s="84"/>
      <c r="S539" s="87"/>
      <c r="T539" s="84"/>
      <c r="U539" s="84">
        <v>1</v>
      </c>
      <c r="V539" s="84">
        <v>0</v>
      </c>
      <c r="W539" s="84">
        <v>0</v>
      </c>
      <c r="X539" s="84">
        <v>0</v>
      </c>
      <c r="Y539" s="84">
        <v>0</v>
      </c>
      <c r="Z539" s="84">
        <v>1</v>
      </c>
      <c r="AA539" s="84">
        <v>1</v>
      </c>
      <c r="AB539" s="84">
        <v>1</v>
      </c>
      <c r="AC539" s="84">
        <v>1</v>
      </c>
      <c r="AD539" s="84">
        <v>1</v>
      </c>
      <c r="AE539" s="84">
        <v>1</v>
      </c>
      <c r="AF539" s="84">
        <v>1</v>
      </c>
      <c r="AG539" s="84">
        <v>1</v>
      </c>
      <c r="AH539" s="84">
        <v>0</v>
      </c>
      <c r="AI539" s="84">
        <v>0</v>
      </c>
      <c r="AJ539" s="84">
        <v>0</v>
      </c>
      <c r="AK539" s="84">
        <v>0</v>
      </c>
      <c r="AL539" s="84" cm="1">
        <f t="array" ref="AL5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39" s="84" cm="1">
        <f t="array" ref="AM5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39" s="84" cm="1">
        <f t="array" ref="AN5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39" s="84" cm="1">
        <f t="array" ref="AO5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39" s="84" cm="1">
        <f t="array" ref="AP5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39" s="84" cm="1">
        <f t="array" ref="AQ5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39" s="84" cm="1">
        <f t="array" ref="AR5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39" s="84" cm="1">
        <f t="array" ref="AS5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39" s="84" cm="1">
        <f t="array" ref="AT5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39" s="84" cm="1">
        <f t="array" ref="AU5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39" s="84" cm="1">
        <f t="array" ref="AV5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39" s="84" cm="1">
        <f t="array" ref="AW5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39" s="84" cm="1">
        <f t="array" ref="AX5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39" s="84" cm="1">
        <f t="array" ref="AY5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39" s="84" cm="1">
        <f t="array" ref="AZ5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39" s="84" cm="1">
        <f t="array" ref="BA5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39" s="84" cm="1">
        <f t="array" ref="BB5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39" s="84">
        <f>IF(SUM(Table3[[#This Row],[Column2]:[Column18]])&gt;Table3[[#This Row],[Column19]],Table3[[#This Row],[Column19]],SUM(Table3[[#This Row],[Column2]:[Column18]]))</f>
        <v>50000</v>
      </c>
      <c r="BD539" s="2">
        <f>Table3[[#This Row],[Total Spend]]/SUM(Table3[[#This Row],[Column2]:[Column18]])</f>
        <v>0.2664535038635758</v>
      </c>
    </row>
    <row r="540" spans="1:56">
      <c r="A540" s="84" t="s">
        <v>614</v>
      </c>
      <c r="B540" s="84"/>
      <c r="C540" s="84"/>
      <c r="D540" s="85">
        <v>45566</v>
      </c>
      <c r="E540" s="85" t="s">
        <v>92</v>
      </c>
      <c r="F540" s="84">
        <f>INDEX(Definitions!$G$13:$G$17,MATCH(Table3[[#This Row],[Propensity to buy/ buyer readiness]],Definitions!$A$13:$A$17,0))</f>
        <v>50000</v>
      </c>
      <c r="G540" s="86">
        <v>5</v>
      </c>
      <c r="H540" s="86">
        <v>5</v>
      </c>
      <c r="I540" s="86">
        <v>2</v>
      </c>
      <c r="J540" s="86">
        <v>4</v>
      </c>
      <c r="K540" s="86">
        <v>3</v>
      </c>
      <c r="L540" s="86">
        <f>SUM(Table3[[#This Row],[Strategic priority segment]:[Propensity to buy/ buyer readiness]])</f>
        <v>19</v>
      </c>
      <c r="M540" s="86" t="s">
        <v>102</v>
      </c>
      <c r="N540" s="84" t="s">
        <v>61</v>
      </c>
      <c r="O540" s="84"/>
      <c r="P540" s="87"/>
      <c r="Q540" s="87"/>
      <c r="R540" s="84"/>
      <c r="S540" s="87"/>
      <c r="T540" s="87"/>
      <c r="U540" s="84">
        <v>1</v>
      </c>
      <c r="V540" s="84">
        <v>0</v>
      </c>
      <c r="W540" s="84">
        <v>0</v>
      </c>
      <c r="X540" s="84">
        <v>0</v>
      </c>
      <c r="Y540" s="84">
        <v>0</v>
      </c>
      <c r="Z540" s="84">
        <v>1</v>
      </c>
      <c r="AA540" s="84">
        <v>1</v>
      </c>
      <c r="AB540" s="84">
        <v>1</v>
      </c>
      <c r="AC540" s="84">
        <v>1</v>
      </c>
      <c r="AD540" s="84">
        <v>0</v>
      </c>
      <c r="AE540" s="84">
        <v>0</v>
      </c>
      <c r="AF540" s="84">
        <v>0</v>
      </c>
      <c r="AG540" s="84">
        <v>0</v>
      </c>
      <c r="AH540" s="84">
        <v>0</v>
      </c>
      <c r="AI540" s="84">
        <v>0</v>
      </c>
      <c r="AJ540" s="84">
        <v>0</v>
      </c>
      <c r="AK540" s="84">
        <v>0</v>
      </c>
      <c r="AL540" s="84" cm="1">
        <f t="array" ref="AL5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0" s="84" cm="1">
        <f t="array" ref="AM5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0" s="84" cm="1">
        <f t="array" ref="AN5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0" s="84" cm="1">
        <f t="array" ref="AO5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0" s="84" cm="1">
        <f t="array" ref="AP5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0" s="84" cm="1">
        <f t="array" ref="AQ5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0" s="84" cm="1">
        <f t="array" ref="AR5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0" s="84" cm="1">
        <f t="array" ref="AS5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0" s="84" cm="1">
        <f t="array" ref="AT5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0" s="84" cm="1">
        <f t="array" ref="AU5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0" s="84" cm="1">
        <f t="array" ref="AV5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0" s="84" cm="1">
        <f t="array" ref="AW5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0" s="84" cm="1">
        <f t="array" ref="AX5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0" s="84" cm="1">
        <f t="array" ref="AY5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0" s="84" cm="1">
        <f t="array" ref="AZ5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0" s="84" cm="1">
        <f t="array" ref="BA5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0" s="84" cm="1">
        <f t="array" ref="BB5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0" s="84">
        <f>IF(SUM(Table3[[#This Row],[Column2]:[Column18]])&gt;Table3[[#This Row],[Column19]],Table3[[#This Row],[Column19]],SUM(Table3[[#This Row],[Column2]:[Column18]]))</f>
        <v>50000</v>
      </c>
      <c r="BD540" s="2">
        <f>Table3[[#This Row],[Total Spend]]/SUM(Table3[[#This Row],[Column2]:[Column18]])</f>
        <v>0.49164208456243852</v>
      </c>
    </row>
    <row r="541" spans="1:56">
      <c r="A541" s="88" t="s">
        <v>615</v>
      </c>
      <c r="B541" s="88"/>
      <c r="C541" s="88"/>
      <c r="D541" s="85">
        <v>45566</v>
      </c>
      <c r="E541" s="85" t="s">
        <v>92</v>
      </c>
      <c r="F541" s="84">
        <f>INDEX(Definitions!$G$13:$G$17,MATCH(Table3[[#This Row],[Propensity to buy/ buyer readiness]],Definitions!$A$13:$A$17,0))</f>
        <v>50000</v>
      </c>
      <c r="G541" s="86">
        <v>5</v>
      </c>
      <c r="H541" s="86">
        <v>5</v>
      </c>
      <c r="I541" s="86">
        <v>2</v>
      </c>
      <c r="J541" s="86">
        <v>4</v>
      </c>
      <c r="K541" s="86">
        <v>3</v>
      </c>
      <c r="L541" s="86">
        <f>SUM(Table3[[#This Row],[Strategic priority segment]:[Propensity to buy/ buyer readiness]])</f>
        <v>19</v>
      </c>
      <c r="M541" s="86" t="s">
        <v>102</v>
      </c>
      <c r="N541" s="84" t="s">
        <v>61</v>
      </c>
      <c r="O541" s="84"/>
      <c r="P541" s="87"/>
      <c r="Q541" s="87"/>
      <c r="R541" s="84"/>
      <c r="S541" s="87"/>
      <c r="T541" s="87"/>
      <c r="U541" s="84">
        <v>1</v>
      </c>
      <c r="V541" s="84">
        <v>0</v>
      </c>
      <c r="W541" s="84">
        <v>0</v>
      </c>
      <c r="X541" s="84">
        <v>0</v>
      </c>
      <c r="Y541" s="84">
        <v>0</v>
      </c>
      <c r="Z541" s="84">
        <v>1</v>
      </c>
      <c r="AA541" s="84">
        <v>1</v>
      </c>
      <c r="AB541" s="84">
        <v>1</v>
      </c>
      <c r="AC541" s="84">
        <v>1</v>
      </c>
      <c r="AD541" s="84">
        <v>0</v>
      </c>
      <c r="AE541" s="84">
        <v>0</v>
      </c>
      <c r="AF541" s="84">
        <v>0</v>
      </c>
      <c r="AG541" s="84">
        <v>0</v>
      </c>
      <c r="AH541" s="84">
        <v>0</v>
      </c>
      <c r="AI541" s="84">
        <v>0</v>
      </c>
      <c r="AJ541" s="84">
        <v>0</v>
      </c>
      <c r="AK541" s="84">
        <v>0</v>
      </c>
      <c r="AL541" s="84" cm="1">
        <f t="array" ref="AL5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1" s="84" cm="1">
        <f t="array" ref="AM5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1" s="84" cm="1">
        <f t="array" ref="AN5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1" s="84" cm="1">
        <f t="array" ref="AO5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1" s="84" cm="1">
        <f t="array" ref="AP5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1" s="84" cm="1">
        <f t="array" ref="AQ5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1" s="84" cm="1">
        <f t="array" ref="AR5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1" s="84" cm="1">
        <f t="array" ref="AS5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1" s="84" cm="1">
        <f t="array" ref="AT5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1" s="84" cm="1">
        <f t="array" ref="AU5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1" s="84" cm="1">
        <f t="array" ref="AV5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1" s="84" cm="1">
        <f t="array" ref="AW5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1" s="84" cm="1">
        <f t="array" ref="AX5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1" s="84" cm="1">
        <f t="array" ref="AY5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1" s="84" cm="1">
        <f t="array" ref="AZ5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1" s="84" cm="1">
        <f t="array" ref="BA5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1" s="84" cm="1">
        <f t="array" ref="BB5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1" s="84">
        <f>IF(SUM(Table3[[#This Row],[Column2]:[Column18]])&gt;Table3[[#This Row],[Column19]],Table3[[#This Row],[Column19]],SUM(Table3[[#This Row],[Column2]:[Column18]]))</f>
        <v>50000</v>
      </c>
      <c r="BD541" s="2">
        <f>Table3[[#This Row],[Total Spend]]/SUM(Table3[[#This Row],[Column2]:[Column18]])</f>
        <v>0.49164208456243852</v>
      </c>
    </row>
    <row r="542" spans="1:56">
      <c r="A542" s="84" t="s">
        <v>616</v>
      </c>
      <c r="B542" s="84"/>
      <c r="C542" s="84"/>
      <c r="D542" s="85">
        <v>45566</v>
      </c>
      <c r="E542" s="85" t="s">
        <v>92</v>
      </c>
      <c r="F542" s="84">
        <f>INDEX(Definitions!$G$13:$G$17,MATCH(Table3[[#This Row],[Propensity to buy/ buyer readiness]],Definitions!$A$13:$A$17,0))</f>
        <v>50000</v>
      </c>
      <c r="G542" s="86">
        <v>5</v>
      </c>
      <c r="H542" s="86">
        <v>5</v>
      </c>
      <c r="I542" s="86">
        <v>2</v>
      </c>
      <c r="J542" s="86">
        <v>4</v>
      </c>
      <c r="K542" s="86">
        <v>3</v>
      </c>
      <c r="L542" s="86">
        <f>SUM(Table3[[#This Row],[Strategic priority segment]:[Propensity to buy/ buyer readiness]])</f>
        <v>19</v>
      </c>
      <c r="M542" s="86" t="s">
        <v>102</v>
      </c>
      <c r="N542" s="84" t="s">
        <v>61</v>
      </c>
      <c r="O542" s="84"/>
      <c r="P542" s="87"/>
      <c r="Q542" s="87"/>
      <c r="R542" s="84"/>
      <c r="S542" s="87"/>
      <c r="T542" s="87"/>
      <c r="U542" s="84">
        <v>1</v>
      </c>
      <c r="V542" s="84">
        <v>0</v>
      </c>
      <c r="W542" s="84">
        <v>0</v>
      </c>
      <c r="X542" s="84">
        <v>0</v>
      </c>
      <c r="Y542" s="84">
        <v>0</v>
      </c>
      <c r="Z542" s="84">
        <v>1</v>
      </c>
      <c r="AA542" s="84">
        <v>1</v>
      </c>
      <c r="AB542" s="84">
        <v>1</v>
      </c>
      <c r="AC542" s="84">
        <v>1</v>
      </c>
      <c r="AD542" s="84">
        <v>0</v>
      </c>
      <c r="AE542" s="84">
        <v>0</v>
      </c>
      <c r="AF542" s="84">
        <v>0</v>
      </c>
      <c r="AG542" s="84">
        <v>0</v>
      </c>
      <c r="AH542" s="84">
        <v>0</v>
      </c>
      <c r="AI542" s="84">
        <v>0</v>
      </c>
      <c r="AJ542" s="84">
        <v>0</v>
      </c>
      <c r="AK542" s="84">
        <v>0</v>
      </c>
      <c r="AL542" s="84" cm="1">
        <f t="array" ref="AL5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2" s="84" cm="1">
        <f t="array" ref="AM5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2" s="84" cm="1">
        <f t="array" ref="AN5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2" s="84" cm="1">
        <f t="array" ref="AO5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2" s="84" cm="1">
        <f t="array" ref="AP5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2" s="84" cm="1">
        <f t="array" ref="AQ5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2" s="84" cm="1">
        <f t="array" ref="AR5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2" s="84" cm="1">
        <f t="array" ref="AS5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2" s="84" cm="1">
        <f t="array" ref="AT5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2" s="84" cm="1">
        <f t="array" ref="AU5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2" s="84" cm="1">
        <f t="array" ref="AV5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2" s="84" cm="1">
        <f t="array" ref="AW5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2" s="84" cm="1">
        <f t="array" ref="AX5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2" s="84" cm="1">
        <f t="array" ref="AY5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2" s="84" cm="1">
        <f t="array" ref="AZ5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2" s="84" cm="1">
        <f t="array" ref="BA5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2" s="84" cm="1">
        <f t="array" ref="BB5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2" s="84">
        <f>IF(SUM(Table3[[#This Row],[Column2]:[Column18]])&gt;Table3[[#This Row],[Column19]],Table3[[#This Row],[Column19]],SUM(Table3[[#This Row],[Column2]:[Column18]]))</f>
        <v>50000</v>
      </c>
      <c r="BD542" s="2">
        <f>Table3[[#This Row],[Total Spend]]/SUM(Table3[[#This Row],[Column2]:[Column18]])</f>
        <v>0.49164208456243852</v>
      </c>
    </row>
    <row r="543" spans="1:56">
      <c r="A543" s="84" t="s">
        <v>617</v>
      </c>
      <c r="B543" s="84"/>
      <c r="C543" s="84" t="s">
        <v>57</v>
      </c>
      <c r="D543" s="85">
        <v>45566</v>
      </c>
      <c r="E543" s="85" t="s">
        <v>92</v>
      </c>
      <c r="F543" s="84">
        <f>INDEX(Definitions!$G$13:$G$17,MATCH(Table3[[#This Row],[Propensity to buy/ buyer readiness]],Definitions!$A$13:$A$17,0))</f>
        <v>50000</v>
      </c>
      <c r="G543" s="86">
        <v>4</v>
      </c>
      <c r="H543" s="86">
        <v>4</v>
      </c>
      <c r="I543" s="86">
        <v>4</v>
      </c>
      <c r="J543" s="86">
        <v>4</v>
      </c>
      <c r="K543" s="86">
        <v>3</v>
      </c>
      <c r="L543" s="86">
        <f>SUM(Table3[[#This Row],[Strategic priority segment]:[Propensity to buy/ buyer readiness]])</f>
        <v>19</v>
      </c>
      <c r="M543" s="86" t="s">
        <v>102</v>
      </c>
      <c r="N543" s="84" t="s">
        <v>122</v>
      </c>
      <c r="O543" s="84" t="s">
        <v>61</v>
      </c>
      <c r="P543" s="87"/>
      <c r="Q543" s="87"/>
      <c r="R543" s="84"/>
      <c r="S543" s="87"/>
      <c r="T543" s="84"/>
      <c r="U543" s="84">
        <v>1</v>
      </c>
      <c r="V543" s="84">
        <v>0</v>
      </c>
      <c r="W543" s="84">
        <v>0</v>
      </c>
      <c r="X543" s="84">
        <v>0</v>
      </c>
      <c r="Y543" s="84">
        <v>0</v>
      </c>
      <c r="Z543" s="84">
        <v>1</v>
      </c>
      <c r="AA543" s="84">
        <v>1</v>
      </c>
      <c r="AB543" s="84">
        <v>1</v>
      </c>
      <c r="AC543" s="84">
        <v>1</v>
      </c>
      <c r="AD543" s="84">
        <v>1</v>
      </c>
      <c r="AE543" s="84">
        <v>0</v>
      </c>
      <c r="AF543" s="84">
        <v>1</v>
      </c>
      <c r="AG543" s="84">
        <v>0</v>
      </c>
      <c r="AH543" s="84">
        <v>0</v>
      </c>
      <c r="AI543" s="84">
        <v>0</v>
      </c>
      <c r="AJ543" s="84">
        <v>0</v>
      </c>
      <c r="AK543" s="84">
        <v>0</v>
      </c>
      <c r="AL543" s="84" cm="1">
        <f t="array" ref="AL5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3" s="84" cm="1">
        <f t="array" ref="AM5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3" s="84" cm="1">
        <f t="array" ref="AN5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3" s="84" cm="1">
        <f t="array" ref="AO5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3" s="84" cm="1">
        <f t="array" ref="AP5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3" s="84" cm="1">
        <f t="array" ref="AQ5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3" s="84" cm="1">
        <f t="array" ref="AR5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3" s="84" cm="1">
        <f t="array" ref="AS5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3" s="84" cm="1">
        <f t="array" ref="AT5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3" s="84" cm="1">
        <f t="array" ref="AU5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43" s="84" cm="1">
        <f t="array" ref="AV5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3" s="84" cm="1">
        <f t="array" ref="AW5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43" s="84" cm="1">
        <f t="array" ref="AX5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3" s="84" cm="1">
        <f t="array" ref="AY5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3" s="84" cm="1">
        <f t="array" ref="AZ5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3" s="84" cm="1">
        <f t="array" ref="BA5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3" s="84" cm="1">
        <f t="array" ref="BB5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3" s="84">
        <f>IF(SUM(Table3[[#This Row],[Column2]:[Column18]])&gt;Table3[[#This Row],[Column19]],Table3[[#This Row],[Column19]],SUM(Table3[[#This Row],[Column2]:[Column18]]))</f>
        <v>50000</v>
      </c>
      <c r="BD543" s="2">
        <f>Table3[[#This Row],[Total Spend]]/SUM(Table3[[#This Row],[Column2]:[Column18]])</f>
        <v>0.32299741602067183</v>
      </c>
    </row>
    <row r="544" spans="1:56">
      <c r="A544" s="84" t="s">
        <v>618</v>
      </c>
      <c r="B544" s="84"/>
      <c r="C544" s="84"/>
      <c r="D544" s="85">
        <v>45566</v>
      </c>
      <c r="E544" s="85" t="s">
        <v>92</v>
      </c>
      <c r="F544" s="84">
        <f>INDEX(Definitions!$G$13:$G$17,MATCH(Table3[[#This Row],[Propensity to buy/ buyer readiness]],Definitions!$A$13:$A$17,0))</f>
        <v>50000</v>
      </c>
      <c r="G544" s="86">
        <v>5</v>
      </c>
      <c r="H544" s="86">
        <v>5</v>
      </c>
      <c r="I544" s="86">
        <v>2</v>
      </c>
      <c r="J544" s="86">
        <v>4</v>
      </c>
      <c r="K544" s="86">
        <v>3</v>
      </c>
      <c r="L544" s="86">
        <f>SUM(Table3[[#This Row],[Strategic priority segment]:[Propensity to buy/ buyer readiness]])</f>
        <v>19</v>
      </c>
      <c r="M544" s="86" t="s">
        <v>102</v>
      </c>
      <c r="N544" s="84" t="s">
        <v>61</v>
      </c>
      <c r="O544" s="84"/>
      <c r="P544" s="87"/>
      <c r="Q544" s="87"/>
      <c r="R544" s="84"/>
      <c r="S544" s="87"/>
      <c r="T544" s="87"/>
      <c r="U544" s="84">
        <v>1</v>
      </c>
      <c r="V544" s="84">
        <v>0</v>
      </c>
      <c r="W544" s="84">
        <v>0</v>
      </c>
      <c r="X544" s="84">
        <v>0</v>
      </c>
      <c r="Y544" s="84">
        <v>0</v>
      </c>
      <c r="Z544" s="84">
        <v>1</v>
      </c>
      <c r="AA544" s="84">
        <v>1</v>
      </c>
      <c r="AB544" s="84">
        <v>1</v>
      </c>
      <c r="AC544" s="84">
        <v>1</v>
      </c>
      <c r="AD544" s="84">
        <v>0</v>
      </c>
      <c r="AE544" s="84">
        <v>0</v>
      </c>
      <c r="AF544" s="84">
        <v>0</v>
      </c>
      <c r="AG544" s="84">
        <v>0</v>
      </c>
      <c r="AH544" s="84">
        <v>0</v>
      </c>
      <c r="AI544" s="84">
        <v>0</v>
      </c>
      <c r="AJ544" s="84">
        <v>0</v>
      </c>
      <c r="AK544" s="84">
        <v>0</v>
      </c>
      <c r="AL544" s="84" cm="1">
        <f t="array" ref="AL5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4" s="84" cm="1">
        <f t="array" ref="AM5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4" s="84" cm="1">
        <f t="array" ref="AN5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4" s="84" cm="1">
        <f t="array" ref="AO5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4" s="84" cm="1">
        <f t="array" ref="AP5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4" s="84" cm="1">
        <f t="array" ref="AQ5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4" s="84" cm="1">
        <f t="array" ref="AR5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4" s="84" cm="1">
        <f t="array" ref="AS5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4" s="84" cm="1">
        <f t="array" ref="AT5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4" s="84" cm="1">
        <f t="array" ref="AU5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4" s="84" cm="1">
        <f t="array" ref="AV5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4" s="84" cm="1">
        <f t="array" ref="AW5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4" s="84" cm="1">
        <f t="array" ref="AX5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4" s="84" cm="1">
        <f t="array" ref="AY5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4" s="84" cm="1">
        <f t="array" ref="AZ5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4" s="84" cm="1">
        <f t="array" ref="BA5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4" s="84" cm="1">
        <f t="array" ref="BB5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4" s="84">
        <f>IF(SUM(Table3[[#This Row],[Column2]:[Column18]])&gt;Table3[[#This Row],[Column19]],Table3[[#This Row],[Column19]],SUM(Table3[[#This Row],[Column2]:[Column18]]))</f>
        <v>50000</v>
      </c>
      <c r="BD544" s="2">
        <f>Table3[[#This Row],[Total Spend]]/SUM(Table3[[#This Row],[Column2]:[Column18]])</f>
        <v>0.49164208456243852</v>
      </c>
    </row>
    <row r="545" spans="1:56">
      <c r="A545" s="84" t="s">
        <v>619</v>
      </c>
      <c r="B545" s="84" t="s">
        <v>57</v>
      </c>
      <c r="C545" s="84"/>
      <c r="D545" s="85">
        <v>45566</v>
      </c>
      <c r="E545" s="85" t="s">
        <v>92</v>
      </c>
      <c r="F545" s="84">
        <f>INDEX(Definitions!$G$13:$G$17,MATCH(Table3[[#This Row],[Propensity to buy/ buyer readiness]],Definitions!$A$13:$A$17,0))</f>
        <v>50000</v>
      </c>
      <c r="G545" s="86">
        <v>4</v>
      </c>
      <c r="H545" s="86">
        <v>4</v>
      </c>
      <c r="I545" s="86">
        <v>4</v>
      </c>
      <c r="J545" s="86">
        <v>4</v>
      </c>
      <c r="K545" s="86">
        <v>3</v>
      </c>
      <c r="L545" s="86">
        <f>SUM(Table3[[#This Row],[Strategic priority segment]:[Propensity to buy/ buyer readiness]])</f>
        <v>19</v>
      </c>
      <c r="M545" s="86" t="s">
        <v>191</v>
      </c>
      <c r="N545" s="84" t="s">
        <v>135</v>
      </c>
      <c r="O545" s="84"/>
      <c r="P545" s="87"/>
      <c r="Q545" s="87"/>
      <c r="R545" s="84"/>
      <c r="S545" s="84"/>
      <c r="T545" s="87"/>
      <c r="U545" s="84">
        <v>0</v>
      </c>
      <c r="V545" s="84">
        <v>0</v>
      </c>
      <c r="W545" s="84">
        <v>0</v>
      </c>
      <c r="X545" s="84">
        <v>0</v>
      </c>
      <c r="Y545" s="84">
        <v>0</v>
      </c>
      <c r="Z545" s="84">
        <v>0</v>
      </c>
      <c r="AA545" s="84">
        <v>0</v>
      </c>
      <c r="AB545" s="84">
        <v>0</v>
      </c>
      <c r="AC545" s="84">
        <v>0</v>
      </c>
      <c r="AD545" s="84">
        <v>0</v>
      </c>
      <c r="AE545" s="84">
        <v>0</v>
      </c>
      <c r="AF545" s="84">
        <v>0</v>
      </c>
      <c r="AG545" s="84">
        <v>0</v>
      </c>
      <c r="AH545" s="84">
        <v>1</v>
      </c>
      <c r="AI545" s="84">
        <v>1</v>
      </c>
      <c r="AJ545" s="84">
        <v>1</v>
      </c>
      <c r="AK545" s="84">
        <v>1</v>
      </c>
      <c r="AL545" s="84" cm="1">
        <f t="array" ref="AL5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45" s="84" cm="1">
        <f t="array" ref="AM5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5" s="84" cm="1">
        <f t="array" ref="AN5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5" s="84" cm="1">
        <f t="array" ref="AO5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5" s="84" cm="1">
        <f t="array" ref="AP5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5" s="84" cm="1">
        <f t="array" ref="AQ5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45" s="84" cm="1">
        <f t="array" ref="AR5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45" s="84" cm="1">
        <f t="array" ref="AS5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45" s="84" cm="1">
        <f t="array" ref="AT5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45" s="84" cm="1">
        <f t="array" ref="AU5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5" s="84" cm="1">
        <f t="array" ref="AV5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5" s="84" cm="1">
        <f t="array" ref="AW5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5" s="84" cm="1">
        <f t="array" ref="AX5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5" s="84" cm="1">
        <f t="array" ref="AY5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545" s="84" cm="1">
        <f t="array" ref="AZ5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545" s="84" cm="1">
        <f t="array" ref="BA5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545" s="84" cm="1">
        <f t="array" ref="BB5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545" s="84">
        <f>IF(SUM(Table3[[#This Row],[Column2]:[Column18]])&gt;Table3[[#This Row],[Column19]],Table3[[#This Row],[Column19]],SUM(Table3[[#This Row],[Column2]:[Column18]]))</f>
        <v>46350</v>
      </c>
      <c r="BD545" s="2">
        <f>Table3[[#This Row],[Total Spend]]/SUM(Table3[[#This Row],[Column2]:[Column18]])</f>
        <v>1</v>
      </c>
    </row>
    <row r="546" spans="1:56">
      <c r="A546" s="84" t="s">
        <v>620</v>
      </c>
      <c r="B546" s="84"/>
      <c r="C546" s="84"/>
      <c r="D546" s="85">
        <v>45809</v>
      </c>
      <c r="E546" s="85" t="s">
        <v>92</v>
      </c>
      <c r="F546" s="84">
        <f>INDEX(Definitions!$G$13:$G$17,MATCH(Table3[[#This Row],[Propensity to buy/ buyer readiness]],Definitions!$A$13:$A$17,0))</f>
        <v>50000</v>
      </c>
      <c r="G546" s="86">
        <v>5</v>
      </c>
      <c r="H546" s="86">
        <v>5</v>
      </c>
      <c r="I546" s="86">
        <v>2</v>
      </c>
      <c r="J546" s="86">
        <v>4</v>
      </c>
      <c r="K546" s="86">
        <v>3</v>
      </c>
      <c r="L546" s="86">
        <f>SUM(Table3[[#This Row],[Strategic priority segment]:[Propensity to buy/ buyer readiness]])</f>
        <v>19</v>
      </c>
      <c r="M546" s="86" t="s">
        <v>102</v>
      </c>
      <c r="N546" s="84" t="s">
        <v>61</v>
      </c>
      <c r="O546" s="84"/>
      <c r="P546" s="87"/>
      <c r="Q546" s="87"/>
      <c r="R546" s="84"/>
      <c r="S546" s="84"/>
      <c r="T546" s="84"/>
      <c r="U546" s="84">
        <v>1</v>
      </c>
      <c r="V546" s="84">
        <v>0</v>
      </c>
      <c r="W546" s="84">
        <v>0</v>
      </c>
      <c r="X546" s="84">
        <v>0</v>
      </c>
      <c r="Y546" s="84">
        <v>0</v>
      </c>
      <c r="Z546" s="84">
        <v>1</v>
      </c>
      <c r="AA546" s="84">
        <v>1</v>
      </c>
      <c r="AB546" s="84">
        <v>1</v>
      </c>
      <c r="AC546" s="84">
        <v>1</v>
      </c>
      <c r="AD546" s="84">
        <v>0</v>
      </c>
      <c r="AE546" s="84">
        <v>0</v>
      </c>
      <c r="AF546" s="84">
        <v>0</v>
      </c>
      <c r="AG546" s="84">
        <v>0</v>
      </c>
      <c r="AH546" s="84">
        <v>0</v>
      </c>
      <c r="AI546" s="84">
        <v>0</v>
      </c>
      <c r="AJ546" s="84">
        <v>0</v>
      </c>
      <c r="AK546" s="84">
        <v>0</v>
      </c>
      <c r="AL546" s="84" cm="1">
        <f t="array" ref="AL5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6" s="84" cm="1">
        <f t="array" ref="AM5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6" s="84" cm="1">
        <f t="array" ref="AN5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6" s="84" cm="1">
        <f t="array" ref="AO5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6" s="84" cm="1">
        <f t="array" ref="AP5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6" s="84" cm="1">
        <f t="array" ref="AQ5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6" s="84" cm="1">
        <f t="array" ref="AR5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6" s="84" cm="1">
        <f t="array" ref="AS5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6" s="84" cm="1">
        <f t="array" ref="AT5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6" s="84" cm="1">
        <f t="array" ref="AU5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6" s="84" cm="1">
        <f t="array" ref="AV5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6" s="84" cm="1">
        <f t="array" ref="AW5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6" s="84" cm="1">
        <f t="array" ref="AX5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6" s="84" cm="1">
        <f t="array" ref="AY5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6" s="84" cm="1">
        <f t="array" ref="AZ5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6" s="84" cm="1">
        <f t="array" ref="BA5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6" s="84" cm="1">
        <f t="array" ref="BB5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6" s="84">
        <f>IF(SUM(Table3[[#This Row],[Column2]:[Column18]])&gt;Table3[[#This Row],[Column19]],Table3[[#This Row],[Column19]],SUM(Table3[[#This Row],[Column2]:[Column18]]))</f>
        <v>50000</v>
      </c>
      <c r="BD546" s="2">
        <f>Table3[[#This Row],[Total Spend]]/SUM(Table3[[#This Row],[Column2]:[Column18]])</f>
        <v>0.49164208456243852</v>
      </c>
    </row>
    <row r="547" spans="1:56">
      <c r="A547" s="88" t="s">
        <v>621</v>
      </c>
      <c r="B547" s="88"/>
      <c r="C547" s="88"/>
      <c r="D547" s="85">
        <v>45566</v>
      </c>
      <c r="E547" s="85" t="s">
        <v>92</v>
      </c>
      <c r="F547" s="84">
        <f>INDEX(Definitions!$G$13:$G$17,MATCH(Table3[[#This Row],[Propensity to buy/ buyer readiness]],Definitions!$A$13:$A$17,0))</f>
        <v>50000</v>
      </c>
      <c r="G547" s="86">
        <v>5</v>
      </c>
      <c r="H547" s="86">
        <v>5</v>
      </c>
      <c r="I547" s="86">
        <v>2</v>
      </c>
      <c r="J547" s="86">
        <v>4</v>
      </c>
      <c r="K547" s="86">
        <v>3</v>
      </c>
      <c r="L547" s="86">
        <f>SUM(Table3[[#This Row],[Strategic priority segment]:[Propensity to buy/ buyer readiness]])</f>
        <v>19</v>
      </c>
      <c r="M547" s="86" t="s">
        <v>102</v>
      </c>
      <c r="N547" s="84" t="s">
        <v>61</v>
      </c>
      <c r="O547" s="84"/>
      <c r="P547" s="87"/>
      <c r="Q547" s="87"/>
      <c r="R547" s="84"/>
      <c r="S547" s="87"/>
      <c r="T547" s="87"/>
      <c r="U547" s="84">
        <v>1</v>
      </c>
      <c r="V547" s="84">
        <v>0</v>
      </c>
      <c r="W547" s="84">
        <v>0</v>
      </c>
      <c r="X547" s="84">
        <v>0</v>
      </c>
      <c r="Y547" s="84">
        <v>0</v>
      </c>
      <c r="Z547" s="84">
        <v>1</v>
      </c>
      <c r="AA547" s="84">
        <v>1</v>
      </c>
      <c r="AB547" s="84">
        <v>1</v>
      </c>
      <c r="AC547" s="84">
        <v>1</v>
      </c>
      <c r="AD547" s="84">
        <v>0</v>
      </c>
      <c r="AE547" s="84">
        <v>0</v>
      </c>
      <c r="AF547" s="84">
        <v>0</v>
      </c>
      <c r="AG547" s="84">
        <v>0</v>
      </c>
      <c r="AH547" s="84">
        <v>0</v>
      </c>
      <c r="AI547" s="84">
        <v>0</v>
      </c>
      <c r="AJ547" s="84">
        <v>0</v>
      </c>
      <c r="AK547" s="84">
        <v>0</v>
      </c>
      <c r="AL547" s="84" cm="1">
        <f t="array" ref="AL5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7" s="84" cm="1">
        <f t="array" ref="AM5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7" s="84" cm="1">
        <f t="array" ref="AN5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7" s="84" cm="1">
        <f t="array" ref="AO5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7" s="84" cm="1">
        <f t="array" ref="AP5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7" s="84" cm="1">
        <f t="array" ref="AQ5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7" s="84" cm="1">
        <f t="array" ref="AR5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7" s="84" cm="1">
        <f t="array" ref="AS5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7" s="84" cm="1">
        <f t="array" ref="AT5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7" s="84" cm="1">
        <f t="array" ref="AU5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7" s="84" cm="1">
        <f t="array" ref="AV5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7" s="84" cm="1">
        <f t="array" ref="AW5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7" s="84" cm="1">
        <f t="array" ref="AX5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7" s="84" cm="1">
        <f t="array" ref="AY5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7" s="84" cm="1">
        <f t="array" ref="AZ5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7" s="84" cm="1">
        <f t="array" ref="BA5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7" s="84" cm="1">
        <f t="array" ref="BB5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7" s="84">
        <f>IF(SUM(Table3[[#This Row],[Column2]:[Column18]])&gt;Table3[[#This Row],[Column19]],Table3[[#This Row],[Column19]],SUM(Table3[[#This Row],[Column2]:[Column18]]))</f>
        <v>50000</v>
      </c>
      <c r="BD547" s="2">
        <f>Table3[[#This Row],[Total Spend]]/SUM(Table3[[#This Row],[Column2]:[Column18]])</f>
        <v>0.49164208456243852</v>
      </c>
    </row>
    <row r="548" spans="1:56">
      <c r="A548" s="84" t="s">
        <v>622</v>
      </c>
      <c r="B548" s="84" t="s">
        <v>57</v>
      </c>
      <c r="C548" s="84"/>
      <c r="D548" s="85">
        <v>45566</v>
      </c>
      <c r="E548" s="85" t="s">
        <v>92</v>
      </c>
      <c r="F548" s="84">
        <f>INDEX(Definitions!$G$13:$G$17,MATCH(Table3[[#This Row],[Propensity to buy/ buyer readiness]],Definitions!$A$13:$A$17,0))</f>
        <v>50000</v>
      </c>
      <c r="G548" s="86">
        <v>4</v>
      </c>
      <c r="H548" s="86">
        <v>4</v>
      </c>
      <c r="I548" s="86">
        <v>4</v>
      </c>
      <c r="J548" s="86">
        <v>4</v>
      </c>
      <c r="K548" s="86">
        <v>3</v>
      </c>
      <c r="L548" s="86">
        <f>SUM(Table3[[#This Row],[Strategic priority segment]:[Propensity to buy/ buyer readiness]])</f>
        <v>19</v>
      </c>
      <c r="M548" s="86" t="s">
        <v>191</v>
      </c>
      <c r="N548" s="84" t="s">
        <v>135</v>
      </c>
      <c r="O548" s="84" t="s">
        <v>61</v>
      </c>
      <c r="P548" s="87"/>
      <c r="Q548" s="87"/>
      <c r="R548" s="84"/>
      <c r="S548" s="84"/>
      <c r="T548" s="87"/>
      <c r="U548" s="84">
        <v>1</v>
      </c>
      <c r="V548" s="84">
        <v>0</v>
      </c>
      <c r="W548" s="84">
        <v>0</v>
      </c>
      <c r="X548" s="84">
        <v>0</v>
      </c>
      <c r="Y548" s="84">
        <v>0</v>
      </c>
      <c r="Z548" s="84">
        <v>1</v>
      </c>
      <c r="AA548" s="84">
        <v>1</v>
      </c>
      <c r="AB548" s="84">
        <v>1</v>
      </c>
      <c r="AC548" s="84">
        <v>1</v>
      </c>
      <c r="AD548" s="84">
        <v>0</v>
      </c>
      <c r="AE548" s="84">
        <v>0</v>
      </c>
      <c r="AF548" s="84">
        <v>0</v>
      </c>
      <c r="AG548" s="84">
        <v>0</v>
      </c>
      <c r="AH548" s="84">
        <v>1</v>
      </c>
      <c r="AI548" s="84">
        <v>1</v>
      </c>
      <c r="AJ548" s="84">
        <v>1</v>
      </c>
      <c r="AK548" s="84">
        <v>1</v>
      </c>
      <c r="AL548" s="84" cm="1">
        <f t="array" ref="AL5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8" s="84" cm="1">
        <f t="array" ref="AM5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8" s="84" cm="1">
        <f t="array" ref="AN5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8" s="84" cm="1">
        <f t="array" ref="AO5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8" s="84" cm="1">
        <f t="array" ref="AP5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8" s="84" cm="1">
        <f t="array" ref="AQ5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8" s="84" cm="1">
        <f t="array" ref="AR5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8" s="84" cm="1">
        <f t="array" ref="AS5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8" s="84" cm="1">
        <f t="array" ref="AT5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8" s="84" cm="1">
        <f t="array" ref="AU5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8" s="84" cm="1">
        <f t="array" ref="AV5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8" s="84" cm="1">
        <f t="array" ref="AW5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8" s="84" cm="1">
        <f t="array" ref="AX5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8" s="84" cm="1">
        <f t="array" ref="AY5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548" s="84" cm="1">
        <f t="array" ref="AZ5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548" s="84" cm="1">
        <f t="array" ref="BA5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548" s="84" cm="1">
        <f t="array" ref="BB5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548" s="84">
        <f>IF(SUM(Table3[[#This Row],[Column2]:[Column18]])&gt;Table3[[#This Row],[Column19]],Table3[[#This Row],[Column19]],SUM(Table3[[#This Row],[Column2]:[Column18]]))</f>
        <v>50000</v>
      </c>
      <c r="BD548" s="2">
        <f>Table3[[#This Row],[Total Spend]]/SUM(Table3[[#This Row],[Column2]:[Column18]])</f>
        <v>0.33772374197906113</v>
      </c>
    </row>
    <row r="549" spans="1:56">
      <c r="A549" s="84" t="s">
        <v>623</v>
      </c>
      <c r="B549" s="84"/>
      <c r="C549" s="84"/>
      <c r="D549" s="85">
        <v>45566</v>
      </c>
      <c r="E549" s="85" t="s">
        <v>92</v>
      </c>
      <c r="F549" s="84">
        <f>INDEX(Definitions!$G$13:$G$17,MATCH(Table3[[#This Row],[Propensity to buy/ buyer readiness]],Definitions!$A$13:$A$17,0))</f>
        <v>50000</v>
      </c>
      <c r="G549" s="86">
        <v>5</v>
      </c>
      <c r="H549" s="86">
        <v>5</v>
      </c>
      <c r="I549" s="86">
        <v>2</v>
      </c>
      <c r="J549" s="86">
        <v>4</v>
      </c>
      <c r="K549" s="86">
        <v>3</v>
      </c>
      <c r="L549" s="86">
        <f>SUM(Table3[[#This Row],[Strategic priority segment]:[Propensity to buy/ buyer readiness]])</f>
        <v>19</v>
      </c>
      <c r="M549" s="86" t="s">
        <v>102</v>
      </c>
      <c r="N549" s="84" t="s">
        <v>61</v>
      </c>
      <c r="O549" s="84"/>
      <c r="P549" s="87"/>
      <c r="Q549" s="87"/>
      <c r="R549" s="84"/>
      <c r="S549" s="87"/>
      <c r="T549" s="87"/>
      <c r="U549" s="84">
        <v>1</v>
      </c>
      <c r="V549" s="84">
        <v>0</v>
      </c>
      <c r="W549" s="84">
        <v>0</v>
      </c>
      <c r="X549" s="84">
        <v>0</v>
      </c>
      <c r="Y549" s="84">
        <v>0</v>
      </c>
      <c r="Z549" s="84">
        <v>1</v>
      </c>
      <c r="AA549" s="84">
        <v>1</v>
      </c>
      <c r="AB549" s="84">
        <v>1</v>
      </c>
      <c r="AC549" s="84">
        <v>1</v>
      </c>
      <c r="AD549" s="84">
        <v>0</v>
      </c>
      <c r="AE549" s="84">
        <v>0</v>
      </c>
      <c r="AF549" s="84">
        <v>0</v>
      </c>
      <c r="AG549" s="84">
        <v>0</v>
      </c>
      <c r="AH549" s="84">
        <v>0</v>
      </c>
      <c r="AI549" s="84">
        <v>0</v>
      </c>
      <c r="AJ549" s="84">
        <v>0</v>
      </c>
      <c r="AK549" s="84">
        <v>0</v>
      </c>
      <c r="AL549" s="84" cm="1">
        <f t="array" ref="AL5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49" s="84" cm="1">
        <f t="array" ref="AM5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49" s="84" cm="1">
        <f t="array" ref="AN5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49" s="84" cm="1">
        <f t="array" ref="AO5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49" s="84" cm="1">
        <f t="array" ref="AP5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49" s="84" cm="1">
        <f t="array" ref="AQ5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49" s="84" cm="1">
        <f t="array" ref="AR5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49" s="84" cm="1">
        <f t="array" ref="AS5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49" s="84" cm="1">
        <f t="array" ref="AT5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49" s="84" cm="1">
        <f t="array" ref="AU5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49" s="84" cm="1">
        <f t="array" ref="AV5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49" s="84" cm="1">
        <f t="array" ref="AW5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49" s="84" cm="1">
        <f t="array" ref="AX5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49" s="84" cm="1">
        <f t="array" ref="AY5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49" s="84" cm="1">
        <f t="array" ref="AZ5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49" s="84" cm="1">
        <f t="array" ref="BA5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49" s="84" cm="1">
        <f t="array" ref="BB5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49" s="84">
        <f>IF(SUM(Table3[[#This Row],[Column2]:[Column18]])&gt;Table3[[#This Row],[Column19]],Table3[[#This Row],[Column19]],SUM(Table3[[#This Row],[Column2]:[Column18]]))</f>
        <v>50000</v>
      </c>
      <c r="BD549" s="2">
        <f>Table3[[#This Row],[Total Spend]]/SUM(Table3[[#This Row],[Column2]:[Column18]])</f>
        <v>0.49164208456243852</v>
      </c>
    </row>
    <row r="550" spans="1:56">
      <c r="A550" s="84" t="s">
        <v>624</v>
      </c>
      <c r="B550" s="84" t="s">
        <v>57</v>
      </c>
      <c r="C550" s="84"/>
      <c r="D550" s="85">
        <v>45566</v>
      </c>
      <c r="E550" s="85" t="s">
        <v>58</v>
      </c>
      <c r="F550" s="84">
        <f>INDEX(Definitions!$G$13:$G$17,MATCH(Table3[[#This Row],[Propensity to buy/ buyer readiness]],Definitions!$A$13:$A$17,0))</f>
        <v>150000</v>
      </c>
      <c r="G550" s="86">
        <v>4</v>
      </c>
      <c r="H550" s="86">
        <v>4</v>
      </c>
      <c r="I550" s="86">
        <v>4</v>
      </c>
      <c r="J550" s="86">
        <v>3</v>
      </c>
      <c r="K550" s="86">
        <v>4</v>
      </c>
      <c r="L550" s="86">
        <f>SUM(Table3[[#This Row],[Strategic priority segment]:[Propensity to buy/ buyer readiness]])</f>
        <v>19</v>
      </c>
      <c r="M550" s="86" t="s">
        <v>152</v>
      </c>
      <c r="N550" s="84" t="s">
        <v>122</v>
      </c>
      <c r="O550" s="84" t="s">
        <v>61</v>
      </c>
      <c r="P550" s="87"/>
      <c r="Q550" s="87"/>
      <c r="R550" s="84"/>
      <c r="S550" s="84"/>
      <c r="T550" s="87"/>
      <c r="U550" s="84">
        <v>1</v>
      </c>
      <c r="V550" s="84">
        <v>0</v>
      </c>
      <c r="W550" s="84">
        <v>0</v>
      </c>
      <c r="X550" s="84">
        <v>0</v>
      </c>
      <c r="Y550" s="84">
        <v>0</v>
      </c>
      <c r="Z550" s="84">
        <v>1</v>
      </c>
      <c r="AA550" s="84">
        <v>1</v>
      </c>
      <c r="AB550" s="84">
        <v>1</v>
      </c>
      <c r="AC550" s="84">
        <v>1</v>
      </c>
      <c r="AD550" s="84">
        <v>1</v>
      </c>
      <c r="AE550" s="84">
        <v>0</v>
      </c>
      <c r="AF550" s="84">
        <v>1</v>
      </c>
      <c r="AG550" s="84">
        <v>0</v>
      </c>
      <c r="AH550" s="84">
        <v>0</v>
      </c>
      <c r="AI550" s="84">
        <v>0</v>
      </c>
      <c r="AJ550" s="84">
        <v>0</v>
      </c>
      <c r="AK550" s="84">
        <v>0</v>
      </c>
      <c r="AL550" s="84" cm="1">
        <f t="array" ref="AL5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50" s="84" cm="1">
        <f t="array" ref="AM5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0" s="84" cm="1">
        <f t="array" ref="AN5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0" s="84" cm="1">
        <f t="array" ref="AO5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0" s="84" cm="1">
        <f t="array" ref="AP5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0" s="84" cm="1">
        <f t="array" ref="AQ5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50" s="84" cm="1">
        <f t="array" ref="AR5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50" s="84" cm="1">
        <f t="array" ref="AS5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50" s="84" cm="1">
        <f t="array" ref="AT5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50" s="84" cm="1">
        <f t="array" ref="AU5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50" s="84" cm="1">
        <f t="array" ref="AV5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0" s="84" cm="1">
        <f t="array" ref="AW5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50" s="84" cm="1">
        <f t="array" ref="AX5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0" s="84" cm="1">
        <f t="array" ref="AY5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0" s="84" cm="1">
        <f t="array" ref="AZ5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0" s="84" cm="1">
        <f t="array" ref="BA5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0" s="84" cm="1">
        <f t="array" ref="BB5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0" s="84">
        <f>IF(SUM(Table3[[#This Row],[Column2]:[Column18]])&gt;Table3[[#This Row],[Column19]],Table3[[#This Row],[Column19]],SUM(Table3[[#This Row],[Column2]:[Column18]]))</f>
        <v>150000</v>
      </c>
      <c r="BD550" s="2">
        <f>Table3[[#This Row],[Total Spend]]/SUM(Table3[[#This Row],[Column2]:[Column18]])</f>
        <v>0.70028011204481788</v>
      </c>
    </row>
    <row r="551" spans="1:56">
      <c r="A551" s="84" t="s">
        <v>625</v>
      </c>
      <c r="B551" s="84"/>
      <c r="C551" s="84"/>
      <c r="D551" s="85">
        <v>45566</v>
      </c>
      <c r="E551" s="85" t="s">
        <v>92</v>
      </c>
      <c r="F551" s="84">
        <f>INDEX(Definitions!$G$13:$G$17,MATCH(Table3[[#This Row],[Propensity to buy/ buyer readiness]],Definitions!$A$13:$A$17,0))</f>
        <v>50000</v>
      </c>
      <c r="G551" s="86">
        <v>5</v>
      </c>
      <c r="H551" s="86">
        <v>5</v>
      </c>
      <c r="I551" s="86">
        <v>2</v>
      </c>
      <c r="J551" s="86">
        <v>4</v>
      </c>
      <c r="K551" s="86">
        <v>3</v>
      </c>
      <c r="L551" s="86">
        <f>SUM(Table3[[#This Row],[Strategic priority segment]:[Propensity to buy/ buyer readiness]])</f>
        <v>19</v>
      </c>
      <c r="M551" s="86" t="s">
        <v>102</v>
      </c>
      <c r="N551" s="84" t="s">
        <v>61</v>
      </c>
      <c r="O551" s="84"/>
      <c r="P551" s="87"/>
      <c r="Q551" s="87"/>
      <c r="R551" s="84"/>
      <c r="S551" s="87"/>
      <c r="T551" s="87"/>
      <c r="U551" s="84">
        <v>1</v>
      </c>
      <c r="V551" s="84">
        <v>0</v>
      </c>
      <c r="W551" s="84">
        <v>0</v>
      </c>
      <c r="X551" s="84">
        <v>0</v>
      </c>
      <c r="Y551" s="84">
        <v>0</v>
      </c>
      <c r="Z551" s="84">
        <v>1</v>
      </c>
      <c r="AA551" s="84">
        <v>1</v>
      </c>
      <c r="AB551" s="84">
        <v>1</v>
      </c>
      <c r="AC551" s="84">
        <v>1</v>
      </c>
      <c r="AD551" s="84">
        <v>0</v>
      </c>
      <c r="AE551" s="84">
        <v>0</v>
      </c>
      <c r="AF551" s="84">
        <v>0</v>
      </c>
      <c r="AG551" s="84">
        <v>0</v>
      </c>
      <c r="AH551" s="84">
        <v>0</v>
      </c>
      <c r="AI551" s="84">
        <v>0</v>
      </c>
      <c r="AJ551" s="84">
        <v>0</v>
      </c>
      <c r="AK551" s="84">
        <v>0</v>
      </c>
      <c r="AL551" s="84" cm="1">
        <f t="array" ref="AL5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1" s="84" cm="1">
        <f t="array" ref="AM5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1" s="84" cm="1">
        <f t="array" ref="AN5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1" s="84" cm="1">
        <f t="array" ref="AO5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1" s="84" cm="1">
        <f t="array" ref="AP5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1" s="84" cm="1">
        <f t="array" ref="AQ5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51" s="84" cm="1">
        <f t="array" ref="AR5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51" s="84" cm="1">
        <f t="array" ref="AS5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51" s="84" cm="1">
        <f t="array" ref="AT5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51" s="84" cm="1">
        <f t="array" ref="AU5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1" s="84" cm="1">
        <f t="array" ref="AV5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1" s="84" cm="1">
        <f t="array" ref="AW5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1" s="84" cm="1">
        <f t="array" ref="AX5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1" s="84" cm="1">
        <f t="array" ref="AY5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1" s="84" cm="1">
        <f t="array" ref="AZ5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1" s="84" cm="1">
        <f t="array" ref="BA5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1" s="84" cm="1">
        <f t="array" ref="BB5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1" s="84">
        <f>IF(SUM(Table3[[#This Row],[Column2]:[Column18]])&gt;Table3[[#This Row],[Column19]],Table3[[#This Row],[Column19]],SUM(Table3[[#This Row],[Column2]:[Column18]]))</f>
        <v>50000</v>
      </c>
      <c r="BD551" s="2">
        <f>Table3[[#This Row],[Total Spend]]/SUM(Table3[[#This Row],[Column2]:[Column18]])</f>
        <v>0.49164208456243852</v>
      </c>
    </row>
    <row r="552" spans="1:56">
      <c r="A552" s="88" t="s">
        <v>626</v>
      </c>
      <c r="B552" s="88"/>
      <c r="C552" s="88"/>
      <c r="D552" s="85">
        <v>45566</v>
      </c>
      <c r="E552" s="85" t="s">
        <v>92</v>
      </c>
      <c r="F552" s="84">
        <f>INDEX(Definitions!$G$13:$G$17,MATCH(Table3[[#This Row],[Propensity to buy/ buyer readiness]],Definitions!$A$13:$A$17,0))</f>
        <v>50000</v>
      </c>
      <c r="G552" s="86">
        <v>5</v>
      </c>
      <c r="H552" s="86">
        <v>5</v>
      </c>
      <c r="I552" s="86">
        <v>2</v>
      </c>
      <c r="J552" s="86">
        <v>4</v>
      </c>
      <c r="K552" s="86">
        <v>3</v>
      </c>
      <c r="L552" s="86">
        <f>SUM(Table3[[#This Row],[Strategic priority segment]:[Propensity to buy/ buyer readiness]])</f>
        <v>19</v>
      </c>
      <c r="M552" s="86" t="s">
        <v>102</v>
      </c>
      <c r="N552" s="84" t="s">
        <v>61</v>
      </c>
      <c r="O552" s="84"/>
      <c r="P552" s="87"/>
      <c r="Q552" s="87"/>
      <c r="R552" s="84"/>
      <c r="S552" s="87"/>
      <c r="T552" s="84"/>
      <c r="U552" s="84">
        <v>1</v>
      </c>
      <c r="V552" s="84">
        <v>0</v>
      </c>
      <c r="W552" s="84">
        <v>0</v>
      </c>
      <c r="X552" s="84">
        <v>0</v>
      </c>
      <c r="Y552" s="84">
        <v>0</v>
      </c>
      <c r="Z552" s="84">
        <v>1</v>
      </c>
      <c r="AA552" s="84">
        <v>1</v>
      </c>
      <c r="AB552" s="84">
        <v>1</v>
      </c>
      <c r="AC552" s="84">
        <v>1</v>
      </c>
      <c r="AD552" s="84">
        <v>0</v>
      </c>
      <c r="AE552" s="84">
        <v>0</v>
      </c>
      <c r="AF552" s="84">
        <v>0</v>
      </c>
      <c r="AG552" s="84">
        <v>0</v>
      </c>
      <c r="AH552" s="84">
        <v>0</v>
      </c>
      <c r="AI552" s="84">
        <v>0</v>
      </c>
      <c r="AJ552" s="84">
        <v>0</v>
      </c>
      <c r="AK552" s="84">
        <v>0</v>
      </c>
      <c r="AL552" s="84" cm="1">
        <f t="array" ref="AL5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2" s="84" cm="1">
        <f t="array" ref="AM5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2" s="84" cm="1">
        <f t="array" ref="AN5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2" s="84" cm="1">
        <f t="array" ref="AO5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2" s="84" cm="1">
        <f t="array" ref="AP5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2" s="84" cm="1">
        <f t="array" ref="AQ5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52" s="84" cm="1">
        <f t="array" ref="AR5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52" s="84" cm="1">
        <f t="array" ref="AS5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52" s="84" cm="1">
        <f t="array" ref="AT5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52" s="84" cm="1">
        <f t="array" ref="AU5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2" s="84" cm="1">
        <f t="array" ref="AV5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2" s="84" cm="1">
        <f t="array" ref="AW5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2" s="84" cm="1">
        <f t="array" ref="AX5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2" s="84" cm="1">
        <f t="array" ref="AY5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2" s="84" cm="1">
        <f t="array" ref="AZ5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2" s="84" cm="1">
        <f t="array" ref="BA5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2" s="84" cm="1">
        <f t="array" ref="BB5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2" s="84">
        <f>IF(SUM(Table3[[#This Row],[Column2]:[Column18]])&gt;Table3[[#This Row],[Column19]],Table3[[#This Row],[Column19]],SUM(Table3[[#This Row],[Column2]:[Column18]]))</f>
        <v>50000</v>
      </c>
      <c r="BD552" s="2">
        <f>Table3[[#This Row],[Total Spend]]/SUM(Table3[[#This Row],[Column2]:[Column18]])</f>
        <v>0.49164208456243852</v>
      </c>
    </row>
    <row r="553" spans="1:56">
      <c r="A553" s="84" t="s">
        <v>627</v>
      </c>
      <c r="B553" s="84"/>
      <c r="C553" s="84"/>
      <c r="D553" s="85">
        <v>45566</v>
      </c>
      <c r="E553" s="85" t="s">
        <v>92</v>
      </c>
      <c r="F553" s="84">
        <f>INDEX(Definitions!$G$13:$G$17,MATCH(Table3[[#This Row],[Propensity to buy/ buyer readiness]],Definitions!$A$13:$A$17,0))</f>
        <v>50000</v>
      </c>
      <c r="G553" s="86">
        <v>5</v>
      </c>
      <c r="H553" s="86">
        <v>5</v>
      </c>
      <c r="I553" s="86">
        <v>2</v>
      </c>
      <c r="J553" s="86">
        <v>4</v>
      </c>
      <c r="K553" s="86">
        <v>3</v>
      </c>
      <c r="L553" s="86">
        <f>SUM(Table3[[#This Row],[Strategic priority segment]:[Propensity to buy/ buyer readiness]])</f>
        <v>19</v>
      </c>
      <c r="M553" s="86" t="s">
        <v>102</v>
      </c>
      <c r="N553" s="84" t="s">
        <v>61</v>
      </c>
      <c r="O553" s="84"/>
      <c r="P553" s="87"/>
      <c r="Q553" s="87"/>
      <c r="R553" s="84"/>
      <c r="S553" s="87"/>
      <c r="T553" s="87"/>
      <c r="U553" s="84">
        <v>1</v>
      </c>
      <c r="V553" s="84">
        <v>0</v>
      </c>
      <c r="W553" s="84">
        <v>0</v>
      </c>
      <c r="X553" s="84">
        <v>0</v>
      </c>
      <c r="Y553" s="84">
        <v>0</v>
      </c>
      <c r="Z553" s="84">
        <v>1</v>
      </c>
      <c r="AA553" s="84">
        <v>1</v>
      </c>
      <c r="AB553" s="84">
        <v>1</v>
      </c>
      <c r="AC553" s="84">
        <v>1</v>
      </c>
      <c r="AD553" s="84">
        <v>0</v>
      </c>
      <c r="AE553" s="84">
        <v>0</v>
      </c>
      <c r="AF553" s="84">
        <v>0</v>
      </c>
      <c r="AG553" s="84">
        <v>0</v>
      </c>
      <c r="AH553" s="84">
        <v>0</v>
      </c>
      <c r="AI553" s="84">
        <v>0</v>
      </c>
      <c r="AJ553" s="84">
        <v>0</v>
      </c>
      <c r="AK553" s="84">
        <v>0</v>
      </c>
      <c r="AL553" s="84" cm="1">
        <f t="array" ref="AL5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3" s="84" cm="1">
        <f t="array" ref="AM5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3" s="84" cm="1">
        <f t="array" ref="AN5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3" s="84" cm="1">
        <f t="array" ref="AO5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3" s="84" cm="1">
        <f t="array" ref="AP5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3" s="84" cm="1">
        <f t="array" ref="AQ5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53" s="84" cm="1">
        <f t="array" ref="AR5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53" s="84" cm="1">
        <f t="array" ref="AS5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53" s="84" cm="1">
        <f t="array" ref="AT5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53" s="84" cm="1">
        <f t="array" ref="AU5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3" s="84" cm="1">
        <f t="array" ref="AV5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3" s="84" cm="1">
        <f t="array" ref="AW5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3" s="84" cm="1">
        <f t="array" ref="AX5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3" s="84" cm="1">
        <f t="array" ref="AY5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3" s="84" cm="1">
        <f t="array" ref="AZ5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3" s="84" cm="1">
        <f t="array" ref="BA5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3" s="84" cm="1">
        <f t="array" ref="BB5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3" s="84">
        <f>IF(SUM(Table3[[#This Row],[Column2]:[Column18]])&gt;Table3[[#This Row],[Column19]],Table3[[#This Row],[Column19]],SUM(Table3[[#This Row],[Column2]:[Column18]]))</f>
        <v>50000</v>
      </c>
      <c r="BD553" s="2">
        <f>Table3[[#This Row],[Total Spend]]/SUM(Table3[[#This Row],[Column2]:[Column18]])</f>
        <v>0.49164208456243852</v>
      </c>
    </row>
    <row r="554" spans="1:56">
      <c r="A554" s="84" t="s">
        <v>628</v>
      </c>
      <c r="B554" s="84" t="s">
        <v>57</v>
      </c>
      <c r="C554" s="84" t="s">
        <v>57</v>
      </c>
      <c r="D554" s="85">
        <v>45566</v>
      </c>
      <c r="E554" s="85" t="s">
        <v>92</v>
      </c>
      <c r="F554" s="84">
        <f>INDEX(Definitions!$G$13:$G$17,MATCH(Table3[[#This Row],[Propensity to buy/ buyer readiness]],Definitions!$A$13:$A$17,0))</f>
        <v>50000</v>
      </c>
      <c r="G554" s="86">
        <v>5</v>
      </c>
      <c r="H554" s="86">
        <v>4</v>
      </c>
      <c r="I554" s="86">
        <v>4</v>
      </c>
      <c r="J554" s="86">
        <v>3</v>
      </c>
      <c r="K554" s="86">
        <v>3</v>
      </c>
      <c r="L554" s="86">
        <f>SUM(Table3[[#This Row],[Strategic priority segment]:[Propensity to buy/ buyer readiness]])</f>
        <v>19</v>
      </c>
      <c r="M554" s="86" t="s">
        <v>66</v>
      </c>
      <c r="N554" s="84" t="s">
        <v>62</v>
      </c>
      <c r="O554" s="84"/>
      <c r="P554" s="87"/>
      <c r="Q554" s="87"/>
      <c r="R554" s="84"/>
      <c r="S554" s="84"/>
      <c r="T554" s="84"/>
      <c r="U554" s="84">
        <v>1</v>
      </c>
      <c r="V554" s="84">
        <v>0</v>
      </c>
      <c r="W554" s="84">
        <v>0</v>
      </c>
      <c r="X554" s="84">
        <v>0</v>
      </c>
      <c r="Y554" s="84">
        <v>0</v>
      </c>
      <c r="Z554" s="84">
        <v>0</v>
      </c>
      <c r="AA554" s="84">
        <v>0</v>
      </c>
      <c r="AB554" s="84">
        <v>0</v>
      </c>
      <c r="AC554" s="84">
        <v>0</v>
      </c>
      <c r="AD554" s="84">
        <v>1</v>
      </c>
      <c r="AE554" s="84">
        <v>1</v>
      </c>
      <c r="AF554" s="84">
        <v>1</v>
      </c>
      <c r="AG554" s="84">
        <v>1</v>
      </c>
      <c r="AH554" s="84">
        <v>0</v>
      </c>
      <c r="AI554" s="84">
        <v>0</v>
      </c>
      <c r="AJ554" s="84">
        <v>0</v>
      </c>
      <c r="AK554" s="84">
        <v>0</v>
      </c>
      <c r="AL554" s="84" cm="1">
        <f t="array" ref="AL5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4" s="84" cm="1">
        <f t="array" ref="AM5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4" s="84" cm="1">
        <f t="array" ref="AN5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4" s="84" cm="1">
        <f t="array" ref="AO5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4" s="84" cm="1">
        <f t="array" ref="AP5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4" s="84" cm="1">
        <f t="array" ref="AQ5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54" s="84" cm="1">
        <f t="array" ref="AR5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54" s="84" cm="1">
        <f t="array" ref="AS5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54" s="84" cm="1">
        <f t="array" ref="AT5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54" s="84" cm="1">
        <f t="array" ref="AU5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54" s="84" cm="1">
        <f t="array" ref="AV5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54" s="84" cm="1">
        <f t="array" ref="AW5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54" s="84" cm="1">
        <f t="array" ref="AX5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54" s="84" cm="1">
        <f t="array" ref="AY5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4" s="84" cm="1">
        <f t="array" ref="AZ5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4" s="84" cm="1">
        <f t="array" ref="BA5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4" s="84" cm="1">
        <f t="array" ref="BB5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4" s="84">
        <f>IF(SUM(Table3[[#This Row],[Column2]:[Column18]])&gt;Table3[[#This Row],[Column19]],Table3[[#This Row],[Column19]],SUM(Table3[[#This Row],[Column2]:[Column18]]))</f>
        <v>50000</v>
      </c>
      <c r="BD554" s="2">
        <f>Table3[[#This Row],[Total Spend]]/SUM(Table3[[#This Row],[Column2]:[Column18]])</f>
        <v>0.53163211057947901</v>
      </c>
    </row>
    <row r="555" spans="1:56">
      <c r="A555" s="84" t="s">
        <v>629</v>
      </c>
      <c r="B555" s="84"/>
      <c r="C555" s="84"/>
      <c r="D555" s="85">
        <v>45809</v>
      </c>
      <c r="E555" s="85" t="s">
        <v>92</v>
      </c>
      <c r="F555" s="84">
        <f>INDEX(Definitions!$G$13:$G$17,MATCH(Table3[[#This Row],[Propensity to buy/ buyer readiness]],Definitions!$A$13:$A$17,0))</f>
        <v>50000</v>
      </c>
      <c r="G555" s="86">
        <v>5</v>
      </c>
      <c r="H555" s="86">
        <v>5</v>
      </c>
      <c r="I555" s="86">
        <v>2</v>
      </c>
      <c r="J555" s="86">
        <v>4</v>
      </c>
      <c r="K555" s="86">
        <v>3</v>
      </c>
      <c r="L555" s="86">
        <f>SUM(Table3[[#This Row],[Strategic priority segment]:[Propensity to buy/ buyer readiness]])</f>
        <v>19</v>
      </c>
      <c r="M555" s="86" t="s">
        <v>102</v>
      </c>
      <c r="N555" s="84" t="s">
        <v>61</v>
      </c>
      <c r="O555" s="84"/>
      <c r="P555" s="87"/>
      <c r="Q555" s="87"/>
      <c r="R555" s="84"/>
      <c r="S555" s="84"/>
      <c r="T555" s="84"/>
      <c r="U555" s="84">
        <v>1</v>
      </c>
      <c r="V555" s="84">
        <v>0</v>
      </c>
      <c r="W555" s="84">
        <v>0</v>
      </c>
      <c r="X555" s="84">
        <v>0</v>
      </c>
      <c r="Y555" s="84">
        <v>0</v>
      </c>
      <c r="Z555" s="84">
        <v>1</v>
      </c>
      <c r="AA555" s="84">
        <v>1</v>
      </c>
      <c r="AB555" s="84">
        <v>1</v>
      </c>
      <c r="AC555" s="84">
        <v>1</v>
      </c>
      <c r="AD555" s="84">
        <v>0</v>
      </c>
      <c r="AE555" s="84">
        <v>0</v>
      </c>
      <c r="AF555" s="84">
        <v>0</v>
      </c>
      <c r="AG555" s="84">
        <v>0</v>
      </c>
      <c r="AH555" s="84">
        <v>0</v>
      </c>
      <c r="AI555" s="84">
        <v>0</v>
      </c>
      <c r="AJ555" s="84">
        <v>0</v>
      </c>
      <c r="AK555" s="84">
        <v>0</v>
      </c>
      <c r="AL555" s="84" cm="1">
        <f t="array" ref="AL5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5" s="84" cm="1">
        <f t="array" ref="AM5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5" s="84" cm="1">
        <f t="array" ref="AN5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5" s="84" cm="1">
        <f t="array" ref="AO5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5" s="84" cm="1">
        <f t="array" ref="AP5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5" s="84" cm="1">
        <f t="array" ref="AQ5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55" s="84" cm="1">
        <f t="array" ref="AR5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55" s="84" cm="1">
        <f t="array" ref="AS5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55" s="84" cm="1">
        <f t="array" ref="AT5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55" s="84" cm="1">
        <f t="array" ref="AU5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5" s="84" cm="1">
        <f t="array" ref="AV5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5" s="84" cm="1">
        <f t="array" ref="AW5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5" s="84" cm="1">
        <f t="array" ref="AX5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5" s="84" cm="1">
        <f t="array" ref="AY5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5" s="84" cm="1">
        <f t="array" ref="AZ5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5" s="84" cm="1">
        <f t="array" ref="BA5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5" s="84" cm="1">
        <f t="array" ref="BB5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5" s="84">
        <f>IF(SUM(Table3[[#This Row],[Column2]:[Column18]])&gt;Table3[[#This Row],[Column19]],Table3[[#This Row],[Column19]],SUM(Table3[[#This Row],[Column2]:[Column18]]))</f>
        <v>50000</v>
      </c>
      <c r="BD555" s="2">
        <f>Table3[[#This Row],[Total Spend]]/SUM(Table3[[#This Row],[Column2]:[Column18]])</f>
        <v>0.49164208456243852</v>
      </c>
    </row>
    <row r="556" spans="1:56">
      <c r="A556" s="84" t="s">
        <v>630</v>
      </c>
      <c r="B556" s="84"/>
      <c r="C556" s="84"/>
      <c r="D556" s="85">
        <v>45566</v>
      </c>
      <c r="E556" s="85" t="s">
        <v>92</v>
      </c>
      <c r="F556" s="84">
        <f>INDEX(Definitions!$G$13:$G$17,MATCH(Table3[[#This Row],[Propensity to buy/ buyer readiness]],Definitions!$A$13:$A$17,0))</f>
        <v>50000</v>
      </c>
      <c r="G556" s="86">
        <v>5</v>
      </c>
      <c r="H556" s="86">
        <v>5</v>
      </c>
      <c r="I556" s="86">
        <v>2</v>
      </c>
      <c r="J556" s="86">
        <v>4</v>
      </c>
      <c r="K556" s="86">
        <v>3</v>
      </c>
      <c r="L556" s="86">
        <f>SUM(Table3[[#This Row],[Strategic priority segment]:[Propensity to buy/ buyer readiness]])</f>
        <v>19</v>
      </c>
      <c r="M556" s="86" t="s">
        <v>102</v>
      </c>
      <c r="N556" s="84" t="s">
        <v>61</v>
      </c>
      <c r="O556" s="84"/>
      <c r="P556" s="87"/>
      <c r="Q556" s="87"/>
      <c r="R556" s="84"/>
      <c r="S556" s="87"/>
      <c r="T556" s="87"/>
      <c r="U556" s="84">
        <v>1</v>
      </c>
      <c r="V556" s="84">
        <v>0</v>
      </c>
      <c r="W556" s="84">
        <v>0</v>
      </c>
      <c r="X556" s="84">
        <v>0</v>
      </c>
      <c r="Y556" s="84">
        <v>0</v>
      </c>
      <c r="Z556" s="84">
        <v>1</v>
      </c>
      <c r="AA556" s="84">
        <v>1</v>
      </c>
      <c r="AB556" s="84">
        <v>1</v>
      </c>
      <c r="AC556" s="84">
        <v>1</v>
      </c>
      <c r="AD556" s="84">
        <v>0</v>
      </c>
      <c r="AE556" s="84">
        <v>0</v>
      </c>
      <c r="AF556" s="84">
        <v>0</v>
      </c>
      <c r="AG556" s="84">
        <v>0</v>
      </c>
      <c r="AH556" s="84">
        <v>0</v>
      </c>
      <c r="AI556" s="84">
        <v>0</v>
      </c>
      <c r="AJ556" s="84">
        <v>0</v>
      </c>
      <c r="AK556" s="84">
        <v>0</v>
      </c>
      <c r="AL556" s="84" cm="1">
        <f t="array" ref="AL5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56" s="84" cm="1">
        <f t="array" ref="AM5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6" s="84" cm="1">
        <f t="array" ref="AN5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6" s="84" cm="1">
        <f t="array" ref="AO5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6" s="84" cm="1">
        <f t="array" ref="AP5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6" s="84" cm="1">
        <f t="array" ref="AQ5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56" s="84" cm="1">
        <f t="array" ref="AR5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56" s="84" cm="1">
        <f t="array" ref="AS5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56" s="84" cm="1">
        <f t="array" ref="AT5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56" s="84" cm="1">
        <f t="array" ref="AU5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6" s="84" cm="1">
        <f t="array" ref="AV5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6" s="84" cm="1">
        <f t="array" ref="AW5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6" s="84" cm="1">
        <f t="array" ref="AX5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6" s="84" cm="1">
        <f t="array" ref="AY5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56" s="84" cm="1">
        <f t="array" ref="AZ5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56" s="84" cm="1">
        <f t="array" ref="BA5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56" s="84" cm="1">
        <f t="array" ref="BB5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56" s="84">
        <f>IF(SUM(Table3[[#This Row],[Column2]:[Column18]])&gt;Table3[[#This Row],[Column19]],Table3[[#This Row],[Column19]],SUM(Table3[[#This Row],[Column2]:[Column18]]))</f>
        <v>50000</v>
      </c>
      <c r="BD556" s="2">
        <f>Table3[[#This Row],[Total Spend]]/SUM(Table3[[#This Row],[Column2]:[Column18]])</f>
        <v>0.49164208456243852</v>
      </c>
    </row>
    <row r="557" spans="1:56" ht="28.5">
      <c r="A557" s="87" t="s">
        <v>631</v>
      </c>
      <c r="B557" s="87"/>
      <c r="C557" s="87"/>
      <c r="D557" s="85">
        <v>45566</v>
      </c>
      <c r="E557" s="85" t="s">
        <v>58</v>
      </c>
      <c r="F557" s="84">
        <f>INDEX(Definitions!$G$13:$G$17,MATCH(Table3[[#This Row],[Propensity to buy/ buyer readiness]],Definitions!$A$13:$A$17,0))</f>
        <v>50000</v>
      </c>
      <c r="G557" s="86">
        <v>5</v>
      </c>
      <c r="H557" s="86">
        <v>4</v>
      </c>
      <c r="I557" s="86">
        <v>2</v>
      </c>
      <c r="J557" s="86">
        <v>4</v>
      </c>
      <c r="K557" s="86">
        <v>3</v>
      </c>
      <c r="L557" s="86">
        <f>SUM(Table3[[#This Row],[Strategic priority segment]:[Propensity to buy/ buyer readiness]])</f>
        <v>18</v>
      </c>
      <c r="M557" s="86" t="s">
        <v>191</v>
      </c>
      <c r="N557" s="84" t="s">
        <v>135</v>
      </c>
      <c r="O557" s="87"/>
      <c r="P557" s="87"/>
      <c r="Q557" s="87"/>
      <c r="R557" s="84"/>
      <c r="S557" s="87"/>
      <c r="T557" s="87"/>
      <c r="U557" s="84">
        <v>0</v>
      </c>
      <c r="V557" s="84">
        <v>0</v>
      </c>
      <c r="W557" s="84">
        <v>0</v>
      </c>
      <c r="X557" s="84">
        <v>0</v>
      </c>
      <c r="Y557" s="84">
        <v>0</v>
      </c>
      <c r="Z557" s="84">
        <v>0</v>
      </c>
      <c r="AA557" s="84">
        <v>0</v>
      </c>
      <c r="AB557" s="84">
        <v>0</v>
      </c>
      <c r="AC557" s="84">
        <v>0</v>
      </c>
      <c r="AD557" s="84">
        <v>0</v>
      </c>
      <c r="AE557" s="84">
        <v>0</v>
      </c>
      <c r="AF557" s="84">
        <v>0</v>
      </c>
      <c r="AG557" s="84">
        <v>0</v>
      </c>
      <c r="AH557" s="84">
        <v>1</v>
      </c>
      <c r="AI557" s="84">
        <v>1</v>
      </c>
      <c r="AJ557" s="84">
        <v>1</v>
      </c>
      <c r="AK557" s="84">
        <v>1</v>
      </c>
      <c r="AL557" s="84" cm="1">
        <f t="array" ref="AL5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57" s="84" cm="1">
        <f t="array" ref="AM5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7" s="84" cm="1">
        <f t="array" ref="AN5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7" s="84" cm="1">
        <f t="array" ref="AO5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7" s="84" cm="1">
        <f t="array" ref="AP5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7" s="84" cm="1">
        <f t="array" ref="AQ5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57" s="84" cm="1">
        <f t="array" ref="AR5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57" s="84" cm="1">
        <f t="array" ref="AS5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57" s="84" cm="1">
        <f t="array" ref="AT5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57" s="84" cm="1">
        <f t="array" ref="AU5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7" s="84" cm="1">
        <f t="array" ref="AV5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7" s="84" cm="1">
        <f t="array" ref="AW5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7" s="84" cm="1">
        <f t="array" ref="AX5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7" s="84" cm="1">
        <f t="array" ref="AY5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57" s="84" cm="1">
        <f t="array" ref="AZ5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57" s="84" cm="1">
        <f t="array" ref="BA5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57" s="84" cm="1">
        <f t="array" ref="BB5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57" s="84">
        <f>IF(SUM(Table3[[#This Row],[Column2]:[Column18]])&gt;Table3[[#This Row],[Column19]],Table3[[#This Row],[Column19]],SUM(Table3[[#This Row],[Column2]:[Column18]]))</f>
        <v>50000</v>
      </c>
      <c r="BD557" s="2">
        <f>Table3[[#This Row],[Total Spend]]/SUM(Table3[[#This Row],[Column2]:[Column18]])</f>
        <v>0.77700077700077697</v>
      </c>
    </row>
    <row r="558" spans="1:56" ht="28.5">
      <c r="A558" s="87" t="s">
        <v>632</v>
      </c>
      <c r="B558" s="87"/>
      <c r="C558" s="87"/>
      <c r="D558" s="85">
        <v>45566</v>
      </c>
      <c r="E558" s="85" t="s">
        <v>58</v>
      </c>
      <c r="F558" s="84">
        <f>INDEX(Definitions!$G$13:$G$17,MATCH(Table3[[#This Row],[Propensity to buy/ buyer readiness]],Definitions!$A$13:$A$17,0))</f>
        <v>50000</v>
      </c>
      <c r="G558" s="86">
        <v>5</v>
      </c>
      <c r="H558" s="86">
        <v>4</v>
      </c>
      <c r="I558" s="86">
        <v>2</v>
      </c>
      <c r="J558" s="86">
        <v>4</v>
      </c>
      <c r="K558" s="86">
        <v>3</v>
      </c>
      <c r="L558" s="86">
        <f>SUM(Table3[[#This Row],[Strategic priority segment]:[Propensity to buy/ buyer readiness]])</f>
        <v>18</v>
      </c>
      <c r="M558" s="86" t="s">
        <v>191</v>
      </c>
      <c r="N558" s="84" t="s">
        <v>135</v>
      </c>
      <c r="O558" s="87"/>
      <c r="P558" s="87"/>
      <c r="Q558" s="87"/>
      <c r="R558" s="84"/>
      <c r="S558" s="87"/>
      <c r="T558" s="87"/>
      <c r="U558" s="84">
        <v>0</v>
      </c>
      <c r="V558" s="84">
        <v>0</v>
      </c>
      <c r="W558" s="84">
        <v>0</v>
      </c>
      <c r="X558" s="84">
        <v>0</v>
      </c>
      <c r="Y558" s="84">
        <v>0</v>
      </c>
      <c r="Z558" s="84">
        <v>0</v>
      </c>
      <c r="AA558" s="84">
        <v>0</v>
      </c>
      <c r="AB558" s="84">
        <v>0</v>
      </c>
      <c r="AC558" s="84">
        <v>0</v>
      </c>
      <c r="AD558" s="84">
        <v>0</v>
      </c>
      <c r="AE558" s="84">
        <v>0</v>
      </c>
      <c r="AF558" s="84">
        <v>0</v>
      </c>
      <c r="AG558" s="84">
        <v>0</v>
      </c>
      <c r="AH558" s="84">
        <v>1</v>
      </c>
      <c r="AI558" s="84">
        <v>1</v>
      </c>
      <c r="AJ558" s="84">
        <v>1</v>
      </c>
      <c r="AK558" s="84">
        <v>1</v>
      </c>
      <c r="AL558" s="84" cm="1">
        <f t="array" ref="AL5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58" s="84" cm="1">
        <f t="array" ref="AM5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8" s="84" cm="1">
        <f t="array" ref="AN5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8" s="84" cm="1">
        <f t="array" ref="AO5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8" s="84" cm="1">
        <f t="array" ref="AP5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8" s="84" cm="1">
        <f t="array" ref="AQ5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58" s="84" cm="1">
        <f t="array" ref="AR5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58" s="84" cm="1">
        <f t="array" ref="AS5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58" s="84" cm="1">
        <f t="array" ref="AT5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58" s="84" cm="1">
        <f t="array" ref="AU5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8" s="84" cm="1">
        <f t="array" ref="AV5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8" s="84" cm="1">
        <f t="array" ref="AW5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8" s="84" cm="1">
        <f t="array" ref="AX5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8" s="84" cm="1">
        <f t="array" ref="AY5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58" s="84" cm="1">
        <f t="array" ref="AZ5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58" s="84" cm="1">
        <f t="array" ref="BA5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58" s="84" cm="1">
        <f t="array" ref="BB5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58" s="84">
        <f>IF(SUM(Table3[[#This Row],[Column2]:[Column18]])&gt;Table3[[#This Row],[Column19]],Table3[[#This Row],[Column19]],SUM(Table3[[#This Row],[Column2]:[Column18]]))</f>
        <v>50000</v>
      </c>
      <c r="BD558" s="2">
        <f>Table3[[#This Row],[Total Spend]]/SUM(Table3[[#This Row],[Column2]:[Column18]])</f>
        <v>0.77700077700077697</v>
      </c>
    </row>
    <row r="559" spans="1:56">
      <c r="A559" s="87" t="s">
        <v>633</v>
      </c>
      <c r="B559" s="87"/>
      <c r="C559" s="87"/>
      <c r="D559" s="85">
        <v>45566</v>
      </c>
      <c r="E559" s="85" t="s">
        <v>58</v>
      </c>
      <c r="F559" s="84">
        <f>INDEX(Definitions!$G$13:$G$17,MATCH(Table3[[#This Row],[Propensity to buy/ buyer readiness]],Definitions!$A$13:$A$17,0))</f>
        <v>50000</v>
      </c>
      <c r="G559" s="86">
        <v>5</v>
      </c>
      <c r="H559" s="86">
        <v>4</v>
      </c>
      <c r="I559" s="86">
        <v>2</v>
      </c>
      <c r="J559" s="86">
        <v>4</v>
      </c>
      <c r="K559" s="86">
        <v>3</v>
      </c>
      <c r="L559" s="86">
        <f>SUM(Table3[[#This Row],[Strategic priority segment]:[Propensity to buy/ buyer readiness]])</f>
        <v>18</v>
      </c>
      <c r="M559" s="86" t="s">
        <v>191</v>
      </c>
      <c r="N559" s="84" t="s">
        <v>135</v>
      </c>
      <c r="O559" s="87"/>
      <c r="P559" s="87"/>
      <c r="Q559" s="87"/>
      <c r="R559" s="84"/>
      <c r="S559" s="87"/>
      <c r="T559" s="87"/>
      <c r="U559" s="84">
        <v>0</v>
      </c>
      <c r="V559" s="84">
        <v>0</v>
      </c>
      <c r="W559" s="84">
        <v>0</v>
      </c>
      <c r="X559" s="84">
        <v>0</v>
      </c>
      <c r="Y559" s="84">
        <v>0</v>
      </c>
      <c r="Z559" s="84">
        <v>0</v>
      </c>
      <c r="AA559" s="84">
        <v>0</v>
      </c>
      <c r="AB559" s="84">
        <v>0</v>
      </c>
      <c r="AC559" s="84">
        <v>0</v>
      </c>
      <c r="AD559" s="84">
        <v>0</v>
      </c>
      <c r="AE559" s="84">
        <v>0</v>
      </c>
      <c r="AF559" s="84">
        <v>0</v>
      </c>
      <c r="AG559" s="84">
        <v>0</v>
      </c>
      <c r="AH559" s="84">
        <v>1</v>
      </c>
      <c r="AI559" s="84">
        <v>1</v>
      </c>
      <c r="AJ559" s="84">
        <v>1</v>
      </c>
      <c r="AK559" s="84">
        <v>1</v>
      </c>
      <c r="AL559" s="84" cm="1">
        <f t="array" ref="AL5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59" s="84" cm="1">
        <f t="array" ref="AM5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59" s="84" cm="1">
        <f t="array" ref="AN5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59" s="84" cm="1">
        <f t="array" ref="AO5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59" s="84" cm="1">
        <f t="array" ref="AP5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59" s="84" cm="1">
        <f t="array" ref="AQ5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59" s="84" cm="1">
        <f t="array" ref="AR5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59" s="84" cm="1">
        <f t="array" ref="AS5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59" s="84" cm="1">
        <f t="array" ref="AT5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59" s="84" cm="1">
        <f t="array" ref="AU5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59" s="84" cm="1">
        <f t="array" ref="AV5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59" s="84" cm="1">
        <f t="array" ref="AW5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59" s="84" cm="1">
        <f t="array" ref="AX5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59" s="84" cm="1">
        <f t="array" ref="AY5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59" s="84" cm="1">
        <f t="array" ref="AZ5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59" s="84" cm="1">
        <f t="array" ref="BA5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59" s="84" cm="1">
        <f t="array" ref="BB5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59" s="84">
        <f>IF(SUM(Table3[[#This Row],[Column2]:[Column18]])&gt;Table3[[#This Row],[Column19]],Table3[[#This Row],[Column19]],SUM(Table3[[#This Row],[Column2]:[Column18]]))</f>
        <v>50000</v>
      </c>
      <c r="BD559" s="2">
        <f>Table3[[#This Row],[Total Spend]]/SUM(Table3[[#This Row],[Column2]:[Column18]])</f>
        <v>0.77700077700077697</v>
      </c>
    </row>
    <row r="560" spans="1:56">
      <c r="A560" s="87" t="s">
        <v>634</v>
      </c>
      <c r="B560" s="87"/>
      <c r="C560" s="87"/>
      <c r="D560" s="85">
        <v>45566</v>
      </c>
      <c r="E560" s="85" t="s">
        <v>58</v>
      </c>
      <c r="F560" s="84">
        <f>INDEX(Definitions!$G$13:$G$17,MATCH(Table3[[#This Row],[Propensity to buy/ buyer readiness]],Definitions!$A$13:$A$17,0))</f>
        <v>50000</v>
      </c>
      <c r="G560" s="86">
        <v>5</v>
      </c>
      <c r="H560" s="86">
        <v>4</v>
      </c>
      <c r="I560" s="86">
        <v>2</v>
      </c>
      <c r="J560" s="86">
        <v>4</v>
      </c>
      <c r="K560" s="86">
        <v>3</v>
      </c>
      <c r="L560" s="86">
        <f>SUM(Table3[[#This Row],[Strategic priority segment]:[Propensity to buy/ buyer readiness]])</f>
        <v>18</v>
      </c>
      <c r="M560" s="86" t="s">
        <v>191</v>
      </c>
      <c r="N560" s="84" t="s">
        <v>135</v>
      </c>
      <c r="O560" s="87"/>
      <c r="P560" s="87"/>
      <c r="Q560" s="87"/>
      <c r="R560" s="84"/>
      <c r="S560" s="87"/>
      <c r="T560" s="87"/>
      <c r="U560" s="84">
        <v>0</v>
      </c>
      <c r="V560" s="84">
        <v>0</v>
      </c>
      <c r="W560" s="84">
        <v>0</v>
      </c>
      <c r="X560" s="84">
        <v>0</v>
      </c>
      <c r="Y560" s="84">
        <v>0</v>
      </c>
      <c r="Z560" s="84">
        <v>0</v>
      </c>
      <c r="AA560" s="84">
        <v>0</v>
      </c>
      <c r="AB560" s="84">
        <v>0</v>
      </c>
      <c r="AC560" s="84">
        <v>0</v>
      </c>
      <c r="AD560" s="84">
        <v>0</v>
      </c>
      <c r="AE560" s="84">
        <v>0</v>
      </c>
      <c r="AF560" s="84">
        <v>0</v>
      </c>
      <c r="AG560" s="84">
        <v>0</v>
      </c>
      <c r="AH560" s="84">
        <v>1</v>
      </c>
      <c r="AI560" s="84">
        <v>1</v>
      </c>
      <c r="AJ560" s="84">
        <v>1</v>
      </c>
      <c r="AK560" s="84">
        <v>1</v>
      </c>
      <c r="AL560" s="84" cm="1">
        <f t="array" ref="AL5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60" s="84" cm="1">
        <f t="array" ref="AM5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0" s="84" cm="1">
        <f t="array" ref="AN5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0" s="84" cm="1">
        <f t="array" ref="AO5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0" s="84" cm="1">
        <f t="array" ref="AP5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0" s="84" cm="1">
        <f t="array" ref="AQ5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0" s="84" cm="1">
        <f t="array" ref="AR5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0" s="84" cm="1">
        <f t="array" ref="AS5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0" s="84" cm="1">
        <f t="array" ref="AT5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0" s="84" cm="1">
        <f t="array" ref="AU5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60" s="84" cm="1">
        <f t="array" ref="AV5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60" s="84" cm="1">
        <f t="array" ref="AW5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60" s="84" cm="1">
        <f t="array" ref="AX5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60" s="84" cm="1">
        <f t="array" ref="AY5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60" s="84" cm="1">
        <f t="array" ref="AZ5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60" s="84" cm="1">
        <f t="array" ref="BA5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60" s="84" cm="1">
        <f t="array" ref="BB5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60" s="84">
        <f>IF(SUM(Table3[[#This Row],[Column2]:[Column18]])&gt;Table3[[#This Row],[Column19]],Table3[[#This Row],[Column19]],SUM(Table3[[#This Row],[Column2]:[Column18]]))</f>
        <v>50000</v>
      </c>
      <c r="BD560" s="2">
        <f>Table3[[#This Row],[Total Spend]]/SUM(Table3[[#This Row],[Column2]:[Column18]])</f>
        <v>0.77700077700077697</v>
      </c>
    </row>
    <row r="561" spans="1:56">
      <c r="A561" s="84" t="s">
        <v>635</v>
      </c>
      <c r="B561" s="84" t="s">
        <v>57</v>
      </c>
      <c r="C561" s="84" t="s">
        <v>57</v>
      </c>
      <c r="D561" s="85">
        <v>45566</v>
      </c>
      <c r="E561" s="85" t="s">
        <v>92</v>
      </c>
      <c r="F561" s="84">
        <f>INDEX(Definitions!$G$13:$G$17,MATCH(Table3[[#This Row],[Propensity to buy/ buyer readiness]],Definitions!$A$13:$A$17,0))</f>
        <v>50000</v>
      </c>
      <c r="G561" s="86">
        <v>5</v>
      </c>
      <c r="H561" s="86">
        <v>4</v>
      </c>
      <c r="I561" s="86">
        <v>3</v>
      </c>
      <c r="J561" s="86">
        <v>3</v>
      </c>
      <c r="K561" s="86">
        <v>3</v>
      </c>
      <c r="L561" s="86">
        <f>SUM(Table3[[#This Row],[Strategic priority segment]:[Propensity to buy/ buyer readiness]])</f>
        <v>18</v>
      </c>
      <c r="M561" s="86" t="s">
        <v>66</v>
      </c>
      <c r="N561" s="84" t="s">
        <v>62</v>
      </c>
      <c r="O561" s="84"/>
      <c r="P561" s="87"/>
      <c r="Q561" s="87"/>
      <c r="R561" s="84"/>
      <c r="S561" s="87"/>
      <c r="T561" s="87"/>
      <c r="U561" s="84">
        <v>1</v>
      </c>
      <c r="V561" s="84">
        <v>0</v>
      </c>
      <c r="W561" s="84">
        <v>0</v>
      </c>
      <c r="X561" s="84">
        <v>0</v>
      </c>
      <c r="Y561" s="84">
        <v>0</v>
      </c>
      <c r="Z561" s="84">
        <v>0</v>
      </c>
      <c r="AA561" s="84">
        <v>0</v>
      </c>
      <c r="AB561" s="84">
        <v>0</v>
      </c>
      <c r="AC561" s="84">
        <v>0</v>
      </c>
      <c r="AD561" s="84">
        <v>1</v>
      </c>
      <c r="AE561" s="84">
        <v>1</v>
      </c>
      <c r="AF561" s="84">
        <v>1</v>
      </c>
      <c r="AG561" s="84">
        <v>1</v>
      </c>
      <c r="AH561" s="84">
        <v>0</v>
      </c>
      <c r="AI561" s="84">
        <v>0</v>
      </c>
      <c r="AJ561" s="84">
        <v>0</v>
      </c>
      <c r="AK561" s="84">
        <v>0</v>
      </c>
      <c r="AL561" s="84" cm="1">
        <f t="array" ref="AL5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61" s="84" cm="1">
        <f t="array" ref="AM5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1" s="84" cm="1">
        <f t="array" ref="AN5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1" s="84" cm="1">
        <f t="array" ref="AO5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1" s="84" cm="1">
        <f t="array" ref="AP5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1" s="84" cm="1">
        <f t="array" ref="AQ5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1" s="84" cm="1">
        <f t="array" ref="AR5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1" s="84" cm="1">
        <f t="array" ref="AS5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1" s="84" cm="1">
        <f t="array" ref="AT5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1" s="84" cm="1">
        <f t="array" ref="AU5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61" s="84" cm="1">
        <f t="array" ref="AV5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61" s="84" cm="1">
        <f t="array" ref="AW5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61" s="84" cm="1">
        <f t="array" ref="AX5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61" s="84" cm="1">
        <f t="array" ref="AY5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1" s="84" cm="1">
        <f t="array" ref="AZ5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1" s="84" cm="1">
        <f t="array" ref="BA5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1" s="84" cm="1">
        <f t="array" ref="BB5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1" s="84">
        <f>IF(SUM(Table3[[#This Row],[Column2]:[Column18]])&gt;Table3[[#This Row],[Column19]],Table3[[#This Row],[Column19]],SUM(Table3[[#This Row],[Column2]:[Column18]]))</f>
        <v>50000</v>
      </c>
      <c r="BD561" s="2">
        <f>Table3[[#This Row],[Total Spend]]/SUM(Table3[[#This Row],[Column2]:[Column18]])</f>
        <v>0.53163211057947901</v>
      </c>
    </row>
    <row r="562" spans="1:56">
      <c r="A562" s="84" t="s">
        <v>636</v>
      </c>
      <c r="B562" s="84"/>
      <c r="C562" s="84" t="s">
        <v>57</v>
      </c>
      <c r="D562" s="85">
        <v>45566</v>
      </c>
      <c r="E562" s="85" t="s">
        <v>92</v>
      </c>
      <c r="F562" s="84">
        <f>INDEX(Definitions!$G$13:$G$17,MATCH(Table3[[#This Row],[Propensity to buy/ buyer readiness]],Definitions!$A$13:$A$17,0))</f>
        <v>50000</v>
      </c>
      <c r="G562" s="86">
        <v>5</v>
      </c>
      <c r="H562" s="86">
        <v>4</v>
      </c>
      <c r="I562" s="86">
        <v>3</v>
      </c>
      <c r="J562" s="86">
        <v>3</v>
      </c>
      <c r="K562" s="86">
        <v>3</v>
      </c>
      <c r="L562" s="86">
        <f>SUM(Table3[[#This Row],[Strategic priority segment]:[Propensity to buy/ buyer readiness]])</f>
        <v>18</v>
      </c>
      <c r="M562" s="86" t="s">
        <v>66</v>
      </c>
      <c r="N562" s="84" t="s">
        <v>62</v>
      </c>
      <c r="O562" s="84"/>
      <c r="P562" s="87"/>
      <c r="Q562" s="87"/>
      <c r="R562" s="84"/>
      <c r="S562" s="87"/>
      <c r="T562" s="87"/>
      <c r="U562" s="84">
        <v>1</v>
      </c>
      <c r="V562" s="84">
        <v>0</v>
      </c>
      <c r="W562" s="84">
        <v>0</v>
      </c>
      <c r="X562" s="84">
        <v>0</v>
      </c>
      <c r="Y562" s="84">
        <v>0</v>
      </c>
      <c r="Z562" s="84">
        <v>0</v>
      </c>
      <c r="AA562" s="84">
        <v>0</v>
      </c>
      <c r="AB562" s="84">
        <v>0</v>
      </c>
      <c r="AC562" s="84">
        <v>0</v>
      </c>
      <c r="AD562" s="84">
        <v>1</v>
      </c>
      <c r="AE562" s="84">
        <v>1</v>
      </c>
      <c r="AF562" s="84">
        <v>1</v>
      </c>
      <c r="AG562" s="84">
        <v>1</v>
      </c>
      <c r="AH562" s="84">
        <v>0</v>
      </c>
      <c r="AI562" s="84">
        <v>0</v>
      </c>
      <c r="AJ562" s="84">
        <v>0</v>
      </c>
      <c r="AK562" s="84">
        <v>0</v>
      </c>
      <c r="AL562" s="84" cm="1">
        <f t="array" ref="AL5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62" s="84" cm="1">
        <f t="array" ref="AM5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2" s="84" cm="1">
        <f t="array" ref="AN5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2" s="84" cm="1">
        <f t="array" ref="AO5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2" s="84" cm="1">
        <f t="array" ref="AP5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2" s="84" cm="1">
        <f t="array" ref="AQ5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2" s="84" cm="1">
        <f t="array" ref="AR5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2" s="84" cm="1">
        <f t="array" ref="AS5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2" s="84" cm="1">
        <f t="array" ref="AT5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2" s="84" cm="1">
        <f t="array" ref="AU5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62" s="84" cm="1">
        <f t="array" ref="AV5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62" s="84" cm="1">
        <f t="array" ref="AW5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62" s="84" cm="1">
        <f t="array" ref="AX5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62" s="84" cm="1">
        <f t="array" ref="AY5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2" s="84" cm="1">
        <f t="array" ref="AZ5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2" s="84" cm="1">
        <f t="array" ref="BA5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2" s="84" cm="1">
        <f t="array" ref="BB5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2" s="84">
        <f>IF(SUM(Table3[[#This Row],[Column2]:[Column18]])&gt;Table3[[#This Row],[Column19]],Table3[[#This Row],[Column19]],SUM(Table3[[#This Row],[Column2]:[Column18]]))</f>
        <v>50000</v>
      </c>
      <c r="BD562" s="2">
        <f>Table3[[#This Row],[Total Spend]]/SUM(Table3[[#This Row],[Column2]:[Column18]])</f>
        <v>0.53163211057947901</v>
      </c>
    </row>
    <row r="563" spans="1:56">
      <c r="A563" s="87" t="s">
        <v>637</v>
      </c>
      <c r="B563" s="87"/>
      <c r="C563" s="87"/>
      <c r="D563" s="85">
        <v>45566</v>
      </c>
      <c r="E563" s="85" t="s">
        <v>58</v>
      </c>
      <c r="F563" s="84">
        <f>INDEX(Definitions!$G$13:$G$17,MATCH(Table3[[#This Row],[Propensity to buy/ buyer readiness]],Definitions!$A$13:$A$17,0))</f>
        <v>50000</v>
      </c>
      <c r="G563" s="86">
        <v>5</v>
      </c>
      <c r="H563" s="86">
        <v>4</v>
      </c>
      <c r="I563" s="86">
        <v>2</v>
      </c>
      <c r="J563" s="86">
        <v>4</v>
      </c>
      <c r="K563" s="86">
        <v>3</v>
      </c>
      <c r="L563" s="86">
        <f>SUM(Table3[[#This Row],[Strategic priority segment]:[Propensity to buy/ buyer readiness]])</f>
        <v>18</v>
      </c>
      <c r="M563" s="86" t="s">
        <v>191</v>
      </c>
      <c r="N563" s="84" t="s">
        <v>135</v>
      </c>
      <c r="O563" s="87"/>
      <c r="P563" s="87"/>
      <c r="Q563" s="87"/>
      <c r="R563" s="84"/>
      <c r="S563" s="87"/>
      <c r="T563" s="87"/>
      <c r="U563" s="84">
        <v>0</v>
      </c>
      <c r="V563" s="84">
        <v>0</v>
      </c>
      <c r="W563" s="84">
        <v>0</v>
      </c>
      <c r="X563" s="84">
        <v>0</v>
      </c>
      <c r="Y563" s="84">
        <v>0</v>
      </c>
      <c r="Z563" s="84">
        <v>0</v>
      </c>
      <c r="AA563" s="84">
        <v>0</v>
      </c>
      <c r="AB563" s="84">
        <v>0</v>
      </c>
      <c r="AC563" s="84">
        <v>0</v>
      </c>
      <c r="AD563" s="84">
        <v>0</v>
      </c>
      <c r="AE563" s="84">
        <v>0</v>
      </c>
      <c r="AF563" s="84">
        <v>0</v>
      </c>
      <c r="AG563" s="84">
        <v>0</v>
      </c>
      <c r="AH563" s="84">
        <v>1</v>
      </c>
      <c r="AI563" s="84">
        <v>1</v>
      </c>
      <c r="AJ563" s="84">
        <v>1</v>
      </c>
      <c r="AK563" s="84">
        <v>1</v>
      </c>
      <c r="AL563" s="84" cm="1">
        <f t="array" ref="AL5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63" s="84" cm="1">
        <f t="array" ref="AM5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3" s="84" cm="1">
        <f t="array" ref="AN5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3" s="84" cm="1">
        <f t="array" ref="AO5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3" s="84" cm="1">
        <f t="array" ref="AP5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3" s="84" cm="1">
        <f t="array" ref="AQ5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3" s="84" cm="1">
        <f t="array" ref="AR5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3" s="84" cm="1">
        <f t="array" ref="AS5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3" s="84" cm="1">
        <f t="array" ref="AT5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3" s="84" cm="1">
        <f t="array" ref="AU5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63" s="84" cm="1">
        <f t="array" ref="AV5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63" s="84" cm="1">
        <f t="array" ref="AW5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63" s="84" cm="1">
        <f t="array" ref="AX5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63" s="84" cm="1">
        <f t="array" ref="AY5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63" s="84" cm="1">
        <f t="array" ref="AZ5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63" s="84" cm="1">
        <f t="array" ref="BA5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63" s="84" cm="1">
        <f t="array" ref="BB5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63" s="84">
        <f>IF(SUM(Table3[[#This Row],[Column2]:[Column18]])&gt;Table3[[#This Row],[Column19]],Table3[[#This Row],[Column19]],SUM(Table3[[#This Row],[Column2]:[Column18]]))</f>
        <v>50000</v>
      </c>
      <c r="BD563" s="2">
        <f>Table3[[#This Row],[Total Spend]]/SUM(Table3[[#This Row],[Column2]:[Column18]])</f>
        <v>0.77700077700077697</v>
      </c>
    </row>
    <row r="564" spans="1:56">
      <c r="A564" s="84" t="s">
        <v>638</v>
      </c>
      <c r="B564" s="84"/>
      <c r="C564" s="84"/>
      <c r="D564" s="85">
        <v>45566</v>
      </c>
      <c r="E564" s="85" t="s">
        <v>58</v>
      </c>
      <c r="F564" s="84">
        <f>INDEX(Definitions!$G$13:$G$17,MATCH(Table3[[#This Row],[Propensity to buy/ buyer readiness]],Definitions!$A$13:$A$17,0))</f>
        <v>150000</v>
      </c>
      <c r="G564" s="86">
        <v>4</v>
      </c>
      <c r="H564" s="86">
        <v>4</v>
      </c>
      <c r="I564" s="86">
        <v>3</v>
      </c>
      <c r="J564" s="86">
        <v>3</v>
      </c>
      <c r="K564" s="86">
        <v>4</v>
      </c>
      <c r="L564" s="86">
        <f>SUM(Table3[[#This Row],[Strategic priority segment]:[Propensity to buy/ buyer readiness]])</f>
        <v>18</v>
      </c>
      <c r="M564" s="86" t="s">
        <v>152</v>
      </c>
      <c r="N564" s="84" t="s">
        <v>122</v>
      </c>
      <c r="O564" s="84" t="s">
        <v>62</v>
      </c>
      <c r="P564" s="87"/>
      <c r="Q564" s="87"/>
      <c r="R564" s="84"/>
      <c r="S564" s="87"/>
      <c r="T564" s="87"/>
      <c r="U564" s="84">
        <v>1</v>
      </c>
      <c r="V564" s="84">
        <v>0</v>
      </c>
      <c r="W564" s="84">
        <v>0</v>
      </c>
      <c r="X564" s="84">
        <v>0</v>
      </c>
      <c r="Y564" s="84">
        <v>0</v>
      </c>
      <c r="Z564" s="84">
        <v>1</v>
      </c>
      <c r="AA564" s="84">
        <v>0</v>
      </c>
      <c r="AB564" s="84">
        <v>1</v>
      </c>
      <c r="AC564" s="84">
        <v>0</v>
      </c>
      <c r="AD564" s="84">
        <v>1</v>
      </c>
      <c r="AE564" s="84">
        <v>1</v>
      </c>
      <c r="AF564" s="84">
        <v>1</v>
      </c>
      <c r="AG564" s="84">
        <v>1</v>
      </c>
      <c r="AH564" s="84">
        <v>0</v>
      </c>
      <c r="AI564" s="84">
        <v>0</v>
      </c>
      <c r="AJ564" s="84">
        <v>0</v>
      </c>
      <c r="AK564" s="84">
        <v>0</v>
      </c>
      <c r="AL564" s="84" cm="1">
        <f t="array" ref="AL5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64" s="84" cm="1">
        <f t="array" ref="AM5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4" s="84" cm="1">
        <f t="array" ref="AN5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4" s="84" cm="1">
        <f t="array" ref="AO5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4" s="84" cm="1">
        <f t="array" ref="AP5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4" s="84" cm="1">
        <f t="array" ref="AQ5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64" s="84" cm="1">
        <f t="array" ref="AR5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4" s="84" cm="1">
        <f t="array" ref="AS5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64" s="84" cm="1">
        <f t="array" ref="AT5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4" s="84" cm="1">
        <f t="array" ref="AU5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64" s="84" cm="1">
        <f t="array" ref="AV5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564" s="84" cm="1">
        <f t="array" ref="AW5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64" s="84" cm="1">
        <f t="array" ref="AX5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564" s="84" cm="1">
        <f t="array" ref="AY5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4" s="84" cm="1">
        <f t="array" ref="AZ5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4" s="84" cm="1">
        <f t="array" ref="BA5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4" s="84" cm="1">
        <f t="array" ref="BB5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4" s="84">
        <f>IF(SUM(Table3[[#This Row],[Column2]:[Column18]])&gt;Table3[[#This Row],[Column19]],Table3[[#This Row],[Column19]],SUM(Table3[[#This Row],[Column2]:[Column18]]))</f>
        <v>150000</v>
      </c>
      <c r="BD564" s="2">
        <f>Table3[[#This Row],[Total Spend]]/SUM(Table3[[#This Row],[Column2]:[Column18]])</f>
        <v>0.70028011204481788</v>
      </c>
    </row>
    <row r="565" spans="1:56">
      <c r="A565" s="84" t="s">
        <v>639</v>
      </c>
      <c r="B565" s="84" t="s">
        <v>57</v>
      </c>
      <c r="C565" s="84" t="s">
        <v>57</v>
      </c>
      <c r="D565" s="85">
        <v>45566</v>
      </c>
      <c r="E565" s="85" t="s">
        <v>92</v>
      </c>
      <c r="F565" s="84">
        <f>INDEX(Definitions!$G$13:$G$17,MATCH(Table3[[#This Row],[Propensity to buy/ buyer readiness]],Definitions!$A$13:$A$17,0))</f>
        <v>50000</v>
      </c>
      <c r="G565" s="86">
        <v>5</v>
      </c>
      <c r="H565" s="86">
        <v>4</v>
      </c>
      <c r="I565" s="86">
        <v>3</v>
      </c>
      <c r="J565" s="86">
        <v>3</v>
      </c>
      <c r="K565" s="86">
        <v>3</v>
      </c>
      <c r="L565" s="86">
        <f>SUM(Table3[[#This Row],[Strategic priority segment]:[Propensity to buy/ buyer readiness]])</f>
        <v>18</v>
      </c>
      <c r="M565" s="86" t="s">
        <v>66</v>
      </c>
      <c r="N565" s="84" t="s">
        <v>62</v>
      </c>
      <c r="O565" s="84"/>
      <c r="P565" s="87"/>
      <c r="Q565" s="87"/>
      <c r="R565" s="84"/>
      <c r="S565" s="87"/>
      <c r="T565" s="87"/>
      <c r="U565" s="84">
        <v>1</v>
      </c>
      <c r="V565" s="84">
        <v>0</v>
      </c>
      <c r="W565" s="84">
        <v>0</v>
      </c>
      <c r="X565" s="84">
        <v>0</v>
      </c>
      <c r="Y565" s="84">
        <v>0</v>
      </c>
      <c r="Z565" s="84">
        <v>0</v>
      </c>
      <c r="AA565" s="84">
        <v>0</v>
      </c>
      <c r="AB565" s="84">
        <v>0</v>
      </c>
      <c r="AC565" s="84">
        <v>0</v>
      </c>
      <c r="AD565" s="84">
        <v>1</v>
      </c>
      <c r="AE565" s="84">
        <v>1</v>
      </c>
      <c r="AF565" s="84">
        <v>1</v>
      </c>
      <c r="AG565" s="84">
        <v>1</v>
      </c>
      <c r="AH565" s="84">
        <v>0</v>
      </c>
      <c r="AI565" s="84">
        <v>0</v>
      </c>
      <c r="AJ565" s="84">
        <v>0</v>
      </c>
      <c r="AK565" s="84">
        <v>0</v>
      </c>
      <c r="AL565" s="84" cm="1">
        <f t="array" ref="AL5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65" s="84" cm="1">
        <f t="array" ref="AM5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5" s="84" cm="1">
        <f t="array" ref="AN5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5" s="84" cm="1">
        <f t="array" ref="AO5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5" s="84" cm="1">
        <f t="array" ref="AP5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5" s="84" cm="1">
        <f t="array" ref="AQ5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5" s="84" cm="1">
        <f t="array" ref="AR5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5" s="84" cm="1">
        <f t="array" ref="AS5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5" s="84" cm="1">
        <f t="array" ref="AT5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5" s="84" cm="1">
        <f t="array" ref="AU5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65" s="84" cm="1">
        <f t="array" ref="AV5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65" s="84" cm="1">
        <f t="array" ref="AW5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65" s="84" cm="1">
        <f t="array" ref="AX5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65" s="84" cm="1">
        <f t="array" ref="AY5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5" s="84" cm="1">
        <f t="array" ref="AZ5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5" s="84" cm="1">
        <f t="array" ref="BA5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5" s="84" cm="1">
        <f t="array" ref="BB5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5" s="84">
        <f>IF(SUM(Table3[[#This Row],[Column2]:[Column18]])&gt;Table3[[#This Row],[Column19]],Table3[[#This Row],[Column19]],SUM(Table3[[#This Row],[Column2]:[Column18]]))</f>
        <v>50000</v>
      </c>
      <c r="BD565" s="2">
        <f>Table3[[#This Row],[Total Spend]]/SUM(Table3[[#This Row],[Column2]:[Column18]])</f>
        <v>0.53163211057947901</v>
      </c>
    </row>
    <row r="566" spans="1:56" ht="28.5">
      <c r="A566" s="87" t="s">
        <v>640</v>
      </c>
      <c r="B566" s="87"/>
      <c r="C566" s="87"/>
      <c r="D566" s="85">
        <v>45566</v>
      </c>
      <c r="E566" s="85" t="s">
        <v>58</v>
      </c>
      <c r="F566" s="84">
        <f>INDEX(Definitions!$G$13:$G$17,MATCH(Table3[[#This Row],[Propensity to buy/ buyer readiness]],Definitions!$A$13:$A$17,0))</f>
        <v>50000</v>
      </c>
      <c r="G566" s="86">
        <v>5</v>
      </c>
      <c r="H566" s="86">
        <v>4</v>
      </c>
      <c r="I566" s="86">
        <v>2</v>
      </c>
      <c r="J566" s="86">
        <v>4</v>
      </c>
      <c r="K566" s="86">
        <v>3</v>
      </c>
      <c r="L566" s="86">
        <f>SUM(Table3[[#This Row],[Strategic priority segment]:[Propensity to buy/ buyer readiness]])</f>
        <v>18</v>
      </c>
      <c r="M566" s="86" t="s">
        <v>191</v>
      </c>
      <c r="N566" s="84" t="s">
        <v>135</v>
      </c>
      <c r="O566" s="87"/>
      <c r="P566" s="87"/>
      <c r="Q566" s="87"/>
      <c r="R566" s="84"/>
      <c r="S566" s="87"/>
      <c r="T566" s="87"/>
      <c r="U566" s="84">
        <v>0</v>
      </c>
      <c r="V566" s="84">
        <v>0</v>
      </c>
      <c r="W566" s="84">
        <v>0</v>
      </c>
      <c r="X566" s="84">
        <v>0</v>
      </c>
      <c r="Y566" s="84">
        <v>0</v>
      </c>
      <c r="Z566" s="84">
        <v>0</v>
      </c>
      <c r="AA566" s="84">
        <v>0</v>
      </c>
      <c r="AB566" s="84">
        <v>0</v>
      </c>
      <c r="AC566" s="84">
        <v>0</v>
      </c>
      <c r="AD566" s="84">
        <v>0</v>
      </c>
      <c r="AE566" s="84">
        <v>0</v>
      </c>
      <c r="AF566" s="84">
        <v>0</v>
      </c>
      <c r="AG566" s="84">
        <v>0</v>
      </c>
      <c r="AH566" s="84">
        <v>1</v>
      </c>
      <c r="AI566" s="84">
        <v>1</v>
      </c>
      <c r="AJ566" s="84">
        <v>1</v>
      </c>
      <c r="AK566" s="84">
        <v>1</v>
      </c>
      <c r="AL566" s="84" cm="1">
        <f t="array" ref="AL5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66" s="84" cm="1">
        <f t="array" ref="AM5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6" s="84" cm="1">
        <f t="array" ref="AN5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6" s="84" cm="1">
        <f t="array" ref="AO5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6" s="84" cm="1">
        <f t="array" ref="AP5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6" s="84" cm="1">
        <f t="array" ref="AQ5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6" s="84" cm="1">
        <f t="array" ref="AR5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6" s="84" cm="1">
        <f t="array" ref="AS5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6" s="84" cm="1">
        <f t="array" ref="AT5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6" s="84" cm="1">
        <f t="array" ref="AU5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66" s="84" cm="1">
        <f t="array" ref="AV5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66" s="84" cm="1">
        <f t="array" ref="AW5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66" s="84" cm="1">
        <f t="array" ref="AX5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66" s="84" cm="1">
        <f t="array" ref="AY5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66" s="84" cm="1">
        <f t="array" ref="AZ5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66" s="84" cm="1">
        <f t="array" ref="BA5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66" s="84" cm="1">
        <f t="array" ref="BB5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66" s="84">
        <f>IF(SUM(Table3[[#This Row],[Column2]:[Column18]])&gt;Table3[[#This Row],[Column19]],Table3[[#This Row],[Column19]],SUM(Table3[[#This Row],[Column2]:[Column18]]))</f>
        <v>50000</v>
      </c>
      <c r="BD566" s="2">
        <f>Table3[[#This Row],[Total Spend]]/SUM(Table3[[#This Row],[Column2]:[Column18]])</f>
        <v>0.77700077700077697</v>
      </c>
    </row>
    <row r="567" spans="1:56">
      <c r="A567" s="87" t="s">
        <v>641</v>
      </c>
      <c r="B567" s="87"/>
      <c r="C567" s="87" t="s">
        <v>57</v>
      </c>
      <c r="D567" s="85">
        <v>45566</v>
      </c>
      <c r="E567" s="85" t="s">
        <v>92</v>
      </c>
      <c r="F567" s="84">
        <f>INDEX(Definitions!$G$13:$G$17,MATCH(Table3[[#This Row],[Propensity to buy/ buyer readiness]],Definitions!$A$13:$A$17,0))</f>
        <v>50000</v>
      </c>
      <c r="G567" s="86">
        <v>5</v>
      </c>
      <c r="H567" s="86">
        <v>4</v>
      </c>
      <c r="I567" s="86">
        <v>3</v>
      </c>
      <c r="J567" s="86">
        <v>3</v>
      </c>
      <c r="K567" s="86">
        <v>3</v>
      </c>
      <c r="L567" s="86">
        <f>SUM(Table3[[#This Row],[Strategic priority segment]:[Propensity to buy/ buyer readiness]])</f>
        <v>18</v>
      </c>
      <c r="M567" s="86" t="s">
        <v>66</v>
      </c>
      <c r="N567" s="84" t="s">
        <v>62</v>
      </c>
      <c r="O567" s="87"/>
      <c r="P567" s="87"/>
      <c r="Q567" s="87"/>
      <c r="R567" s="84"/>
      <c r="S567" s="87"/>
      <c r="T567" s="87"/>
      <c r="U567" s="84">
        <v>1</v>
      </c>
      <c r="V567" s="84">
        <v>0</v>
      </c>
      <c r="W567" s="84">
        <v>0</v>
      </c>
      <c r="X567" s="84">
        <v>0</v>
      </c>
      <c r="Y567" s="84">
        <v>0</v>
      </c>
      <c r="Z567" s="84">
        <v>0</v>
      </c>
      <c r="AA567" s="84">
        <v>0</v>
      </c>
      <c r="AB567" s="84">
        <v>0</v>
      </c>
      <c r="AC567" s="84">
        <v>0</v>
      </c>
      <c r="AD567" s="84">
        <v>1</v>
      </c>
      <c r="AE567" s="84">
        <v>1</v>
      </c>
      <c r="AF567" s="84">
        <v>1</v>
      </c>
      <c r="AG567" s="84">
        <v>1</v>
      </c>
      <c r="AH567" s="84">
        <v>0</v>
      </c>
      <c r="AI567" s="84">
        <v>0</v>
      </c>
      <c r="AJ567" s="84">
        <v>0</v>
      </c>
      <c r="AK567" s="84">
        <v>0</v>
      </c>
      <c r="AL567" s="84" cm="1">
        <f t="array" ref="AL5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67" s="84" cm="1">
        <f t="array" ref="AM5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7" s="84" cm="1">
        <f t="array" ref="AN5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7" s="84" cm="1">
        <f t="array" ref="AO5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7" s="84" cm="1">
        <f t="array" ref="AP5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7" s="84" cm="1">
        <f t="array" ref="AQ5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7" s="84" cm="1">
        <f t="array" ref="AR5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7" s="84" cm="1">
        <f t="array" ref="AS5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7" s="84" cm="1">
        <f t="array" ref="AT5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7" s="84" cm="1">
        <f t="array" ref="AU5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67" s="84" cm="1">
        <f t="array" ref="AV5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67" s="84" cm="1">
        <f t="array" ref="AW5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67" s="84" cm="1">
        <f t="array" ref="AX5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67" s="84" cm="1">
        <f t="array" ref="AY5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7" s="84" cm="1">
        <f t="array" ref="AZ5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7" s="84" cm="1">
        <f t="array" ref="BA5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7" s="84" cm="1">
        <f t="array" ref="BB5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7" s="84">
        <f>IF(SUM(Table3[[#This Row],[Column2]:[Column18]])&gt;Table3[[#This Row],[Column19]],Table3[[#This Row],[Column19]],SUM(Table3[[#This Row],[Column2]:[Column18]]))</f>
        <v>50000</v>
      </c>
      <c r="BD567" s="2">
        <f>Table3[[#This Row],[Total Spend]]/SUM(Table3[[#This Row],[Column2]:[Column18]])</f>
        <v>0.53163211057947901</v>
      </c>
    </row>
    <row r="568" spans="1:56">
      <c r="A568" s="84" t="s">
        <v>642</v>
      </c>
      <c r="B568" s="84"/>
      <c r="C568" s="84" t="s">
        <v>57</v>
      </c>
      <c r="D568" s="85">
        <v>45566</v>
      </c>
      <c r="E568" s="85" t="s">
        <v>58</v>
      </c>
      <c r="F568" s="84">
        <f>INDEX(Definitions!$G$13:$G$17,MATCH(Table3[[#This Row],[Propensity to buy/ buyer readiness]],Definitions!$A$13:$A$17,0))</f>
        <v>150000</v>
      </c>
      <c r="G568" s="86">
        <v>4</v>
      </c>
      <c r="H568" s="86">
        <v>3</v>
      </c>
      <c r="I568" s="86">
        <v>4</v>
      </c>
      <c r="J568" s="86">
        <v>3</v>
      </c>
      <c r="K568" s="86">
        <v>4</v>
      </c>
      <c r="L568" s="86">
        <f>SUM(Table3[[#This Row],[Strategic priority segment]:[Propensity to buy/ buyer readiness]])</f>
        <v>18</v>
      </c>
      <c r="M568" s="86" t="s">
        <v>152</v>
      </c>
      <c r="N568" s="84" t="s">
        <v>122</v>
      </c>
      <c r="O568" s="84"/>
      <c r="P568" s="87"/>
      <c r="Q568" s="87"/>
      <c r="R568" s="84"/>
      <c r="S568" s="87"/>
      <c r="T568" s="87"/>
      <c r="U568" s="84">
        <v>1</v>
      </c>
      <c r="V568" s="84">
        <v>0</v>
      </c>
      <c r="W568" s="84">
        <v>0</v>
      </c>
      <c r="X568" s="84">
        <v>0</v>
      </c>
      <c r="Y568" s="84">
        <v>0</v>
      </c>
      <c r="Z568" s="84">
        <v>1</v>
      </c>
      <c r="AA568" s="84">
        <v>0</v>
      </c>
      <c r="AB568" s="84">
        <v>1</v>
      </c>
      <c r="AC568" s="84">
        <v>0</v>
      </c>
      <c r="AD568" s="84">
        <v>1</v>
      </c>
      <c r="AE568" s="84">
        <v>0</v>
      </c>
      <c r="AF568" s="84">
        <v>1</v>
      </c>
      <c r="AG568" s="84">
        <v>0</v>
      </c>
      <c r="AH568" s="84">
        <v>0</v>
      </c>
      <c r="AI568" s="84">
        <v>0</v>
      </c>
      <c r="AJ568" s="84">
        <v>0</v>
      </c>
      <c r="AK568" s="84">
        <v>0</v>
      </c>
      <c r="AL568" s="84" cm="1">
        <f t="array" ref="AL5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68" s="84" cm="1">
        <f t="array" ref="AM5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8" s="84" cm="1">
        <f t="array" ref="AN5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8" s="84" cm="1">
        <f t="array" ref="AO5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8" s="84" cm="1">
        <f t="array" ref="AP5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8" s="84" cm="1">
        <f t="array" ref="AQ5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68" s="84" cm="1">
        <f t="array" ref="AR5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8" s="84" cm="1">
        <f t="array" ref="AS5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68" s="84" cm="1">
        <f t="array" ref="AT5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8" s="84" cm="1">
        <f t="array" ref="AU5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68" s="84" cm="1">
        <f t="array" ref="AV5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68" s="84" cm="1">
        <f t="array" ref="AW5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68" s="84" cm="1">
        <f t="array" ref="AX5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68" s="84" cm="1">
        <f t="array" ref="AY5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68" s="84" cm="1">
        <f t="array" ref="AZ5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68" s="84" cm="1">
        <f t="array" ref="BA5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68" s="84" cm="1">
        <f t="array" ref="BB5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68" s="84">
        <f>IF(SUM(Table3[[#This Row],[Column2]:[Column18]])&gt;Table3[[#This Row],[Column19]],Table3[[#This Row],[Column19]],SUM(Table3[[#This Row],[Column2]:[Column18]]))</f>
        <v>150000</v>
      </c>
      <c r="BD568" s="2">
        <f>Table3[[#This Row],[Total Spend]]/SUM(Table3[[#This Row],[Column2]:[Column18]])</f>
        <v>0.89605734767025091</v>
      </c>
    </row>
    <row r="569" spans="1:56">
      <c r="A569" s="87" t="s">
        <v>643</v>
      </c>
      <c r="B569" s="87"/>
      <c r="C569" s="87"/>
      <c r="D569" s="85">
        <v>45566</v>
      </c>
      <c r="E569" s="85" t="s">
        <v>58</v>
      </c>
      <c r="F569" s="84">
        <f>INDEX(Definitions!$G$13:$G$17,MATCH(Table3[[#This Row],[Propensity to buy/ buyer readiness]],Definitions!$A$13:$A$17,0))</f>
        <v>50000</v>
      </c>
      <c r="G569" s="86">
        <v>5</v>
      </c>
      <c r="H569" s="86">
        <v>4</v>
      </c>
      <c r="I569" s="86">
        <v>2</v>
      </c>
      <c r="J569" s="86">
        <v>4</v>
      </c>
      <c r="K569" s="86">
        <v>3</v>
      </c>
      <c r="L569" s="86">
        <f>SUM(Table3[[#This Row],[Strategic priority segment]:[Propensity to buy/ buyer readiness]])</f>
        <v>18</v>
      </c>
      <c r="M569" s="86" t="s">
        <v>191</v>
      </c>
      <c r="N569" s="84" t="s">
        <v>135</v>
      </c>
      <c r="O569" s="87"/>
      <c r="P569" s="87"/>
      <c r="Q569" s="87"/>
      <c r="R569" s="84"/>
      <c r="S569" s="87"/>
      <c r="T569" s="87"/>
      <c r="U569" s="84">
        <v>0</v>
      </c>
      <c r="V569" s="84">
        <v>0</v>
      </c>
      <c r="W569" s="84">
        <v>0</v>
      </c>
      <c r="X569" s="84">
        <v>0</v>
      </c>
      <c r="Y569" s="84">
        <v>0</v>
      </c>
      <c r="Z569" s="84">
        <v>0</v>
      </c>
      <c r="AA569" s="84">
        <v>0</v>
      </c>
      <c r="AB569" s="84">
        <v>0</v>
      </c>
      <c r="AC569" s="84">
        <v>0</v>
      </c>
      <c r="AD569" s="84">
        <v>0</v>
      </c>
      <c r="AE569" s="84">
        <v>0</v>
      </c>
      <c r="AF569" s="84">
        <v>0</v>
      </c>
      <c r="AG569" s="84">
        <v>0</v>
      </c>
      <c r="AH569" s="84">
        <v>1</v>
      </c>
      <c r="AI569" s="84">
        <v>1</v>
      </c>
      <c r="AJ569" s="84">
        <v>1</v>
      </c>
      <c r="AK569" s="84">
        <v>1</v>
      </c>
      <c r="AL569" s="84" cm="1">
        <f t="array" ref="AL5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69" s="84" cm="1">
        <f t="array" ref="AM5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69" s="84" cm="1">
        <f t="array" ref="AN5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69" s="84" cm="1">
        <f t="array" ref="AO5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69" s="84" cm="1">
        <f t="array" ref="AP5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69" s="84" cm="1">
        <f t="array" ref="AQ5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69" s="84" cm="1">
        <f t="array" ref="AR5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69" s="84" cm="1">
        <f t="array" ref="AS5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69" s="84" cm="1">
        <f t="array" ref="AT5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69" s="84" cm="1">
        <f t="array" ref="AU5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69" s="84" cm="1">
        <f t="array" ref="AV5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69" s="84" cm="1">
        <f t="array" ref="AW5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69" s="84" cm="1">
        <f t="array" ref="AX5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69" s="84" cm="1">
        <f t="array" ref="AY5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69" s="84" cm="1">
        <f t="array" ref="AZ5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69" s="84" cm="1">
        <f t="array" ref="BA5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69" s="84" cm="1">
        <f t="array" ref="BB5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69" s="84">
        <f>IF(SUM(Table3[[#This Row],[Column2]:[Column18]])&gt;Table3[[#This Row],[Column19]],Table3[[#This Row],[Column19]],SUM(Table3[[#This Row],[Column2]:[Column18]]))</f>
        <v>50000</v>
      </c>
      <c r="BD569" s="2">
        <f>Table3[[#This Row],[Total Spend]]/SUM(Table3[[#This Row],[Column2]:[Column18]])</f>
        <v>0.77700077700077697</v>
      </c>
    </row>
    <row r="570" spans="1:56">
      <c r="A570" s="84" t="s">
        <v>644</v>
      </c>
      <c r="B570" s="84" t="s">
        <v>57</v>
      </c>
      <c r="C570" s="84"/>
      <c r="D570" s="85">
        <v>45566</v>
      </c>
      <c r="E570" s="85" t="s">
        <v>58</v>
      </c>
      <c r="F570" s="84">
        <f>INDEX(Definitions!$G$13:$G$17,MATCH(Table3[[#This Row],[Propensity to buy/ buyer readiness]],Definitions!$A$13:$A$17,0))</f>
        <v>150000</v>
      </c>
      <c r="G570" s="86">
        <v>4</v>
      </c>
      <c r="H570" s="86">
        <v>3</v>
      </c>
      <c r="I570" s="86">
        <v>4</v>
      </c>
      <c r="J570" s="86">
        <v>3</v>
      </c>
      <c r="K570" s="86">
        <v>4</v>
      </c>
      <c r="L570" s="86">
        <f>SUM(Table3[[#This Row],[Strategic priority segment]:[Propensity to buy/ buyer readiness]])</f>
        <v>18</v>
      </c>
      <c r="M570" s="86" t="s">
        <v>152</v>
      </c>
      <c r="N570" s="84" t="s">
        <v>122</v>
      </c>
      <c r="O570" s="84"/>
      <c r="P570" s="87"/>
      <c r="Q570" s="87"/>
      <c r="R570" s="84"/>
      <c r="S570" s="87"/>
      <c r="T570" s="87"/>
      <c r="U570" s="84">
        <v>1</v>
      </c>
      <c r="V570" s="84">
        <v>0</v>
      </c>
      <c r="W570" s="84">
        <v>0</v>
      </c>
      <c r="X570" s="84">
        <v>0</v>
      </c>
      <c r="Y570" s="84">
        <v>0</v>
      </c>
      <c r="Z570" s="84">
        <v>1</v>
      </c>
      <c r="AA570" s="84">
        <v>0</v>
      </c>
      <c r="AB570" s="84">
        <v>1</v>
      </c>
      <c r="AC570" s="84">
        <v>0</v>
      </c>
      <c r="AD570" s="84">
        <v>1</v>
      </c>
      <c r="AE570" s="84">
        <v>0</v>
      </c>
      <c r="AF570" s="84">
        <v>1</v>
      </c>
      <c r="AG570" s="84">
        <v>0</v>
      </c>
      <c r="AH570" s="84">
        <v>0</v>
      </c>
      <c r="AI570" s="84">
        <v>0</v>
      </c>
      <c r="AJ570" s="84">
        <v>0</v>
      </c>
      <c r="AK570" s="84">
        <v>0</v>
      </c>
      <c r="AL570" s="84" cm="1">
        <f t="array" ref="AL5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70" s="84" cm="1">
        <f t="array" ref="AM5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0" s="84" cm="1">
        <f t="array" ref="AN5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0" s="84" cm="1">
        <f t="array" ref="AO5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0" s="84" cm="1">
        <f t="array" ref="AP5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0" s="84" cm="1">
        <f t="array" ref="AQ5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70" s="84" cm="1">
        <f t="array" ref="AR5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0" s="84" cm="1">
        <f t="array" ref="AS5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70" s="84" cm="1">
        <f t="array" ref="AT5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0" s="84" cm="1">
        <f t="array" ref="AU5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70" s="84" cm="1">
        <f t="array" ref="AV5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0" s="84" cm="1">
        <f t="array" ref="AW5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70" s="84" cm="1">
        <f t="array" ref="AX5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0" s="84" cm="1">
        <f t="array" ref="AY5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70" s="84" cm="1">
        <f t="array" ref="AZ5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70" s="84" cm="1">
        <f t="array" ref="BA5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70" s="84" cm="1">
        <f t="array" ref="BB5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70" s="84">
        <f>IF(SUM(Table3[[#This Row],[Column2]:[Column18]])&gt;Table3[[#This Row],[Column19]],Table3[[#This Row],[Column19]],SUM(Table3[[#This Row],[Column2]:[Column18]]))</f>
        <v>150000</v>
      </c>
      <c r="BD570" s="2">
        <f>Table3[[#This Row],[Total Spend]]/SUM(Table3[[#This Row],[Column2]:[Column18]])</f>
        <v>0.89605734767025091</v>
      </c>
    </row>
    <row r="571" spans="1:56">
      <c r="A571" s="84" t="s">
        <v>645</v>
      </c>
      <c r="B571" s="84"/>
      <c r="C571" s="84"/>
      <c r="D571" s="85">
        <v>45566</v>
      </c>
      <c r="E571" s="85" t="s">
        <v>58</v>
      </c>
      <c r="F571" s="84">
        <f>INDEX(Definitions!$G$13:$G$17,MATCH(Table3[[#This Row],[Propensity to buy/ buyer readiness]],Definitions!$A$13:$A$17,0))</f>
        <v>150000</v>
      </c>
      <c r="G571" s="86">
        <v>4</v>
      </c>
      <c r="H571" s="86">
        <v>3</v>
      </c>
      <c r="I571" s="86">
        <v>4</v>
      </c>
      <c r="J571" s="86">
        <v>3</v>
      </c>
      <c r="K571" s="86">
        <v>4</v>
      </c>
      <c r="L571" s="86">
        <f>SUM(Table3[[#This Row],[Strategic priority segment]:[Propensity to buy/ buyer readiness]])</f>
        <v>18</v>
      </c>
      <c r="M571" s="86" t="s">
        <v>152</v>
      </c>
      <c r="N571" s="84" t="s">
        <v>122</v>
      </c>
      <c r="O571" s="84"/>
      <c r="P571" s="87"/>
      <c r="Q571" s="87"/>
      <c r="R571" s="84"/>
      <c r="S571" s="87"/>
      <c r="T571" s="87"/>
      <c r="U571" s="84">
        <v>1</v>
      </c>
      <c r="V571" s="84">
        <v>0</v>
      </c>
      <c r="W571" s="84">
        <v>0</v>
      </c>
      <c r="X571" s="84">
        <v>0</v>
      </c>
      <c r="Y571" s="84">
        <v>0</v>
      </c>
      <c r="Z571" s="84">
        <v>1</v>
      </c>
      <c r="AA571" s="84">
        <v>0</v>
      </c>
      <c r="AB571" s="84">
        <v>1</v>
      </c>
      <c r="AC571" s="84">
        <v>0</v>
      </c>
      <c r="AD571" s="84">
        <v>1</v>
      </c>
      <c r="AE571" s="84">
        <v>0</v>
      </c>
      <c r="AF571" s="84">
        <v>1</v>
      </c>
      <c r="AG571" s="84">
        <v>0</v>
      </c>
      <c r="AH571" s="84">
        <v>0</v>
      </c>
      <c r="AI571" s="84">
        <v>0</v>
      </c>
      <c r="AJ571" s="84">
        <v>0</v>
      </c>
      <c r="AK571" s="84">
        <v>0</v>
      </c>
      <c r="AL571" s="84" cm="1">
        <f t="array" ref="AL5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71" s="84" cm="1">
        <f t="array" ref="AM5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1" s="84" cm="1">
        <f t="array" ref="AN5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1" s="84" cm="1">
        <f t="array" ref="AO5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1" s="84" cm="1">
        <f t="array" ref="AP5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1" s="84" cm="1">
        <f t="array" ref="AQ5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71" s="84" cm="1">
        <f t="array" ref="AR5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1" s="84" cm="1">
        <f t="array" ref="AS5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71" s="84" cm="1">
        <f t="array" ref="AT5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1" s="84" cm="1">
        <f t="array" ref="AU5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71" s="84" cm="1">
        <f t="array" ref="AV5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1" s="84" cm="1">
        <f t="array" ref="AW5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71" s="84" cm="1">
        <f t="array" ref="AX5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1" s="84" cm="1">
        <f t="array" ref="AY5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71" s="84" cm="1">
        <f t="array" ref="AZ5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71" s="84" cm="1">
        <f t="array" ref="BA5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71" s="84" cm="1">
        <f t="array" ref="BB5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71" s="84">
        <f>IF(SUM(Table3[[#This Row],[Column2]:[Column18]])&gt;Table3[[#This Row],[Column19]],Table3[[#This Row],[Column19]],SUM(Table3[[#This Row],[Column2]:[Column18]]))</f>
        <v>150000</v>
      </c>
      <c r="BD571" s="2">
        <f>Table3[[#This Row],[Total Spend]]/SUM(Table3[[#This Row],[Column2]:[Column18]])</f>
        <v>0.89605734767025091</v>
      </c>
    </row>
    <row r="572" spans="1:56">
      <c r="A572" s="87" t="s">
        <v>646</v>
      </c>
      <c r="B572" s="87"/>
      <c r="C572" s="87"/>
      <c r="D572" s="85">
        <v>45566</v>
      </c>
      <c r="E572" s="85" t="s">
        <v>58</v>
      </c>
      <c r="F572" s="84">
        <f>INDEX(Definitions!$G$13:$G$17,MATCH(Table3[[#This Row],[Propensity to buy/ buyer readiness]],Definitions!$A$13:$A$17,0))</f>
        <v>50000</v>
      </c>
      <c r="G572" s="86">
        <v>5</v>
      </c>
      <c r="H572" s="86">
        <v>4</v>
      </c>
      <c r="I572" s="86">
        <v>2</v>
      </c>
      <c r="J572" s="86">
        <v>4</v>
      </c>
      <c r="K572" s="86">
        <v>3</v>
      </c>
      <c r="L572" s="86">
        <f>SUM(Table3[[#This Row],[Strategic priority segment]:[Propensity to buy/ buyer readiness]])</f>
        <v>18</v>
      </c>
      <c r="M572" s="86" t="s">
        <v>191</v>
      </c>
      <c r="N572" s="84" t="s">
        <v>135</v>
      </c>
      <c r="O572" s="87"/>
      <c r="P572" s="87"/>
      <c r="Q572" s="87"/>
      <c r="R572" s="84"/>
      <c r="S572" s="87"/>
      <c r="T572" s="87"/>
      <c r="U572" s="84">
        <v>0</v>
      </c>
      <c r="V572" s="84">
        <v>0</v>
      </c>
      <c r="W572" s="84">
        <v>0</v>
      </c>
      <c r="X572" s="84">
        <v>0</v>
      </c>
      <c r="Y572" s="84">
        <v>0</v>
      </c>
      <c r="Z572" s="84">
        <v>0</v>
      </c>
      <c r="AA572" s="84">
        <v>0</v>
      </c>
      <c r="AB572" s="84">
        <v>0</v>
      </c>
      <c r="AC572" s="84">
        <v>0</v>
      </c>
      <c r="AD572" s="84">
        <v>0</v>
      </c>
      <c r="AE572" s="84">
        <v>0</v>
      </c>
      <c r="AF572" s="84">
        <v>0</v>
      </c>
      <c r="AG572" s="84">
        <v>0</v>
      </c>
      <c r="AH572" s="84">
        <v>1</v>
      </c>
      <c r="AI572" s="84">
        <v>1</v>
      </c>
      <c r="AJ572" s="84">
        <v>1</v>
      </c>
      <c r="AK572" s="84">
        <v>1</v>
      </c>
      <c r="AL572" s="84" cm="1">
        <f t="array" ref="AL5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2" s="84" cm="1">
        <f t="array" ref="AM5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2" s="84" cm="1">
        <f t="array" ref="AN5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2" s="84" cm="1">
        <f t="array" ref="AO5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2" s="84" cm="1">
        <f t="array" ref="AP5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2" s="84" cm="1">
        <f t="array" ref="AQ5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2" s="84" cm="1">
        <f t="array" ref="AR5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2" s="84" cm="1">
        <f t="array" ref="AS5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2" s="84" cm="1">
        <f t="array" ref="AT5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2" s="84" cm="1">
        <f t="array" ref="AU5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2" s="84" cm="1">
        <f t="array" ref="AV5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2" s="84" cm="1">
        <f t="array" ref="AW5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2" s="84" cm="1">
        <f t="array" ref="AX5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2" s="84" cm="1">
        <f t="array" ref="AY5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2" s="84" cm="1">
        <f t="array" ref="AZ5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2" s="84" cm="1">
        <f t="array" ref="BA5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2" s="84" cm="1">
        <f t="array" ref="BB5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2" s="84">
        <f>IF(SUM(Table3[[#This Row],[Column2]:[Column18]])&gt;Table3[[#This Row],[Column19]],Table3[[#This Row],[Column19]],SUM(Table3[[#This Row],[Column2]:[Column18]]))</f>
        <v>50000</v>
      </c>
      <c r="BD572" s="2">
        <f>Table3[[#This Row],[Total Spend]]/SUM(Table3[[#This Row],[Column2]:[Column18]])</f>
        <v>0.77700077700077697</v>
      </c>
    </row>
    <row r="573" spans="1:56">
      <c r="A573" s="84" t="s">
        <v>647</v>
      </c>
      <c r="B573" s="84" t="s">
        <v>57</v>
      </c>
      <c r="C573" s="84"/>
      <c r="D573" s="85">
        <v>45566</v>
      </c>
      <c r="E573" s="85" t="s">
        <v>92</v>
      </c>
      <c r="F573" s="84">
        <f>INDEX(Definitions!$G$13:$G$17,MATCH(Table3[[#This Row],[Propensity to buy/ buyer readiness]],Definitions!$A$13:$A$17,0))</f>
        <v>50000</v>
      </c>
      <c r="G573" s="86">
        <v>5</v>
      </c>
      <c r="H573" s="86">
        <v>4</v>
      </c>
      <c r="I573" s="86">
        <v>3</v>
      </c>
      <c r="J573" s="86">
        <v>3</v>
      </c>
      <c r="K573" s="86">
        <v>3</v>
      </c>
      <c r="L573" s="86">
        <f>SUM(Table3[[#This Row],[Strategic priority segment]:[Propensity to buy/ buyer readiness]])</f>
        <v>18</v>
      </c>
      <c r="M573" s="86" t="s">
        <v>66</v>
      </c>
      <c r="N573" s="84" t="s">
        <v>62</v>
      </c>
      <c r="O573" s="84" t="s">
        <v>63</v>
      </c>
      <c r="P573" s="87"/>
      <c r="Q573" s="87"/>
      <c r="R573" s="84"/>
      <c r="S573" s="87"/>
      <c r="T573" s="87"/>
      <c r="U573" s="84">
        <v>1</v>
      </c>
      <c r="V573" s="84">
        <v>0</v>
      </c>
      <c r="W573" s="84">
        <v>1</v>
      </c>
      <c r="X573" s="84">
        <v>0</v>
      </c>
      <c r="Y573" s="84">
        <v>0</v>
      </c>
      <c r="Z573" s="84">
        <v>0</v>
      </c>
      <c r="AA573" s="84">
        <v>1</v>
      </c>
      <c r="AB573" s="84">
        <v>0</v>
      </c>
      <c r="AC573" s="84">
        <v>0</v>
      </c>
      <c r="AD573" s="84">
        <v>1</v>
      </c>
      <c r="AE573" s="84">
        <v>1</v>
      </c>
      <c r="AF573" s="84">
        <v>1</v>
      </c>
      <c r="AG573" s="84">
        <v>1</v>
      </c>
      <c r="AH573" s="84">
        <v>0</v>
      </c>
      <c r="AI573" s="84">
        <v>0</v>
      </c>
      <c r="AJ573" s="84">
        <v>0</v>
      </c>
      <c r="AK573" s="84">
        <v>0</v>
      </c>
      <c r="AL573" s="84" cm="1">
        <f t="array" ref="AL5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73" s="84" cm="1">
        <f t="array" ref="AM5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3" s="84" cm="1">
        <f t="array" ref="AN5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573" s="84" cm="1">
        <f t="array" ref="AO5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3" s="84" cm="1">
        <f t="array" ref="AP5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3" s="84" cm="1">
        <f t="array" ref="AQ5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3" s="84" cm="1">
        <f t="array" ref="AR5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73" s="84" cm="1">
        <f t="array" ref="AS5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3" s="84" cm="1">
        <f t="array" ref="AT5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3" s="84" cm="1">
        <f t="array" ref="AU5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73" s="84" cm="1">
        <f t="array" ref="AV5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73" s="84" cm="1">
        <f t="array" ref="AW5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73" s="84" cm="1">
        <f t="array" ref="AX5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73" s="84" cm="1">
        <f t="array" ref="AY5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73" s="84" cm="1">
        <f t="array" ref="AZ5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73" s="84" cm="1">
        <f t="array" ref="BA5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73" s="84" cm="1">
        <f t="array" ref="BB5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73" s="84">
        <f>IF(SUM(Table3[[#This Row],[Column2]:[Column18]])&gt;Table3[[#This Row],[Column19]],Table3[[#This Row],[Column19]],SUM(Table3[[#This Row],[Column2]:[Column18]]))</f>
        <v>50000</v>
      </c>
      <c r="BD573" s="2">
        <f>Table3[[#This Row],[Total Spend]]/SUM(Table3[[#This Row],[Column2]:[Column18]])</f>
        <v>0.30778701138811942</v>
      </c>
    </row>
    <row r="574" spans="1:56">
      <c r="A574" s="87" t="s">
        <v>648</v>
      </c>
      <c r="B574" s="87"/>
      <c r="C574" s="87"/>
      <c r="D574" s="85">
        <v>45566</v>
      </c>
      <c r="E574" s="85" t="s">
        <v>58</v>
      </c>
      <c r="F574" s="84">
        <f>INDEX(Definitions!$G$13:$G$17,MATCH(Table3[[#This Row],[Propensity to buy/ buyer readiness]],Definitions!$A$13:$A$17,0))</f>
        <v>50000</v>
      </c>
      <c r="G574" s="86">
        <v>5</v>
      </c>
      <c r="H574" s="86">
        <v>4</v>
      </c>
      <c r="I574" s="86">
        <v>2</v>
      </c>
      <c r="J574" s="86">
        <v>4</v>
      </c>
      <c r="K574" s="86">
        <v>3</v>
      </c>
      <c r="L574" s="86">
        <f>SUM(Table3[[#This Row],[Strategic priority segment]:[Propensity to buy/ buyer readiness]])</f>
        <v>18</v>
      </c>
      <c r="M574" s="86" t="s">
        <v>191</v>
      </c>
      <c r="N574" s="84" t="s">
        <v>135</v>
      </c>
      <c r="O574" s="87"/>
      <c r="P574" s="87"/>
      <c r="Q574" s="87"/>
      <c r="R574" s="84"/>
      <c r="S574" s="87"/>
      <c r="T574" s="87"/>
      <c r="U574" s="84">
        <v>0</v>
      </c>
      <c r="V574" s="84">
        <v>0</v>
      </c>
      <c r="W574" s="84">
        <v>0</v>
      </c>
      <c r="X574" s="84">
        <v>0</v>
      </c>
      <c r="Y574" s="84">
        <v>0</v>
      </c>
      <c r="Z574" s="84">
        <v>0</v>
      </c>
      <c r="AA574" s="84">
        <v>0</v>
      </c>
      <c r="AB574" s="84">
        <v>0</v>
      </c>
      <c r="AC574" s="84">
        <v>0</v>
      </c>
      <c r="AD574" s="84">
        <v>0</v>
      </c>
      <c r="AE574" s="84">
        <v>0</v>
      </c>
      <c r="AF574" s="84">
        <v>0</v>
      </c>
      <c r="AG574" s="84">
        <v>0</v>
      </c>
      <c r="AH574" s="84">
        <v>1</v>
      </c>
      <c r="AI574" s="84">
        <v>1</v>
      </c>
      <c r="AJ574" s="84">
        <v>1</v>
      </c>
      <c r="AK574" s="84">
        <v>1</v>
      </c>
      <c r="AL574" s="84" cm="1">
        <f t="array" ref="AL5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4" s="84" cm="1">
        <f t="array" ref="AM5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4" s="84" cm="1">
        <f t="array" ref="AN5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4" s="84" cm="1">
        <f t="array" ref="AO5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4" s="84" cm="1">
        <f t="array" ref="AP5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4" s="84" cm="1">
        <f t="array" ref="AQ5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4" s="84" cm="1">
        <f t="array" ref="AR5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4" s="84" cm="1">
        <f t="array" ref="AS5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4" s="84" cm="1">
        <f t="array" ref="AT5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4" s="84" cm="1">
        <f t="array" ref="AU5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4" s="84" cm="1">
        <f t="array" ref="AV5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4" s="84" cm="1">
        <f t="array" ref="AW5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4" s="84" cm="1">
        <f t="array" ref="AX5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4" s="84" cm="1">
        <f t="array" ref="AY5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4" s="84" cm="1">
        <f t="array" ref="AZ5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4" s="84" cm="1">
        <f t="array" ref="BA5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4" s="84" cm="1">
        <f t="array" ref="BB5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4" s="84">
        <f>IF(SUM(Table3[[#This Row],[Column2]:[Column18]])&gt;Table3[[#This Row],[Column19]],Table3[[#This Row],[Column19]],SUM(Table3[[#This Row],[Column2]:[Column18]]))</f>
        <v>50000</v>
      </c>
      <c r="BD574" s="2">
        <f>Table3[[#This Row],[Total Spend]]/SUM(Table3[[#This Row],[Column2]:[Column18]])</f>
        <v>0.77700077700077697</v>
      </c>
    </row>
    <row r="575" spans="1:56">
      <c r="A575" s="87" t="s">
        <v>649</v>
      </c>
      <c r="B575" s="87"/>
      <c r="C575" s="87"/>
      <c r="D575" s="85">
        <v>45566</v>
      </c>
      <c r="E575" s="85" t="s">
        <v>58</v>
      </c>
      <c r="F575" s="84">
        <f>INDEX(Definitions!$G$13:$G$17,MATCH(Table3[[#This Row],[Propensity to buy/ buyer readiness]],Definitions!$A$13:$A$17,0))</f>
        <v>50000</v>
      </c>
      <c r="G575" s="86">
        <v>5</v>
      </c>
      <c r="H575" s="86">
        <v>4</v>
      </c>
      <c r="I575" s="86">
        <v>2</v>
      </c>
      <c r="J575" s="86">
        <v>4</v>
      </c>
      <c r="K575" s="86">
        <v>3</v>
      </c>
      <c r="L575" s="86">
        <f>SUM(Table3[[#This Row],[Strategic priority segment]:[Propensity to buy/ buyer readiness]])</f>
        <v>18</v>
      </c>
      <c r="M575" s="86" t="s">
        <v>191</v>
      </c>
      <c r="N575" s="84" t="s">
        <v>135</v>
      </c>
      <c r="O575" s="87"/>
      <c r="P575" s="87"/>
      <c r="Q575" s="87"/>
      <c r="R575" s="84"/>
      <c r="S575" s="87"/>
      <c r="T575" s="87"/>
      <c r="U575" s="84">
        <v>0</v>
      </c>
      <c r="V575" s="84">
        <v>0</v>
      </c>
      <c r="W575" s="84">
        <v>0</v>
      </c>
      <c r="X575" s="84">
        <v>0</v>
      </c>
      <c r="Y575" s="84">
        <v>0</v>
      </c>
      <c r="Z575" s="84">
        <v>0</v>
      </c>
      <c r="AA575" s="84">
        <v>0</v>
      </c>
      <c r="AB575" s="84">
        <v>0</v>
      </c>
      <c r="AC575" s="84">
        <v>0</v>
      </c>
      <c r="AD575" s="84">
        <v>0</v>
      </c>
      <c r="AE575" s="84">
        <v>0</v>
      </c>
      <c r="AF575" s="84">
        <v>0</v>
      </c>
      <c r="AG575" s="84">
        <v>0</v>
      </c>
      <c r="AH575" s="84">
        <v>1</v>
      </c>
      <c r="AI575" s="84">
        <v>1</v>
      </c>
      <c r="AJ575" s="84">
        <v>1</v>
      </c>
      <c r="AK575" s="84">
        <v>1</v>
      </c>
      <c r="AL575" s="84" cm="1">
        <f t="array" ref="AL5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5" s="84" cm="1">
        <f t="array" ref="AM5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5" s="84" cm="1">
        <f t="array" ref="AN5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5" s="84" cm="1">
        <f t="array" ref="AO5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5" s="84" cm="1">
        <f t="array" ref="AP5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5" s="84" cm="1">
        <f t="array" ref="AQ5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5" s="84" cm="1">
        <f t="array" ref="AR5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5" s="84" cm="1">
        <f t="array" ref="AS5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5" s="84" cm="1">
        <f t="array" ref="AT5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5" s="84" cm="1">
        <f t="array" ref="AU5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5" s="84" cm="1">
        <f t="array" ref="AV5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5" s="84" cm="1">
        <f t="array" ref="AW5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5" s="84" cm="1">
        <f t="array" ref="AX5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5" s="84" cm="1">
        <f t="array" ref="AY5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5" s="84" cm="1">
        <f t="array" ref="AZ5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5" s="84" cm="1">
        <f t="array" ref="BA5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5" s="84" cm="1">
        <f t="array" ref="BB5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5" s="84">
        <f>IF(SUM(Table3[[#This Row],[Column2]:[Column18]])&gt;Table3[[#This Row],[Column19]],Table3[[#This Row],[Column19]],SUM(Table3[[#This Row],[Column2]:[Column18]]))</f>
        <v>50000</v>
      </c>
      <c r="BD575" s="2">
        <f>Table3[[#This Row],[Total Spend]]/SUM(Table3[[#This Row],[Column2]:[Column18]])</f>
        <v>0.77700077700077697</v>
      </c>
    </row>
    <row r="576" spans="1:56">
      <c r="A576" s="87" t="s">
        <v>650</v>
      </c>
      <c r="B576" s="87"/>
      <c r="C576" s="87"/>
      <c r="D576" s="85">
        <v>45566</v>
      </c>
      <c r="E576" s="85" t="s">
        <v>58</v>
      </c>
      <c r="F576" s="84">
        <f>INDEX(Definitions!$G$13:$G$17,MATCH(Table3[[#This Row],[Propensity to buy/ buyer readiness]],Definitions!$A$13:$A$17,0))</f>
        <v>50000</v>
      </c>
      <c r="G576" s="86">
        <v>5</v>
      </c>
      <c r="H576" s="86">
        <v>4</v>
      </c>
      <c r="I576" s="86">
        <v>2</v>
      </c>
      <c r="J576" s="86">
        <v>4</v>
      </c>
      <c r="K576" s="86">
        <v>3</v>
      </c>
      <c r="L576" s="86">
        <f>SUM(Table3[[#This Row],[Strategic priority segment]:[Propensity to buy/ buyer readiness]])</f>
        <v>18</v>
      </c>
      <c r="M576" s="86" t="s">
        <v>191</v>
      </c>
      <c r="N576" s="84" t="s">
        <v>135</v>
      </c>
      <c r="O576" s="87"/>
      <c r="P576" s="87"/>
      <c r="Q576" s="87"/>
      <c r="R576" s="84"/>
      <c r="S576" s="87"/>
      <c r="T576" s="87"/>
      <c r="U576" s="84">
        <v>0</v>
      </c>
      <c r="V576" s="84">
        <v>0</v>
      </c>
      <c r="W576" s="84">
        <v>0</v>
      </c>
      <c r="X576" s="84">
        <v>0</v>
      </c>
      <c r="Y576" s="84">
        <v>0</v>
      </c>
      <c r="Z576" s="84">
        <v>0</v>
      </c>
      <c r="AA576" s="84">
        <v>0</v>
      </c>
      <c r="AB576" s="84">
        <v>0</v>
      </c>
      <c r="AC576" s="84">
        <v>0</v>
      </c>
      <c r="AD576" s="84">
        <v>0</v>
      </c>
      <c r="AE576" s="84">
        <v>0</v>
      </c>
      <c r="AF576" s="84">
        <v>0</v>
      </c>
      <c r="AG576" s="84">
        <v>0</v>
      </c>
      <c r="AH576" s="84">
        <v>1</v>
      </c>
      <c r="AI576" s="84">
        <v>1</v>
      </c>
      <c r="AJ576" s="84">
        <v>1</v>
      </c>
      <c r="AK576" s="84">
        <v>1</v>
      </c>
      <c r="AL576" s="84" cm="1">
        <f t="array" ref="AL5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6" s="84" cm="1">
        <f t="array" ref="AM5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6" s="84" cm="1">
        <f t="array" ref="AN5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6" s="84" cm="1">
        <f t="array" ref="AO5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6" s="84" cm="1">
        <f t="array" ref="AP5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6" s="84" cm="1">
        <f t="array" ref="AQ5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6" s="84" cm="1">
        <f t="array" ref="AR5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6" s="84" cm="1">
        <f t="array" ref="AS5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6" s="84" cm="1">
        <f t="array" ref="AT5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6" s="84" cm="1">
        <f t="array" ref="AU5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6" s="84" cm="1">
        <f t="array" ref="AV5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6" s="84" cm="1">
        <f t="array" ref="AW5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6" s="84" cm="1">
        <f t="array" ref="AX5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6" s="84" cm="1">
        <f t="array" ref="AY5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6" s="84" cm="1">
        <f t="array" ref="AZ5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6" s="84" cm="1">
        <f t="array" ref="BA5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6" s="84" cm="1">
        <f t="array" ref="BB5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6" s="84">
        <f>IF(SUM(Table3[[#This Row],[Column2]:[Column18]])&gt;Table3[[#This Row],[Column19]],Table3[[#This Row],[Column19]],SUM(Table3[[#This Row],[Column2]:[Column18]]))</f>
        <v>50000</v>
      </c>
      <c r="BD576" s="2">
        <f>Table3[[#This Row],[Total Spend]]/SUM(Table3[[#This Row],[Column2]:[Column18]])</f>
        <v>0.77700077700077697</v>
      </c>
    </row>
    <row r="577" spans="1:56">
      <c r="A577" s="87" t="s">
        <v>651</v>
      </c>
      <c r="B577" s="87"/>
      <c r="C577" s="87"/>
      <c r="D577" s="85">
        <v>45566</v>
      </c>
      <c r="E577" s="85" t="s">
        <v>58</v>
      </c>
      <c r="F577" s="84">
        <f>INDEX(Definitions!$G$13:$G$17,MATCH(Table3[[#This Row],[Propensity to buy/ buyer readiness]],Definitions!$A$13:$A$17,0))</f>
        <v>50000</v>
      </c>
      <c r="G577" s="86">
        <v>5</v>
      </c>
      <c r="H577" s="86">
        <v>4</v>
      </c>
      <c r="I577" s="86">
        <v>2</v>
      </c>
      <c r="J577" s="86">
        <v>4</v>
      </c>
      <c r="K577" s="86">
        <v>3</v>
      </c>
      <c r="L577" s="86">
        <f>SUM(Table3[[#This Row],[Strategic priority segment]:[Propensity to buy/ buyer readiness]])</f>
        <v>18</v>
      </c>
      <c r="M577" s="86" t="s">
        <v>191</v>
      </c>
      <c r="N577" s="84" t="s">
        <v>135</v>
      </c>
      <c r="O577" s="87"/>
      <c r="P577" s="87"/>
      <c r="Q577" s="87"/>
      <c r="R577" s="84"/>
      <c r="S577" s="87"/>
      <c r="T577" s="87"/>
      <c r="U577" s="84">
        <v>0</v>
      </c>
      <c r="V577" s="84">
        <v>0</v>
      </c>
      <c r="W577" s="84">
        <v>0</v>
      </c>
      <c r="X577" s="84">
        <v>0</v>
      </c>
      <c r="Y577" s="84">
        <v>0</v>
      </c>
      <c r="Z577" s="84">
        <v>0</v>
      </c>
      <c r="AA577" s="84">
        <v>0</v>
      </c>
      <c r="AB577" s="84">
        <v>0</v>
      </c>
      <c r="AC577" s="84">
        <v>0</v>
      </c>
      <c r="AD577" s="84">
        <v>0</v>
      </c>
      <c r="AE577" s="84">
        <v>0</v>
      </c>
      <c r="AF577" s="84">
        <v>0</v>
      </c>
      <c r="AG577" s="84">
        <v>0</v>
      </c>
      <c r="AH577" s="84">
        <v>1</v>
      </c>
      <c r="AI577" s="84">
        <v>1</v>
      </c>
      <c r="AJ577" s="84">
        <v>1</v>
      </c>
      <c r="AK577" s="84">
        <v>1</v>
      </c>
      <c r="AL577" s="84" cm="1">
        <f t="array" ref="AL5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7" s="84" cm="1">
        <f t="array" ref="AM5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7" s="84" cm="1">
        <f t="array" ref="AN5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7" s="84" cm="1">
        <f t="array" ref="AO5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7" s="84" cm="1">
        <f t="array" ref="AP5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7" s="84" cm="1">
        <f t="array" ref="AQ5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7" s="84" cm="1">
        <f t="array" ref="AR5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7" s="84" cm="1">
        <f t="array" ref="AS5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7" s="84" cm="1">
        <f t="array" ref="AT5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7" s="84" cm="1">
        <f t="array" ref="AU5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7" s="84" cm="1">
        <f t="array" ref="AV5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7" s="84" cm="1">
        <f t="array" ref="AW5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7" s="84" cm="1">
        <f t="array" ref="AX5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7" s="84" cm="1">
        <f t="array" ref="AY5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7" s="84" cm="1">
        <f t="array" ref="AZ5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7" s="84" cm="1">
        <f t="array" ref="BA5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7" s="84" cm="1">
        <f t="array" ref="BB5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7" s="84">
        <f>IF(SUM(Table3[[#This Row],[Column2]:[Column18]])&gt;Table3[[#This Row],[Column19]],Table3[[#This Row],[Column19]],SUM(Table3[[#This Row],[Column2]:[Column18]]))</f>
        <v>50000</v>
      </c>
      <c r="BD577" s="2">
        <f>Table3[[#This Row],[Total Spend]]/SUM(Table3[[#This Row],[Column2]:[Column18]])</f>
        <v>0.77700077700077697</v>
      </c>
    </row>
    <row r="578" spans="1:56" ht="28.5">
      <c r="A578" s="87" t="s">
        <v>652</v>
      </c>
      <c r="B578" s="87"/>
      <c r="C578" s="87"/>
      <c r="D578" s="85">
        <v>45566</v>
      </c>
      <c r="E578" s="85" t="s">
        <v>58</v>
      </c>
      <c r="F578" s="84">
        <f>INDEX(Definitions!$G$13:$G$17,MATCH(Table3[[#This Row],[Propensity to buy/ buyer readiness]],Definitions!$A$13:$A$17,0))</f>
        <v>50000</v>
      </c>
      <c r="G578" s="86">
        <v>5</v>
      </c>
      <c r="H578" s="86">
        <v>4</v>
      </c>
      <c r="I578" s="86">
        <v>2</v>
      </c>
      <c r="J578" s="86">
        <v>4</v>
      </c>
      <c r="K578" s="86">
        <v>3</v>
      </c>
      <c r="L578" s="86">
        <f>SUM(Table3[[#This Row],[Strategic priority segment]:[Propensity to buy/ buyer readiness]])</f>
        <v>18</v>
      </c>
      <c r="M578" s="86" t="s">
        <v>191</v>
      </c>
      <c r="N578" s="84" t="s">
        <v>135</v>
      </c>
      <c r="O578" s="87"/>
      <c r="P578" s="87"/>
      <c r="Q578" s="87"/>
      <c r="R578" s="84"/>
      <c r="S578" s="87"/>
      <c r="T578" s="87"/>
      <c r="U578" s="84">
        <v>0</v>
      </c>
      <c r="V578" s="84">
        <v>0</v>
      </c>
      <c r="W578" s="84">
        <v>0</v>
      </c>
      <c r="X578" s="84">
        <v>0</v>
      </c>
      <c r="Y578" s="84">
        <v>0</v>
      </c>
      <c r="Z578" s="84">
        <v>0</v>
      </c>
      <c r="AA578" s="84">
        <v>0</v>
      </c>
      <c r="AB578" s="84">
        <v>0</v>
      </c>
      <c r="AC578" s="84">
        <v>0</v>
      </c>
      <c r="AD578" s="84">
        <v>0</v>
      </c>
      <c r="AE578" s="84">
        <v>0</v>
      </c>
      <c r="AF578" s="84">
        <v>0</v>
      </c>
      <c r="AG578" s="84">
        <v>0</v>
      </c>
      <c r="AH578" s="84">
        <v>1</v>
      </c>
      <c r="AI578" s="84">
        <v>1</v>
      </c>
      <c r="AJ578" s="84">
        <v>1</v>
      </c>
      <c r="AK578" s="84">
        <v>1</v>
      </c>
      <c r="AL578" s="84" cm="1">
        <f t="array" ref="AL5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8" s="84" cm="1">
        <f t="array" ref="AM5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8" s="84" cm="1">
        <f t="array" ref="AN5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8" s="84" cm="1">
        <f t="array" ref="AO5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8" s="84" cm="1">
        <f t="array" ref="AP5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8" s="84" cm="1">
        <f t="array" ref="AQ5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8" s="84" cm="1">
        <f t="array" ref="AR5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8" s="84" cm="1">
        <f t="array" ref="AS5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8" s="84" cm="1">
        <f t="array" ref="AT5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8" s="84" cm="1">
        <f t="array" ref="AU5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8" s="84" cm="1">
        <f t="array" ref="AV5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8" s="84" cm="1">
        <f t="array" ref="AW5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8" s="84" cm="1">
        <f t="array" ref="AX5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8" s="84" cm="1">
        <f t="array" ref="AY5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8" s="84" cm="1">
        <f t="array" ref="AZ5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8" s="84" cm="1">
        <f t="array" ref="BA5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8" s="84" cm="1">
        <f t="array" ref="BB5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8" s="84">
        <f>IF(SUM(Table3[[#This Row],[Column2]:[Column18]])&gt;Table3[[#This Row],[Column19]],Table3[[#This Row],[Column19]],SUM(Table3[[#This Row],[Column2]:[Column18]]))</f>
        <v>50000</v>
      </c>
      <c r="BD578" s="2">
        <f>Table3[[#This Row],[Total Spend]]/SUM(Table3[[#This Row],[Column2]:[Column18]])</f>
        <v>0.77700077700077697</v>
      </c>
    </row>
    <row r="579" spans="1:56">
      <c r="A579" s="87" t="s">
        <v>653</v>
      </c>
      <c r="B579" s="87"/>
      <c r="C579" s="87"/>
      <c r="D579" s="85">
        <v>45566</v>
      </c>
      <c r="E579" s="85" t="s">
        <v>58</v>
      </c>
      <c r="F579" s="84">
        <f>INDEX(Definitions!$G$13:$G$17,MATCH(Table3[[#This Row],[Propensity to buy/ buyer readiness]],Definitions!$A$13:$A$17,0))</f>
        <v>50000</v>
      </c>
      <c r="G579" s="86">
        <v>5</v>
      </c>
      <c r="H579" s="86">
        <v>4</v>
      </c>
      <c r="I579" s="86">
        <v>2</v>
      </c>
      <c r="J579" s="86">
        <v>4</v>
      </c>
      <c r="K579" s="86">
        <v>3</v>
      </c>
      <c r="L579" s="86">
        <f>SUM(Table3[[#This Row],[Strategic priority segment]:[Propensity to buy/ buyer readiness]])</f>
        <v>18</v>
      </c>
      <c r="M579" s="86" t="s">
        <v>191</v>
      </c>
      <c r="N579" s="84" t="s">
        <v>135</v>
      </c>
      <c r="O579" s="87"/>
      <c r="P579" s="87"/>
      <c r="Q579" s="87"/>
      <c r="R579" s="84"/>
      <c r="S579" s="87"/>
      <c r="T579" s="87"/>
      <c r="U579" s="84">
        <v>0</v>
      </c>
      <c r="V579" s="84">
        <v>0</v>
      </c>
      <c r="W579" s="84">
        <v>0</v>
      </c>
      <c r="X579" s="84">
        <v>0</v>
      </c>
      <c r="Y579" s="84">
        <v>0</v>
      </c>
      <c r="Z579" s="84">
        <v>0</v>
      </c>
      <c r="AA579" s="84">
        <v>0</v>
      </c>
      <c r="AB579" s="84">
        <v>0</v>
      </c>
      <c r="AC579" s="84">
        <v>0</v>
      </c>
      <c r="AD579" s="84">
        <v>0</v>
      </c>
      <c r="AE579" s="84">
        <v>0</v>
      </c>
      <c r="AF579" s="84">
        <v>0</v>
      </c>
      <c r="AG579" s="84">
        <v>0</v>
      </c>
      <c r="AH579" s="84">
        <v>1</v>
      </c>
      <c r="AI579" s="84">
        <v>1</v>
      </c>
      <c r="AJ579" s="84">
        <v>1</v>
      </c>
      <c r="AK579" s="84">
        <v>1</v>
      </c>
      <c r="AL579" s="84" cm="1">
        <f t="array" ref="AL5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79" s="84" cm="1">
        <f t="array" ref="AM5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79" s="84" cm="1">
        <f t="array" ref="AN5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79" s="84" cm="1">
        <f t="array" ref="AO5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79" s="84" cm="1">
        <f t="array" ref="AP5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79" s="84" cm="1">
        <f t="array" ref="AQ5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79" s="84" cm="1">
        <f t="array" ref="AR5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79" s="84" cm="1">
        <f t="array" ref="AS5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79" s="84" cm="1">
        <f t="array" ref="AT5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79" s="84" cm="1">
        <f t="array" ref="AU5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79" s="84" cm="1">
        <f t="array" ref="AV5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79" s="84" cm="1">
        <f t="array" ref="AW5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79" s="84" cm="1">
        <f t="array" ref="AX5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79" s="84" cm="1">
        <f t="array" ref="AY5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79" s="84" cm="1">
        <f t="array" ref="AZ5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79" s="84" cm="1">
        <f t="array" ref="BA5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79" s="84" cm="1">
        <f t="array" ref="BB5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79" s="84">
        <f>IF(SUM(Table3[[#This Row],[Column2]:[Column18]])&gt;Table3[[#This Row],[Column19]],Table3[[#This Row],[Column19]],SUM(Table3[[#This Row],[Column2]:[Column18]]))</f>
        <v>50000</v>
      </c>
      <c r="BD579" s="2">
        <f>Table3[[#This Row],[Total Spend]]/SUM(Table3[[#This Row],[Column2]:[Column18]])</f>
        <v>0.77700077700077697</v>
      </c>
    </row>
    <row r="580" spans="1:56">
      <c r="A580" s="87" t="s">
        <v>654</v>
      </c>
      <c r="B580" s="87"/>
      <c r="C580" s="87"/>
      <c r="D580" s="85">
        <v>45566</v>
      </c>
      <c r="E580" s="85" t="s">
        <v>58</v>
      </c>
      <c r="F580" s="84">
        <f>INDEX(Definitions!$G$13:$G$17,MATCH(Table3[[#This Row],[Propensity to buy/ buyer readiness]],Definitions!$A$13:$A$17,0))</f>
        <v>50000</v>
      </c>
      <c r="G580" s="86">
        <v>5</v>
      </c>
      <c r="H580" s="86">
        <v>4</v>
      </c>
      <c r="I580" s="86">
        <v>2</v>
      </c>
      <c r="J580" s="86">
        <v>4</v>
      </c>
      <c r="K580" s="86">
        <v>3</v>
      </c>
      <c r="L580" s="86">
        <f>SUM(Table3[[#This Row],[Strategic priority segment]:[Propensity to buy/ buyer readiness]])</f>
        <v>18</v>
      </c>
      <c r="M580" s="86" t="s">
        <v>191</v>
      </c>
      <c r="N580" s="84" t="s">
        <v>135</v>
      </c>
      <c r="O580" s="87"/>
      <c r="P580" s="87"/>
      <c r="Q580" s="87"/>
      <c r="R580" s="84"/>
      <c r="S580" s="87"/>
      <c r="T580" s="87"/>
      <c r="U580" s="84">
        <v>0</v>
      </c>
      <c r="V580" s="84">
        <v>0</v>
      </c>
      <c r="W580" s="84">
        <v>0</v>
      </c>
      <c r="X580" s="84">
        <v>0</v>
      </c>
      <c r="Y580" s="84">
        <v>0</v>
      </c>
      <c r="Z580" s="84">
        <v>0</v>
      </c>
      <c r="AA580" s="84">
        <v>0</v>
      </c>
      <c r="AB580" s="84">
        <v>0</v>
      </c>
      <c r="AC580" s="84">
        <v>0</v>
      </c>
      <c r="AD580" s="84">
        <v>0</v>
      </c>
      <c r="AE580" s="84">
        <v>0</v>
      </c>
      <c r="AF580" s="84">
        <v>0</v>
      </c>
      <c r="AG580" s="84">
        <v>0</v>
      </c>
      <c r="AH580" s="84">
        <v>1</v>
      </c>
      <c r="AI580" s="84">
        <v>1</v>
      </c>
      <c r="AJ580" s="84">
        <v>1</v>
      </c>
      <c r="AK580" s="84">
        <v>1</v>
      </c>
      <c r="AL580" s="84" cm="1">
        <f t="array" ref="AL5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0" s="84" cm="1">
        <f t="array" ref="AM5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0" s="84" cm="1">
        <f t="array" ref="AN5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0" s="84" cm="1">
        <f t="array" ref="AO5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0" s="84" cm="1">
        <f t="array" ref="AP5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0" s="84" cm="1">
        <f t="array" ref="AQ5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0" s="84" cm="1">
        <f t="array" ref="AR5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0" s="84" cm="1">
        <f t="array" ref="AS5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0" s="84" cm="1">
        <f t="array" ref="AT5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0" s="84" cm="1">
        <f t="array" ref="AU5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0" s="84" cm="1">
        <f t="array" ref="AV5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0" s="84" cm="1">
        <f t="array" ref="AW5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0" s="84" cm="1">
        <f t="array" ref="AX5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0" s="84" cm="1">
        <f t="array" ref="AY5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0" s="84" cm="1">
        <f t="array" ref="AZ5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0" s="84" cm="1">
        <f t="array" ref="BA5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0" s="84" cm="1">
        <f t="array" ref="BB5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0" s="84">
        <f>IF(SUM(Table3[[#This Row],[Column2]:[Column18]])&gt;Table3[[#This Row],[Column19]],Table3[[#This Row],[Column19]],SUM(Table3[[#This Row],[Column2]:[Column18]]))</f>
        <v>50000</v>
      </c>
      <c r="BD580" s="2">
        <f>Table3[[#This Row],[Total Spend]]/SUM(Table3[[#This Row],[Column2]:[Column18]])</f>
        <v>0.77700077700077697</v>
      </c>
    </row>
    <row r="581" spans="1:56" ht="28.5">
      <c r="A581" s="87" t="s">
        <v>655</v>
      </c>
      <c r="B581" s="87"/>
      <c r="C581" s="87"/>
      <c r="D581" s="85">
        <v>45566</v>
      </c>
      <c r="E581" s="85" t="s">
        <v>58</v>
      </c>
      <c r="F581" s="84">
        <f>INDEX(Definitions!$G$13:$G$17,MATCH(Table3[[#This Row],[Propensity to buy/ buyer readiness]],Definitions!$A$13:$A$17,0))</f>
        <v>50000</v>
      </c>
      <c r="G581" s="86">
        <v>5</v>
      </c>
      <c r="H581" s="86">
        <v>4</v>
      </c>
      <c r="I581" s="86">
        <v>2</v>
      </c>
      <c r="J581" s="86">
        <v>4</v>
      </c>
      <c r="K581" s="86">
        <v>3</v>
      </c>
      <c r="L581" s="86">
        <f>SUM(Table3[[#This Row],[Strategic priority segment]:[Propensity to buy/ buyer readiness]])</f>
        <v>18</v>
      </c>
      <c r="M581" s="86" t="s">
        <v>191</v>
      </c>
      <c r="N581" s="84" t="s">
        <v>135</v>
      </c>
      <c r="O581" s="87"/>
      <c r="P581" s="84" t="s">
        <v>135</v>
      </c>
      <c r="Q581" s="87"/>
      <c r="R581" s="84"/>
      <c r="S581" s="87"/>
      <c r="T581" s="87"/>
      <c r="U581" s="84">
        <v>0</v>
      </c>
      <c r="V581" s="84">
        <v>0</v>
      </c>
      <c r="W581" s="84">
        <v>0</v>
      </c>
      <c r="X581" s="84">
        <v>0</v>
      </c>
      <c r="Y581" s="84">
        <v>0</v>
      </c>
      <c r="Z581" s="84">
        <v>0</v>
      </c>
      <c r="AA581" s="84">
        <v>0</v>
      </c>
      <c r="AB581" s="84">
        <v>0</v>
      </c>
      <c r="AC581" s="84">
        <v>0</v>
      </c>
      <c r="AD581" s="84">
        <v>0</v>
      </c>
      <c r="AE581" s="84">
        <v>0</v>
      </c>
      <c r="AF581" s="84">
        <v>0</v>
      </c>
      <c r="AG581" s="84">
        <v>0</v>
      </c>
      <c r="AH581" s="84">
        <v>1</v>
      </c>
      <c r="AI581" s="84">
        <v>1</v>
      </c>
      <c r="AJ581" s="84">
        <v>1</v>
      </c>
      <c r="AK581" s="84">
        <v>1</v>
      </c>
      <c r="AL581" s="84" cm="1">
        <f t="array" ref="AL5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1" s="84" cm="1">
        <f t="array" ref="AM5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1" s="84" cm="1">
        <f t="array" ref="AN5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1" s="84" cm="1">
        <f t="array" ref="AO5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1" s="84" cm="1">
        <f t="array" ref="AP5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1" s="84" cm="1">
        <f t="array" ref="AQ5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1" s="84" cm="1">
        <f t="array" ref="AR5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1" s="84" cm="1">
        <f t="array" ref="AS5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1" s="84" cm="1">
        <f t="array" ref="AT5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1" s="84" cm="1">
        <f t="array" ref="AU5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1" s="84" cm="1">
        <f t="array" ref="AV5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1" s="84" cm="1">
        <f t="array" ref="AW5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1" s="84" cm="1">
        <f t="array" ref="AX5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1" s="84" cm="1">
        <f t="array" ref="AY5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1" s="84" cm="1">
        <f t="array" ref="AZ5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1" s="84" cm="1">
        <f t="array" ref="BA5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1" s="84" cm="1">
        <f t="array" ref="BB5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1" s="84">
        <f>IF(SUM(Table3[[#This Row],[Column2]:[Column18]])&gt;Table3[[#This Row],[Column19]],Table3[[#This Row],[Column19]],SUM(Table3[[#This Row],[Column2]:[Column18]]))</f>
        <v>50000</v>
      </c>
      <c r="BD581" s="2">
        <f>Table3[[#This Row],[Total Spend]]/SUM(Table3[[#This Row],[Column2]:[Column18]])</f>
        <v>0.77700077700077697</v>
      </c>
    </row>
    <row r="582" spans="1:56">
      <c r="A582" s="87" t="s">
        <v>656</v>
      </c>
      <c r="B582" s="87"/>
      <c r="C582" s="87"/>
      <c r="D582" s="85">
        <v>45566</v>
      </c>
      <c r="E582" s="85" t="s">
        <v>58</v>
      </c>
      <c r="F582" s="84">
        <f>INDEX(Definitions!$G$13:$G$17,MATCH(Table3[[#This Row],[Propensity to buy/ buyer readiness]],Definitions!$A$13:$A$17,0))</f>
        <v>50000</v>
      </c>
      <c r="G582" s="86">
        <v>5</v>
      </c>
      <c r="H582" s="86">
        <v>4</v>
      </c>
      <c r="I582" s="86">
        <v>2</v>
      </c>
      <c r="J582" s="86">
        <v>4</v>
      </c>
      <c r="K582" s="86">
        <v>3</v>
      </c>
      <c r="L582" s="86">
        <f>SUM(Table3[[#This Row],[Strategic priority segment]:[Propensity to buy/ buyer readiness]])</f>
        <v>18</v>
      </c>
      <c r="M582" s="86" t="s">
        <v>191</v>
      </c>
      <c r="N582" s="84" t="s">
        <v>135</v>
      </c>
      <c r="O582" s="87"/>
      <c r="P582" s="84" t="s">
        <v>135</v>
      </c>
      <c r="Q582" s="87"/>
      <c r="R582" s="84"/>
      <c r="S582" s="87"/>
      <c r="T582" s="87"/>
      <c r="U582" s="84">
        <v>0</v>
      </c>
      <c r="V582" s="84">
        <v>0</v>
      </c>
      <c r="W582" s="84">
        <v>0</v>
      </c>
      <c r="X582" s="84">
        <v>0</v>
      </c>
      <c r="Y582" s="84">
        <v>0</v>
      </c>
      <c r="Z582" s="84">
        <v>0</v>
      </c>
      <c r="AA582" s="84">
        <v>0</v>
      </c>
      <c r="AB582" s="84">
        <v>0</v>
      </c>
      <c r="AC582" s="84">
        <v>0</v>
      </c>
      <c r="AD582" s="84">
        <v>0</v>
      </c>
      <c r="AE582" s="84">
        <v>0</v>
      </c>
      <c r="AF582" s="84">
        <v>0</v>
      </c>
      <c r="AG582" s="84">
        <v>0</v>
      </c>
      <c r="AH582" s="84">
        <v>1</v>
      </c>
      <c r="AI582" s="84">
        <v>1</v>
      </c>
      <c r="AJ582" s="84">
        <v>1</v>
      </c>
      <c r="AK582" s="84">
        <v>1</v>
      </c>
      <c r="AL582" s="84" cm="1">
        <f t="array" ref="AL5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2" s="84" cm="1">
        <f t="array" ref="AM5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2" s="84" cm="1">
        <f t="array" ref="AN5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2" s="84" cm="1">
        <f t="array" ref="AO5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2" s="84" cm="1">
        <f t="array" ref="AP5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2" s="84" cm="1">
        <f t="array" ref="AQ5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2" s="84" cm="1">
        <f t="array" ref="AR5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2" s="84" cm="1">
        <f t="array" ref="AS5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2" s="84" cm="1">
        <f t="array" ref="AT5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2" s="84" cm="1">
        <f t="array" ref="AU5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2" s="84" cm="1">
        <f t="array" ref="AV5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2" s="84" cm="1">
        <f t="array" ref="AW5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2" s="84" cm="1">
        <f t="array" ref="AX5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2" s="84" cm="1">
        <f t="array" ref="AY5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2" s="84" cm="1">
        <f t="array" ref="AZ5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2" s="84" cm="1">
        <f t="array" ref="BA5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2" s="84" cm="1">
        <f t="array" ref="BB5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2" s="84">
        <f>IF(SUM(Table3[[#This Row],[Column2]:[Column18]])&gt;Table3[[#This Row],[Column19]],Table3[[#This Row],[Column19]],SUM(Table3[[#This Row],[Column2]:[Column18]]))</f>
        <v>50000</v>
      </c>
      <c r="BD582" s="2">
        <f>Table3[[#This Row],[Total Spend]]/SUM(Table3[[#This Row],[Column2]:[Column18]])</f>
        <v>0.77700077700077697</v>
      </c>
    </row>
    <row r="583" spans="1:56">
      <c r="A583" s="84" t="s">
        <v>657</v>
      </c>
      <c r="B583" s="84"/>
      <c r="C583" s="84"/>
      <c r="D583" s="85">
        <v>45566</v>
      </c>
      <c r="E583" s="85" t="s">
        <v>58</v>
      </c>
      <c r="F583" s="84">
        <f>INDEX(Definitions!$G$13:$G$17,MATCH(Table3[[#This Row],[Propensity to buy/ buyer readiness]],Definitions!$A$13:$A$17,0))</f>
        <v>150000</v>
      </c>
      <c r="G583" s="86">
        <v>4</v>
      </c>
      <c r="H583" s="86">
        <v>4</v>
      </c>
      <c r="I583" s="86">
        <v>3</v>
      </c>
      <c r="J583" s="86">
        <v>3</v>
      </c>
      <c r="K583" s="86">
        <v>4</v>
      </c>
      <c r="L583" s="86">
        <f>SUM(Table3[[#This Row],[Strategic priority segment]:[Propensity to buy/ buyer readiness]])</f>
        <v>18</v>
      </c>
      <c r="M583" s="86" t="s">
        <v>152</v>
      </c>
      <c r="N583" s="84" t="s">
        <v>122</v>
      </c>
      <c r="O583" s="84"/>
      <c r="P583" s="87"/>
      <c r="Q583" s="87"/>
      <c r="R583" s="84"/>
      <c r="S583" s="87"/>
      <c r="T583" s="87"/>
      <c r="U583" s="84">
        <v>1</v>
      </c>
      <c r="V583" s="84">
        <v>0</v>
      </c>
      <c r="W583" s="84">
        <v>0</v>
      </c>
      <c r="X583" s="84">
        <v>0</v>
      </c>
      <c r="Y583" s="84">
        <v>0</v>
      </c>
      <c r="Z583" s="84">
        <v>1</v>
      </c>
      <c r="AA583" s="84">
        <v>0</v>
      </c>
      <c r="AB583" s="84">
        <v>1</v>
      </c>
      <c r="AC583" s="84">
        <v>0</v>
      </c>
      <c r="AD583" s="84">
        <v>1</v>
      </c>
      <c r="AE583" s="84">
        <v>0</v>
      </c>
      <c r="AF583" s="84">
        <v>1</v>
      </c>
      <c r="AG583" s="84">
        <v>0</v>
      </c>
      <c r="AH583" s="84">
        <v>0</v>
      </c>
      <c r="AI583" s="84">
        <v>0</v>
      </c>
      <c r="AJ583" s="84">
        <v>0</v>
      </c>
      <c r="AK583" s="84">
        <v>0</v>
      </c>
      <c r="AL583" s="84" cm="1">
        <f t="array" ref="AL5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83" s="84" cm="1">
        <f t="array" ref="AM5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3" s="84" cm="1">
        <f t="array" ref="AN5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3" s="84" cm="1">
        <f t="array" ref="AO5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3" s="84" cm="1">
        <f t="array" ref="AP5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3" s="84" cm="1">
        <f t="array" ref="AQ5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83" s="84" cm="1">
        <f t="array" ref="AR5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3" s="84" cm="1">
        <f t="array" ref="AS5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83" s="84" cm="1">
        <f t="array" ref="AT5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3" s="84" cm="1">
        <f t="array" ref="AU5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83" s="84" cm="1">
        <f t="array" ref="AV5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3" s="84" cm="1">
        <f t="array" ref="AW5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83" s="84" cm="1">
        <f t="array" ref="AX5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3" s="84" cm="1">
        <f t="array" ref="AY5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83" s="84" cm="1">
        <f t="array" ref="AZ5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83" s="84" cm="1">
        <f t="array" ref="BA5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83" s="84" cm="1">
        <f t="array" ref="BB5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83" s="84">
        <f>IF(SUM(Table3[[#This Row],[Column2]:[Column18]])&gt;Table3[[#This Row],[Column19]],Table3[[#This Row],[Column19]],SUM(Table3[[#This Row],[Column2]:[Column18]]))</f>
        <v>150000</v>
      </c>
      <c r="BD583" s="2">
        <f>Table3[[#This Row],[Total Spend]]/SUM(Table3[[#This Row],[Column2]:[Column18]])</f>
        <v>0.89605734767025091</v>
      </c>
    </row>
    <row r="584" spans="1:56" ht="28.5">
      <c r="A584" s="87" t="s">
        <v>658</v>
      </c>
      <c r="B584" s="87"/>
      <c r="C584" s="87"/>
      <c r="D584" s="85">
        <v>45566</v>
      </c>
      <c r="E584" s="85" t="s">
        <v>58</v>
      </c>
      <c r="F584" s="84">
        <f>INDEX(Definitions!$G$13:$G$17,MATCH(Table3[[#This Row],[Propensity to buy/ buyer readiness]],Definitions!$A$13:$A$17,0))</f>
        <v>50000</v>
      </c>
      <c r="G584" s="86">
        <v>5</v>
      </c>
      <c r="H584" s="86">
        <v>4</v>
      </c>
      <c r="I584" s="86">
        <v>2</v>
      </c>
      <c r="J584" s="86">
        <v>4</v>
      </c>
      <c r="K584" s="86">
        <v>3</v>
      </c>
      <c r="L584" s="86">
        <f>SUM(Table3[[#This Row],[Strategic priority segment]:[Propensity to buy/ buyer readiness]])</f>
        <v>18</v>
      </c>
      <c r="M584" s="86" t="s">
        <v>191</v>
      </c>
      <c r="N584" s="84" t="s">
        <v>135</v>
      </c>
      <c r="O584" s="87" t="s">
        <v>76</v>
      </c>
      <c r="P584" s="87"/>
      <c r="Q584" s="87"/>
      <c r="R584" s="84"/>
      <c r="S584" s="87"/>
      <c r="T584" s="87"/>
      <c r="U584" s="84">
        <v>0</v>
      </c>
      <c r="V584" s="84">
        <v>0</v>
      </c>
      <c r="W584" s="84">
        <v>0</v>
      </c>
      <c r="X584" s="84">
        <v>0</v>
      </c>
      <c r="Y584" s="84">
        <v>0</v>
      </c>
      <c r="Z584" s="84">
        <v>0</v>
      </c>
      <c r="AA584" s="84">
        <v>0</v>
      </c>
      <c r="AB584" s="84">
        <v>0</v>
      </c>
      <c r="AC584" s="84">
        <v>0</v>
      </c>
      <c r="AD584" s="84">
        <v>0</v>
      </c>
      <c r="AE584" s="84">
        <v>0</v>
      </c>
      <c r="AF584" s="84">
        <v>0</v>
      </c>
      <c r="AG584" s="84">
        <v>0</v>
      </c>
      <c r="AH584" s="84">
        <v>1</v>
      </c>
      <c r="AI584" s="84">
        <v>1</v>
      </c>
      <c r="AJ584" s="84">
        <v>1</v>
      </c>
      <c r="AK584" s="84">
        <v>1</v>
      </c>
      <c r="AL584" s="84" cm="1">
        <f t="array" ref="AL5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4" s="84" cm="1">
        <f t="array" ref="AM5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4" s="84" cm="1">
        <f t="array" ref="AN5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4" s="84" cm="1">
        <f t="array" ref="AO5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4" s="84" cm="1">
        <f t="array" ref="AP5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4" s="84" cm="1">
        <f t="array" ref="AQ5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4" s="84" cm="1">
        <f t="array" ref="AR5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4" s="84" cm="1">
        <f t="array" ref="AS5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4" s="84" cm="1">
        <f t="array" ref="AT5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4" s="84" cm="1">
        <f t="array" ref="AU5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4" s="84" cm="1">
        <f t="array" ref="AV5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4" s="84" cm="1">
        <f t="array" ref="AW5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4" s="84" cm="1">
        <f t="array" ref="AX5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4" s="84" cm="1">
        <f t="array" ref="AY5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4" s="84" cm="1">
        <f t="array" ref="AZ5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4" s="84" cm="1">
        <f t="array" ref="BA5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4" s="84" cm="1">
        <f t="array" ref="BB5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4" s="84">
        <f>IF(SUM(Table3[[#This Row],[Column2]:[Column18]])&gt;Table3[[#This Row],[Column19]],Table3[[#This Row],[Column19]],SUM(Table3[[#This Row],[Column2]:[Column18]]))</f>
        <v>50000</v>
      </c>
      <c r="BD584" s="2">
        <f>Table3[[#This Row],[Total Spend]]/SUM(Table3[[#This Row],[Column2]:[Column18]])</f>
        <v>0.77700077700077697</v>
      </c>
    </row>
    <row r="585" spans="1:56">
      <c r="A585" s="87" t="s">
        <v>659</v>
      </c>
      <c r="B585" s="87"/>
      <c r="C585" s="87"/>
      <c r="D585" s="85">
        <v>45566</v>
      </c>
      <c r="E585" s="85" t="s">
        <v>58</v>
      </c>
      <c r="F585" s="84">
        <f>INDEX(Definitions!$G$13:$G$17,MATCH(Table3[[#This Row],[Propensity to buy/ buyer readiness]],Definitions!$A$13:$A$17,0))</f>
        <v>50000</v>
      </c>
      <c r="G585" s="86">
        <v>5</v>
      </c>
      <c r="H585" s="86">
        <v>4</v>
      </c>
      <c r="I585" s="86">
        <v>2</v>
      </c>
      <c r="J585" s="86">
        <v>4</v>
      </c>
      <c r="K585" s="86">
        <v>3</v>
      </c>
      <c r="L585" s="86">
        <f>SUM(Table3[[#This Row],[Strategic priority segment]:[Propensity to buy/ buyer readiness]])</f>
        <v>18</v>
      </c>
      <c r="M585" s="86" t="s">
        <v>191</v>
      </c>
      <c r="N585" s="84" t="s">
        <v>135</v>
      </c>
      <c r="O585" s="87"/>
      <c r="P585" s="87"/>
      <c r="Q585" s="87"/>
      <c r="R585" s="84"/>
      <c r="S585" s="87"/>
      <c r="T585" s="87"/>
      <c r="U585" s="84">
        <v>0</v>
      </c>
      <c r="V585" s="84">
        <v>0</v>
      </c>
      <c r="W585" s="84">
        <v>0</v>
      </c>
      <c r="X585" s="84">
        <v>0</v>
      </c>
      <c r="Y585" s="84">
        <v>0</v>
      </c>
      <c r="Z585" s="84">
        <v>0</v>
      </c>
      <c r="AA585" s="84">
        <v>0</v>
      </c>
      <c r="AB585" s="84">
        <v>0</v>
      </c>
      <c r="AC585" s="84">
        <v>0</v>
      </c>
      <c r="AD585" s="84">
        <v>0</v>
      </c>
      <c r="AE585" s="84">
        <v>0</v>
      </c>
      <c r="AF585" s="84">
        <v>0</v>
      </c>
      <c r="AG585" s="84">
        <v>0</v>
      </c>
      <c r="AH585" s="84">
        <v>1</v>
      </c>
      <c r="AI585" s="84">
        <v>1</v>
      </c>
      <c r="AJ585" s="84">
        <v>1</v>
      </c>
      <c r="AK585" s="84">
        <v>1</v>
      </c>
      <c r="AL585" s="84" cm="1">
        <f t="array" ref="AL5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5" s="84" cm="1">
        <f t="array" ref="AM5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5" s="84" cm="1">
        <f t="array" ref="AN5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5" s="84" cm="1">
        <f t="array" ref="AO5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5" s="84" cm="1">
        <f t="array" ref="AP5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5" s="84" cm="1">
        <f t="array" ref="AQ5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5" s="84" cm="1">
        <f t="array" ref="AR5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5" s="84" cm="1">
        <f t="array" ref="AS5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5" s="84" cm="1">
        <f t="array" ref="AT5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5" s="84" cm="1">
        <f t="array" ref="AU5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5" s="84" cm="1">
        <f t="array" ref="AV5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5" s="84" cm="1">
        <f t="array" ref="AW5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5" s="84" cm="1">
        <f t="array" ref="AX5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5" s="84" cm="1">
        <f t="array" ref="AY5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5" s="84" cm="1">
        <f t="array" ref="AZ5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5" s="84" cm="1">
        <f t="array" ref="BA5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5" s="84" cm="1">
        <f t="array" ref="BB5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5" s="84">
        <f>IF(SUM(Table3[[#This Row],[Column2]:[Column18]])&gt;Table3[[#This Row],[Column19]],Table3[[#This Row],[Column19]],SUM(Table3[[#This Row],[Column2]:[Column18]]))</f>
        <v>50000</v>
      </c>
      <c r="BD585" s="2">
        <f>Table3[[#This Row],[Total Spend]]/SUM(Table3[[#This Row],[Column2]:[Column18]])</f>
        <v>0.77700077700077697</v>
      </c>
    </row>
    <row r="586" spans="1:56" ht="28.5">
      <c r="A586" s="87" t="s">
        <v>660</v>
      </c>
      <c r="B586" s="87"/>
      <c r="C586" s="87"/>
      <c r="D586" s="85">
        <v>45566</v>
      </c>
      <c r="E586" s="85" t="s">
        <v>58</v>
      </c>
      <c r="F586" s="84">
        <f>INDEX(Definitions!$G$13:$G$17,MATCH(Table3[[#This Row],[Propensity to buy/ buyer readiness]],Definitions!$A$13:$A$17,0))</f>
        <v>50000</v>
      </c>
      <c r="G586" s="86">
        <v>5</v>
      </c>
      <c r="H586" s="86">
        <v>4</v>
      </c>
      <c r="I586" s="86">
        <v>2</v>
      </c>
      <c r="J586" s="86">
        <v>4</v>
      </c>
      <c r="K586" s="86">
        <v>3</v>
      </c>
      <c r="L586" s="86">
        <f>SUM(Table3[[#This Row],[Strategic priority segment]:[Propensity to buy/ buyer readiness]])</f>
        <v>18</v>
      </c>
      <c r="M586" s="86" t="s">
        <v>191</v>
      </c>
      <c r="N586" s="84" t="s">
        <v>135</v>
      </c>
      <c r="O586" s="87" t="s">
        <v>61</v>
      </c>
      <c r="P586" s="87"/>
      <c r="Q586" s="87"/>
      <c r="R586" s="84"/>
      <c r="S586" s="87"/>
      <c r="T586" s="87"/>
      <c r="U586" s="84">
        <v>1</v>
      </c>
      <c r="V586" s="84">
        <v>0</v>
      </c>
      <c r="W586" s="84">
        <v>0</v>
      </c>
      <c r="X586" s="84">
        <v>0</v>
      </c>
      <c r="Y586" s="84">
        <v>0</v>
      </c>
      <c r="Z586" s="84">
        <v>1</v>
      </c>
      <c r="AA586" s="84">
        <v>1</v>
      </c>
      <c r="AB586" s="84">
        <v>1</v>
      </c>
      <c r="AC586" s="84">
        <v>1</v>
      </c>
      <c r="AD586" s="84">
        <v>0</v>
      </c>
      <c r="AE586" s="84">
        <v>0</v>
      </c>
      <c r="AF586" s="84">
        <v>0</v>
      </c>
      <c r="AG586" s="84">
        <v>0</v>
      </c>
      <c r="AH586" s="84">
        <v>1</v>
      </c>
      <c r="AI586" s="84">
        <v>1</v>
      </c>
      <c r="AJ586" s="84">
        <v>1</v>
      </c>
      <c r="AK586" s="84">
        <v>1</v>
      </c>
      <c r="AL586" s="84" cm="1">
        <f t="array" ref="AL5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86" s="84" cm="1">
        <f t="array" ref="AM5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6" s="84" cm="1">
        <f t="array" ref="AN5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6" s="84" cm="1">
        <f t="array" ref="AO5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6" s="84" cm="1">
        <f t="array" ref="AP5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6" s="84" cm="1">
        <f t="array" ref="AQ5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86" s="84" cm="1">
        <f t="array" ref="AR5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86" s="84" cm="1">
        <f t="array" ref="AS5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86" s="84" cm="1">
        <f t="array" ref="AT5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86" s="84" cm="1">
        <f t="array" ref="AU5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6" s="84" cm="1">
        <f t="array" ref="AV5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6" s="84" cm="1">
        <f t="array" ref="AW5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6" s="84" cm="1">
        <f t="array" ref="AX5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6" s="84" cm="1">
        <f t="array" ref="AY5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6" s="84" cm="1">
        <f t="array" ref="AZ5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6" s="84" cm="1">
        <f t="array" ref="BA5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6" s="84" cm="1">
        <f t="array" ref="BB5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6" s="84">
        <f>IF(SUM(Table3[[#This Row],[Column2]:[Column18]])&gt;Table3[[#This Row],[Column19]],Table3[[#This Row],[Column19]],SUM(Table3[[#This Row],[Column2]:[Column18]]))</f>
        <v>50000</v>
      </c>
      <c r="BD586" s="2">
        <f>Table3[[#This Row],[Total Spend]]/SUM(Table3[[#This Row],[Column2]:[Column18]])</f>
        <v>0.24420024420024419</v>
      </c>
    </row>
    <row r="587" spans="1:56">
      <c r="A587" s="87" t="s">
        <v>661</v>
      </c>
      <c r="B587" s="87"/>
      <c r="C587" s="87"/>
      <c r="D587" s="85">
        <v>45566</v>
      </c>
      <c r="E587" s="85" t="s">
        <v>58</v>
      </c>
      <c r="F587" s="84">
        <f>INDEX(Definitions!$G$13:$G$17,MATCH(Table3[[#This Row],[Propensity to buy/ buyer readiness]],Definitions!$A$13:$A$17,0))</f>
        <v>50000</v>
      </c>
      <c r="G587" s="86">
        <v>5</v>
      </c>
      <c r="H587" s="86">
        <v>4</v>
      </c>
      <c r="I587" s="86">
        <v>2</v>
      </c>
      <c r="J587" s="86">
        <v>4</v>
      </c>
      <c r="K587" s="86">
        <v>3</v>
      </c>
      <c r="L587" s="86">
        <f>SUM(Table3[[#This Row],[Strategic priority segment]:[Propensity to buy/ buyer readiness]])</f>
        <v>18</v>
      </c>
      <c r="M587" s="86" t="s">
        <v>191</v>
      </c>
      <c r="N587" s="84" t="s">
        <v>135</v>
      </c>
      <c r="O587" s="87"/>
      <c r="P587" s="87"/>
      <c r="Q587" s="87"/>
      <c r="R587" s="84"/>
      <c r="S587" s="87"/>
      <c r="T587" s="87"/>
      <c r="U587" s="84">
        <v>0</v>
      </c>
      <c r="V587" s="84">
        <v>0</v>
      </c>
      <c r="W587" s="84">
        <v>0</v>
      </c>
      <c r="X587" s="84">
        <v>0</v>
      </c>
      <c r="Y587" s="84">
        <v>0</v>
      </c>
      <c r="Z587" s="84">
        <v>0</v>
      </c>
      <c r="AA587" s="84">
        <v>0</v>
      </c>
      <c r="AB587" s="84">
        <v>0</v>
      </c>
      <c r="AC587" s="84">
        <v>0</v>
      </c>
      <c r="AD587" s="84">
        <v>0</v>
      </c>
      <c r="AE587" s="84">
        <v>0</v>
      </c>
      <c r="AF587" s="84">
        <v>0</v>
      </c>
      <c r="AG587" s="84">
        <v>0</v>
      </c>
      <c r="AH587" s="84">
        <v>1</v>
      </c>
      <c r="AI587" s="84">
        <v>1</v>
      </c>
      <c r="AJ587" s="84">
        <v>1</v>
      </c>
      <c r="AK587" s="84">
        <v>1</v>
      </c>
      <c r="AL587" s="84" cm="1">
        <f t="array" ref="AL5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7" s="84" cm="1">
        <f t="array" ref="AM5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7" s="84" cm="1">
        <f t="array" ref="AN5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7" s="84" cm="1">
        <f t="array" ref="AO5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7" s="84" cm="1">
        <f t="array" ref="AP5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7" s="84" cm="1">
        <f t="array" ref="AQ5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7" s="84" cm="1">
        <f t="array" ref="AR5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7" s="84" cm="1">
        <f t="array" ref="AS5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7" s="84" cm="1">
        <f t="array" ref="AT5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7" s="84" cm="1">
        <f t="array" ref="AU5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7" s="84" cm="1">
        <f t="array" ref="AV5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7" s="84" cm="1">
        <f t="array" ref="AW5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7" s="84" cm="1">
        <f t="array" ref="AX5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7" s="84" cm="1">
        <f t="array" ref="AY5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7" s="84" cm="1">
        <f t="array" ref="AZ5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7" s="84" cm="1">
        <f t="array" ref="BA5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7" s="84" cm="1">
        <f t="array" ref="BB5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7" s="84">
        <f>IF(SUM(Table3[[#This Row],[Column2]:[Column18]])&gt;Table3[[#This Row],[Column19]],Table3[[#This Row],[Column19]],SUM(Table3[[#This Row],[Column2]:[Column18]]))</f>
        <v>50000</v>
      </c>
      <c r="BD587" s="2">
        <f>Table3[[#This Row],[Total Spend]]/SUM(Table3[[#This Row],[Column2]:[Column18]])</f>
        <v>0.77700077700077697</v>
      </c>
    </row>
    <row r="588" spans="1:56">
      <c r="A588" s="87" t="s">
        <v>662</v>
      </c>
      <c r="B588" s="87"/>
      <c r="C588" s="87"/>
      <c r="D588" s="85">
        <v>45566</v>
      </c>
      <c r="E588" s="85" t="s">
        <v>58</v>
      </c>
      <c r="F588" s="84">
        <f>INDEX(Definitions!$G$13:$G$17,MATCH(Table3[[#This Row],[Propensity to buy/ buyer readiness]],Definitions!$A$13:$A$17,0))</f>
        <v>50000</v>
      </c>
      <c r="G588" s="86">
        <v>5</v>
      </c>
      <c r="H588" s="86">
        <v>4</v>
      </c>
      <c r="I588" s="86">
        <v>2</v>
      </c>
      <c r="J588" s="86">
        <v>4</v>
      </c>
      <c r="K588" s="86">
        <v>3</v>
      </c>
      <c r="L588" s="86">
        <f>SUM(Table3[[#This Row],[Strategic priority segment]:[Propensity to buy/ buyer readiness]])</f>
        <v>18</v>
      </c>
      <c r="M588" s="86" t="s">
        <v>191</v>
      </c>
      <c r="N588" s="84" t="s">
        <v>135</v>
      </c>
      <c r="O588" s="87"/>
      <c r="P588" s="87"/>
      <c r="Q588" s="87"/>
      <c r="R588" s="84"/>
      <c r="S588" s="87"/>
      <c r="T588" s="87"/>
      <c r="U588" s="84">
        <v>0</v>
      </c>
      <c r="V588" s="84">
        <v>0</v>
      </c>
      <c r="W588" s="84">
        <v>0</v>
      </c>
      <c r="X588" s="84">
        <v>0</v>
      </c>
      <c r="Y588" s="84">
        <v>0</v>
      </c>
      <c r="Z588" s="84">
        <v>0</v>
      </c>
      <c r="AA588" s="84">
        <v>0</v>
      </c>
      <c r="AB588" s="84">
        <v>0</v>
      </c>
      <c r="AC588" s="84">
        <v>0</v>
      </c>
      <c r="AD588" s="84">
        <v>0</v>
      </c>
      <c r="AE588" s="84">
        <v>0</v>
      </c>
      <c r="AF588" s="84">
        <v>0</v>
      </c>
      <c r="AG588" s="84">
        <v>0</v>
      </c>
      <c r="AH588" s="84">
        <v>1</v>
      </c>
      <c r="AI588" s="84">
        <v>1</v>
      </c>
      <c r="AJ588" s="84">
        <v>1</v>
      </c>
      <c r="AK588" s="84">
        <v>1</v>
      </c>
      <c r="AL588" s="84" cm="1">
        <f t="array" ref="AL5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88" s="84" cm="1">
        <f t="array" ref="AM5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8" s="84" cm="1">
        <f t="array" ref="AN5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8" s="84" cm="1">
        <f t="array" ref="AO5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8" s="84" cm="1">
        <f t="array" ref="AP5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8" s="84" cm="1">
        <f t="array" ref="AQ5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88" s="84" cm="1">
        <f t="array" ref="AR5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88" s="84" cm="1">
        <f t="array" ref="AS5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88" s="84" cm="1">
        <f t="array" ref="AT5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88" s="84" cm="1">
        <f t="array" ref="AU5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8" s="84" cm="1">
        <f t="array" ref="AV5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8" s="84" cm="1">
        <f t="array" ref="AW5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8" s="84" cm="1">
        <f t="array" ref="AX5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8" s="84" cm="1">
        <f t="array" ref="AY5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8" s="84" cm="1">
        <f t="array" ref="AZ5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8" s="84" cm="1">
        <f t="array" ref="BA5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8" s="84" cm="1">
        <f t="array" ref="BB5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8" s="84">
        <f>IF(SUM(Table3[[#This Row],[Column2]:[Column18]])&gt;Table3[[#This Row],[Column19]],Table3[[#This Row],[Column19]],SUM(Table3[[#This Row],[Column2]:[Column18]]))</f>
        <v>50000</v>
      </c>
      <c r="BD588" s="2">
        <f>Table3[[#This Row],[Total Spend]]/SUM(Table3[[#This Row],[Column2]:[Column18]])</f>
        <v>0.77700077700077697</v>
      </c>
    </row>
    <row r="589" spans="1:56" ht="28.5">
      <c r="A589" s="84" t="s">
        <v>663</v>
      </c>
      <c r="B589" s="84"/>
      <c r="C589" s="84"/>
      <c r="D589" s="85">
        <v>45566</v>
      </c>
      <c r="E589" s="85" t="s">
        <v>58</v>
      </c>
      <c r="F589" s="84">
        <f>INDEX(Definitions!$G$13:$G$17,MATCH(Table3[[#This Row],[Propensity to buy/ buyer readiness]],Definitions!$A$13:$A$17,0))</f>
        <v>50000</v>
      </c>
      <c r="G589" s="86">
        <v>5</v>
      </c>
      <c r="H589" s="86">
        <v>4</v>
      </c>
      <c r="I589" s="86">
        <v>2</v>
      </c>
      <c r="J589" s="86">
        <v>4</v>
      </c>
      <c r="K589" s="86">
        <v>3</v>
      </c>
      <c r="L589" s="86">
        <f>SUM(Table3[[#This Row],[Strategic priority segment]:[Propensity to buy/ buyer readiness]])</f>
        <v>18</v>
      </c>
      <c r="M589" s="86" t="s">
        <v>191</v>
      </c>
      <c r="N589" s="84" t="s">
        <v>135</v>
      </c>
      <c r="O589" s="87" t="s">
        <v>61</v>
      </c>
      <c r="P589" s="87"/>
      <c r="Q589" s="87"/>
      <c r="R589" s="87"/>
      <c r="S589" s="87"/>
      <c r="T589" s="87"/>
      <c r="U589" s="84">
        <v>1</v>
      </c>
      <c r="V589" s="84">
        <v>0</v>
      </c>
      <c r="W589" s="84">
        <v>0</v>
      </c>
      <c r="X589" s="84">
        <v>0</v>
      </c>
      <c r="Y589" s="84">
        <v>0</v>
      </c>
      <c r="Z589" s="84">
        <v>1</v>
      </c>
      <c r="AA589" s="84">
        <v>1</v>
      </c>
      <c r="AB589" s="84">
        <v>1</v>
      </c>
      <c r="AC589" s="84">
        <v>1</v>
      </c>
      <c r="AD589" s="84">
        <v>0</v>
      </c>
      <c r="AE589" s="84">
        <v>0</v>
      </c>
      <c r="AF589" s="84">
        <v>0</v>
      </c>
      <c r="AG589" s="84">
        <v>0</v>
      </c>
      <c r="AH589" s="84">
        <v>1</v>
      </c>
      <c r="AI589" s="84">
        <v>1</v>
      </c>
      <c r="AJ589" s="84">
        <v>1</v>
      </c>
      <c r="AK589" s="84">
        <v>1</v>
      </c>
      <c r="AL589" s="84" cm="1">
        <f t="array" ref="AL5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89" s="84" cm="1">
        <f t="array" ref="AM5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89" s="84" cm="1">
        <f t="array" ref="AN5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89" s="84" cm="1">
        <f t="array" ref="AO5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89" s="84" cm="1">
        <f t="array" ref="AP5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89" s="84" cm="1">
        <f t="array" ref="AQ5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89" s="84" cm="1">
        <f t="array" ref="AR5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589" s="84" cm="1">
        <f t="array" ref="AS5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89" s="84" cm="1">
        <f t="array" ref="AT5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589" s="84" cm="1">
        <f t="array" ref="AU5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89" s="84" cm="1">
        <f t="array" ref="AV5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89" s="84" cm="1">
        <f t="array" ref="AW5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89" s="84" cm="1">
        <f t="array" ref="AX5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89" s="84" cm="1">
        <f t="array" ref="AY5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89" s="84" cm="1">
        <f t="array" ref="AZ5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89" s="84" cm="1">
        <f t="array" ref="BA5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89" s="84" cm="1">
        <f t="array" ref="BB5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89" s="84">
        <f>IF(SUM(Table3[[#This Row],[Column2]:[Column18]])&gt;Table3[[#This Row],[Column19]],Table3[[#This Row],[Column19]],SUM(Table3[[#This Row],[Column2]:[Column18]]))</f>
        <v>50000</v>
      </c>
      <c r="BD589" s="2">
        <f>Table3[[#This Row],[Total Spend]]/SUM(Table3[[#This Row],[Column2]:[Column18]])</f>
        <v>0.24420024420024419</v>
      </c>
    </row>
    <row r="590" spans="1:56">
      <c r="A590" s="87" t="s">
        <v>664</v>
      </c>
      <c r="B590" s="87"/>
      <c r="C590" s="87"/>
      <c r="D590" s="85">
        <v>45566</v>
      </c>
      <c r="E590" s="85" t="s">
        <v>58</v>
      </c>
      <c r="F590" s="84">
        <f>INDEX(Definitions!$G$13:$G$17,MATCH(Table3[[#This Row],[Propensity to buy/ buyer readiness]],Definitions!$A$13:$A$17,0))</f>
        <v>50000</v>
      </c>
      <c r="G590" s="86">
        <v>5</v>
      </c>
      <c r="H590" s="86">
        <v>4</v>
      </c>
      <c r="I590" s="86">
        <v>2</v>
      </c>
      <c r="J590" s="86">
        <v>4</v>
      </c>
      <c r="K590" s="86">
        <v>3</v>
      </c>
      <c r="L590" s="86">
        <f>SUM(Table3[[#This Row],[Strategic priority segment]:[Propensity to buy/ buyer readiness]])</f>
        <v>18</v>
      </c>
      <c r="M590" s="86" t="s">
        <v>191</v>
      </c>
      <c r="N590" s="84" t="s">
        <v>135</v>
      </c>
      <c r="O590" s="87"/>
      <c r="P590" s="87"/>
      <c r="Q590" s="87"/>
      <c r="R590" s="84"/>
      <c r="S590" s="87"/>
      <c r="T590" s="87"/>
      <c r="U590" s="84">
        <v>0</v>
      </c>
      <c r="V590" s="84">
        <v>0</v>
      </c>
      <c r="W590" s="84">
        <v>0</v>
      </c>
      <c r="X590" s="84">
        <v>0</v>
      </c>
      <c r="Y590" s="84">
        <v>0</v>
      </c>
      <c r="Z590" s="84">
        <v>0</v>
      </c>
      <c r="AA590" s="84">
        <v>0</v>
      </c>
      <c r="AB590" s="84">
        <v>0</v>
      </c>
      <c r="AC590" s="84">
        <v>0</v>
      </c>
      <c r="AD590" s="84">
        <v>0</v>
      </c>
      <c r="AE590" s="84">
        <v>0</v>
      </c>
      <c r="AF590" s="84">
        <v>0</v>
      </c>
      <c r="AG590" s="84">
        <v>0</v>
      </c>
      <c r="AH590" s="84">
        <v>1</v>
      </c>
      <c r="AI590" s="84">
        <v>1</v>
      </c>
      <c r="AJ590" s="84">
        <v>1</v>
      </c>
      <c r="AK590" s="84">
        <v>1</v>
      </c>
      <c r="AL590" s="84" cm="1">
        <f t="array" ref="AL5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0" s="84" cm="1">
        <f t="array" ref="AM5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0" s="84" cm="1">
        <f t="array" ref="AN5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0" s="84" cm="1">
        <f t="array" ref="AO5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0" s="84" cm="1">
        <f t="array" ref="AP5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0" s="84" cm="1">
        <f t="array" ref="AQ5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0" s="84" cm="1">
        <f t="array" ref="AR5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0" s="84" cm="1">
        <f t="array" ref="AS5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0" s="84" cm="1">
        <f t="array" ref="AT5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0" s="84" cm="1">
        <f t="array" ref="AU5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0" s="84" cm="1">
        <f t="array" ref="AV5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0" s="84" cm="1">
        <f t="array" ref="AW5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0" s="84" cm="1">
        <f t="array" ref="AX5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0" s="84" cm="1">
        <f t="array" ref="AY5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0" s="84" cm="1">
        <f t="array" ref="AZ5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0" s="84" cm="1">
        <f t="array" ref="BA5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0" s="84" cm="1">
        <f t="array" ref="BB5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0" s="84">
        <f>IF(SUM(Table3[[#This Row],[Column2]:[Column18]])&gt;Table3[[#This Row],[Column19]],Table3[[#This Row],[Column19]],SUM(Table3[[#This Row],[Column2]:[Column18]]))</f>
        <v>50000</v>
      </c>
      <c r="BD590" s="2">
        <f>Table3[[#This Row],[Total Spend]]/SUM(Table3[[#This Row],[Column2]:[Column18]])</f>
        <v>0.77700077700077697</v>
      </c>
    </row>
    <row r="591" spans="1:56">
      <c r="A591" s="87" t="s">
        <v>665</v>
      </c>
      <c r="B591" s="87"/>
      <c r="C591" s="87"/>
      <c r="D591" s="85">
        <v>45566</v>
      </c>
      <c r="E591" s="85" t="s">
        <v>58</v>
      </c>
      <c r="F591" s="84">
        <f>INDEX(Definitions!$G$13:$G$17,MATCH(Table3[[#This Row],[Propensity to buy/ buyer readiness]],Definitions!$A$13:$A$17,0))</f>
        <v>50000</v>
      </c>
      <c r="G591" s="86">
        <v>5</v>
      </c>
      <c r="H591" s="86">
        <v>4</v>
      </c>
      <c r="I591" s="86">
        <v>2</v>
      </c>
      <c r="J591" s="86">
        <v>4</v>
      </c>
      <c r="K591" s="86">
        <v>3</v>
      </c>
      <c r="L591" s="86">
        <f>SUM(Table3[[#This Row],[Strategic priority segment]:[Propensity to buy/ buyer readiness]])</f>
        <v>18</v>
      </c>
      <c r="M591" s="86" t="s">
        <v>191</v>
      </c>
      <c r="N591" s="84" t="s">
        <v>135</v>
      </c>
      <c r="O591" s="87"/>
      <c r="P591" s="87"/>
      <c r="Q591" s="87"/>
      <c r="R591" s="84"/>
      <c r="S591" s="87"/>
      <c r="T591" s="87"/>
      <c r="U591" s="84">
        <v>0</v>
      </c>
      <c r="V591" s="84">
        <v>0</v>
      </c>
      <c r="W591" s="84">
        <v>0</v>
      </c>
      <c r="X591" s="84">
        <v>0</v>
      </c>
      <c r="Y591" s="84">
        <v>0</v>
      </c>
      <c r="Z591" s="84">
        <v>0</v>
      </c>
      <c r="AA591" s="84">
        <v>0</v>
      </c>
      <c r="AB591" s="84">
        <v>0</v>
      </c>
      <c r="AC591" s="84">
        <v>0</v>
      </c>
      <c r="AD591" s="84">
        <v>0</v>
      </c>
      <c r="AE591" s="84">
        <v>0</v>
      </c>
      <c r="AF591" s="84">
        <v>0</v>
      </c>
      <c r="AG591" s="84">
        <v>0</v>
      </c>
      <c r="AH591" s="84">
        <v>1</v>
      </c>
      <c r="AI591" s="84">
        <v>1</v>
      </c>
      <c r="AJ591" s="84">
        <v>1</v>
      </c>
      <c r="AK591" s="84">
        <v>1</v>
      </c>
      <c r="AL591" s="84" cm="1">
        <f t="array" ref="AL5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1" s="84" cm="1">
        <f t="array" ref="AM5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1" s="84" cm="1">
        <f t="array" ref="AN5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1" s="84" cm="1">
        <f t="array" ref="AO5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1" s="84" cm="1">
        <f t="array" ref="AP5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1" s="84" cm="1">
        <f t="array" ref="AQ5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1" s="84" cm="1">
        <f t="array" ref="AR5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1" s="84" cm="1">
        <f t="array" ref="AS5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1" s="84" cm="1">
        <f t="array" ref="AT5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1" s="84" cm="1">
        <f t="array" ref="AU5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1" s="84" cm="1">
        <f t="array" ref="AV5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1" s="84" cm="1">
        <f t="array" ref="AW5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1" s="84" cm="1">
        <f t="array" ref="AX5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1" s="84" cm="1">
        <f t="array" ref="AY5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1" s="84" cm="1">
        <f t="array" ref="AZ5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1" s="84" cm="1">
        <f t="array" ref="BA5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1" s="84" cm="1">
        <f t="array" ref="BB5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1" s="84">
        <f>IF(SUM(Table3[[#This Row],[Column2]:[Column18]])&gt;Table3[[#This Row],[Column19]],Table3[[#This Row],[Column19]],SUM(Table3[[#This Row],[Column2]:[Column18]]))</f>
        <v>50000</v>
      </c>
      <c r="BD591" s="2">
        <f>Table3[[#This Row],[Total Spend]]/SUM(Table3[[#This Row],[Column2]:[Column18]])</f>
        <v>0.77700077700077697</v>
      </c>
    </row>
    <row r="592" spans="1:56">
      <c r="A592" s="84" t="s">
        <v>666</v>
      </c>
      <c r="B592" s="84"/>
      <c r="C592" s="84" t="s">
        <v>57</v>
      </c>
      <c r="D592" s="85">
        <v>45566</v>
      </c>
      <c r="E592" s="85" t="s">
        <v>58</v>
      </c>
      <c r="F592" s="84">
        <f>INDEX(Definitions!$G$13:$G$17,MATCH(Table3[[#This Row],[Propensity to buy/ buyer readiness]],Definitions!$A$13:$A$17,0))</f>
        <v>150000</v>
      </c>
      <c r="G592" s="86">
        <v>4</v>
      </c>
      <c r="H592" s="86">
        <v>3</v>
      </c>
      <c r="I592" s="86">
        <v>4</v>
      </c>
      <c r="J592" s="86">
        <v>3</v>
      </c>
      <c r="K592" s="86">
        <v>4</v>
      </c>
      <c r="L592" s="86">
        <f>SUM(Table3[[#This Row],[Strategic priority segment]:[Propensity to buy/ buyer readiness]])</f>
        <v>18</v>
      </c>
      <c r="M592" s="86" t="s">
        <v>152</v>
      </c>
      <c r="N592" s="84" t="s">
        <v>122</v>
      </c>
      <c r="O592" s="84"/>
      <c r="P592" s="87"/>
      <c r="Q592" s="87"/>
      <c r="R592" s="84"/>
      <c r="S592" s="87"/>
      <c r="T592" s="87"/>
      <c r="U592" s="84">
        <v>1</v>
      </c>
      <c r="V592" s="84">
        <v>0</v>
      </c>
      <c r="W592" s="84">
        <v>0</v>
      </c>
      <c r="X592" s="84">
        <v>0</v>
      </c>
      <c r="Y592" s="84">
        <v>0</v>
      </c>
      <c r="Z592" s="84">
        <v>1</v>
      </c>
      <c r="AA592" s="84">
        <v>0</v>
      </c>
      <c r="AB592" s="84">
        <v>1</v>
      </c>
      <c r="AC592" s="84">
        <v>0</v>
      </c>
      <c r="AD592" s="84">
        <v>1</v>
      </c>
      <c r="AE592" s="84">
        <v>0</v>
      </c>
      <c r="AF592" s="84">
        <v>1</v>
      </c>
      <c r="AG592" s="84">
        <v>0</v>
      </c>
      <c r="AH592" s="84">
        <v>0</v>
      </c>
      <c r="AI592" s="84">
        <v>0</v>
      </c>
      <c r="AJ592" s="84">
        <v>0</v>
      </c>
      <c r="AK592" s="84">
        <v>0</v>
      </c>
      <c r="AL592" s="84" cm="1">
        <f t="array" ref="AL5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592" s="84" cm="1">
        <f t="array" ref="AM5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2" s="84" cm="1">
        <f t="array" ref="AN5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2" s="84" cm="1">
        <f t="array" ref="AO5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2" s="84" cm="1">
        <f t="array" ref="AP5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2" s="84" cm="1">
        <f t="array" ref="AQ5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592" s="84" cm="1">
        <f t="array" ref="AR5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2" s="84" cm="1">
        <f t="array" ref="AS5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592" s="84" cm="1">
        <f t="array" ref="AT5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2" s="84" cm="1">
        <f t="array" ref="AU5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592" s="84" cm="1">
        <f t="array" ref="AV5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2" s="84" cm="1">
        <f t="array" ref="AW5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592" s="84" cm="1">
        <f t="array" ref="AX5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2" s="84" cm="1">
        <f t="array" ref="AY5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92" s="84" cm="1">
        <f t="array" ref="AZ5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92" s="84" cm="1">
        <f t="array" ref="BA5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92" s="84" cm="1">
        <f t="array" ref="BB5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92" s="84">
        <f>IF(SUM(Table3[[#This Row],[Column2]:[Column18]])&gt;Table3[[#This Row],[Column19]],Table3[[#This Row],[Column19]],SUM(Table3[[#This Row],[Column2]:[Column18]]))</f>
        <v>150000</v>
      </c>
      <c r="BD592" s="2">
        <f>Table3[[#This Row],[Total Spend]]/SUM(Table3[[#This Row],[Column2]:[Column18]])</f>
        <v>0.89605734767025091</v>
      </c>
    </row>
    <row r="593" spans="1:56">
      <c r="A593" s="84" t="s">
        <v>667</v>
      </c>
      <c r="B593" s="84"/>
      <c r="C593" s="84"/>
      <c r="D593" s="85">
        <v>45566</v>
      </c>
      <c r="E593" s="85" t="s">
        <v>58</v>
      </c>
      <c r="F593" s="84">
        <f>INDEX(Definitions!$G$13:$G$17,MATCH(Table3[[#This Row],[Propensity to buy/ buyer readiness]],Definitions!$A$13:$A$17,0))</f>
        <v>50000</v>
      </c>
      <c r="G593" s="86">
        <v>5</v>
      </c>
      <c r="H593" s="86">
        <v>4</v>
      </c>
      <c r="I593" s="86">
        <v>2</v>
      </c>
      <c r="J593" s="86">
        <v>4</v>
      </c>
      <c r="K593" s="86">
        <v>3</v>
      </c>
      <c r="L593" s="86">
        <f>SUM(Table3[[#This Row],[Strategic priority segment]:[Propensity to buy/ buyer readiness]])</f>
        <v>18</v>
      </c>
      <c r="M593" s="86" t="s">
        <v>191</v>
      </c>
      <c r="N593" s="84" t="s">
        <v>135</v>
      </c>
      <c r="O593" s="87"/>
      <c r="P593" s="87"/>
      <c r="Q593" s="87"/>
      <c r="R593" s="87"/>
      <c r="S593" s="87"/>
      <c r="T593" s="87"/>
      <c r="U593" s="84">
        <v>0</v>
      </c>
      <c r="V593" s="84">
        <v>0</v>
      </c>
      <c r="W593" s="84">
        <v>0</v>
      </c>
      <c r="X593" s="84">
        <v>0</v>
      </c>
      <c r="Y593" s="84">
        <v>0</v>
      </c>
      <c r="Z593" s="84">
        <v>0</v>
      </c>
      <c r="AA593" s="84">
        <v>0</v>
      </c>
      <c r="AB593" s="84">
        <v>0</v>
      </c>
      <c r="AC593" s="84">
        <v>0</v>
      </c>
      <c r="AD593" s="84">
        <v>0</v>
      </c>
      <c r="AE593" s="84">
        <v>0</v>
      </c>
      <c r="AF593" s="84">
        <v>0</v>
      </c>
      <c r="AG593" s="84">
        <v>0</v>
      </c>
      <c r="AH593" s="84">
        <v>1</v>
      </c>
      <c r="AI593" s="84">
        <v>1</v>
      </c>
      <c r="AJ593" s="84">
        <v>1</v>
      </c>
      <c r="AK593" s="84">
        <v>1</v>
      </c>
      <c r="AL593" s="84" cm="1">
        <f t="array" ref="AL5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3" s="84" cm="1">
        <f t="array" ref="AM5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3" s="84" cm="1">
        <f t="array" ref="AN5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3" s="84" cm="1">
        <f t="array" ref="AO5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3" s="84" cm="1">
        <f t="array" ref="AP5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3" s="84" cm="1">
        <f t="array" ref="AQ5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3" s="84" cm="1">
        <f t="array" ref="AR5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3" s="84" cm="1">
        <f t="array" ref="AS5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3" s="84" cm="1">
        <f t="array" ref="AT5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3" s="84" cm="1">
        <f t="array" ref="AU5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3" s="84" cm="1">
        <f t="array" ref="AV5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3" s="84" cm="1">
        <f t="array" ref="AW5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3" s="84" cm="1">
        <f t="array" ref="AX5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3" s="84" cm="1">
        <f t="array" ref="AY5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3" s="84" cm="1">
        <f t="array" ref="AZ5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3" s="84" cm="1">
        <f t="array" ref="BA5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3" s="84" cm="1">
        <f t="array" ref="BB5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3" s="84">
        <f>IF(SUM(Table3[[#This Row],[Column2]:[Column18]])&gt;Table3[[#This Row],[Column19]],Table3[[#This Row],[Column19]],SUM(Table3[[#This Row],[Column2]:[Column18]]))</f>
        <v>50000</v>
      </c>
      <c r="BD593" s="2">
        <f>Table3[[#This Row],[Total Spend]]/SUM(Table3[[#This Row],[Column2]:[Column18]])</f>
        <v>0.77700077700077697</v>
      </c>
    </row>
    <row r="594" spans="1:56">
      <c r="A594" s="87" t="s">
        <v>668</v>
      </c>
      <c r="B594" s="87"/>
      <c r="C594" s="87" t="s">
        <v>57</v>
      </c>
      <c r="D594" s="85">
        <v>45566</v>
      </c>
      <c r="E594" s="85" t="s">
        <v>92</v>
      </c>
      <c r="F594" s="84">
        <f>INDEX(Definitions!$G$13:$G$17,MATCH(Table3[[#This Row],[Propensity to buy/ buyer readiness]],Definitions!$A$13:$A$17,0))</f>
        <v>50000</v>
      </c>
      <c r="G594" s="86">
        <v>5</v>
      </c>
      <c r="H594" s="86">
        <v>4</v>
      </c>
      <c r="I594" s="86">
        <v>3</v>
      </c>
      <c r="J594" s="86">
        <v>3</v>
      </c>
      <c r="K594" s="86">
        <v>3</v>
      </c>
      <c r="L594" s="86">
        <f>SUM(Table3[[#This Row],[Strategic priority segment]:[Propensity to buy/ buyer readiness]])</f>
        <v>18</v>
      </c>
      <c r="M594" s="86" t="s">
        <v>66</v>
      </c>
      <c r="N594" s="84" t="s">
        <v>62</v>
      </c>
      <c r="O594" s="87"/>
      <c r="P594" s="87"/>
      <c r="Q594" s="87"/>
      <c r="R594" s="84"/>
      <c r="S594" s="87"/>
      <c r="T594" s="87"/>
      <c r="U594" s="84">
        <v>1</v>
      </c>
      <c r="V594" s="84">
        <v>0</v>
      </c>
      <c r="W594" s="84">
        <v>0</v>
      </c>
      <c r="X594" s="84">
        <v>0</v>
      </c>
      <c r="Y594" s="84">
        <v>0</v>
      </c>
      <c r="Z594" s="84">
        <v>0</v>
      </c>
      <c r="AA594" s="84">
        <v>0</v>
      </c>
      <c r="AB594" s="84">
        <v>0</v>
      </c>
      <c r="AC594" s="84">
        <v>0</v>
      </c>
      <c r="AD594" s="84">
        <v>1</v>
      </c>
      <c r="AE594" s="84">
        <v>1</v>
      </c>
      <c r="AF594" s="84">
        <v>1</v>
      </c>
      <c r="AG594" s="84">
        <v>1</v>
      </c>
      <c r="AH594" s="84">
        <v>0</v>
      </c>
      <c r="AI594" s="84">
        <v>0</v>
      </c>
      <c r="AJ594" s="84">
        <v>0</v>
      </c>
      <c r="AK594" s="84">
        <v>0</v>
      </c>
      <c r="AL594" s="84" cm="1">
        <f t="array" ref="AL5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94" s="84" cm="1">
        <f t="array" ref="AM5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4" s="84" cm="1">
        <f t="array" ref="AN5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4" s="84" cm="1">
        <f t="array" ref="AO5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4" s="84" cm="1">
        <f t="array" ref="AP5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4" s="84" cm="1">
        <f t="array" ref="AQ5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4" s="84" cm="1">
        <f t="array" ref="AR5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4" s="84" cm="1">
        <f t="array" ref="AS5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4" s="84" cm="1">
        <f t="array" ref="AT5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4" s="84" cm="1">
        <f t="array" ref="AU5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94" s="84" cm="1">
        <f t="array" ref="AV5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94" s="84" cm="1">
        <f t="array" ref="AW5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94" s="84" cm="1">
        <f t="array" ref="AX5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94" s="84" cm="1">
        <f t="array" ref="AY5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94" s="84" cm="1">
        <f t="array" ref="AZ5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94" s="84" cm="1">
        <f t="array" ref="BA5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94" s="84" cm="1">
        <f t="array" ref="BB5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94" s="84">
        <f>IF(SUM(Table3[[#This Row],[Column2]:[Column18]])&gt;Table3[[#This Row],[Column19]],Table3[[#This Row],[Column19]],SUM(Table3[[#This Row],[Column2]:[Column18]]))</f>
        <v>50000</v>
      </c>
      <c r="BD594" s="2">
        <f>Table3[[#This Row],[Total Spend]]/SUM(Table3[[#This Row],[Column2]:[Column18]])</f>
        <v>0.53163211057947901</v>
      </c>
    </row>
    <row r="595" spans="1:56" ht="28.5">
      <c r="A595" s="87" t="s">
        <v>669</v>
      </c>
      <c r="B595" s="87"/>
      <c r="C595" s="87" t="s">
        <v>57</v>
      </c>
      <c r="D595" s="85">
        <v>45566</v>
      </c>
      <c r="E595" s="85" t="s">
        <v>92</v>
      </c>
      <c r="F595" s="84">
        <f>INDEX(Definitions!$G$13:$G$17,MATCH(Table3[[#This Row],[Propensity to buy/ buyer readiness]],Definitions!$A$13:$A$17,0))</f>
        <v>50000</v>
      </c>
      <c r="G595" s="86">
        <v>5</v>
      </c>
      <c r="H595" s="86">
        <v>4</v>
      </c>
      <c r="I595" s="86">
        <v>3</v>
      </c>
      <c r="J595" s="86">
        <v>3</v>
      </c>
      <c r="K595" s="86">
        <v>3</v>
      </c>
      <c r="L595" s="86">
        <f>SUM(Table3[[#This Row],[Strategic priority segment]:[Propensity to buy/ buyer readiness]])</f>
        <v>18</v>
      </c>
      <c r="M595" s="86" t="s">
        <v>66</v>
      </c>
      <c r="N595" s="84" t="s">
        <v>62</v>
      </c>
      <c r="O595" s="87" t="s">
        <v>61</v>
      </c>
      <c r="P595" s="87"/>
      <c r="Q595" s="87"/>
      <c r="R595" s="84"/>
      <c r="S595" s="87"/>
      <c r="T595" s="87"/>
      <c r="U595" s="84">
        <v>1</v>
      </c>
      <c r="V595" s="84">
        <v>0</v>
      </c>
      <c r="W595" s="84">
        <v>0</v>
      </c>
      <c r="X595" s="84">
        <v>0</v>
      </c>
      <c r="Y595" s="84">
        <v>0</v>
      </c>
      <c r="Z595" s="84">
        <v>1</v>
      </c>
      <c r="AA595" s="84">
        <v>1</v>
      </c>
      <c r="AB595" s="84">
        <v>1</v>
      </c>
      <c r="AC595" s="84">
        <v>1</v>
      </c>
      <c r="AD595" s="84">
        <v>1</v>
      </c>
      <c r="AE595" s="84">
        <v>1</v>
      </c>
      <c r="AF595" s="84">
        <v>1</v>
      </c>
      <c r="AG595" s="84">
        <v>1</v>
      </c>
      <c r="AH595" s="84">
        <v>0</v>
      </c>
      <c r="AI595" s="84">
        <v>0</v>
      </c>
      <c r="AJ595" s="84">
        <v>0</v>
      </c>
      <c r="AK595" s="84">
        <v>0</v>
      </c>
      <c r="AL595" s="84" cm="1">
        <f t="array" ref="AL5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595" s="84" cm="1">
        <f t="array" ref="AM5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5" s="84" cm="1">
        <f t="array" ref="AN5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5" s="84" cm="1">
        <f t="array" ref="AO5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5" s="84" cm="1">
        <f t="array" ref="AP5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5" s="84" cm="1">
        <f t="array" ref="AQ5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595" s="84" cm="1">
        <f t="array" ref="AR5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595" s="84" cm="1">
        <f t="array" ref="AS5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595" s="84" cm="1">
        <f t="array" ref="AT5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595" s="84" cm="1">
        <f t="array" ref="AU5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595" s="84" cm="1">
        <f t="array" ref="AV5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595" s="84" cm="1">
        <f t="array" ref="AW5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595" s="84" cm="1">
        <f t="array" ref="AX5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595" s="84" cm="1">
        <f t="array" ref="AY5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595" s="84" cm="1">
        <f t="array" ref="AZ5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595" s="84" cm="1">
        <f t="array" ref="BA5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595" s="84" cm="1">
        <f t="array" ref="BB5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595" s="84">
        <f>IF(SUM(Table3[[#This Row],[Column2]:[Column18]])&gt;Table3[[#This Row],[Column19]],Table3[[#This Row],[Column19]],SUM(Table3[[#This Row],[Column2]:[Column18]]))</f>
        <v>50000</v>
      </c>
      <c r="BD595" s="2">
        <f>Table3[[#This Row],[Total Spend]]/SUM(Table3[[#This Row],[Column2]:[Column18]])</f>
        <v>0.2664535038635758</v>
      </c>
    </row>
    <row r="596" spans="1:56">
      <c r="A596" s="87" t="s">
        <v>670</v>
      </c>
      <c r="B596" s="87"/>
      <c r="C596" s="87"/>
      <c r="D596" s="85">
        <v>45566</v>
      </c>
      <c r="E596" s="85" t="s">
        <v>58</v>
      </c>
      <c r="F596" s="84">
        <f>INDEX(Definitions!$G$13:$G$17,MATCH(Table3[[#This Row],[Propensity to buy/ buyer readiness]],Definitions!$A$13:$A$17,0))</f>
        <v>50000</v>
      </c>
      <c r="G596" s="86">
        <v>5</v>
      </c>
      <c r="H596" s="86">
        <v>4</v>
      </c>
      <c r="I596" s="86">
        <v>2</v>
      </c>
      <c r="J596" s="86">
        <v>4</v>
      </c>
      <c r="K596" s="86">
        <v>3</v>
      </c>
      <c r="L596" s="86">
        <f>SUM(Table3[[#This Row],[Strategic priority segment]:[Propensity to buy/ buyer readiness]])</f>
        <v>18</v>
      </c>
      <c r="M596" s="86" t="s">
        <v>191</v>
      </c>
      <c r="N596" s="84" t="s">
        <v>135</v>
      </c>
      <c r="O596" s="87"/>
      <c r="P596" s="87"/>
      <c r="Q596" s="87"/>
      <c r="R596" s="84"/>
      <c r="S596" s="87"/>
      <c r="T596" s="87"/>
      <c r="U596" s="84">
        <v>0</v>
      </c>
      <c r="V596" s="84">
        <v>0</v>
      </c>
      <c r="W596" s="84">
        <v>0</v>
      </c>
      <c r="X596" s="84">
        <v>0</v>
      </c>
      <c r="Y596" s="84">
        <v>0</v>
      </c>
      <c r="Z596" s="84">
        <v>0</v>
      </c>
      <c r="AA596" s="84">
        <v>0</v>
      </c>
      <c r="AB596" s="84">
        <v>0</v>
      </c>
      <c r="AC596" s="84">
        <v>0</v>
      </c>
      <c r="AD596" s="84">
        <v>0</v>
      </c>
      <c r="AE596" s="84">
        <v>0</v>
      </c>
      <c r="AF596" s="84">
        <v>0</v>
      </c>
      <c r="AG596" s="84">
        <v>0</v>
      </c>
      <c r="AH596" s="84">
        <v>1</v>
      </c>
      <c r="AI596" s="84">
        <v>1</v>
      </c>
      <c r="AJ596" s="84">
        <v>1</v>
      </c>
      <c r="AK596" s="84">
        <v>1</v>
      </c>
      <c r="AL596" s="84" cm="1">
        <f t="array" ref="AL5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6" s="84" cm="1">
        <f t="array" ref="AM5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6" s="84" cm="1">
        <f t="array" ref="AN5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6" s="84" cm="1">
        <f t="array" ref="AO5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6" s="84" cm="1">
        <f t="array" ref="AP5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6" s="84" cm="1">
        <f t="array" ref="AQ5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6" s="84" cm="1">
        <f t="array" ref="AR5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6" s="84" cm="1">
        <f t="array" ref="AS5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6" s="84" cm="1">
        <f t="array" ref="AT5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6" s="84" cm="1">
        <f t="array" ref="AU5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6" s="84" cm="1">
        <f t="array" ref="AV5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6" s="84" cm="1">
        <f t="array" ref="AW5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6" s="84" cm="1">
        <f t="array" ref="AX5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6" s="84" cm="1">
        <f t="array" ref="AY5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6" s="84" cm="1">
        <f t="array" ref="AZ5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6" s="84" cm="1">
        <f t="array" ref="BA5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6" s="84" cm="1">
        <f t="array" ref="BB5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6" s="84">
        <f>IF(SUM(Table3[[#This Row],[Column2]:[Column18]])&gt;Table3[[#This Row],[Column19]],Table3[[#This Row],[Column19]],SUM(Table3[[#This Row],[Column2]:[Column18]]))</f>
        <v>50000</v>
      </c>
      <c r="BD596" s="2">
        <f>Table3[[#This Row],[Total Spend]]/SUM(Table3[[#This Row],[Column2]:[Column18]])</f>
        <v>0.77700077700077697</v>
      </c>
    </row>
    <row r="597" spans="1:56" ht="42.75">
      <c r="A597" s="87" t="s">
        <v>671</v>
      </c>
      <c r="B597" s="87"/>
      <c r="C597" s="87"/>
      <c r="D597" s="85">
        <v>45566</v>
      </c>
      <c r="E597" s="85" t="s">
        <v>58</v>
      </c>
      <c r="F597" s="84">
        <f>INDEX(Definitions!$G$13:$G$17,MATCH(Table3[[#This Row],[Propensity to buy/ buyer readiness]],Definitions!$A$13:$A$17,0))</f>
        <v>50000</v>
      </c>
      <c r="G597" s="86">
        <v>5</v>
      </c>
      <c r="H597" s="86">
        <v>4</v>
      </c>
      <c r="I597" s="86">
        <v>2</v>
      </c>
      <c r="J597" s="86">
        <v>4</v>
      </c>
      <c r="K597" s="86">
        <v>3</v>
      </c>
      <c r="L597" s="86">
        <f>SUM(Table3[[#This Row],[Strategic priority segment]:[Propensity to buy/ buyer readiness]])</f>
        <v>18</v>
      </c>
      <c r="M597" s="86" t="s">
        <v>191</v>
      </c>
      <c r="N597" s="84" t="s">
        <v>135</v>
      </c>
      <c r="O597" s="87"/>
      <c r="P597" s="87"/>
      <c r="Q597" s="87"/>
      <c r="R597" s="84"/>
      <c r="S597" s="87"/>
      <c r="T597" s="87"/>
      <c r="U597" s="84">
        <v>0</v>
      </c>
      <c r="V597" s="84">
        <v>0</v>
      </c>
      <c r="W597" s="84">
        <v>0</v>
      </c>
      <c r="X597" s="84">
        <v>0</v>
      </c>
      <c r="Y597" s="84">
        <v>0</v>
      </c>
      <c r="Z597" s="84">
        <v>0</v>
      </c>
      <c r="AA597" s="84">
        <v>0</v>
      </c>
      <c r="AB597" s="84">
        <v>0</v>
      </c>
      <c r="AC597" s="84">
        <v>0</v>
      </c>
      <c r="AD597" s="84">
        <v>0</v>
      </c>
      <c r="AE597" s="84">
        <v>0</v>
      </c>
      <c r="AF597" s="84">
        <v>0</v>
      </c>
      <c r="AG597" s="84">
        <v>0</v>
      </c>
      <c r="AH597" s="84">
        <v>1</v>
      </c>
      <c r="AI597" s="84">
        <v>1</v>
      </c>
      <c r="AJ597" s="84">
        <v>1</v>
      </c>
      <c r="AK597" s="84">
        <v>1</v>
      </c>
      <c r="AL597" s="84" cm="1">
        <f t="array" ref="AL5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7" s="84" cm="1">
        <f t="array" ref="AM5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7" s="84" cm="1">
        <f t="array" ref="AN5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7" s="84" cm="1">
        <f t="array" ref="AO5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7" s="84" cm="1">
        <f t="array" ref="AP5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7" s="84" cm="1">
        <f t="array" ref="AQ5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7" s="84" cm="1">
        <f t="array" ref="AR5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7" s="84" cm="1">
        <f t="array" ref="AS5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7" s="84" cm="1">
        <f t="array" ref="AT5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7" s="84" cm="1">
        <f t="array" ref="AU5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7" s="84" cm="1">
        <f t="array" ref="AV5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7" s="84" cm="1">
        <f t="array" ref="AW5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7" s="84" cm="1">
        <f t="array" ref="AX5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7" s="84" cm="1">
        <f t="array" ref="AY5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7" s="84" cm="1">
        <f t="array" ref="AZ5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7" s="84" cm="1">
        <f t="array" ref="BA5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7" s="84" cm="1">
        <f t="array" ref="BB5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7" s="84">
        <f>IF(SUM(Table3[[#This Row],[Column2]:[Column18]])&gt;Table3[[#This Row],[Column19]],Table3[[#This Row],[Column19]],SUM(Table3[[#This Row],[Column2]:[Column18]]))</f>
        <v>50000</v>
      </c>
      <c r="BD597" s="2">
        <f>Table3[[#This Row],[Total Spend]]/SUM(Table3[[#This Row],[Column2]:[Column18]])</f>
        <v>0.77700077700077697</v>
      </c>
    </row>
    <row r="598" spans="1:56" ht="12" customHeight="1">
      <c r="A598" s="91" t="s">
        <v>672</v>
      </c>
      <c r="B598" s="91"/>
      <c r="C598" s="91"/>
      <c r="D598" s="85">
        <v>45566</v>
      </c>
      <c r="E598" s="85" t="s">
        <v>58</v>
      </c>
      <c r="F598" s="84">
        <f>INDEX(Definitions!$G$13:$G$17,MATCH(Table3[[#This Row],[Propensity to buy/ buyer readiness]],Definitions!$A$13:$A$17,0))</f>
        <v>50000</v>
      </c>
      <c r="G598" s="86">
        <v>5</v>
      </c>
      <c r="H598" s="86">
        <v>4</v>
      </c>
      <c r="I598" s="86">
        <v>2</v>
      </c>
      <c r="J598" s="86">
        <v>4</v>
      </c>
      <c r="K598" s="86">
        <v>3</v>
      </c>
      <c r="L598" s="86">
        <f>SUM(Table3[[#This Row],[Strategic priority segment]:[Propensity to buy/ buyer readiness]])</f>
        <v>18</v>
      </c>
      <c r="M598" s="86" t="s">
        <v>191</v>
      </c>
      <c r="N598" s="84" t="s">
        <v>135</v>
      </c>
      <c r="O598" s="87"/>
      <c r="P598" s="87"/>
      <c r="Q598" s="87"/>
      <c r="R598" s="84"/>
      <c r="S598" s="87"/>
      <c r="T598" s="87"/>
      <c r="U598" s="84">
        <v>0</v>
      </c>
      <c r="V598" s="84">
        <v>0</v>
      </c>
      <c r="W598" s="84">
        <v>0</v>
      </c>
      <c r="X598" s="84">
        <v>0</v>
      </c>
      <c r="Y598" s="84">
        <v>0</v>
      </c>
      <c r="Z598" s="84">
        <v>0</v>
      </c>
      <c r="AA598" s="84">
        <v>0</v>
      </c>
      <c r="AB598" s="84">
        <v>0</v>
      </c>
      <c r="AC598" s="84">
        <v>0</v>
      </c>
      <c r="AD598" s="84">
        <v>0</v>
      </c>
      <c r="AE598" s="84">
        <v>0</v>
      </c>
      <c r="AF598" s="84">
        <v>0</v>
      </c>
      <c r="AG598" s="84">
        <v>0</v>
      </c>
      <c r="AH598" s="84">
        <v>1</v>
      </c>
      <c r="AI598" s="84">
        <v>1</v>
      </c>
      <c r="AJ598" s="84">
        <v>1</v>
      </c>
      <c r="AK598" s="84">
        <v>1</v>
      </c>
      <c r="AL598" s="84" cm="1">
        <f t="array" ref="AL5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8" s="84" cm="1">
        <f t="array" ref="AM5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8" s="84" cm="1">
        <f t="array" ref="AN5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8" s="84" cm="1">
        <f t="array" ref="AO5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8" s="84" cm="1">
        <f t="array" ref="AP5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8" s="84" cm="1">
        <f t="array" ref="AQ5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8" s="84" cm="1">
        <f t="array" ref="AR5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8" s="84" cm="1">
        <f t="array" ref="AS5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8" s="84" cm="1">
        <f t="array" ref="AT5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8" s="84" cm="1">
        <f t="array" ref="AU5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8" s="84" cm="1">
        <f t="array" ref="AV5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8" s="84" cm="1">
        <f t="array" ref="AW5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8" s="84" cm="1">
        <f t="array" ref="AX5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8" s="84" cm="1">
        <f t="array" ref="AY5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8" s="84" cm="1">
        <f t="array" ref="AZ5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8" s="84" cm="1">
        <f t="array" ref="BA5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8" s="84" cm="1">
        <f t="array" ref="BB5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8" s="84">
        <f>IF(SUM(Table3[[#This Row],[Column2]:[Column18]])&gt;Table3[[#This Row],[Column19]],Table3[[#This Row],[Column19]],SUM(Table3[[#This Row],[Column2]:[Column18]]))</f>
        <v>50000</v>
      </c>
      <c r="BD598" s="2">
        <f>Table3[[#This Row],[Total Spend]]/SUM(Table3[[#This Row],[Column2]:[Column18]])</f>
        <v>0.77700077700077697</v>
      </c>
    </row>
    <row r="599" spans="1:56" ht="28.5">
      <c r="A599" s="87" t="s">
        <v>673</v>
      </c>
      <c r="B599" s="87"/>
      <c r="C599" s="87"/>
      <c r="D599" s="85">
        <v>45566</v>
      </c>
      <c r="E599" s="85" t="s">
        <v>58</v>
      </c>
      <c r="F599" s="84">
        <f>INDEX(Definitions!$G$13:$G$17,MATCH(Table3[[#This Row],[Propensity to buy/ buyer readiness]],Definitions!$A$13:$A$17,0))</f>
        <v>50000</v>
      </c>
      <c r="G599" s="86">
        <v>5</v>
      </c>
      <c r="H599" s="86">
        <v>4</v>
      </c>
      <c r="I599" s="86">
        <v>2</v>
      </c>
      <c r="J599" s="86">
        <v>4</v>
      </c>
      <c r="K599" s="86">
        <v>3</v>
      </c>
      <c r="L599" s="86">
        <f>SUM(Table3[[#This Row],[Strategic priority segment]:[Propensity to buy/ buyer readiness]])</f>
        <v>18</v>
      </c>
      <c r="M599" s="86" t="s">
        <v>191</v>
      </c>
      <c r="N599" s="84" t="s">
        <v>135</v>
      </c>
      <c r="O599" s="87"/>
      <c r="P599" s="87"/>
      <c r="Q599" s="87"/>
      <c r="R599" s="84"/>
      <c r="S599" s="87"/>
      <c r="T599" s="87"/>
      <c r="U599" s="84">
        <v>0</v>
      </c>
      <c r="V599" s="84">
        <v>0</v>
      </c>
      <c r="W599" s="84">
        <v>0</v>
      </c>
      <c r="X599" s="84">
        <v>0</v>
      </c>
      <c r="Y599" s="84">
        <v>0</v>
      </c>
      <c r="Z599" s="84">
        <v>0</v>
      </c>
      <c r="AA599" s="84">
        <v>0</v>
      </c>
      <c r="AB599" s="84">
        <v>0</v>
      </c>
      <c r="AC599" s="84">
        <v>0</v>
      </c>
      <c r="AD599" s="84">
        <v>0</v>
      </c>
      <c r="AE599" s="84">
        <v>0</v>
      </c>
      <c r="AF599" s="84">
        <v>0</v>
      </c>
      <c r="AG599" s="84">
        <v>0</v>
      </c>
      <c r="AH599" s="84">
        <v>1</v>
      </c>
      <c r="AI599" s="84">
        <v>1</v>
      </c>
      <c r="AJ599" s="84">
        <v>1</v>
      </c>
      <c r="AK599" s="84">
        <v>1</v>
      </c>
      <c r="AL599" s="84" cm="1">
        <f t="array" ref="AL5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599" s="84" cm="1">
        <f t="array" ref="AM5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599" s="84" cm="1">
        <f t="array" ref="AN5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599" s="84" cm="1">
        <f t="array" ref="AO5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599" s="84" cm="1">
        <f t="array" ref="AP5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599" s="84" cm="1">
        <f t="array" ref="AQ5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599" s="84" cm="1">
        <f t="array" ref="AR5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599" s="84" cm="1">
        <f t="array" ref="AS5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599" s="84" cm="1">
        <f t="array" ref="AT5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599" s="84" cm="1">
        <f t="array" ref="AU5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599" s="84" cm="1">
        <f t="array" ref="AV5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599" s="84" cm="1">
        <f t="array" ref="AW5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599" s="84" cm="1">
        <f t="array" ref="AX5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599" s="84" cm="1">
        <f t="array" ref="AY5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599" s="84" cm="1">
        <f t="array" ref="AZ5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599" s="84" cm="1">
        <f t="array" ref="BA5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599" s="84" cm="1">
        <f t="array" ref="BB5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599" s="84">
        <f>IF(SUM(Table3[[#This Row],[Column2]:[Column18]])&gt;Table3[[#This Row],[Column19]],Table3[[#This Row],[Column19]],SUM(Table3[[#This Row],[Column2]:[Column18]]))</f>
        <v>50000</v>
      </c>
      <c r="BD599" s="2">
        <f>Table3[[#This Row],[Total Spend]]/SUM(Table3[[#This Row],[Column2]:[Column18]])</f>
        <v>0.77700077700077697</v>
      </c>
    </row>
    <row r="600" spans="1:56">
      <c r="A600" s="84" t="s">
        <v>674</v>
      </c>
      <c r="B600" s="84"/>
      <c r="C600" s="84"/>
      <c r="D600" s="85">
        <v>45566</v>
      </c>
      <c r="E600" s="85" t="s">
        <v>92</v>
      </c>
      <c r="F600" s="84">
        <f>INDEX(Definitions!$G$13:$G$17,MATCH(Table3[[#This Row],[Propensity to buy/ buyer readiness]],Definitions!$A$13:$A$17,0))</f>
        <v>50000</v>
      </c>
      <c r="G600" s="86">
        <v>5</v>
      </c>
      <c r="H600" s="86">
        <v>4</v>
      </c>
      <c r="I600" s="86">
        <v>3</v>
      </c>
      <c r="J600" s="86">
        <v>3</v>
      </c>
      <c r="K600" s="86">
        <v>3</v>
      </c>
      <c r="L600" s="86">
        <f>SUM(Table3[[#This Row],[Strategic priority segment]:[Propensity to buy/ buyer readiness]])</f>
        <v>18</v>
      </c>
      <c r="M600" s="86" t="s">
        <v>66</v>
      </c>
      <c r="N600" s="84" t="s">
        <v>62</v>
      </c>
      <c r="O600" s="87"/>
      <c r="P600" s="87"/>
      <c r="Q600" s="87"/>
      <c r="R600" s="87"/>
      <c r="S600" s="87"/>
      <c r="T600" s="87"/>
      <c r="U600" s="84">
        <v>1</v>
      </c>
      <c r="V600" s="84">
        <v>0</v>
      </c>
      <c r="W600" s="84">
        <v>0</v>
      </c>
      <c r="X600" s="84">
        <v>0</v>
      </c>
      <c r="Y600" s="84">
        <v>0</v>
      </c>
      <c r="Z600" s="84">
        <v>0</v>
      </c>
      <c r="AA600" s="84">
        <v>0</v>
      </c>
      <c r="AB600" s="84">
        <v>0</v>
      </c>
      <c r="AC600" s="84">
        <v>0</v>
      </c>
      <c r="AD600" s="84">
        <v>1</v>
      </c>
      <c r="AE600" s="84">
        <v>1</v>
      </c>
      <c r="AF600" s="84">
        <v>1</v>
      </c>
      <c r="AG600" s="84">
        <v>1</v>
      </c>
      <c r="AH600" s="84">
        <v>0</v>
      </c>
      <c r="AI600" s="84">
        <v>0</v>
      </c>
      <c r="AJ600" s="84">
        <v>0</v>
      </c>
      <c r="AK600" s="84">
        <v>0</v>
      </c>
      <c r="AL600" s="84" cm="1">
        <f t="array" ref="AL6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00" s="84" cm="1">
        <f t="array" ref="AM6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0" s="84" cm="1">
        <f t="array" ref="AN6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0" s="84" cm="1">
        <f t="array" ref="AO6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0" s="84" cm="1">
        <f t="array" ref="AP6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0" s="84" cm="1">
        <f t="array" ref="AQ6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0" s="84" cm="1">
        <f t="array" ref="AR6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0" s="84" cm="1">
        <f t="array" ref="AS6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0" s="84" cm="1">
        <f t="array" ref="AT6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0" s="84" cm="1">
        <f t="array" ref="AU6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00" s="84" cm="1">
        <f t="array" ref="AV6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00" s="84" cm="1">
        <f t="array" ref="AW6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00" s="84" cm="1">
        <f t="array" ref="AX6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00" s="84" cm="1">
        <f t="array" ref="AY6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00" s="84" cm="1">
        <f t="array" ref="AZ6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00" s="84" cm="1">
        <f t="array" ref="BA6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00" s="84" cm="1">
        <f t="array" ref="BB6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00" s="84">
        <f>IF(SUM(Table3[[#This Row],[Column2]:[Column18]])&gt;Table3[[#This Row],[Column19]],Table3[[#This Row],[Column19]],SUM(Table3[[#This Row],[Column2]:[Column18]]))</f>
        <v>50000</v>
      </c>
      <c r="BD600" s="2">
        <f>Table3[[#This Row],[Total Spend]]/SUM(Table3[[#This Row],[Column2]:[Column18]])</f>
        <v>0.53163211057947901</v>
      </c>
    </row>
    <row r="601" spans="1:56">
      <c r="A601" s="87" t="s">
        <v>675</v>
      </c>
      <c r="B601" s="87"/>
      <c r="C601" s="87"/>
      <c r="D601" s="85">
        <v>45566</v>
      </c>
      <c r="E601" s="85" t="s">
        <v>58</v>
      </c>
      <c r="F601" s="84">
        <f>INDEX(Definitions!$G$13:$G$17,MATCH(Table3[[#This Row],[Propensity to buy/ buyer readiness]],Definitions!$A$13:$A$17,0))</f>
        <v>50000</v>
      </c>
      <c r="G601" s="86">
        <v>5</v>
      </c>
      <c r="H601" s="86">
        <v>4</v>
      </c>
      <c r="I601" s="86">
        <v>2</v>
      </c>
      <c r="J601" s="86">
        <v>4</v>
      </c>
      <c r="K601" s="86">
        <v>3</v>
      </c>
      <c r="L601" s="86">
        <f>SUM(Table3[[#This Row],[Strategic priority segment]:[Propensity to buy/ buyer readiness]])</f>
        <v>18</v>
      </c>
      <c r="M601" s="86" t="s">
        <v>191</v>
      </c>
      <c r="N601" s="84" t="s">
        <v>135</v>
      </c>
      <c r="O601" s="87"/>
      <c r="P601" s="87"/>
      <c r="Q601" s="87"/>
      <c r="R601" s="84"/>
      <c r="S601" s="87"/>
      <c r="T601" s="87"/>
      <c r="U601" s="84">
        <v>0</v>
      </c>
      <c r="V601" s="84">
        <v>0</v>
      </c>
      <c r="W601" s="84">
        <v>0</v>
      </c>
      <c r="X601" s="84">
        <v>0</v>
      </c>
      <c r="Y601" s="84">
        <v>0</v>
      </c>
      <c r="Z601" s="84">
        <v>0</v>
      </c>
      <c r="AA601" s="84">
        <v>0</v>
      </c>
      <c r="AB601" s="84">
        <v>0</v>
      </c>
      <c r="AC601" s="84">
        <v>0</v>
      </c>
      <c r="AD601" s="84">
        <v>0</v>
      </c>
      <c r="AE601" s="84">
        <v>0</v>
      </c>
      <c r="AF601" s="84">
        <v>0</v>
      </c>
      <c r="AG601" s="84">
        <v>0</v>
      </c>
      <c r="AH601" s="84">
        <v>1</v>
      </c>
      <c r="AI601" s="84">
        <v>1</v>
      </c>
      <c r="AJ601" s="84">
        <v>1</v>
      </c>
      <c r="AK601" s="84">
        <v>1</v>
      </c>
      <c r="AL601" s="84" cm="1">
        <f t="array" ref="AL6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01" s="84" cm="1">
        <f t="array" ref="AM6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1" s="84" cm="1">
        <f t="array" ref="AN6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1" s="84" cm="1">
        <f t="array" ref="AO6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1" s="84" cm="1">
        <f t="array" ref="AP6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1" s="84" cm="1">
        <f t="array" ref="AQ6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1" s="84" cm="1">
        <f t="array" ref="AR6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1" s="84" cm="1">
        <f t="array" ref="AS6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1" s="84" cm="1">
        <f t="array" ref="AT6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1" s="84" cm="1">
        <f t="array" ref="AU6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01" s="84" cm="1">
        <f t="array" ref="AV6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1" s="84" cm="1">
        <f t="array" ref="AW6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1" s="84" cm="1">
        <f t="array" ref="AX6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1" s="84" cm="1">
        <f t="array" ref="AY6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01" s="84" cm="1">
        <f t="array" ref="AZ6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01" s="84" cm="1">
        <f t="array" ref="BA6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01" s="84" cm="1">
        <f t="array" ref="BB6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01" s="84">
        <f>IF(SUM(Table3[[#This Row],[Column2]:[Column18]])&gt;Table3[[#This Row],[Column19]],Table3[[#This Row],[Column19]],SUM(Table3[[#This Row],[Column2]:[Column18]]))</f>
        <v>50000</v>
      </c>
      <c r="BD601" s="2">
        <f>Table3[[#This Row],[Total Spend]]/SUM(Table3[[#This Row],[Column2]:[Column18]])</f>
        <v>0.77700077700077697</v>
      </c>
    </row>
    <row r="602" spans="1:56">
      <c r="A602" s="87" t="s">
        <v>676</v>
      </c>
      <c r="B602" s="87"/>
      <c r="C602" s="87"/>
      <c r="D602" s="85">
        <v>45566</v>
      </c>
      <c r="E602" s="85" t="s">
        <v>58</v>
      </c>
      <c r="F602" s="84">
        <f>INDEX(Definitions!$G$13:$G$17,MATCH(Table3[[#This Row],[Propensity to buy/ buyer readiness]],Definitions!$A$13:$A$17,0))</f>
        <v>50000</v>
      </c>
      <c r="G602" s="86">
        <v>5</v>
      </c>
      <c r="H602" s="86">
        <v>4</v>
      </c>
      <c r="I602" s="86">
        <v>2</v>
      </c>
      <c r="J602" s="86">
        <v>4</v>
      </c>
      <c r="K602" s="86">
        <v>3</v>
      </c>
      <c r="L602" s="86">
        <f>SUM(Table3[[#This Row],[Strategic priority segment]:[Propensity to buy/ buyer readiness]])</f>
        <v>18</v>
      </c>
      <c r="M602" s="86" t="s">
        <v>191</v>
      </c>
      <c r="N602" s="84" t="s">
        <v>135</v>
      </c>
      <c r="O602" s="87"/>
      <c r="P602" s="87"/>
      <c r="Q602" s="87"/>
      <c r="R602" s="84"/>
      <c r="S602" s="87"/>
      <c r="T602" s="87"/>
      <c r="U602" s="84">
        <v>0</v>
      </c>
      <c r="V602" s="84">
        <v>0</v>
      </c>
      <c r="W602" s="84">
        <v>0</v>
      </c>
      <c r="X602" s="84">
        <v>0</v>
      </c>
      <c r="Y602" s="84">
        <v>0</v>
      </c>
      <c r="Z602" s="84">
        <v>0</v>
      </c>
      <c r="AA602" s="84">
        <v>0</v>
      </c>
      <c r="AB602" s="84">
        <v>0</v>
      </c>
      <c r="AC602" s="84">
        <v>0</v>
      </c>
      <c r="AD602" s="84">
        <v>0</v>
      </c>
      <c r="AE602" s="84">
        <v>0</v>
      </c>
      <c r="AF602" s="84">
        <v>0</v>
      </c>
      <c r="AG602" s="84">
        <v>0</v>
      </c>
      <c r="AH602" s="84">
        <v>1</v>
      </c>
      <c r="AI602" s="84">
        <v>1</v>
      </c>
      <c r="AJ602" s="84">
        <v>1</v>
      </c>
      <c r="AK602" s="84">
        <v>1</v>
      </c>
      <c r="AL602" s="84" cm="1">
        <f t="array" ref="AL6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02" s="84" cm="1">
        <f t="array" ref="AM6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2" s="84" cm="1">
        <f t="array" ref="AN6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2" s="84" cm="1">
        <f t="array" ref="AO6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2" s="84" cm="1">
        <f t="array" ref="AP6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2" s="84" cm="1">
        <f t="array" ref="AQ6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2" s="84" cm="1">
        <f t="array" ref="AR6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2" s="84" cm="1">
        <f t="array" ref="AS6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2" s="84" cm="1">
        <f t="array" ref="AT6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2" s="84" cm="1">
        <f t="array" ref="AU6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02" s="84" cm="1">
        <f t="array" ref="AV6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2" s="84" cm="1">
        <f t="array" ref="AW6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2" s="84" cm="1">
        <f t="array" ref="AX6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2" s="84" cm="1">
        <f t="array" ref="AY6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02" s="84" cm="1">
        <f t="array" ref="AZ6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02" s="84" cm="1">
        <f t="array" ref="BA6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02" s="84" cm="1">
        <f t="array" ref="BB6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02" s="84">
        <f>IF(SUM(Table3[[#This Row],[Column2]:[Column18]])&gt;Table3[[#This Row],[Column19]],Table3[[#This Row],[Column19]],SUM(Table3[[#This Row],[Column2]:[Column18]]))</f>
        <v>50000</v>
      </c>
      <c r="BD602" s="2">
        <f>Table3[[#This Row],[Total Spend]]/SUM(Table3[[#This Row],[Column2]:[Column18]])</f>
        <v>0.77700077700077697</v>
      </c>
    </row>
    <row r="603" spans="1:56">
      <c r="A603" s="84" t="s">
        <v>677</v>
      </c>
      <c r="B603" s="84"/>
      <c r="C603" s="84"/>
      <c r="D603" s="85">
        <v>45566</v>
      </c>
      <c r="E603" s="85" t="s">
        <v>58</v>
      </c>
      <c r="F603" s="84">
        <f>INDEX(Definitions!$G$13:$G$17,MATCH(Table3[[#This Row],[Propensity to buy/ buyer readiness]],Definitions!$A$13:$A$17,0))</f>
        <v>50000</v>
      </c>
      <c r="G603" s="86">
        <v>5</v>
      </c>
      <c r="H603" s="86">
        <v>4</v>
      </c>
      <c r="I603" s="86">
        <v>2</v>
      </c>
      <c r="J603" s="86">
        <v>4</v>
      </c>
      <c r="K603" s="86">
        <v>3</v>
      </c>
      <c r="L603" s="86">
        <f>SUM(Table3[[#This Row],[Strategic priority segment]:[Propensity to buy/ buyer readiness]])</f>
        <v>18</v>
      </c>
      <c r="M603" s="86" t="s">
        <v>191</v>
      </c>
      <c r="N603" s="84" t="s">
        <v>135</v>
      </c>
      <c r="O603" s="87"/>
      <c r="P603" s="87"/>
      <c r="Q603" s="87"/>
      <c r="R603" s="87"/>
      <c r="S603" s="87"/>
      <c r="T603" s="87"/>
      <c r="U603" s="84">
        <v>0</v>
      </c>
      <c r="V603" s="84">
        <v>0</v>
      </c>
      <c r="W603" s="84">
        <v>0</v>
      </c>
      <c r="X603" s="84">
        <v>0</v>
      </c>
      <c r="Y603" s="84">
        <v>0</v>
      </c>
      <c r="Z603" s="84">
        <v>0</v>
      </c>
      <c r="AA603" s="84">
        <v>0</v>
      </c>
      <c r="AB603" s="84">
        <v>0</v>
      </c>
      <c r="AC603" s="84">
        <v>0</v>
      </c>
      <c r="AD603" s="84">
        <v>0</v>
      </c>
      <c r="AE603" s="84">
        <v>0</v>
      </c>
      <c r="AF603" s="84">
        <v>0</v>
      </c>
      <c r="AG603" s="84">
        <v>0</v>
      </c>
      <c r="AH603" s="84">
        <v>1</v>
      </c>
      <c r="AI603" s="84">
        <v>1</v>
      </c>
      <c r="AJ603" s="84">
        <v>1</v>
      </c>
      <c r="AK603" s="84">
        <v>1</v>
      </c>
      <c r="AL603" s="84" cm="1">
        <f t="array" ref="AL6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03" s="84" cm="1">
        <f t="array" ref="AM6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3" s="84" cm="1">
        <f t="array" ref="AN6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3" s="84" cm="1">
        <f t="array" ref="AO6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3" s="84" cm="1">
        <f t="array" ref="AP6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3" s="84" cm="1">
        <f t="array" ref="AQ6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3" s="84" cm="1">
        <f t="array" ref="AR6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3" s="84" cm="1">
        <f t="array" ref="AS6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3" s="84" cm="1">
        <f t="array" ref="AT6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3" s="84" cm="1">
        <f t="array" ref="AU6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03" s="84" cm="1">
        <f t="array" ref="AV6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3" s="84" cm="1">
        <f t="array" ref="AW6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3" s="84" cm="1">
        <f t="array" ref="AX6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3" s="84" cm="1">
        <f t="array" ref="AY6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03" s="84" cm="1">
        <f t="array" ref="AZ6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03" s="84" cm="1">
        <f t="array" ref="BA6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03" s="84" cm="1">
        <f t="array" ref="BB6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03" s="84">
        <f>IF(SUM(Table3[[#This Row],[Column2]:[Column18]])&gt;Table3[[#This Row],[Column19]],Table3[[#This Row],[Column19]],SUM(Table3[[#This Row],[Column2]:[Column18]]))</f>
        <v>50000</v>
      </c>
      <c r="BD603" s="2">
        <f>Table3[[#This Row],[Total Spend]]/SUM(Table3[[#This Row],[Column2]:[Column18]])</f>
        <v>0.77700077700077697</v>
      </c>
    </row>
    <row r="604" spans="1:56">
      <c r="A604" s="87" t="s">
        <v>678</v>
      </c>
      <c r="B604" s="87"/>
      <c r="C604" s="87"/>
      <c r="D604" s="85">
        <v>45566</v>
      </c>
      <c r="E604" s="85" t="s">
        <v>58</v>
      </c>
      <c r="F604" s="84">
        <f>INDEX(Definitions!$G$13:$G$17,MATCH(Table3[[#This Row],[Propensity to buy/ buyer readiness]],Definitions!$A$13:$A$17,0))</f>
        <v>50000</v>
      </c>
      <c r="G604" s="86">
        <v>5</v>
      </c>
      <c r="H604" s="86">
        <v>4</v>
      </c>
      <c r="I604" s="86">
        <v>2</v>
      </c>
      <c r="J604" s="86">
        <v>4</v>
      </c>
      <c r="K604" s="86">
        <v>3</v>
      </c>
      <c r="L604" s="86">
        <f>SUM(Table3[[#This Row],[Strategic priority segment]:[Propensity to buy/ buyer readiness]])</f>
        <v>18</v>
      </c>
      <c r="M604" s="86" t="s">
        <v>191</v>
      </c>
      <c r="N604" s="84" t="s">
        <v>135</v>
      </c>
      <c r="O604" s="87"/>
      <c r="P604" s="87"/>
      <c r="Q604" s="87"/>
      <c r="R604" s="84"/>
      <c r="S604" s="87"/>
      <c r="T604" s="87"/>
      <c r="U604" s="84">
        <v>0</v>
      </c>
      <c r="V604" s="84">
        <v>0</v>
      </c>
      <c r="W604" s="84">
        <v>0</v>
      </c>
      <c r="X604" s="84">
        <v>0</v>
      </c>
      <c r="Y604" s="84">
        <v>0</v>
      </c>
      <c r="Z604" s="84">
        <v>0</v>
      </c>
      <c r="AA604" s="84">
        <v>0</v>
      </c>
      <c r="AB604" s="84">
        <v>0</v>
      </c>
      <c r="AC604" s="84">
        <v>0</v>
      </c>
      <c r="AD604" s="84">
        <v>0</v>
      </c>
      <c r="AE604" s="84">
        <v>0</v>
      </c>
      <c r="AF604" s="84">
        <v>0</v>
      </c>
      <c r="AG604" s="84">
        <v>0</v>
      </c>
      <c r="AH604" s="84">
        <v>1</v>
      </c>
      <c r="AI604" s="84">
        <v>1</v>
      </c>
      <c r="AJ604" s="84">
        <v>1</v>
      </c>
      <c r="AK604" s="84">
        <v>1</v>
      </c>
      <c r="AL604" s="84" cm="1">
        <f t="array" ref="AL6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04" s="84" cm="1">
        <f t="array" ref="AM6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4" s="84" cm="1">
        <f t="array" ref="AN6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4" s="84" cm="1">
        <f t="array" ref="AO6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4" s="84" cm="1">
        <f t="array" ref="AP6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4" s="84" cm="1">
        <f t="array" ref="AQ6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4" s="84" cm="1">
        <f t="array" ref="AR6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4" s="84" cm="1">
        <f t="array" ref="AS6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4" s="84" cm="1">
        <f t="array" ref="AT6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4" s="84" cm="1">
        <f t="array" ref="AU6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04" s="84" cm="1">
        <f t="array" ref="AV6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4" s="84" cm="1">
        <f t="array" ref="AW6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4" s="84" cm="1">
        <f t="array" ref="AX6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4" s="84" cm="1">
        <f t="array" ref="AY6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04" s="84" cm="1">
        <f t="array" ref="AZ6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04" s="84" cm="1">
        <f t="array" ref="BA6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04" s="84" cm="1">
        <f t="array" ref="BB6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04" s="84">
        <f>IF(SUM(Table3[[#This Row],[Column2]:[Column18]])&gt;Table3[[#This Row],[Column19]],Table3[[#This Row],[Column19]],SUM(Table3[[#This Row],[Column2]:[Column18]]))</f>
        <v>50000</v>
      </c>
      <c r="BD604" s="2">
        <f>Table3[[#This Row],[Total Spend]]/SUM(Table3[[#This Row],[Column2]:[Column18]])</f>
        <v>0.77700077700077697</v>
      </c>
    </row>
    <row r="605" spans="1:56">
      <c r="A605" s="87" t="s">
        <v>679</v>
      </c>
      <c r="B605" s="87"/>
      <c r="C605" s="87"/>
      <c r="D605" s="85">
        <v>45566</v>
      </c>
      <c r="E605" s="85" t="s">
        <v>58</v>
      </c>
      <c r="F605" s="84">
        <f>INDEX(Definitions!$G$13:$G$17,MATCH(Table3[[#This Row],[Propensity to buy/ buyer readiness]],Definitions!$A$13:$A$17,0))</f>
        <v>50000</v>
      </c>
      <c r="G605" s="86">
        <v>5</v>
      </c>
      <c r="H605" s="86">
        <v>4</v>
      </c>
      <c r="I605" s="86">
        <v>2</v>
      </c>
      <c r="J605" s="86">
        <v>4</v>
      </c>
      <c r="K605" s="86">
        <v>3</v>
      </c>
      <c r="L605" s="86">
        <f>SUM(Table3[[#This Row],[Strategic priority segment]:[Propensity to buy/ buyer readiness]])</f>
        <v>18</v>
      </c>
      <c r="M605" s="86" t="s">
        <v>191</v>
      </c>
      <c r="N605" s="84" t="s">
        <v>135</v>
      </c>
      <c r="O605" s="87"/>
      <c r="P605" s="87"/>
      <c r="Q605" s="87"/>
      <c r="R605" s="84"/>
      <c r="S605" s="87"/>
      <c r="T605" s="87"/>
      <c r="U605" s="84">
        <v>0</v>
      </c>
      <c r="V605" s="84">
        <v>0</v>
      </c>
      <c r="W605" s="84">
        <v>0</v>
      </c>
      <c r="X605" s="84">
        <v>0</v>
      </c>
      <c r="Y605" s="84">
        <v>0</v>
      </c>
      <c r="Z605" s="84">
        <v>0</v>
      </c>
      <c r="AA605" s="84">
        <v>0</v>
      </c>
      <c r="AB605" s="84">
        <v>0</v>
      </c>
      <c r="AC605" s="84">
        <v>0</v>
      </c>
      <c r="AD605" s="84">
        <v>0</v>
      </c>
      <c r="AE605" s="84">
        <v>0</v>
      </c>
      <c r="AF605" s="84">
        <v>0</v>
      </c>
      <c r="AG605" s="84">
        <v>0</v>
      </c>
      <c r="AH605" s="84">
        <v>1</v>
      </c>
      <c r="AI605" s="84">
        <v>1</v>
      </c>
      <c r="AJ605" s="84">
        <v>1</v>
      </c>
      <c r="AK605" s="84">
        <v>1</v>
      </c>
      <c r="AL605" s="84" cm="1">
        <f t="array" ref="AL6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05" s="84" cm="1">
        <f t="array" ref="AM6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5" s="84" cm="1">
        <f t="array" ref="AN6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5" s="84" cm="1">
        <f t="array" ref="AO6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5" s="84" cm="1">
        <f t="array" ref="AP6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5" s="84" cm="1">
        <f t="array" ref="AQ6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5" s="84" cm="1">
        <f t="array" ref="AR6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5" s="84" cm="1">
        <f t="array" ref="AS6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5" s="84" cm="1">
        <f t="array" ref="AT6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5" s="84" cm="1">
        <f t="array" ref="AU6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05" s="84" cm="1">
        <f t="array" ref="AV6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5" s="84" cm="1">
        <f t="array" ref="AW6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5" s="84" cm="1">
        <f t="array" ref="AX6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5" s="84" cm="1">
        <f t="array" ref="AY6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05" s="84" cm="1">
        <f t="array" ref="AZ6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05" s="84" cm="1">
        <f t="array" ref="BA6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05" s="84" cm="1">
        <f t="array" ref="BB6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05" s="84">
        <f>IF(SUM(Table3[[#This Row],[Column2]:[Column18]])&gt;Table3[[#This Row],[Column19]],Table3[[#This Row],[Column19]],SUM(Table3[[#This Row],[Column2]:[Column18]]))</f>
        <v>50000</v>
      </c>
      <c r="BD605" s="2">
        <f>Table3[[#This Row],[Total Spend]]/SUM(Table3[[#This Row],[Column2]:[Column18]])</f>
        <v>0.77700077700077697</v>
      </c>
    </row>
    <row r="606" spans="1:56">
      <c r="A606" s="84" t="s">
        <v>680</v>
      </c>
      <c r="B606" s="84"/>
      <c r="C606" s="84"/>
      <c r="D606" s="85">
        <v>45809</v>
      </c>
      <c r="E606" s="85" t="s">
        <v>58</v>
      </c>
      <c r="F606" s="84">
        <f>INDEX(Definitions!$G$13:$G$17,MATCH(Table3[[#This Row],[Propensity to buy/ buyer readiness]],Definitions!$A$13:$A$17,0))</f>
        <v>50000</v>
      </c>
      <c r="G606" s="86">
        <v>5</v>
      </c>
      <c r="H606" s="86">
        <v>4</v>
      </c>
      <c r="I606" s="86">
        <v>2</v>
      </c>
      <c r="J606" s="86">
        <v>4</v>
      </c>
      <c r="K606" s="86">
        <v>3</v>
      </c>
      <c r="L606" s="86">
        <f>SUM(Table3[[#This Row],[Strategic priority segment]:[Propensity to buy/ buyer readiness]])</f>
        <v>18</v>
      </c>
      <c r="M606" s="86" t="s">
        <v>191</v>
      </c>
      <c r="N606" s="84" t="s">
        <v>135</v>
      </c>
      <c r="O606" s="84" t="s">
        <v>264</v>
      </c>
      <c r="P606" s="87"/>
      <c r="Q606" s="87"/>
      <c r="R606" s="84"/>
      <c r="S606" s="84"/>
      <c r="T606" s="84"/>
      <c r="U606" s="84">
        <v>1</v>
      </c>
      <c r="V606" s="84">
        <v>0</v>
      </c>
      <c r="W606" s="84">
        <v>0</v>
      </c>
      <c r="X606" s="84">
        <v>0</v>
      </c>
      <c r="Y606" s="84">
        <v>0</v>
      </c>
      <c r="Z606" s="84">
        <v>0</v>
      </c>
      <c r="AA606" s="84">
        <v>0</v>
      </c>
      <c r="AB606" s="84">
        <v>0</v>
      </c>
      <c r="AC606" s="84">
        <v>0</v>
      </c>
      <c r="AD606" s="84">
        <v>0</v>
      </c>
      <c r="AE606" s="84">
        <v>0</v>
      </c>
      <c r="AF606" s="84">
        <v>0</v>
      </c>
      <c r="AG606" s="84">
        <v>0</v>
      </c>
      <c r="AH606" s="84">
        <v>1</v>
      </c>
      <c r="AI606" s="84">
        <v>1</v>
      </c>
      <c r="AJ606" s="84">
        <v>1</v>
      </c>
      <c r="AK606" s="84">
        <v>1</v>
      </c>
      <c r="AL606" s="84" cm="1">
        <f t="array" ref="AL6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06" s="84" cm="1">
        <f t="array" ref="AM6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6" s="84" cm="1">
        <f t="array" ref="AN6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6" s="84" cm="1">
        <f t="array" ref="AO6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6" s="84" cm="1">
        <f t="array" ref="AP6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6" s="84" cm="1">
        <f t="array" ref="AQ6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6" s="84" cm="1">
        <f t="array" ref="AR6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6" s="84" cm="1">
        <f t="array" ref="AS6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6" s="84" cm="1">
        <f t="array" ref="AT6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6" s="84" cm="1">
        <f t="array" ref="AU6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06" s="84" cm="1">
        <f t="array" ref="AV6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06" s="84" cm="1">
        <f t="array" ref="AW6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06" s="84" cm="1">
        <f t="array" ref="AX6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06" s="84" cm="1">
        <f t="array" ref="AY6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06" s="84" cm="1">
        <f t="array" ref="AZ6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06" s="84" cm="1">
        <f t="array" ref="BA6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06" s="84" cm="1">
        <f t="array" ref="BB6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06" s="84">
        <f>IF(SUM(Table3[[#This Row],[Column2]:[Column18]])&gt;Table3[[#This Row],[Column19]],Table3[[#This Row],[Column19]],SUM(Table3[[#This Row],[Column2]:[Column18]]))</f>
        <v>50000</v>
      </c>
      <c r="BD606" s="2">
        <f>Table3[[#This Row],[Total Spend]]/SUM(Table3[[#This Row],[Column2]:[Column18]])</f>
        <v>0.66533599467731208</v>
      </c>
    </row>
    <row r="607" spans="1:56">
      <c r="A607" s="84" t="s">
        <v>681</v>
      </c>
      <c r="B607" s="84"/>
      <c r="C607" s="84"/>
      <c r="D607" s="85">
        <v>45566</v>
      </c>
      <c r="E607" s="85" t="s">
        <v>92</v>
      </c>
      <c r="F607" s="84">
        <f>INDEX(Definitions!$G$13:$G$17,MATCH(Table3[[#This Row],[Propensity to buy/ buyer readiness]],Definitions!$A$13:$A$17,0))</f>
        <v>50000</v>
      </c>
      <c r="G607" s="86">
        <v>5</v>
      </c>
      <c r="H607" s="86">
        <v>4</v>
      </c>
      <c r="I607" s="86">
        <v>3</v>
      </c>
      <c r="J607" s="86">
        <v>3</v>
      </c>
      <c r="K607" s="86">
        <v>3</v>
      </c>
      <c r="L607" s="86">
        <f>SUM(Table3[[#This Row],[Strategic priority segment]:[Propensity to buy/ buyer readiness]])</f>
        <v>18</v>
      </c>
      <c r="M607" s="86" t="s">
        <v>66</v>
      </c>
      <c r="N607" s="84" t="s">
        <v>62</v>
      </c>
      <c r="O607" s="84"/>
      <c r="P607" s="87"/>
      <c r="Q607" s="87"/>
      <c r="R607" s="84"/>
      <c r="S607" s="87"/>
      <c r="T607" s="87"/>
      <c r="U607" s="84">
        <v>1</v>
      </c>
      <c r="V607" s="84">
        <v>0</v>
      </c>
      <c r="W607" s="84">
        <v>0</v>
      </c>
      <c r="X607" s="84">
        <v>0</v>
      </c>
      <c r="Y607" s="84">
        <v>0</v>
      </c>
      <c r="Z607" s="84">
        <v>0</v>
      </c>
      <c r="AA607" s="84">
        <v>0</v>
      </c>
      <c r="AB607" s="84">
        <v>0</v>
      </c>
      <c r="AC607" s="84">
        <v>0</v>
      </c>
      <c r="AD607" s="84">
        <v>1</v>
      </c>
      <c r="AE607" s="84">
        <v>1</v>
      </c>
      <c r="AF607" s="84">
        <v>1</v>
      </c>
      <c r="AG607" s="84">
        <v>1</v>
      </c>
      <c r="AH607" s="84">
        <v>0</v>
      </c>
      <c r="AI607" s="84">
        <v>0</v>
      </c>
      <c r="AJ607" s="84">
        <v>0</v>
      </c>
      <c r="AK607" s="84">
        <v>0</v>
      </c>
      <c r="AL607" s="84" cm="1">
        <f t="array" ref="AL6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07" s="84" cm="1">
        <f t="array" ref="AM6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7" s="84" cm="1">
        <f t="array" ref="AN6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7" s="84" cm="1">
        <f t="array" ref="AO6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7" s="84" cm="1">
        <f t="array" ref="AP6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7" s="84" cm="1">
        <f t="array" ref="AQ6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7" s="84" cm="1">
        <f t="array" ref="AR6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7" s="84" cm="1">
        <f t="array" ref="AS6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7" s="84" cm="1">
        <f t="array" ref="AT6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7" s="84" cm="1">
        <f t="array" ref="AU6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07" s="84" cm="1">
        <f t="array" ref="AV6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07" s="84" cm="1">
        <f t="array" ref="AW6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07" s="84" cm="1">
        <f t="array" ref="AX6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07" s="84" cm="1">
        <f t="array" ref="AY6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07" s="84" cm="1">
        <f t="array" ref="AZ6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07" s="84" cm="1">
        <f t="array" ref="BA6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07" s="84" cm="1">
        <f t="array" ref="BB6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07" s="84">
        <f>IF(SUM(Table3[[#This Row],[Column2]:[Column18]])&gt;Table3[[#This Row],[Column19]],Table3[[#This Row],[Column19]],SUM(Table3[[#This Row],[Column2]:[Column18]]))</f>
        <v>50000</v>
      </c>
      <c r="BD607" s="2">
        <f>Table3[[#This Row],[Total Spend]]/SUM(Table3[[#This Row],[Column2]:[Column18]])</f>
        <v>0.53163211057947901</v>
      </c>
    </row>
    <row r="608" spans="1:56">
      <c r="A608" s="84" t="s">
        <v>682</v>
      </c>
      <c r="B608" s="84"/>
      <c r="C608" s="84"/>
      <c r="D608" s="85">
        <v>45566</v>
      </c>
      <c r="E608" s="85" t="s">
        <v>92</v>
      </c>
      <c r="F608" s="84">
        <f>INDEX(Definitions!$G$13:$G$17,MATCH(Table3[[#This Row],[Propensity to buy/ buyer readiness]],Definitions!$A$13:$A$17,0))</f>
        <v>50000</v>
      </c>
      <c r="G608" s="86">
        <v>5</v>
      </c>
      <c r="H608" s="86">
        <v>4</v>
      </c>
      <c r="I608" s="86">
        <v>3</v>
      </c>
      <c r="J608" s="86">
        <v>3</v>
      </c>
      <c r="K608" s="86">
        <v>3</v>
      </c>
      <c r="L608" s="86">
        <f>SUM(Table3[[#This Row],[Strategic priority segment]:[Propensity to buy/ buyer readiness]])</f>
        <v>18</v>
      </c>
      <c r="M608" s="86" t="s">
        <v>66</v>
      </c>
      <c r="N608" s="84" t="s">
        <v>62</v>
      </c>
      <c r="O608" s="87"/>
      <c r="P608" s="87"/>
      <c r="Q608" s="87"/>
      <c r="R608" s="87"/>
      <c r="S608" s="87"/>
      <c r="T608" s="87"/>
      <c r="U608" s="84">
        <v>1</v>
      </c>
      <c r="V608" s="84">
        <v>0</v>
      </c>
      <c r="W608" s="84">
        <v>0</v>
      </c>
      <c r="X608" s="84">
        <v>0</v>
      </c>
      <c r="Y608" s="84">
        <v>0</v>
      </c>
      <c r="Z608" s="84">
        <v>0</v>
      </c>
      <c r="AA608" s="84">
        <v>0</v>
      </c>
      <c r="AB608" s="84">
        <v>0</v>
      </c>
      <c r="AC608" s="84">
        <v>0</v>
      </c>
      <c r="AD608" s="84">
        <v>1</v>
      </c>
      <c r="AE608" s="84">
        <v>1</v>
      </c>
      <c r="AF608" s="84">
        <v>1</v>
      </c>
      <c r="AG608" s="84">
        <v>1</v>
      </c>
      <c r="AH608" s="84">
        <v>0</v>
      </c>
      <c r="AI608" s="84">
        <v>0</v>
      </c>
      <c r="AJ608" s="84">
        <v>0</v>
      </c>
      <c r="AK608" s="84">
        <v>0</v>
      </c>
      <c r="AL608" s="84" cm="1">
        <f t="array" ref="AL6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08" s="84" cm="1">
        <f t="array" ref="AM6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8" s="84" cm="1">
        <f t="array" ref="AN6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8" s="84" cm="1">
        <f t="array" ref="AO6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8" s="84" cm="1">
        <f t="array" ref="AP6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8" s="84" cm="1">
        <f t="array" ref="AQ6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8" s="84" cm="1">
        <f t="array" ref="AR6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8" s="84" cm="1">
        <f t="array" ref="AS6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8" s="84" cm="1">
        <f t="array" ref="AT6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8" s="84" cm="1">
        <f t="array" ref="AU6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08" s="84" cm="1">
        <f t="array" ref="AV6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08" s="84" cm="1">
        <f t="array" ref="AW6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08" s="84" cm="1">
        <f t="array" ref="AX6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08" s="84" cm="1">
        <f t="array" ref="AY6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08" s="84" cm="1">
        <f t="array" ref="AZ6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08" s="84" cm="1">
        <f t="array" ref="BA6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08" s="84" cm="1">
        <f t="array" ref="BB6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08" s="84">
        <f>IF(SUM(Table3[[#This Row],[Column2]:[Column18]])&gt;Table3[[#This Row],[Column19]],Table3[[#This Row],[Column19]],SUM(Table3[[#This Row],[Column2]:[Column18]]))</f>
        <v>50000</v>
      </c>
      <c r="BD608" s="2">
        <f>Table3[[#This Row],[Total Spend]]/SUM(Table3[[#This Row],[Column2]:[Column18]])</f>
        <v>0.53163211057947901</v>
      </c>
    </row>
    <row r="609" spans="1:56">
      <c r="A609" s="84" t="s">
        <v>683</v>
      </c>
      <c r="B609" s="84" t="s">
        <v>57</v>
      </c>
      <c r="C609" s="84"/>
      <c r="D609" s="85">
        <v>45566</v>
      </c>
      <c r="E609" s="85" t="s">
        <v>92</v>
      </c>
      <c r="F609" s="84">
        <f>INDEX(Definitions!$G$13:$G$17,MATCH(Table3[[#This Row],[Propensity to buy/ buyer readiness]],Definitions!$A$13:$A$17,0))</f>
        <v>50000</v>
      </c>
      <c r="G609" s="86">
        <v>5</v>
      </c>
      <c r="H609" s="86">
        <v>4</v>
      </c>
      <c r="I609" s="86">
        <v>3</v>
      </c>
      <c r="J609" s="86">
        <v>3</v>
      </c>
      <c r="K609" s="86">
        <v>3</v>
      </c>
      <c r="L609" s="86">
        <f>SUM(Table3[[#This Row],[Strategic priority segment]:[Propensity to buy/ buyer readiness]])</f>
        <v>18</v>
      </c>
      <c r="M609" s="86" t="s">
        <v>66</v>
      </c>
      <c r="N609" s="84" t="s">
        <v>62</v>
      </c>
      <c r="O609" s="84"/>
      <c r="P609" s="87"/>
      <c r="Q609" s="87"/>
      <c r="R609" s="84"/>
      <c r="S609" s="87"/>
      <c r="T609" s="87"/>
      <c r="U609" s="84">
        <v>1</v>
      </c>
      <c r="V609" s="84">
        <v>0</v>
      </c>
      <c r="W609" s="84">
        <v>0</v>
      </c>
      <c r="X609" s="84">
        <v>0</v>
      </c>
      <c r="Y609" s="84">
        <v>0</v>
      </c>
      <c r="Z609" s="84">
        <v>0</v>
      </c>
      <c r="AA609" s="84">
        <v>0</v>
      </c>
      <c r="AB609" s="84">
        <v>0</v>
      </c>
      <c r="AC609" s="84">
        <v>0</v>
      </c>
      <c r="AD609" s="84">
        <v>1</v>
      </c>
      <c r="AE609" s="84">
        <v>1</v>
      </c>
      <c r="AF609" s="84">
        <v>1</v>
      </c>
      <c r="AG609" s="84">
        <v>1</v>
      </c>
      <c r="AH609" s="84">
        <v>0</v>
      </c>
      <c r="AI609" s="84">
        <v>0</v>
      </c>
      <c r="AJ609" s="84">
        <v>0</v>
      </c>
      <c r="AK609" s="84">
        <v>0</v>
      </c>
      <c r="AL609" s="84" cm="1">
        <f t="array" ref="AL6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09" s="84" cm="1">
        <f t="array" ref="AM6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09" s="84" cm="1">
        <f t="array" ref="AN6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09" s="84" cm="1">
        <f t="array" ref="AO6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09" s="84" cm="1">
        <f t="array" ref="AP6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09" s="84" cm="1">
        <f t="array" ref="AQ6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09" s="84" cm="1">
        <f t="array" ref="AR6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09" s="84" cm="1">
        <f t="array" ref="AS6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09" s="84" cm="1">
        <f t="array" ref="AT6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09" s="84" cm="1">
        <f t="array" ref="AU6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09" s="84" cm="1">
        <f t="array" ref="AV6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09" s="84" cm="1">
        <f t="array" ref="AW6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09" s="84" cm="1">
        <f t="array" ref="AX6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09" s="84" cm="1">
        <f t="array" ref="AY6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09" s="84" cm="1">
        <f t="array" ref="AZ6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09" s="84" cm="1">
        <f t="array" ref="BA6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09" s="84" cm="1">
        <f t="array" ref="BB6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09" s="84">
        <f>IF(SUM(Table3[[#This Row],[Column2]:[Column18]])&gt;Table3[[#This Row],[Column19]],Table3[[#This Row],[Column19]],SUM(Table3[[#This Row],[Column2]:[Column18]]))</f>
        <v>50000</v>
      </c>
      <c r="BD609" s="2">
        <f>Table3[[#This Row],[Total Spend]]/SUM(Table3[[#This Row],[Column2]:[Column18]])</f>
        <v>0.53163211057947901</v>
      </c>
    </row>
    <row r="610" spans="1:56">
      <c r="A610" s="84" t="s">
        <v>684</v>
      </c>
      <c r="B610" s="84"/>
      <c r="C610" s="84" t="s">
        <v>57</v>
      </c>
      <c r="D610" s="85">
        <v>45566</v>
      </c>
      <c r="E610" s="85" t="s">
        <v>92</v>
      </c>
      <c r="F610" s="84">
        <f>INDEX(Definitions!$G$13:$G$17,MATCH(Table3[[#This Row],[Propensity to buy/ buyer readiness]],Definitions!$A$13:$A$17,0))</f>
        <v>50000</v>
      </c>
      <c r="G610" s="86">
        <v>5</v>
      </c>
      <c r="H610" s="86">
        <v>4</v>
      </c>
      <c r="I610" s="86">
        <v>3</v>
      </c>
      <c r="J610" s="86">
        <v>3</v>
      </c>
      <c r="K610" s="86">
        <v>3</v>
      </c>
      <c r="L610" s="86">
        <f>SUM(Table3[[#This Row],[Strategic priority segment]:[Propensity to buy/ buyer readiness]])</f>
        <v>18</v>
      </c>
      <c r="M610" s="86" t="s">
        <v>66</v>
      </c>
      <c r="N610" s="84" t="s">
        <v>62</v>
      </c>
      <c r="O610" s="84"/>
      <c r="P610" s="87"/>
      <c r="Q610" s="87"/>
      <c r="R610" s="84"/>
      <c r="S610" s="87"/>
      <c r="T610" s="87"/>
      <c r="U610" s="84">
        <v>1</v>
      </c>
      <c r="V610" s="84">
        <v>0</v>
      </c>
      <c r="W610" s="84">
        <v>0</v>
      </c>
      <c r="X610" s="84">
        <v>0</v>
      </c>
      <c r="Y610" s="84">
        <v>0</v>
      </c>
      <c r="Z610" s="84">
        <v>0</v>
      </c>
      <c r="AA610" s="84">
        <v>0</v>
      </c>
      <c r="AB610" s="84">
        <v>0</v>
      </c>
      <c r="AC610" s="84">
        <v>0</v>
      </c>
      <c r="AD610" s="84">
        <v>1</v>
      </c>
      <c r="AE610" s="84">
        <v>1</v>
      </c>
      <c r="AF610" s="84">
        <v>1</v>
      </c>
      <c r="AG610" s="84">
        <v>1</v>
      </c>
      <c r="AH610" s="84">
        <v>0</v>
      </c>
      <c r="AI610" s="84">
        <v>0</v>
      </c>
      <c r="AJ610" s="84">
        <v>0</v>
      </c>
      <c r="AK610" s="84">
        <v>0</v>
      </c>
      <c r="AL610" s="84" cm="1">
        <f t="array" ref="AL6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0" s="84" cm="1">
        <f t="array" ref="AM6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0" s="84" cm="1">
        <f t="array" ref="AN6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0" s="84" cm="1">
        <f t="array" ref="AO6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0" s="84" cm="1">
        <f t="array" ref="AP6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0" s="84" cm="1">
        <f t="array" ref="AQ6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0" s="84" cm="1">
        <f t="array" ref="AR6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0" s="84" cm="1">
        <f t="array" ref="AS6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0" s="84" cm="1">
        <f t="array" ref="AT6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0" s="84" cm="1">
        <f t="array" ref="AU6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0" s="84" cm="1">
        <f t="array" ref="AV6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0" s="84" cm="1">
        <f t="array" ref="AW6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0" s="84" cm="1">
        <f t="array" ref="AX6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10" s="84" cm="1">
        <f t="array" ref="AY6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0" s="84" cm="1">
        <f t="array" ref="AZ6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0" s="84" cm="1">
        <f t="array" ref="BA6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0" s="84" cm="1">
        <f t="array" ref="BB6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0" s="84">
        <f>IF(SUM(Table3[[#This Row],[Column2]:[Column18]])&gt;Table3[[#This Row],[Column19]],Table3[[#This Row],[Column19]],SUM(Table3[[#This Row],[Column2]:[Column18]]))</f>
        <v>50000</v>
      </c>
      <c r="BD610" s="2">
        <f>Table3[[#This Row],[Total Spend]]/SUM(Table3[[#This Row],[Column2]:[Column18]])</f>
        <v>0.53163211057947901</v>
      </c>
    </row>
    <row r="611" spans="1:56">
      <c r="A611" s="84" t="s">
        <v>685</v>
      </c>
      <c r="B611" s="84" t="s">
        <v>57</v>
      </c>
      <c r="C611" s="84"/>
      <c r="D611" s="85">
        <v>45566</v>
      </c>
      <c r="E611" s="85" t="s">
        <v>92</v>
      </c>
      <c r="F611" s="84">
        <f>INDEX(Definitions!$G$13:$G$17,MATCH(Table3[[#This Row],[Propensity to buy/ buyer readiness]],Definitions!$A$13:$A$17,0))</f>
        <v>50000</v>
      </c>
      <c r="G611" s="86">
        <v>5</v>
      </c>
      <c r="H611" s="86">
        <v>4</v>
      </c>
      <c r="I611" s="86">
        <v>3</v>
      </c>
      <c r="J611" s="86">
        <v>3</v>
      </c>
      <c r="K611" s="86">
        <v>3</v>
      </c>
      <c r="L611" s="86">
        <f>SUM(Table3[[#This Row],[Strategic priority segment]:[Propensity to buy/ buyer readiness]])</f>
        <v>18</v>
      </c>
      <c r="M611" s="86" t="s">
        <v>66</v>
      </c>
      <c r="N611" s="84" t="s">
        <v>62</v>
      </c>
      <c r="O611" s="84" t="s">
        <v>61</v>
      </c>
      <c r="P611" s="87"/>
      <c r="Q611" s="87"/>
      <c r="R611" s="84"/>
      <c r="S611" s="87"/>
      <c r="T611" s="87"/>
      <c r="U611" s="84">
        <v>1</v>
      </c>
      <c r="V611" s="84">
        <v>0</v>
      </c>
      <c r="W611" s="84">
        <v>0</v>
      </c>
      <c r="X611" s="84">
        <v>0</v>
      </c>
      <c r="Y611" s="84">
        <v>0</v>
      </c>
      <c r="Z611" s="84">
        <v>1</v>
      </c>
      <c r="AA611" s="84">
        <v>1</v>
      </c>
      <c r="AB611" s="84">
        <v>1</v>
      </c>
      <c r="AC611" s="84">
        <v>1</v>
      </c>
      <c r="AD611" s="84">
        <v>1</v>
      </c>
      <c r="AE611" s="84">
        <v>1</v>
      </c>
      <c r="AF611" s="84">
        <v>1</v>
      </c>
      <c r="AG611" s="84">
        <v>1</v>
      </c>
      <c r="AH611" s="84">
        <v>0</v>
      </c>
      <c r="AI611" s="84">
        <v>0</v>
      </c>
      <c r="AJ611" s="84">
        <v>0</v>
      </c>
      <c r="AK611" s="84">
        <v>0</v>
      </c>
      <c r="AL611" s="84" cm="1">
        <f t="array" ref="AL6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1" s="84" cm="1">
        <f t="array" ref="AM6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1" s="84" cm="1">
        <f t="array" ref="AN6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1" s="84" cm="1">
        <f t="array" ref="AO6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1" s="84" cm="1">
        <f t="array" ref="AP6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1" s="84" cm="1">
        <f t="array" ref="AQ6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611" s="84" cm="1">
        <f t="array" ref="AR6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11" s="84" cm="1">
        <f t="array" ref="AS6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611" s="84" cm="1">
        <f t="array" ref="AT6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611" s="84" cm="1">
        <f t="array" ref="AU6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1" s="84" cm="1">
        <f t="array" ref="AV6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1" s="84" cm="1">
        <f t="array" ref="AW6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1" s="84" cm="1">
        <f t="array" ref="AX6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11" s="84" cm="1">
        <f t="array" ref="AY6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1" s="84" cm="1">
        <f t="array" ref="AZ6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1" s="84" cm="1">
        <f t="array" ref="BA6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1" s="84" cm="1">
        <f t="array" ref="BB6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1" s="84">
        <f>IF(SUM(Table3[[#This Row],[Column2]:[Column18]])&gt;Table3[[#This Row],[Column19]],Table3[[#This Row],[Column19]],SUM(Table3[[#This Row],[Column2]:[Column18]]))</f>
        <v>50000</v>
      </c>
      <c r="BD611" s="2">
        <f>Table3[[#This Row],[Total Spend]]/SUM(Table3[[#This Row],[Column2]:[Column18]])</f>
        <v>0.2664535038635758</v>
      </c>
    </row>
    <row r="612" spans="1:56">
      <c r="A612" s="84" t="s">
        <v>686</v>
      </c>
      <c r="B612" s="84"/>
      <c r="C612" s="84" t="s">
        <v>57</v>
      </c>
      <c r="D612" s="85">
        <v>45566</v>
      </c>
      <c r="E612" s="85" t="s">
        <v>92</v>
      </c>
      <c r="F612" s="84">
        <f>INDEX(Definitions!$G$13:$G$17,MATCH(Table3[[#This Row],[Propensity to buy/ buyer readiness]],Definitions!$A$13:$A$17,0))</f>
        <v>50000</v>
      </c>
      <c r="G612" s="86">
        <v>5</v>
      </c>
      <c r="H612" s="86">
        <v>4</v>
      </c>
      <c r="I612" s="86">
        <v>3</v>
      </c>
      <c r="J612" s="86">
        <v>3</v>
      </c>
      <c r="K612" s="86">
        <v>3</v>
      </c>
      <c r="L612" s="86">
        <f>SUM(Table3[[#This Row],[Strategic priority segment]:[Propensity to buy/ buyer readiness]])</f>
        <v>18</v>
      </c>
      <c r="M612" s="86" t="s">
        <v>66</v>
      </c>
      <c r="N612" s="84" t="s">
        <v>62</v>
      </c>
      <c r="O612" s="84"/>
      <c r="P612" s="87"/>
      <c r="Q612" s="87"/>
      <c r="R612" s="84"/>
      <c r="S612" s="87"/>
      <c r="T612" s="87"/>
      <c r="U612" s="84">
        <v>1</v>
      </c>
      <c r="V612" s="84">
        <v>0</v>
      </c>
      <c r="W612" s="84">
        <v>0</v>
      </c>
      <c r="X612" s="84">
        <v>0</v>
      </c>
      <c r="Y612" s="84">
        <v>0</v>
      </c>
      <c r="Z612" s="84">
        <v>0</v>
      </c>
      <c r="AA612" s="84">
        <v>0</v>
      </c>
      <c r="AB612" s="84">
        <v>0</v>
      </c>
      <c r="AC612" s="84">
        <v>0</v>
      </c>
      <c r="AD612" s="84">
        <v>1</v>
      </c>
      <c r="AE612" s="84">
        <v>1</v>
      </c>
      <c r="AF612" s="84">
        <v>1</v>
      </c>
      <c r="AG612" s="84">
        <v>1</v>
      </c>
      <c r="AH612" s="84">
        <v>0</v>
      </c>
      <c r="AI612" s="84">
        <v>0</v>
      </c>
      <c r="AJ612" s="84">
        <v>0</v>
      </c>
      <c r="AK612" s="84">
        <v>0</v>
      </c>
      <c r="AL612" s="84" cm="1">
        <f t="array" ref="AL6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2" s="84" cm="1">
        <f t="array" ref="AM6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2" s="84" cm="1">
        <f t="array" ref="AN6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2" s="84" cm="1">
        <f t="array" ref="AO6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2" s="84" cm="1">
        <f t="array" ref="AP6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2" s="84" cm="1">
        <f t="array" ref="AQ6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2" s="84" cm="1">
        <f t="array" ref="AR6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2" s="84" cm="1">
        <f t="array" ref="AS6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2" s="84" cm="1">
        <f t="array" ref="AT6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2" s="84" cm="1">
        <f t="array" ref="AU6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2" s="84" cm="1">
        <f t="array" ref="AV6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2" s="84" cm="1">
        <f t="array" ref="AW6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2" s="84" cm="1">
        <f t="array" ref="AX6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12" s="84" cm="1">
        <f t="array" ref="AY6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2" s="84" cm="1">
        <f t="array" ref="AZ6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2" s="84" cm="1">
        <f t="array" ref="BA6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2" s="84" cm="1">
        <f t="array" ref="BB6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2" s="84">
        <f>IF(SUM(Table3[[#This Row],[Column2]:[Column18]])&gt;Table3[[#This Row],[Column19]],Table3[[#This Row],[Column19]],SUM(Table3[[#This Row],[Column2]:[Column18]]))</f>
        <v>50000</v>
      </c>
      <c r="BD612" s="2">
        <f>Table3[[#This Row],[Total Spend]]/SUM(Table3[[#This Row],[Column2]:[Column18]])</f>
        <v>0.53163211057947901</v>
      </c>
    </row>
    <row r="613" spans="1:56">
      <c r="A613" s="87" t="s">
        <v>687</v>
      </c>
      <c r="B613" s="87"/>
      <c r="C613" s="87"/>
      <c r="D613" s="85">
        <v>45566</v>
      </c>
      <c r="E613" s="85" t="s">
        <v>58</v>
      </c>
      <c r="F613" s="84">
        <f>INDEX(Definitions!$G$13:$G$17,MATCH(Table3[[#This Row],[Propensity to buy/ buyer readiness]],Definitions!$A$13:$A$17,0))</f>
        <v>50000</v>
      </c>
      <c r="G613" s="86">
        <v>5</v>
      </c>
      <c r="H613" s="86">
        <v>4</v>
      </c>
      <c r="I613" s="86">
        <v>2</v>
      </c>
      <c r="J613" s="86">
        <v>4</v>
      </c>
      <c r="K613" s="86">
        <v>3</v>
      </c>
      <c r="L613" s="86">
        <f>SUM(Table3[[#This Row],[Strategic priority segment]:[Propensity to buy/ buyer readiness]])</f>
        <v>18</v>
      </c>
      <c r="M613" s="86" t="s">
        <v>191</v>
      </c>
      <c r="N613" s="84" t="s">
        <v>135</v>
      </c>
      <c r="O613" s="87"/>
      <c r="P613" s="87"/>
      <c r="Q613" s="87"/>
      <c r="R613" s="84"/>
      <c r="S613" s="87"/>
      <c r="T613" s="87"/>
      <c r="U613" s="84">
        <v>0</v>
      </c>
      <c r="V613" s="84">
        <v>0</v>
      </c>
      <c r="W613" s="84">
        <v>0</v>
      </c>
      <c r="X613" s="84">
        <v>0</v>
      </c>
      <c r="Y613" s="84">
        <v>0</v>
      </c>
      <c r="Z613" s="84">
        <v>0</v>
      </c>
      <c r="AA613" s="84">
        <v>0</v>
      </c>
      <c r="AB613" s="84">
        <v>0</v>
      </c>
      <c r="AC613" s="84">
        <v>0</v>
      </c>
      <c r="AD613" s="84">
        <v>0</v>
      </c>
      <c r="AE613" s="84">
        <v>0</v>
      </c>
      <c r="AF613" s="84">
        <v>0</v>
      </c>
      <c r="AG613" s="84">
        <v>0</v>
      </c>
      <c r="AH613" s="84">
        <v>1</v>
      </c>
      <c r="AI613" s="84">
        <v>1</v>
      </c>
      <c r="AJ613" s="84">
        <v>1</v>
      </c>
      <c r="AK613" s="84">
        <v>1</v>
      </c>
      <c r="AL613" s="84" cm="1">
        <f t="array" ref="AL6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13" s="84" cm="1">
        <f t="array" ref="AM6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3" s="84" cm="1">
        <f t="array" ref="AN6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3" s="84" cm="1">
        <f t="array" ref="AO6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3" s="84" cm="1">
        <f t="array" ref="AP6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3" s="84" cm="1">
        <f t="array" ref="AQ6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3" s="84" cm="1">
        <f t="array" ref="AR6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3" s="84" cm="1">
        <f t="array" ref="AS6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3" s="84" cm="1">
        <f t="array" ref="AT6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3" s="84" cm="1">
        <f t="array" ref="AU6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13" s="84" cm="1">
        <f t="array" ref="AV6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13" s="84" cm="1">
        <f t="array" ref="AW6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13" s="84" cm="1">
        <f t="array" ref="AX6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13" s="84" cm="1">
        <f t="array" ref="AY6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13" s="84" cm="1">
        <f t="array" ref="AZ6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13" s="84" cm="1">
        <f t="array" ref="BA6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13" s="84" cm="1">
        <f t="array" ref="BB6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13" s="84">
        <f>IF(SUM(Table3[[#This Row],[Column2]:[Column18]])&gt;Table3[[#This Row],[Column19]],Table3[[#This Row],[Column19]],SUM(Table3[[#This Row],[Column2]:[Column18]]))</f>
        <v>50000</v>
      </c>
      <c r="BD613" s="2">
        <f>Table3[[#This Row],[Total Spend]]/SUM(Table3[[#This Row],[Column2]:[Column18]])</f>
        <v>0.77700077700077697</v>
      </c>
    </row>
    <row r="614" spans="1:56" ht="28.5">
      <c r="A614" s="87" t="s">
        <v>688</v>
      </c>
      <c r="B614" s="87"/>
      <c r="C614" s="87"/>
      <c r="D614" s="85">
        <v>45566</v>
      </c>
      <c r="E614" s="85" t="s">
        <v>58</v>
      </c>
      <c r="F614" s="84">
        <f>INDEX(Definitions!$G$13:$G$17,MATCH(Table3[[#This Row],[Propensity to buy/ buyer readiness]],Definitions!$A$13:$A$17,0))</f>
        <v>50000</v>
      </c>
      <c r="G614" s="86">
        <v>5</v>
      </c>
      <c r="H614" s="86">
        <v>4</v>
      </c>
      <c r="I614" s="86">
        <v>2</v>
      </c>
      <c r="J614" s="86">
        <v>4</v>
      </c>
      <c r="K614" s="86">
        <v>3</v>
      </c>
      <c r="L614" s="86">
        <f>SUM(Table3[[#This Row],[Strategic priority segment]:[Propensity to buy/ buyer readiness]])</f>
        <v>18</v>
      </c>
      <c r="M614" s="86" t="s">
        <v>191</v>
      </c>
      <c r="N614" s="84" t="s">
        <v>135</v>
      </c>
      <c r="O614" s="87" t="s">
        <v>76</v>
      </c>
      <c r="P614" s="87"/>
      <c r="Q614" s="87"/>
      <c r="R614" s="84"/>
      <c r="S614" s="87"/>
      <c r="T614" s="87"/>
      <c r="U614" s="84">
        <v>0</v>
      </c>
      <c r="V614" s="84">
        <v>0</v>
      </c>
      <c r="W614" s="84">
        <v>0</v>
      </c>
      <c r="X614" s="84">
        <v>0</v>
      </c>
      <c r="Y614" s="84">
        <v>0</v>
      </c>
      <c r="Z614" s="84">
        <v>0</v>
      </c>
      <c r="AA614" s="84">
        <v>0</v>
      </c>
      <c r="AB614" s="84">
        <v>0</v>
      </c>
      <c r="AC614" s="84">
        <v>0</v>
      </c>
      <c r="AD614" s="84">
        <v>0</v>
      </c>
      <c r="AE614" s="84">
        <v>0</v>
      </c>
      <c r="AF614" s="84">
        <v>0</v>
      </c>
      <c r="AG614" s="84">
        <v>0</v>
      </c>
      <c r="AH614" s="84">
        <v>1</v>
      </c>
      <c r="AI614" s="84">
        <v>1</v>
      </c>
      <c r="AJ614" s="84">
        <v>1</v>
      </c>
      <c r="AK614" s="84">
        <v>1</v>
      </c>
      <c r="AL614" s="84" cm="1">
        <f t="array" ref="AL6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14" s="84" cm="1">
        <f t="array" ref="AM6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4" s="84" cm="1">
        <f t="array" ref="AN6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4" s="84" cm="1">
        <f t="array" ref="AO6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4" s="84" cm="1">
        <f t="array" ref="AP6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4" s="84" cm="1">
        <f t="array" ref="AQ6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4" s="84" cm="1">
        <f t="array" ref="AR6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4" s="84" cm="1">
        <f t="array" ref="AS6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4" s="84" cm="1">
        <f t="array" ref="AT6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4" s="84" cm="1">
        <f t="array" ref="AU6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14" s="84" cm="1">
        <f t="array" ref="AV6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14" s="84" cm="1">
        <f t="array" ref="AW6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14" s="84" cm="1">
        <f t="array" ref="AX6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14" s="84" cm="1">
        <f t="array" ref="AY6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14" s="84" cm="1">
        <f t="array" ref="AZ6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14" s="84" cm="1">
        <f t="array" ref="BA6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14" s="84" cm="1">
        <f t="array" ref="BB6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14" s="84">
        <f>IF(SUM(Table3[[#This Row],[Column2]:[Column18]])&gt;Table3[[#This Row],[Column19]],Table3[[#This Row],[Column19]],SUM(Table3[[#This Row],[Column2]:[Column18]]))</f>
        <v>50000</v>
      </c>
      <c r="BD614" s="2">
        <f>Table3[[#This Row],[Total Spend]]/SUM(Table3[[#This Row],[Column2]:[Column18]])</f>
        <v>0.77700077700077697</v>
      </c>
    </row>
    <row r="615" spans="1:56">
      <c r="A615" s="84" t="s">
        <v>689</v>
      </c>
      <c r="B615" s="84" t="s">
        <v>57</v>
      </c>
      <c r="C615" s="84"/>
      <c r="D615" s="85">
        <v>45566</v>
      </c>
      <c r="E615" s="85" t="s">
        <v>92</v>
      </c>
      <c r="F615" s="84">
        <f>INDEX(Definitions!$G$13:$G$17,MATCH(Table3[[#This Row],[Propensity to buy/ buyer readiness]],Definitions!$A$13:$A$17,0))</f>
        <v>50000</v>
      </c>
      <c r="G615" s="86">
        <v>5</v>
      </c>
      <c r="H615" s="86">
        <v>4</v>
      </c>
      <c r="I615" s="86">
        <v>3</v>
      </c>
      <c r="J615" s="86">
        <v>3</v>
      </c>
      <c r="K615" s="86">
        <v>3</v>
      </c>
      <c r="L615" s="86">
        <f>SUM(Table3[[#This Row],[Strategic priority segment]:[Propensity to buy/ buyer readiness]])</f>
        <v>18</v>
      </c>
      <c r="M615" s="86" t="s">
        <v>66</v>
      </c>
      <c r="N615" s="84" t="s">
        <v>62</v>
      </c>
      <c r="O615" s="84"/>
      <c r="P615" s="87"/>
      <c r="Q615" s="87"/>
      <c r="R615" s="84"/>
      <c r="S615" s="87"/>
      <c r="T615" s="87"/>
      <c r="U615" s="84">
        <v>1</v>
      </c>
      <c r="V615" s="84">
        <v>0</v>
      </c>
      <c r="W615" s="84">
        <v>0</v>
      </c>
      <c r="X615" s="84">
        <v>0</v>
      </c>
      <c r="Y615" s="84">
        <v>0</v>
      </c>
      <c r="Z615" s="84">
        <v>0</v>
      </c>
      <c r="AA615" s="84">
        <v>0</v>
      </c>
      <c r="AB615" s="84">
        <v>0</v>
      </c>
      <c r="AC615" s="84">
        <v>0</v>
      </c>
      <c r="AD615" s="84">
        <v>1</v>
      </c>
      <c r="AE615" s="84">
        <v>1</v>
      </c>
      <c r="AF615" s="84">
        <v>1</v>
      </c>
      <c r="AG615" s="84">
        <v>1</v>
      </c>
      <c r="AH615" s="84">
        <v>0</v>
      </c>
      <c r="AI615" s="84">
        <v>0</v>
      </c>
      <c r="AJ615" s="84">
        <v>0</v>
      </c>
      <c r="AK615" s="84">
        <v>0</v>
      </c>
      <c r="AL615" s="84" cm="1">
        <f t="array" ref="AL6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5" s="84" cm="1">
        <f t="array" ref="AM6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5" s="84" cm="1">
        <f t="array" ref="AN6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5" s="84" cm="1">
        <f t="array" ref="AO6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5" s="84" cm="1">
        <f t="array" ref="AP6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5" s="84" cm="1">
        <f t="array" ref="AQ6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5" s="84" cm="1">
        <f t="array" ref="AR6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5" s="84" cm="1">
        <f t="array" ref="AS6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5" s="84" cm="1">
        <f t="array" ref="AT6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5" s="84" cm="1">
        <f t="array" ref="AU6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5" s="84" cm="1">
        <f t="array" ref="AV6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5" s="84" cm="1">
        <f t="array" ref="AW6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5" s="84" cm="1">
        <f t="array" ref="AX6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15" s="84" cm="1">
        <f t="array" ref="AY6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5" s="84" cm="1">
        <f t="array" ref="AZ6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5" s="84" cm="1">
        <f t="array" ref="BA6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5" s="84" cm="1">
        <f t="array" ref="BB6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5" s="84">
        <f>IF(SUM(Table3[[#This Row],[Column2]:[Column18]])&gt;Table3[[#This Row],[Column19]],Table3[[#This Row],[Column19]],SUM(Table3[[#This Row],[Column2]:[Column18]]))</f>
        <v>50000</v>
      </c>
      <c r="BD615" s="2">
        <f>Table3[[#This Row],[Total Spend]]/SUM(Table3[[#This Row],[Column2]:[Column18]])</f>
        <v>0.53163211057947901</v>
      </c>
    </row>
    <row r="616" spans="1:56">
      <c r="A616" s="84" t="s">
        <v>690</v>
      </c>
      <c r="B616" s="84"/>
      <c r="C616" s="84" t="s">
        <v>57</v>
      </c>
      <c r="D616" s="85">
        <v>45809</v>
      </c>
      <c r="E616" s="85" t="s">
        <v>92</v>
      </c>
      <c r="F616" s="84">
        <f>INDEX(Definitions!$G$13:$G$17,MATCH(Table3[[#This Row],[Propensity to buy/ buyer readiness]],Definitions!$A$13:$A$17,0))</f>
        <v>50000</v>
      </c>
      <c r="G616" s="86">
        <v>5</v>
      </c>
      <c r="H616" s="86">
        <v>4</v>
      </c>
      <c r="I616" s="86">
        <v>3</v>
      </c>
      <c r="J616" s="86">
        <v>3</v>
      </c>
      <c r="K616" s="86">
        <v>3</v>
      </c>
      <c r="L616" s="86">
        <f>SUM(Table3[[#This Row],[Strategic priority segment]:[Propensity to buy/ buyer readiness]])</f>
        <v>18</v>
      </c>
      <c r="M616" s="86" t="s">
        <v>66</v>
      </c>
      <c r="N616" s="84" t="s">
        <v>62</v>
      </c>
      <c r="O616" s="84"/>
      <c r="P616" s="84"/>
      <c r="Q616" s="84"/>
      <c r="R616" s="84"/>
      <c r="S616" s="84"/>
      <c r="T616" s="87"/>
      <c r="U616" s="84">
        <v>1</v>
      </c>
      <c r="V616" s="84">
        <v>0</v>
      </c>
      <c r="W616" s="84">
        <v>0</v>
      </c>
      <c r="X616" s="84">
        <v>0</v>
      </c>
      <c r="Y616" s="84">
        <v>0</v>
      </c>
      <c r="Z616" s="84">
        <v>0</v>
      </c>
      <c r="AA616" s="84">
        <v>0</v>
      </c>
      <c r="AB616" s="84">
        <v>0</v>
      </c>
      <c r="AC616" s="84">
        <v>0</v>
      </c>
      <c r="AD616" s="84">
        <v>1</v>
      </c>
      <c r="AE616" s="84">
        <v>1</v>
      </c>
      <c r="AF616" s="84">
        <v>1</v>
      </c>
      <c r="AG616" s="84">
        <v>1</v>
      </c>
      <c r="AH616" s="84">
        <v>0</v>
      </c>
      <c r="AI616" s="84">
        <v>0</v>
      </c>
      <c r="AJ616" s="84">
        <v>0</v>
      </c>
      <c r="AK616" s="84">
        <v>0</v>
      </c>
      <c r="AL616" s="84" cm="1">
        <f t="array" ref="AL6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6" s="84" cm="1">
        <f t="array" ref="AM6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6" s="84" cm="1">
        <f t="array" ref="AN6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6" s="84" cm="1">
        <f t="array" ref="AO6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6" s="84" cm="1">
        <f t="array" ref="AP6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6" s="84" cm="1">
        <f t="array" ref="AQ6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6" s="84" cm="1">
        <f t="array" ref="AR6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6" s="84" cm="1">
        <f t="array" ref="AS6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6" s="84" cm="1">
        <f t="array" ref="AT6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6" s="84" cm="1">
        <f t="array" ref="AU6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6" s="84" cm="1">
        <f t="array" ref="AV6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6" s="84" cm="1">
        <f t="array" ref="AW6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6" s="84" cm="1">
        <f t="array" ref="AX6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16" s="84" cm="1">
        <f t="array" ref="AY6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6" s="84" cm="1">
        <f t="array" ref="AZ6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6" s="84" cm="1">
        <f t="array" ref="BA6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6" s="84" cm="1">
        <f t="array" ref="BB6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6" s="84">
        <f>IF(SUM(Table3[[#This Row],[Column2]:[Column18]])&gt;Table3[[#This Row],[Column19]],Table3[[#This Row],[Column19]],SUM(Table3[[#This Row],[Column2]:[Column18]]))</f>
        <v>50000</v>
      </c>
      <c r="BD616" s="2">
        <f>Table3[[#This Row],[Total Spend]]/SUM(Table3[[#This Row],[Column2]:[Column18]])</f>
        <v>0.53163211057947901</v>
      </c>
    </row>
    <row r="617" spans="1:56">
      <c r="A617" s="87" t="s">
        <v>691</v>
      </c>
      <c r="B617" s="87"/>
      <c r="C617" s="87"/>
      <c r="D617" s="85">
        <v>45566</v>
      </c>
      <c r="E617" s="85" t="s">
        <v>58</v>
      </c>
      <c r="F617" s="84">
        <f>INDEX(Definitions!$G$13:$G$17,MATCH(Table3[[#This Row],[Propensity to buy/ buyer readiness]],Definitions!$A$13:$A$17,0))</f>
        <v>50000</v>
      </c>
      <c r="G617" s="86">
        <v>5</v>
      </c>
      <c r="H617" s="86">
        <v>4</v>
      </c>
      <c r="I617" s="86">
        <v>2</v>
      </c>
      <c r="J617" s="86">
        <v>4</v>
      </c>
      <c r="K617" s="86">
        <v>3</v>
      </c>
      <c r="L617" s="86">
        <f>SUM(Table3[[#This Row],[Strategic priority segment]:[Propensity to buy/ buyer readiness]])</f>
        <v>18</v>
      </c>
      <c r="M617" s="86" t="s">
        <v>191</v>
      </c>
      <c r="N617" s="84" t="s">
        <v>135</v>
      </c>
      <c r="O617" s="87" t="s">
        <v>76</v>
      </c>
      <c r="P617" s="87"/>
      <c r="Q617" s="87"/>
      <c r="R617" s="84"/>
      <c r="S617" s="87"/>
      <c r="T617" s="87"/>
      <c r="U617" s="84">
        <v>0</v>
      </c>
      <c r="V617" s="84">
        <v>0</v>
      </c>
      <c r="W617" s="84">
        <v>0</v>
      </c>
      <c r="X617" s="84">
        <v>0</v>
      </c>
      <c r="Y617" s="84">
        <v>0</v>
      </c>
      <c r="Z617" s="84">
        <v>0</v>
      </c>
      <c r="AA617" s="84">
        <v>0</v>
      </c>
      <c r="AB617" s="84">
        <v>0</v>
      </c>
      <c r="AC617" s="84">
        <v>0</v>
      </c>
      <c r="AD617" s="84">
        <v>0</v>
      </c>
      <c r="AE617" s="84">
        <v>0</v>
      </c>
      <c r="AF617" s="84">
        <v>0</v>
      </c>
      <c r="AG617" s="84">
        <v>0</v>
      </c>
      <c r="AH617" s="84">
        <v>1</v>
      </c>
      <c r="AI617" s="84">
        <v>1</v>
      </c>
      <c r="AJ617" s="84">
        <v>1</v>
      </c>
      <c r="AK617" s="84">
        <v>1</v>
      </c>
      <c r="AL617" s="84" cm="1">
        <f t="array" ref="AL6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17" s="84" cm="1">
        <f t="array" ref="AM6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7" s="84" cm="1">
        <f t="array" ref="AN6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7" s="84" cm="1">
        <f t="array" ref="AO6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7" s="84" cm="1">
        <f t="array" ref="AP6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7" s="84" cm="1">
        <f t="array" ref="AQ6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7" s="84" cm="1">
        <f t="array" ref="AR6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7" s="84" cm="1">
        <f t="array" ref="AS6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7" s="84" cm="1">
        <f t="array" ref="AT6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7" s="84" cm="1">
        <f t="array" ref="AU6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17" s="84" cm="1">
        <f t="array" ref="AV6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17" s="84" cm="1">
        <f t="array" ref="AW6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17" s="84" cm="1">
        <f t="array" ref="AX6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17" s="84" cm="1">
        <f t="array" ref="AY6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17" s="84" cm="1">
        <f t="array" ref="AZ6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17" s="84" cm="1">
        <f t="array" ref="BA6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17" s="84" cm="1">
        <f t="array" ref="BB6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17" s="84">
        <f>IF(SUM(Table3[[#This Row],[Column2]:[Column18]])&gt;Table3[[#This Row],[Column19]],Table3[[#This Row],[Column19]],SUM(Table3[[#This Row],[Column2]:[Column18]]))</f>
        <v>50000</v>
      </c>
      <c r="BD617" s="2">
        <f>Table3[[#This Row],[Total Spend]]/SUM(Table3[[#This Row],[Column2]:[Column18]])</f>
        <v>0.77700077700077697</v>
      </c>
    </row>
    <row r="618" spans="1:56">
      <c r="A618" s="84" t="s">
        <v>692</v>
      </c>
      <c r="B618" s="84"/>
      <c r="C618" s="84"/>
      <c r="D618" s="85">
        <v>45566</v>
      </c>
      <c r="E618" s="85" t="s">
        <v>92</v>
      </c>
      <c r="F618" s="84">
        <f>INDEX(Definitions!$G$13:$G$17,MATCH(Table3[[#This Row],[Propensity to buy/ buyer readiness]],Definitions!$A$13:$A$17,0))</f>
        <v>50000</v>
      </c>
      <c r="G618" s="86">
        <v>5</v>
      </c>
      <c r="H618" s="86">
        <v>4</v>
      </c>
      <c r="I618" s="86">
        <v>3</v>
      </c>
      <c r="J618" s="86">
        <v>3</v>
      </c>
      <c r="K618" s="86">
        <v>3</v>
      </c>
      <c r="L618" s="86">
        <f>SUM(Table3[[#This Row],[Strategic priority segment]:[Propensity to buy/ buyer readiness]])</f>
        <v>18</v>
      </c>
      <c r="M618" s="86" t="s">
        <v>66</v>
      </c>
      <c r="N618" s="84" t="s">
        <v>62</v>
      </c>
      <c r="O618" s="84"/>
      <c r="P618" s="87"/>
      <c r="Q618" s="87"/>
      <c r="R618" s="84"/>
      <c r="S618" s="87"/>
      <c r="T618" s="87"/>
      <c r="U618" s="84">
        <v>1</v>
      </c>
      <c r="V618" s="84">
        <v>0</v>
      </c>
      <c r="W618" s="84">
        <v>0</v>
      </c>
      <c r="X618" s="84">
        <v>0</v>
      </c>
      <c r="Y618" s="84">
        <v>0</v>
      </c>
      <c r="Z618" s="84">
        <v>0</v>
      </c>
      <c r="AA618" s="84">
        <v>0</v>
      </c>
      <c r="AB618" s="84">
        <v>0</v>
      </c>
      <c r="AC618" s="84">
        <v>0</v>
      </c>
      <c r="AD618" s="84">
        <v>1</v>
      </c>
      <c r="AE618" s="84">
        <v>1</v>
      </c>
      <c r="AF618" s="84">
        <v>1</v>
      </c>
      <c r="AG618" s="84">
        <v>1</v>
      </c>
      <c r="AH618" s="84">
        <v>0</v>
      </c>
      <c r="AI618" s="84">
        <v>0</v>
      </c>
      <c r="AJ618" s="84">
        <v>0</v>
      </c>
      <c r="AK618" s="84">
        <v>0</v>
      </c>
      <c r="AL618" s="84" cm="1">
        <f t="array" ref="AL6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8" s="84" cm="1">
        <f t="array" ref="AM6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8" s="84" cm="1">
        <f t="array" ref="AN6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8" s="84" cm="1">
        <f t="array" ref="AO6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8" s="84" cm="1">
        <f t="array" ref="AP6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8" s="84" cm="1">
        <f t="array" ref="AQ6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18" s="84" cm="1">
        <f t="array" ref="AR6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18" s="84" cm="1">
        <f t="array" ref="AS6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18" s="84" cm="1">
        <f t="array" ref="AT6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18" s="84" cm="1">
        <f t="array" ref="AU6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8" s="84" cm="1">
        <f t="array" ref="AV6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18" s="84" cm="1">
        <f t="array" ref="AW6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8" s="84" cm="1">
        <f t="array" ref="AX6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18" s="84" cm="1">
        <f t="array" ref="AY6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8" s="84" cm="1">
        <f t="array" ref="AZ6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8" s="84" cm="1">
        <f t="array" ref="BA6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8" s="84" cm="1">
        <f t="array" ref="BB6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8" s="84">
        <f>IF(SUM(Table3[[#This Row],[Column2]:[Column18]])&gt;Table3[[#This Row],[Column19]],Table3[[#This Row],[Column19]],SUM(Table3[[#This Row],[Column2]:[Column18]]))</f>
        <v>50000</v>
      </c>
      <c r="BD618" s="2">
        <f>Table3[[#This Row],[Total Spend]]/SUM(Table3[[#This Row],[Column2]:[Column18]])</f>
        <v>0.53163211057947901</v>
      </c>
    </row>
    <row r="619" spans="1:56" ht="28.5">
      <c r="A619" s="87" t="s">
        <v>693</v>
      </c>
      <c r="B619" s="87"/>
      <c r="C619" s="87" t="s">
        <v>57</v>
      </c>
      <c r="D619" s="85">
        <v>45566</v>
      </c>
      <c r="E619" s="85" t="s">
        <v>92</v>
      </c>
      <c r="F619" s="84">
        <f>INDEX(Definitions!$G$13:$G$17,MATCH(Table3[[#This Row],[Propensity to buy/ buyer readiness]],Definitions!$A$13:$A$17,0))</f>
        <v>50000</v>
      </c>
      <c r="G619" s="86">
        <v>3</v>
      </c>
      <c r="H619" s="86">
        <v>4</v>
      </c>
      <c r="I619" s="86">
        <v>4</v>
      </c>
      <c r="J619" s="86">
        <v>4</v>
      </c>
      <c r="K619" s="86">
        <v>3</v>
      </c>
      <c r="L619" s="86">
        <f>SUM(Table3[[#This Row],[Strategic priority segment]:[Propensity to buy/ buyer readiness]])</f>
        <v>18</v>
      </c>
      <c r="M619" s="86" t="s">
        <v>152</v>
      </c>
      <c r="N619" s="84" t="s">
        <v>122</v>
      </c>
      <c r="O619" s="87" t="s">
        <v>61</v>
      </c>
      <c r="P619" s="87"/>
      <c r="Q619" s="87"/>
      <c r="R619" s="84"/>
      <c r="S619" s="87"/>
      <c r="T619" s="87"/>
      <c r="U619" s="84">
        <v>1</v>
      </c>
      <c r="V619" s="84">
        <v>0</v>
      </c>
      <c r="W619" s="84">
        <v>0</v>
      </c>
      <c r="X619" s="84">
        <v>0</v>
      </c>
      <c r="Y619" s="84">
        <v>0</v>
      </c>
      <c r="Z619" s="84">
        <v>1</v>
      </c>
      <c r="AA619" s="84">
        <v>1</v>
      </c>
      <c r="AB619" s="84">
        <v>1</v>
      </c>
      <c r="AC619" s="84">
        <v>1</v>
      </c>
      <c r="AD619" s="84">
        <v>1</v>
      </c>
      <c r="AE619" s="84">
        <v>0</v>
      </c>
      <c r="AF619" s="84">
        <v>1</v>
      </c>
      <c r="AG619" s="84">
        <v>0</v>
      </c>
      <c r="AH619" s="84">
        <v>0</v>
      </c>
      <c r="AI619" s="84">
        <v>0</v>
      </c>
      <c r="AJ619" s="84">
        <v>0</v>
      </c>
      <c r="AK619" s="84">
        <v>0</v>
      </c>
      <c r="AL619" s="84" cm="1">
        <f t="array" ref="AL6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19" s="84" cm="1">
        <f t="array" ref="AM6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19" s="84" cm="1">
        <f t="array" ref="AN6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19" s="84" cm="1">
        <f t="array" ref="AO6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19" s="84" cm="1">
        <f t="array" ref="AP6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19" s="84" cm="1">
        <f t="array" ref="AQ6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619" s="84" cm="1">
        <f t="array" ref="AR6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19" s="84" cm="1">
        <f t="array" ref="AS6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619" s="84" cm="1">
        <f t="array" ref="AT6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619" s="84" cm="1">
        <f t="array" ref="AU6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19" s="84" cm="1">
        <f t="array" ref="AV6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19" s="84" cm="1">
        <f t="array" ref="AW6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19" s="84" cm="1">
        <f t="array" ref="AX6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19" s="84" cm="1">
        <f t="array" ref="AY6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19" s="84" cm="1">
        <f t="array" ref="AZ6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19" s="84" cm="1">
        <f t="array" ref="BA6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19" s="84" cm="1">
        <f t="array" ref="BB6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19" s="84">
        <f>IF(SUM(Table3[[#This Row],[Column2]:[Column18]])&gt;Table3[[#This Row],[Column19]],Table3[[#This Row],[Column19]],SUM(Table3[[#This Row],[Column2]:[Column18]]))</f>
        <v>50000</v>
      </c>
      <c r="BD619" s="2">
        <f>Table3[[#This Row],[Total Spend]]/SUM(Table3[[#This Row],[Column2]:[Column18]])</f>
        <v>0.32299741602067183</v>
      </c>
    </row>
    <row r="620" spans="1:56">
      <c r="A620" s="87" t="s">
        <v>694</v>
      </c>
      <c r="B620" s="87"/>
      <c r="C620" s="87"/>
      <c r="D620" s="85">
        <v>45566</v>
      </c>
      <c r="E620" s="85" t="s">
        <v>58</v>
      </c>
      <c r="F620" s="84">
        <f>INDEX(Definitions!$G$13:$G$17,MATCH(Table3[[#This Row],[Propensity to buy/ buyer readiness]],Definitions!$A$13:$A$17,0))</f>
        <v>50000</v>
      </c>
      <c r="G620" s="86">
        <v>5</v>
      </c>
      <c r="H620" s="86">
        <v>4</v>
      </c>
      <c r="I620" s="86">
        <v>2</v>
      </c>
      <c r="J620" s="86">
        <v>4</v>
      </c>
      <c r="K620" s="86">
        <v>3</v>
      </c>
      <c r="L620" s="86">
        <f>SUM(Table3[[#This Row],[Strategic priority segment]:[Propensity to buy/ buyer readiness]])</f>
        <v>18</v>
      </c>
      <c r="M620" s="86" t="s">
        <v>191</v>
      </c>
      <c r="N620" s="84" t="s">
        <v>135</v>
      </c>
      <c r="O620" s="87"/>
      <c r="P620" s="87"/>
      <c r="Q620" s="87"/>
      <c r="R620" s="84"/>
      <c r="S620" s="87"/>
      <c r="T620" s="87"/>
      <c r="U620" s="84">
        <v>0</v>
      </c>
      <c r="V620" s="84">
        <v>0</v>
      </c>
      <c r="W620" s="84">
        <v>0</v>
      </c>
      <c r="X620" s="84">
        <v>0</v>
      </c>
      <c r="Y620" s="84">
        <v>0</v>
      </c>
      <c r="Z620" s="84">
        <v>0</v>
      </c>
      <c r="AA620" s="84">
        <v>0</v>
      </c>
      <c r="AB620" s="84">
        <v>0</v>
      </c>
      <c r="AC620" s="84">
        <v>0</v>
      </c>
      <c r="AD620" s="84">
        <v>0</v>
      </c>
      <c r="AE620" s="84">
        <v>0</v>
      </c>
      <c r="AF620" s="84">
        <v>0</v>
      </c>
      <c r="AG620" s="84">
        <v>0</v>
      </c>
      <c r="AH620" s="84">
        <v>1</v>
      </c>
      <c r="AI620" s="84">
        <v>1</v>
      </c>
      <c r="AJ620" s="84">
        <v>1</v>
      </c>
      <c r="AK620" s="84">
        <v>1</v>
      </c>
      <c r="AL620" s="84" cm="1">
        <f t="array" ref="AL6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0" s="84" cm="1">
        <f t="array" ref="AM6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0" s="84" cm="1">
        <f t="array" ref="AN6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0" s="84" cm="1">
        <f t="array" ref="AO6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0" s="84" cm="1">
        <f t="array" ref="AP6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0" s="84" cm="1">
        <f t="array" ref="AQ6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0" s="84" cm="1">
        <f t="array" ref="AR6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0" s="84" cm="1">
        <f t="array" ref="AS6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0" s="84" cm="1">
        <f t="array" ref="AT6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0" s="84" cm="1">
        <f t="array" ref="AU6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0" s="84" cm="1">
        <f t="array" ref="AV6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0" s="84" cm="1">
        <f t="array" ref="AW6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0" s="84" cm="1">
        <f t="array" ref="AX6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0" s="84" cm="1">
        <f t="array" ref="AY6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20" s="84" cm="1">
        <f t="array" ref="AZ6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20" s="84" cm="1">
        <f t="array" ref="BA6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20" s="84" cm="1">
        <f t="array" ref="BB6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20" s="84">
        <f>IF(SUM(Table3[[#This Row],[Column2]:[Column18]])&gt;Table3[[#This Row],[Column19]],Table3[[#This Row],[Column19]],SUM(Table3[[#This Row],[Column2]:[Column18]]))</f>
        <v>50000</v>
      </c>
      <c r="BD620" s="2">
        <f>Table3[[#This Row],[Total Spend]]/SUM(Table3[[#This Row],[Column2]:[Column18]])</f>
        <v>0.77700077700077697</v>
      </c>
    </row>
    <row r="621" spans="1:56">
      <c r="A621" s="87" t="s">
        <v>695</v>
      </c>
      <c r="B621" s="87"/>
      <c r="C621" s="87"/>
      <c r="D621" s="85">
        <v>45566</v>
      </c>
      <c r="E621" s="85" t="s">
        <v>58</v>
      </c>
      <c r="F621" s="84">
        <f>INDEX(Definitions!$G$13:$G$17,MATCH(Table3[[#This Row],[Propensity to buy/ buyer readiness]],Definitions!$A$13:$A$17,0))</f>
        <v>50000</v>
      </c>
      <c r="G621" s="86">
        <v>5</v>
      </c>
      <c r="H621" s="86">
        <v>4</v>
      </c>
      <c r="I621" s="86">
        <v>2</v>
      </c>
      <c r="J621" s="86">
        <v>4</v>
      </c>
      <c r="K621" s="86">
        <v>3</v>
      </c>
      <c r="L621" s="86">
        <f>SUM(Table3[[#This Row],[Strategic priority segment]:[Propensity to buy/ buyer readiness]])</f>
        <v>18</v>
      </c>
      <c r="M621" s="86" t="s">
        <v>191</v>
      </c>
      <c r="N621" s="84" t="s">
        <v>135</v>
      </c>
      <c r="O621" s="87"/>
      <c r="P621" s="87"/>
      <c r="Q621" s="87"/>
      <c r="R621" s="84"/>
      <c r="S621" s="87"/>
      <c r="T621" s="87"/>
      <c r="U621" s="84">
        <v>0</v>
      </c>
      <c r="V621" s="84">
        <v>0</v>
      </c>
      <c r="W621" s="84">
        <v>0</v>
      </c>
      <c r="X621" s="84">
        <v>0</v>
      </c>
      <c r="Y621" s="84">
        <v>0</v>
      </c>
      <c r="Z621" s="84">
        <v>0</v>
      </c>
      <c r="AA621" s="84">
        <v>0</v>
      </c>
      <c r="AB621" s="84">
        <v>0</v>
      </c>
      <c r="AC621" s="84">
        <v>0</v>
      </c>
      <c r="AD621" s="84">
        <v>0</v>
      </c>
      <c r="AE621" s="84">
        <v>0</v>
      </c>
      <c r="AF621" s="84">
        <v>0</v>
      </c>
      <c r="AG621" s="84">
        <v>0</v>
      </c>
      <c r="AH621" s="84">
        <v>1</v>
      </c>
      <c r="AI621" s="84">
        <v>1</v>
      </c>
      <c r="AJ621" s="84">
        <v>1</v>
      </c>
      <c r="AK621" s="84">
        <v>1</v>
      </c>
      <c r="AL621" s="84" cm="1">
        <f t="array" ref="AL6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1" s="84" cm="1">
        <f t="array" ref="AM6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1" s="84" cm="1">
        <f t="array" ref="AN6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1" s="84" cm="1">
        <f t="array" ref="AO6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1" s="84" cm="1">
        <f t="array" ref="AP6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1" s="84" cm="1">
        <f t="array" ref="AQ6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1" s="84" cm="1">
        <f t="array" ref="AR6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1" s="84" cm="1">
        <f t="array" ref="AS6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1" s="84" cm="1">
        <f t="array" ref="AT6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1" s="84" cm="1">
        <f t="array" ref="AU6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1" s="84" cm="1">
        <f t="array" ref="AV6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1" s="84" cm="1">
        <f t="array" ref="AW6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1" s="84" cm="1">
        <f t="array" ref="AX6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1" s="84" cm="1">
        <f t="array" ref="AY6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21" s="84" cm="1">
        <f t="array" ref="AZ6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21" s="84" cm="1">
        <f t="array" ref="BA6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21" s="84" cm="1">
        <f t="array" ref="BB6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21" s="84">
        <f>IF(SUM(Table3[[#This Row],[Column2]:[Column18]])&gt;Table3[[#This Row],[Column19]],Table3[[#This Row],[Column19]],SUM(Table3[[#This Row],[Column2]:[Column18]]))</f>
        <v>50000</v>
      </c>
      <c r="BD621" s="2">
        <f>Table3[[#This Row],[Total Spend]]/SUM(Table3[[#This Row],[Column2]:[Column18]])</f>
        <v>0.77700077700077697</v>
      </c>
    </row>
    <row r="622" spans="1:56">
      <c r="A622" s="87" t="s">
        <v>696</v>
      </c>
      <c r="B622" s="87"/>
      <c r="C622" s="87"/>
      <c r="D622" s="85">
        <v>45566</v>
      </c>
      <c r="E622" s="85" t="s">
        <v>58</v>
      </c>
      <c r="F622" s="84">
        <f>INDEX(Definitions!$G$13:$G$17,MATCH(Table3[[#This Row],[Propensity to buy/ buyer readiness]],Definitions!$A$13:$A$17,0))</f>
        <v>50000</v>
      </c>
      <c r="G622" s="86">
        <v>5</v>
      </c>
      <c r="H622" s="86">
        <v>4</v>
      </c>
      <c r="I622" s="86">
        <v>2</v>
      </c>
      <c r="J622" s="86">
        <v>4</v>
      </c>
      <c r="K622" s="86">
        <v>3</v>
      </c>
      <c r="L622" s="86">
        <f>SUM(Table3[[#This Row],[Strategic priority segment]:[Propensity to buy/ buyer readiness]])</f>
        <v>18</v>
      </c>
      <c r="M622" s="86" t="s">
        <v>191</v>
      </c>
      <c r="N622" s="84" t="s">
        <v>135</v>
      </c>
      <c r="O622" s="87"/>
      <c r="P622" s="87"/>
      <c r="Q622" s="87"/>
      <c r="R622" s="84"/>
      <c r="S622" s="87"/>
      <c r="T622" s="87"/>
      <c r="U622" s="84">
        <v>0</v>
      </c>
      <c r="V622" s="84">
        <v>0</v>
      </c>
      <c r="W622" s="84">
        <v>0</v>
      </c>
      <c r="X622" s="84">
        <v>0</v>
      </c>
      <c r="Y622" s="84">
        <v>0</v>
      </c>
      <c r="Z622" s="84">
        <v>0</v>
      </c>
      <c r="AA622" s="84">
        <v>0</v>
      </c>
      <c r="AB622" s="84">
        <v>0</v>
      </c>
      <c r="AC622" s="84">
        <v>0</v>
      </c>
      <c r="AD622" s="84">
        <v>0</v>
      </c>
      <c r="AE622" s="84">
        <v>0</v>
      </c>
      <c r="AF622" s="84">
        <v>0</v>
      </c>
      <c r="AG622" s="84">
        <v>0</v>
      </c>
      <c r="AH622" s="84">
        <v>1</v>
      </c>
      <c r="AI622" s="84">
        <v>1</v>
      </c>
      <c r="AJ622" s="84">
        <v>1</v>
      </c>
      <c r="AK622" s="84">
        <v>1</v>
      </c>
      <c r="AL622" s="84" cm="1">
        <f t="array" ref="AL6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2" s="84" cm="1">
        <f t="array" ref="AM6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2" s="84" cm="1">
        <f t="array" ref="AN6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2" s="84" cm="1">
        <f t="array" ref="AO6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2" s="84" cm="1">
        <f t="array" ref="AP6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2" s="84" cm="1">
        <f t="array" ref="AQ6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2" s="84" cm="1">
        <f t="array" ref="AR6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2" s="84" cm="1">
        <f t="array" ref="AS6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2" s="84" cm="1">
        <f t="array" ref="AT6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2" s="84" cm="1">
        <f t="array" ref="AU6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2" s="84" cm="1">
        <f t="array" ref="AV6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2" s="84" cm="1">
        <f t="array" ref="AW6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2" s="84" cm="1">
        <f t="array" ref="AX6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2" s="84" cm="1">
        <f t="array" ref="AY6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22" s="84" cm="1">
        <f t="array" ref="AZ6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22" s="84" cm="1">
        <f t="array" ref="BA6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22" s="84" cm="1">
        <f t="array" ref="BB6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22" s="84">
        <f>IF(SUM(Table3[[#This Row],[Column2]:[Column18]])&gt;Table3[[#This Row],[Column19]],Table3[[#This Row],[Column19]],SUM(Table3[[#This Row],[Column2]:[Column18]]))</f>
        <v>50000</v>
      </c>
      <c r="BD622" s="2">
        <f>Table3[[#This Row],[Total Spend]]/SUM(Table3[[#This Row],[Column2]:[Column18]])</f>
        <v>0.77700077700077697</v>
      </c>
    </row>
    <row r="623" spans="1:56" ht="15.75" customHeight="1">
      <c r="A623" s="84" t="s">
        <v>697</v>
      </c>
      <c r="B623" s="84"/>
      <c r="C623" s="84"/>
      <c r="D623" s="85">
        <v>45566</v>
      </c>
      <c r="E623" s="85" t="s">
        <v>92</v>
      </c>
      <c r="F623" s="84">
        <f>INDEX(Definitions!$G$13:$G$17,MATCH(Table3[[#This Row],[Propensity to buy/ buyer readiness]],Definitions!$A$13:$A$17,0))</f>
        <v>50000</v>
      </c>
      <c r="G623" s="86">
        <v>5</v>
      </c>
      <c r="H623" s="86">
        <v>4</v>
      </c>
      <c r="I623" s="86">
        <v>3</v>
      </c>
      <c r="J623" s="86">
        <v>3</v>
      </c>
      <c r="K623" s="86">
        <v>3</v>
      </c>
      <c r="L623" s="86">
        <f>SUM(Table3[[#This Row],[Strategic priority segment]:[Propensity to buy/ buyer readiness]])</f>
        <v>18</v>
      </c>
      <c r="M623" s="86" t="s">
        <v>66</v>
      </c>
      <c r="N623" s="84" t="s">
        <v>62</v>
      </c>
      <c r="O623" s="84"/>
      <c r="P623" s="87"/>
      <c r="Q623" s="87"/>
      <c r="R623" s="84"/>
      <c r="S623" s="87"/>
      <c r="T623" s="87"/>
      <c r="U623" s="84">
        <v>1</v>
      </c>
      <c r="V623" s="84">
        <v>0</v>
      </c>
      <c r="W623" s="84">
        <v>0</v>
      </c>
      <c r="X623" s="84">
        <v>0</v>
      </c>
      <c r="Y623" s="84">
        <v>0</v>
      </c>
      <c r="Z623" s="84">
        <v>0</v>
      </c>
      <c r="AA623" s="84">
        <v>0</v>
      </c>
      <c r="AB623" s="84">
        <v>0</v>
      </c>
      <c r="AC623" s="84">
        <v>0</v>
      </c>
      <c r="AD623" s="84">
        <v>1</v>
      </c>
      <c r="AE623" s="84">
        <v>1</v>
      </c>
      <c r="AF623" s="84">
        <v>1</v>
      </c>
      <c r="AG623" s="84">
        <v>1</v>
      </c>
      <c r="AH623" s="84">
        <v>0</v>
      </c>
      <c r="AI623" s="84">
        <v>0</v>
      </c>
      <c r="AJ623" s="84">
        <v>0</v>
      </c>
      <c r="AK623" s="84">
        <v>0</v>
      </c>
      <c r="AL623" s="84" cm="1">
        <f t="array" ref="AL6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23" s="84" cm="1">
        <f t="array" ref="AM6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3" s="84" cm="1">
        <f t="array" ref="AN6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3" s="84" cm="1">
        <f t="array" ref="AO6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3" s="84" cm="1">
        <f t="array" ref="AP6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3" s="84" cm="1">
        <f t="array" ref="AQ6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3" s="84" cm="1">
        <f t="array" ref="AR6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3" s="84" cm="1">
        <f t="array" ref="AS6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3" s="84" cm="1">
        <f t="array" ref="AT6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3" s="84" cm="1">
        <f t="array" ref="AU6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23" s="84" cm="1">
        <f t="array" ref="AV6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23" s="84" cm="1">
        <f t="array" ref="AW6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23" s="84" cm="1">
        <f t="array" ref="AX6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23" s="84" cm="1">
        <f t="array" ref="AY6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23" s="84" cm="1">
        <f t="array" ref="AZ6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23" s="84" cm="1">
        <f t="array" ref="BA6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23" s="84" cm="1">
        <f t="array" ref="BB6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23" s="84">
        <f>IF(SUM(Table3[[#This Row],[Column2]:[Column18]])&gt;Table3[[#This Row],[Column19]],Table3[[#This Row],[Column19]],SUM(Table3[[#This Row],[Column2]:[Column18]]))</f>
        <v>50000</v>
      </c>
      <c r="BD623" s="2">
        <f>Table3[[#This Row],[Total Spend]]/SUM(Table3[[#This Row],[Column2]:[Column18]])</f>
        <v>0.53163211057947901</v>
      </c>
    </row>
    <row r="624" spans="1:56">
      <c r="A624" s="87" t="s">
        <v>698</v>
      </c>
      <c r="B624" s="87"/>
      <c r="C624" s="87"/>
      <c r="D624" s="85">
        <v>45566</v>
      </c>
      <c r="E624" s="85" t="s">
        <v>58</v>
      </c>
      <c r="F624" s="84">
        <f>INDEX(Definitions!$G$13:$G$17,MATCH(Table3[[#This Row],[Propensity to buy/ buyer readiness]],Definitions!$A$13:$A$17,0))</f>
        <v>50000</v>
      </c>
      <c r="G624" s="86">
        <v>5</v>
      </c>
      <c r="H624" s="86">
        <v>4</v>
      </c>
      <c r="I624" s="86">
        <v>2</v>
      </c>
      <c r="J624" s="86">
        <v>4</v>
      </c>
      <c r="K624" s="86">
        <v>3</v>
      </c>
      <c r="L624" s="86">
        <f>SUM(Table3[[#This Row],[Strategic priority segment]:[Propensity to buy/ buyer readiness]])</f>
        <v>18</v>
      </c>
      <c r="M624" s="86" t="s">
        <v>191</v>
      </c>
      <c r="N624" s="84" t="s">
        <v>135</v>
      </c>
      <c r="O624" s="87"/>
      <c r="P624" s="87"/>
      <c r="Q624" s="87"/>
      <c r="R624" s="84"/>
      <c r="S624" s="87"/>
      <c r="T624" s="87"/>
      <c r="U624" s="84">
        <v>0</v>
      </c>
      <c r="V624" s="84">
        <v>0</v>
      </c>
      <c r="W624" s="84">
        <v>0</v>
      </c>
      <c r="X624" s="84">
        <v>0</v>
      </c>
      <c r="Y624" s="84">
        <v>0</v>
      </c>
      <c r="Z624" s="84">
        <v>0</v>
      </c>
      <c r="AA624" s="84">
        <v>0</v>
      </c>
      <c r="AB624" s="84">
        <v>0</v>
      </c>
      <c r="AC624" s="84">
        <v>0</v>
      </c>
      <c r="AD624" s="84">
        <v>0</v>
      </c>
      <c r="AE624" s="84">
        <v>0</v>
      </c>
      <c r="AF624" s="84">
        <v>0</v>
      </c>
      <c r="AG624" s="84">
        <v>0</v>
      </c>
      <c r="AH624" s="84">
        <v>1</v>
      </c>
      <c r="AI624" s="84">
        <v>1</v>
      </c>
      <c r="AJ624" s="84">
        <v>1</v>
      </c>
      <c r="AK624" s="84">
        <v>1</v>
      </c>
      <c r="AL624" s="84" cm="1">
        <f t="array" ref="AL6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4" s="84" cm="1">
        <f t="array" ref="AM6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4" s="84" cm="1">
        <f t="array" ref="AN6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4" s="84" cm="1">
        <f t="array" ref="AO6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4" s="84" cm="1">
        <f t="array" ref="AP6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4" s="84" cm="1">
        <f t="array" ref="AQ6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4" s="84" cm="1">
        <f t="array" ref="AR6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4" s="84" cm="1">
        <f t="array" ref="AS6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4" s="84" cm="1">
        <f t="array" ref="AT6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4" s="84" cm="1">
        <f t="array" ref="AU6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4" s="84" cm="1">
        <f t="array" ref="AV6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4" s="84" cm="1">
        <f t="array" ref="AW6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4" s="84" cm="1">
        <f t="array" ref="AX6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4" s="84" cm="1">
        <f t="array" ref="AY6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24" s="84" cm="1">
        <f t="array" ref="AZ6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24" s="84" cm="1">
        <f t="array" ref="BA6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24" s="84" cm="1">
        <f t="array" ref="BB6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24" s="84">
        <f>IF(SUM(Table3[[#This Row],[Column2]:[Column18]])&gt;Table3[[#This Row],[Column19]],Table3[[#This Row],[Column19]],SUM(Table3[[#This Row],[Column2]:[Column18]]))</f>
        <v>50000</v>
      </c>
      <c r="BD624" s="2">
        <f>Table3[[#This Row],[Total Spend]]/SUM(Table3[[#This Row],[Column2]:[Column18]])</f>
        <v>0.77700077700077697</v>
      </c>
    </row>
    <row r="625" spans="1:56">
      <c r="A625" s="84" t="s">
        <v>699</v>
      </c>
      <c r="B625" s="84"/>
      <c r="C625" s="84"/>
      <c r="D625" s="85">
        <v>45566</v>
      </c>
      <c r="E625" s="85" t="s">
        <v>58</v>
      </c>
      <c r="F625" s="84">
        <f>INDEX(Definitions!$G$13:$G$17,MATCH(Table3[[#This Row],[Propensity to buy/ buyer readiness]],Definitions!$A$13:$A$17,0))</f>
        <v>150000</v>
      </c>
      <c r="G625" s="86">
        <v>4</v>
      </c>
      <c r="H625" s="86">
        <v>4</v>
      </c>
      <c r="I625" s="86">
        <v>3</v>
      </c>
      <c r="J625" s="86">
        <v>3</v>
      </c>
      <c r="K625" s="86">
        <v>4</v>
      </c>
      <c r="L625" s="86">
        <f>SUM(Table3[[#This Row],[Strategic priority segment]:[Propensity to buy/ buyer readiness]])</f>
        <v>18</v>
      </c>
      <c r="M625" s="86" t="s">
        <v>152</v>
      </c>
      <c r="N625" s="84" t="s">
        <v>122</v>
      </c>
      <c r="O625" s="84"/>
      <c r="P625" s="87"/>
      <c r="Q625" s="87"/>
      <c r="R625" s="84"/>
      <c r="S625" s="87"/>
      <c r="T625" s="87"/>
      <c r="U625" s="84">
        <v>1</v>
      </c>
      <c r="V625" s="84">
        <v>0</v>
      </c>
      <c r="W625" s="84">
        <v>0</v>
      </c>
      <c r="X625" s="84">
        <v>0</v>
      </c>
      <c r="Y625" s="84">
        <v>0</v>
      </c>
      <c r="Z625" s="84">
        <v>1</v>
      </c>
      <c r="AA625" s="84">
        <v>0</v>
      </c>
      <c r="AB625" s="84">
        <v>1</v>
      </c>
      <c r="AC625" s="84">
        <v>0</v>
      </c>
      <c r="AD625" s="84">
        <v>1</v>
      </c>
      <c r="AE625" s="84">
        <v>0</v>
      </c>
      <c r="AF625" s="84">
        <v>1</v>
      </c>
      <c r="AG625" s="84">
        <v>0</v>
      </c>
      <c r="AH625" s="84">
        <v>0</v>
      </c>
      <c r="AI625" s="84">
        <v>0</v>
      </c>
      <c r="AJ625" s="84">
        <v>0</v>
      </c>
      <c r="AK625" s="84">
        <v>0</v>
      </c>
      <c r="AL625" s="84" cm="1">
        <f t="array" ref="AL6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25" s="84" cm="1">
        <f t="array" ref="AM6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5" s="84" cm="1">
        <f t="array" ref="AN6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5" s="84" cm="1">
        <f t="array" ref="AO6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5" s="84" cm="1">
        <f t="array" ref="AP6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5" s="84" cm="1">
        <f t="array" ref="AQ6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25" s="84" cm="1">
        <f t="array" ref="AR6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5" s="84" cm="1">
        <f t="array" ref="AS6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25" s="84" cm="1">
        <f t="array" ref="AT6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5" s="84" cm="1">
        <f t="array" ref="AU6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25" s="84" cm="1">
        <f t="array" ref="AV6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5" s="84" cm="1">
        <f t="array" ref="AW6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25" s="84" cm="1">
        <f t="array" ref="AX6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5" s="84" cm="1">
        <f t="array" ref="AY6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25" s="84" cm="1">
        <f t="array" ref="AZ6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25" s="84" cm="1">
        <f t="array" ref="BA6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25" s="84" cm="1">
        <f t="array" ref="BB6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25" s="84">
        <f>IF(SUM(Table3[[#This Row],[Column2]:[Column18]])&gt;Table3[[#This Row],[Column19]],Table3[[#This Row],[Column19]],SUM(Table3[[#This Row],[Column2]:[Column18]]))</f>
        <v>150000</v>
      </c>
      <c r="BD625" s="2">
        <f>Table3[[#This Row],[Total Spend]]/SUM(Table3[[#This Row],[Column2]:[Column18]])</f>
        <v>0.89605734767025091</v>
      </c>
    </row>
    <row r="626" spans="1:56">
      <c r="A626" s="84" t="s">
        <v>700</v>
      </c>
      <c r="B626" s="84"/>
      <c r="C626" s="84"/>
      <c r="D626" s="85">
        <v>45566</v>
      </c>
      <c r="E626" s="85" t="s">
        <v>58</v>
      </c>
      <c r="F626" s="84">
        <f>INDEX(Definitions!$G$13:$G$17,MATCH(Table3[[#This Row],[Propensity to buy/ buyer readiness]],Definitions!$A$13:$A$17,0))</f>
        <v>150000</v>
      </c>
      <c r="G626" s="86">
        <v>4</v>
      </c>
      <c r="H626" s="86">
        <v>4</v>
      </c>
      <c r="I626" s="86">
        <v>3</v>
      </c>
      <c r="J626" s="86">
        <v>3</v>
      </c>
      <c r="K626" s="86">
        <v>4</v>
      </c>
      <c r="L626" s="86">
        <f>SUM(Table3[[#This Row],[Strategic priority segment]:[Propensity to buy/ buyer readiness]])</f>
        <v>18</v>
      </c>
      <c r="M626" s="86" t="s">
        <v>152</v>
      </c>
      <c r="N626" s="84" t="s">
        <v>122</v>
      </c>
      <c r="O626" s="84"/>
      <c r="P626" s="87"/>
      <c r="Q626" s="87"/>
      <c r="R626" s="84"/>
      <c r="S626" s="87"/>
      <c r="T626" s="87"/>
      <c r="U626" s="84">
        <v>1</v>
      </c>
      <c r="V626" s="84">
        <v>0</v>
      </c>
      <c r="W626" s="84">
        <v>0</v>
      </c>
      <c r="X626" s="84">
        <v>0</v>
      </c>
      <c r="Y626" s="84">
        <v>0</v>
      </c>
      <c r="Z626" s="84">
        <v>1</v>
      </c>
      <c r="AA626" s="84">
        <v>0</v>
      </c>
      <c r="AB626" s="84">
        <v>1</v>
      </c>
      <c r="AC626" s="84">
        <v>0</v>
      </c>
      <c r="AD626" s="84">
        <v>1</v>
      </c>
      <c r="AE626" s="84">
        <v>0</v>
      </c>
      <c r="AF626" s="84">
        <v>1</v>
      </c>
      <c r="AG626" s="84">
        <v>0</v>
      </c>
      <c r="AH626" s="84">
        <v>0</v>
      </c>
      <c r="AI626" s="84">
        <v>0</v>
      </c>
      <c r="AJ626" s="84">
        <v>0</v>
      </c>
      <c r="AK626" s="84">
        <v>0</v>
      </c>
      <c r="AL626" s="84" cm="1">
        <f t="array" ref="AL6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26" s="84" cm="1">
        <f t="array" ref="AM6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6" s="84" cm="1">
        <f t="array" ref="AN6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6" s="84" cm="1">
        <f t="array" ref="AO6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6" s="84" cm="1">
        <f t="array" ref="AP6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6" s="84" cm="1">
        <f t="array" ref="AQ6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26" s="84" cm="1">
        <f t="array" ref="AR6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6" s="84" cm="1">
        <f t="array" ref="AS6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26" s="84" cm="1">
        <f t="array" ref="AT6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6" s="84" cm="1">
        <f t="array" ref="AU6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26" s="84" cm="1">
        <f t="array" ref="AV6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6" s="84" cm="1">
        <f t="array" ref="AW6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26" s="84" cm="1">
        <f t="array" ref="AX6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6" s="84" cm="1">
        <f t="array" ref="AY6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26" s="84" cm="1">
        <f t="array" ref="AZ6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26" s="84" cm="1">
        <f t="array" ref="BA6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26" s="84" cm="1">
        <f t="array" ref="BB6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26" s="84">
        <f>IF(SUM(Table3[[#This Row],[Column2]:[Column18]])&gt;Table3[[#This Row],[Column19]],Table3[[#This Row],[Column19]],SUM(Table3[[#This Row],[Column2]:[Column18]]))</f>
        <v>150000</v>
      </c>
      <c r="BD626" s="2">
        <f>Table3[[#This Row],[Total Spend]]/SUM(Table3[[#This Row],[Column2]:[Column18]])</f>
        <v>0.89605734767025091</v>
      </c>
    </row>
    <row r="627" spans="1:56">
      <c r="A627" s="84" t="s">
        <v>701</v>
      </c>
      <c r="B627" s="84" t="s">
        <v>57</v>
      </c>
      <c r="C627" s="84"/>
      <c r="D627" s="85">
        <v>45566</v>
      </c>
      <c r="E627" s="85" t="s">
        <v>92</v>
      </c>
      <c r="F627" s="84">
        <f>INDEX(Definitions!$G$13:$G$17,MATCH(Table3[[#This Row],[Propensity to buy/ buyer readiness]],Definitions!$A$13:$A$17,0))</f>
        <v>50000</v>
      </c>
      <c r="G627" s="86">
        <v>3</v>
      </c>
      <c r="H627" s="86">
        <v>4</v>
      </c>
      <c r="I627" s="86">
        <v>4</v>
      </c>
      <c r="J627" s="86">
        <v>4</v>
      </c>
      <c r="K627" s="86">
        <v>3</v>
      </c>
      <c r="L627" s="86">
        <f>SUM(Table3[[#This Row],[Strategic priority segment]:[Propensity to buy/ buyer readiness]])</f>
        <v>18</v>
      </c>
      <c r="M627" s="86" t="s">
        <v>191</v>
      </c>
      <c r="N627" s="84" t="s">
        <v>76</v>
      </c>
      <c r="O627" s="84"/>
      <c r="P627" s="87"/>
      <c r="Q627" s="87"/>
      <c r="R627" s="84"/>
      <c r="S627" s="87"/>
      <c r="T627" s="87"/>
      <c r="U627" s="84">
        <v>0</v>
      </c>
      <c r="V627" s="84">
        <v>0</v>
      </c>
      <c r="W627" s="84">
        <v>0</v>
      </c>
      <c r="X627" s="84">
        <v>0</v>
      </c>
      <c r="Y627" s="84">
        <v>0</v>
      </c>
      <c r="Z627" s="84">
        <v>0</v>
      </c>
      <c r="AA627" s="84">
        <v>0</v>
      </c>
      <c r="AB627" s="84">
        <v>0</v>
      </c>
      <c r="AC627" s="84">
        <v>0</v>
      </c>
      <c r="AD627" s="84">
        <v>0</v>
      </c>
      <c r="AE627" s="84">
        <v>0</v>
      </c>
      <c r="AF627" s="84">
        <v>0</v>
      </c>
      <c r="AG627" s="84">
        <v>0</v>
      </c>
      <c r="AH627" s="84">
        <v>1</v>
      </c>
      <c r="AI627" s="84">
        <v>0</v>
      </c>
      <c r="AJ627" s="84">
        <v>1</v>
      </c>
      <c r="AK627" s="84">
        <v>0</v>
      </c>
      <c r="AL627" s="84" cm="1">
        <f t="array" ref="AL6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7" s="84" cm="1">
        <f t="array" ref="AM6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7" s="84" cm="1">
        <f t="array" ref="AN6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7" s="84" cm="1">
        <f t="array" ref="AO6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7" s="84" cm="1">
        <f t="array" ref="AP6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7" s="84" cm="1">
        <f t="array" ref="AQ6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7" s="84" cm="1">
        <f t="array" ref="AR6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7" s="84" cm="1">
        <f t="array" ref="AS6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7" s="84" cm="1">
        <f t="array" ref="AT6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7" s="84" cm="1">
        <f t="array" ref="AU6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7" s="84" cm="1">
        <f t="array" ref="AV6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7" s="84" cm="1">
        <f t="array" ref="AW6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7" s="84" cm="1">
        <f t="array" ref="AX6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7" s="84" cm="1">
        <f t="array" ref="AY6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627" s="84" cm="1">
        <f t="array" ref="AZ6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27" s="84" cm="1">
        <f t="array" ref="BA6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627" s="84" cm="1">
        <f t="array" ref="BB6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27" s="84">
        <f>IF(SUM(Table3[[#This Row],[Column2]:[Column18]])&gt;Table3[[#This Row],[Column19]],Table3[[#This Row],[Column19]],SUM(Table3[[#This Row],[Column2]:[Column18]]))</f>
        <v>30600</v>
      </c>
      <c r="BD627" s="2">
        <f>Table3[[#This Row],[Total Spend]]/SUM(Table3[[#This Row],[Column2]:[Column18]])</f>
        <v>1</v>
      </c>
    </row>
    <row r="628" spans="1:56" ht="16.5" customHeight="1">
      <c r="A628" s="87" t="s">
        <v>702</v>
      </c>
      <c r="B628" s="87"/>
      <c r="C628" s="87"/>
      <c r="D628" s="85">
        <v>45566</v>
      </c>
      <c r="E628" s="85" t="s">
        <v>58</v>
      </c>
      <c r="F628" s="84">
        <f>INDEX(Definitions!$G$13:$G$17,MATCH(Table3[[#This Row],[Propensity to buy/ buyer readiness]],Definitions!$A$13:$A$17,0))</f>
        <v>50000</v>
      </c>
      <c r="G628" s="86">
        <v>5</v>
      </c>
      <c r="H628" s="86">
        <v>4</v>
      </c>
      <c r="I628" s="86">
        <v>2</v>
      </c>
      <c r="J628" s="86">
        <v>4</v>
      </c>
      <c r="K628" s="86">
        <v>3</v>
      </c>
      <c r="L628" s="86">
        <f>SUM(Table3[[#This Row],[Strategic priority segment]:[Propensity to buy/ buyer readiness]])</f>
        <v>18</v>
      </c>
      <c r="M628" s="86" t="s">
        <v>191</v>
      </c>
      <c r="N628" s="84" t="s">
        <v>135</v>
      </c>
      <c r="O628" s="87"/>
      <c r="P628" s="87"/>
      <c r="Q628" s="87"/>
      <c r="R628" s="84"/>
      <c r="S628" s="87"/>
      <c r="T628" s="87"/>
      <c r="U628" s="84">
        <v>0</v>
      </c>
      <c r="V628" s="84">
        <v>0</v>
      </c>
      <c r="W628" s="84">
        <v>0</v>
      </c>
      <c r="X628" s="84">
        <v>0</v>
      </c>
      <c r="Y628" s="84">
        <v>0</v>
      </c>
      <c r="Z628" s="84">
        <v>0</v>
      </c>
      <c r="AA628" s="84">
        <v>0</v>
      </c>
      <c r="AB628" s="84">
        <v>0</v>
      </c>
      <c r="AC628" s="84">
        <v>0</v>
      </c>
      <c r="AD628" s="84">
        <v>0</v>
      </c>
      <c r="AE628" s="84">
        <v>0</v>
      </c>
      <c r="AF628" s="84">
        <v>0</v>
      </c>
      <c r="AG628" s="84">
        <v>0</v>
      </c>
      <c r="AH628" s="84">
        <v>1</v>
      </c>
      <c r="AI628" s="84">
        <v>1</v>
      </c>
      <c r="AJ628" s="84">
        <v>1</v>
      </c>
      <c r="AK628" s="84">
        <v>1</v>
      </c>
      <c r="AL628" s="84" cm="1">
        <f t="array" ref="AL6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8" s="84" cm="1">
        <f t="array" ref="AM6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8" s="84" cm="1">
        <f t="array" ref="AN6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8" s="84" cm="1">
        <f t="array" ref="AO6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8" s="84" cm="1">
        <f t="array" ref="AP6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8" s="84" cm="1">
        <f t="array" ref="AQ6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8" s="84" cm="1">
        <f t="array" ref="AR6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8" s="84" cm="1">
        <f t="array" ref="AS6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8" s="84" cm="1">
        <f t="array" ref="AT6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8" s="84" cm="1">
        <f t="array" ref="AU6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8" s="84" cm="1">
        <f t="array" ref="AV6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8" s="84" cm="1">
        <f t="array" ref="AW6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8" s="84" cm="1">
        <f t="array" ref="AX6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8" s="84" cm="1">
        <f t="array" ref="AY6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28" s="84" cm="1">
        <f t="array" ref="AZ6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28" s="84" cm="1">
        <f t="array" ref="BA6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28" s="84" cm="1">
        <f t="array" ref="BB6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28" s="84">
        <f>IF(SUM(Table3[[#This Row],[Column2]:[Column18]])&gt;Table3[[#This Row],[Column19]],Table3[[#This Row],[Column19]],SUM(Table3[[#This Row],[Column2]:[Column18]]))</f>
        <v>50000</v>
      </c>
      <c r="BD628" s="2">
        <f>Table3[[#This Row],[Total Spend]]/SUM(Table3[[#This Row],[Column2]:[Column18]])</f>
        <v>0.77700077700077697</v>
      </c>
    </row>
    <row r="629" spans="1:56">
      <c r="A629" s="87" t="s">
        <v>703</v>
      </c>
      <c r="B629" s="87"/>
      <c r="C629" s="87"/>
      <c r="D629" s="85">
        <v>45566</v>
      </c>
      <c r="E629" s="85" t="s">
        <v>58</v>
      </c>
      <c r="F629" s="84">
        <f>INDEX(Definitions!$G$13:$G$17,MATCH(Table3[[#This Row],[Propensity to buy/ buyer readiness]],Definitions!$A$13:$A$17,0))</f>
        <v>50000</v>
      </c>
      <c r="G629" s="86">
        <v>5</v>
      </c>
      <c r="H629" s="86">
        <v>4</v>
      </c>
      <c r="I629" s="86">
        <v>2</v>
      </c>
      <c r="J629" s="86">
        <v>4</v>
      </c>
      <c r="K629" s="86">
        <v>3</v>
      </c>
      <c r="L629" s="86">
        <f>SUM(Table3[[#This Row],[Strategic priority segment]:[Propensity to buy/ buyer readiness]])</f>
        <v>18</v>
      </c>
      <c r="M629" s="86" t="s">
        <v>191</v>
      </c>
      <c r="N629" s="84" t="s">
        <v>135</v>
      </c>
      <c r="O629" s="87"/>
      <c r="P629" s="87"/>
      <c r="Q629" s="87"/>
      <c r="R629" s="84"/>
      <c r="S629" s="87"/>
      <c r="T629" s="87"/>
      <c r="U629" s="84">
        <v>0</v>
      </c>
      <c r="V629" s="84">
        <v>0</v>
      </c>
      <c r="W629" s="84">
        <v>0</v>
      </c>
      <c r="X629" s="84">
        <v>0</v>
      </c>
      <c r="Y629" s="84">
        <v>0</v>
      </c>
      <c r="Z629" s="84">
        <v>0</v>
      </c>
      <c r="AA629" s="84">
        <v>0</v>
      </c>
      <c r="AB629" s="84">
        <v>0</v>
      </c>
      <c r="AC629" s="84">
        <v>0</v>
      </c>
      <c r="AD629" s="84">
        <v>0</v>
      </c>
      <c r="AE629" s="84">
        <v>0</v>
      </c>
      <c r="AF629" s="84">
        <v>0</v>
      </c>
      <c r="AG629" s="84">
        <v>0</v>
      </c>
      <c r="AH629" s="84">
        <v>1</v>
      </c>
      <c r="AI629" s="84">
        <v>1</v>
      </c>
      <c r="AJ629" s="84">
        <v>1</v>
      </c>
      <c r="AK629" s="84">
        <v>1</v>
      </c>
      <c r="AL629" s="84" cm="1">
        <f t="array" ref="AL6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29" s="84" cm="1">
        <f t="array" ref="AM6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29" s="84" cm="1">
        <f t="array" ref="AN6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29" s="84" cm="1">
        <f t="array" ref="AO6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29" s="84" cm="1">
        <f t="array" ref="AP6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29" s="84" cm="1">
        <f t="array" ref="AQ6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29" s="84" cm="1">
        <f t="array" ref="AR6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29" s="84" cm="1">
        <f t="array" ref="AS6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29" s="84" cm="1">
        <f t="array" ref="AT6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29" s="84" cm="1">
        <f t="array" ref="AU6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29" s="84" cm="1">
        <f t="array" ref="AV6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29" s="84" cm="1">
        <f t="array" ref="AW6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29" s="84" cm="1">
        <f t="array" ref="AX6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29" s="84" cm="1">
        <f t="array" ref="AY6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29" s="84" cm="1">
        <f t="array" ref="AZ6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29" s="84" cm="1">
        <f t="array" ref="BA6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29" s="84" cm="1">
        <f t="array" ref="BB6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29" s="84">
        <f>IF(SUM(Table3[[#This Row],[Column2]:[Column18]])&gt;Table3[[#This Row],[Column19]],Table3[[#This Row],[Column19]],SUM(Table3[[#This Row],[Column2]:[Column18]]))</f>
        <v>50000</v>
      </c>
      <c r="BD629" s="2">
        <f>Table3[[#This Row],[Total Spend]]/SUM(Table3[[#This Row],[Column2]:[Column18]])</f>
        <v>0.77700077700077697</v>
      </c>
    </row>
    <row r="630" spans="1:56">
      <c r="A630" s="87" t="s">
        <v>704</v>
      </c>
      <c r="B630" s="87"/>
      <c r="C630" s="87"/>
      <c r="D630" s="85">
        <v>45566</v>
      </c>
      <c r="E630" s="85" t="s">
        <v>58</v>
      </c>
      <c r="F630" s="84">
        <f>INDEX(Definitions!$G$13:$G$17,MATCH(Table3[[#This Row],[Propensity to buy/ buyer readiness]],Definitions!$A$13:$A$17,0))</f>
        <v>50000</v>
      </c>
      <c r="G630" s="86">
        <v>5</v>
      </c>
      <c r="H630" s="86">
        <v>4</v>
      </c>
      <c r="I630" s="86">
        <v>2</v>
      </c>
      <c r="J630" s="86">
        <v>4</v>
      </c>
      <c r="K630" s="86">
        <v>3</v>
      </c>
      <c r="L630" s="86">
        <f>SUM(Table3[[#This Row],[Strategic priority segment]:[Propensity to buy/ buyer readiness]])</f>
        <v>18</v>
      </c>
      <c r="M630" s="86" t="s">
        <v>191</v>
      </c>
      <c r="N630" s="84" t="s">
        <v>135</v>
      </c>
      <c r="O630" s="87"/>
      <c r="P630" s="87"/>
      <c r="Q630" s="87"/>
      <c r="R630" s="84"/>
      <c r="S630" s="87"/>
      <c r="T630" s="87"/>
      <c r="U630" s="84">
        <v>0</v>
      </c>
      <c r="V630" s="84">
        <v>0</v>
      </c>
      <c r="W630" s="84">
        <v>0</v>
      </c>
      <c r="X630" s="84">
        <v>0</v>
      </c>
      <c r="Y630" s="84">
        <v>0</v>
      </c>
      <c r="Z630" s="84">
        <v>0</v>
      </c>
      <c r="AA630" s="84">
        <v>0</v>
      </c>
      <c r="AB630" s="84">
        <v>0</v>
      </c>
      <c r="AC630" s="84">
        <v>0</v>
      </c>
      <c r="AD630" s="84">
        <v>0</v>
      </c>
      <c r="AE630" s="84">
        <v>0</v>
      </c>
      <c r="AF630" s="84">
        <v>0</v>
      </c>
      <c r="AG630" s="84">
        <v>0</v>
      </c>
      <c r="AH630" s="84">
        <v>1</v>
      </c>
      <c r="AI630" s="84">
        <v>1</v>
      </c>
      <c r="AJ630" s="84">
        <v>1</v>
      </c>
      <c r="AK630" s="84">
        <v>1</v>
      </c>
      <c r="AL630" s="84" cm="1">
        <f t="array" ref="AL6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0" s="84" cm="1">
        <f t="array" ref="AM6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0" s="84" cm="1">
        <f t="array" ref="AN6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0" s="84" cm="1">
        <f t="array" ref="AO6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0" s="84" cm="1">
        <f t="array" ref="AP6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0" s="84" cm="1">
        <f t="array" ref="AQ6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0" s="84" cm="1">
        <f t="array" ref="AR6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0" s="84" cm="1">
        <f t="array" ref="AS6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0" s="84" cm="1">
        <f t="array" ref="AT6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0" s="84" cm="1">
        <f t="array" ref="AU6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0" s="84" cm="1">
        <f t="array" ref="AV6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0" s="84" cm="1">
        <f t="array" ref="AW6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0" s="84" cm="1">
        <f t="array" ref="AX6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0" s="84" cm="1">
        <f t="array" ref="AY6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0" s="84" cm="1">
        <f t="array" ref="AZ6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0" s="84" cm="1">
        <f t="array" ref="BA6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0" s="84" cm="1">
        <f t="array" ref="BB6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0" s="84">
        <f>IF(SUM(Table3[[#This Row],[Column2]:[Column18]])&gt;Table3[[#This Row],[Column19]],Table3[[#This Row],[Column19]],SUM(Table3[[#This Row],[Column2]:[Column18]]))</f>
        <v>50000</v>
      </c>
      <c r="BD630" s="2">
        <f>Table3[[#This Row],[Total Spend]]/SUM(Table3[[#This Row],[Column2]:[Column18]])</f>
        <v>0.77700077700077697</v>
      </c>
    </row>
    <row r="631" spans="1:56" ht="20.100000000000001" customHeight="1">
      <c r="A631" s="87" t="s">
        <v>705</v>
      </c>
      <c r="B631" s="87"/>
      <c r="C631" s="87"/>
      <c r="D631" s="85">
        <v>45566</v>
      </c>
      <c r="E631" s="85" t="s">
        <v>58</v>
      </c>
      <c r="F631" s="84">
        <f>INDEX(Definitions!$G$13:$G$17,MATCH(Table3[[#This Row],[Propensity to buy/ buyer readiness]],Definitions!$A$13:$A$17,0))</f>
        <v>50000</v>
      </c>
      <c r="G631" s="86">
        <v>5</v>
      </c>
      <c r="H631" s="86">
        <v>4</v>
      </c>
      <c r="I631" s="86">
        <v>2</v>
      </c>
      <c r="J631" s="86">
        <v>4</v>
      </c>
      <c r="K631" s="86">
        <v>3</v>
      </c>
      <c r="L631" s="86">
        <f>SUM(Table3[[#This Row],[Strategic priority segment]:[Propensity to buy/ buyer readiness]])</f>
        <v>18</v>
      </c>
      <c r="M631" s="86" t="s">
        <v>191</v>
      </c>
      <c r="N631" s="84" t="s">
        <v>135</v>
      </c>
      <c r="O631" s="87"/>
      <c r="P631" s="87"/>
      <c r="Q631" s="87"/>
      <c r="R631" s="84"/>
      <c r="S631" s="87"/>
      <c r="T631" s="87"/>
      <c r="U631" s="84">
        <v>0</v>
      </c>
      <c r="V631" s="84">
        <v>0</v>
      </c>
      <c r="W631" s="84">
        <v>0</v>
      </c>
      <c r="X631" s="84">
        <v>0</v>
      </c>
      <c r="Y631" s="84">
        <v>0</v>
      </c>
      <c r="Z631" s="84">
        <v>0</v>
      </c>
      <c r="AA631" s="84">
        <v>0</v>
      </c>
      <c r="AB631" s="84">
        <v>0</v>
      </c>
      <c r="AC631" s="84">
        <v>0</v>
      </c>
      <c r="AD631" s="84">
        <v>0</v>
      </c>
      <c r="AE631" s="84">
        <v>0</v>
      </c>
      <c r="AF631" s="84">
        <v>0</v>
      </c>
      <c r="AG631" s="84">
        <v>0</v>
      </c>
      <c r="AH631" s="84">
        <v>1</v>
      </c>
      <c r="AI631" s="84">
        <v>1</v>
      </c>
      <c r="AJ631" s="84">
        <v>1</v>
      </c>
      <c r="AK631" s="84">
        <v>1</v>
      </c>
      <c r="AL631" s="84" cm="1">
        <f t="array" ref="AL6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1" s="84" cm="1">
        <f t="array" ref="AM6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1" s="84" cm="1">
        <f t="array" ref="AN6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1" s="84" cm="1">
        <f t="array" ref="AO6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1" s="84" cm="1">
        <f t="array" ref="AP6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1" s="84" cm="1">
        <f t="array" ref="AQ6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1" s="84" cm="1">
        <f t="array" ref="AR6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1" s="84" cm="1">
        <f t="array" ref="AS6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1" s="84" cm="1">
        <f t="array" ref="AT6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1" s="84" cm="1">
        <f t="array" ref="AU6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1" s="84" cm="1">
        <f t="array" ref="AV6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1" s="84" cm="1">
        <f t="array" ref="AW6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1" s="84" cm="1">
        <f t="array" ref="AX6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1" s="84" cm="1">
        <f t="array" ref="AY6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1" s="84" cm="1">
        <f t="array" ref="AZ6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1" s="84" cm="1">
        <f t="array" ref="BA6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1" s="84" cm="1">
        <f t="array" ref="BB6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1" s="84">
        <f>IF(SUM(Table3[[#This Row],[Column2]:[Column18]])&gt;Table3[[#This Row],[Column19]],Table3[[#This Row],[Column19]],SUM(Table3[[#This Row],[Column2]:[Column18]]))</f>
        <v>50000</v>
      </c>
      <c r="BD631" s="2">
        <f>Table3[[#This Row],[Total Spend]]/SUM(Table3[[#This Row],[Column2]:[Column18]])</f>
        <v>0.77700077700077697</v>
      </c>
    </row>
    <row r="632" spans="1:56">
      <c r="A632" s="84" t="s">
        <v>706</v>
      </c>
      <c r="B632" s="84" t="s">
        <v>57</v>
      </c>
      <c r="C632" s="84"/>
      <c r="D632" s="85">
        <v>45566</v>
      </c>
      <c r="E632" s="85" t="s">
        <v>92</v>
      </c>
      <c r="F632" s="84">
        <f>INDEX(Definitions!$G$13:$G$17,MATCH(Table3[[#This Row],[Propensity to buy/ buyer readiness]],Definitions!$A$13:$A$17,0))</f>
        <v>50000</v>
      </c>
      <c r="G632" s="86">
        <v>5</v>
      </c>
      <c r="H632" s="86">
        <v>4</v>
      </c>
      <c r="I632" s="86">
        <v>3</v>
      </c>
      <c r="J632" s="86">
        <v>3</v>
      </c>
      <c r="K632" s="86">
        <v>3</v>
      </c>
      <c r="L632" s="86">
        <f>SUM(Table3[[#This Row],[Strategic priority segment]:[Propensity to buy/ buyer readiness]])</f>
        <v>18</v>
      </c>
      <c r="M632" s="86" t="s">
        <v>66</v>
      </c>
      <c r="N632" s="84" t="s">
        <v>62</v>
      </c>
      <c r="O632" s="84"/>
      <c r="P632" s="87"/>
      <c r="Q632" s="87"/>
      <c r="R632" s="84"/>
      <c r="S632" s="87"/>
      <c r="T632" s="87"/>
      <c r="U632" s="84">
        <v>1</v>
      </c>
      <c r="V632" s="84">
        <v>0</v>
      </c>
      <c r="W632" s="84">
        <v>0</v>
      </c>
      <c r="X632" s="84">
        <v>0</v>
      </c>
      <c r="Y632" s="84">
        <v>0</v>
      </c>
      <c r="Z632" s="84">
        <v>0</v>
      </c>
      <c r="AA632" s="84">
        <v>0</v>
      </c>
      <c r="AB632" s="84">
        <v>0</v>
      </c>
      <c r="AC632" s="84">
        <v>0</v>
      </c>
      <c r="AD632" s="84">
        <v>1</v>
      </c>
      <c r="AE632" s="84">
        <v>1</v>
      </c>
      <c r="AF632" s="84">
        <v>1</v>
      </c>
      <c r="AG632" s="84">
        <v>1</v>
      </c>
      <c r="AH632" s="84">
        <v>0</v>
      </c>
      <c r="AI632" s="84">
        <v>0</v>
      </c>
      <c r="AJ632" s="84">
        <v>0</v>
      </c>
      <c r="AK632" s="84">
        <v>0</v>
      </c>
      <c r="AL632" s="84" cm="1">
        <f t="array" ref="AL6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32" s="84" cm="1">
        <f t="array" ref="AM6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2" s="84" cm="1">
        <f t="array" ref="AN6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2" s="84" cm="1">
        <f t="array" ref="AO6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2" s="84" cm="1">
        <f t="array" ref="AP6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2" s="84" cm="1">
        <f t="array" ref="AQ6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2" s="84" cm="1">
        <f t="array" ref="AR6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2" s="84" cm="1">
        <f t="array" ref="AS6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2" s="84" cm="1">
        <f t="array" ref="AT6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2" s="84" cm="1">
        <f t="array" ref="AU6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32" s="84" cm="1">
        <f t="array" ref="AV6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32" s="84" cm="1">
        <f t="array" ref="AW6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32" s="84" cm="1">
        <f t="array" ref="AX6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32" s="84" cm="1">
        <f t="array" ref="AY6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32" s="84" cm="1">
        <f t="array" ref="AZ6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32" s="84" cm="1">
        <f t="array" ref="BA6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32" s="84" cm="1">
        <f t="array" ref="BB6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32" s="84">
        <f>IF(SUM(Table3[[#This Row],[Column2]:[Column18]])&gt;Table3[[#This Row],[Column19]],Table3[[#This Row],[Column19]],SUM(Table3[[#This Row],[Column2]:[Column18]]))</f>
        <v>50000</v>
      </c>
      <c r="BD632" s="2">
        <f>Table3[[#This Row],[Total Spend]]/SUM(Table3[[#This Row],[Column2]:[Column18]])</f>
        <v>0.53163211057947901</v>
      </c>
    </row>
    <row r="633" spans="1:56" ht="28.5">
      <c r="A633" s="84" t="s">
        <v>707</v>
      </c>
      <c r="B633" s="84"/>
      <c r="C633" s="84"/>
      <c r="D633" s="85">
        <v>45566</v>
      </c>
      <c r="E633" s="85" t="s">
        <v>92</v>
      </c>
      <c r="F633" s="84">
        <f>INDEX(Definitions!$G$13:$G$17,MATCH(Table3[[#This Row],[Propensity to buy/ buyer readiness]],Definitions!$A$13:$A$17,0))</f>
        <v>50000</v>
      </c>
      <c r="G633" s="86">
        <v>5</v>
      </c>
      <c r="H633" s="86">
        <v>4</v>
      </c>
      <c r="I633" s="86">
        <v>3</v>
      </c>
      <c r="J633" s="86">
        <v>3</v>
      </c>
      <c r="K633" s="86">
        <v>3</v>
      </c>
      <c r="L633" s="86">
        <f>SUM(Table3[[#This Row],[Strategic priority segment]:[Propensity to buy/ buyer readiness]])</f>
        <v>18</v>
      </c>
      <c r="M633" s="86" t="s">
        <v>66</v>
      </c>
      <c r="N633" s="84" t="s">
        <v>62</v>
      </c>
      <c r="O633" s="87" t="s">
        <v>61</v>
      </c>
      <c r="P633" s="87"/>
      <c r="Q633" s="87"/>
      <c r="R633" s="87"/>
      <c r="S633" s="87"/>
      <c r="T633" s="87"/>
      <c r="U633" s="84">
        <v>1</v>
      </c>
      <c r="V633" s="84">
        <v>0</v>
      </c>
      <c r="W633" s="84">
        <v>0</v>
      </c>
      <c r="X633" s="84">
        <v>0</v>
      </c>
      <c r="Y633" s="84">
        <v>0</v>
      </c>
      <c r="Z633" s="84">
        <v>1</v>
      </c>
      <c r="AA633" s="84">
        <v>1</v>
      </c>
      <c r="AB633" s="84">
        <v>1</v>
      </c>
      <c r="AC633" s="84">
        <v>1</v>
      </c>
      <c r="AD633" s="84">
        <v>1</v>
      </c>
      <c r="AE633" s="84">
        <v>1</v>
      </c>
      <c r="AF633" s="84">
        <v>1</v>
      </c>
      <c r="AG633" s="84">
        <v>1</v>
      </c>
      <c r="AH633" s="84">
        <v>0</v>
      </c>
      <c r="AI633" s="84">
        <v>0</v>
      </c>
      <c r="AJ633" s="84">
        <v>0</v>
      </c>
      <c r="AK633" s="84">
        <v>0</v>
      </c>
      <c r="AL633" s="84" cm="1">
        <f t="array" ref="AL6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33" s="84" cm="1">
        <f t="array" ref="AM6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3" s="84" cm="1">
        <f t="array" ref="AN6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3" s="84" cm="1">
        <f t="array" ref="AO6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3" s="84" cm="1">
        <f t="array" ref="AP6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3" s="84" cm="1">
        <f t="array" ref="AQ6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633" s="84" cm="1">
        <f t="array" ref="AR6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33" s="84" cm="1">
        <f t="array" ref="AS6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633" s="84" cm="1">
        <f t="array" ref="AT6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633" s="84" cm="1">
        <f t="array" ref="AU6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33" s="84" cm="1">
        <f t="array" ref="AV6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33" s="84" cm="1">
        <f t="array" ref="AW6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33" s="84" cm="1">
        <f t="array" ref="AX6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33" s="84" cm="1">
        <f t="array" ref="AY6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33" s="84" cm="1">
        <f t="array" ref="AZ6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33" s="84" cm="1">
        <f t="array" ref="BA6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33" s="84" cm="1">
        <f t="array" ref="BB6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33" s="84">
        <f>IF(SUM(Table3[[#This Row],[Column2]:[Column18]])&gt;Table3[[#This Row],[Column19]],Table3[[#This Row],[Column19]],SUM(Table3[[#This Row],[Column2]:[Column18]]))</f>
        <v>50000</v>
      </c>
      <c r="BD633" s="2">
        <f>Table3[[#This Row],[Total Spend]]/SUM(Table3[[#This Row],[Column2]:[Column18]])</f>
        <v>0.2664535038635758</v>
      </c>
    </row>
    <row r="634" spans="1:56" ht="28.5">
      <c r="A634" s="87" t="s">
        <v>708</v>
      </c>
      <c r="B634" s="87"/>
      <c r="C634" s="87"/>
      <c r="D634" s="85">
        <v>45566</v>
      </c>
      <c r="E634" s="85" t="s">
        <v>58</v>
      </c>
      <c r="F634" s="84">
        <f>INDEX(Definitions!$G$13:$G$17,MATCH(Table3[[#This Row],[Propensity to buy/ buyer readiness]],Definitions!$A$13:$A$17,0))</f>
        <v>50000</v>
      </c>
      <c r="G634" s="86">
        <v>5</v>
      </c>
      <c r="H634" s="86">
        <v>4</v>
      </c>
      <c r="I634" s="86">
        <v>2</v>
      </c>
      <c r="J634" s="86">
        <v>4</v>
      </c>
      <c r="K634" s="86">
        <v>3</v>
      </c>
      <c r="L634" s="86">
        <f>SUM(Table3[[#This Row],[Strategic priority segment]:[Propensity to buy/ buyer readiness]])</f>
        <v>18</v>
      </c>
      <c r="M634" s="86" t="s">
        <v>191</v>
      </c>
      <c r="N634" s="84" t="s">
        <v>135</v>
      </c>
      <c r="O634" s="87"/>
      <c r="P634" s="87"/>
      <c r="Q634" s="87"/>
      <c r="R634" s="84"/>
      <c r="S634" s="87"/>
      <c r="T634" s="87"/>
      <c r="U634" s="84">
        <v>0</v>
      </c>
      <c r="V634" s="84">
        <v>0</v>
      </c>
      <c r="W634" s="84">
        <v>0</v>
      </c>
      <c r="X634" s="84">
        <v>0</v>
      </c>
      <c r="Y634" s="84">
        <v>0</v>
      </c>
      <c r="Z634" s="84">
        <v>0</v>
      </c>
      <c r="AA634" s="84">
        <v>0</v>
      </c>
      <c r="AB634" s="84">
        <v>0</v>
      </c>
      <c r="AC634" s="84">
        <v>0</v>
      </c>
      <c r="AD634" s="84">
        <v>0</v>
      </c>
      <c r="AE634" s="84">
        <v>0</v>
      </c>
      <c r="AF634" s="84">
        <v>0</v>
      </c>
      <c r="AG634" s="84">
        <v>0</v>
      </c>
      <c r="AH634" s="84">
        <v>1</v>
      </c>
      <c r="AI634" s="84">
        <v>1</v>
      </c>
      <c r="AJ634" s="84">
        <v>1</v>
      </c>
      <c r="AK634" s="84">
        <v>1</v>
      </c>
      <c r="AL634" s="84" cm="1">
        <f t="array" ref="AL6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4" s="84" cm="1">
        <f t="array" ref="AM6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4" s="84" cm="1">
        <f t="array" ref="AN6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4" s="84" cm="1">
        <f t="array" ref="AO6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4" s="84" cm="1">
        <f t="array" ref="AP6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4" s="84" cm="1">
        <f t="array" ref="AQ6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4" s="84" cm="1">
        <f t="array" ref="AR6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4" s="84" cm="1">
        <f t="array" ref="AS6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4" s="84" cm="1">
        <f t="array" ref="AT6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4" s="84" cm="1">
        <f t="array" ref="AU6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4" s="84" cm="1">
        <f t="array" ref="AV6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4" s="84" cm="1">
        <f t="array" ref="AW6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4" s="84" cm="1">
        <f t="array" ref="AX6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4" s="84" cm="1">
        <f t="array" ref="AY6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4" s="84" cm="1">
        <f t="array" ref="AZ6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4" s="84" cm="1">
        <f t="array" ref="BA6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4" s="84" cm="1">
        <f t="array" ref="BB6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4" s="84">
        <f>IF(SUM(Table3[[#This Row],[Column2]:[Column18]])&gt;Table3[[#This Row],[Column19]],Table3[[#This Row],[Column19]],SUM(Table3[[#This Row],[Column2]:[Column18]]))</f>
        <v>50000</v>
      </c>
      <c r="BD634" s="2">
        <f>Table3[[#This Row],[Total Spend]]/SUM(Table3[[#This Row],[Column2]:[Column18]])</f>
        <v>0.77700077700077697</v>
      </c>
    </row>
    <row r="635" spans="1:56">
      <c r="A635" s="87" t="s">
        <v>709</v>
      </c>
      <c r="B635" s="87"/>
      <c r="C635" s="87"/>
      <c r="D635" s="85">
        <v>45566</v>
      </c>
      <c r="E635" s="85" t="s">
        <v>58</v>
      </c>
      <c r="F635" s="84">
        <f>INDEX(Definitions!$G$13:$G$17,MATCH(Table3[[#This Row],[Propensity to buy/ buyer readiness]],Definitions!$A$13:$A$17,0))</f>
        <v>50000</v>
      </c>
      <c r="G635" s="86">
        <v>5</v>
      </c>
      <c r="H635" s="86">
        <v>4</v>
      </c>
      <c r="I635" s="86">
        <v>2</v>
      </c>
      <c r="J635" s="86">
        <v>4</v>
      </c>
      <c r="K635" s="86">
        <v>3</v>
      </c>
      <c r="L635" s="86">
        <f>SUM(Table3[[#This Row],[Strategic priority segment]:[Propensity to buy/ buyer readiness]])</f>
        <v>18</v>
      </c>
      <c r="M635" s="86" t="s">
        <v>191</v>
      </c>
      <c r="N635" s="84" t="s">
        <v>135</v>
      </c>
      <c r="O635" s="87"/>
      <c r="P635" s="87"/>
      <c r="Q635" s="87"/>
      <c r="R635" s="84"/>
      <c r="S635" s="87"/>
      <c r="T635" s="87"/>
      <c r="U635" s="84">
        <v>0</v>
      </c>
      <c r="V635" s="84">
        <v>0</v>
      </c>
      <c r="W635" s="84">
        <v>0</v>
      </c>
      <c r="X635" s="84">
        <v>0</v>
      </c>
      <c r="Y635" s="84">
        <v>0</v>
      </c>
      <c r="Z635" s="84">
        <v>0</v>
      </c>
      <c r="AA635" s="84">
        <v>0</v>
      </c>
      <c r="AB635" s="84">
        <v>0</v>
      </c>
      <c r="AC635" s="84">
        <v>0</v>
      </c>
      <c r="AD635" s="84">
        <v>0</v>
      </c>
      <c r="AE635" s="84">
        <v>0</v>
      </c>
      <c r="AF635" s="84">
        <v>0</v>
      </c>
      <c r="AG635" s="84">
        <v>0</v>
      </c>
      <c r="AH635" s="84">
        <v>1</v>
      </c>
      <c r="AI635" s="84">
        <v>1</v>
      </c>
      <c r="AJ635" s="84">
        <v>1</v>
      </c>
      <c r="AK635" s="84">
        <v>1</v>
      </c>
      <c r="AL635" s="84" cm="1">
        <f t="array" ref="AL6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5" s="84" cm="1">
        <f t="array" ref="AM6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5" s="84" cm="1">
        <f t="array" ref="AN6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5" s="84" cm="1">
        <f t="array" ref="AO6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5" s="84" cm="1">
        <f t="array" ref="AP6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5" s="84" cm="1">
        <f t="array" ref="AQ6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5" s="84" cm="1">
        <f t="array" ref="AR6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5" s="84" cm="1">
        <f t="array" ref="AS6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5" s="84" cm="1">
        <f t="array" ref="AT6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5" s="84" cm="1">
        <f t="array" ref="AU6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5" s="84" cm="1">
        <f t="array" ref="AV6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5" s="84" cm="1">
        <f t="array" ref="AW6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5" s="84" cm="1">
        <f t="array" ref="AX6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5" s="84" cm="1">
        <f t="array" ref="AY6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5" s="84" cm="1">
        <f t="array" ref="AZ6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5" s="84" cm="1">
        <f t="array" ref="BA6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5" s="84" cm="1">
        <f t="array" ref="BB6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5" s="84">
        <f>IF(SUM(Table3[[#This Row],[Column2]:[Column18]])&gt;Table3[[#This Row],[Column19]],Table3[[#This Row],[Column19]],SUM(Table3[[#This Row],[Column2]:[Column18]]))</f>
        <v>50000</v>
      </c>
      <c r="BD635" s="2">
        <f>Table3[[#This Row],[Total Spend]]/SUM(Table3[[#This Row],[Column2]:[Column18]])</f>
        <v>0.77700077700077697</v>
      </c>
    </row>
    <row r="636" spans="1:56">
      <c r="A636" s="84" t="s">
        <v>710</v>
      </c>
      <c r="B636" s="84" t="s">
        <v>57</v>
      </c>
      <c r="C636" s="84"/>
      <c r="D636" s="85">
        <v>45566</v>
      </c>
      <c r="E636" s="85" t="s">
        <v>92</v>
      </c>
      <c r="F636" s="84">
        <f>INDEX(Definitions!$G$13:$G$17,MATCH(Table3[[#This Row],[Propensity to buy/ buyer readiness]],Definitions!$A$13:$A$17,0))</f>
        <v>50000</v>
      </c>
      <c r="G636" s="86">
        <v>5</v>
      </c>
      <c r="H636" s="86">
        <v>4</v>
      </c>
      <c r="I636" s="86">
        <v>3</v>
      </c>
      <c r="J636" s="86">
        <v>3</v>
      </c>
      <c r="K636" s="86">
        <v>3</v>
      </c>
      <c r="L636" s="86">
        <f>SUM(Table3[[#This Row],[Strategic priority segment]:[Propensity to buy/ buyer readiness]])</f>
        <v>18</v>
      </c>
      <c r="M636" s="86" t="s">
        <v>66</v>
      </c>
      <c r="N636" s="84" t="s">
        <v>62</v>
      </c>
      <c r="O636" s="84"/>
      <c r="P636" s="87"/>
      <c r="Q636" s="87"/>
      <c r="R636" s="84"/>
      <c r="S636" s="87"/>
      <c r="T636" s="87"/>
      <c r="U636" s="84">
        <v>1</v>
      </c>
      <c r="V636" s="84">
        <v>0</v>
      </c>
      <c r="W636" s="84">
        <v>0</v>
      </c>
      <c r="X636" s="84">
        <v>0</v>
      </c>
      <c r="Y636" s="84">
        <v>0</v>
      </c>
      <c r="Z636" s="84">
        <v>0</v>
      </c>
      <c r="AA636" s="84">
        <v>0</v>
      </c>
      <c r="AB636" s="84">
        <v>0</v>
      </c>
      <c r="AC636" s="84">
        <v>0</v>
      </c>
      <c r="AD636" s="84">
        <v>1</v>
      </c>
      <c r="AE636" s="84">
        <v>1</v>
      </c>
      <c r="AF636" s="84">
        <v>1</v>
      </c>
      <c r="AG636" s="84">
        <v>1</v>
      </c>
      <c r="AH636" s="84">
        <v>0</v>
      </c>
      <c r="AI636" s="84">
        <v>0</v>
      </c>
      <c r="AJ636" s="84">
        <v>0</v>
      </c>
      <c r="AK636" s="84">
        <v>0</v>
      </c>
      <c r="AL636" s="84" cm="1">
        <f t="array" ref="AL6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36" s="84" cm="1">
        <f t="array" ref="AM6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6" s="84" cm="1">
        <f t="array" ref="AN6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6" s="84" cm="1">
        <f t="array" ref="AO6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6" s="84" cm="1">
        <f t="array" ref="AP6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6" s="84" cm="1">
        <f t="array" ref="AQ6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6" s="84" cm="1">
        <f t="array" ref="AR6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6" s="84" cm="1">
        <f t="array" ref="AS6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6" s="84" cm="1">
        <f t="array" ref="AT6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6" s="84" cm="1">
        <f t="array" ref="AU6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36" s="84" cm="1">
        <f t="array" ref="AV6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36" s="84" cm="1">
        <f t="array" ref="AW6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36" s="84" cm="1">
        <f t="array" ref="AX6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36" s="84" cm="1">
        <f t="array" ref="AY6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36" s="84" cm="1">
        <f t="array" ref="AZ6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36" s="84" cm="1">
        <f t="array" ref="BA6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36" s="84" cm="1">
        <f t="array" ref="BB6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36" s="84">
        <f>IF(SUM(Table3[[#This Row],[Column2]:[Column18]])&gt;Table3[[#This Row],[Column19]],Table3[[#This Row],[Column19]],SUM(Table3[[#This Row],[Column2]:[Column18]]))</f>
        <v>50000</v>
      </c>
      <c r="BD636" s="2">
        <f>Table3[[#This Row],[Total Spend]]/SUM(Table3[[#This Row],[Column2]:[Column18]])</f>
        <v>0.53163211057947901</v>
      </c>
    </row>
    <row r="637" spans="1:56">
      <c r="A637" s="87" t="s">
        <v>711</v>
      </c>
      <c r="B637" s="87"/>
      <c r="C637" s="87"/>
      <c r="D637" s="85">
        <v>45566</v>
      </c>
      <c r="E637" s="85" t="s">
        <v>58</v>
      </c>
      <c r="F637" s="84">
        <f>INDEX(Definitions!$G$13:$G$17,MATCH(Table3[[#This Row],[Propensity to buy/ buyer readiness]],Definitions!$A$13:$A$17,0))</f>
        <v>50000</v>
      </c>
      <c r="G637" s="86">
        <v>5</v>
      </c>
      <c r="H637" s="86">
        <v>4</v>
      </c>
      <c r="I637" s="86">
        <v>2</v>
      </c>
      <c r="J637" s="86">
        <v>4</v>
      </c>
      <c r="K637" s="86">
        <v>3</v>
      </c>
      <c r="L637" s="86">
        <f>SUM(Table3[[#This Row],[Strategic priority segment]:[Propensity to buy/ buyer readiness]])</f>
        <v>18</v>
      </c>
      <c r="M637" s="86" t="s">
        <v>191</v>
      </c>
      <c r="N637" s="84" t="s">
        <v>135</v>
      </c>
      <c r="O637" s="87"/>
      <c r="P637" s="87"/>
      <c r="Q637" s="87"/>
      <c r="R637" s="84"/>
      <c r="S637" s="87"/>
      <c r="T637" s="87"/>
      <c r="U637" s="84">
        <v>0</v>
      </c>
      <c r="V637" s="84">
        <v>0</v>
      </c>
      <c r="W637" s="84">
        <v>0</v>
      </c>
      <c r="X637" s="84">
        <v>0</v>
      </c>
      <c r="Y637" s="84">
        <v>0</v>
      </c>
      <c r="Z637" s="84">
        <v>0</v>
      </c>
      <c r="AA637" s="84">
        <v>0</v>
      </c>
      <c r="AB637" s="84">
        <v>0</v>
      </c>
      <c r="AC637" s="84">
        <v>0</v>
      </c>
      <c r="AD637" s="84">
        <v>0</v>
      </c>
      <c r="AE637" s="84">
        <v>0</v>
      </c>
      <c r="AF637" s="84">
        <v>0</v>
      </c>
      <c r="AG637" s="84">
        <v>0</v>
      </c>
      <c r="AH637" s="84">
        <v>1</v>
      </c>
      <c r="AI637" s="84">
        <v>1</v>
      </c>
      <c r="AJ637" s="84">
        <v>1</v>
      </c>
      <c r="AK637" s="84">
        <v>1</v>
      </c>
      <c r="AL637" s="84" cm="1">
        <f t="array" ref="AL6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7" s="84" cm="1">
        <f t="array" ref="AM6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7" s="84" cm="1">
        <f t="array" ref="AN6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7" s="84" cm="1">
        <f t="array" ref="AO6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7" s="84" cm="1">
        <f t="array" ref="AP6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7" s="84" cm="1">
        <f t="array" ref="AQ6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7" s="84" cm="1">
        <f t="array" ref="AR6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7" s="84" cm="1">
        <f t="array" ref="AS6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7" s="84" cm="1">
        <f t="array" ref="AT6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7" s="84" cm="1">
        <f t="array" ref="AU6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7" s="84" cm="1">
        <f t="array" ref="AV6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7" s="84" cm="1">
        <f t="array" ref="AW6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7" s="84" cm="1">
        <f t="array" ref="AX6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7" s="84" cm="1">
        <f t="array" ref="AY6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7" s="84" cm="1">
        <f t="array" ref="AZ6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7" s="84" cm="1">
        <f t="array" ref="BA6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7" s="84" cm="1">
        <f t="array" ref="BB6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7" s="84">
        <f>IF(SUM(Table3[[#This Row],[Column2]:[Column18]])&gt;Table3[[#This Row],[Column19]],Table3[[#This Row],[Column19]],SUM(Table3[[#This Row],[Column2]:[Column18]]))</f>
        <v>50000</v>
      </c>
      <c r="BD637" s="2">
        <f>Table3[[#This Row],[Total Spend]]/SUM(Table3[[#This Row],[Column2]:[Column18]])</f>
        <v>0.77700077700077697</v>
      </c>
    </row>
    <row r="638" spans="1:56">
      <c r="A638" s="87" t="s">
        <v>712</v>
      </c>
      <c r="B638" s="87"/>
      <c r="C638" s="87"/>
      <c r="D638" s="85">
        <v>45566</v>
      </c>
      <c r="E638" s="85" t="s">
        <v>58</v>
      </c>
      <c r="F638" s="84">
        <f>INDEX(Definitions!$G$13:$G$17,MATCH(Table3[[#This Row],[Propensity to buy/ buyer readiness]],Definitions!$A$13:$A$17,0))</f>
        <v>50000</v>
      </c>
      <c r="G638" s="86">
        <v>5</v>
      </c>
      <c r="H638" s="86">
        <v>4</v>
      </c>
      <c r="I638" s="86">
        <v>2</v>
      </c>
      <c r="J638" s="86">
        <v>4</v>
      </c>
      <c r="K638" s="86">
        <v>3</v>
      </c>
      <c r="L638" s="86">
        <f>SUM(Table3[[#This Row],[Strategic priority segment]:[Propensity to buy/ buyer readiness]])</f>
        <v>18</v>
      </c>
      <c r="M638" s="86" t="s">
        <v>191</v>
      </c>
      <c r="N638" s="84" t="s">
        <v>135</v>
      </c>
      <c r="O638" s="87"/>
      <c r="P638" s="87"/>
      <c r="Q638" s="87"/>
      <c r="R638" s="84"/>
      <c r="S638" s="87"/>
      <c r="T638" s="87"/>
      <c r="U638" s="84">
        <v>0</v>
      </c>
      <c r="V638" s="84">
        <v>0</v>
      </c>
      <c r="W638" s="84">
        <v>0</v>
      </c>
      <c r="X638" s="84">
        <v>0</v>
      </c>
      <c r="Y638" s="84">
        <v>0</v>
      </c>
      <c r="Z638" s="84">
        <v>0</v>
      </c>
      <c r="AA638" s="84">
        <v>0</v>
      </c>
      <c r="AB638" s="84">
        <v>0</v>
      </c>
      <c r="AC638" s="84">
        <v>0</v>
      </c>
      <c r="AD638" s="84">
        <v>0</v>
      </c>
      <c r="AE638" s="84">
        <v>0</v>
      </c>
      <c r="AF638" s="84">
        <v>0</v>
      </c>
      <c r="AG638" s="84">
        <v>0</v>
      </c>
      <c r="AH638" s="84">
        <v>1</v>
      </c>
      <c r="AI638" s="84">
        <v>1</v>
      </c>
      <c r="AJ638" s="84">
        <v>1</v>
      </c>
      <c r="AK638" s="84">
        <v>1</v>
      </c>
      <c r="AL638" s="84" cm="1">
        <f t="array" ref="AL6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8" s="84" cm="1">
        <f t="array" ref="AM6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8" s="84" cm="1">
        <f t="array" ref="AN6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8" s="84" cm="1">
        <f t="array" ref="AO6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8" s="84" cm="1">
        <f t="array" ref="AP6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8" s="84" cm="1">
        <f t="array" ref="AQ6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8" s="84" cm="1">
        <f t="array" ref="AR6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8" s="84" cm="1">
        <f t="array" ref="AS6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8" s="84" cm="1">
        <f t="array" ref="AT6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8" s="84" cm="1">
        <f t="array" ref="AU6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8" s="84" cm="1">
        <f t="array" ref="AV6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8" s="84" cm="1">
        <f t="array" ref="AW6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8" s="84" cm="1">
        <f t="array" ref="AX6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8" s="84" cm="1">
        <f t="array" ref="AY6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8" s="84" cm="1">
        <f t="array" ref="AZ6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8" s="84" cm="1">
        <f t="array" ref="BA6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8" s="84" cm="1">
        <f t="array" ref="BB6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8" s="84">
        <f>IF(SUM(Table3[[#This Row],[Column2]:[Column18]])&gt;Table3[[#This Row],[Column19]],Table3[[#This Row],[Column19]],SUM(Table3[[#This Row],[Column2]:[Column18]]))</f>
        <v>50000</v>
      </c>
      <c r="BD638" s="2">
        <f>Table3[[#This Row],[Total Spend]]/SUM(Table3[[#This Row],[Column2]:[Column18]])</f>
        <v>0.77700077700077697</v>
      </c>
    </row>
    <row r="639" spans="1:56">
      <c r="A639" s="87" t="s">
        <v>713</v>
      </c>
      <c r="B639" s="87"/>
      <c r="C639" s="87"/>
      <c r="D639" s="85">
        <v>45566</v>
      </c>
      <c r="E639" s="85" t="s">
        <v>58</v>
      </c>
      <c r="F639" s="84">
        <f>INDEX(Definitions!$G$13:$G$17,MATCH(Table3[[#This Row],[Propensity to buy/ buyer readiness]],Definitions!$A$13:$A$17,0))</f>
        <v>50000</v>
      </c>
      <c r="G639" s="86">
        <v>5</v>
      </c>
      <c r="H639" s="86">
        <v>4</v>
      </c>
      <c r="I639" s="86">
        <v>2</v>
      </c>
      <c r="J639" s="86">
        <v>4</v>
      </c>
      <c r="K639" s="86">
        <v>3</v>
      </c>
      <c r="L639" s="86">
        <f>SUM(Table3[[#This Row],[Strategic priority segment]:[Propensity to buy/ buyer readiness]])</f>
        <v>18</v>
      </c>
      <c r="M639" s="86" t="s">
        <v>191</v>
      </c>
      <c r="N639" s="84" t="s">
        <v>135</v>
      </c>
      <c r="O639" s="87"/>
      <c r="P639" s="87"/>
      <c r="Q639" s="87"/>
      <c r="R639" s="84"/>
      <c r="S639" s="87"/>
      <c r="T639" s="87"/>
      <c r="U639" s="84">
        <v>0</v>
      </c>
      <c r="V639" s="84">
        <v>0</v>
      </c>
      <c r="W639" s="84">
        <v>0</v>
      </c>
      <c r="X639" s="84">
        <v>0</v>
      </c>
      <c r="Y639" s="84">
        <v>0</v>
      </c>
      <c r="Z639" s="84">
        <v>0</v>
      </c>
      <c r="AA639" s="84">
        <v>0</v>
      </c>
      <c r="AB639" s="84">
        <v>0</v>
      </c>
      <c r="AC639" s="84">
        <v>0</v>
      </c>
      <c r="AD639" s="84">
        <v>0</v>
      </c>
      <c r="AE639" s="84">
        <v>0</v>
      </c>
      <c r="AF639" s="84">
        <v>0</v>
      </c>
      <c r="AG639" s="84">
        <v>0</v>
      </c>
      <c r="AH639" s="84">
        <v>1</v>
      </c>
      <c r="AI639" s="84">
        <v>1</v>
      </c>
      <c r="AJ639" s="84">
        <v>1</v>
      </c>
      <c r="AK639" s="84">
        <v>1</v>
      </c>
      <c r="AL639" s="84" cm="1">
        <f t="array" ref="AL6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39" s="84" cm="1">
        <f t="array" ref="AM6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39" s="84" cm="1">
        <f t="array" ref="AN6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39" s="84" cm="1">
        <f t="array" ref="AO6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39" s="84" cm="1">
        <f t="array" ref="AP6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39" s="84" cm="1">
        <f t="array" ref="AQ6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39" s="84" cm="1">
        <f t="array" ref="AR6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39" s="84" cm="1">
        <f t="array" ref="AS6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39" s="84" cm="1">
        <f t="array" ref="AT6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39" s="84" cm="1">
        <f t="array" ref="AU6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39" s="84" cm="1">
        <f t="array" ref="AV6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39" s="84" cm="1">
        <f t="array" ref="AW6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39" s="84" cm="1">
        <f t="array" ref="AX6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39" s="84" cm="1">
        <f t="array" ref="AY6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39" s="84" cm="1">
        <f t="array" ref="AZ6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39" s="84" cm="1">
        <f t="array" ref="BA6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39" s="84" cm="1">
        <f t="array" ref="BB6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39" s="84">
        <f>IF(SUM(Table3[[#This Row],[Column2]:[Column18]])&gt;Table3[[#This Row],[Column19]],Table3[[#This Row],[Column19]],SUM(Table3[[#This Row],[Column2]:[Column18]]))</f>
        <v>50000</v>
      </c>
      <c r="BD639" s="2">
        <f>Table3[[#This Row],[Total Spend]]/SUM(Table3[[#This Row],[Column2]:[Column18]])</f>
        <v>0.77700077700077697</v>
      </c>
    </row>
    <row r="640" spans="1:56">
      <c r="A640" s="84" t="s">
        <v>714</v>
      </c>
      <c r="B640" s="84"/>
      <c r="C640" s="84"/>
      <c r="D640" s="85">
        <v>45809</v>
      </c>
      <c r="E640" s="85" t="s">
        <v>58</v>
      </c>
      <c r="F640" s="84">
        <f>INDEX(Definitions!$G$13:$G$17,MATCH(Table3[[#This Row],[Propensity to buy/ buyer readiness]],Definitions!$A$13:$A$17,0))</f>
        <v>150000</v>
      </c>
      <c r="G640" s="86">
        <v>4</v>
      </c>
      <c r="H640" s="86">
        <v>4</v>
      </c>
      <c r="I640" s="86">
        <v>3</v>
      </c>
      <c r="J640" s="86">
        <v>3</v>
      </c>
      <c r="K640" s="86">
        <v>4</v>
      </c>
      <c r="L640" s="86">
        <f>SUM(Table3[[#This Row],[Strategic priority segment]:[Propensity to buy/ buyer readiness]])</f>
        <v>18</v>
      </c>
      <c r="M640" s="86" t="s">
        <v>152</v>
      </c>
      <c r="N640" s="84" t="s">
        <v>122</v>
      </c>
      <c r="O640" s="87"/>
      <c r="P640" s="87"/>
      <c r="Q640" s="87"/>
      <c r="R640" s="84"/>
      <c r="S640" s="87"/>
      <c r="T640" s="87"/>
      <c r="U640" s="84">
        <v>1</v>
      </c>
      <c r="V640" s="84">
        <v>0</v>
      </c>
      <c r="W640" s="84">
        <v>0</v>
      </c>
      <c r="X640" s="84">
        <v>0</v>
      </c>
      <c r="Y640" s="84">
        <v>0</v>
      </c>
      <c r="Z640" s="84">
        <v>1</v>
      </c>
      <c r="AA640" s="84">
        <v>0</v>
      </c>
      <c r="AB640" s="84">
        <v>1</v>
      </c>
      <c r="AC640" s="84">
        <v>0</v>
      </c>
      <c r="AD640" s="84">
        <v>1</v>
      </c>
      <c r="AE640" s="84">
        <v>0</v>
      </c>
      <c r="AF640" s="84">
        <v>1</v>
      </c>
      <c r="AG640" s="84">
        <v>0</v>
      </c>
      <c r="AH640" s="84">
        <v>0</v>
      </c>
      <c r="AI640" s="84">
        <v>0</v>
      </c>
      <c r="AJ640" s="84">
        <v>0</v>
      </c>
      <c r="AK640" s="84">
        <v>0</v>
      </c>
      <c r="AL640" s="84" cm="1">
        <f t="array" ref="AL6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40" s="84" cm="1">
        <f t="array" ref="AM6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0" s="84" cm="1">
        <f t="array" ref="AN6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0" s="84" cm="1">
        <f t="array" ref="AO6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0" s="84" cm="1">
        <f t="array" ref="AP6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0" s="84" cm="1">
        <f t="array" ref="AQ6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40" s="84" cm="1">
        <f t="array" ref="AR6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0" s="84" cm="1">
        <f t="array" ref="AS6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40" s="84" cm="1">
        <f t="array" ref="AT6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0" s="84" cm="1">
        <f t="array" ref="AU6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40" s="84" cm="1">
        <f t="array" ref="AV6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0" s="84" cm="1">
        <f t="array" ref="AW6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40" s="84" cm="1">
        <f t="array" ref="AX6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0" s="84" cm="1">
        <f t="array" ref="AY6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40" s="84" cm="1">
        <f t="array" ref="AZ6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40" s="84" cm="1">
        <f t="array" ref="BA6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40" s="84" cm="1">
        <f t="array" ref="BB6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40" s="84">
        <f>IF(SUM(Table3[[#This Row],[Column2]:[Column18]])&gt;Table3[[#This Row],[Column19]],Table3[[#This Row],[Column19]],SUM(Table3[[#This Row],[Column2]:[Column18]]))</f>
        <v>150000</v>
      </c>
      <c r="BD640" s="2">
        <f>Table3[[#This Row],[Total Spend]]/SUM(Table3[[#This Row],[Column2]:[Column18]])</f>
        <v>0.89605734767025091</v>
      </c>
    </row>
    <row r="641" spans="1:56">
      <c r="A641" s="87" t="s">
        <v>715</v>
      </c>
      <c r="B641" s="87"/>
      <c r="C641" s="87"/>
      <c r="D641" s="85">
        <v>45566</v>
      </c>
      <c r="E641" s="85" t="s">
        <v>58</v>
      </c>
      <c r="F641" s="84">
        <f>INDEX(Definitions!$G$13:$G$17,MATCH(Table3[[#This Row],[Propensity to buy/ buyer readiness]],Definitions!$A$13:$A$17,0))</f>
        <v>50000</v>
      </c>
      <c r="G641" s="86">
        <v>5</v>
      </c>
      <c r="H641" s="86">
        <v>4</v>
      </c>
      <c r="I641" s="86">
        <v>2</v>
      </c>
      <c r="J641" s="86">
        <v>4</v>
      </c>
      <c r="K641" s="86">
        <v>3</v>
      </c>
      <c r="L641" s="86">
        <f>SUM(Table3[[#This Row],[Strategic priority segment]:[Propensity to buy/ buyer readiness]])</f>
        <v>18</v>
      </c>
      <c r="M641" s="86" t="s">
        <v>191</v>
      </c>
      <c r="N641" s="84" t="s">
        <v>135</v>
      </c>
      <c r="O641" s="87"/>
      <c r="P641" s="87"/>
      <c r="Q641" s="87"/>
      <c r="R641" s="84"/>
      <c r="S641" s="87"/>
      <c r="T641" s="87"/>
      <c r="U641" s="84">
        <v>0</v>
      </c>
      <c r="V641" s="84">
        <v>0</v>
      </c>
      <c r="W641" s="84">
        <v>0</v>
      </c>
      <c r="X641" s="84">
        <v>0</v>
      </c>
      <c r="Y641" s="84">
        <v>0</v>
      </c>
      <c r="Z641" s="84">
        <v>0</v>
      </c>
      <c r="AA641" s="84">
        <v>0</v>
      </c>
      <c r="AB641" s="84">
        <v>0</v>
      </c>
      <c r="AC641" s="84">
        <v>0</v>
      </c>
      <c r="AD641" s="84">
        <v>0</v>
      </c>
      <c r="AE641" s="84">
        <v>0</v>
      </c>
      <c r="AF641" s="84">
        <v>0</v>
      </c>
      <c r="AG641" s="84">
        <v>0</v>
      </c>
      <c r="AH641" s="84">
        <v>1</v>
      </c>
      <c r="AI641" s="84">
        <v>1</v>
      </c>
      <c r="AJ641" s="84">
        <v>1</v>
      </c>
      <c r="AK641" s="84">
        <v>1</v>
      </c>
      <c r="AL641" s="84" cm="1">
        <f t="array" ref="AL6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1" s="84" cm="1">
        <f t="array" ref="AM6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1" s="84" cm="1">
        <f t="array" ref="AN6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1" s="84" cm="1">
        <f t="array" ref="AO6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1" s="84" cm="1">
        <f t="array" ref="AP6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1" s="84" cm="1">
        <f t="array" ref="AQ6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1" s="84" cm="1">
        <f t="array" ref="AR6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1" s="84" cm="1">
        <f t="array" ref="AS6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1" s="84" cm="1">
        <f t="array" ref="AT6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1" s="84" cm="1">
        <f t="array" ref="AU6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1" s="84" cm="1">
        <f t="array" ref="AV6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1" s="84" cm="1">
        <f t="array" ref="AW6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1" s="84" cm="1">
        <f t="array" ref="AX6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1" s="84" cm="1">
        <f t="array" ref="AY6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1" s="84" cm="1">
        <f t="array" ref="AZ6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1" s="84" cm="1">
        <f t="array" ref="BA6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1" s="84" cm="1">
        <f t="array" ref="BB6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1" s="84">
        <f>IF(SUM(Table3[[#This Row],[Column2]:[Column18]])&gt;Table3[[#This Row],[Column19]],Table3[[#This Row],[Column19]],SUM(Table3[[#This Row],[Column2]:[Column18]]))</f>
        <v>50000</v>
      </c>
      <c r="BD641" s="2">
        <f>Table3[[#This Row],[Total Spend]]/SUM(Table3[[#This Row],[Column2]:[Column18]])</f>
        <v>0.77700077700077697</v>
      </c>
    </row>
    <row r="642" spans="1:56">
      <c r="A642" s="84" t="s">
        <v>716</v>
      </c>
      <c r="B642" s="84"/>
      <c r="C642" s="84"/>
      <c r="D642" s="85">
        <v>45809</v>
      </c>
      <c r="E642" s="85" t="s">
        <v>58</v>
      </c>
      <c r="F642" s="84">
        <f>INDEX(Definitions!$G$13:$G$17,MATCH(Table3[[#This Row],[Propensity to buy/ buyer readiness]],Definitions!$A$13:$A$17,0))</f>
        <v>50000</v>
      </c>
      <c r="G642" s="86">
        <v>5</v>
      </c>
      <c r="H642" s="86">
        <v>4</v>
      </c>
      <c r="I642" s="86">
        <v>2</v>
      </c>
      <c r="J642" s="86">
        <v>4</v>
      </c>
      <c r="K642" s="86">
        <v>3</v>
      </c>
      <c r="L642" s="86">
        <f>SUM(Table3[[#This Row],[Strategic priority segment]:[Propensity to buy/ buyer readiness]])</f>
        <v>18</v>
      </c>
      <c r="M642" s="86" t="s">
        <v>191</v>
      </c>
      <c r="N642" s="84" t="s">
        <v>135</v>
      </c>
      <c r="O642" s="84"/>
      <c r="P642" s="87"/>
      <c r="Q642" s="87"/>
      <c r="R642" s="84"/>
      <c r="S642" s="87"/>
      <c r="T642" s="87"/>
      <c r="U642" s="84">
        <v>0</v>
      </c>
      <c r="V642" s="84">
        <v>0</v>
      </c>
      <c r="W642" s="84">
        <v>0</v>
      </c>
      <c r="X642" s="84">
        <v>0</v>
      </c>
      <c r="Y642" s="84">
        <v>0</v>
      </c>
      <c r="Z642" s="84">
        <v>0</v>
      </c>
      <c r="AA642" s="84">
        <v>0</v>
      </c>
      <c r="AB642" s="84">
        <v>0</v>
      </c>
      <c r="AC642" s="84">
        <v>0</v>
      </c>
      <c r="AD642" s="84">
        <v>0</v>
      </c>
      <c r="AE642" s="84">
        <v>0</v>
      </c>
      <c r="AF642" s="84">
        <v>0</v>
      </c>
      <c r="AG642" s="84">
        <v>0</v>
      </c>
      <c r="AH642" s="84">
        <v>1</v>
      </c>
      <c r="AI642" s="84">
        <v>1</v>
      </c>
      <c r="AJ642" s="84">
        <v>1</v>
      </c>
      <c r="AK642" s="84">
        <v>1</v>
      </c>
      <c r="AL642" s="84" cm="1">
        <f t="array" ref="AL6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2" s="84" cm="1">
        <f t="array" ref="AM6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2" s="84" cm="1">
        <f t="array" ref="AN6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2" s="84" cm="1">
        <f t="array" ref="AO6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2" s="84" cm="1">
        <f t="array" ref="AP6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2" s="84" cm="1">
        <f t="array" ref="AQ6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2" s="84" cm="1">
        <f t="array" ref="AR6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2" s="84" cm="1">
        <f t="array" ref="AS6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2" s="84" cm="1">
        <f t="array" ref="AT6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2" s="84" cm="1">
        <f t="array" ref="AU6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2" s="84" cm="1">
        <f t="array" ref="AV6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2" s="84" cm="1">
        <f t="array" ref="AW6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2" s="84" cm="1">
        <f t="array" ref="AX6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2" s="84" cm="1">
        <f t="array" ref="AY6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2" s="84" cm="1">
        <f t="array" ref="AZ6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2" s="84" cm="1">
        <f t="array" ref="BA6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2" s="84" cm="1">
        <f t="array" ref="BB6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2" s="84">
        <f>IF(SUM(Table3[[#This Row],[Column2]:[Column18]])&gt;Table3[[#This Row],[Column19]],Table3[[#This Row],[Column19]],SUM(Table3[[#This Row],[Column2]:[Column18]]))</f>
        <v>50000</v>
      </c>
      <c r="BD642" s="2">
        <f>Table3[[#This Row],[Total Spend]]/SUM(Table3[[#This Row],[Column2]:[Column18]])</f>
        <v>0.77700077700077697</v>
      </c>
    </row>
    <row r="643" spans="1:56">
      <c r="A643" s="87" t="s">
        <v>717</v>
      </c>
      <c r="B643" s="87"/>
      <c r="C643" s="87"/>
      <c r="D643" s="85">
        <v>45566</v>
      </c>
      <c r="E643" s="85" t="s">
        <v>58</v>
      </c>
      <c r="F643" s="84">
        <f>INDEX(Definitions!$G$13:$G$17,MATCH(Table3[[#This Row],[Propensity to buy/ buyer readiness]],Definitions!$A$13:$A$17,0))</f>
        <v>50000</v>
      </c>
      <c r="G643" s="86">
        <v>5</v>
      </c>
      <c r="H643" s="86">
        <v>4</v>
      </c>
      <c r="I643" s="86">
        <v>2</v>
      </c>
      <c r="J643" s="86">
        <v>4</v>
      </c>
      <c r="K643" s="86">
        <v>3</v>
      </c>
      <c r="L643" s="86">
        <f>SUM(Table3[[#This Row],[Strategic priority segment]:[Propensity to buy/ buyer readiness]])</f>
        <v>18</v>
      </c>
      <c r="M643" s="86" t="s">
        <v>191</v>
      </c>
      <c r="N643" s="84" t="s">
        <v>135</v>
      </c>
      <c r="O643" s="87"/>
      <c r="P643" s="87"/>
      <c r="Q643" s="87"/>
      <c r="R643" s="84"/>
      <c r="S643" s="87"/>
      <c r="T643" s="87"/>
      <c r="U643" s="84">
        <v>0</v>
      </c>
      <c r="V643" s="84">
        <v>0</v>
      </c>
      <c r="W643" s="84">
        <v>0</v>
      </c>
      <c r="X643" s="84">
        <v>0</v>
      </c>
      <c r="Y643" s="84">
        <v>0</v>
      </c>
      <c r="Z643" s="84">
        <v>0</v>
      </c>
      <c r="AA643" s="84">
        <v>0</v>
      </c>
      <c r="AB643" s="84">
        <v>0</v>
      </c>
      <c r="AC643" s="84">
        <v>0</v>
      </c>
      <c r="AD643" s="84">
        <v>0</v>
      </c>
      <c r="AE643" s="84">
        <v>0</v>
      </c>
      <c r="AF643" s="84">
        <v>0</v>
      </c>
      <c r="AG643" s="84">
        <v>0</v>
      </c>
      <c r="AH643" s="84">
        <v>1</v>
      </c>
      <c r="AI643" s="84">
        <v>1</v>
      </c>
      <c r="AJ643" s="84">
        <v>1</v>
      </c>
      <c r="AK643" s="84">
        <v>1</v>
      </c>
      <c r="AL643" s="84" cm="1">
        <f t="array" ref="AL6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3" s="84" cm="1">
        <f t="array" ref="AM6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3" s="84" cm="1">
        <f t="array" ref="AN6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3" s="84" cm="1">
        <f t="array" ref="AO6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3" s="84" cm="1">
        <f t="array" ref="AP6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3" s="84" cm="1">
        <f t="array" ref="AQ6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3" s="84" cm="1">
        <f t="array" ref="AR6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3" s="84" cm="1">
        <f t="array" ref="AS6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3" s="84" cm="1">
        <f t="array" ref="AT6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3" s="84" cm="1">
        <f t="array" ref="AU6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3" s="84" cm="1">
        <f t="array" ref="AV6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3" s="84" cm="1">
        <f t="array" ref="AW6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3" s="84" cm="1">
        <f t="array" ref="AX6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3" s="84" cm="1">
        <f t="array" ref="AY6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3" s="84" cm="1">
        <f t="array" ref="AZ6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3" s="84" cm="1">
        <f t="array" ref="BA6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3" s="84" cm="1">
        <f t="array" ref="BB6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3" s="84">
        <f>IF(SUM(Table3[[#This Row],[Column2]:[Column18]])&gt;Table3[[#This Row],[Column19]],Table3[[#This Row],[Column19]],SUM(Table3[[#This Row],[Column2]:[Column18]]))</f>
        <v>50000</v>
      </c>
      <c r="BD643" s="2">
        <f>Table3[[#This Row],[Total Spend]]/SUM(Table3[[#This Row],[Column2]:[Column18]])</f>
        <v>0.77700077700077697</v>
      </c>
    </row>
    <row r="644" spans="1:56">
      <c r="A644" s="84" t="s">
        <v>718</v>
      </c>
      <c r="B644" s="84"/>
      <c r="C644" s="84"/>
      <c r="D644" s="85">
        <v>45809</v>
      </c>
      <c r="E644" s="85" t="s">
        <v>92</v>
      </c>
      <c r="F644" s="84">
        <f>INDEX(Definitions!$G$13:$G$17,MATCH(Table3[[#This Row],[Propensity to buy/ buyer readiness]],Definitions!$A$13:$A$17,0))</f>
        <v>50000</v>
      </c>
      <c r="G644" s="86">
        <v>5</v>
      </c>
      <c r="H644" s="86">
        <v>4</v>
      </c>
      <c r="I644" s="86">
        <v>3</v>
      </c>
      <c r="J644" s="86">
        <v>3</v>
      </c>
      <c r="K644" s="86">
        <v>3</v>
      </c>
      <c r="L644" s="86">
        <f>SUM(Table3[[#This Row],[Strategic priority segment]:[Propensity to buy/ buyer readiness]])</f>
        <v>18</v>
      </c>
      <c r="M644" s="86" t="s">
        <v>66</v>
      </c>
      <c r="N644" s="84" t="s">
        <v>62</v>
      </c>
      <c r="O644" s="84" t="s">
        <v>76</v>
      </c>
      <c r="P644" s="84"/>
      <c r="Q644" s="84"/>
      <c r="R644" s="84"/>
      <c r="S644" s="84"/>
      <c r="T644" s="87"/>
      <c r="U644" s="84">
        <v>1</v>
      </c>
      <c r="V644" s="84">
        <v>0</v>
      </c>
      <c r="W644" s="84">
        <v>0</v>
      </c>
      <c r="X644" s="84">
        <v>0</v>
      </c>
      <c r="Y644" s="84">
        <v>0</v>
      </c>
      <c r="Z644" s="84">
        <v>0</v>
      </c>
      <c r="AA644" s="84">
        <v>0</v>
      </c>
      <c r="AB644" s="84">
        <v>0</v>
      </c>
      <c r="AC644" s="84">
        <v>0</v>
      </c>
      <c r="AD644" s="84">
        <v>1</v>
      </c>
      <c r="AE644" s="84">
        <v>1</v>
      </c>
      <c r="AF644" s="84">
        <v>1</v>
      </c>
      <c r="AG644" s="84">
        <v>1</v>
      </c>
      <c r="AH644" s="84">
        <v>1</v>
      </c>
      <c r="AI644" s="84">
        <v>0</v>
      </c>
      <c r="AJ644" s="84">
        <v>1</v>
      </c>
      <c r="AK644" s="84">
        <v>0</v>
      </c>
      <c r="AL644" s="84" cm="1">
        <f t="array" ref="AL6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44" s="84" cm="1">
        <f t="array" ref="AM6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4" s="84" cm="1">
        <f t="array" ref="AN6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4" s="84" cm="1">
        <f t="array" ref="AO6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4" s="84" cm="1">
        <f t="array" ref="AP6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4" s="84" cm="1">
        <f t="array" ref="AQ6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4" s="84" cm="1">
        <f t="array" ref="AR6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4" s="84" cm="1">
        <f t="array" ref="AS6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4" s="84" cm="1">
        <f t="array" ref="AT6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4" s="84" cm="1">
        <f t="array" ref="AU6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44" s="84" cm="1">
        <f t="array" ref="AV6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44" s="84" cm="1">
        <f t="array" ref="AW6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44" s="84" cm="1">
        <f t="array" ref="AX6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44" s="84" cm="1">
        <f t="array" ref="AY6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644" s="84" cm="1">
        <f t="array" ref="AZ6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44" s="84" cm="1">
        <f t="array" ref="BA6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644" s="84" cm="1">
        <f t="array" ref="BB6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44" s="84">
        <f>IF(SUM(Table3[[#This Row],[Column2]:[Column18]])&gt;Table3[[#This Row],[Column19]],Table3[[#This Row],[Column19]],SUM(Table3[[#This Row],[Column2]:[Column18]]))</f>
        <v>50000</v>
      </c>
      <c r="BD644" s="2">
        <f>Table3[[#This Row],[Total Spend]]/SUM(Table3[[#This Row],[Column2]:[Column18]])</f>
        <v>0.4011231448054553</v>
      </c>
    </row>
    <row r="645" spans="1:56">
      <c r="A645" s="87" t="s">
        <v>719</v>
      </c>
      <c r="B645" s="87"/>
      <c r="C645" s="87"/>
      <c r="D645" s="85">
        <v>45566</v>
      </c>
      <c r="E645" s="85" t="s">
        <v>58</v>
      </c>
      <c r="F645" s="84">
        <f>INDEX(Definitions!$G$13:$G$17,MATCH(Table3[[#This Row],[Propensity to buy/ buyer readiness]],Definitions!$A$13:$A$17,0))</f>
        <v>50000</v>
      </c>
      <c r="G645" s="86">
        <v>5</v>
      </c>
      <c r="H645" s="86">
        <v>4</v>
      </c>
      <c r="I645" s="86">
        <v>2</v>
      </c>
      <c r="J645" s="86">
        <v>4</v>
      </c>
      <c r="K645" s="86">
        <v>3</v>
      </c>
      <c r="L645" s="86">
        <f>SUM(Table3[[#This Row],[Strategic priority segment]:[Propensity to buy/ buyer readiness]])</f>
        <v>18</v>
      </c>
      <c r="M645" s="86" t="s">
        <v>191</v>
      </c>
      <c r="N645" s="84" t="s">
        <v>135</v>
      </c>
      <c r="O645" s="87"/>
      <c r="P645" s="87"/>
      <c r="Q645" s="87"/>
      <c r="R645" s="84"/>
      <c r="S645" s="87"/>
      <c r="T645" s="84"/>
      <c r="U645" s="84">
        <v>0</v>
      </c>
      <c r="V645" s="84">
        <v>0</v>
      </c>
      <c r="W645" s="84">
        <v>0</v>
      </c>
      <c r="X645" s="84">
        <v>0</v>
      </c>
      <c r="Y645" s="84">
        <v>0</v>
      </c>
      <c r="Z645" s="84">
        <v>0</v>
      </c>
      <c r="AA645" s="84">
        <v>0</v>
      </c>
      <c r="AB645" s="84">
        <v>0</v>
      </c>
      <c r="AC645" s="84">
        <v>0</v>
      </c>
      <c r="AD645" s="84">
        <v>0</v>
      </c>
      <c r="AE645" s="84">
        <v>0</v>
      </c>
      <c r="AF645" s="84">
        <v>0</v>
      </c>
      <c r="AG645" s="84">
        <v>0</v>
      </c>
      <c r="AH645" s="84">
        <v>1</v>
      </c>
      <c r="AI645" s="84">
        <v>1</v>
      </c>
      <c r="AJ645" s="84">
        <v>1</v>
      </c>
      <c r="AK645" s="84">
        <v>1</v>
      </c>
      <c r="AL645" s="84" cm="1">
        <f t="array" ref="AL6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5" s="84" cm="1">
        <f t="array" ref="AM6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5" s="84" cm="1">
        <f t="array" ref="AN6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5" s="84" cm="1">
        <f t="array" ref="AO6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5" s="84" cm="1">
        <f t="array" ref="AP6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5" s="84" cm="1">
        <f t="array" ref="AQ6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5" s="84" cm="1">
        <f t="array" ref="AR6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5" s="84" cm="1">
        <f t="array" ref="AS6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5" s="84" cm="1">
        <f t="array" ref="AT6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5" s="84" cm="1">
        <f t="array" ref="AU6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5" s="84" cm="1">
        <f t="array" ref="AV6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5" s="84" cm="1">
        <f t="array" ref="AW6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5" s="84" cm="1">
        <f t="array" ref="AX6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5" s="84" cm="1">
        <f t="array" ref="AY6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5" s="84" cm="1">
        <f t="array" ref="AZ6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5" s="84" cm="1">
        <f t="array" ref="BA6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5" s="84" cm="1">
        <f t="array" ref="BB6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5" s="84">
        <f>IF(SUM(Table3[[#This Row],[Column2]:[Column18]])&gt;Table3[[#This Row],[Column19]],Table3[[#This Row],[Column19]],SUM(Table3[[#This Row],[Column2]:[Column18]]))</f>
        <v>50000</v>
      </c>
      <c r="BD645" s="2">
        <f>Table3[[#This Row],[Total Spend]]/SUM(Table3[[#This Row],[Column2]:[Column18]])</f>
        <v>0.77700077700077697</v>
      </c>
    </row>
    <row r="646" spans="1:56">
      <c r="A646" s="87" t="s">
        <v>720</v>
      </c>
      <c r="B646" s="87"/>
      <c r="C646" s="87"/>
      <c r="D646" s="85">
        <v>45566</v>
      </c>
      <c r="E646" s="85" t="s">
        <v>58</v>
      </c>
      <c r="F646" s="84">
        <f>INDEX(Definitions!$G$13:$G$17,MATCH(Table3[[#This Row],[Propensity to buy/ buyer readiness]],Definitions!$A$13:$A$17,0))</f>
        <v>50000</v>
      </c>
      <c r="G646" s="86">
        <v>5</v>
      </c>
      <c r="H646" s="86">
        <v>4</v>
      </c>
      <c r="I646" s="86">
        <v>2</v>
      </c>
      <c r="J646" s="86">
        <v>4</v>
      </c>
      <c r="K646" s="86">
        <v>3</v>
      </c>
      <c r="L646" s="86">
        <f>SUM(Table3[[#This Row],[Strategic priority segment]:[Propensity to buy/ buyer readiness]])</f>
        <v>18</v>
      </c>
      <c r="M646" s="86" t="s">
        <v>191</v>
      </c>
      <c r="N646" s="84" t="s">
        <v>135</v>
      </c>
      <c r="O646" s="87" t="s">
        <v>76</v>
      </c>
      <c r="P646" s="87"/>
      <c r="Q646" s="87"/>
      <c r="R646" s="84"/>
      <c r="S646" s="87"/>
      <c r="T646" s="84"/>
      <c r="U646" s="84">
        <v>0</v>
      </c>
      <c r="V646" s="84">
        <v>0</v>
      </c>
      <c r="W646" s="84">
        <v>0</v>
      </c>
      <c r="X646" s="84">
        <v>0</v>
      </c>
      <c r="Y646" s="84">
        <v>0</v>
      </c>
      <c r="Z646" s="84">
        <v>0</v>
      </c>
      <c r="AA646" s="84">
        <v>0</v>
      </c>
      <c r="AB646" s="84">
        <v>0</v>
      </c>
      <c r="AC646" s="84">
        <v>0</v>
      </c>
      <c r="AD646" s="84">
        <v>0</v>
      </c>
      <c r="AE646" s="84">
        <v>0</v>
      </c>
      <c r="AF646" s="84">
        <v>0</v>
      </c>
      <c r="AG646" s="84">
        <v>0</v>
      </c>
      <c r="AH646" s="84">
        <v>1</v>
      </c>
      <c r="AI646" s="84">
        <v>1</v>
      </c>
      <c r="AJ646" s="84">
        <v>1</v>
      </c>
      <c r="AK646" s="84">
        <v>1</v>
      </c>
      <c r="AL646" s="84" cm="1">
        <f t="array" ref="AL6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6" s="84" cm="1">
        <f t="array" ref="AM6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6" s="84" cm="1">
        <f t="array" ref="AN6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6" s="84" cm="1">
        <f t="array" ref="AO6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6" s="84" cm="1">
        <f t="array" ref="AP6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6" s="84" cm="1">
        <f t="array" ref="AQ6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6" s="84" cm="1">
        <f t="array" ref="AR6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6" s="84" cm="1">
        <f t="array" ref="AS6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6" s="84" cm="1">
        <f t="array" ref="AT6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6" s="84" cm="1">
        <f t="array" ref="AU6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6" s="84" cm="1">
        <f t="array" ref="AV6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6" s="84" cm="1">
        <f t="array" ref="AW6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6" s="84" cm="1">
        <f t="array" ref="AX6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6" s="84" cm="1">
        <f t="array" ref="AY6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6" s="84" cm="1">
        <f t="array" ref="AZ6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6" s="84" cm="1">
        <f t="array" ref="BA6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6" s="84" cm="1">
        <f t="array" ref="BB6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6" s="84">
        <f>IF(SUM(Table3[[#This Row],[Column2]:[Column18]])&gt;Table3[[#This Row],[Column19]],Table3[[#This Row],[Column19]],SUM(Table3[[#This Row],[Column2]:[Column18]]))</f>
        <v>50000</v>
      </c>
      <c r="BD646" s="2">
        <f>Table3[[#This Row],[Total Spend]]/SUM(Table3[[#This Row],[Column2]:[Column18]])</f>
        <v>0.77700077700077697</v>
      </c>
    </row>
    <row r="647" spans="1:56">
      <c r="A647" s="87" t="s">
        <v>721</v>
      </c>
      <c r="B647" s="87"/>
      <c r="C647" s="87"/>
      <c r="D647" s="85">
        <v>45566</v>
      </c>
      <c r="E647" s="85" t="s">
        <v>58</v>
      </c>
      <c r="F647" s="84">
        <f>INDEX(Definitions!$G$13:$G$17,MATCH(Table3[[#This Row],[Propensity to buy/ buyer readiness]],Definitions!$A$13:$A$17,0))</f>
        <v>50000</v>
      </c>
      <c r="G647" s="86">
        <v>5</v>
      </c>
      <c r="H647" s="86">
        <v>4</v>
      </c>
      <c r="I647" s="86">
        <v>2</v>
      </c>
      <c r="J647" s="86">
        <v>4</v>
      </c>
      <c r="K647" s="86">
        <v>3</v>
      </c>
      <c r="L647" s="86">
        <f>SUM(Table3[[#This Row],[Strategic priority segment]:[Propensity to buy/ buyer readiness]])</f>
        <v>18</v>
      </c>
      <c r="M647" s="86" t="s">
        <v>191</v>
      </c>
      <c r="N647" s="84" t="s">
        <v>135</v>
      </c>
      <c r="O647" s="87" t="s">
        <v>76</v>
      </c>
      <c r="P647" s="87"/>
      <c r="Q647" s="87"/>
      <c r="R647" s="84"/>
      <c r="S647" s="87"/>
      <c r="T647" s="87"/>
      <c r="U647" s="84">
        <v>0</v>
      </c>
      <c r="V647" s="84">
        <v>0</v>
      </c>
      <c r="W647" s="84">
        <v>0</v>
      </c>
      <c r="X647" s="84">
        <v>0</v>
      </c>
      <c r="Y647" s="84">
        <v>0</v>
      </c>
      <c r="Z647" s="84">
        <v>0</v>
      </c>
      <c r="AA647" s="84">
        <v>0</v>
      </c>
      <c r="AB647" s="84">
        <v>0</v>
      </c>
      <c r="AC647" s="84">
        <v>0</v>
      </c>
      <c r="AD647" s="84">
        <v>0</v>
      </c>
      <c r="AE647" s="84">
        <v>0</v>
      </c>
      <c r="AF647" s="84">
        <v>0</v>
      </c>
      <c r="AG647" s="84">
        <v>0</v>
      </c>
      <c r="AH647" s="84">
        <v>1</v>
      </c>
      <c r="AI647" s="84">
        <v>1</v>
      </c>
      <c r="AJ647" s="84">
        <v>1</v>
      </c>
      <c r="AK647" s="84">
        <v>1</v>
      </c>
      <c r="AL647" s="84" cm="1">
        <f t="array" ref="AL6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7" s="84" cm="1">
        <f t="array" ref="AM6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7" s="84" cm="1">
        <f t="array" ref="AN6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7" s="84" cm="1">
        <f t="array" ref="AO6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7" s="84" cm="1">
        <f t="array" ref="AP6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7" s="84" cm="1">
        <f t="array" ref="AQ6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7" s="84" cm="1">
        <f t="array" ref="AR6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7" s="84" cm="1">
        <f t="array" ref="AS6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7" s="84" cm="1">
        <f t="array" ref="AT6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7" s="84" cm="1">
        <f t="array" ref="AU6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7" s="84" cm="1">
        <f t="array" ref="AV6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7" s="84" cm="1">
        <f t="array" ref="AW6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7" s="84" cm="1">
        <f t="array" ref="AX6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7" s="84" cm="1">
        <f t="array" ref="AY6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7" s="84" cm="1">
        <f t="array" ref="AZ6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7" s="84" cm="1">
        <f t="array" ref="BA6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7" s="84" cm="1">
        <f t="array" ref="BB6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7" s="84">
        <f>IF(SUM(Table3[[#This Row],[Column2]:[Column18]])&gt;Table3[[#This Row],[Column19]],Table3[[#This Row],[Column19]],SUM(Table3[[#This Row],[Column2]:[Column18]]))</f>
        <v>50000</v>
      </c>
      <c r="BD647" s="2">
        <f>Table3[[#This Row],[Total Spend]]/SUM(Table3[[#This Row],[Column2]:[Column18]])</f>
        <v>0.77700077700077697</v>
      </c>
    </row>
    <row r="648" spans="1:56">
      <c r="A648" s="84" t="s">
        <v>722</v>
      </c>
      <c r="B648" s="84"/>
      <c r="C648" s="84"/>
      <c r="D648" s="85">
        <v>45566</v>
      </c>
      <c r="E648" s="85" t="s">
        <v>58</v>
      </c>
      <c r="F648" s="84">
        <f>INDEX(Definitions!$G$13:$G$17,MATCH(Table3[[#This Row],[Propensity to buy/ buyer readiness]],Definitions!$A$13:$A$17,0))</f>
        <v>150000</v>
      </c>
      <c r="G648" s="86">
        <v>4</v>
      </c>
      <c r="H648" s="86">
        <v>4</v>
      </c>
      <c r="I648" s="86">
        <v>3</v>
      </c>
      <c r="J648" s="86">
        <v>3</v>
      </c>
      <c r="K648" s="86">
        <v>4</v>
      </c>
      <c r="L648" s="86">
        <f>SUM(Table3[[#This Row],[Strategic priority segment]:[Propensity to buy/ buyer readiness]])</f>
        <v>18</v>
      </c>
      <c r="M648" s="86" t="s">
        <v>152</v>
      </c>
      <c r="N648" s="84" t="s">
        <v>122</v>
      </c>
      <c r="O648" s="84"/>
      <c r="P648" s="87"/>
      <c r="Q648" s="87"/>
      <c r="R648" s="84"/>
      <c r="S648" s="87"/>
      <c r="T648" s="87"/>
      <c r="U648" s="84">
        <v>1</v>
      </c>
      <c r="V648" s="84">
        <v>0</v>
      </c>
      <c r="W648" s="84">
        <v>0</v>
      </c>
      <c r="X648" s="84">
        <v>0</v>
      </c>
      <c r="Y648" s="84">
        <v>0</v>
      </c>
      <c r="Z648" s="84">
        <v>1</v>
      </c>
      <c r="AA648" s="84">
        <v>0</v>
      </c>
      <c r="AB648" s="84">
        <v>1</v>
      </c>
      <c r="AC648" s="84">
        <v>0</v>
      </c>
      <c r="AD648" s="84">
        <v>1</v>
      </c>
      <c r="AE648" s="84">
        <v>0</v>
      </c>
      <c r="AF648" s="84">
        <v>1</v>
      </c>
      <c r="AG648" s="84">
        <v>0</v>
      </c>
      <c r="AH648" s="84">
        <v>0</v>
      </c>
      <c r="AI648" s="84">
        <v>0</v>
      </c>
      <c r="AJ648" s="84">
        <v>0</v>
      </c>
      <c r="AK648" s="84">
        <v>0</v>
      </c>
      <c r="AL648" s="84" cm="1">
        <f t="array" ref="AL6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48" s="84" cm="1">
        <f t="array" ref="AM6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8" s="84" cm="1">
        <f t="array" ref="AN6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8" s="84" cm="1">
        <f t="array" ref="AO6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8" s="84" cm="1">
        <f t="array" ref="AP6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8" s="84" cm="1">
        <f t="array" ref="AQ6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48" s="84" cm="1">
        <f t="array" ref="AR6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8" s="84" cm="1">
        <f t="array" ref="AS6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48" s="84" cm="1">
        <f t="array" ref="AT6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8" s="84" cm="1">
        <f t="array" ref="AU6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48" s="84" cm="1">
        <f t="array" ref="AV6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8" s="84" cm="1">
        <f t="array" ref="AW6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48" s="84" cm="1">
        <f t="array" ref="AX6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8" s="84" cm="1">
        <f t="array" ref="AY6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48" s="84" cm="1">
        <f t="array" ref="AZ6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48" s="84" cm="1">
        <f t="array" ref="BA6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48" s="84" cm="1">
        <f t="array" ref="BB6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48" s="84">
        <f>IF(SUM(Table3[[#This Row],[Column2]:[Column18]])&gt;Table3[[#This Row],[Column19]],Table3[[#This Row],[Column19]],SUM(Table3[[#This Row],[Column2]:[Column18]]))</f>
        <v>150000</v>
      </c>
      <c r="BD648" s="2">
        <f>Table3[[#This Row],[Total Spend]]/SUM(Table3[[#This Row],[Column2]:[Column18]])</f>
        <v>0.89605734767025091</v>
      </c>
    </row>
    <row r="649" spans="1:56" ht="28.5">
      <c r="A649" s="87" t="s">
        <v>723</v>
      </c>
      <c r="B649" s="87"/>
      <c r="C649" s="87"/>
      <c r="D649" s="85">
        <v>45566</v>
      </c>
      <c r="E649" s="85" t="s">
        <v>58</v>
      </c>
      <c r="F649" s="84">
        <f>INDEX(Definitions!$G$13:$G$17,MATCH(Table3[[#This Row],[Propensity to buy/ buyer readiness]],Definitions!$A$13:$A$17,0))</f>
        <v>50000</v>
      </c>
      <c r="G649" s="86">
        <v>5</v>
      </c>
      <c r="H649" s="86">
        <v>4</v>
      </c>
      <c r="I649" s="86">
        <v>2</v>
      </c>
      <c r="J649" s="86">
        <v>4</v>
      </c>
      <c r="K649" s="86">
        <v>3</v>
      </c>
      <c r="L649" s="86">
        <f>SUM(Table3[[#This Row],[Strategic priority segment]:[Propensity to buy/ buyer readiness]])</f>
        <v>18</v>
      </c>
      <c r="M649" s="86" t="s">
        <v>191</v>
      </c>
      <c r="N649" s="84" t="s">
        <v>135</v>
      </c>
      <c r="O649" s="87"/>
      <c r="P649" s="87"/>
      <c r="Q649" s="87"/>
      <c r="R649" s="84"/>
      <c r="S649" s="87"/>
      <c r="T649" s="84"/>
      <c r="U649" s="84">
        <v>0</v>
      </c>
      <c r="V649" s="84">
        <v>0</v>
      </c>
      <c r="W649" s="84">
        <v>0</v>
      </c>
      <c r="X649" s="84">
        <v>0</v>
      </c>
      <c r="Y649" s="84">
        <v>0</v>
      </c>
      <c r="Z649" s="84">
        <v>0</v>
      </c>
      <c r="AA649" s="84">
        <v>0</v>
      </c>
      <c r="AB649" s="84">
        <v>0</v>
      </c>
      <c r="AC649" s="84">
        <v>0</v>
      </c>
      <c r="AD649" s="84">
        <v>0</v>
      </c>
      <c r="AE649" s="84">
        <v>0</v>
      </c>
      <c r="AF649" s="84">
        <v>0</v>
      </c>
      <c r="AG649" s="84">
        <v>0</v>
      </c>
      <c r="AH649" s="84">
        <v>1</v>
      </c>
      <c r="AI649" s="84">
        <v>1</v>
      </c>
      <c r="AJ649" s="84">
        <v>1</v>
      </c>
      <c r="AK649" s="84">
        <v>1</v>
      </c>
      <c r="AL649" s="84" cm="1">
        <f t="array" ref="AL6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49" s="84" cm="1">
        <f t="array" ref="AM6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49" s="84" cm="1">
        <f t="array" ref="AN6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49" s="84" cm="1">
        <f t="array" ref="AO6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49" s="84" cm="1">
        <f t="array" ref="AP6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49" s="84" cm="1">
        <f t="array" ref="AQ6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49" s="84" cm="1">
        <f t="array" ref="AR6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49" s="84" cm="1">
        <f t="array" ref="AS6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49" s="84" cm="1">
        <f t="array" ref="AT6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49" s="84" cm="1">
        <f t="array" ref="AU6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49" s="84" cm="1">
        <f t="array" ref="AV6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49" s="84" cm="1">
        <f t="array" ref="AW6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49" s="84" cm="1">
        <f t="array" ref="AX6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49" s="84" cm="1">
        <f t="array" ref="AY6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49" s="84" cm="1">
        <f t="array" ref="AZ6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49" s="84" cm="1">
        <f t="array" ref="BA6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49" s="84" cm="1">
        <f t="array" ref="BB6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49" s="84">
        <f>IF(SUM(Table3[[#This Row],[Column2]:[Column18]])&gt;Table3[[#This Row],[Column19]],Table3[[#This Row],[Column19]],SUM(Table3[[#This Row],[Column2]:[Column18]]))</f>
        <v>50000</v>
      </c>
      <c r="BD649" s="2">
        <f>Table3[[#This Row],[Total Spend]]/SUM(Table3[[#This Row],[Column2]:[Column18]])</f>
        <v>0.77700077700077697</v>
      </c>
    </row>
    <row r="650" spans="1:56">
      <c r="A650" s="87" t="s">
        <v>724</v>
      </c>
      <c r="B650" s="87"/>
      <c r="C650" s="87"/>
      <c r="D650" s="85">
        <v>45566</v>
      </c>
      <c r="E650" s="85" t="s">
        <v>58</v>
      </c>
      <c r="F650" s="84">
        <f>INDEX(Definitions!$G$13:$G$17,MATCH(Table3[[#This Row],[Propensity to buy/ buyer readiness]],Definitions!$A$13:$A$17,0))</f>
        <v>50000</v>
      </c>
      <c r="G650" s="86">
        <v>5</v>
      </c>
      <c r="H650" s="86">
        <v>4</v>
      </c>
      <c r="I650" s="86">
        <v>2</v>
      </c>
      <c r="J650" s="86">
        <v>4</v>
      </c>
      <c r="K650" s="86">
        <v>3</v>
      </c>
      <c r="L650" s="86">
        <f>SUM(Table3[[#This Row],[Strategic priority segment]:[Propensity to buy/ buyer readiness]])</f>
        <v>18</v>
      </c>
      <c r="M650" s="86" t="s">
        <v>191</v>
      </c>
      <c r="N650" s="84" t="s">
        <v>135</v>
      </c>
      <c r="O650" s="87"/>
      <c r="P650" s="87"/>
      <c r="Q650" s="87"/>
      <c r="R650" s="84"/>
      <c r="S650" s="87"/>
      <c r="T650" s="84"/>
      <c r="U650" s="84">
        <v>0</v>
      </c>
      <c r="V650" s="84">
        <v>0</v>
      </c>
      <c r="W650" s="84">
        <v>0</v>
      </c>
      <c r="X650" s="84">
        <v>0</v>
      </c>
      <c r="Y650" s="84">
        <v>0</v>
      </c>
      <c r="Z650" s="84">
        <v>0</v>
      </c>
      <c r="AA650" s="84">
        <v>0</v>
      </c>
      <c r="AB650" s="84">
        <v>0</v>
      </c>
      <c r="AC650" s="84">
        <v>0</v>
      </c>
      <c r="AD650" s="84">
        <v>0</v>
      </c>
      <c r="AE650" s="84">
        <v>0</v>
      </c>
      <c r="AF650" s="84">
        <v>0</v>
      </c>
      <c r="AG650" s="84">
        <v>0</v>
      </c>
      <c r="AH650" s="84">
        <v>1</v>
      </c>
      <c r="AI650" s="84">
        <v>1</v>
      </c>
      <c r="AJ650" s="84">
        <v>1</v>
      </c>
      <c r="AK650" s="84">
        <v>1</v>
      </c>
      <c r="AL650" s="84" cm="1">
        <f t="array" ref="AL6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0" s="84" cm="1">
        <f t="array" ref="AM6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0" s="84" cm="1">
        <f t="array" ref="AN6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0" s="84" cm="1">
        <f t="array" ref="AO6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0" s="84" cm="1">
        <f t="array" ref="AP6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0" s="84" cm="1">
        <f t="array" ref="AQ6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0" s="84" cm="1">
        <f t="array" ref="AR6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0" s="84" cm="1">
        <f t="array" ref="AS6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0" s="84" cm="1">
        <f t="array" ref="AT6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0" s="84" cm="1">
        <f t="array" ref="AU6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0" s="84" cm="1">
        <f t="array" ref="AV6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0" s="84" cm="1">
        <f t="array" ref="AW6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0" s="84" cm="1">
        <f t="array" ref="AX6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0" s="84" cm="1">
        <f t="array" ref="AY6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0" s="84" cm="1">
        <f t="array" ref="AZ6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0" s="84" cm="1">
        <f t="array" ref="BA6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0" s="84" cm="1">
        <f t="array" ref="BB6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0" s="84">
        <f>IF(SUM(Table3[[#This Row],[Column2]:[Column18]])&gt;Table3[[#This Row],[Column19]],Table3[[#This Row],[Column19]],SUM(Table3[[#This Row],[Column2]:[Column18]]))</f>
        <v>50000</v>
      </c>
      <c r="BD650" s="2">
        <f>Table3[[#This Row],[Total Spend]]/SUM(Table3[[#This Row],[Column2]:[Column18]])</f>
        <v>0.77700077700077697</v>
      </c>
    </row>
    <row r="651" spans="1:56">
      <c r="A651" s="87" t="s">
        <v>725</v>
      </c>
      <c r="B651" s="87"/>
      <c r="C651" s="87"/>
      <c r="D651" s="85">
        <v>45566</v>
      </c>
      <c r="E651" s="85" t="s">
        <v>58</v>
      </c>
      <c r="F651" s="84">
        <f>INDEX(Definitions!$G$13:$G$17,MATCH(Table3[[#This Row],[Propensity to buy/ buyer readiness]],Definitions!$A$13:$A$17,0))</f>
        <v>50000</v>
      </c>
      <c r="G651" s="86">
        <v>5</v>
      </c>
      <c r="H651" s="86">
        <v>4</v>
      </c>
      <c r="I651" s="86">
        <v>2</v>
      </c>
      <c r="J651" s="86">
        <v>4</v>
      </c>
      <c r="K651" s="86">
        <v>3</v>
      </c>
      <c r="L651" s="86">
        <f>SUM(Table3[[#This Row],[Strategic priority segment]:[Propensity to buy/ buyer readiness]])</f>
        <v>18</v>
      </c>
      <c r="M651" s="86" t="s">
        <v>191</v>
      </c>
      <c r="N651" s="84" t="s">
        <v>135</v>
      </c>
      <c r="O651" s="87"/>
      <c r="P651" s="87"/>
      <c r="Q651" s="87"/>
      <c r="R651" s="84"/>
      <c r="S651" s="87"/>
      <c r="T651" s="87"/>
      <c r="U651" s="84">
        <v>0</v>
      </c>
      <c r="V651" s="84">
        <v>0</v>
      </c>
      <c r="W651" s="84">
        <v>0</v>
      </c>
      <c r="X651" s="84">
        <v>0</v>
      </c>
      <c r="Y651" s="84">
        <v>0</v>
      </c>
      <c r="Z651" s="84">
        <v>0</v>
      </c>
      <c r="AA651" s="84">
        <v>0</v>
      </c>
      <c r="AB651" s="84">
        <v>0</v>
      </c>
      <c r="AC651" s="84">
        <v>0</v>
      </c>
      <c r="AD651" s="84">
        <v>0</v>
      </c>
      <c r="AE651" s="84">
        <v>0</v>
      </c>
      <c r="AF651" s="84">
        <v>0</v>
      </c>
      <c r="AG651" s="84">
        <v>0</v>
      </c>
      <c r="AH651" s="84">
        <v>1</v>
      </c>
      <c r="AI651" s="84">
        <v>1</v>
      </c>
      <c r="AJ651" s="84">
        <v>1</v>
      </c>
      <c r="AK651" s="84">
        <v>1</v>
      </c>
      <c r="AL651" s="84" cm="1">
        <f t="array" ref="AL6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1" s="84" cm="1">
        <f t="array" ref="AM6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1" s="84" cm="1">
        <f t="array" ref="AN6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1" s="84" cm="1">
        <f t="array" ref="AO6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1" s="84" cm="1">
        <f t="array" ref="AP6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1" s="84" cm="1">
        <f t="array" ref="AQ6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1" s="84" cm="1">
        <f t="array" ref="AR6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1" s="84" cm="1">
        <f t="array" ref="AS6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1" s="84" cm="1">
        <f t="array" ref="AT6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1" s="84" cm="1">
        <f t="array" ref="AU6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1" s="84" cm="1">
        <f t="array" ref="AV6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1" s="84" cm="1">
        <f t="array" ref="AW6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1" s="84" cm="1">
        <f t="array" ref="AX6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1" s="84" cm="1">
        <f t="array" ref="AY6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1" s="84" cm="1">
        <f t="array" ref="AZ6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1" s="84" cm="1">
        <f t="array" ref="BA6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1" s="84" cm="1">
        <f t="array" ref="BB6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1" s="84">
        <f>IF(SUM(Table3[[#This Row],[Column2]:[Column18]])&gt;Table3[[#This Row],[Column19]],Table3[[#This Row],[Column19]],SUM(Table3[[#This Row],[Column2]:[Column18]]))</f>
        <v>50000</v>
      </c>
      <c r="BD651" s="2">
        <f>Table3[[#This Row],[Total Spend]]/SUM(Table3[[#This Row],[Column2]:[Column18]])</f>
        <v>0.77700077700077697</v>
      </c>
    </row>
    <row r="652" spans="1:56">
      <c r="A652" s="87" t="s">
        <v>726</v>
      </c>
      <c r="B652" s="87"/>
      <c r="C652" s="87"/>
      <c r="D652" s="85">
        <v>45566</v>
      </c>
      <c r="E652" s="85" t="s">
        <v>58</v>
      </c>
      <c r="F652" s="84">
        <f>INDEX(Definitions!$G$13:$G$17,MATCH(Table3[[#This Row],[Propensity to buy/ buyer readiness]],Definitions!$A$13:$A$17,0))</f>
        <v>50000</v>
      </c>
      <c r="G652" s="86">
        <v>5</v>
      </c>
      <c r="H652" s="86">
        <v>4</v>
      </c>
      <c r="I652" s="86">
        <v>2</v>
      </c>
      <c r="J652" s="86">
        <v>4</v>
      </c>
      <c r="K652" s="86">
        <v>3</v>
      </c>
      <c r="L652" s="86">
        <f>SUM(Table3[[#This Row],[Strategic priority segment]:[Propensity to buy/ buyer readiness]])</f>
        <v>18</v>
      </c>
      <c r="M652" s="86" t="s">
        <v>191</v>
      </c>
      <c r="N652" s="84" t="s">
        <v>135</v>
      </c>
      <c r="O652" s="87"/>
      <c r="P652" s="87"/>
      <c r="Q652" s="87"/>
      <c r="R652" s="84"/>
      <c r="S652" s="87"/>
      <c r="T652" s="87"/>
      <c r="U652" s="84">
        <v>0</v>
      </c>
      <c r="V652" s="84">
        <v>0</v>
      </c>
      <c r="W652" s="84">
        <v>0</v>
      </c>
      <c r="X652" s="84">
        <v>0</v>
      </c>
      <c r="Y652" s="84">
        <v>0</v>
      </c>
      <c r="Z652" s="84">
        <v>0</v>
      </c>
      <c r="AA652" s="84">
        <v>0</v>
      </c>
      <c r="AB652" s="84">
        <v>0</v>
      </c>
      <c r="AC652" s="84">
        <v>0</v>
      </c>
      <c r="AD652" s="84">
        <v>0</v>
      </c>
      <c r="AE652" s="84">
        <v>0</v>
      </c>
      <c r="AF652" s="84">
        <v>0</v>
      </c>
      <c r="AG652" s="84">
        <v>0</v>
      </c>
      <c r="AH652" s="84">
        <v>1</v>
      </c>
      <c r="AI652" s="84">
        <v>1</v>
      </c>
      <c r="AJ652" s="84">
        <v>1</v>
      </c>
      <c r="AK652" s="84">
        <v>1</v>
      </c>
      <c r="AL652" s="84" cm="1">
        <f t="array" ref="AL6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2" s="84" cm="1">
        <f t="array" ref="AM6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2" s="84" cm="1">
        <f t="array" ref="AN6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2" s="84" cm="1">
        <f t="array" ref="AO6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2" s="84" cm="1">
        <f t="array" ref="AP6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2" s="84" cm="1">
        <f t="array" ref="AQ6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2" s="84" cm="1">
        <f t="array" ref="AR6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2" s="84" cm="1">
        <f t="array" ref="AS6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2" s="84" cm="1">
        <f t="array" ref="AT6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2" s="84" cm="1">
        <f t="array" ref="AU6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2" s="84" cm="1">
        <f t="array" ref="AV6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2" s="84" cm="1">
        <f t="array" ref="AW6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2" s="84" cm="1">
        <f t="array" ref="AX6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2" s="84" cm="1">
        <f t="array" ref="AY6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2" s="84" cm="1">
        <f t="array" ref="AZ6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2" s="84" cm="1">
        <f t="array" ref="BA6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2" s="84" cm="1">
        <f t="array" ref="BB6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2" s="84">
        <f>IF(SUM(Table3[[#This Row],[Column2]:[Column18]])&gt;Table3[[#This Row],[Column19]],Table3[[#This Row],[Column19]],SUM(Table3[[#This Row],[Column2]:[Column18]]))</f>
        <v>50000</v>
      </c>
      <c r="BD652" s="2">
        <f>Table3[[#This Row],[Total Spend]]/SUM(Table3[[#This Row],[Column2]:[Column18]])</f>
        <v>0.77700077700077697</v>
      </c>
    </row>
    <row r="653" spans="1:56">
      <c r="A653" s="87" t="s">
        <v>727</v>
      </c>
      <c r="B653" s="87"/>
      <c r="C653" s="87"/>
      <c r="D653" s="85">
        <v>45566</v>
      </c>
      <c r="E653" s="85" t="s">
        <v>58</v>
      </c>
      <c r="F653" s="84">
        <f>INDEX(Definitions!$G$13:$G$17,MATCH(Table3[[#This Row],[Propensity to buy/ buyer readiness]],Definitions!$A$13:$A$17,0))</f>
        <v>50000</v>
      </c>
      <c r="G653" s="86">
        <v>5</v>
      </c>
      <c r="H653" s="86">
        <v>4</v>
      </c>
      <c r="I653" s="86">
        <v>2</v>
      </c>
      <c r="J653" s="86">
        <v>4</v>
      </c>
      <c r="K653" s="86">
        <v>3</v>
      </c>
      <c r="L653" s="86">
        <f>SUM(Table3[[#This Row],[Strategic priority segment]:[Propensity to buy/ buyer readiness]])</f>
        <v>18</v>
      </c>
      <c r="M653" s="86" t="s">
        <v>191</v>
      </c>
      <c r="N653" s="84" t="s">
        <v>135</v>
      </c>
      <c r="O653" s="87"/>
      <c r="P653" s="87"/>
      <c r="Q653" s="87"/>
      <c r="R653" s="84"/>
      <c r="S653" s="87"/>
      <c r="T653" s="87"/>
      <c r="U653" s="84">
        <v>0</v>
      </c>
      <c r="V653" s="84">
        <v>0</v>
      </c>
      <c r="W653" s="84">
        <v>0</v>
      </c>
      <c r="X653" s="84">
        <v>0</v>
      </c>
      <c r="Y653" s="84">
        <v>0</v>
      </c>
      <c r="Z653" s="84">
        <v>0</v>
      </c>
      <c r="AA653" s="84">
        <v>0</v>
      </c>
      <c r="AB653" s="84">
        <v>0</v>
      </c>
      <c r="AC653" s="84">
        <v>0</v>
      </c>
      <c r="AD653" s="84">
        <v>0</v>
      </c>
      <c r="AE653" s="84">
        <v>0</v>
      </c>
      <c r="AF653" s="84">
        <v>0</v>
      </c>
      <c r="AG653" s="84">
        <v>0</v>
      </c>
      <c r="AH653" s="84">
        <v>1</v>
      </c>
      <c r="AI653" s="84">
        <v>1</v>
      </c>
      <c r="AJ653" s="84">
        <v>1</v>
      </c>
      <c r="AK653" s="84">
        <v>1</v>
      </c>
      <c r="AL653" s="84" cm="1">
        <f t="array" ref="AL6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3" s="84" cm="1">
        <f t="array" ref="AM6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3" s="84" cm="1">
        <f t="array" ref="AN6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3" s="84" cm="1">
        <f t="array" ref="AO6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3" s="84" cm="1">
        <f t="array" ref="AP6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3" s="84" cm="1">
        <f t="array" ref="AQ6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3" s="84" cm="1">
        <f t="array" ref="AR6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3" s="84" cm="1">
        <f t="array" ref="AS6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3" s="84" cm="1">
        <f t="array" ref="AT6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3" s="84" cm="1">
        <f t="array" ref="AU6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3" s="84" cm="1">
        <f t="array" ref="AV6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3" s="84" cm="1">
        <f t="array" ref="AW6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3" s="84" cm="1">
        <f t="array" ref="AX6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3" s="84" cm="1">
        <f t="array" ref="AY6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3" s="84" cm="1">
        <f t="array" ref="AZ6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3" s="84" cm="1">
        <f t="array" ref="BA6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3" s="84" cm="1">
        <f t="array" ref="BB6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3" s="84">
        <f>IF(SUM(Table3[[#This Row],[Column2]:[Column18]])&gt;Table3[[#This Row],[Column19]],Table3[[#This Row],[Column19]],SUM(Table3[[#This Row],[Column2]:[Column18]]))</f>
        <v>50000</v>
      </c>
      <c r="BD653" s="2">
        <f>Table3[[#This Row],[Total Spend]]/SUM(Table3[[#This Row],[Column2]:[Column18]])</f>
        <v>0.77700077700077697</v>
      </c>
    </row>
    <row r="654" spans="1:56">
      <c r="A654" s="87" t="s">
        <v>728</v>
      </c>
      <c r="B654" s="87"/>
      <c r="C654" s="87"/>
      <c r="D654" s="85">
        <v>45566</v>
      </c>
      <c r="E654" s="85" t="s">
        <v>58</v>
      </c>
      <c r="F654" s="84">
        <f>INDEX(Definitions!$G$13:$G$17,MATCH(Table3[[#This Row],[Propensity to buy/ buyer readiness]],Definitions!$A$13:$A$17,0))</f>
        <v>50000</v>
      </c>
      <c r="G654" s="86">
        <v>5</v>
      </c>
      <c r="H654" s="86">
        <v>4</v>
      </c>
      <c r="I654" s="86">
        <v>2</v>
      </c>
      <c r="J654" s="86">
        <v>4</v>
      </c>
      <c r="K654" s="86">
        <v>3</v>
      </c>
      <c r="L654" s="86">
        <f>SUM(Table3[[#This Row],[Strategic priority segment]:[Propensity to buy/ buyer readiness]])</f>
        <v>18</v>
      </c>
      <c r="M654" s="86" t="s">
        <v>191</v>
      </c>
      <c r="N654" s="84" t="s">
        <v>135</v>
      </c>
      <c r="O654" s="87"/>
      <c r="P654" s="87"/>
      <c r="Q654" s="87"/>
      <c r="R654" s="84"/>
      <c r="S654" s="87"/>
      <c r="T654" s="87"/>
      <c r="U654" s="84">
        <v>0</v>
      </c>
      <c r="V654" s="84">
        <v>0</v>
      </c>
      <c r="W654" s="84">
        <v>0</v>
      </c>
      <c r="X654" s="84">
        <v>0</v>
      </c>
      <c r="Y654" s="84">
        <v>0</v>
      </c>
      <c r="Z654" s="84">
        <v>0</v>
      </c>
      <c r="AA654" s="84">
        <v>0</v>
      </c>
      <c r="AB654" s="84">
        <v>0</v>
      </c>
      <c r="AC654" s="84">
        <v>0</v>
      </c>
      <c r="AD654" s="84">
        <v>0</v>
      </c>
      <c r="AE654" s="84">
        <v>0</v>
      </c>
      <c r="AF654" s="84">
        <v>0</v>
      </c>
      <c r="AG654" s="84">
        <v>0</v>
      </c>
      <c r="AH654" s="84">
        <v>1</v>
      </c>
      <c r="AI654" s="84">
        <v>1</v>
      </c>
      <c r="AJ654" s="84">
        <v>1</v>
      </c>
      <c r="AK654" s="84">
        <v>1</v>
      </c>
      <c r="AL654" s="84" cm="1">
        <f t="array" ref="AL6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4" s="84" cm="1">
        <f t="array" ref="AM6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4" s="84" cm="1">
        <f t="array" ref="AN6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4" s="84" cm="1">
        <f t="array" ref="AO6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4" s="84" cm="1">
        <f t="array" ref="AP6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4" s="84" cm="1">
        <f t="array" ref="AQ6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4" s="84" cm="1">
        <f t="array" ref="AR6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4" s="84" cm="1">
        <f t="array" ref="AS6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4" s="84" cm="1">
        <f t="array" ref="AT6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4" s="84" cm="1">
        <f t="array" ref="AU6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4" s="84" cm="1">
        <f t="array" ref="AV6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4" s="84" cm="1">
        <f t="array" ref="AW6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4" s="84" cm="1">
        <f t="array" ref="AX6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4" s="84" cm="1">
        <f t="array" ref="AY6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4" s="84" cm="1">
        <f t="array" ref="AZ6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4" s="84" cm="1">
        <f t="array" ref="BA6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4" s="84" cm="1">
        <f t="array" ref="BB6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4" s="84">
        <f>IF(SUM(Table3[[#This Row],[Column2]:[Column18]])&gt;Table3[[#This Row],[Column19]],Table3[[#This Row],[Column19]],SUM(Table3[[#This Row],[Column2]:[Column18]]))</f>
        <v>50000</v>
      </c>
      <c r="BD654" s="2">
        <f>Table3[[#This Row],[Total Spend]]/SUM(Table3[[#This Row],[Column2]:[Column18]])</f>
        <v>0.77700077700077697</v>
      </c>
    </row>
    <row r="655" spans="1:56">
      <c r="A655" s="84" t="s">
        <v>729</v>
      </c>
      <c r="B655" s="84" t="s">
        <v>57</v>
      </c>
      <c r="C655" s="84"/>
      <c r="D655" s="85">
        <v>45566</v>
      </c>
      <c r="E655" s="85" t="s">
        <v>58</v>
      </c>
      <c r="F655" s="84">
        <f>INDEX(Definitions!$G$13:$G$17,MATCH(Table3[[#This Row],[Propensity to buy/ buyer readiness]],Definitions!$A$13:$A$17,0))</f>
        <v>150000</v>
      </c>
      <c r="G655" s="86">
        <v>4</v>
      </c>
      <c r="H655" s="86">
        <v>3</v>
      </c>
      <c r="I655" s="86">
        <v>4</v>
      </c>
      <c r="J655" s="86">
        <v>3</v>
      </c>
      <c r="K655" s="86">
        <v>4</v>
      </c>
      <c r="L655" s="86">
        <f>SUM(Table3[[#This Row],[Strategic priority segment]:[Propensity to buy/ buyer readiness]])</f>
        <v>18</v>
      </c>
      <c r="M655" s="86" t="s">
        <v>152</v>
      </c>
      <c r="N655" s="84" t="s">
        <v>122</v>
      </c>
      <c r="O655" s="84"/>
      <c r="P655" s="87"/>
      <c r="Q655" s="87"/>
      <c r="R655" s="84"/>
      <c r="S655" s="84"/>
      <c r="T655" s="87"/>
      <c r="U655" s="84">
        <v>1</v>
      </c>
      <c r="V655" s="84">
        <v>0</v>
      </c>
      <c r="W655" s="84">
        <v>0</v>
      </c>
      <c r="X655" s="84">
        <v>0</v>
      </c>
      <c r="Y655" s="84">
        <v>0</v>
      </c>
      <c r="Z655" s="84">
        <v>1</v>
      </c>
      <c r="AA655" s="84">
        <v>0</v>
      </c>
      <c r="AB655" s="84">
        <v>1</v>
      </c>
      <c r="AC655" s="84">
        <v>0</v>
      </c>
      <c r="AD655" s="84">
        <v>1</v>
      </c>
      <c r="AE655" s="84">
        <v>0</v>
      </c>
      <c r="AF655" s="84">
        <v>1</v>
      </c>
      <c r="AG655" s="84">
        <v>0</v>
      </c>
      <c r="AH655" s="84">
        <v>0</v>
      </c>
      <c r="AI655" s="84">
        <v>0</v>
      </c>
      <c r="AJ655" s="84">
        <v>0</v>
      </c>
      <c r="AK655" s="84">
        <v>0</v>
      </c>
      <c r="AL655" s="84" cm="1">
        <f t="array" ref="AL6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55" s="84" cm="1">
        <f t="array" ref="AM6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5" s="84" cm="1">
        <f t="array" ref="AN6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5" s="84" cm="1">
        <f t="array" ref="AO6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5" s="84" cm="1">
        <f t="array" ref="AP6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5" s="84" cm="1">
        <f t="array" ref="AQ6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55" s="84" cm="1">
        <f t="array" ref="AR6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5" s="84" cm="1">
        <f t="array" ref="AS6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55" s="84" cm="1">
        <f t="array" ref="AT6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5" s="84" cm="1">
        <f t="array" ref="AU6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55" s="84" cm="1">
        <f t="array" ref="AV6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5" s="84" cm="1">
        <f t="array" ref="AW6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55" s="84" cm="1">
        <f t="array" ref="AX6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5" s="84" cm="1">
        <f t="array" ref="AY6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55" s="84" cm="1">
        <f t="array" ref="AZ6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55" s="84" cm="1">
        <f t="array" ref="BA6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55" s="84" cm="1">
        <f t="array" ref="BB6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55" s="84">
        <f>IF(SUM(Table3[[#This Row],[Column2]:[Column18]])&gt;Table3[[#This Row],[Column19]],Table3[[#This Row],[Column19]],SUM(Table3[[#This Row],[Column2]:[Column18]]))</f>
        <v>150000</v>
      </c>
      <c r="BD655" s="2">
        <f>Table3[[#This Row],[Total Spend]]/SUM(Table3[[#This Row],[Column2]:[Column18]])</f>
        <v>0.89605734767025091</v>
      </c>
    </row>
    <row r="656" spans="1:56">
      <c r="A656" s="87" t="s">
        <v>730</v>
      </c>
      <c r="B656" s="87"/>
      <c r="C656" s="87"/>
      <c r="D656" s="85">
        <v>45566</v>
      </c>
      <c r="E656" s="85" t="s">
        <v>58</v>
      </c>
      <c r="F656" s="84">
        <f>INDEX(Definitions!$G$13:$G$17,MATCH(Table3[[#This Row],[Propensity to buy/ buyer readiness]],Definitions!$A$13:$A$17,0))</f>
        <v>50000</v>
      </c>
      <c r="G656" s="86">
        <v>5</v>
      </c>
      <c r="H656" s="86">
        <v>4</v>
      </c>
      <c r="I656" s="86">
        <v>2</v>
      </c>
      <c r="J656" s="86">
        <v>4</v>
      </c>
      <c r="K656" s="86">
        <v>3</v>
      </c>
      <c r="L656" s="86">
        <f>SUM(Table3[[#This Row],[Strategic priority segment]:[Propensity to buy/ buyer readiness]])</f>
        <v>18</v>
      </c>
      <c r="M656" s="86" t="s">
        <v>191</v>
      </c>
      <c r="N656" s="84" t="s">
        <v>135</v>
      </c>
      <c r="O656" s="87"/>
      <c r="P656" s="87"/>
      <c r="Q656" s="87"/>
      <c r="R656" s="84"/>
      <c r="S656" s="87"/>
      <c r="T656" s="84"/>
      <c r="U656" s="84">
        <v>0</v>
      </c>
      <c r="V656" s="84">
        <v>0</v>
      </c>
      <c r="W656" s="84">
        <v>0</v>
      </c>
      <c r="X656" s="84">
        <v>0</v>
      </c>
      <c r="Y656" s="84">
        <v>0</v>
      </c>
      <c r="Z656" s="84">
        <v>0</v>
      </c>
      <c r="AA656" s="84">
        <v>0</v>
      </c>
      <c r="AB656" s="84">
        <v>0</v>
      </c>
      <c r="AC656" s="84">
        <v>0</v>
      </c>
      <c r="AD656" s="84">
        <v>0</v>
      </c>
      <c r="AE656" s="84">
        <v>0</v>
      </c>
      <c r="AF656" s="84">
        <v>0</v>
      </c>
      <c r="AG656" s="84">
        <v>0</v>
      </c>
      <c r="AH656" s="84">
        <v>1</v>
      </c>
      <c r="AI656" s="84">
        <v>1</v>
      </c>
      <c r="AJ656" s="84">
        <v>1</v>
      </c>
      <c r="AK656" s="84">
        <v>1</v>
      </c>
      <c r="AL656" s="84" cm="1">
        <f t="array" ref="AL6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6" s="84" cm="1">
        <f t="array" ref="AM6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6" s="84" cm="1">
        <f t="array" ref="AN6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6" s="84" cm="1">
        <f t="array" ref="AO6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6" s="84" cm="1">
        <f t="array" ref="AP6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6" s="84" cm="1">
        <f t="array" ref="AQ6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6" s="84" cm="1">
        <f t="array" ref="AR6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6" s="84" cm="1">
        <f t="array" ref="AS6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6" s="84" cm="1">
        <f t="array" ref="AT6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6" s="84" cm="1">
        <f t="array" ref="AU6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6" s="84" cm="1">
        <f t="array" ref="AV6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6" s="84" cm="1">
        <f t="array" ref="AW6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6" s="84" cm="1">
        <f t="array" ref="AX6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6" s="84" cm="1">
        <f t="array" ref="AY6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6" s="84" cm="1">
        <f t="array" ref="AZ6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6" s="84" cm="1">
        <f t="array" ref="BA6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6" s="84" cm="1">
        <f t="array" ref="BB6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6" s="84">
        <f>IF(SUM(Table3[[#This Row],[Column2]:[Column18]])&gt;Table3[[#This Row],[Column19]],Table3[[#This Row],[Column19]],SUM(Table3[[#This Row],[Column2]:[Column18]]))</f>
        <v>50000</v>
      </c>
      <c r="BD656" s="2">
        <f>Table3[[#This Row],[Total Spend]]/SUM(Table3[[#This Row],[Column2]:[Column18]])</f>
        <v>0.77700077700077697</v>
      </c>
    </row>
    <row r="657" spans="1:56">
      <c r="A657" s="84" t="s">
        <v>731</v>
      </c>
      <c r="B657" s="84" t="s">
        <v>57</v>
      </c>
      <c r="C657" s="84"/>
      <c r="D657" s="85">
        <v>45566</v>
      </c>
      <c r="E657" s="85" t="s">
        <v>92</v>
      </c>
      <c r="F657" s="84">
        <f>INDEX(Definitions!$G$13:$G$17,MATCH(Table3[[#This Row],[Propensity to buy/ buyer readiness]],Definitions!$A$13:$A$17,0))</f>
        <v>50000</v>
      </c>
      <c r="G657" s="86">
        <v>5</v>
      </c>
      <c r="H657" s="86">
        <v>4</v>
      </c>
      <c r="I657" s="86">
        <v>3</v>
      </c>
      <c r="J657" s="86">
        <v>3</v>
      </c>
      <c r="K657" s="86">
        <v>3</v>
      </c>
      <c r="L657" s="86">
        <f>SUM(Table3[[#This Row],[Strategic priority segment]:[Propensity to buy/ buyer readiness]])</f>
        <v>18</v>
      </c>
      <c r="M657" s="86" t="s">
        <v>66</v>
      </c>
      <c r="N657" s="84" t="s">
        <v>62</v>
      </c>
      <c r="O657" s="84" t="s">
        <v>63</v>
      </c>
      <c r="P657" s="87"/>
      <c r="Q657" s="87"/>
      <c r="R657" s="84"/>
      <c r="S657" s="84"/>
      <c r="T657" s="87"/>
      <c r="U657" s="84">
        <v>1</v>
      </c>
      <c r="V657" s="84">
        <v>0</v>
      </c>
      <c r="W657" s="84">
        <v>1</v>
      </c>
      <c r="X657" s="84">
        <v>0</v>
      </c>
      <c r="Y657" s="84">
        <v>0</v>
      </c>
      <c r="Z657" s="84">
        <v>0</v>
      </c>
      <c r="AA657" s="84">
        <v>1</v>
      </c>
      <c r="AB657" s="84">
        <v>0</v>
      </c>
      <c r="AC657" s="84">
        <v>0</v>
      </c>
      <c r="AD657" s="84">
        <v>1</v>
      </c>
      <c r="AE657" s="84">
        <v>1</v>
      </c>
      <c r="AF657" s="84">
        <v>1</v>
      </c>
      <c r="AG657" s="84">
        <v>1</v>
      </c>
      <c r="AH657" s="84">
        <v>0</v>
      </c>
      <c r="AI657" s="84">
        <v>0</v>
      </c>
      <c r="AJ657" s="84">
        <v>0</v>
      </c>
      <c r="AK657" s="84">
        <v>0</v>
      </c>
      <c r="AL657" s="84" cm="1">
        <f t="array" ref="AL6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57" s="84" cm="1">
        <f t="array" ref="AM6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7" s="84" cm="1">
        <f t="array" ref="AN6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57" s="84" cm="1">
        <f t="array" ref="AO6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7" s="84" cm="1">
        <f t="array" ref="AP6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7" s="84" cm="1">
        <f t="array" ref="AQ6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7" s="84" cm="1">
        <f t="array" ref="AR6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57" s="84" cm="1">
        <f t="array" ref="AS6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7" s="84" cm="1">
        <f t="array" ref="AT6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7" s="84" cm="1">
        <f t="array" ref="AU6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57" s="84" cm="1">
        <f t="array" ref="AV6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57" s="84" cm="1">
        <f t="array" ref="AW6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57" s="84" cm="1">
        <f t="array" ref="AX6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57" s="84" cm="1">
        <f t="array" ref="AY6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57" s="84" cm="1">
        <f t="array" ref="AZ6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57" s="84" cm="1">
        <f t="array" ref="BA6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57" s="84" cm="1">
        <f t="array" ref="BB6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57" s="84">
        <f>IF(SUM(Table3[[#This Row],[Column2]:[Column18]])&gt;Table3[[#This Row],[Column19]],Table3[[#This Row],[Column19]],SUM(Table3[[#This Row],[Column2]:[Column18]]))</f>
        <v>50000</v>
      </c>
      <c r="BD657" s="2">
        <f>Table3[[#This Row],[Total Spend]]/SUM(Table3[[#This Row],[Column2]:[Column18]])</f>
        <v>0.30778701138811942</v>
      </c>
    </row>
    <row r="658" spans="1:56">
      <c r="A658" s="87" t="s">
        <v>732</v>
      </c>
      <c r="B658" s="87"/>
      <c r="C658" s="87" t="s">
        <v>57</v>
      </c>
      <c r="D658" s="85">
        <v>45566</v>
      </c>
      <c r="E658" s="85" t="s">
        <v>58</v>
      </c>
      <c r="F658" s="84">
        <f>INDEX(Definitions!$G$13:$G$17,MATCH(Table3[[#This Row],[Propensity to buy/ buyer readiness]],Definitions!$A$13:$A$17,0))</f>
        <v>150000</v>
      </c>
      <c r="G658" s="86">
        <v>4</v>
      </c>
      <c r="H658" s="86">
        <v>3</v>
      </c>
      <c r="I658" s="86">
        <v>4</v>
      </c>
      <c r="J658" s="86">
        <v>3</v>
      </c>
      <c r="K658" s="86">
        <v>4</v>
      </c>
      <c r="L658" s="86">
        <f>SUM(Table3[[#This Row],[Strategic priority segment]:[Propensity to buy/ buyer readiness]])</f>
        <v>18</v>
      </c>
      <c r="M658" s="86" t="s">
        <v>152</v>
      </c>
      <c r="N658" s="84" t="s">
        <v>122</v>
      </c>
      <c r="O658" s="87"/>
      <c r="P658" s="87"/>
      <c r="Q658" s="87"/>
      <c r="R658" s="84"/>
      <c r="S658" s="87"/>
      <c r="T658" s="87"/>
      <c r="U658" s="84">
        <v>1</v>
      </c>
      <c r="V658" s="84">
        <v>0</v>
      </c>
      <c r="W658" s="84">
        <v>0</v>
      </c>
      <c r="X658" s="84">
        <v>0</v>
      </c>
      <c r="Y658" s="84">
        <v>0</v>
      </c>
      <c r="Z658" s="84">
        <v>1</v>
      </c>
      <c r="AA658" s="84">
        <v>0</v>
      </c>
      <c r="AB658" s="84">
        <v>1</v>
      </c>
      <c r="AC658" s="84">
        <v>0</v>
      </c>
      <c r="AD658" s="84">
        <v>1</v>
      </c>
      <c r="AE658" s="84">
        <v>0</v>
      </c>
      <c r="AF658" s="84">
        <v>1</v>
      </c>
      <c r="AG658" s="84">
        <v>0</v>
      </c>
      <c r="AH658" s="84">
        <v>0</v>
      </c>
      <c r="AI658" s="84">
        <v>0</v>
      </c>
      <c r="AJ658" s="84">
        <v>0</v>
      </c>
      <c r="AK658" s="84">
        <v>0</v>
      </c>
      <c r="AL658" s="84" cm="1">
        <f t="array" ref="AL6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58" s="84" cm="1">
        <f t="array" ref="AM6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8" s="84" cm="1">
        <f t="array" ref="AN6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8" s="84" cm="1">
        <f t="array" ref="AO6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8" s="84" cm="1">
        <f t="array" ref="AP6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8" s="84" cm="1">
        <f t="array" ref="AQ6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58" s="84" cm="1">
        <f t="array" ref="AR6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8" s="84" cm="1">
        <f t="array" ref="AS6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58" s="84" cm="1">
        <f t="array" ref="AT6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8" s="84" cm="1">
        <f t="array" ref="AU6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58" s="84" cm="1">
        <f t="array" ref="AV6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8" s="84" cm="1">
        <f t="array" ref="AW6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58" s="84" cm="1">
        <f t="array" ref="AX6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8" s="84" cm="1">
        <f t="array" ref="AY6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58" s="84" cm="1">
        <f t="array" ref="AZ6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58" s="84" cm="1">
        <f t="array" ref="BA6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58" s="84" cm="1">
        <f t="array" ref="BB6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58" s="84">
        <f>IF(SUM(Table3[[#This Row],[Column2]:[Column18]])&gt;Table3[[#This Row],[Column19]],Table3[[#This Row],[Column19]],SUM(Table3[[#This Row],[Column2]:[Column18]]))</f>
        <v>150000</v>
      </c>
      <c r="BD658" s="2">
        <f>Table3[[#This Row],[Total Spend]]/SUM(Table3[[#This Row],[Column2]:[Column18]])</f>
        <v>0.89605734767025091</v>
      </c>
    </row>
    <row r="659" spans="1:56" ht="28.5">
      <c r="A659" s="87" t="s">
        <v>733</v>
      </c>
      <c r="B659" s="87"/>
      <c r="C659" s="87"/>
      <c r="D659" s="85">
        <v>45566</v>
      </c>
      <c r="E659" s="85" t="s">
        <v>58</v>
      </c>
      <c r="F659" s="84">
        <f>INDEX(Definitions!$G$13:$G$17,MATCH(Table3[[#This Row],[Propensity to buy/ buyer readiness]],Definitions!$A$13:$A$17,0))</f>
        <v>50000</v>
      </c>
      <c r="G659" s="86">
        <v>5</v>
      </c>
      <c r="H659" s="86">
        <v>4</v>
      </c>
      <c r="I659" s="86">
        <v>2</v>
      </c>
      <c r="J659" s="86">
        <v>4</v>
      </c>
      <c r="K659" s="86">
        <v>3</v>
      </c>
      <c r="L659" s="86">
        <f>SUM(Table3[[#This Row],[Strategic priority segment]:[Propensity to buy/ buyer readiness]])</f>
        <v>18</v>
      </c>
      <c r="M659" s="86" t="s">
        <v>191</v>
      </c>
      <c r="N659" s="84" t="s">
        <v>135</v>
      </c>
      <c r="O659" s="87"/>
      <c r="P659" s="87"/>
      <c r="Q659" s="87"/>
      <c r="R659" s="84"/>
      <c r="S659" s="87"/>
      <c r="T659" s="84"/>
      <c r="U659" s="84">
        <v>0</v>
      </c>
      <c r="V659" s="84">
        <v>0</v>
      </c>
      <c r="W659" s="84">
        <v>0</v>
      </c>
      <c r="X659" s="84">
        <v>0</v>
      </c>
      <c r="Y659" s="84">
        <v>0</v>
      </c>
      <c r="Z659" s="84">
        <v>0</v>
      </c>
      <c r="AA659" s="84">
        <v>0</v>
      </c>
      <c r="AB659" s="84">
        <v>0</v>
      </c>
      <c r="AC659" s="84">
        <v>0</v>
      </c>
      <c r="AD659" s="84">
        <v>0</v>
      </c>
      <c r="AE659" s="84">
        <v>0</v>
      </c>
      <c r="AF659" s="84">
        <v>0</v>
      </c>
      <c r="AG659" s="84">
        <v>0</v>
      </c>
      <c r="AH659" s="84">
        <v>1</v>
      </c>
      <c r="AI659" s="84">
        <v>1</v>
      </c>
      <c r="AJ659" s="84">
        <v>1</v>
      </c>
      <c r="AK659" s="84">
        <v>1</v>
      </c>
      <c r="AL659" s="84" cm="1">
        <f t="array" ref="AL6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59" s="84" cm="1">
        <f t="array" ref="AM6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59" s="84" cm="1">
        <f t="array" ref="AN6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59" s="84" cm="1">
        <f t="array" ref="AO6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59" s="84" cm="1">
        <f t="array" ref="AP6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59" s="84" cm="1">
        <f t="array" ref="AQ6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59" s="84" cm="1">
        <f t="array" ref="AR6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59" s="84" cm="1">
        <f t="array" ref="AS6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59" s="84" cm="1">
        <f t="array" ref="AT6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59" s="84" cm="1">
        <f t="array" ref="AU6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59" s="84" cm="1">
        <f t="array" ref="AV6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59" s="84" cm="1">
        <f t="array" ref="AW6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59" s="84" cm="1">
        <f t="array" ref="AX6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59" s="84" cm="1">
        <f t="array" ref="AY6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59" s="84" cm="1">
        <f t="array" ref="AZ6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59" s="84" cm="1">
        <f t="array" ref="BA6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59" s="84" cm="1">
        <f t="array" ref="BB6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59" s="84">
        <f>IF(SUM(Table3[[#This Row],[Column2]:[Column18]])&gt;Table3[[#This Row],[Column19]],Table3[[#This Row],[Column19]],SUM(Table3[[#This Row],[Column2]:[Column18]]))</f>
        <v>50000</v>
      </c>
      <c r="BD659" s="2">
        <f>Table3[[#This Row],[Total Spend]]/SUM(Table3[[#This Row],[Column2]:[Column18]])</f>
        <v>0.77700077700077697</v>
      </c>
    </row>
    <row r="660" spans="1:56">
      <c r="A660" s="87" t="s">
        <v>734</v>
      </c>
      <c r="B660" s="87"/>
      <c r="C660" s="87"/>
      <c r="D660" s="85">
        <v>45566</v>
      </c>
      <c r="E660" s="85" t="s">
        <v>58</v>
      </c>
      <c r="F660" s="84">
        <f>INDEX(Definitions!$G$13:$G$17,MATCH(Table3[[#This Row],[Propensity to buy/ buyer readiness]],Definitions!$A$13:$A$17,0))</f>
        <v>50000</v>
      </c>
      <c r="G660" s="86">
        <v>5</v>
      </c>
      <c r="H660" s="86">
        <v>4</v>
      </c>
      <c r="I660" s="86">
        <v>2</v>
      </c>
      <c r="J660" s="86">
        <v>4</v>
      </c>
      <c r="K660" s="86">
        <v>3</v>
      </c>
      <c r="L660" s="86">
        <f>SUM(Table3[[#This Row],[Strategic priority segment]:[Propensity to buy/ buyer readiness]])</f>
        <v>18</v>
      </c>
      <c r="M660" s="86" t="s">
        <v>191</v>
      </c>
      <c r="N660" s="84" t="s">
        <v>135</v>
      </c>
      <c r="O660" s="87"/>
      <c r="P660" s="87"/>
      <c r="Q660" s="87"/>
      <c r="R660" s="84"/>
      <c r="S660" s="87"/>
      <c r="T660" s="87"/>
      <c r="U660" s="84">
        <v>0</v>
      </c>
      <c r="V660" s="84">
        <v>0</v>
      </c>
      <c r="W660" s="84">
        <v>0</v>
      </c>
      <c r="X660" s="84">
        <v>0</v>
      </c>
      <c r="Y660" s="84">
        <v>0</v>
      </c>
      <c r="Z660" s="84">
        <v>0</v>
      </c>
      <c r="AA660" s="84">
        <v>0</v>
      </c>
      <c r="AB660" s="84">
        <v>0</v>
      </c>
      <c r="AC660" s="84">
        <v>0</v>
      </c>
      <c r="AD660" s="84">
        <v>0</v>
      </c>
      <c r="AE660" s="84">
        <v>0</v>
      </c>
      <c r="AF660" s="84">
        <v>0</v>
      </c>
      <c r="AG660" s="84">
        <v>0</v>
      </c>
      <c r="AH660" s="84">
        <v>1</v>
      </c>
      <c r="AI660" s="84">
        <v>1</v>
      </c>
      <c r="AJ660" s="84">
        <v>1</v>
      </c>
      <c r="AK660" s="84">
        <v>1</v>
      </c>
      <c r="AL660" s="84" cm="1">
        <f t="array" ref="AL6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0" s="84" cm="1">
        <f t="array" ref="AM6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0" s="84" cm="1">
        <f t="array" ref="AN6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0" s="84" cm="1">
        <f t="array" ref="AO6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0" s="84" cm="1">
        <f t="array" ref="AP6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0" s="84" cm="1">
        <f t="array" ref="AQ6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0" s="84" cm="1">
        <f t="array" ref="AR6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0" s="84" cm="1">
        <f t="array" ref="AS6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0" s="84" cm="1">
        <f t="array" ref="AT6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0" s="84" cm="1">
        <f t="array" ref="AU6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0" s="84" cm="1">
        <f t="array" ref="AV6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0" s="84" cm="1">
        <f t="array" ref="AW6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0" s="84" cm="1">
        <f t="array" ref="AX6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0" s="84" cm="1">
        <f t="array" ref="AY6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0" s="84" cm="1">
        <f t="array" ref="AZ6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0" s="84" cm="1">
        <f t="array" ref="BA6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0" s="84" cm="1">
        <f t="array" ref="BB6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0" s="84">
        <f>IF(SUM(Table3[[#This Row],[Column2]:[Column18]])&gt;Table3[[#This Row],[Column19]],Table3[[#This Row],[Column19]],SUM(Table3[[#This Row],[Column2]:[Column18]]))</f>
        <v>50000</v>
      </c>
      <c r="BD660" s="2">
        <f>Table3[[#This Row],[Total Spend]]/SUM(Table3[[#This Row],[Column2]:[Column18]])</f>
        <v>0.77700077700077697</v>
      </c>
    </row>
    <row r="661" spans="1:56">
      <c r="A661" s="84" t="s">
        <v>735</v>
      </c>
      <c r="B661" s="84" t="s">
        <v>57</v>
      </c>
      <c r="C661" s="84"/>
      <c r="D661" s="85">
        <v>45566</v>
      </c>
      <c r="E661" s="85" t="s">
        <v>92</v>
      </c>
      <c r="F661" s="84">
        <f>INDEX(Definitions!$G$13:$G$17,MATCH(Table3[[#This Row],[Propensity to buy/ buyer readiness]],Definitions!$A$13:$A$17,0))</f>
        <v>50000</v>
      </c>
      <c r="G661" s="86">
        <v>5</v>
      </c>
      <c r="H661" s="86">
        <v>4</v>
      </c>
      <c r="I661" s="86">
        <v>3</v>
      </c>
      <c r="J661" s="86">
        <v>3</v>
      </c>
      <c r="K661" s="86">
        <v>3</v>
      </c>
      <c r="L661" s="86">
        <f>SUM(Table3[[#This Row],[Strategic priority segment]:[Propensity to buy/ buyer readiness]])</f>
        <v>18</v>
      </c>
      <c r="M661" s="86" t="s">
        <v>66</v>
      </c>
      <c r="N661" s="84" t="s">
        <v>62</v>
      </c>
      <c r="O661" s="84"/>
      <c r="P661" s="87"/>
      <c r="Q661" s="87"/>
      <c r="R661" s="84"/>
      <c r="S661" s="84"/>
      <c r="T661" s="87"/>
      <c r="U661" s="84">
        <v>1</v>
      </c>
      <c r="V661" s="84">
        <v>0</v>
      </c>
      <c r="W661" s="84">
        <v>0</v>
      </c>
      <c r="X661" s="84">
        <v>0</v>
      </c>
      <c r="Y661" s="84">
        <v>0</v>
      </c>
      <c r="Z661" s="84">
        <v>0</v>
      </c>
      <c r="AA661" s="84">
        <v>0</v>
      </c>
      <c r="AB661" s="84">
        <v>0</v>
      </c>
      <c r="AC661" s="84">
        <v>0</v>
      </c>
      <c r="AD661" s="84">
        <v>1</v>
      </c>
      <c r="AE661" s="84">
        <v>1</v>
      </c>
      <c r="AF661" s="84">
        <v>1</v>
      </c>
      <c r="AG661" s="84">
        <v>1</v>
      </c>
      <c r="AH661" s="84">
        <v>0</v>
      </c>
      <c r="AI661" s="84">
        <v>0</v>
      </c>
      <c r="AJ661" s="84">
        <v>0</v>
      </c>
      <c r="AK661" s="84">
        <v>0</v>
      </c>
      <c r="AL661" s="84" cm="1">
        <f t="array" ref="AL6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61" s="84" cm="1">
        <f t="array" ref="AM6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1" s="84" cm="1">
        <f t="array" ref="AN6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1" s="84" cm="1">
        <f t="array" ref="AO6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1" s="84" cm="1">
        <f t="array" ref="AP6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1" s="84" cm="1">
        <f t="array" ref="AQ6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1" s="84" cm="1">
        <f t="array" ref="AR6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1" s="84" cm="1">
        <f t="array" ref="AS6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1" s="84" cm="1">
        <f t="array" ref="AT6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1" s="84" cm="1">
        <f t="array" ref="AU6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61" s="84" cm="1">
        <f t="array" ref="AV6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61" s="84" cm="1">
        <f t="array" ref="AW6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61" s="84" cm="1">
        <f t="array" ref="AX6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61" s="84" cm="1">
        <f t="array" ref="AY6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61" s="84" cm="1">
        <f t="array" ref="AZ6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61" s="84" cm="1">
        <f t="array" ref="BA6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61" s="84" cm="1">
        <f t="array" ref="BB6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61" s="84">
        <f>IF(SUM(Table3[[#This Row],[Column2]:[Column18]])&gt;Table3[[#This Row],[Column19]],Table3[[#This Row],[Column19]],SUM(Table3[[#This Row],[Column2]:[Column18]]))</f>
        <v>50000</v>
      </c>
      <c r="BD661" s="2">
        <f>Table3[[#This Row],[Total Spend]]/SUM(Table3[[#This Row],[Column2]:[Column18]])</f>
        <v>0.53163211057947901</v>
      </c>
    </row>
    <row r="662" spans="1:56">
      <c r="A662" s="84" t="s">
        <v>736</v>
      </c>
      <c r="B662" s="84"/>
      <c r="C662" s="84"/>
      <c r="D662" s="85">
        <v>45566</v>
      </c>
      <c r="E662" s="85" t="s">
        <v>58</v>
      </c>
      <c r="F662" s="84">
        <f>INDEX(Definitions!$G$13:$G$17,MATCH(Table3[[#This Row],[Propensity to buy/ buyer readiness]],Definitions!$A$13:$A$17,0))</f>
        <v>150000</v>
      </c>
      <c r="G662" s="86">
        <v>4</v>
      </c>
      <c r="H662" s="86">
        <v>4</v>
      </c>
      <c r="I662" s="86">
        <v>3</v>
      </c>
      <c r="J662" s="86">
        <v>3</v>
      </c>
      <c r="K662" s="86">
        <v>4</v>
      </c>
      <c r="L662" s="86">
        <f>SUM(Table3[[#This Row],[Strategic priority segment]:[Propensity to buy/ buyer readiness]])</f>
        <v>18</v>
      </c>
      <c r="M662" s="86" t="s">
        <v>152</v>
      </c>
      <c r="N662" s="84" t="s">
        <v>122</v>
      </c>
      <c r="O662" s="84" t="s">
        <v>62</v>
      </c>
      <c r="P662" s="87"/>
      <c r="Q662" s="87"/>
      <c r="R662" s="84"/>
      <c r="S662" s="87"/>
      <c r="T662" s="87"/>
      <c r="U662" s="84">
        <v>1</v>
      </c>
      <c r="V662" s="84">
        <v>0</v>
      </c>
      <c r="W662" s="84">
        <v>0</v>
      </c>
      <c r="X662" s="84">
        <v>0</v>
      </c>
      <c r="Y662" s="84">
        <v>0</v>
      </c>
      <c r="Z662" s="84">
        <v>1</v>
      </c>
      <c r="AA662" s="84">
        <v>0</v>
      </c>
      <c r="AB662" s="84">
        <v>1</v>
      </c>
      <c r="AC662" s="84">
        <v>0</v>
      </c>
      <c r="AD662" s="84">
        <v>1</v>
      </c>
      <c r="AE662" s="84">
        <v>1</v>
      </c>
      <c r="AF662" s="84">
        <v>1</v>
      </c>
      <c r="AG662" s="84">
        <v>1</v>
      </c>
      <c r="AH662" s="84">
        <v>0</v>
      </c>
      <c r="AI662" s="84">
        <v>0</v>
      </c>
      <c r="AJ662" s="84">
        <v>0</v>
      </c>
      <c r="AK662" s="84">
        <v>0</v>
      </c>
      <c r="AL662" s="84" cm="1">
        <f t="array" ref="AL6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62" s="84" cm="1">
        <f t="array" ref="AM6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2" s="84" cm="1">
        <f t="array" ref="AN6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2" s="84" cm="1">
        <f t="array" ref="AO6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2" s="84" cm="1">
        <f t="array" ref="AP6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2" s="84" cm="1">
        <f t="array" ref="AQ6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62" s="84" cm="1">
        <f t="array" ref="AR6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2" s="84" cm="1">
        <f t="array" ref="AS6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62" s="84" cm="1">
        <f t="array" ref="AT6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2" s="84" cm="1">
        <f t="array" ref="AU6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62" s="84" cm="1">
        <f t="array" ref="AV6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662" s="84" cm="1">
        <f t="array" ref="AW6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62" s="84" cm="1">
        <f t="array" ref="AX6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662" s="84" cm="1">
        <f t="array" ref="AY6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62" s="84" cm="1">
        <f t="array" ref="AZ6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62" s="84" cm="1">
        <f t="array" ref="BA6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62" s="84" cm="1">
        <f t="array" ref="BB6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62" s="84">
        <f>IF(SUM(Table3[[#This Row],[Column2]:[Column18]])&gt;Table3[[#This Row],[Column19]],Table3[[#This Row],[Column19]],SUM(Table3[[#This Row],[Column2]:[Column18]]))</f>
        <v>150000</v>
      </c>
      <c r="BD662" s="2">
        <f>Table3[[#This Row],[Total Spend]]/SUM(Table3[[#This Row],[Column2]:[Column18]])</f>
        <v>0.70028011204481788</v>
      </c>
    </row>
    <row r="663" spans="1:56">
      <c r="A663" s="87" t="s">
        <v>737</v>
      </c>
      <c r="B663" s="87"/>
      <c r="C663" s="87"/>
      <c r="D663" s="85">
        <v>45566</v>
      </c>
      <c r="E663" s="85" t="s">
        <v>58</v>
      </c>
      <c r="F663" s="84">
        <f>INDEX(Definitions!$G$13:$G$17,MATCH(Table3[[#This Row],[Propensity to buy/ buyer readiness]],Definitions!$A$13:$A$17,0))</f>
        <v>50000</v>
      </c>
      <c r="G663" s="86">
        <v>5</v>
      </c>
      <c r="H663" s="86">
        <v>4</v>
      </c>
      <c r="I663" s="86">
        <v>2</v>
      </c>
      <c r="J663" s="86">
        <v>4</v>
      </c>
      <c r="K663" s="86">
        <v>3</v>
      </c>
      <c r="L663" s="86">
        <f>SUM(Table3[[#This Row],[Strategic priority segment]:[Propensity to buy/ buyer readiness]])</f>
        <v>18</v>
      </c>
      <c r="M663" s="86" t="s">
        <v>191</v>
      </c>
      <c r="N663" s="84" t="s">
        <v>135</v>
      </c>
      <c r="O663" s="87"/>
      <c r="P663" s="87"/>
      <c r="Q663" s="87"/>
      <c r="R663" s="84"/>
      <c r="S663" s="87"/>
      <c r="T663" s="84"/>
      <c r="U663" s="84">
        <v>0</v>
      </c>
      <c r="V663" s="84">
        <v>0</v>
      </c>
      <c r="W663" s="84">
        <v>0</v>
      </c>
      <c r="X663" s="84">
        <v>0</v>
      </c>
      <c r="Y663" s="84">
        <v>0</v>
      </c>
      <c r="Z663" s="84">
        <v>0</v>
      </c>
      <c r="AA663" s="84">
        <v>0</v>
      </c>
      <c r="AB663" s="84">
        <v>0</v>
      </c>
      <c r="AC663" s="84">
        <v>0</v>
      </c>
      <c r="AD663" s="84">
        <v>0</v>
      </c>
      <c r="AE663" s="84">
        <v>0</v>
      </c>
      <c r="AF663" s="84">
        <v>0</v>
      </c>
      <c r="AG663" s="84">
        <v>0</v>
      </c>
      <c r="AH663" s="84">
        <v>1</v>
      </c>
      <c r="AI663" s="84">
        <v>1</v>
      </c>
      <c r="AJ663" s="84">
        <v>1</v>
      </c>
      <c r="AK663" s="84">
        <v>1</v>
      </c>
      <c r="AL663" s="84" cm="1">
        <f t="array" ref="AL6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3" s="84" cm="1">
        <f t="array" ref="AM6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3" s="84" cm="1">
        <f t="array" ref="AN6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3" s="84" cm="1">
        <f t="array" ref="AO6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3" s="84" cm="1">
        <f t="array" ref="AP6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3" s="84" cm="1">
        <f t="array" ref="AQ6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3" s="84" cm="1">
        <f t="array" ref="AR6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3" s="84" cm="1">
        <f t="array" ref="AS6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3" s="84" cm="1">
        <f t="array" ref="AT6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3" s="84" cm="1">
        <f t="array" ref="AU6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3" s="84" cm="1">
        <f t="array" ref="AV6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3" s="84" cm="1">
        <f t="array" ref="AW6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3" s="84" cm="1">
        <f t="array" ref="AX6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3" s="84" cm="1">
        <f t="array" ref="AY6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3" s="84" cm="1">
        <f t="array" ref="AZ6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3" s="84" cm="1">
        <f t="array" ref="BA6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3" s="84" cm="1">
        <f t="array" ref="BB6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3" s="84">
        <f>IF(SUM(Table3[[#This Row],[Column2]:[Column18]])&gt;Table3[[#This Row],[Column19]],Table3[[#This Row],[Column19]],SUM(Table3[[#This Row],[Column2]:[Column18]]))</f>
        <v>50000</v>
      </c>
      <c r="BD663" s="2">
        <f>Table3[[#This Row],[Total Spend]]/SUM(Table3[[#This Row],[Column2]:[Column18]])</f>
        <v>0.77700077700077697</v>
      </c>
    </row>
    <row r="664" spans="1:56">
      <c r="A664" s="87" t="s">
        <v>738</v>
      </c>
      <c r="B664" s="87"/>
      <c r="C664" s="87"/>
      <c r="D664" s="85">
        <v>45566</v>
      </c>
      <c r="E664" s="85" t="s">
        <v>58</v>
      </c>
      <c r="F664" s="84">
        <f>INDEX(Definitions!$G$13:$G$17,MATCH(Table3[[#This Row],[Propensity to buy/ buyer readiness]],Definitions!$A$13:$A$17,0))</f>
        <v>50000</v>
      </c>
      <c r="G664" s="86">
        <v>5</v>
      </c>
      <c r="H664" s="86">
        <v>4</v>
      </c>
      <c r="I664" s="86">
        <v>2</v>
      </c>
      <c r="J664" s="86">
        <v>4</v>
      </c>
      <c r="K664" s="86">
        <v>3</v>
      </c>
      <c r="L664" s="86">
        <f>SUM(Table3[[#This Row],[Strategic priority segment]:[Propensity to buy/ buyer readiness]])</f>
        <v>18</v>
      </c>
      <c r="M664" s="86" t="s">
        <v>191</v>
      </c>
      <c r="N664" s="84" t="s">
        <v>135</v>
      </c>
      <c r="O664" s="87"/>
      <c r="P664" s="87"/>
      <c r="Q664" s="87"/>
      <c r="R664" s="84"/>
      <c r="S664" s="87"/>
      <c r="T664" s="87"/>
      <c r="U664" s="84">
        <v>0</v>
      </c>
      <c r="V664" s="84">
        <v>0</v>
      </c>
      <c r="W664" s="84">
        <v>0</v>
      </c>
      <c r="X664" s="84">
        <v>0</v>
      </c>
      <c r="Y664" s="84">
        <v>0</v>
      </c>
      <c r="Z664" s="84">
        <v>0</v>
      </c>
      <c r="AA664" s="84">
        <v>0</v>
      </c>
      <c r="AB664" s="84">
        <v>0</v>
      </c>
      <c r="AC664" s="84">
        <v>0</v>
      </c>
      <c r="AD664" s="84">
        <v>0</v>
      </c>
      <c r="AE664" s="84">
        <v>0</v>
      </c>
      <c r="AF664" s="84">
        <v>0</v>
      </c>
      <c r="AG664" s="84">
        <v>0</v>
      </c>
      <c r="AH664" s="84">
        <v>1</v>
      </c>
      <c r="AI664" s="84">
        <v>1</v>
      </c>
      <c r="AJ664" s="84">
        <v>1</v>
      </c>
      <c r="AK664" s="84">
        <v>1</v>
      </c>
      <c r="AL664" s="84" cm="1">
        <f t="array" ref="AL6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4" s="84" cm="1">
        <f t="array" ref="AM6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4" s="84" cm="1">
        <f t="array" ref="AN6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4" s="84" cm="1">
        <f t="array" ref="AO6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4" s="84" cm="1">
        <f t="array" ref="AP6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4" s="84" cm="1">
        <f t="array" ref="AQ6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4" s="84" cm="1">
        <f t="array" ref="AR6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4" s="84" cm="1">
        <f t="array" ref="AS6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4" s="84" cm="1">
        <f t="array" ref="AT6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4" s="84" cm="1">
        <f t="array" ref="AU6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4" s="84" cm="1">
        <f t="array" ref="AV6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4" s="84" cm="1">
        <f t="array" ref="AW6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4" s="84" cm="1">
        <f t="array" ref="AX6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4" s="84" cm="1">
        <f t="array" ref="AY6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4" s="84" cm="1">
        <f t="array" ref="AZ6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4" s="84" cm="1">
        <f t="array" ref="BA6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4" s="84" cm="1">
        <f t="array" ref="BB6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4" s="84">
        <f>IF(SUM(Table3[[#This Row],[Column2]:[Column18]])&gt;Table3[[#This Row],[Column19]],Table3[[#This Row],[Column19]],SUM(Table3[[#This Row],[Column2]:[Column18]]))</f>
        <v>50000</v>
      </c>
      <c r="BD664" s="2">
        <f>Table3[[#This Row],[Total Spend]]/SUM(Table3[[#This Row],[Column2]:[Column18]])</f>
        <v>0.77700077700077697</v>
      </c>
    </row>
    <row r="665" spans="1:56" ht="28.5">
      <c r="A665" s="87" t="s">
        <v>739</v>
      </c>
      <c r="B665" s="87"/>
      <c r="C665" s="87"/>
      <c r="D665" s="85">
        <v>45566</v>
      </c>
      <c r="E665" s="85" t="s">
        <v>58</v>
      </c>
      <c r="F665" s="84">
        <f>INDEX(Definitions!$G$13:$G$17,MATCH(Table3[[#This Row],[Propensity to buy/ buyer readiness]],Definitions!$A$13:$A$17,0))</f>
        <v>50000</v>
      </c>
      <c r="G665" s="86">
        <v>5</v>
      </c>
      <c r="H665" s="86">
        <v>4</v>
      </c>
      <c r="I665" s="86">
        <v>2</v>
      </c>
      <c r="J665" s="86">
        <v>4</v>
      </c>
      <c r="K665" s="86">
        <v>3</v>
      </c>
      <c r="L665" s="86">
        <f>SUM(Table3[[#This Row],[Strategic priority segment]:[Propensity to buy/ buyer readiness]])</f>
        <v>18</v>
      </c>
      <c r="M665" s="86" t="s">
        <v>191</v>
      </c>
      <c r="N665" s="84" t="s">
        <v>135</v>
      </c>
      <c r="O665" s="87"/>
      <c r="P665" s="87"/>
      <c r="Q665" s="87"/>
      <c r="R665" s="84"/>
      <c r="S665" s="87"/>
      <c r="T665" s="84"/>
      <c r="U665" s="84">
        <v>0</v>
      </c>
      <c r="V665" s="84">
        <v>0</v>
      </c>
      <c r="W665" s="84">
        <v>0</v>
      </c>
      <c r="X665" s="84">
        <v>0</v>
      </c>
      <c r="Y665" s="84">
        <v>0</v>
      </c>
      <c r="Z665" s="84">
        <v>0</v>
      </c>
      <c r="AA665" s="84">
        <v>0</v>
      </c>
      <c r="AB665" s="84">
        <v>0</v>
      </c>
      <c r="AC665" s="84">
        <v>0</v>
      </c>
      <c r="AD665" s="84">
        <v>0</v>
      </c>
      <c r="AE665" s="84">
        <v>0</v>
      </c>
      <c r="AF665" s="84">
        <v>0</v>
      </c>
      <c r="AG665" s="84">
        <v>0</v>
      </c>
      <c r="AH665" s="84">
        <v>1</v>
      </c>
      <c r="AI665" s="84">
        <v>1</v>
      </c>
      <c r="AJ665" s="84">
        <v>1</v>
      </c>
      <c r="AK665" s="84">
        <v>1</v>
      </c>
      <c r="AL665" s="84" cm="1">
        <f t="array" ref="AL6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5" s="84" cm="1">
        <f t="array" ref="AM6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5" s="84" cm="1">
        <f t="array" ref="AN6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5" s="84" cm="1">
        <f t="array" ref="AO6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5" s="84" cm="1">
        <f t="array" ref="AP6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5" s="84" cm="1">
        <f t="array" ref="AQ6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5" s="84" cm="1">
        <f t="array" ref="AR6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5" s="84" cm="1">
        <f t="array" ref="AS6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5" s="84" cm="1">
        <f t="array" ref="AT6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5" s="84" cm="1">
        <f t="array" ref="AU6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5" s="84" cm="1">
        <f t="array" ref="AV6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5" s="84" cm="1">
        <f t="array" ref="AW6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5" s="84" cm="1">
        <f t="array" ref="AX6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5" s="84" cm="1">
        <f t="array" ref="AY6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5" s="84" cm="1">
        <f t="array" ref="AZ6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5" s="84" cm="1">
        <f t="array" ref="BA6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5" s="84" cm="1">
        <f t="array" ref="BB6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5" s="84">
        <f>IF(SUM(Table3[[#This Row],[Column2]:[Column18]])&gt;Table3[[#This Row],[Column19]],Table3[[#This Row],[Column19]],SUM(Table3[[#This Row],[Column2]:[Column18]]))</f>
        <v>50000</v>
      </c>
      <c r="BD665" s="2">
        <f>Table3[[#This Row],[Total Spend]]/SUM(Table3[[#This Row],[Column2]:[Column18]])</f>
        <v>0.77700077700077697</v>
      </c>
    </row>
    <row r="666" spans="1:56">
      <c r="A666" s="87" t="s">
        <v>740</v>
      </c>
      <c r="B666" s="87"/>
      <c r="C666" s="87"/>
      <c r="D666" s="85">
        <v>45566</v>
      </c>
      <c r="E666" s="85" t="s">
        <v>58</v>
      </c>
      <c r="F666" s="84">
        <f>INDEX(Definitions!$G$13:$G$17,MATCH(Table3[[#This Row],[Propensity to buy/ buyer readiness]],Definitions!$A$13:$A$17,0))</f>
        <v>50000</v>
      </c>
      <c r="G666" s="86">
        <v>5</v>
      </c>
      <c r="H666" s="86">
        <v>4</v>
      </c>
      <c r="I666" s="86">
        <v>2</v>
      </c>
      <c r="J666" s="86">
        <v>4</v>
      </c>
      <c r="K666" s="86">
        <v>3</v>
      </c>
      <c r="L666" s="86">
        <f>SUM(Table3[[#This Row],[Strategic priority segment]:[Propensity to buy/ buyer readiness]])</f>
        <v>18</v>
      </c>
      <c r="M666" s="86" t="s">
        <v>191</v>
      </c>
      <c r="N666" s="84" t="s">
        <v>135</v>
      </c>
      <c r="O666" s="87" t="s">
        <v>76</v>
      </c>
      <c r="P666" s="87"/>
      <c r="Q666" s="87"/>
      <c r="R666" s="84"/>
      <c r="S666" s="87"/>
      <c r="T666" s="84"/>
      <c r="U666" s="84">
        <v>0</v>
      </c>
      <c r="V666" s="84">
        <v>0</v>
      </c>
      <c r="W666" s="84">
        <v>0</v>
      </c>
      <c r="X666" s="84">
        <v>0</v>
      </c>
      <c r="Y666" s="84">
        <v>0</v>
      </c>
      <c r="Z666" s="84">
        <v>0</v>
      </c>
      <c r="AA666" s="84">
        <v>0</v>
      </c>
      <c r="AB666" s="84">
        <v>0</v>
      </c>
      <c r="AC666" s="84">
        <v>0</v>
      </c>
      <c r="AD666" s="84">
        <v>0</v>
      </c>
      <c r="AE666" s="84">
        <v>0</v>
      </c>
      <c r="AF666" s="84">
        <v>0</v>
      </c>
      <c r="AG666" s="84">
        <v>0</v>
      </c>
      <c r="AH666" s="84">
        <v>1</v>
      </c>
      <c r="AI666" s="84">
        <v>1</v>
      </c>
      <c r="AJ666" s="84">
        <v>1</v>
      </c>
      <c r="AK666" s="84">
        <v>1</v>
      </c>
      <c r="AL666" s="84" cm="1">
        <f t="array" ref="AL6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6" s="84" cm="1">
        <f t="array" ref="AM6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6" s="84" cm="1">
        <f t="array" ref="AN6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6" s="84" cm="1">
        <f t="array" ref="AO6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6" s="84" cm="1">
        <f t="array" ref="AP6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6" s="84" cm="1">
        <f t="array" ref="AQ6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6" s="84" cm="1">
        <f t="array" ref="AR6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6" s="84" cm="1">
        <f t="array" ref="AS6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6" s="84" cm="1">
        <f t="array" ref="AT6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6" s="84" cm="1">
        <f t="array" ref="AU6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6" s="84" cm="1">
        <f t="array" ref="AV6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6" s="84" cm="1">
        <f t="array" ref="AW6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6" s="84" cm="1">
        <f t="array" ref="AX6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6" s="84" cm="1">
        <f t="array" ref="AY6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6" s="84" cm="1">
        <f t="array" ref="AZ6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6" s="84" cm="1">
        <f t="array" ref="BA6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6" s="84" cm="1">
        <f t="array" ref="BB6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6" s="84">
        <f>IF(SUM(Table3[[#This Row],[Column2]:[Column18]])&gt;Table3[[#This Row],[Column19]],Table3[[#This Row],[Column19]],SUM(Table3[[#This Row],[Column2]:[Column18]]))</f>
        <v>50000</v>
      </c>
      <c r="BD666" s="2">
        <f>Table3[[#This Row],[Total Spend]]/SUM(Table3[[#This Row],[Column2]:[Column18]])</f>
        <v>0.77700077700077697</v>
      </c>
    </row>
    <row r="667" spans="1:56" ht="18" customHeight="1">
      <c r="A667" s="84" t="s">
        <v>741</v>
      </c>
      <c r="B667" s="84" t="s">
        <v>57</v>
      </c>
      <c r="C667" s="84"/>
      <c r="D667" s="85">
        <v>45566</v>
      </c>
      <c r="E667" s="85" t="s">
        <v>92</v>
      </c>
      <c r="F667" s="84">
        <f>INDEX(Definitions!$G$13:$G$17,MATCH(Table3[[#This Row],[Propensity to buy/ buyer readiness]],Definitions!$A$13:$A$17,0))</f>
        <v>50000</v>
      </c>
      <c r="G667" s="86">
        <v>4</v>
      </c>
      <c r="H667" s="86">
        <v>3</v>
      </c>
      <c r="I667" s="86">
        <v>4</v>
      </c>
      <c r="J667" s="86">
        <v>4</v>
      </c>
      <c r="K667" s="86">
        <v>3</v>
      </c>
      <c r="L667" s="86">
        <f>SUM(Table3[[#This Row],[Strategic priority segment]:[Propensity to buy/ buyer readiness]])</f>
        <v>18</v>
      </c>
      <c r="M667" s="86" t="s">
        <v>59</v>
      </c>
      <c r="N667" s="84" t="s">
        <v>63</v>
      </c>
      <c r="O667" s="84"/>
      <c r="P667" s="87"/>
      <c r="Q667" s="87"/>
      <c r="R667" s="84"/>
      <c r="S667" s="84"/>
      <c r="T667" s="87"/>
      <c r="U667" s="84">
        <v>1</v>
      </c>
      <c r="V667" s="84">
        <v>0</v>
      </c>
      <c r="W667" s="84">
        <v>1</v>
      </c>
      <c r="X667" s="84">
        <v>0</v>
      </c>
      <c r="Y667" s="84">
        <v>0</v>
      </c>
      <c r="Z667" s="84">
        <v>0</v>
      </c>
      <c r="AA667" s="84">
        <v>1</v>
      </c>
      <c r="AB667" s="84">
        <v>0</v>
      </c>
      <c r="AC667" s="84">
        <v>0</v>
      </c>
      <c r="AD667" s="84">
        <v>1</v>
      </c>
      <c r="AE667" s="84">
        <v>1</v>
      </c>
      <c r="AF667" s="84">
        <v>1</v>
      </c>
      <c r="AG667" s="84">
        <v>0</v>
      </c>
      <c r="AH667" s="84">
        <v>0</v>
      </c>
      <c r="AI667" s="84">
        <v>0</v>
      </c>
      <c r="AJ667" s="84">
        <v>0</v>
      </c>
      <c r="AK667" s="84">
        <v>0</v>
      </c>
      <c r="AL667" s="84" cm="1">
        <f t="array" ref="AL6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67" s="84" cm="1">
        <f t="array" ref="AM6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7" s="84" cm="1">
        <f t="array" ref="AN6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67" s="84" cm="1">
        <f t="array" ref="AO6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7" s="84" cm="1">
        <f t="array" ref="AP6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7" s="84" cm="1">
        <f t="array" ref="AQ6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7" s="84" cm="1">
        <f t="array" ref="AR6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67" s="84" cm="1">
        <f t="array" ref="AS6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7" s="84" cm="1">
        <f t="array" ref="AT6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7" s="84" cm="1">
        <f t="array" ref="AU6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67" s="84" cm="1">
        <f t="array" ref="AV6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67" s="84" cm="1">
        <f t="array" ref="AW6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67" s="84" cm="1">
        <f t="array" ref="AX6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7" s="84" cm="1">
        <f t="array" ref="AY6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67" s="84" cm="1">
        <f t="array" ref="AZ6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67" s="84" cm="1">
        <f t="array" ref="BA6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67" s="84" cm="1">
        <f t="array" ref="BB6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67" s="84">
        <f>IF(SUM(Table3[[#This Row],[Column2]:[Column18]])&gt;Table3[[#This Row],[Column19]],Table3[[#This Row],[Column19]],SUM(Table3[[#This Row],[Column2]:[Column18]]))</f>
        <v>50000</v>
      </c>
      <c r="BD667" s="2">
        <f>Table3[[#This Row],[Total Spend]]/SUM(Table3[[#This Row],[Column2]:[Column18]])</f>
        <v>0.36429872495446264</v>
      </c>
    </row>
    <row r="668" spans="1:56">
      <c r="A668" s="87" t="s">
        <v>742</v>
      </c>
      <c r="B668" s="87"/>
      <c r="C668" s="87"/>
      <c r="D668" s="85">
        <v>45566</v>
      </c>
      <c r="E668" s="85" t="s">
        <v>58</v>
      </c>
      <c r="F668" s="84">
        <f>INDEX(Definitions!$G$13:$G$17,MATCH(Table3[[#This Row],[Propensity to buy/ buyer readiness]],Definitions!$A$13:$A$17,0))</f>
        <v>50000</v>
      </c>
      <c r="G668" s="86">
        <v>5</v>
      </c>
      <c r="H668" s="86">
        <v>4</v>
      </c>
      <c r="I668" s="86">
        <v>2</v>
      </c>
      <c r="J668" s="86">
        <v>4</v>
      </c>
      <c r="K668" s="86">
        <v>3</v>
      </c>
      <c r="L668" s="86">
        <f>SUM(Table3[[#This Row],[Strategic priority segment]:[Propensity to buy/ buyer readiness]])</f>
        <v>18</v>
      </c>
      <c r="M668" s="86" t="s">
        <v>191</v>
      </c>
      <c r="N668" s="84" t="s">
        <v>135</v>
      </c>
      <c r="O668" s="87"/>
      <c r="P668" s="87"/>
      <c r="Q668" s="87"/>
      <c r="R668" s="84"/>
      <c r="S668" s="87"/>
      <c r="T668" s="87"/>
      <c r="U668" s="84">
        <v>0</v>
      </c>
      <c r="V668" s="84">
        <v>0</v>
      </c>
      <c r="W668" s="84">
        <v>0</v>
      </c>
      <c r="X668" s="84">
        <v>0</v>
      </c>
      <c r="Y668" s="84">
        <v>0</v>
      </c>
      <c r="Z668" s="84">
        <v>0</v>
      </c>
      <c r="AA668" s="84">
        <v>0</v>
      </c>
      <c r="AB668" s="84">
        <v>0</v>
      </c>
      <c r="AC668" s="84">
        <v>0</v>
      </c>
      <c r="AD668" s="84">
        <v>0</v>
      </c>
      <c r="AE668" s="84">
        <v>0</v>
      </c>
      <c r="AF668" s="84">
        <v>0</v>
      </c>
      <c r="AG668" s="84">
        <v>0</v>
      </c>
      <c r="AH668" s="84">
        <v>1</v>
      </c>
      <c r="AI668" s="84">
        <v>1</v>
      </c>
      <c r="AJ668" s="84">
        <v>1</v>
      </c>
      <c r="AK668" s="84">
        <v>1</v>
      </c>
      <c r="AL668" s="84" cm="1">
        <f t="array" ref="AL6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8" s="84" cm="1">
        <f t="array" ref="AM6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8" s="84" cm="1">
        <f t="array" ref="AN6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8" s="84" cm="1">
        <f t="array" ref="AO6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8" s="84" cm="1">
        <f t="array" ref="AP6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8" s="84" cm="1">
        <f t="array" ref="AQ6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8" s="84" cm="1">
        <f t="array" ref="AR6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8" s="84" cm="1">
        <f t="array" ref="AS6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8" s="84" cm="1">
        <f t="array" ref="AT6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8" s="84" cm="1">
        <f t="array" ref="AU6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8" s="84" cm="1">
        <f t="array" ref="AV6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8" s="84" cm="1">
        <f t="array" ref="AW6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8" s="84" cm="1">
        <f t="array" ref="AX6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8" s="84" cm="1">
        <f t="array" ref="AY6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8" s="84" cm="1">
        <f t="array" ref="AZ6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8" s="84" cm="1">
        <f t="array" ref="BA6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8" s="84" cm="1">
        <f t="array" ref="BB6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8" s="84">
        <f>IF(SUM(Table3[[#This Row],[Column2]:[Column18]])&gt;Table3[[#This Row],[Column19]],Table3[[#This Row],[Column19]],SUM(Table3[[#This Row],[Column2]:[Column18]]))</f>
        <v>50000</v>
      </c>
      <c r="BD668" s="2">
        <f>Table3[[#This Row],[Total Spend]]/SUM(Table3[[#This Row],[Column2]:[Column18]])</f>
        <v>0.77700077700077697</v>
      </c>
    </row>
    <row r="669" spans="1:56">
      <c r="A669" s="87" t="s">
        <v>743</v>
      </c>
      <c r="B669" s="87"/>
      <c r="C669" s="87"/>
      <c r="D669" s="85">
        <v>45566</v>
      </c>
      <c r="E669" s="85" t="s">
        <v>58</v>
      </c>
      <c r="F669" s="84">
        <f>INDEX(Definitions!$G$13:$G$17,MATCH(Table3[[#This Row],[Propensity to buy/ buyer readiness]],Definitions!$A$13:$A$17,0))</f>
        <v>50000</v>
      </c>
      <c r="G669" s="86">
        <v>5</v>
      </c>
      <c r="H669" s="86">
        <v>4</v>
      </c>
      <c r="I669" s="86">
        <v>2</v>
      </c>
      <c r="J669" s="86">
        <v>4</v>
      </c>
      <c r="K669" s="86">
        <v>3</v>
      </c>
      <c r="L669" s="86">
        <f>SUM(Table3[[#This Row],[Strategic priority segment]:[Propensity to buy/ buyer readiness]])</f>
        <v>18</v>
      </c>
      <c r="M669" s="86" t="s">
        <v>191</v>
      </c>
      <c r="N669" s="84" t="s">
        <v>135</v>
      </c>
      <c r="O669" s="87"/>
      <c r="P669" s="87"/>
      <c r="Q669" s="87"/>
      <c r="R669" s="84"/>
      <c r="S669" s="87"/>
      <c r="T669" s="84"/>
      <c r="U669" s="84">
        <v>0</v>
      </c>
      <c r="V669" s="84">
        <v>0</v>
      </c>
      <c r="W669" s="84">
        <v>0</v>
      </c>
      <c r="X669" s="84">
        <v>0</v>
      </c>
      <c r="Y669" s="84">
        <v>0</v>
      </c>
      <c r="Z669" s="84">
        <v>0</v>
      </c>
      <c r="AA669" s="84">
        <v>0</v>
      </c>
      <c r="AB669" s="84">
        <v>0</v>
      </c>
      <c r="AC669" s="84">
        <v>0</v>
      </c>
      <c r="AD669" s="84">
        <v>0</v>
      </c>
      <c r="AE669" s="84">
        <v>0</v>
      </c>
      <c r="AF669" s="84">
        <v>0</v>
      </c>
      <c r="AG669" s="84">
        <v>0</v>
      </c>
      <c r="AH669" s="84">
        <v>1</v>
      </c>
      <c r="AI669" s="84">
        <v>1</v>
      </c>
      <c r="AJ669" s="84">
        <v>1</v>
      </c>
      <c r="AK669" s="84">
        <v>1</v>
      </c>
      <c r="AL669" s="84" cm="1">
        <f t="array" ref="AL6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69" s="84" cm="1">
        <f t="array" ref="AM6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69" s="84" cm="1">
        <f t="array" ref="AN6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69" s="84" cm="1">
        <f t="array" ref="AO6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69" s="84" cm="1">
        <f t="array" ref="AP6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69" s="84" cm="1">
        <f t="array" ref="AQ6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69" s="84" cm="1">
        <f t="array" ref="AR6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69" s="84" cm="1">
        <f t="array" ref="AS6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69" s="84" cm="1">
        <f t="array" ref="AT6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69" s="84" cm="1">
        <f t="array" ref="AU6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69" s="84" cm="1">
        <f t="array" ref="AV6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69" s="84" cm="1">
        <f t="array" ref="AW6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69" s="84" cm="1">
        <f t="array" ref="AX6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69" s="84" cm="1">
        <f t="array" ref="AY6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69" s="84" cm="1">
        <f t="array" ref="AZ6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69" s="84" cm="1">
        <f t="array" ref="BA6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69" s="84" cm="1">
        <f t="array" ref="BB6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69" s="84">
        <f>IF(SUM(Table3[[#This Row],[Column2]:[Column18]])&gt;Table3[[#This Row],[Column19]],Table3[[#This Row],[Column19]],SUM(Table3[[#This Row],[Column2]:[Column18]]))</f>
        <v>50000</v>
      </c>
      <c r="BD669" s="2">
        <f>Table3[[#This Row],[Total Spend]]/SUM(Table3[[#This Row],[Column2]:[Column18]])</f>
        <v>0.77700077700077697</v>
      </c>
    </row>
    <row r="670" spans="1:56">
      <c r="A670" s="84" t="s">
        <v>744</v>
      </c>
      <c r="B670" s="84" t="s">
        <v>57</v>
      </c>
      <c r="C670" s="84"/>
      <c r="D670" s="85">
        <v>45566</v>
      </c>
      <c r="E670" s="85" t="s">
        <v>58</v>
      </c>
      <c r="F670" s="84">
        <f>INDEX(Definitions!$G$13:$G$17,MATCH(Table3[[#This Row],[Propensity to buy/ buyer readiness]],Definitions!$A$13:$A$17,0))</f>
        <v>150000</v>
      </c>
      <c r="G670" s="86">
        <v>4</v>
      </c>
      <c r="H670" s="86">
        <v>3</v>
      </c>
      <c r="I670" s="86">
        <v>4</v>
      </c>
      <c r="J670" s="86">
        <v>3</v>
      </c>
      <c r="K670" s="86">
        <v>4</v>
      </c>
      <c r="L670" s="86">
        <f>SUM(Table3[[#This Row],[Strategic priority segment]:[Propensity to buy/ buyer readiness]])</f>
        <v>18</v>
      </c>
      <c r="M670" s="86" t="s">
        <v>152</v>
      </c>
      <c r="N670" s="84" t="s">
        <v>130</v>
      </c>
      <c r="O670" s="84"/>
      <c r="P670" s="87"/>
      <c r="Q670" s="87"/>
      <c r="R670" s="84"/>
      <c r="S670" s="84"/>
      <c r="T670" s="84"/>
      <c r="U670" s="84">
        <v>1</v>
      </c>
      <c r="V670" s="84">
        <v>0</v>
      </c>
      <c r="W670" s="84">
        <v>0</v>
      </c>
      <c r="X670" s="84">
        <v>0</v>
      </c>
      <c r="Y670" s="84">
        <v>0</v>
      </c>
      <c r="Z670" s="84">
        <v>0</v>
      </c>
      <c r="AA670" s="84">
        <v>0</v>
      </c>
      <c r="AB670" s="84">
        <v>0</v>
      </c>
      <c r="AC670" s="84">
        <v>0</v>
      </c>
      <c r="AD670" s="84">
        <v>0</v>
      </c>
      <c r="AE670" s="84">
        <v>0</v>
      </c>
      <c r="AF670" s="84">
        <v>0</v>
      </c>
      <c r="AG670" s="84">
        <v>0</v>
      </c>
      <c r="AH670" s="84">
        <v>0</v>
      </c>
      <c r="AI670" s="84">
        <v>0</v>
      </c>
      <c r="AJ670" s="84">
        <v>0</v>
      </c>
      <c r="AK670" s="84">
        <v>0</v>
      </c>
      <c r="AL670" s="84" cm="1">
        <f t="array" ref="AL6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70" s="84" cm="1">
        <f t="array" ref="AM6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0" s="84" cm="1">
        <f t="array" ref="AN6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0" s="84" cm="1">
        <f t="array" ref="AO6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0" s="84" cm="1">
        <f t="array" ref="AP6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0" s="84" cm="1">
        <f t="array" ref="AQ6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0" s="84" cm="1">
        <f t="array" ref="AR6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0" s="84" cm="1">
        <f t="array" ref="AS6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0" s="84" cm="1">
        <f t="array" ref="AT6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0" s="84" cm="1">
        <f t="array" ref="AU6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0" s="84" cm="1">
        <f t="array" ref="AV6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0" s="84" cm="1">
        <f t="array" ref="AW6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0" s="84" cm="1">
        <f t="array" ref="AX6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0" s="84" cm="1">
        <f t="array" ref="AY6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70" s="84" cm="1">
        <f t="array" ref="AZ6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70" s="84" cm="1">
        <f t="array" ref="BA6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70" s="84" cm="1">
        <f t="array" ref="BB6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70" s="84">
        <f>IF(SUM(Table3[[#This Row],[Column2]:[Column18]])&gt;Table3[[#This Row],[Column19]],Table3[[#This Row],[Column19]],SUM(Table3[[#This Row],[Column2]:[Column18]]))</f>
        <v>10800</v>
      </c>
      <c r="BD670" s="2">
        <f>Table3[[#This Row],[Total Spend]]/SUM(Table3[[#This Row],[Column2]:[Column18]])</f>
        <v>1</v>
      </c>
    </row>
    <row r="671" spans="1:56">
      <c r="A671" s="84" t="s">
        <v>745</v>
      </c>
      <c r="B671" s="84" t="s">
        <v>57</v>
      </c>
      <c r="C671" s="84" t="s">
        <v>57</v>
      </c>
      <c r="D671" s="85">
        <v>45566</v>
      </c>
      <c r="E671" s="85" t="s">
        <v>58</v>
      </c>
      <c r="F671" s="84">
        <f>INDEX(Definitions!$G$13:$G$17,MATCH(Table3[[#This Row],[Propensity to buy/ buyer readiness]],Definitions!$A$13:$A$17,0))</f>
        <v>150000</v>
      </c>
      <c r="G671" s="86">
        <v>4</v>
      </c>
      <c r="H671" s="86">
        <v>3</v>
      </c>
      <c r="I671" s="86">
        <v>4</v>
      </c>
      <c r="J671" s="86">
        <v>3</v>
      </c>
      <c r="K671" s="86">
        <v>4</v>
      </c>
      <c r="L671" s="86">
        <f>SUM(Table3[[#This Row],[Strategic priority segment]:[Propensity to buy/ buyer readiness]])</f>
        <v>18</v>
      </c>
      <c r="M671" s="86" t="s">
        <v>152</v>
      </c>
      <c r="N671" s="84" t="s">
        <v>130</v>
      </c>
      <c r="O671" s="84"/>
      <c r="P671" s="87"/>
      <c r="Q671" s="87"/>
      <c r="R671" s="84"/>
      <c r="S671" s="84"/>
      <c r="T671" s="87"/>
      <c r="U671" s="84">
        <v>1</v>
      </c>
      <c r="V671" s="84">
        <v>0</v>
      </c>
      <c r="W671" s="84">
        <v>0</v>
      </c>
      <c r="X671" s="84">
        <v>0</v>
      </c>
      <c r="Y671" s="84">
        <v>0</v>
      </c>
      <c r="Z671" s="84">
        <v>0</v>
      </c>
      <c r="AA671" s="84">
        <v>0</v>
      </c>
      <c r="AB671" s="84">
        <v>0</v>
      </c>
      <c r="AC671" s="84">
        <v>0</v>
      </c>
      <c r="AD671" s="84">
        <v>0</v>
      </c>
      <c r="AE671" s="84">
        <v>0</v>
      </c>
      <c r="AF671" s="84">
        <v>0</v>
      </c>
      <c r="AG671" s="84">
        <v>0</v>
      </c>
      <c r="AH671" s="84">
        <v>0</v>
      </c>
      <c r="AI671" s="84">
        <v>0</v>
      </c>
      <c r="AJ671" s="84">
        <v>0</v>
      </c>
      <c r="AK671" s="84">
        <v>0</v>
      </c>
      <c r="AL671" s="84" cm="1">
        <f t="array" ref="AL6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71" s="84" cm="1">
        <f t="array" ref="AM6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1" s="84" cm="1">
        <f t="array" ref="AN6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1" s="84" cm="1">
        <f t="array" ref="AO6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1" s="84" cm="1">
        <f t="array" ref="AP6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1" s="84" cm="1">
        <f t="array" ref="AQ6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1" s="84" cm="1">
        <f t="array" ref="AR6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1" s="84" cm="1">
        <f t="array" ref="AS6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1" s="84" cm="1">
        <f t="array" ref="AT6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1" s="84" cm="1">
        <f t="array" ref="AU6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1" s="84" cm="1">
        <f t="array" ref="AV6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1" s="84" cm="1">
        <f t="array" ref="AW6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1" s="84" cm="1">
        <f t="array" ref="AX6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1" s="84" cm="1">
        <f t="array" ref="AY6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71" s="84" cm="1">
        <f t="array" ref="AZ6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71" s="84" cm="1">
        <f t="array" ref="BA6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71" s="84" cm="1">
        <f t="array" ref="BB6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71" s="84">
        <f>IF(SUM(Table3[[#This Row],[Column2]:[Column18]])&gt;Table3[[#This Row],[Column19]],Table3[[#This Row],[Column19]],SUM(Table3[[#This Row],[Column2]:[Column18]]))</f>
        <v>10800</v>
      </c>
      <c r="BD671" s="2">
        <f>Table3[[#This Row],[Total Spend]]/SUM(Table3[[#This Row],[Column2]:[Column18]])</f>
        <v>1</v>
      </c>
    </row>
    <row r="672" spans="1:56">
      <c r="A672" s="87" t="s">
        <v>746</v>
      </c>
      <c r="B672" s="87"/>
      <c r="C672" s="87"/>
      <c r="D672" s="85">
        <v>45566</v>
      </c>
      <c r="E672" s="85" t="s">
        <v>58</v>
      </c>
      <c r="F672" s="84">
        <f>INDEX(Definitions!$G$13:$G$17,MATCH(Table3[[#This Row],[Propensity to buy/ buyer readiness]],Definitions!$A$13:$A$17,0))</f>
        <v>50000</v>
      </c>
      <c r="G672" s="86">
        <v>5</v>
      </c>
      <c r="H672" s="86">
        <v>4</v>
      </c>
      <c r="I672" s="86">
        <v>2</v>
      </c>
      <c r="J672" s="86">
        <v>4</v>
      </c>
      <c r="K672" s="86">
        <v>3</v>
      </c>
      <c r="L672" s="86">
        <f>SUM(Table3[[#This Row],[Strategic priority segment]:[Propensity to buy/ buyer readiness]])</f>
        <v>18</v>
      </c>
      <c r="M672" s="86" t="s">
        <v>191</v>
      </c>
      <c r="N672" s="84" t="s">
        <v>135</v>
      </c>
      <c r="O672" s="87"/>
      <c r="P672" s="87"/>
      <c r="Q672" s="87"/>
      <c r="R672" s="84"/>
      <c r="S672" s="87"/>
      <c r="T672" s="84"/>
      <c r="U672" s="84">
        <v>0</v>
      </c>
      <c r="V672" s="84">
        <v>0</v>
      </c>
      <c r="W672" s="84">
        <v>0</v>
      </c>
      <c r="X672" s="84">
        <v>0</v>
      </c>
      <c r="Y672" s="84">
        <v>0</v>
      </c>
      <c r="Z672" s="84">
        <v>0</v>
      </c>
      <c r="AA672" s="84">
        <v>0</v>
      </c>
      <c r="AB672" s="84">
        <v>0</v>
      </c>
      <c r="AC672" s="84">
        <v>0</v>
      </c>
      <c r="AD672" s="84">
        <v>0</v>
      </c>
      <c r="AE672" s="84">
        <v>0</v>
      </c>
      <c r="AF672" s="84">
        <v>0</v>
      </c>
      <c r="AG672" s="84">
        <v>0</v>
      </c>
      <c r="AH672" s="84">
        <v>1</v>
      </c>
      <c r="AI672" s="84">
        <v>1</v>
      </c>
      <c r="AJ672" s="84">
        <v>1</v>
      </c>
      <c r="AK672" s="84">
        <v>1</v>
      </c>
      <c r="AL672" s="84" cm="1">
        <f t="array" ref="AL6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72" s="84" cm="1">
        <f t="array" ref="AM6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2" s="84" cm="1">
        <f t="array" ref="AN6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2" s="84" cm="1">
        <f t="array" ref="AO6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2" s="84" cm="1">
        <f t="array" ref="AP6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2" s="84" cm="1">
        <f t="array" ref="AQ6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2" s="84" cm="1">
        <f t="array" ref="AR6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2" s="84" cm="1">
        <f t="array" ref="AS6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2" s="84" cm="1">
        <f t="array" ref="AT6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2" s="84" cm="1">
        <f t="array" ref="AU6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2" s="84" cm="1">
        <f t="array" ref="AV6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2" s="84" cm="1">
        <f t="array" ref="AW6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2" s="84" cm="1">
        <f t="array" ref="AX6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2" s="84" cm="1">
        <f t="array" ref="AY6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2" s="84" cm="1">
        <f t="array" ref="AZ6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2" s="84" cm="1">
        <f t="array" ref="BA6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2" s="84" cm="1">
        <f t="array" ref="BB6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2" s="84">
        <f>IF(SUM(Table3[[#This Row],[Column2]:[Column18]])&gt;Table3[[#This Row],[Column19]],Table3[[#This Row],[Column19]],SUM(Table3[[#This Row],[Column2]:[Column18]]))</f>
        <v>50000</v>
      </c>
      <c r="BD672" s="2">
        <f>Table3[[#This Row],[Total Spend]]/SUM(Table3[[#This Row],[Column2]:[Column18]])</f>
        <v>0.77700077700077697</v>
      </c>
    </row>
    <row r="673" spans="1:56" ht="28.5">
      <c r="A673" s="87" t="s">
        <v>747</v>
      </c>
      <c r="B673" s="87"/>
      <c r="C673" s="87"/>
      <c r="D673" s="85">
        <v>45566</v>
      </c>
      <c r="E673" s="85" t="s">
        <v>58</v>
      </c>
      <c r="F673" s="84">
        <f>INDEX(Definitions!$G$13:$G$17,MATCH(Table3[[#This Row],[Propensity to buy/ buyer readiness]],Definitions!$A$13:$A$17,0))</f>
        <v>50000</v>
      </c>
      <c r="G673" s="86">
        <v>5</v>
      </c>
      <c r="H673" s="86">
        <v>4</v>
      </c>
      <c r="I673" s="86">
        <v>2</v>
      </c>
      <c r="J673" s="86">
        <v>4</v>
      </c>
      <c r="K673" s="86">
        <v>3</v>
      </c>
      <c r="L673" s="86">
        <f>SUM(Table3[[#This Row],[Strategic priority segment]:[Propensity to buy/ buyer readiness]])</f>
        <v>18</v>
      </c>
      <c r="M673" s="86" t="s">
        <v>191</v>
      </c>
      <c r="N673" s="84" t="s">
        <v>135</v>
      </c>
      <c r="O673" s="87" t="s">
        <v>76</v>
      </c>
      <c r="P673" s="87"/>
      <c r="Q673" s="87"/>
      <c r="R673" s="84"/>
      <c r="S673" s="87"/>
      <c r="T673" s="84"/>
      <c r="U673" s="84">
        <v>0</v>
      </c>
      <c r="V673" s="84">
        <v>0</v>
      </c>
      <c r="W673" s="84">
        <v>0</v>
      </c>
      <c r="X673" s="84">
        <v>0</v>
      </c>
      <c r="Y673" s="84">
        <v>0</v>
      </c>
      <c r="Z673" s="84">
        <v>0</v>
      </c>
      <c r="AA673" s="84">
        <v>0</v>
      </c>
      <c r="AB673" s="84">
        <v>0</v>
      </c>
      <c r="AC673" s="84">
        <v>0</v>
      </c>
      <c r="AD673" s="84">
        <v>0</v>
      </c>
      <c r="AE673" s="84">
        <v>0</v>
      </c>
      <c r="AF673" s="84">
        <v>0</v>
      </c>
      <c r="AG673" s="84">
        <v>0</v>
      </c>
      <c r="AH673" s="84">
        <v>1</v>
      </c>
      <c r="AI673" s="84">
        <v>1</v>
      </c>
      <c r="AJ673" s="84">
        <v>1</v>
      </c>
      <c r="AK673" s="84">
        <v>1</v>
      </c>
      <c r="AL673" s="84" cm="1">
        <f t="array" ref="AL6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73" s="84" cm="1">
        <f t="array" ref="AM6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3" s="84" cm="1">
        <f t="array" ref="AN6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3" s="84" cm="1">
        <f t="array" ref="AO6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3" s="84" cm="1">
        <f t="array" ref="AP6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3" s="84" cm="1">
        <f t="array" ref="AQ6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3" s="84" cm="1">
        <f t="array" ref="AR6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3" s="84" cm="1">
        <f t="array" ref="AS6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3" s="84" cm="1">
        <f t="array" ref="AT6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3" s="84" cm="1">
        <f t="array" ref="AU6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3" s="84" cm="1">
        <f t="array" ref="AV6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3" s="84" cm="1">
        <f t="array" ref="AW6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3" s="84" cm="1">
        <f t="array" ref="AX6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3" s="84" cm="1">
        <f t="array" ref="AY6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3" s="84" cm="1">
        <f t="array" ref="AZ6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3" s="84" cm="1">
        <f t="array" ref="BA6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3" s="84" cm="1">
        <f t="array" ref="BB6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3" s="84">
        <f>IF(SUM(Table3[[#This Row],[Column2]:[Column18]])&gt;Table3[[#This Row],[Column19]],Table3[[#This Row],[Column19]],SUM(Table3[[#This Row],[Column2]:[Column18]]))</f>
        <v>50000</v>
      </c>
      <c r="BD673" s="2">
        <f>Table3[[#This Row],[Total Spend]]/SUM(Table3[[#This Row],[Column2]:[Column18]])</f>
        <v>0.77700077700077697</v>
      </c>
    </row>
    <row r="674" spans="1:56">
      <c r="A674" s="87" t="s">
        <v>748</v>
      </c>
      <c r="B674" s="87"/>
      <c r="C674" s="87"/>
      <c r="D674" s="85">
        <v>45566</v>
      </c>
      <c r="E674" s="85" t="s">
        <v>58</v>
      </c>
      <c r="F674" s="84">
        <f>INDEX(Definitions!$G$13:$G$17,MATCH(Table3[[#This Row],[Propensity to buy/ buyer readiness]],Definitions!$A$13:$A$17,0))</f>
        <v>50000</v>
      </c>
      <c r="G674" s="86">
        <v>5</v>
      </c>
      <c r="H674" s="86">
        <v>4</v>
      </c>
      <c r="I674" s="86">
        <v>2</v>
      </c>
      <c r="J674" s="86">
        <v>4</v>
      </c>
      <c r="K674" s="86">
        <v>3</v>
      </c>
      <c r="L674" s="86">
        <f>SUM(Table3[[#This Row],[Strategic priority segment]:[Propensity to buy/ buyer readiness]])</f>
        <v>18</v>
      </c>
      <c r="M674" s="86" t="s">
        <v>191</v>
      </c>
      <c r="N674" s="84" t="s">
        <v>135</v>
      </c>
      <c r="O674" s="87"/>
      <c r="P674" s="87"/>
      <c r="Q674" s="87"/>
      <c r="R674" s="84"/>
      <c r="S674" s="87"/>
      <c r="T674" s="84"/>
      <c r="U674" s="84">
        <v>0</v>
      </c>
      <c r="V674" s="84">
        <v>0</v>
      </c>
      <c r="W674" s="84">
        <v>0</v>
      </c>
      <c r="X674" s="84">
        <v>0</v>
      </c>
      <c r="Y674" s="84">
        <v>0</v>
      </c>
      <c r="Z674" s="84">
        <v>0</v>
      </c>
      <c r="AA674" s="84">
        <v>0</v>
      </c>
      <c r="AB674" s="84">
        <v>0</v>
      </c>
      <c r="AC674" s="84">
        <v>0</v>
      </c>
      <c r="AD674" s="84">
        <v>0</v>
      </c>
      <c r="AE674" s="84">
        <v>0</v>
      </c>
      <c r="AF674" s="84">
        <v>0</v>
      </c>
      <c r="AG674" s="84">
        <v>0</v>
      </c>
      <c r="AH674" s="84">
        <v>1</v>
      </c>
      <c r="AI674" s="84">
        <v>1</v>
      </c>
      <c r="AJ674" s="84">
        <v>1</v>
      </c>
      <c r="AK674" s="84">
        <v>1</v>
      </c>
      <c r="AL674" s="84" cm="1">
        <f t="array" ref="AL6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74" s="84" cm="1">
        <f t="array" ref="AM6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4" s="84" cm="1">
        <f t="array" ref="AN6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4" s="84" cm="1">
        <f t="array" ref="AO6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4" s="84" cm="1">
        <f t="array" ref="AP6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4" s="84" cm="1">
        <f t="array" ref="AQ6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4" s="84" cm="1">
        <f t="array" ref="AR6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4" s="84" cm="1">
        <f t="array" ref="AS6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4" s="84" cm="1">
        <f t="array" ref="AT6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4" s="84" cm="1">
        <f t="array" ref="AU6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4" s="84" cm="1">
        <f t="array" ref="AV6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4" s="84" cm="1">
        <f t="array" ref="AW6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4" s="84" cm="1">
        <f t="array" ref="AX6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4" s="84" cm="1">
        <f t="array" ref="AY6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4" s="84" cm="1">
        <f t="array" ref="AZ6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4" s="84" cm="1">
        <f t="array" ref="BA6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4" s="84" cm="1">
        <f t="array" ref="BB6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4" s="84">
        <f>IF(SUM(Table3[[#This Row],[Column2]:[Column18]])&gt;Table3[[#This Row],[Column19]],Table3[[#This Row],[Column19]],SUM(Table3[[#This Row],[Column2]:[Column18]]))</f>
        <v>50000</v>
      </c>
      <c r="BD674" s="2">
        <f>Table3[[#This Row],[Total Spend]]/SUM(Table3[[#This Row],[Column2]:[Column18]])</f>
        <v>0.77700077700077697</v>
      </c>
    </row>
    <row r="675" spans="1:56">
      <c r="A675" s="87" t="s">
        <v>749</v>
      </c>
      <c r="B675" s="87"/>
      <c r="C675" s="87"/>
      <c r="D675" s="85">
        <v>45566</v>
      </c>
      <c r="E675" s="85" t="s">
        <v>58</v>
      </c>
      <c r="F675" s="84">
        <f>INDEX(Definitions!$G$13:$G$17,MATCH(Table3[[#This Row],[Propensity to buy/ buyer readiness]],Definitions!$A$13:$A$17,0))</f>
        <v>50000</v>
      </c>
      <c r="G675" s="86">
        <v>5</v>
      </c>
      <c r="H675" s="86">
        <v>4</v>
      </c>
      <c r="I675" s="86">
        <v>2</v>
      </c>
      <c r="J675" s="86">
        <v>4</v>
      </c>
      <c r="K675" s="86">
        <v>3</v>
      </c>
      <c r="L675" s="86">
        <f>SUM(Table3[[#This Row],[Strategic priority segment]:[Propensity to buy/ buyer readiness]])</f>
        <v>18</v>
      </c>
      <c r="M675" s="86" t="s">
        <v>191</v>
      </c>
      <c r="N675" s="84" t="s">
        <v>135</v>
      </c>
      <c r="O675" s="87"/>
      <c r="P675" s="87"/>
      <c r="Q675" s="87"/>
      <c r="R675" s="84"/>
      <c r="S675" s="87"/>
      <c r="T675" s="87"/>
      <c r="U675" s="84">
        <v>0</v>
      </c>
      <c r="V675" s="84">
        <v>0</v>
      </c>
      <c r="W675" s="84">
        <v>0</v>
      </c>
      <c r="X675" s="84">
        <v>0</v>
      </c>
      <c r="Y675" s="84">
        <v>0</v>
      </c>
      <c r="Z675" s="84">
        <v>0</v>
      </c>
      <c r="AA675" s="84">
        <v>0</v>
      </c>
      <c r="AB675" s="84">
        <v>0</v>
      </c>
      <c r="AC675" s="84">
        <v>0</v>
      </c>
      <c r="AD675" s="84">
        <v>0</v>
      </c>
      <c r="AE675" s="84">
        <v>0</v>
      </c>
      <c r="AF675" s="84">
        <v>0</v>
      </c>
      <c r="AG675" s="84">
        <v>0</v>
      </c>
      <c r="AH675" s="84">
        <v>1</v>
      </c>
      <c r="AI675" s="84">
        <v>1</v>
      </c>
      <c r="AJ675" s="84">
        <v>1</v>
      </c>
      <c r="AK675" s="84">
        <v>1</v>
      </c>
      <c r="AL675" s="84" cm="1">
        <f t="array" ref="AL6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75" s="84" cm="1">
        <f t="array" ref="AM6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5" s="84" cm="1">
        <f t="array" ref="AN6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5" s="84" cm="1">
        <f t="array" ref="AO6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5" s="84" cm="1">
        <f t="array" ref="AP6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5" s="84" cm="1">
        <f t="array" ref="AQ6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5" s="84" cm="1">
        <f t="array" ref="AR6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5" s="84" cm="1">
        <f t="array" ref="AS6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5" s="84" cm="1">
        <f t="array" ref="AT6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5" s="84" cm="1">
        <f t="array" ref="AU6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5" s="84" cm="1">
        <f t="array" ref="AV6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5" s="84" cm="1">
        <f t="array" ref="AW6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5" s="84" cm="1">
        <f t="array" ref="AX6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5" s="84" cm="1">
        <f t="array" ref="AY6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5" s="84" cm="1">
        <f t="array" ref="AZ6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5" s="84" cm="1">
        <f t="array" ref="BA6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5" s="84" cm="1">
        <f t="array" ref="BB6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5" s="84">
        <f>IF(SUM(Table3[[#This Row],[Column2]:[Column18]])&gt;Table3[[#This Row],[Column19]],Table3[[#This Row],[Column19]],SUM(Table3[[#This Row],[Column2]:[Column18]]))</f>
        <v>50000</v>
      </c>
      <c r="BD675" s="2">
        <f>Table3[[#This Row],[Total Spend]]/SUM(Table3[[#This Row],[Column2]:[Column18]])</f>
        <v>0.77700077700077697</v>
      </c>
    </row>
    <row r="676" spans="1:56" ht="28.5">
      <c r="A676" s="87" t="s">
        <v>750</v>
      </c>
      <c r="B676" s="87"/>
      <c r="C676" s="87"/>
      <c r="D676" s="85">
        <v>45566</v>
      </c>
      <c r="E676" s="85" t="s">
        <v>58</v>
      </c>
      <c r="F676" s="84">
        <f>INDEX(Definitions!$G$13:$G$17,MATCH(Table3[[#This Row],[Propensity to buy/ buyer readiness]],Definitions!$A$13:$A$17,0))</f>
        <v>50000</v>
      </c>
      <c r="G676" s="86">
        <v>5</v>
      </c>
      <c r="H676" s="86">
        <v>4</v>
      </c>
      <c r="I676" s="86">
        <v>2</v>
      </c>
      <c r="J676" s="86">
        <v>4</v>
      </c>
      <c r="K676" s="86">
        <v>3</v>
      </c>
      <c r="L676" s="86">
        <f>SUM(Table3[[#This Row],[Strategic priority segment]:[Propensity to buy/ buyer readiness]])</f>
        <v>18</v>
      </c>
      <c r="M676" s="86" t="s">
        <v>191</v>
      </c>
      <c r="N676" s="84" t="s">
        <v>135</v>
      </c>
      <c r="O676" s="87" t="s">
        <v>76</v>
      </c>
      <c r="P676" s="87"/>
      <c r="Q676" s="87"/>
      <c r="R676" s="84"/>
      <c r="S676" s="87"/>
      <c r="T676" s="84"/>
      <c r="U676" s="84">
        <v>0</v>
      </c>
      <c r="V676" s="84">
        <v>0</v>
      </c>
      <c r="W676" s="84">
        <v>0</v>
      </c>
      <c r="X676" s="84">
        <v>0</v>
      </c>
      <c r="Y676" s="84">
        <v>0</v>
      </c>
      <c r="Z676" s="84">
        <v>0</v>
      </c>
      <c r="AA676" s="84">
        <v>0</v>
      </c>
      <c r="AB676" s="84">
        <v>0</v>
      </c>
      <c r="AC676" s="84">
        <v>0</v>
      </c>
      <c r="AD676" s="84">
        <v>0</v>
      </c>
      <c r="AE676" s="84">
        <v>0</v>
      </c>
      <c r="AF676" s="84">
        <v>0</v>
      </c>
      <c r="AG676" s="84">
        <v>0</v>
      </c>
      <c r="AH676" s="84">
        <v>1</v>
      </c>
      <c r="AI676" s="84">
        <v>1</v>
      </c>
      <c r="AJ676" s="84">
        <v>1</v>
      </c>
      <c r="AK676" s="84">
        <v>1</v>
      </c>
      <c r="AL676" s="84" cm="1">
        <f t="array" ref="AL6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76" s="84" cm="1">
        <f t="array" ref="AM6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6" s="84" cm="1">
        <f t="array" ref="AN6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6" s="84" cm="1">
        <f t="array" ref="AO6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6" s="84" cm="1">
        <f t="array" ref="AP6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6" s="84" cm="1">
        <f t="array" ref="AQ6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6" s="84" cm="1">
        <f t="array" ref="AR6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6" s="84" cm="1">
        <f t="array" ref="AS6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6" s="84" cm="1">
        <f t="array" ref="AT6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6" s="84" cm="1">
        <f t="array" ref="AU6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6" s="84" cm="1">
        <f t="array" ref="AV6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6" s="84" cm="1">
        <f t="array" ref="AW6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6" s="84" cm="1">
        <f t="array" ref="AX6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6" s="84" cm="1">
        <f t="array" ref="AY6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6" s="84" cm="1">
        <f t="array" ref="AZ6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6" s="84" cm="1">
        <f t="array" ref="BA6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6" s="84" cm="1">
        <f t="array" ref="BB6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6" s="84">
        <f>IF(SUM(Table3[[#This Row],[Column2]:[Column18]])&gt;Table3[[#This Row],[Column19]],Table3[[#This Row],[Column19]],SUM(Table3[[#This Row],[Column2]:[Column18]]))</f>
        <v>50000</v>
      </c>
      <c r="BD676" s="2">
        <f>Table3[[#This Row],[Total Spend]]/SUM(Table3[[#This Row],[Column2]:[Column18]])</f>
        <v>0.77700077700077697</v>
      </c>
    </row>
    <row r="677" spans="1:56">
      <c r="A677" s="84" t="s">
        <v>751</v>
      </c>
      <c r="B677" s="84" t="s">
        <v>57</v>
      </c>
      <c r="C677" s="84"/>
      <c r="D677" s="85">
        <v>45566</v>
      </c>
      <c r="E677" s="85" t="s">
        <v>58</v>
      </c>
      <c r="F677" s="84">
        <f>INDEX(Definitions!$G$13:$G$17,MATCH(Table3[[#This Row],[Propensity to buy/ buyer readiness]],Definitions!$A$13:$A$17,0))</f>
        <v>150000</v>
      </c>
      <c r="G677" s="86">
        <v>4</v>
      </c>
      <c r="H677" s="86">
        <v>3</v>
      </c>
      <c r="I677" s="86">
        <v>4</v>
      </c>
      <c r="J677" s="86">
        <v>3</v>
      </c>
      <c r="K677" s="86">
        <v>4</v>
      </c>
      <c r="L677" s="86">
        <f>SUM(Table3[[#This Row],[Strategic priority segment]:[Propensity to buy/ buyer readiness]])</f>
        <v>18</v>
      </c>
      <c r="M677" s="86" t="s">
        <v>152</v>
      </c>
      <c r="N677" s="84" t="s">
        <v>122</v>
      </c>
      <c r="O677" s="84"/>
      <c r="P677" s="87"/>
      <c r="Q677" s="87"/>
      <c r="R677" s="84"/>
      <c r="S677" s="84"/>
      <c r="T677" s="87"/>
      <c r="U677" s="84">
        <v>1</v>
      </c>
      <c r="V677" s="84">
        <v>0</v>
      </c>
      <c r="W677" s="84">
        <v>0</v>
      </c>
      <c r="X677" s="84">
        <v>0</v>
      </c>
      <c r="Y677" s="84">
        <v>0</v>
      </c>
      <c r="Z677" s="84">
        <v>1</v>
      </c>
      <c r="AA677" s="84">
        <v>0</v>
      </c>
      <c r="AB677" s="84">
        <v>1</v>
      </c>
      <c r="AC677" s="84">
        <v>0</v>
      </c>
      <c r="AD677" s="84">
        <v>1</v>
      </c>
      <c r="AE677" s="84">
        <v>0</v>
      </c>
      <c r="AF677" s="84">
        <v>1</v>
      </c>
      <c r="AG677" s="84">
        <v>0</v>
      </c>
      <c r="AH677" s="84">
        <v>0</v>
      </c>
      <c r="AI677" s="84">
        <v>0</v>
      </c>
      <c r="AJ677" s="84">
        <v>0</v>
      </c>
      <c r="AK677" s="84">
        <v>0</v>
      </c>
      <c r="AL677" s="84" cm="1">
        <f t="array" ref="AL6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77" s="84" cm="1">
        <f t="array" ref="AM6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7" s="84" cm="1">
        <f t="array" ref="AN6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7" s="84" cm="1">
        <f t="array" ref="AO6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7" s="84" cm="1">
        <f t="array" ref="AP6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7" s="84" cm="1">
        <f t="array" ref="AQ6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77" s="84" cm="1">
        <f t="array" ref="AR6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7" s="84" cm="1">
        <f t="array" ref="AS6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77" s="84" cm="1">
        <f t="array" ref="AT6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7" s="84" cm="1">
        <f t="array" ref="AU6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77" s="84" cm="1">
        <f t="array" ref="AV6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7" s="84" cm="1">
        <f t="array" ref="AW6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77" s="84" cm="1">
        <f t="array" ref="AX6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7" s="84" cm="1">
        <f t="array" ref="AY6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77" s="84" cm="1">
        <f t="array" ref="AZ6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77" s="84" cm="1">
        <f t="array" ref="BA6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77" s="84" cm="1">
        <f t="array" ref="BB6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77" s="84">
        <f>IF(SUM(Table3[[#This Row],[Column2]:[Column18]])&gt;Table3[[#This Row],[Column19]],Table3[[#This Row],[Column19]],SUM(Table3[[#This Row],[Column2]:[Column18]]))</f>
        <v>150000</v>
      </c>
      <c r="BD677" s="2">
        <f>Table3[[#This Row],[Total Spend]]/SUM(Table3[[#This Row],[Column2]:[Column18]])</f>
        <v>0.89605734767025091</v>
      </c>
    </row>
    <row r="678" spans="1:56" ht="28.5">
      <c r="A678" s="87" t="s">
        <v>752</v>
      </c>
      <c r="B678" s="87"/>
      <c r="C678" s="87"/>
      <c r="D678" s="85">
        <v>45566</v>
      </c>
      <c r="E678" s="85" t="s">
        <v>58</v>
      </c>
      <c r="F678" s="84">
        <f>INDEX(Definitions!$G$13:$G$17,MATCH(Table3[[#This Row],[Propensity to buy/ buyer readiness]],Definitions!$A$13:$A$17,0))</f>
        <v>50000</v>
      </c>
      <c r="G678" s="86">
        <v>5</v>
      </c>
      <c r="H678" s="86">
        <v>4</v>
      </c>
      <c r="I678" s="86">
        <v>2</v>
      </c>
      <c r="J678" s="86">
        <v>4</v>
      </c>
      <c r="K678" s="86">
        <v>3</v>
      </c>
      <c r="L678" s="86">
        <f>SUM(Table3[[#This Row],[Strategic priority segment]:[Propensity to buy/ buyer readiness]])</f>
        <v>18</v>
      </c>
      <c r="M678" s="86" t="s">
        <v>191</v>
      </c>
      <c r="N678" s="84" t="s">
        <v>135</v>
      </c>
      <c r="O678" s="87" t="s">
        <v>61</v>
      </c>
      <c r="P678" s="87"/>
      <c r="Q678" s="87"/>
      <c r="R678" s="84"/>
      <c r="S678" s="87"/>
      <c r="T678" s="87"/>
      <c r="U678" s="84">
        <v>1</v>
      </c>
      <c r="V678" s="84">
        <v>0</v>
      </c>
      <c r="W678" s="84">
        <v>0</v>
      </c>
      <c r="X678" s="84">
        <v>0</v>
      </c>
      <c r="Y678" s="84">
        <v>0</v>
      </c>
      <c r="Z678" s="84">
        <v>1</v>
      </c>
      <c r="AA678" s="84">
        <v>1</v>
      </c>
      <c r="AB678" s="84">
        <v>1</v>
      </c>
      <c r="AC678" s="84">
        <v>1</v>
      </c>
      <c r="AD678" s="84">
        <v>0</v>
      </c>
      <c r="AE678" s="84">
        <v>0</v>
      </c>
      <c r="AF678" s="84">
        <v>0</v>
      </c>
      <c r="AG678" s="84">
        <v>0</v>
      </c>
      <c r="AH678" s="84">
        <v>1</v>
      </c>
      <c r="AI678" s="84">
        <v>1</v>
      </c>
      <c r="AJ678" s="84">
        <v>1</v>
      </c>
      <c r="AK678" s="84">
        <v>1</v>
      </c>
      <c r="AL678" s="84" cm="1">
        <f t="array" ref="AL6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78" s="84" cm="1">
        <f t="array" ref="AM6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8" s="84" cm="1">
        <f t="array" ref="AN6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8" s="84" cm="1">
        <f t="array" ref="AO6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8" s="84" cm="1">
        <f t="array" ref="AP6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8" s="84" cm="1">
        <f t="array" ref="AQ6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78" s="84" cm="1">
        <f t="array" ref="AR6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78" s="84" cm="1">
        <f t="array" ref="AS6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78" s="84" cm="1">
        <f t="array" ref="AT6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78" s="84" cm="1">
        <f t="array" ref="AU6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8" s="84" cm="1">
        <f t="array" ref="AV6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8" s="84" cm="1">
        <f t="array" ref="AW6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8" s="84" cm="1">
        <f t="array" ref="AX6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8" s="84" cm="1">
        <f t="array" ref="AY6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8" s="84" cm="1">
        <f t="array" ref="AZ6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8" s="84" cm="1">
        <f t="array" ref="BA6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8" s="84" cm="1">
        <f t="array" ref="BB6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8" s="84">
        <f>IF(SUM(Table3[[#This Row],[Column2]:[Column18]])&gt;Table3[[#This Row],[Column19]],Table3[[#This Row],[Column19]],SUM(Table3[[#This Row],[Column2]:[Column18]]))</f>
        <v>50000</v>
      </c>
      <c r="BD678" s="2">
        <f>Table3[[#This Row],[Total Spend]]/SUM(Table3[[#This Row],[Column2]:[Column18]])</f>
        <v>0.24420024420024419</v>
      </c>
    </row>
    <row r="679" spans="1:56">
      <c r="A679" s="87" t="s">
        <v>753</v>
      </c>
      <c r="B679" s="87"/>
      <c r="C679" s="87"/>
      <c r="D679" s="85">
        <v>45566</v>
      </c>
      <c r="E679" s="85" t="s">
        <v>58</v>
      </c>
      <c r="F679" s="84">
        <f>INDEX(Definitions!$G$13:$G$17,MATCH(Table3[[#This Row],[Propensity to buy/ buyer readiness]],Definitions!$A$13:$A$17,0))</f>
        <v>50000</v>
      </c>
      <c r="G679" s="86">
        <v>5</v>
      </c>
      <c r="H679" s="86">
        <v>4</v>
      </c>
      <c r="I679" s="86">
        <v>2</v>
      </c>
      <c r="J679" s="86">
        <v>4</v>
      </c>
      <c r="K679" s="86">
        <v>3</v>
      </c>
      <c r="L679" s="86">
        <f>SUM(Table3[[#This Row],[Strategic priority segment]:[Propensity to buy/ buyer readiness]])</f>
        <v>18</v>
      </c>
      <c r="M679" s="86" t="s">
        <v>191</v>
      </c>
      <c r="N679" s="84" t="s">
        <v>135</v>
      </c>
      <c r="O679" s="87"/>
      <c r="P679" s="87"/>
      <c r="Q679" s="87"/>
      <c r="R679" s="84"/>
      <c r="S679" s="87"/>
      <c r="T679" s="84"/>
      <c r="U679" s="84">
        <v>0</v>
      </c>
      <c r="V679" s="84">
        <v>0</v>
      </c>
      <c r="W679" s="84">
        <v>0</v>
      </c>
      <c r="X679" s="84">
        <v>0</v>
      </c>
      <c r="Y679" s="84">
        <v>0</v>
      </c>
      <c r="Z679" s="84">
        <v>0</v>
      </c>
      <c r="AA679" s="84">
        <v>0</v>
      </c>
      <c r="AB679" s="84">
        <v>0</v>
      </c>
      <c r="AC679" s="84">
        <v>0</v>
      </c>
      <c r="AD679" s="84">
        <v>0</v>
      </c>
      <c r="AE679" s="84">
        <v>0</v>
      </c>
      <c r="AF679" s="84">
        <v>0</v>
      </c>
      <c r="AG679" s="84">
        <v>0</v>
      </c>
      <c r="AH679" s="84">
        <v>1</v>
      </c>
      <c r="AI679" s="84">
        <v>1</v>
      </c>
      <c r="AJ679" s="84">
        <v>1</v>
      </c>
      <c r="AK679" s="84">
        <v>1</v>
      </c>
      <c r="AL679" s="84" cm="1">
        <f t="array" ref="AL6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79" s="84" cm="1">
        <f t="array" ref="AM6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79" s="84" cm="1">
        <f t="array" ref="AN6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79" s="84" cm="1">
        <f t="array" ref="AO6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79" s="84" cm="1">
        <f t="array" ref="AP6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79" s="84" cm="1">
        <f t="array" ref="AQ6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79" s="84" cm="1">
        <f t="array" ref="AR6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79" s="84" cm="1">
        <f t="array" ref="AS6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79" s="84" cm="1">
        <f t="array" ref="AT6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79" s="84" cm="1">
        <f t="array" ref="AU6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79" s="84" cm="1">
        <f t="array" ref="AV6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79" s="84" cm="1">
        <f t="array" ref="AW6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79" s="84" cm="1">
        <f t="array" ref="AX6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79" s="84" cm="1">
        <f t="array" ref="AY6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79" s="84" cm="1">
        <f t="array" ref="AZ6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79" s="84" cm="1">
        <f t="array" ref="BA6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79" s="84" cm="1">
        <f t="array" ref="BB6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79" s="84">
        <f>IF(SUM(Table3[[#This Row],[Column2]:[Column18]])&gt;Table3[[#This Row],[Column19]],Table3[[#This Row],[Column19]],SUM(Table3[[#This Row],[Column2]:[Column18]]))</f>
        <v>50000</v>
      </c>
      <c r="BD679" s="2">
        <f>Table3[[#This Row],[Total Spend]]/SUM(Table3[[#This Row],[Column2]:[Column18]])</f>
        <v>0.77700077700077697</v>
      </c>
    </row>
    <row r="680" spans="1:56">
      <c r="A680" s="84" t="s">
        <v>754</v>
      </c>
      <c r="B680" s="84"/>
      <c r="C680" s="84"/>
      <c r="D680" s="85">
        <v>45566</v>
      </c>
      <c r="E680" s="85" t="s">
        <v>58</v>
      </c>
      <c r="F680" s="84">
        <f>INDEX(Definitions!$G$13:$G$17,MATCH(Table3[[#This Row],[Propensity to buy/ buyer readiness]],Definitions!$A$13:$A$17,0))</f>
        <v>50000</v>
      </c>
      <c r="G680" s="86">
        <v>5</v>
      </c>
      <c r="H680" s="86">
        <v>4</v>
      </c>
      <c r="I680" s="86">
        <v>2</v>
      </c>
      <c r="J680" s="86">
        <v>4</v>
      </c>
      <c r="K680" s="86">
        <v>3</v>
      </c>
      <c r="L680" s="86">
        <f>SUM(Table3[[#This Row],[Strategic priority segment]:[Propensity to buy/ buyer readiness]])</f>
        <v>18</v>
      </c>
      <c r="M680" s="86" t="s">
        <v>191</v>
      </c>
      <c r="N680" s="84" t="s">
        <v>135</v>
      </c>
      <c r="O680" s="84" t="s">
        <v>76</v>
      </c>
      <c r="P680" s="84"/>
      <c r="Q680" s="84"/>
      <c r="R680" s="84"/>
      <c r="S680" s="87"/>
      <c r="T680" s="84"/>
      <c r="U680" s="84">
        <v>0</v>
      </c>
      <c r="V680" s="84">
        <v>0</v>
      </c>
      <c r="W680" s="84">
        <v>0</v>
      </c>
      <c r="X680" s="84">
        <v>0</v>
      </c>
      <c r="Y680" s="84">
        <v>0</v>
      </c>
      <c r="Z680" s="84">
        <v>0</v>
      </c>
      <c r="AA680" s="84">
        <v>0</v>
      </c>
      <c r="AB680" s="84">
        <v>0</v>
      </c>
      <c r="AC680" s="84">
        <v>0</v>
      </c>
      <c r="AD680" s="84">
        <v>0</v>
      </c>
      <c r="AE680" s="84">
        <v>0</v>
      </c>
      <c r="AF680" s="84">
        <v>0</v>
      </c>
      <c r="AG680" s="84">
        <v>0</v>
      </c>
      <c r="AH680" s="84">
        <v>1</v>
      </c>
      <c r="AI680" s="84">
        <v>1</v>
      </c>
      <c r="AJ680" s="84">
        <v>1</v>
      </c>
      <c r="AK680" s="84">
        <v>1</v>
      </c>
      <c r="AL680" s="84" cm="1">
        <f t="array" ref="AL6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0" s="84" cm="1">
        <f t="array" ref="AM6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0" s="84" cm="1">
        <f t="array" ref="AN6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0" s="84" cm="1">
        <f t="array" ref="AO6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0" s="84" cm="1">
        <f t="array" ref="AP6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0" s="84" cm="1">
        <f t="array" ref="AQ6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0" s="84" cm="1">
        <f t="array" ref="AR6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0" s="84" cm="1">
        <f t="array" ref="AS6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0" s="84" cm="1">
        <f t="array" ref="AT6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0" s="84" cm="1">
        <f t="array" ref="AU6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0" s="84" cm="1">
        <f t="array" ref="AV6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0" s="84" cm="1">
        <f t="array" ref="AW6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0" s="84" cm="1">
        <f t="array" ref="AX6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0" s="84" cm="1">
        <f t="array" ref="AY6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0" s="84" cm="1">
        <f t="array" ref="AZ6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0" s="84" cm="1">
        <f t="array" ref="BA6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0" s="84" cm="1">
        <f t="array" ref="BB6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0" s="84">
        <f>IF(SUM(Table3[[#This Row],[Column2]:[Column18]])&gt;Table3[[#This Row],[Column19]],Table3[[#This Row],[Column19]],SUM(Table3[[#This Row],[Column2]:[Column18]]))</f>
        <v>50000</v>
      </c>
      <c r="BD680" s="2">
        <f>Table3[[#This Row],[Total Spend]]/SUM(Table3[[#This Row],[Column2]:[Column18]])</f>
        <v>0.77700077700077697</v>
      </c>
    </row>
    <row r="681" spans="1:56">
      <c r="A681" s="84" t="s">
        <v>755</v>
      </c>
      <c r="B681" s="84" t="s">
        <v>57</v>
      </c>
      <c r="C681" s="84"/>
      <c r="D681" s="85">
        <v>45566</v>
      </c>
      <c r="E681" s="85" t="s">
        <v>92</v>
      </c>
      <c r="F681" s="84">
        <f>INDEX(Definitions!$G$13:$G$17,MATCH(Table3[[#This Row],[Propensity to buy/ buyer readiness]],Definitions!$A$13:$A$17,0))</f>
        <v>50000</v>
      </c>
      <c r="G681" s="86">
        <v>4</v>
      </c>
      <c r="H681" s="86">
        <v>3</v>
      </c>
      <c r="I681" s="86">
        <v>4</v>
      </c>
      <c r="J681" s="86">
        <v>4</v>
      </c>
      <c r="K681" s="86">
        <v>3</v>
      </c>
      <c r="L681" s="86">
        <f>SUM(Table3[[#This Row],[Strategic priority segment]:[Propensity to buy/ buyer readiness]])</f>
        <v>18</v>
      </c>
      <c r="M681" s="86" t="s">
        <v>59</v>
      </c>
      <c r="N681" s="84" t="s">
        <v>63</v>
      </c>
      <c r="O681" s="84"/>
      <c r="P681" s="87"/>
      <c r="Q681" s="87"/>
      <c r="R681" s="84"/>
      <c r="S681" s="84"/>
      <c r="T681" s="87"/>
      <c r="U681" s="84">
        <v>1</v>
      </c>
      <c r="V681" s="84">
        <v>0</v>
      </c>
      <c r="W681" s="84">
        <v>1</v>
      </c>
      <c r="X681" s="84">
        <v>0</v>
      </c>
      <c r="Y681" s="84">
        <v>0</v>
      </c>
      <c r="Z681" s="84">
        <v>0</v>
      </c>
      <c r="AA681" s="84">
        <v>1</v>
      </c>
      <c r="AB681" s="84">
        <v>0</v>
      </c>
      <c r="AC681" s="84">
        <v>0</v>
      </c>
      <c r="AD681" s="84">
        <v>1</v>
      </c>
      <c r="AE681" s="84">
        <v>1</v>
      </c>
      <c r="AF681" s="84">
        <v>1</v>
      </c>
      <c r="AG681" s="84">
        <v>0</v>
      </c>
      <c r="AH681" s="84">
        <v>0</v>
      </c>
      <c r="AI681" s="84">
        <v>0</v>
      </c>
      <c r="AJ681" s="84">
        <v>0</v>
      </c>
      <c r="AK681" s="84">
        <v>0</v>
      </c>
      <c r="AL681" s="84" cm="1">
        <f t="array" ref="AL6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81" s="84" cm="1">
        <f t="array" ref="AM6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1" s="84" cm="1">
        <f t="array" ref="AN6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681" s="84" cm="1">
        <f t="array" ref="AO6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1" s="84" cm="1">
        <f t="array" ref="AP6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1" s="84" cm="1">
        <f t="array" ref="AQ6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1" s="84" cm="1">
        <f t="array" ref="AR6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681" s="84" cm="1">
        <f t="array" ref="AS6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1" s="84" cm="1">
        <f t="array" ref="AT6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1" s="84" cm="1">
        <f t="array" ref="AU6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81" s="84" cm="1">
        <f t="array" ref="AV6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81" s="84" cm="1">
        <f t="array" ref="AW6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81" s="84" cm="1">
        <f t="array" ref="AX6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1" s="84" cm="1">
        <f t="array" ref="AY6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81" s="84" cm="1">
        <f t="array" ref="AZ6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81" s="84" cm="1">
        <f t="array" ref="BA6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81" s="84" cm="1">
        <f t="array" ref="BB6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81" s="84">
        <f>IF(SUM(Table3[[#This Row],[Column2]:[Column18]])&gt;Table3[[#This Row],[Column19]],Table3[[#This Row],[Column19]],SUM(Table3[[#This Row],[Column2]:[Column18]]))</f>
        <v>50000</v>
      </c>
      <c r="BD681" s="2">
        <f>Table3[[#This Row],[Total Spend]]/SUM(Table3[[#This Row],[Column2]:[Column18]])</f>
        <v>0.36429872495446264</v>
      </c>
    </row>
    <row r="682" spans="1:56" ht="28.5">
      <c r="A682" s="87" t="s">
        <v>756</v>
      </c>
      <c r="B682" s="87"/>
      <c r="C682" s="87"/>
      <c r="D682" s="85">
        <v>45566</v>
      </c>
      <c r="E682" s="85" t="s">
        <v>58</v>
      </c>
      <c r="F682" s="84">
        <f>INDEX(Definitions!$G$13:$G$17,MATCH(Table3[[#This Row],[Propensity to buy/ buyer readiness]],Definitions!$A$13:$A$17,0))</f>
        <v>50000</v>
      </c>
      <c r="G682" s="86">
        <v>5</v>
      </c>
      <c r="H682" s="86">
        <v>4</v>
      </c>
      <c r="I682" s="86">
        <v>2</v>
      </c>
      <c r="J682" s="86">
        <v>4</v>
      </c>
      <c r="K682" s="86">
        <v>3</v>
      </c>
      <c r="L682" s="86">
        <f>SUM(Table3[[#This Row],[Strategic priority segment]:[Propensity to buy/ buyer readiness]])</f>
        <v>18</v>
      </c>
      <c r="M682" s="86" t="s">
        <v>191</v>
      </c>
      <c r="N682" s="84" t="s">
        <v>135</v>
      </c>
      <c r="O682" s="87"/>
      <c r="P682" s="87"/>
      <c r="Q682" s="87"/>
      <c r="R682" s="84"/>
      <c r="S682" s="87"/>
      <c r="T682" s="84"/>
      <c r="U682" s="84">
        <v>0</v>
      </c>
      <c r="V682" s="84">
        <v>0</v>
      </c>
      <c r="W682" s="84">
        <v>0</v>
      </c>
      <c r="X682" s="84">
        <v>0</v>
      </c>
      <c r="Y682" s="84">
        <v>0</v>
      </c>
      <c r="Z682" s="84">
        <v>0</v>
      </c>
      <c r="AA682" s="84">
        <v>0</v>
      </c>
      <c r="AB682" s="84">
        <v>0</v>
      </c>
      <c r="AC682" s="84">
        <v>0</v>
      </c>
      <c r="AD682" s="84">
        <v>0</v>
      </c>
      <c r="AE682" s="84">
        <v>0</v>
      </c>
      <c r="AF682" s="84">
        <v>0</v>
      </c>
      <c r="AG682" s="84">
        <v>0</v>
      </c>
      <c r="AH682" s="84">
        <v>1</v>
      </c>
      <c r="AI682" s="84">
        <v>1</v>
      </c>
      <c r="AJ682" s="84">
        <v>1</v>
      </c>
      <c r="AK682" s="84">
        <v>1</v>
      </c>
      <c r="AL682" s="84" cm="1">
        <f t="array" ref="AL6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2" s="84" cm="1">
        <f t="array" ref="AM6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2" s="84" cm="1">
        <f t="array" ref="AN6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2" s="84" cm="1">
        <f t="array" ref="AO6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2" s="84" cm="1">
        <f t="array" ref="AP6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2" s="84" cm="1">
        <f t="array" ref="AQ6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2" s="84" cm="1">
        <f t="array" ref="AR6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2" s="84" cm="1">
        <f t="array" ref="AS6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2" s="84" cm="1">
        <f t="array" ref="AT6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2" s="84" cm="1">
        <f t="array" ref="AU6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2" s="84" cm="1">
        <f t="array" ref="AV6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2" s="84" cm="1">
        <f t="array" ref="AW6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2" s="84" cm="1">
        <f t="array" ref="AX6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2" s="84" cm="1">
        <f t="array" ref="AY6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2" s="84" cm="1">
        <f t="array" ref="AZ6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2" s="84" cm="1">
        <f t="array" ref="BA6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2" s="84" cm="1">
        <f t="array" ref="BB6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2" s="84">
        <f>IF(SUM(Table3[[#This Row],[Column2]:[Column18]])&gt;Table3[[#This Row],[Column19]],Table3[[#This Row],[Column19]],SUM(Table3[[#This Row],[Column2]:[Column18]]))</f>
        <v>50000</v>
      </c>
      <c r="BD682" s="2">
        <f>Table3[[#This Row],[Total Spend]]/SUM(Table3[[#This Row],[Column2]:[Column18]])</f>
        <v>0.77700077700077697</v>
      </c>
    </row>
    <row r="683" spans="1:56">
      <c r="A683" s="84" t="s">
        <v>757</v>
      </c>
      <c r="B683" s="84" t="s">
        <v>57</v>
      </c>
      <c r="C683" s="84"/>
      <c r="D683" s="85">
        <v>45566</v>
      </c>
      <c r="E683" s="85" t="s">
        <v>92</v>
      </c>
      <c r="F683" s="84">
        <f>INDEX(Definitions!$G$13:$G$17,MATCH(Table3[[#This Row],[Propensity to buy/ buyer readiness]],Definitions!$A$13:$A$17,0))</f>
        <v>50000</v>
      </c>
      <c r="G683" s="86">
        <v>5</v>
      </c>
      <c r="H683" s="86">
        <v>4</v>
      </c>
      <c r="I683" s="86">
        <v>3</v>
      </c>
      <c r="J683" s="86">
        <v>3</v>
      </c>
      <c r="K683" s="86">
        <v>3</v>
      </c>
      <c r="L683" s="86">
        <f>SUM(Table3[[#This Row],[Strategic priority segment]:[Propensity to buy/ buyer readiness]])</f>
        <v>18</v>
      </c>
      <c r="M683" s="86" t="s">
        <v>66</v>
      </c>
      <c r="N683" s="84" t="s">
        <v>62</v>
      </c>
      <c r="O683" s="84"/>
      <c r="P683" s="87"/>
      <c r="Q683" s="87"/>
      <c r="R683" s="84"/>
      <c r="S683" s="84"/>
      <c r="T683" s="87"/>
      <c r="U683" s="84">
        <v>1</v>
      </c>
      <c r="V683" s="84">
        <v>0</v>
      </c>
      <c r="W683" s="84">
        <v>0</v>
      </c>
      <c r="X683" s="84">
        <v>0</v>
      </c>
      <c r="Y683" s="84">
        <v>0</v>
      </c>
      <c r="Z683" s="84">
        <v>0</v>
      </c>
      <c r="AA683" s="84">
        <v>0</v>
      </c>
      <c r="AB683" s="84">
        <v>0</v>
      </c>
      <c r="AC683" s="84">
        <v>0</v>
      </c>
      <c r="AD683" s="84">
        <v>1</v>
      </c>
      <c r="AE683" s="84">
        <v>1</v>
      </c>
      <c r="AF683" s="84">
        <v>1</v>
      </c>
      <c r="AG683" s="84">
        <v>1</v>
      </c>
      <c r="AH683" s="84">
        <v>0</v>
      </c>
      <c r="AI683" s="84">
        <v>0</v>
      </c>
      <c r="AJ683" s="84">
        <v>0</v>
      </c>
      <c r="AK683" s="84">
        <v>0</v>
      </c>
      <c r="AL683" s="84" cm="1">
        <f t="array" ref="AL6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83" s="84" cm="1">
        <f t="array" ref="AM6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3" s="84" cm="1">
        <f t="array" ref="AN6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3" s="84" cm="1">
        <f t="array" ref="AO6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3" s="84" cm="1">
        <f t="array" ref="AP6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3" s="84" cm="1">
        <f t="array" ref="AQ6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3" s="84" cm="1">
        <f t="array" ref="AR6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3" s="84" cm="1">
        <f t="array" ref="AS6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3" s="84" cm="1">
        <f t="array" ref="AT6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3" s="84" cm="1">
        <f t="array" ref="AU6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83" s="84" cm="1">
        <f t="array" ref="AV6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83" s="84" cm="1">
        <f t="array" ref="AW6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83" s="84" cm="1">
        <f t="array" ref="AX6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83" s="84" cm="1">
        <f t="array" ref="AY6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83" s="84" cm="1">
        <f t="array" ref="AZ6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83" s="84" cm="1">
        <f t="array" ref="BA6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83" s="84" cm="1">
        <f t="array" ref="BB6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83" s="84">
        <f>IF(SUM(Table3[[#This Row],[Column2]:[Column18]])&gt;Table3[[#This Row],[Column19]],Table3[[#This Row],[Column19]],SUM(Table3[[#This Row],[Column2]:[Column18]]))</f>
        <v>50000</v>
      </c>
      <c r="BD683" s="2">
        <f>Table3[[#This Row],[Total Spend]]/SUM(Table3[[#This Row],[Column2]:[Column18]])</f>
        <v>0.53163211057947901</v>
      </c>
    </row>
    <row r="684" spans="1:56">
      <c r="A684" s="84" t="s">
        <v>758</v>
      </c>
      <c r="B684" s="84" t="s">
        <v>57</v>
      </c>
      <c r="C684" s="84"/>
      <c r="D684" s="85">
        <v>45566</v>
      </c>
      <c r="E684" s="85" t="s">
        <v>92</v>
      </c>
      <c r="F684" s="84">
        <f>INDEX(Definitions!$G$13:$G$17,MATCH(Table3[[#This Row],[Propensity to buy/ buyer readiness]],Definitions!$A$13:$A$17,0))</f>
        <v>50000</v>
      </c>
      <c r="G684" s="86">
        <v>5</v>
      </c>
      <c r="H684" s="86">
        <v>4</v>
      </c>
      <c r="I684" s="86">
        <v>3</v>
      </c>
      <c r="J684" s="86">
        <v>3</v>
      </c>
      <c r="K684" s="86">
        <v>3</v>
      </c>
      <c r="L684" s="86">
        <f>SUM(Table3[[#This Row],[Strategic priority segment]:[Propensity to buy/ buyer readiness]])</f>
        <v>18</v>
      </c>
      <c r="M684" s="86" t="s">
        <v>66</v>
      </c>
      <c r="N684" s="84" t="s">
        <v>62</v>
      </c>
      <c r="O684" s="84"/>
      <c r="P684" s="87"/>
      <c r="Q684" s="87"/>
      <c r="R684" s="84"/>
      <c r="S684" s="84"/>
      <c r="T684" s="84"/>
      <c r="U684" s="84">
        <v>1</v>
      </c>
      <c r="V684" s="84">
        <v>0</v>
      </c>
      <c r="W684" s="84">
        <v>0</v>
      </c>
      <c r="X684" s="84">
        <v>0</v>
      </c>
      <c r="Y684" s="84">
        <v>0</v>
      </c>
      <c r="Z684" s="84">
        <v>0</v>
      </c>
      <c r="AA684" s="84">
        <v>0</v>
      </c>
      <c r="AB684" s="84">
        <v>0</v>
      </c>
      <c r="AC684" s="84">
        <v>0</v>
      </c>
      <c r="AD684" s="84">
        <v>1</v>
      </c>
      <c r="AE684" s="84">
        <v>1</v>
      </c>
      <c r="AF684" s="84">
        <v>1</v>
      </c>
      <c r="AG684" s="84">
        <v>1</v>
      </c>
      <c r="AH684" s="84">
        <v>0</v>
      </c>
      <c r="AI684" s="84">
        <v>0</v>
      </c>
      <c r="AJ684" s="84">
        <v>0</v>
      </c>
      <c r="AK684" s="84">
        <v>0</v>
      </c>
      <c r="AL684" s="84" cm="1">
        <f t="array" ref="AL6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84" s="84" cm="1">
        <f t="array" ref="AM6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4" s="84" cm="1">
        <f t="array" ref="AN6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4" s="84" cm="1">
        <f t="array" ref="AO6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4" s="84" cm="1">
        <f t="array" ref="AP6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4" s="84" cm="1">
        <f t="array" ref="AQ6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4" s="84" cm="1">
        <f t="array" ref="AR6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4" s="84" cm="1">
        <f t="array" ref="AS6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4" s="84" cm="1">
        <f t="array" ref="AT6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4" s="84" cm="1">
        <f t="array" ref="AU6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84" s="84" cm="1">
        <f t="array" ref="AV6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84" s="84" cm="1">
        <f t="array" ref="AW6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84" s="84" cm="1">
        <f t="array" ref="AX6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84" s="84" cm="1">
        <f t="array" ref="AY6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84" s="84" cm="1">
        <f t="array" ref="AZ6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84" s="84" cm="1">
        <f t="array" ref="BA6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84" s="84" cm="1">
        <f t="array" ref="BB6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84" s="84">
        <f>IF(SUM(Table3[[#This Row],[Column2]:[Column18]])&gt;Table3[[#This Row],[Column19]],Table3[[#This Row],[Column19]],SUM(Table3[[#This Row],[Column2]:[Column18]]))</f>
        <v>50000</v>
      </c>
      <c r="BD684" s="2">
        <f>Table3[[#This Row],[Total Spend]]/SUM(Table3[[#This Row],[Column2]:[Column18]])</f>
        <v>0.53163211057947901</v>
      </c>
    </row>
    <row r="685" spans="1:56" ht="28.5">
      <c r="A685" s="87" t="s">
        <v>759</v>
      </c>
      <c r="B685" s="87"/>
      <c r="C685" s="87"/>
      <c r="D685" s="85">
        <v>45566</v>
      </c>
      <c r="E685" s="85" t="s">
        <v>58</v>
      </c>
      <c r="F685" s="84">
        <f>INDEX(Definitions!$G$13:$G$17,MATCH(Table3[[#This Row],[Propensity to buy/ buyer readiness]],Definitions!$A$13:$A$17,0))</f>
        <v>50000</v>
      </c>
      <c r="G685" s="86">
        <v>5</v>
      </c>
      <c r="H685" s="86">
        <v>4</v>
      </c>
      <c r="I685" s="86">
        <v>2</v>
      </c>
      <c r="J685" s="86">
        <v>4</v>
      </c>
      <c r="K685" s="86">
        <v>3</v>
      </c>
      <c r="L685" s="86">
        <f>SUM(Table3[[#This Row],[Strategic priority segment]:[Propensity to buy/ buyer readiness]])</f>
        <v>18</v>
      </c>
      <c r="M685" s="86" t="s">
        <v>191</v>
      </c>
      <c r="N685" s="84" t="s">
        <v>135</v>
      </c>
      <c r="O685" s="87"/>
      <c r="P685" s="87"/>
      <c r="Q685" s="87"/>
      <c r="R685" s="84"/>
      <c r="S685" s="87"/>
      <c r="T685" s="87"/>
      <c r="U685" s="84">
        <v>0</v>
      </c>
      <c r="V685" s="84">
        <v>0</v>
      </c>
      <c r="W685" s="84">
        <v>0</v>
      </c>
      <c r="X685" s="84">
        <v>0</v>
      </c>
      <c r="Y685" s="84">
        <v>0</v>
      </c>
      <c r="Z685" s="84">
        <v>0</v>
      </c>
      <c r="AA685" s="84">
        <v>0</v>
      </c>
      <c r="AB685" s="84">
        <v>0</v>
      </c>
      <c r="AC685" s="84">
        <v>0</v>
      </c>
      <c r="AD685" s="84">
        <v>0</v>
      </c>
      <c r="AE685" s="84">
        <v>0</v>
      </c>
      <c r="AF685" s="84">
        <v>0</v>
      </c>
      <c r="AG685" s="84">
        <v>0</v>
      </c>
      <c r="AH685" s="84">
        <v>1</v>
      </c>
      <c r="AI685" s="84">
        <v>1</v>
      </c>
      <c r="AJ685" s="84">
        <v>1</v>
      </c>
      <c r="AK685" s="84">
        <v>1</v>
      </c>
      <c r="AL685" s="84" cm="1">
        <f t="array" ref="AL6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5" s="84" cm="1">
        <f t="array" ref="AM6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5" s="84" cm="1">
        <f t="array" ref="AN6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5" s="84" cm="1">
        <f t="array" ref="AO6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5" s="84" cm="1">
        <f t="array" ref="AP6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5" s="84" cm="1">
        <f t="array" ref="AQ6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5" s="84" cm="1">
        <f t="array" ref="AR6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5" s="84" cm="1">
        <f t="array" ref="AS6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5" s="84" cm="1">
        <f t="array" ref="AT6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5" s="84" cm="1">
        <f t="array" ref="AU6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5" s="84" cm="1">
        <f t="array" ref="AV6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5" s="84" cm="1">
        <f t="array" ref="AW6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5" s="84" cm="1">
        <f t="array" ref="AX6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5" s="84" cm="1">
        <f t="array" ref="AY6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5" s="84" cm="1">
        <f t="array" ref="AZ6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5" s="84" cm="1">
        <f t="array" ref="BA6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5" s="84" cm="1">
        <f t="array" ref="BB6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5" s="84">
        <f>IF(SUM(Table3[[#This Row],[Column2]:[Column18]])&gt;Table3[[#This Row],[Column19]],Table3[[#This Row],[Column19]],SUM(Table3[[#This Row],[Column2]:[Column18]]))</f>
        <v>50000</v>
      </c>
      <c r="BD685" s="2">
        <f>Table3[[#This Row],[Total Spend]]/SUM(Table3[[#This Row],[Column2]:[Column18]])</f>
        <v>0.77700077700077697</v>
      </c>
    </row>
    <row r="686" spans="1:56">
      <c r="A686" s="87" t="s">
        <v>760</v>
      </c>
      <c r="B686" s="87"/>
      <c r="C686" s="87"/>
      <c r="D686" s="85">
        <v>45566</v>
      </c>
      <c r="E686" s="85" t="s">
        <v>58</v>
      </c>
      <c r="F686" s="84">
        <f>INDEX(Definitions!$G$13:$G$17,MATCH(Table3[[#This Row],[Propensity to buy/ buyer readiness]],Definitions!$A$13:$A$17,0))</f>
        <v>50000</v>
      </c>
      <c r="G686" s="86">
        <v>5</v>
      </c>
      <c r="H686" s="86">
        <v>4</v>
      </c>
      <c r="I686" s="86">
        <v>2</v>
      </c>
      <c r="J686" s="86">
        <v>4</v>
      </c>
      <c r="K686" s="86">
        <v>3</v>
      </c>
      <c r="L686" s="86">
        <f>SUM(Table3[[#This Row],[Strategic priority segment]:[Propensity to buy/ buyer readiness]])</f>
        <v>18</v>
      </c>
      <c r="M686" s="86" t="s">
        <v>191</v>
      </c>
      <c r="N686" s="84" t="s">
        <v>135</v>
      </c>
      <c r="O686" s="87"/>
      <c r="P686" s="87"/>
      <c r="Q686" s="87"/>
      <c r="R686" s="84"/>
      <c r="S686" s="87"/>
      <c r="T686" s="87"/>
      <c r="U686" s="84">
        <v>0</v>
      </c>
      <c r="V686" s="84">
        <v>0</v>
      </c>
      <c r="W686" s="84">
        <v>0</v>
      </c>
      <c r="X686" s="84">
        <v>0</v>
      </c>
      <c r="Y686" s="84">
        <v>0</v>
      </c>
      <c r="Z686" s="84">
        <v>0</v>
      </c>
      <c r="AA686" s="84">
        <v>0</v>
      </c>
      <c r="AB686" s="84">
        <v>0</v>
      </c>
      <c r="AC686" s="84">
        <v>0</v>
      </c>
      <c r="AD686" s="84">
        <v>0</v>
      </c>
      <c r="AE686" s="84">
        <v>0</v>
      </c>
      <c r="AF686" s="84">
        <v>0</v>
      </c>
      <c r="AG686" s="84">
        <v>0</v>
      </c>
      <c r="AH686" s="84">
        <v>1</v>
      </c>
      <c r="AI686" s="84">
        <v>1</v>
      </c>
      <c r="AJ686" s="84">
        <v>1</v>
      </c>
      <c r="AK686" s="84">
        <v>1</v>
      </c>
      <c r="AL686" s="84" cm="1">
        <f t="array" ref="AL6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6" s="84" cm="1">
        <f t="array" ref="AM6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6" s="84" cm="1">
        <f t="array" ref="AN6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6" s="84" cm="1">
        <f t="array" ref="AO6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6" s="84" cm="1">
        <f t="array" ref="AP6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6" s="84" cm="1">
        <f t="array" ref="AQ6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6" s="84" cm="1">
        <f t="array" ref="AR6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6" s="84" cm="1">
        <f t="array" ref="AS6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6" s="84" cm="1">
        <f t="array" ref="AT6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6" s="84" cm="1">
        <f t="array" ref="AU6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6" s="84" cm="1">
        <f t="array" ref="AV6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6" s="84" cm="1">
        <f t="array" ref="AW6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6" s="84" cm="1">
        <f t="array" ref="AX6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6" s="84" cm="1">
        <f t="array" ref="AY6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6" s="84" cm="1">
        <f t="array" ref="AZ6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6" s="84" cm="1">
        <f t="array" ref="BA6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6" s="84" cm="1">
        <f t="array" ref="BB6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6" s="84">
        <f>IF(SUM(Table3[[#This Row],[Column2]:[Column18]])&gt;Table3[[#This Row],[Column19]],Table3[[#This Row],[Column19]],SUM(Table3[[#This Row],[Column2]:[Column18]]))</f>
        <v>50000</v>
      </c>
      <c r="BD686" s="2">
        <f>Table3[[#This Row],[Total Spend]]/SUM(Table3[[#This Row],[Column2]:[Column18]])</f>
        <v>0.77700077700077697</v>
      </c>
    </row>
    <row r="687" spans="1:56" ht="16.5" customHeight="1">
      <c r="A687" s="87" t="s">
        <v>761</v>
      </c>
      <c r="B687" s="87"/>
      <c r="C687" s="87"/>
      <c r="D687" s="85">
        <v>45566</v>
      </c>
      <c r="E687" s="85" t="s">
        <v>58</v>
      </c>
      <c r="F687" s="84">
        <f>INDEX(Definitions!$G$13:$G$17,MATCH(Table3[[#This Row],[Propensity to buy/ buyer readiness]],Definitions!$A$13:$A$17,0))</f>
        <v>50000</v>
      </c>
      <c r="G687" s="86">
        <v>5</v>
      </c>
      <c r="H687" s="86">
        <v>4</v>
      </c>
      <c r="I687" s="86">
        <v>2</v>
      </c>
      <c r="J687" s="86">
        <v>4</v>
      </c>
      <c r="K687" s="86">
        <v>3</v>
      </c>
      <c r="L687" s="86">
        <f>SUM(Table3[[#This Row],[Strategic priority segment]:[Propensity to buy/ buyer readiness]])</f>
        <v>18</v>
      </c>
      <c r="M687" s="86" t="s">
        <v>191</v>
      </c>
      <c r="N687" s="84" t="s">
        <v>135</v>
      </c>
      <c r="O687" s="87"/>
      <c r="P687" s="87"/>
      <c r="Q687" s="87"/>
      <c r="R687" s="84"/>
      <c r="S687" s="87"/>
      <c r="T687" s="87"/>
      <c r="U687" s="84">
        <v>0</v>
      </c>
      <c r="V687" s="84">
        <v>0</v>
      </c>
      <c r="W687" s="84">
        <v>0</v>
      </c>
      <c r="X687" s="84">
        <v>0</v>
      </c>
      <c r="Y687" s="84">
        <v>0</v>
      </c>
      <c r="Z687" s="84">
        <v>0</v>
      </c>
      <c r="AA687" s="84">
        <v>0</v>
      </c>
      <c r="AB687" s="84">
        <v>0</v>
      </c>
      <c r="AC687" s="84">
        <v>0</v>
      </c>
      <c r="AD687" s="84">
        <v>0</v>
      </c>
      <c r="AE687" s="84">
        <v>0</v>
      </c>
      <c r="AF687" s="84">
        <v>0</v>
      </c>
      <c r="AG687" s="84">
        <v>0</v>
      </c>
      <c r="AH687" s="84">
        <v>1</v>
      </c>
      <c r="AI687" s="84">
        <v>1</v>
      </c>
      <c r="AJ687" s="84">
        <v>1</v>
      </c>
      <c r="AK687" s="84">
        <v>1</v>
      </c>
      <c r="AL687" s="84" cm="1">
        <f t="array" ref="AL6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7" s="84" cm="1">
        <f t="array" ref="AM6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7" s="84" cm="1">
        <f t="array" ref="AN6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7" s="84" cm="1">
        <f t="array" ref="AO6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7" s="84" cm="1">
        <f t="array" ref="AP6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7" s="84" cm="1">
        <f t="array" ref="AQ6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7" s="84" cm="1">
        <f t="array" ref="AR6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7" s="84" cm="1">
        <f t="array" ref="AS6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7" s="84" cm="1">
        <f t="array" ref="AT6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7" s="84" cm="1">
        <f t="array" ref="AU6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7" s="84" cm="1">
        <f t="array" ref="AV6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7" s="84" cm="1">
        <f t="array" ref="AW6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7" s="84" cm="1">
        <f t="array" ref="AX6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7" s="84" cm="1">
        <f t="array" ref="AY6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7" s="84" cm="1">
        <f t="array" ref="AZ6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7" s="84" cm="1">
        <f t="array" ref="BA6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7" s="84" cm="1">
        <f t="array" ref="BB6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7" s="84">
        <f>IF(SUM(Table3[[#This Row],[Column2]:[Column18]])&gt;Table3[[#This Row],[Column19]],Table3[[#This Row],[Column19]],SUM(Table3[[#This Row],[Column2]:[Column18]]))</f>
        <v>50000</v>
      </c>
      <c r="BD687" s="2">
        <f>Table3[[#This Row],[Total Spend]]/SUM(Table3[[#This Row],[Column2]:[Column18]])</f>
        <v>0.77700077700077697</v>
      </c>
    </row>
    <row r="688" spans="1:56" ht="28.5">
      <c r="A688" s="87" t="s">
        <v>762</v>
      </c>
      <c r="B688" s="87"/>
      <c r="C688" s="87"/>
      <c r="D688" s="85">
        <v>45566</v>
      </c>
      <c r="E688" s="85" t="s">
        <v>58</v>
      </c>
      <c r="F688" s="84">
        <f>INDEX(Definitions!$G$13:$G$17,MATCH(Table3[[#This Row],[Propensity to buy/ buyer readiness]],Definitions!$A$13:$A$17,0))</f>
        <v>50000</v>
      </c>
      <c r="G688" s="86">
        <v>5</v>
      </c>
      <c r="H688" s="86">
        <v>4</v>
      </c>
      <c r="I688" s="86">
        <v>2</v>
      </c>
      <c r="J688" s="86">
        <v>4</v>
      </c>
      <c r="K688" s="86">
        <v>3</v>
      </c>
      <c r="L688" s="86">
        <f>SUM(Table3[[#This Row],[Strategic priority segment]:[Propensity to buy/ buyer readiness]])</f>
        <v>18</v>
      </c>
      <c r="M688" s="86" t="s">
        <v>191</v>
      </c>
      <c r="N688" s="84" t="s">
        <v>135</v>
      </c>
      <c r="O688" s="87"/>
      <c r="P688" s="87"/>
      <c r="Q688" s="87"/>
      <c r="R688" s="84"/>
      <c r="S688" s="87"/>
      <c r="T688" s="87"/>
      <c r="U688" s="84">
        <v>0</v>
      </c>
      <c r="V688" s="84">
        <v>0</v>
      </c>
      <c r="W688" s="84">
        <v>0</v>
      </c>
      <c r="X688" s="84">
        <v>0</v>
      </c>
      <c r="Y688" s="84">
        <v>0</v>
      </c>
      <c r="Z688" s="84">
        <v>0</v>
      </c>
      <c r="AA688" s="84">
        <v>0</v>
      </c>
      <c r="AB688" s="84">
        <v>0</v>
      </c>
      <c r="AC688" s="84">
        <v>0</v>
      </c>
      <c r="AD688" s="84">
        <v>0</v>
      </c>
      <c r="AE688" s="84">
        <v>0</v>
      </c>
      <c r="AF688" s="84">
        <v>0</v>
      </c>
      <c r="AG688" s="84">
        <v>0</v>
      </c>
      <c r="AH688" s="84">
        <v>1</v>
      </c>
      <c r="AI688" s="84">
        <v>1</v>
      </c>
      <c r="AJ688" s="84">
        <v>1</v>
      </c>
      <c r="AK688" s="84">
        <v>1</v>
      </c>
      <c r="AL688" s="84" cm="1">
        <f t="array" ref="AL6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8" s="84" cm="1">
        <f t="array" ref="AM6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8" s="84" cm="1">
        <f t="array" ref="AN6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8" s="84" cm="1">
        <f t="array" ref="AO6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8" s="84" cm="1">
        <f t="array" ref="AP6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8" s="84" cm="1">
        <f t="array" ref="AQ6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8" s="84" cm="1">
        <f t="array" ref="AR6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8" s="84" cm="1">
        <f t="array" ref="AS6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8" s="84" cm="1">
        <f t="array" ref="AT6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8" s="84" cm="1">
        <f t="array" ref="AU6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8" s="84" cm="1">
        <f t="array" ref="AV6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8" s="84" cm="1">
        <f t="array" ref="AW6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8" s="84" cm="1">
        <f t="array" ref="AX6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8" s="84" cm="1">
        <f t="array" ref="AY6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8" s="84" cm="1">
        <f t="array" ref="AZ6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8" s="84" cm="1">
        <f t="array" ref="BA6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8" s="84" cm="1">
        <f t="array" ref="BB6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8" s="84">
        <f>IF(SUM(Table3[[#This Row],[Column2]:[Column18]])&gt;Table3[[#This Row],[Column19]],Table3[[#This Row],[Column19]],SUM(Table3[[#This Row],[Column2]:[Column18]]))</f>
        <v>50000</v>
      </c>
      <c r="BD688" s="2">
        <f>Table3[[#This Row],[Total Spend]]/SUM(Table3[[#This Row],[Column2]:[Column18]])</f>
        <v>0.77700077700077697</v>
      </c>
    </row>
    <row r="689" spans="1:56">
      <c r="A689" s="87" t="s">
        <v>763</v>
      </c>
      <c r="B689" s="87"/>
      <c r="C689" s="87"/>
      <c r="D689" s="85">
        <v>45566</v>
      </c>
      <c r="E689" s="85" t="s">
        <v>58</v>
      </c>
      <c r="F689" s="84">
        <f>INDEX(Definitions!$G$13:$G$17,MATCH(Table3[[#This Row],[Propensity to buy/ buyer readiness]],Definitions!$A$13:$A$17,0))</f>
        <v>50000</v>
      </c>
      <c r="G689" s="86">
        <v>5</v>
      </c>
      <c r="H689" s="86">
        <v>4</v>
      </c>
      <c r="I689" s="86">
        <v>2</v>
      </c>
      <c r="J689" s="86">
        <v>4</v>
      </c>
      <c r="K689" s="86">
        <v>3</v>
      </c>
      <c r="L689" s="86">
        <f>SUM(Table3[[#This Row],[Strategic priority segment]:[Propensity to buy/ buyer readiness]])</f>
        <v>18</v>
      </c>
      <c r="M689" s="86" t="s">
        <v>191</v>
      </c>
      <c r="N689" s="84" t="s">
        <v>135</v>
      </c>
      <c r="O689" s="87"/>
      <c r="P689" s="87"/>
      <c r="Q689" s="87"/>
      <c r="R689" s="84"/>
      <c r="S689" s="87"/>
      <c r="T689" s="84"/>
      <c r="U689" s="84">
        <v>0</v>
      </c>
      <c r="V689" s="84">
        <v>0</v>
      </c>
      <c r="W689" s="84">
        <v>0</v>
      </c>
      <c r="X689" s="84">
        <v>0</v>
      </c>
      <c r="Y689" s="84">
        <v>0</v>
      </c>
      <c r="Z689" s="84">
        <v>0</v>
      </c>
      <c r="AA689" s="84">
        <v>0</v>
      </c>
      <c r="AB689" s="84">
        <v>0</v>
      </c>
      <c r="AC689" s="84">
        <v>0</v>
      </c>
      <c r="AD689" s="84">
        <v>0</v>
      </c>
      <c r="AE689" s="84">
        <v>0</v>
      </c>
      <c r="AF689" s="84">
        <v>0</v>
      </c>
      <c r="AG689" s="84">
        <v>0</v>
      </c>
      <c r="AH689" s="84">
        <v>1</v>
      </c>
      <c r="AI689" s="84">
        <v>1</v>
      </c>
      <c r="AJ689" s="84">
        <v>1</v>
      </c>
      <c r="AK689" s="84">
        <v>1</v>
      </c>
      <c r="AL689" s="84" cm="1">
        <f t="array" ref="AL6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89" s="84" cm="1">
        <f t="array" ref="AM6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89" s="84" cm="1">
        <f t="array" ref="AN6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89" s="84" cm="1">
        <f t="array" ref="AO6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89" s="84" cm="1">
        <f t="array" ref="AP6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89" s="84" cm="1">
        <f t="array" ref="AQ6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89" s="84" cm="1">
        <f t="array" ref="AR6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89" s="84" cm="1">
        <f t="array" ref="AS6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89" s="84" cm="1">
        <f t="array" ref="AT6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89" s="84" cm="1">
        <f t="array" ref="AU6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89" s="84" cm="1">
        <f t="array" ref="AV6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89" s="84" cm="1">
        <f t="array" ref="AW6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89" s="84" cm="1">
        <f t="array" ref="AX6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89" s="84" cm="1">
        <f t="array" ref="AY6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89" s="84" cm="1">
        <f t="array" ref="AZ6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89" s="84" cm="1">
        <f t="array" ref="BA6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89" s="84" cm="1">
        <f t="array" ref="BB6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89" s="84">
        <f>IF(SUM(Table3[[#This Row],[Column2]:[Column18]])&gt;Table3[[#This Row],[Column19]],Table3[[#This Row],[Column19]],SUM(Table3[[#This Row],[Column2]:[Column18]]))</f>
        <v>50000</v>
      </c>
      <c r="BD689" s="2">
        <f>Table3[[#This Row],[Total Spend]]/SUM(Table3[[#This Row],[Column2]:[Column18]])</f>
        <v>0.77700077700077697</v>
      </c>
    </row>
    <row r="690" spans="1:56">
      <c r="A690" s="84" t="s">
        <v>764</v>
      </c>
      <c r="B690" s="84"/>
      <c r="C690" s="84"/>
      <c r="D690" s="85">
        <v>45566</v>
      </c>
      <c r="E690" s="85" t="s">
        <v>58</v>
      </c>
      <c r="F690" s="84">
        <f>INDEX(Definitions!$G$13:$G$17,MATCH(Table3[[#This Row],[Propensity to buy/ buyer readiness]],Definitions!$A$13:$A$17,0))</f>
        <v>150000</v>
      </c>
      <c r="G690" s="86">
        <v>4</v>
      </c>
      <c r="H690" s="86">
        <v>4</v>
      </c>
      <c r="I690" s="86">
        <v>3</v>
      </c>
      <c r="J690" s="86">
        <v>3</v>
      </c>
      <c r="K690" s="86">
        <v>4</v>
      </c>
      <c r="L690" s="86">
        <f>SUM(Table3[[#This Row],[Strategic priority segment]:[Propensity to buy/ buyer readiness]])</f>
        <v>18</v>
      </c>
      <c r="M690" s="86" t="s">
        <v>152</v>
      </c>
      <c r="N690" s="84" t="s">
        <v>122</v>
      </c>
      <c r="O690" s="87"/>
      <c r="P690" s="87"/>
      <c r="Q690" s="87"/>
      <c r="R690" s="87"/>
      <c r="S690" s="87"/>
      <c r="T690" s="87"/>
      <c r="U690" s="84">
        <v>1</v>
      </c>
      <c r="V690" s="84">
        <v>0</v>
      </c>
      <c r="W690" s="84">
        <v>0</v>
      </c>
      <c r="X690" s="84">
        <v>0</v>
      </c>
      <c r="Y690" s="84">
        <v>0</v>
      </c>
      <c r="Z690" s="84">
        <v>1</v>
      </c>
      <c r="AA690" s="84">
        <v>0</v>
      </c>
      <c r="AB690" s="84">
        <v>1</v>
      </c>
      <c r="AC690" s="84">
        <v>0</v>
      </c>
      <c r="AD690" s="84">
        <v>1</v>
      </c>
      <c r="AE690" s="84">
        <v>0</v>
      </c>
      <c r="AF690" s="84">
        <v>1</v>
      </c>
      <c r="AG690" s="84">
        <v>0</v>
      </c>
      <c r="AH690" s="84">
        <v>0</v>
      </c>
      <c r="AI690" s="84">
        <v>0</v>
      </c>
      <c r="AJ690" s="84">
        <v>0</v>
      </c>
      <c r="AK690" s="84">
        <v>0</v>
      </c>
      <c r="AL690" s="84" cm="1">
        <f t="array" ref="AL6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90" s="84" cm="1">
        <f t="array" ref="AM6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0" s="84" cm="1">
        <f t="array" ref="AN6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0" s="84" cm="1">
        <f t="array" ref="AO6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0" s="84" cm="1">
        <f t="array" ref="AP6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0" s="84" cm="1">
        <f t="array" ref="AQ6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90" s="84" cm="1">
        <f t="array" ref="AR6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0" s="84" cm="1">
        <f t="array" ref="AS6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90" s="84" cm="1">
        <f t="array" ref="AT6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0" s="84" cm="1">
        <f t="array" ref="AU6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690" s="84" cm="1">
        <f t="array" ref="AV6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0" s="84" cm="1">
        <f t="array" ref="AW6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690" s="84" cm="1">
        <f t="array" ref="AX6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0" s="84" cm="1">
        <f t="array" ref="AY6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90" s="84" cm="1">
        <f t="array" ref="AZ6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90" s="84" cm="1">
        <f t="array" ref="BA6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90" s="84" cm="1">
        <f t="array" ref="BB6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90" s="84">
        <f>IF(SUM(Table3[[#This Row],[Column2]:[Column18]])&gt;Table3[[#This Row],[Column19]],Table3[[#This Row],[Column19]],SUM(Table3[[#This Row],[Column2]:[Column18]]))</f>
        <v>150000</v>
      </c>
      <c r="BD690" s="2">
        <f>Table3[[#This Row],[Total Spend]]/SUM(Table3[[#This Row],[Column2]:[Column18]])</f>
        <v>0.89605734767025091</v>
      </c>
    </row>
    <row r="691" spans="1:56">
      <c r="A691" s="87" t="s">
        <v>765</v>
      </c>
      <c r="B691" s="87"/>
      <c r="C691" s="87"/>
      <c r="D691" s="85">
        <v>45566</v>
      </c>
      <c r="E691" s="85" t="s">
        <v>58</v>
      </c>
      <c r="F691" s="84">
        <f>INDEX(Definitions!$G$13:$G$17,MATCH(Table3[[#This Row],[Propensity to buy/ buyer readiness]],Definitions!$A$13:$A$17,0))</f>
        <v>50000</v>
      </c>
      <c r="G691" s="86">
        <v>5</v>
      </c>
      <c r="H691" s="86">
        <v>4</v>
      </c>
      <c r="I691" s="86">
        <v>2</v>
      </c>
      <c r="J691" s="86">
        <v>4</v>
      </c>
      <c r="K691" s="86">
        <v>3</v>
      </c>
      <c r="L691" s="86">
        <f>SUM(Table3[[#This Row],[Strategic priority segment]:[Propensity to buy/ buyer readiness]])</f>
        <v>18</v>
      </c>
      <c r="M691" s="86" t="s">
        <v>191</v>
      </c>
      <c r="N691" s="84" t="s">
        <v>135</v>
      </c>
      <c r="O691" s="87"/>
      <c r="P691" s="87"/>
      <c r="Q691" s="87"/>
      <c r="R691" s="84"/>
      <c r="S691" s="87"/>
      <c r="T691" s="84"/>
      <c r="U691" s="84">
        <v>0</v>
      </c>
      <c r="V691" s="84">
        <v>0</v>
      </c>
      <c r="W691" s="84">
        <v>0</v>
      </c>
      <c r="X691" s="84">
        <v>0</v>
      </c>
      <c r="Y691" s="84">
        <v>0</v>
      </c>
      <c r="Z691" s="84">
        <v>0</v>
      </c>
      <c r="AA691" s="84">
        <v>0</v>
      </c>
      <c r="AB691" s="84">
        <v>0</v>
      </c>
      <c r="AC691" s="84">
        <v>0</v>
      </c>
      <c r="AD691" s="84">
        <v>0</v>
      </c>
      <c r="AE691" s="84">
        <v>0</v>
      </c>
      <c r="AF691" s="84">
        <v>0</v>
      </c>
      <c r="AG691" s="84">
        <v>0</v>
      </c>
      <c r="AH691" s="84">
        <v>1</v>
      </c>
      <c r="AI691" s="84">
        <v>1</v>
      </c>
      <c r="AJ691" s="84">
        <v>1</v>
      </c>
      <c r="AK691" s="84">
        <v>1</v>
      </c>
      <c r="AL691" s="84" cm="1">
        <f t="array" ref="AL6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91" s="84" cm="1">
        <f t="array" ref="AM6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1" s="84" cm="1">
        <f t="array" ref="AN6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1" s="84" cm="1">
        <f t="array" ref="AO6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1" s="84" cm="1">
        <f t="array" ref="AP6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1" s="84" cm="1">
        <f t="array" ref="AQ6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1" s="84" cm="1">
        <f t="array" ref="AR6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1" s="84" cm="1">
        <f t="array" ref="AS6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1" s="84" cm="1">
        <f t="array" ref="AT6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1" s="84" cm="1">
        <f t="array" ref="AU6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1" s="84" cm="1">
        <f t="array" ref="AV6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1" s="84" cm="1">
        <f t="array" ref="AW6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1" s="84" cm="1">
        <f t="array" ref="AX6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1" s="84" cm="1">
        <f t="array" ref="AY6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91" s="84" cm="1">
        <f t="array" ref="AZ6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91" s="84" cm="1">
        <f t="array" ref="BA6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91" s="84" cm="1">
        <f t="array" ref="BB6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91" s="84">
        <f>IF(SUM(Table3[[#This Row],[Column2]:[Column18]])&gt;Table3[[#This Row],[Column19]],Table3[[#This Row],[Column19]],SUM(Table3[[#This Row],[Column2]:[Column18]]))</f>
        <v>50000</v>
      </c>
      <c r="BD691" s="2">
        <f>Table3[[#This Row],[Total Spend]]/SUM(Table3[[#This Row],[Column2]:[Column18]])</f>
        <v>0.77700077700077697</v>
      </c>
    </row>
    <row r="692" spans="1:56">
      <c r="A692" s="84" t="s">
        <v>766</v>
      </c>
      <c r="B692" s="84" t="s">
        <v>57</v>
      </c>
      <c r="C692" s="84"/>
      <c r="D692" s="85">
        <v>45566</v>
      </c>
      <c r="E692" s="85" t="s">
        <v>92</v>
      </c>
      <c r="F692" s="84">
        <f>INDEX(Definitions!$G$13:$G$17,MATCH(Table3[[#This Row],[Propensity to buy/ buyer readiness]],Definitions!$A$13:$A$17,0))</f>
        <v>50000</v>
      </c>
      <c r="G692" s="86">
        <v>3</v>
      </c>
      <c r="H692" s="86">
        <v>4</v>
      </c>
      <c r="I692" s="86">
        <v>4</v>
      </c>
      <c r="J692" s="86">
        <v>4</v>
      </c>
      <c r="K692" s="86">
        <v>3</v>
      </c>
      <c r="L692" s="86">
        <f>SUM(Table3[[#This Row],[Strategic priority segment]:[Propensity to buy/ buyer readiness]])</f>
        <v>18</v>
      </c>
      <c r="M692" s="86" t="s">
        <v>59</v>
      </c>
      <c r="N692" s="84" t="s">
        <v>153</v>
      </c>
      <c r="O692" s="84"/>
      <c r="P692" s="87"/>
      <c r="Q692" s="87"/>
      <c r="R692" s="84"/>
      <c r="S692" s="84"/>
      <c r="T692" s="84"/>
      <c r="U692" s="84">
        <v>1</v>
      </c>
      <c r="V692" s="84">
        <v>0</v>
      </c>
      <c r="W692" s="84">
        <v>0</v>
      </c>
      <c r="X692" s="84">
        <v>0</v>
      </c>
      <c r="Y692" s="84">
        <v>0</v>
      </c>
      <c r="Z692" s="84">
        <v>0</v>
      </c>
      <c r="AA692" s="84">
        <v>0</v>
      </c>
      <c r="AB692" s="84">
        <v>0</v>
      </c>
      <c r="AC692" s="84">
        <v>0</v>
      </c>
      <c r="AD692" s="84">
        <v>0</v>
      </c>
      <c r="AE692" s="84">
        <v>0</v>
      </c>
      <c r="AF692" s="84">
        <v>0</v>
      </c>
      <c r="AG692" s="84">
        <v>0</v>
      </c>
      <c r="AH692" s="84">
        <v>0</v>
      </c>
      <c r="AI692" s="84">
        <v>0</v>
      </c>
      <c r="AJ692" s="84">
        <v>0</v>
      </c>
      <c r="AK692" s="84">
        <v>0</v>
      </c>
      <c r="AL692" s="84" cm="1">
        <f t="array" ref="AL6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92" s="84" cm="1">
        <f t="array" ref="AM6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2" s="84" cm="1">
        <f t="array" ref="AN6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2" s="84" cm="1">
        <f t="array" ref="AO6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2" s="84" cm="1">
        <f t="array" ref="AP6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2" s="84" cm="1">
        <f t="array" ref="AQ6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2" s="84" cm="1">
        <f t="array" ref="AR6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2" s="84" cm="1">
        <f t="array" ref="AS6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2" s="84" cm="1">
        <f t="array" ref="AT6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2" s="84" cm="1">
        <f t="array" ref="AU6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2" s="84" cm="1">
        <f t="array" ref="AV6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2" s="84" cm="1">
        <f t="array" ref="AW6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2" s="84" cm="1">
        <f t="array" ref="AX6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2" s="84" cm="1">
        <f t="array" ref="AY6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92" s="84" cm="1">
        <f t="array" ref="AZ6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92" s="84" cm="1">
        <f t="array" ref="BA6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92" s="84" cm="1">
        <f t="array" ref="BB6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92" s="84">
        <f>IF(SUM(Table3[[#This Row],[Column2]:[Column18]])&gt;Table3[[#This Row],[Column19]],Table3[[#This Row],[Column19]],SUM(Table3[[#This Row],[Column2]:[Column18]]))</f>
        <v>8100</v>
      </c>
      <c r="BD692" s="2">
        <f>Table3[[#This Row],[Total Spend]]/SUM(Table3[[#This Row],[Column2]:[Column18]])</f>
        <v>1</v>
      </c>
    </row>
    <row r="693" spans="1:56">
      <c r="A693" s="84" t="s">
        <v>767</v>
      </c>
      <c r="B693" s="84"/>
      <c r="C693" s="84" t="s">
        <v>57</v>
      </c>
      <c r="D693" s="85">
        <v>45566</v>
      </c>
      <c r="E693" s="85" t="s">
        <v>92</v>
      </c>
      <c r="F693" s="84">
        <f>INDEX(Definitions!$G$13:$G$17,MATCH(Table3[[#This Row],[Propensity to buy/ buyer readiness]],Definitions!$A$13:$A$17,0))</f>
        <v>50000</v>
      </c>
      <c r="G693" s="86">
        <v>5</v>
      </c>
      <c r="H693" s="86">
        <v>4</v>
      </c>
      <c r="I693" s="86">
        <v>3</v>
      </c>
      <c r="J693" s="86">
        <v>3</v>
      </c>
      <c r="K693" s="86">
        <v>3</v>
      </c>
      <c r="L693" s="86">
        <f>SUM(Table3[[#This Row],[Strategic priority segment]:[Propensity to buy/ buyer readiness]])</f>
        <v>18</v>
      </c>
      <c r="M693" s="86" t="s">
        <v>66</v>
      </c>
      <c r="N693" s="84" t="s">
        <v>62</v>
      </c>
      <c r="O693" s="87"/>
      <c r="P693" s="87"/>
      <c r="Q693" s="87"/>
      <c r="R693" s="84"/>
      <c r="S693" s="87"/>
      <c r="T693" s="87"/>
      <c r="U693" s="84">
        <v>1</v>
      </c>
      <c r="V693" s="84">
        <v>0</v>
      </c>
      <c r="W693" s="84">
        <v>0</v>
      </c>
      <c r="X693" s="84">
        <v>0</v>
      </c>
      <c r="Y693" s="84">
        <v>0</v>
      </c>
      <c r="Z693" s="84">
        <v>0</v>
      </c>
      <c r="AA693" s="84">
        <v>0</v>
      </c>
      <c r="AB693" s="84">
        <v>0</v>
      </c>
      <c r="AC693" s="84">
        <v>0</v>
      </c>
      <c r="AD693" s="84">
        <v>1</v>
      </c>
      <c r="AE693" s="84">
        <v>1</v>
      </c>
      <c r="AF693" s="84">
        <v>1</v>
      </c>
      <c r="AG693" s="84">
        <v>1</v>
      </c>
      <c r="AH693" s="84">
        <v>0</v>
      </c>
      <c r="AI693" s="84">
        <v>0</v>
      </c>
      <c r="AJ693" s="84">
        <v>0</v>
      </c>
      <c r="AK693" s="84">
        <v>0</v>
      </c>
      <c r="AL693" s="84" cm="1">
        <f t="array" ref="AL6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93" s="84" cm="1">
        <f t="array" ref="AM6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3" s="84" cm="1">
        <f t="array" ref="AN6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3" s="84" cm="1">
        <f t="array" ref="AO6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3" s="84" cm="1">
        <f t="array" ref="AP6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3" s="84" cm="1">
        <f t="array" ref="AQ6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3" s="84" cm="1">
        <f t="array" ref="AR6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3" s="84" cm="1">
        <f t="array" ref="AS6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3" s="84" cm="1">
        <f t="array" ref="AT6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3" s="84" cm="1">
        <f t="array" ref="AU6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93" s="84" cm="1">
        <f t="array" ref="AV6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93" s="84" cm="1">
        <f t="array" ref="AW6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93" s="84" cm="1">
        <f t="array" ref="AX6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93" s="84" cm="1">
        <f t="array" ref="AY6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93" s="84" cm="1">
        <f t="array" ref="AZ6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93" s="84" cm="1">
        <f t="array" ref="BA6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93" s="84" cm="1">
        <f t="array" ref="BB6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93" s="84">
        <f>IF(SUM(Table3[[#This Row],[Column2]:[Column18]])&gt;Table3[[#This Row],[Column19]],Table3[[#This Row],[Column19]],SUM(Table3[[#This Row],[Column2]:[Column18]]))</f>
        <v>50000</v>
      </c>
      <c r="BD693" s="2">
        <f>Table3[[#This Row],[Total Spend]]/SUM(Table3[[#This Row],[Column2]:[Column18]])</f>
        <v>0.53163211057947901</v>
      </c>
    </row>
    <row r="694" spans="1:56" ht="28.5">
      <c r="A694" s="87" t="s">
        <v>768</v>
      </c>
      <c r="B694" s="87"/>
      <c r="C694" s="87"/>
      <c r="D694" s="85">
        <v>45566</v>
      </c>
      <c r="E694" s="85" t="s">
        <v>58</v>
      </c>
      <c r="F694" s="84">
        <f>INDEX(Definitions!$G$13:$G$17,MATCH(Table3[[#This Row],[Propensity to buy/ buyer readiness]],Definitions!$A$13:$A$17,0))</f>
        <v>50000</v>
      </c>
      <c r="G694" s="86">
        <v>5</v>
      </c>
      <c r="H694" s="86">
        <v>4</v>
      </c>
      <c r="I694" s="86">
        <v>2</v>
      </c>
      <c r="J694" s="86">
        <v>4</v>
      </c>
      <c r="K694" s="86">
        <v>3</v>
      </c>
      <c r="L694" s="86">
        <f>SUM(Table3[[#This Row],[Strategic priority segment]:[Propensity to buy/ buyer readiness]])</f>
        <v>18</v>
      </c>
      <c r="M694" s="86" t="s">
        <v>191</v>
      </c>
      <c r="N694" s="84" t="s">
        <v>135</v>
      </c>
      <c r="O694" s="87" t="s">
        <v>61</v>
      </c>
      <c r="P694" s="87"/>
      <c r="Q694" s="87"/>
      <c r="R694" s="84"/>
      <c r="S694" s="87"/>
      <c r="T694" s="84"/>
      <c r="U694" s="84">
        <v>1</v>
      </c>
      <c r="V694" s="84">
        <v>0</v>
      </c>
      <c r="W694" s="84">
        <v>0</v>
      </c>
      <c r="X694" s="84">
        <v>0</v>
      </c>
      <c r="Y694" s="84">
        <v>0</v>
      </c>
      <c r="Z694" s="84">
        <v>1</v>
      </c>
      <c r="AA694" s="84">
        <v>1</v>
      </c>
      <c r="AB694" s="84">
        <v>1</v>
      </c>
      <c r="AC694" s="84">
        <v>1</v>
      </c>
      <c r="AD694" s="84">
        <v>0</v>
      </c>
      <c r="AE694" s="84">
        <v>0</v>
      </c>
      <c r="AF694" s="84">
        <v>0</v>
      </c>
      <c r="AG694" s="84">
        <v>0</v>
      </c>
      <c r="AH694" s="84">
        <v>1</v>
      </c>
      <c r="AI694" s="84">
        <v>1</v>
      </c>
      <c r="AJ694" s="84">
        <v>1</v>
      </c>
      <c r="AK694" s="84">
        <v>1</v>
      </c>
      <c r="AL694" s="84" cm="1">
        <f t="array" ref="AL6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694" s="84" cm="1">
        <f t="array" ref="AM6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4" s="84" cm="1">
        <f t="array" ref="AN6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4" s="84" cm="1">
        <f t="array" ref="AO6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4" s="84" cm="1">
        <f t="array" ref="AP6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4" s="84" cm="1">
        <f t="array" ref="AQ6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694" s="84" cm="1">
        <f t="array" ref="AR6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694" s="84" cm="1">
        <f t="array" ref="AS6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694" s="84" cm="1">
        <f t="array" ref="AT6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694" s="84" cm="1">
        <f t="array" ref="AU6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4" s="84" cm="1">
        <f t="array" ref="AV6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4" s="84" cm="1">
        <f t="array" ref="AW6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4" s="84" cm="1">
        <f t="array" ref="AX6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4" s="84" cm="1">
        <f t="array" ref="AY6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94" s="84" cm="1">
        <f t="array" ref="AZ6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94" s="84" cm="1">
        <f t="array" ref="BA6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94" s="84" cm="1">
        <f t="array" ref="BB6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94" s="84">
        <f>IF(SUM(Table3[[#This Row],[Column2]:[Column18]])&gt;Table3[[#This Row],[Column19]],Table3[[#This Row],[Column19]],SUM(Table3[[#This Row],[Column2]:[Column18]]))</f>
        <v>50000</v>
      </c>
      <c r="BD694" s="2">
        <f>Table3[[#This Row],[Total Spend]]/SUM(Table3[[#This Row],[Column2]:[Column18]])</f>
        <v>0.24420024420024419</v>
      </c>
    </row>
    <row r="695" spans="1:56">
      <c r="A695" s="87" t="s">
        <v>769</v>
      </c>
      <c r="B695" s="87"/>
      <c r="C695" s="87"/>
      <c r="D695" s="85">
        <v>45566</v>
      </c>
      <c r="E695" s="85" t="s">
        <v>58</v>
      </c>
      <c r="F695" s="84">
        <f>INDEX(Definitions!$G$13:$G$17,MATCH(Table3[[#This Row],[Propensity to buy/ buyer readiness]],Definitions!$A$13:$A$17,0))</f>
        <v>50000</v>
      </c>
      <c r="G695" s="86">
        <v>5</v>
      </c>
      <c r="H695" s="86">
        <v>4</v>
      </c>
      <c r="I695" s="86">
        <v>2</v>
      </c>
      <c r="J695" s="86">
        <v>4</v>
      </c>
      <c r="K695" s="86">
        <v>3</v>
      </c>
      <c r="L695" s="86">
        <f>SUM(Table3[[#This Row],[Strategic priority segment]:[Propensity to buy/ buyer readiness]])</f>
        <v>18</v>
      </c>
      <c r="M695" s="86" t="s">
        <v>191</v>
      </c>
      <c r="N695" s="84" t="s">
        <v>135</v>
      </c>
      <c r="O695" s="87"/>
      <c r="P695" s="87"/>
      <c r="Q695" s="87"/>
      <c r="R695" s="84"/>
      <c r="S695" s="87"/>
      <c r="T695" s="84"/>
      <c r="U695" s="84">
        <v>0</v>
      </c>
      <c r="V695" s="84">
        <v>0</v>
      </c>
      <c r="W695" s="84">
        <v>0</v>
      </c>
      <c r="X695" s="84">
        <v>0</v>
      </c>
      <c r="Y695" s="84">
        <v>0</v>
      </c>
      <c r="Z695" s="84">
        <v>0</v>
      </c>
      <c r="AA695" s="84">
        <v>0</v>
      </c>
      <c r="AB695" s="84">
        <v>0</v>
      </c>
      <c r="AC695" s="84">
        <v>0</v>
      </c>
      <c r="AD695" s="84">
        <v>0</v>
      </c>
      <c r="AE695" s="84">
        <v>0</v>
      </c>
      <c r="AF695" s="84">
        <v>0</v>
      </c>
      <c r="AG695" s="84">
        <v>0</v>
      </c>
      <c r="AH695" s="84">
        <v>1</v>
      </c>
      <c r="AI695" s="84">
        <v>1</v>
      </c>
      <c r="AJ695" s="84">
        <v>1</v>
      </c>
      <c r="AK695" s="84">
        <v>1</v>
      </c>
      <c r="AL695" s="84" cm="1">
        <f t="array" ref="AL6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95" s="84" cm="1">
        <f t="array" ref="AM6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5" s="84" cm="1">
        <f t="array" ref="AN6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5" s="84" cm="1">
        <f t="array" ref="AO6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5" s="84" cm="1">
        <f t="array" ref="AP6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5" s="84" cm="1">
        <f t="array" ref="AQ6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5" s="84" cm="1">
        <f t="array" ref="AR6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5" s="84" cm="1">
        <f t="array" ref="AS6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5" s="84" cm="1">
        <f t="array" ref="AT6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5" s="84" cm="1">
        <f t="array" ref="AU6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5" s="84" cm="1">
        <f t="array" ref="AV6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5" s="84" cm="1">
        <f t="array" ref="AW6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5" s="84" cm="1">
        <f t="array" ref="AX6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5" s="84" cm="1">
        <f t="array" ref="AY6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95" s="84" cm="1">
        <f t="array" ref="AZ6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95" s="84" cm="1">
        <f t="array" ref="BA6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95" s="84" cm="1">
        <f t="array" ref="BB6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95" s="84">
        <f>IF(SUM(Table3[[#This Row],[Column2]:[Column18]])&gt;Table3[[#This Row],[Column19]],Table3[[#This Row],[Column19]],SUM(Table3[[#This Row],[Column2]:[Column18]]))</f>
        <v>50000</v>
      </c>
      <c r="BD695" s="2">
        <f>Table3[[#This Row],[Total Spend]]/SUM(Table3[[#This Row],[Column2]:[Column18]])</f>
        <v>0.77700077700077697</v>
      </c>
    </row>
    <row r="696" spans="1:56" ht="28.5">
      <c r="A696" s="87" t="s">
        <v>770</v>
      </c>
      <c r="B696" s="87"/>
      <c r="C696" s="87"/>
      <c r="D696" s="85">
        <v>45566</v>
      </c>
      <c r="E696" s="85" t="s">
        <v>58</v>
      </c>
      <c r="F696" s="84">
        <f>INDEX(Definitions!$G$13:$G$17,MATCH(Table3[[#This Row],[Propensity to buy/ buyer readiness]],Definitions!$A$13:$A$17,0))</f>
        <v>50000</v>
      </c>
      <c r="G696" s="86">
        <v>5</v>
      </c>
      <c r="H696" s="86">
        <v>4</v>
      </c>
      <c r="I696" s="86">
        <v>2</v>
      </c>
      <c r="J696" s="86">
        <v>4</v>
      </c>
      <c r="K696" s="86">
        <v>3</v>
      </c>
      <c r="L696" s="86">
        <f>SUM(Table3[[#This Row],[Strategic priority segment]:[Propensity to buy/ buyer readiness]])</f>
        <v>18</v>
      </c>
      <c r="M696" s="86" t="s">
        <v>191</v>
      </c>
      <c r="N696" s="84" t="s">
        <v>135</v>
      </c>
      <c r="O696" s="87"/>
      <c r="P696" s="87"/>
      <c r="Q696" s="87"/>
      <c r="R696" s="84"/>
      <c r="S696" s="87"/>
      <c r="T696" s="87"/>
      <c r="U696" s="84">
        <v>0</v>
      </c>
      <c r="V696" s="84">
        <v>0</v>
      </c>
      <c r="W696" s="84">
        <v>0</v>
      </c>
      <c r="X696" s="84">
        <v>0</v>
      </c>
      <c r="Y696" s="84">
        <v>0</v>
      </c>
      <c r="Z696" s="84">
        <v>0</v>
      </c>
      <c r="AA696" s="84">
        <v>0</v>
      </c>
      <c r="AB696" s="84">
        <v>0</v>
      </c>
      <c r="AC696" s="84">
        <v>0</v>
      </c>
      <c r="AD696" s="84">
        <v>0</v>
      </c>
      <c r="AE696" s="84">
        <v>0</v>
      </c>
      <c r="AF696" s="84">
        <v>0</v>
      </c>
      <c r="AG696" s="84">
        <v>0</v>
      </c>
      <c r="AH696" s="84">
        <v>1</v>
      </c>
      <c r="AI696" s="84">
        <v>1</v>
      </c>
      <c r="AJ696" s="84">
        <v>1</v>
      </c>
      <c r="AK696" s="84">
        <v>1</v>
      </c>
      <c r="AL696" s="84" cm="1">
        <f t="array" ref="AL6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96" s="84" cm="1">
        <f t="array" ref="AM6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6" s="84" cm="1">
        <f t="array" ref="AN6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6" s="84" cm="1">
        <f t="array" ref="AO6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6" s="84" cm="1">
        <f t="array" ref="AP6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6" s="84" cm="1">
        <f t="array" ref="AQ6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6" s="84" cm="1">
        <f t="array" ref="AR6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6" s="84" cm="1">
        <f t="array" ref="AS6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6" s="84" cm="1">
        <f t="array" ref="AT6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6" s="84" cm="1">
        <f t="array" ref="AU6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6" s="84" cm="1">
        <f t="array" ref="AV6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6" s="84" cm="1">
        <f t="array" ref="AW6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6" s="84" cm="1">
        <f t="array" ref="AX6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6" s="84" cm="1">
        <f t="array" ref="AY6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96" s="84" cm="1">
        <f t="array" ref="AZ6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96" s="84" cm="1">
        <f t="array" ref="BA6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96" s="84" cm="1">
        <f t="array" ref="BB6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96" s="84">
        <f>IF(SUM(Table3[[#This Row],[Column2]:[Column18]])&gt;Table3[[#This Row],[Column19]],Table3[[#This Row],[Column19]],SUM(Table3[[#This Row],[Column2]:[Column18]]))</f>
        <v>50000</v>
      </c>
      <c r="BD696" s="2">
        <f>Table3[[#This Row],[Total Spend]]/SUM(Table3[[#This Row],[Column2]:[Column18]])</f>
        <v>0.77700077700077697</v>
      </c>
    </row>
    <row r="697" spans="1:56" ht="28.5">
      <c r="A697" s="87" t="s">
        <v>771</v>
      </c>
      <c r="B697" s="87"/>
      <c r="C697" s="87"/>
      <c r="D697" s="85">
        <v>45566</v>
      </c>
      <c r="E697" s="85" t="s">
        <v>58</v>
      </c>
      <c r="F697" s="84">
        <f>INDEX(Definitions!$G$13:$G$17,MATCH(Table3[[#This Row],[Propensity to buy/ buyer readiness]],Definitions!$A$13:$A$17,0))</f>
        <v>50000</v>
      </c>
      <c r="G697" s="86">
        <v>5</v>
      </c>
      <c r="H697" s="86">
        <v>4</v>
      </c>
      <c r="I697" s="86">
        <v>2</v>
      </c>
      <c r="J697" s="86">
        <v>4</v>
      </c>
      <c r="K697" s="86">
        <v>3</v>
      </c>
      <c r="L697" s="86">
        <f>SUM(Table3[[#This Row],[Strategic priority segment]:[Propensity to buy/ buyer readiness]])</f>
        <v>18</v>
      </c>
      <c r="M697" s="86" t="s">
        <v>191</v>
      </c>
      <c r="N697" s="84" t="s">
        <v>135</v>
      </c>
      <c r="O697" s="87"/>
      <c r="P697" s="87"/>
      <c r="Q697" s="87"/>
      <c r="R697" s="84"/>
      <c r="S697" s="87"/>
      <c r="T697" s="84"/>
      <c r="U697" s="84">
        <v>0</v>
      </c>
      <c r="V697" s="84">
        <v>0</v>
      </c>
      <c r="W697" s="84">
        <v>0</v>
      </c>
      <c r="X697" s="84">
        <v>0</v>
      </c>
      <c r="Y697" s="84">
        <v>0</v>
      </c>
      <c r="Z697" s="84">
        <v>0</v>
      </c>
      <c r="AA697" s="84">
        <v>0</v>
      </c>
      <c r="AB697" s="84">
        <v>0</v>
      </c>
      <c r="AC697" s="84">
        <v>0</v>
      </c>
      <c r="AD697" s="84">
        <v>0</v>
      </c>
      <c r="AE697" s="84">
        <v>0</v>
      </c>
      <c r="AF697" s="84">
        <v>0</v>
      </c>
      <c r="AG697" s="84">
        <v>0</v>
      </c>
      <c r="AH697" s="84">
        <v>1</v>
      </c>
      <c r="AI697" s="84">
        <v>1</v>
      </c>
      <c r="AJ697" s="84">
        <v>1</v>
      </c>
      <c r="AK697" s="84">
        <v>1</v>
      </c>
      <c r="AL697" s="84" cm="1">
        <f t="array" ref="AL6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97" s="84" cm="1">
        <f t="array" ref="AM6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7" s="84" cm="1">
        <f t="array" ref="AN6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7" s="84" cm="1">
        <f t="array" ref="AO6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7" s="84" cm="1">
        <f t="array" ref="AP6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7" s="84" cm="1">
        <f t="array" ref="AQ6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7" s="84" cm="1">
        <f t="array" ref="AR6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7" s="84" cm="1">
        <f t="array" ref="AS6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7" s="84" cm="1">
        <f t="array" ref="AT6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7" s="84" cm="1">
        <f t="array" ref="AU6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7" s="84" cm="1">
        <f t="array" ref="AV6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7" s="84" cm="1">
        <f t="array" ref="AW6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7" s="84" cm="1">
        <f t="array" ref="AX6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7" s="84" cm="1">
        <f t="array" ref="AY6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97" s="84" cm="1">
        <f t="array" ref="AZ6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97" s="84" cm="1">
        <f t="array" ref="BA6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97" s="84" cm="1">
        <f t="array" ref="BB6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97" s="84">
        <f>IF(SUM(Table3[[#This Row],[Column2]:[Column18]])&gt;Table3[[#This Row],[Column19]],Table3[[#This Row],[Column19]],SUM(Table3[[#This Row],[Column2]:[Column18]]))</f>
        <v>50000</v>
      </c>
      <c r="BD697" s="2">
        <f>Table3[[#This Row],[Total Spend]]/SUM(Table3[[#This Row],[Column2]:[Column18]])</f>
        <v>0.77700077700077697</v>
      </c>
    </row>
    <row r="698" spans="1:56">
      <c r="A698" s="84" t="s">
        <v>772</v>
      </c>
      <c r="B698" s="84"/>
      <c r="C698" s="84"/>
      <c r="D698" s="85">
        <v>45566</v>
      </c>
      <c r="E698" s="85" t="s">
        <v>58</v>
      </c>
      <c r="F698" s="84">
        <f>INDEX(Definitions!$G$13:$G$17,MATCH(Table3[[#This Row],[Propensity to buy/ buyer readiness]],Definitions!$A$13:$A$17,0))</f>
        <v>50000</v>
      </c>
      <c r="G698" s="86">
        <v>5</v>
      </c>
      <c r="H698" s="86">
        <v>4</v>
      </c>
      <c r="I698" s="86">
        <v>2</v>
      </c>
      <c r="J698" s="86">
        <v>4</v>
      </c>
      <c r="K698" s="86">
        <v>3</v>
      </c>
      <c r="L698" s="86">
        <f>SUM(Table3[[#This Row],[Strategic priority segment]:[Propensity to buy/ buyer readiness]])</f>
        <v>18</v>
      </c>
      <c r="M698" s="86" t="s">
        <v>191</v>
      </c>
      <c r="N698" s="84" t="s">
        <v>135</v>
      </c>
      <c r="O698" s="87"/>
      <c r="P698" s="87"/>
      <c r="Q698" s="87"/>
      <c r="R698" s="87"/>
      <c r="S698" s="87"/>
      <c r="T698" s="87"/>
      <c r="U698" s="84">
        <v>0</v>
      </c>
      <c r="V698" s="84">
        <v>0</v>
      </c>
      <c r="W698" s="84">
        <v>0</v>
      </c>
      <c r="X698" s="84">
        <v>0</v>
      </c>
      <c r="Y698" s="84">
        <v>0</v>
      </c>
      <c r="Z698" s="84">
        <v>0</v>
      </c>
      <c r="AA698" s="84">
        <v>0</v>
      </c>
      <c r="AB698" s="84">
        <v>0</v>
      </c>
      <c r="AC698" s="84">
        <v>0</v>
      </c>
      <c r="AD698" s="84">
        <v>0</v>
      </c>
      <c r="AE698" s="84">
        <v>0</v>
      </c>
      <c r="AF698" s="84">
        <v>0</v>
      </c>
      <c r="AG698" s="84">
        <v>0</v>
      </c>
      <c r="AH698" s="84">
        <v>1</v>
      </c>
      <c r="AI698" s="84">
        <v>1</v>
      </c>
      <c r="AJ698" s="84">
        <v>1</v>
      </c>
      <c r="AK698" s="84">
        <v>1</v>
      </c>
      <c r="AL698" s="84" cm="1">
        <f t="array" ref="AL6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698" s="84" cm="1">
        <f t="array" ref="AM6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8" s="84" cm="1">
        <f t="array" ref="AN6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8" s="84" cm="1">
        <f t="array" ref="AO6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8" s="84" cm="1">
        <f t="array" ref="AP6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8" s="84" cm="1">
        <f t="array" ref="AQ6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8" s="84" cm="1">
        <f t="array" ref="AR6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8" s="84" cm="1">
        <f t="array" ref="AS6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8" s="84" cm="1">
        <f t="array" ref="AT6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8" s="84" cm="1">
        <f t="array" ref="AU6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698" s="84" cm="1">
        <f t="array" ref="AV6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698" s="84" cm="1">
        <f t="array" ref="AW6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698" s="84" cm="1">
        <f t="array" ref="AX6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698" s="84" cm="1">
        <f t="array" ref="AY6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698" s="84" cm="1">
        <f t="array" ref="AZ6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698" s="84" cm="1">
        <f t="array" ref="BA6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698" s="84" cm="1">
        <f t="array" ref="BB6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698" s="84">
        <f>IF(SUM(Table3[[#This Row],[Column2]:[Column18]])&gt;Table3[[#This Row],[Column19]],Table3[[#This Row],[Column19]],SUM(Table3[[#This Row],[Column2]:[Column18]]))</f>
        <v>50000</v>
      </c>
      <c r="BD698" s="2">
        <f>Table3[[#This Row],[Total Spend]]/SUM(Table3[[#This Row],[Column2]:[Column18]])</f>
        <v>0.77700077700077697</v>
      </c>
    </row>
    <row r="699" spans="1:56">
      <c r="A699" s="88" t="s">
        <v>773</v>
      </c>
      <c r="B699" s="88"/>
      <c r="C699" s="88"/>
      <c r="D699" s="85">
        <v>45566</v>
      </c>
      <c r="E699" s="85" t="s">
        <v>92</v>
      </c>
      <c r="F699" s="84">
        <f>INDEX(Definitions!$G$13:$G$17,MATCH(Table3[[#This Row],[Propensity to buy/ buyer readiness]],Definitions!$A$13:$A$17,0))</f>
        <v>50000</v>
      </c>
      <c r="G699" s="86">
        <v>5</v>
      </c>
      <c r="H699" s="86">
        <v>4</v>
      </c>
      <c r="I699" s="86">
        <v>3</v>
      </c>
      <c r="J699" s="86">
        <v>3</v>
      </c>
      <c r="K699" s="86">
        <v>3</v>
      </c>
      <c r="L699" s="86">
        <f>SUM(Table3[[#This Row],[Strategic priority segment]:[Propensity to buy/ buyer readiness]])</f>
        <v>18</v>
      </c>
      <c r="M699" s="86" t="s">
        <v>66</v>
      </c>
      <c r="N699" s="84" t="s">
        <v>62</v>
      </c>
      <c r="O699" s="84"/>
      <c r="P699" s="87"/>
      <c r="Q699" s="87"/>
      <c r="R699" s="84"/>
      <c r="S699" s="87"/>
      <c r="T699" s="84"/>
      <c r="U699" s="84">
        <v>1</v>
      </c>
      <c r="V699" s="84">
        <v>0</v>
      </c>
      <c r="W699" s="84">
        <v>0</v>
      </c>
      <c r="X699" s="84">
        <v>0</v>
      </c>
      <c r="Y699" s="84">
        <v>0</v>
      </c>
      <c r="Z699" s="84">
        <v>0</v>
      </c>
      <c r="AA699" s="84">
        <v>0</v>
      </c>
      <c r="AB699" s="84">
        <v>0</v>
      </c>
      <c r="AC699" s="84">
        <v>0</v>
      </c>
      <c r="AD699" s="84">
        <v>1</v>
      </c>
      <c r="AE699" s="84">
        <v>1</v>
      </c>
      <c r="AF699" s="84">
        <v>1</v>
      </c>
      <c r="AG699" s="84">
        <v>1</v>
      </c>
      <c r="AH699" s="84">
        <v>0</v>
      </c>
      <c r="AI699" s="84">
        <v>0</v>
      </c>
      <c r="AJ699" s="84">
        <v>0</v>
      </c>
      <c r="AK699" s="84">
        <v>0</v>
      </c>
      <c r="AL699" s="84" cm="1">
        <f t="array" ref="AL6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699" s="84" cm="1">
        <f t="array" ref="AM6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699" s="84" cm="1">
        <f t="array" ref="AN6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699" s="84" cm="1">
        <f t="array" ref="AO6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699" s="84" cm="1">
        <f t="array" ref="AP6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699" s="84" cm="1">
        <f t="array" ref="AQ6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699" s="84" cm="1">
        <f t="array" ref="AR6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699" s="84" cm="1">
        <f t="array" ref="AS6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699" s="84" cm="1">
        <f t="array" ref="AT6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699" s="84" cm="1">
        <f t="array" ref="AU6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699" s="84" cm="1">
        <f t="array" ref="AV6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699" s="84" cm="1">
        <f t="array" ref="AW6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699" s="84" cm="1">
        <f t="array" ref="AX6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699" s="84" cm="1">
        <f t="array" ref="AY6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699" s="84" cm="1">
        <f t="array" ref="AZ6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699" s="84" cm="1">
        <f t="array" ref="BA6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699" s="84" cm="1">
        <f t="array" ref="BB6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699" s="84">
        <f>IF(SUM(Table3[[#This Row],[Column2]:[Column18]])&gt;Table3[[#This Row],[Column19]],Table3[[#This Row],[Column19]],SUM(Table3[[#This Row],[Column2]:[Column18]]))</f>
        <v>50000</v>
      </c>
      <c r="BD699" s="2">
        <f>Table3[[#This Row],[Total Spend]]/SUM(Table3[[#This Row],[Column2]:[Column18]])</f>
        <v>0.53163211057947901</v>
      </c>
    </row>
    <row r="700" spans="1:56">
      <c r="A700" s="87" t="s">
        <v>774</v>
      </c>
      <c r="B700" s="87"/>
      <c r="C700" s="87"/>
      <c r="D700" s="85">
        <v>45566</v>
      </c>
      <c r="E700" s="85" t="s">
        <v>58</v>
      </c>
      <c r="F700" s="84">
        <f>INDEX(Definitions!$G$13:$G$17,MATCH(Table3[[#This Row],[Propensity to buy/ buyer readiness]],Definitions!$A$13:$A$17,0))</f>
        <v>50000</v>
      </c>
      <c r="G700" s="86">
        <v>5</v>
      </c>
      <c r="H700" s="86">
        <v>4</v>
      </c>
      <c r="I700" s="86">
        <v>2</v>
      </c>
      <c r="J700" s="86">
        <v>4</v>
      </c>
      <c r="K700" s="86">
        <v>3</v>
      </c>
      <c r="L700" s="86">
        <f>SUM(Table3[[#This Row],[Strategic priority segment]:[Propensity to buy/ buyer readiness]])</f>
        <v>18</v>
      </c>
      <c r="M700" s="86" t="s">
        <v>191</v>
      </c>
      <c r="N700" s="84" t="s">
        <v>135</v>
      </c>
      <c r="O700" s="87"/>
      <c r="P700" s="87"/>
      <c r="Q700" s="87"/>
      <c r="R700" s="84"/>
      <c r="S700" s="87"/>
      <c r="T700" s="87"/>
      <c r="U700" s="84">
        <v>0</v>
      </c>
      <c r="V700" s="84">
        <v>0</v>
      </c>
      <c r="W700" s="84">
        <v>0</v>
      </c>
      <c r="X700" s="84">
        <v>0</v>
      </c>
      <c r="Y700" s="84">
        <v>0</v>
      </c>
      <c r="Z700" s="84">
        <v>0</v>
      </c>
      <c r="AA700" s="84">
        <v>0</v>
      </c>
      <c r="AB700" s="84">
        <v>0</v>
      </c>
      <c r="AC700" s="84">
        <v>0</v>
      </c>
      <c r="AD700" s="84">
        <v>0</v>
      </c>
      <c r="AE700" s="84">
        <v>0</v>
      </c>
      <c r="AF700" s="84">
        <v>0</v>
      </c>
      <c r="AG700" s="84">
        <v>0</v>
      </c>
      <c r="AH700" s="84">
        <v>1</v>
      </c>
      <c r="AI700" s="84">
        <v>1</v>
      </c>
      <c r="AJ700" s="84">
        <v>1</v>
      </c>
      <c r="AK700" s="84">
        <v>1</v>
      </c>
      <c r="AL700" s="84" cm="1">
        <f t="array" ref="AL7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00" s="84" cm="1">
        <f t="array" ref="AM7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0" s="84" cm="1">
        <f t="array" ref="AN7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0" s="84" cm="1">
        <f t="array" ref="AO7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0" s="84" cm="1">
        <f t="array" ref="AP7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0" s="84" cm="1">
        <f t="array" ref="AQ7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0" s="84" cm="1">
        <f t="array" ref="AR7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0" s="84" cm="1">
        <f t="array" ref="AS7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0" s="84" cm="1">
        <f t="array" ref="AT7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0" s="84" cm="1">
        <f t="array" ref="AU7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00" s="84" cm="1">
        <f t="array" ref="AV7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00" s="84" cm="1">
        <f t="array" ref="AW7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00" s="84" cm="1">
        <f t="array" ref="AX7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00" s="84" cm="1">
        <f t="array" ref="AY7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00" s="84" cm="1">
        <f t="array" ref="AZ7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00" s="84" cm="1">
        <f t="array" ref="BA7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00" s="84" cm="1">
        <f t="array" ref="BB7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00" s="84">
        <f>IF(SUM(Table3[[#This Row],[Column2]:[Column18]])&gt;Table3[[#This Row],[Column19]],Table3[[#This Row],[Column19]],SUM(Table3[[#This Row],[Column2]:[Column18]]))</f>
        <v>50000</v>
      </c>
      <c r="BD700" s="2">
        <f>Table3[[#This Row],[Total Spend]]/SUM(Table3[[#This Row],[Column2]:[Column18]])</f>
        <v>0.77700077700077697</v>
      </c>
    </row>
    <row r="701" spans="1:56">
      <c r="A701" s="84" t="s">
        <v>775</v>
      </c>
      <c r="B701" s="84"/>
      <c r="C701" s="84" t="s">
        <v>57</v>
      </c>
      <c r="D701" s="85">
        <v>45566</v>
      </c>
      <c r="E701" s="85" t="s">
        <v>92</v>
      </c>
      <c r="F701" s="84">
        <f>INDEX(Definitions!$G$13:$G$17,MATCH(Table3[[#This Row],[Propensity to buy/ buyer readiness]],Definitions!$A$13:$A$17,0))</f>
        <v>50000</v>
      </c>
      <c r="G701" s="86">
        <v>5</v>
      </c>
      <c r="H701" s="86">
        <v>4</v>
      </c>
      <c r="I701" s="86">
        <v>3</v>
      </c>
      <c r="J701" s="86">
        <v>3</v>
      </c>
      <c r="K701" s="86">
        <v>3</v>
      </c>
      <c r="L701" s="86">
        <f>SUM(Table3[[#This Row],[Strategic priority segment]:[Propensity to buy/ buyer readiness]])</f>
        <v>18</v>
      </c>
      <c r="M701" s="86" t="s">
        <v>66</v>
      </c>
      <c r="N701" s="84" t="s">
        <v>62</v>
      </c>
      <c r="O701" s="84"/>
      <c r="P701" s="87"/>
      <c r="Q701" s="87"/>
      <c r="R701" s="84"/>
      <c r="S701" s="87"/>
      <c r="T701" s="87"/>
      <c r="U701" s="84">
        <v>1</v>
      </c>
      <c r="V701" s="84">
        <v>0</v>
      </c>
      <c r="W701" s="84">
        <v>0</v>
      </c>
      <c r="X701" s="84">
        <v>0</v>
      </c>
      <c r="Y701" s="84">
        <v>0</v>
      </c>
      <c r="Z701" s="84">
        <v>0</v>
      </c>
      <c r="AA701" s="84">
        <v>0</v>
      </c>
      <c r="AB701" s="84">
        <v>0</v>
      </c>
      <c r="AC701" s="84">
        <v>0</v>
      </c>
      <c r="AD701" s="84">
        <v>1</v>
      </c>
      <c r="AE701" s="84">
        <v>1</v>
      </c>
      <c r="AF701" s="84">
        <v>1</v>
      </c>
      <c r="AG701" s="84">
        <v>1</v>
      </c>
      <c r="AH701" s="84">
        <v>0</v>
      </c>
      <c r="AI701" s="84">
        <v>0</v>
      </c>
      <c r="AJ701" s="84">
        <v>0</v>
      </c>
      <c r="AK701" s="84">
        <v>0</v>
      </c>
      <c r="AL701" s="84" cm="1">
        <f t="array" ref="AL7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1" s="84" cm="1">
        <f t="array" ref="AM7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1" s="84" cm="1">
        <f t="array" ref="AN7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1" s="84" cm="1">
        <f t="array" ref="AO7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1" s="84" cm="1">
        <f t="array" ref="AP7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1" s="84" cm="1">
        <f t="array" ref="AQ7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1" s="84" cm="1">
        <f t="array" ref="AR7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1" s="84" cm="1">
        <f t="array" ref="AS7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1" s="84" cm="1">
        <f t="array" ref="AT7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1" s="84" cm="1">
        <f t="array" ref="AU7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1" s="84" cm="1">
        <f t="array" ref="AV7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1" s="84" cm="1">
        <f t="array" ref="AW7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1" s="84" cm="1">
        <f t="array" ref="AX7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1" s="84" cm="1">
        <f t="array" ref="AY7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1" s="84" cm="1">
        <f t="array" ref="AZ7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1" s="84" cm="1">
        <f t="array" ref="BA7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1" s="84" cm="1">
        <f t="array" ref="BB7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1" s="84">
        <f>IF(SUM(Table3[[#This Row],[Column2]:[Column18]])&gt;Table3[[#This Row],[Column19]],Table3[[#This Row],[Column19]],SUM(Table3[[#This Row],[Column2]:[Column18]]))</f>
        <v>50000</v>
      </c>
      <c r="BD701" s="2">
        <f>Table3[[#This Row],[Total Spend]]/SUM(Table3[[#This Row],[Column2]:[Column18]])</f>
        <v>0.53163211057947901</v>
      </c>
    </row>
    <row r="702" spans="1:56">
      <c r="A702" s="84" t="s">
        <v>776</v>
      </c>
      <c r="B702" s="84" t="s">
        <v>57</v>
      </c>
      <c r="C702" s="84" t="s">
        <v>57</v>
      </c>
      <c r="D702" s="85">
        <v>45566</v>
      </c>
      <c r="E702" s="85" t="s">
        <v>58</v>
      </c>
      <c r="F702" s="84">
        <f>INDEX(Definitions!$G$13:$G$17,MATCH(Table3[[#This Row],[Propensity to buy/ buyer readiness]],Definitions!$A$13:$A$17,0))</f>
        <v>150000</v>
      </c>
      <c r="G702" s="86">
        <v>3</v>
      </c>
      <c r="H702" s="86">
        <v>4</v>
      </c>
      <c r="I702" s="86">
        <v>4</v>
      </c>
      <c r="J702" s="86">
        <v>3</v>
      </c>
      <c r="K702" s="86">
        <v>4</v>
      </c>
      <c r="L702" s="86">
        <f>SUM(Table3[[#This Row],[Strategic priority segment]:[Propensity to buy/ buyer readiness]])</f>
        <v>18</v>
      </c>
      <c r="M702" s="86" t="s">
        <v>152</v>
      </c>
      <c r="N702" s="84" t="s">
        <v>122</v>
      </c>
      <c r="O702" s="84" t="s">
        <v>62</v>
      </c>
      <c r="P702" s="87"/>
      <c r="Q702" s="87"/>
      <c r="R702" s="84"/>
      <c r="S702" s="84"/>
      <c r="T702" s="84"/>
      <c r="U702" s="84">
        <v>1</v>
      </c>
      <c r="V702" s="84">
        <v>0</v>
      </c>
      <c r="W702" s="84">
        <v>0</v>
      </c>
      <c r="X702" s="84">
        <v>0</v>
      </c>
      <c r="Y702" s="84">
        <v>0</v>
      </c>
      <c r="Z702" s="84">
        <v>1</v>
      </c>
      <c r="AA702" s="84">
        <v>0</v>
      </c>
      <c r="AB702" s="84">
        <v>1</v>
      </c>
      <c r="AC702" s="84">
        <v>0</v>
      </c>
      <c r="AD702" s="84">
        <v>1</v>
      </c>
      <c r="AE702" s="84">
        <v>1</v>
      </c>
      <c r="AF702" s="84">
        <v>1</v>
      </c>
      <c r="AG702" s="84">
        <v>1</v>
      </c>
      <c r="AH702" s="84">
        <v>0</v>
      </c>
      <c r="AI702" s="84">
        <v>0</v>
      </c>
      <c r="AJ702" s="84">
        <v>0</v>
      </c>
      <c r="AK702" s="84">
        <v>0</v>
      </c>
      <c r="AL702" s="84" cm="1">
        <f t="array" ref="AL7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02" s="84" cm="1">
        <f t="array" ref="AM7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2" s="84" cm="1">
        <f t="array" ref="AN7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2" s="84" cm="1">
        <f t="array" ref="AO7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2" s="84" cm="1">
        <f t="array" ref="AP7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2" s="84" cm="1">
        <f t="array" ref="AQ7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02" s="84" cm="1">
        <f t="array" ref="AR7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2" s="84" cm="1">
        <f t="array" ref="AS7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02" s="84" cm="1">
        <f t="array" ref="AT7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2" s="84" cm="1">
        <f t="array" ref="AU7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02" s="84" cm="1">
        <f t="array" ref="AV7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02" s="84" cm="1">
        <f t="array" ref="AW7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02" s="84" cm="1">
        <f t="array" ref="AX7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702" s="84" cm="1">
        <f t="array" ref="AY7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2" s="84" cm="1">
        <f t="array" ref="AZ7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2" s="84" cm="1">
        <f t="array" ref="BA7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2" s="84" cm="1">
        <f t="array" ref="BB7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2" s="84">
        <f>IF(SUM(Table3[[#This Row],[Column2]:[Column18]])&gt;Table3[[#This Row],[Column19]],Table3[[#This Row],[Column19]],SUM(Table3[[#This Row],[Column2]:[Column18]]))</f>
        <v>150000</v>
      </c>
      <c r="BD702" s="2">
        <f>Table3[[#This Row],[Total Spend]]/SUM(Table3[[#This Row],[Column2]:[Column18]])</f>
        <v>0.70028011204481788</v>
      </c>
    </row>
    <row r="703" spans="1:56" ht="28.5">
      <c r="A703" s="84" t="s">
        <v>777</v>
      </c>
      <c r="B703" s="84"/>
      <c r="C703" s="84" t="s">
        <v>57</v>
      </c>
      <c r="D703" s="85">
        <v>45566</v>
      </c>
      <c r="E703" s="85" t="s">
        <v>92</v>
      </c>
      <c r="F703" s="84">
        <f>INDEX(Definitions!$G$13:$G$17,MATCH(Table3[[#This Row],[Propensity to buy/ buyer readiness]],Definitions!$A$13:$A$17,0))</f>
        <v>50000</v>
      </c>
      <c r="G703" s="86">
        <v>5</v>
      </c>
      <c r="H703" s="86">
        <v>4</v>
      </c>
      <c r="I703" s="86">
        <v>3</v>
      </c>
      <c r="J703" s="86">
        <v>3</v>
      </c>
      <c r="K703" s="86">
        <v>3</v>
      </c>
      <c r="L703" s="86">
        <f>SUM(Table3[[#This Row],[Strategic priority segment]:[Propensity to buy/ buyer readiness]])</f>
        <v>18</v>
      </c>
      <c r="M703" s="86" t="s">
        <v>66</v>
      </c>
      <c r="N703" s="84" t="s">
        <v>62</v>
      </c>
      <c r="O703" s="87" t="s">
        <v>61</v>
      </c>
      <c r="P703" s="87" t="s">
        <v>135</v>
      </c>
      <c r="Q703" s="87"/>
      <c r="R703" s="87"/>
      <c r="S703" s="87"/>
      <c r="T703" s="87"/>
      <c r="U703" s="84">
        <v>1</v>
      </c>
      <c r="V703" s="84">
        <v>0</v>
      </c>
      <c r="W703" s="84">
        <v>0</v>
      </c>
      <c r="X703" s="84">
        <v>0</v>
      </c>
      <c r="Y703" s="84">
        <v>0</v>
      </c>
      <c r="Z703" s="84">
        <v>1</v>
      </c>
      <c r="AA703" s="84">
        <v>1</v>
      </c>
      <c r="AB703" s="84">
        <v>1</v>
      </c>
      <c r="AC703" s="84">
        <v>1</v>
      </c>
      <c r="AD703" s="84">
        <v>1</v>
      </c>
      <c r="AE703" s="84">
        <v>1</v>
      </c>
      <c r="AF703" s="84">
        <v>1</v>
      </c>
      <c r="AG703" s="84">
        <v>1</v>
      </c>
      <c r="AH703" s="84">
        <v>1</v>
      </c>
      <c r="AI703" s="84">
        <v>1</v>
      </c>
      <c r="AJ703" s="84">
        <v>1</v>
      </c>
      <c r="AK703" s="84">
        <v>1</v>
      </c>
      <c r="AL703" s="84" cm="1">
        <f t="array" ref="AL7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3" s="84" cm="1">
        <f t="array" ref="AM7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3" s="84" cm="1">
        <f t="array" ref="AN7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3" s="84" cm="1">
        <f t="array" ref="AO7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3" s="84" cm="1">
        <f t="array" ref="AP7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3" s="84" cm="1">
        <f t="array" ref="AQ7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703" s="84" cm="1">
        <f t="array" ref="AR7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03" s="84" cm="1">
        <f t="array" ref="AS7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703" s="84" cm="1">
        <f t="array" ref="AT7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703" s="84" cm="1">
        <f t="array" ref="AU7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3" s="84" cm="1">
        <f t="array" ref="AV7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3" s="84" cm="1">
        <f t="array" ref="AW7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3" s="84" cm="1">
        <f t="array" ref="AX7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3" s="84" cm="1">
        <f t="array" ref="AY7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703" s="84" cm="1">
        <f t="array" ref="AZ7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703" s="84" cm="1">
        <f t="array" ref="BA7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03" s="84" cm="1">
        <f t="array" ref="BB7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703" s="84">
        <f>IF(SUM(Table3[[#This Row],[Column2]:[Column18]])&gt;Table3[[#This Row],[Column19]],Table3[[#This Row],[Column19]],SUM(Table3[[#This Row],[Column2]:[Column18]]))</f>
        <v>50000</v>
      </c>
      <c r="BD703" s="2">
        <f>Table3[[#This Row],[Total Spend]]/SUM(Table3[[#This Row],[Column2]:[Column18]])</f>
        <v>0.21367521367521367</v>
      </c>
    </row>
    <row r="704" spans="1:56">
      <c r="A704" s="88" t="s">
        <v>778</v>
      </c>
      <c r="B704" s="88"/>
      <c r="C704" s="88"/>
      <c r="D704" s="85">
        <v>45566</v>
      </c>
      <c r="E704" s="85" t="s">
        <v>92</v>
      </c>
      <c r="F704" s="84">
        <f>INDEX(Definitions!$G$13:$G$17,MATCH(Table3[[#This Row],[Propensity to buy/ buyer readiness]],Definitions!$A$13:$A$17,0))</f>
        <v>50000</v>
      </c>
      <c r="G704" s="86">
        <v>5</v>
      </c>
      <c r="H704" s="86">
        <v>4</v>
      </c>
      <c r="I704" s="86">
        <v>3</v>
      </c>
      <c r="J704" s="86">
        <v>3</v>
      </c>
      <c r="K704" s="86">
        <v>3</v>
      </c>
      <c r="L704" s="86">
        <f>SUM(Table3[[#This Row],[Strategic priority segment]:[Propensity to buy/ buyer readiness]])</f>
        <v>18</v>
      </c>
      <c r="M704" s="86" t="s">
        <v>66</v>
      </c>
      <c r="N704" s="84" t="s">
        <v>62</v>
      </c>
      <c r="O704" s="84"/>
      <c r="P704" s="87"/>
      <c r="Q704" s="87"/>
      <c r="R704" s="84"/>
      <c r="S704" s="87"/>
      <c r="T704" s="87"/>
      <c r="U704" s="84">
        <v>1</v>
      </c>
      <c r="V704" s="84">
        <v>0</v>
      </c>
      <c r="W704" s="84">
        <v>0</v>
      </c>
      <c r="X704" s="84">
        <v>0</v>
      </c>
      <c r="Y704" s="84">
        <v>0</v>
      </c>
      <c r="Z704" s="84">
        <v>0</v>
      </c>
      <c r="AA704" s="84">
        <v>0</v>
      </c>
      <c r="AB704" s="84">
        <v>0</v>
      </c>
      <c r="AC704" s="84">
        <v>0</v>
      </c>
      <c r="AD704" s="84">
        <v>1</v>
      </c>
      <c r="AE704" s="84">
        <v>1</v>
      </c>
      <c r="AF704" s="84">
        <v>1</v>
      </c>
      <c r="AG704" s="84">
        <v>1</v>
      </c>
      <c r="AH704" s="84">
        <v>0</v>
      </c>
      <c r="AI704" s="84">
        <v>0</v>
      </c>
      <c r="AJ704" s="84">
        <v>0</v>
      </c>
      <c r="AK704" s="84">
        <v>0</v>
      </c>
      <c r="AL704" s="84" cm="1">
        <f t="array" ref="AL7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4" s="84" cm="1">
        <f t="array" ref="AM7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4" s="84" cm="1">
        <f t="array" ref="AN7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4" s="84" cm="1">
        <f t="array" ref="AO7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4" s="84" cm="1">
        <f t="array" ref="AP7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4" s="84" cm="1">
        <f t="array" ref="AQ7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4" s="84" cm="1">
        <f t="array" ref="AR7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4" s="84" cm="1">
        <f t="array" ref="AS7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4" s="84" cm="1">
        <f t="array" ref="AT7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4" s="84" cm="1">
        <f t="array" ref="AU7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4" s="84" cm="1">
        <f t="array" ref="AV7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4" s="84" cm="1">
        <f t="array" ref="AW7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4" s="84" cm="1">
        <f t="array" ref="AX7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4" s="84" cm="1">
        <f t="array" ref="AY7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4" s="84" cm="1">
        <f t="array" ref="AZ7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4" s="84" cm="1">
        <f t="array" ref="BA7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4" s="84" cm="1">
        <f t="array" ref="BB7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4" s="84">
        <f>IF(SUM(Table3[[#This Row],[Column2]:[Column18]])&gt;Table3[[#This Row],[Column19]],Table3[[#This Row],[Column19]],SUM(Table3[[#This Row],[Column2]:[Column18]]))</f>
        <v>50000</v>
      </c>
      <c r="BD704" s="2">
        <f>Table3[[#This Row],[Total Spend]]/SUM(Table3[[#This Row],[Column2]:[Column18]])</f>
        <v>0.53163211057947901</v>
      </c>
    </row>
    <row r="705" spans="1:56" ht="28.5">
      <c r="A705" s="87" t="s">
        <v>779</v>
      </c>
      <c r="B705" s="87"/>
      <c r="C705" s="87"/>
      <c r="D705" s="85">
        <v>45566</v>
      </c>
      <c r="E705" s="85" t="s">
        <v>58</v>
      </c>
      <c r="F705" s="84">
        <f>INDEX(Definitions!$G$13:$G$17,MATCH(Table3[[#This Row],[Propensity to buy/ buyer readiness]],Definitions!$A$13:$A$17,0))</f>
        <v>50000</v>
      </c>
      <c r="G705" s="86">
        <v>5</v>
      </c>
      <c r="H705" s="86">
        <v>4</v>
      </c>
      <c r="I705" s="86">
        <v>2</v>
      </c>
      <c r="J705" s="86">
        <v>4</v>
      </c>
      <c r="K705" s="86">
        <v>3</v>
      </c>
      <c r="L705" s="86">
        <f>SUM(Table3[[#This Row],[Strategic priority segment]:[Propensity to buy/ buyer readiness]])</f>
        <v>18</v>
      </c>
      <c r="M705" s="86" t="s">
        <v>191</v>
      </c>
      <c r="N705" s="84" t="s">
        <v>135</v>
      </c>
      <c r="O705" s="87" t="s">
        <v>61</v>
      </c>
      <c r="P705" s="87"/>
      <c r="Q705" s="87"/>
      <c r="R705" s="84"/>
      <c r="S705" s="87"/>
      <c r="T705" s="87"/>
      <c r="U705" s="84">
        <v>1</v>
      </c>
      <c r="V705" s="84">
        <v>0</v>
      </c>
      <c r="W705" s="84">
        <v>0</v>
      </c>
      <c r="X705" s="84">
        <v>0</v>
      </c>
      <c r="Y705" s="84">
        <v>0</v>
      </c>
      <c r="Z705" s="84">
        <v>1</v>
      </c>
      <c r="AA705" s="84">
        <v>1</v>
      </c>
      <c r="AB705" s="84">
        <v>1</v>
      </c>
      <c r="AC705" s="84">
        <v>1</v>
      </c>
      <c r="AD705" s="84">
        <v>0</v>
      </c>
      <c r="AE705" s="84">
        <v>0</v>
      </c>
      <c r="AF705" s="84">
        <v>0</v>
      </c>
      <c r="AG705" s="84">
        <v>0</v>
      </c>
      <c r="AH705" s="84">
        <v>1</v>
      </c>
      <c r="AI705" s="84">
        <v>1</v>
      </c>
      <c r="AJ705" s="84">
        <v>1</v>
      </c>
      <c r="AK705" s="84">
        <v>1</v>
      </c>
      <c r="AL705" s="84" cm="1">
        <f t="array" ref="AL7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05" s="84" cm="1">
        <f t="array" ref="AM7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5" s="84" cm="1">
        <f t="array" ref="AN7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5" s="84" cm="1">
        <f t="array" ref="AO7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5" s="84" cm="1">
        <f t="array" ref="AP7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5" s="84" cm="1">
        <f t="array" ref="AQ7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05" s="84" cm="1">
        <f t="array" ref="AR7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05" s="84" cm="1">
        <f t="array" ref="AS7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05" s="84" cm="1">
        <f t="array" ref="AT7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05" s="84" cm="1">
        <f t="array" ref="AU7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05" s="84" cm="1">
        <f t="array" ref="AV7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05" s="84" cm="1">
        <f t="array" ref="AW7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05" s="84" cm="1">
        <f t="array" ref="AX7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05" s="84" cm="1">
        <f t="array" ref="AY7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05" s="84" cm="1">
        <f t="array" ref="AZ7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05" s="84" cm="1">
        <f t="array" ref="BA7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05" s="84" cm="1">
        <f t="array" ref="BB7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05" s="84">
        <f>IF(SUM(Table3[[#This Row],[Column2]:[Column18]])&gt;Table3[[#This Row],[Column19]],Table3[[#This Row],[Column19]],SUM(Table3[[#This Row],[Column2]:[Column18]]))</f>
        <v>50000</v>
      </c>
      <c r="BD705" s="2">
        <f>Table3[[#This Row],[Total Spend]]/SUM(Table3[[#This Row],[Column2]:[Column18]])</f>
        <v>0.24420024420024419</v>
      </c>
    </row>
    <row r="706" spans="1:56">
      <c r="A706" s="84" t="s">
        <v>780</v>
      </c>
      <c r="B706" s="84" t="s">
        <v>57</v>
      </c>
      <c r="C706" s="84"/>
      <c r="D706" s="85">
        <v>45566</v>
      </c>
      <c r="E706" s="85" t="s">
        <v>92</v>
      </c>
      <c r="F706" s="84">
        <f>INDEX(Definitions!$G$13:$G$17,MATCH(Table3[[#This Row],[Propensity to buy/ buyer readiness]],Definitions!$A$13:$A$17,0))</f>
        <v>50000</v>
      </c>
      <c r="G706" s="86">
        <v>5</v>
      </c>
      <c r="H706" s="86">
        <v>4</v>
      </c>
      <c r="I706" s="86">
        <v>3</v>
      </c>
      <c r="J706" s="86">
        <v>3</v>
      </c>
      <c r="K706" s="86">
        <v>3</v>
      </c>
      <c r="L706" s="86">
        <f>SUM(Table3[[#This Row],[Strategic priority segment]:[Propensity to buy/ buyer readiness]])</f>
        <v>18</v>
      </c>
      <c r="M706" s="86" t="s">
        <v>66</v>
      </c>
      <c r="N706" s="84" t="s">
        <v>62</v>
      </c>
      <c r="O706" s="84"/>
      <c r="P706" s="87"/>
      <c r="Q706" s="87"/>
      <c r="R706" s="84"/>
      <c r="S706" s="84"/>
      <c r="T706" s="84"/>
      <c r="U706" s="84">
        <v>1</v>
      </c>
      <c r="V706" s="84">
        <v>0</v>
      </c>
      <c r="W706" s="84">
        <v>0</v>
      </c>
      <c r="X706" s="84">
        <v>0</v>
      </c>
      <c r="Y706" s="84">
        <v>0</v>
      </c>
      <c r="Z706" s="84">
        <v>0</v>
      </c>
      <c r="AA706" s="84">
        <v>0</v>
      </c>
      <c r="AB706" s="84">
        <v>0</v>
      </c>
      <c r="AC706" s="84">
        <v>0</v>
      </c>
      <c r="AD706" s="84">
        <v>1</v>
      </c>
      <c r="AE706" s="84">
        <v>1</v>
      </c>
      <c r="AF706" s="84">
        <v>1</v>
      </c>
      <c r="AG706" s="84">
        <v>1</v>
      </c>
      <c r="AH706" s="84">
        <v>0</v>
      </c>
      <c r="AI706" s="84">
        <v>0</v>
      </c>
      <c r="AJ706" s="84">
        <v>0</v>
      </c>
      <c r="AK706" s="84">
        <v>0</v>
      </c>
      <c r="AL706" s="84" cm="1">
        <f t="array" ref="AL7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6" s="84" cm="1">
        <f t="array" ref="AM7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6" s="84" cm="1">
        <f t="array" ref="AN7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6" s="84" cm="1">
        <f t="array" ref="AO7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6" s="84" cm="1">
        <f t="array" ref="AP7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6" s="84" cm="1">
        <f t="array" ref="AQ7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6" s="84" cm="1">
        <f t="array" ref="AR7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6" s="84" cm="1">
        <f t="array" ref="AS7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6" s="84" cm="1">
        <f t="array" ref="AT7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6" s="84" cm="1">
        <f t="array" ref="AU7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6" s="84" cm="1">
        <f t="array" ref="AV7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6" s="84" cm="1">
        <f t="array" ref="AW7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6" s="84" cm="1">
        <f t="array" ref="AX7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6" s="84" cm="1">
        <f t="array" ref="AY7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6" s="84" cm="1">
        <f t="array" ref="AZ7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6" s="84" cm="1">
        <f t="array" ref="BA7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6" s="84" cm="1">
        <f t="array" ref="BB7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6" s="84">
        <f>IF(SUM(Table3[[#This Row],[Column2]:[Column18]])&gt;Table3[[#This Row],[Column19]],Table3[[#This Row],[Column19]],SUM(Table3[[#This Row],[Column2]:[Column18]]))</f>
        <v>50000</v>
      </c>
      <c r="BD706" s="2">
        <f>Table3[[#This Row],[Total Spend]]/SUM(Table3[[#This Row],[Column2]:[Column18]])</f>
        <v>0.53163211057947901</v>
      </c>
    </row>
    <row r="707" spans="1:56">
      <c r="A707" s="84" t="s">
        <v>781</v>
      </c>
      <c r="B707" s="84"/>
      <c r="C707" s="84" t="s">
        <v>57</v>
      </c>
      <c r="D707" s="85">
        <v>45566</v>
      </c>
      <c r="E707" s="85" t="s">
        <v>92</v>
      </c>
      <c r="F707" s="84">
        <f>INDEX(Definitions!$G$13:$G$17,MATCH(Table3[[#This Row],[Propensity to buy/ buyer readiness]],Definitions!$A$13:$A$17,0))</f>
        <v>50000</v>
      </c>
      <c r="G707" s="86">
        <v>5</v>
      </c>
      <c r="H707" s="86">
        <v>4</v>
      </c>
      <c r="I707" s="86">
        <v>3</v>
      </c>
      <c r="J707" s="86">
        <v>3</v>
      </c>
      <c r="K707" s="86">
        <v>3</v>
      </c>
      <c r="L707" s="86">
        <f>SUM(Table3[[#This Row],[Strategic priority segment]:[Propensity to buy/ buyer readiness]])</f>
        <v>18</v>
      </c>
      <c r="M707" s="86" t="s">
        <v>66</v>
      </c>
      <c r="N707" s="84" t="s">
        <v>62</v>
      </c>
      <c r="O707" s="84"/>
      <c r="P707" s="87"/>
      <c r="Q707" s="87"/>
      <c r="R707" s="84"/>
      <c r="S707" s="87"/>
      <c r="T707" s="87"/>
      <c r="U707" s="84">
        <v>1</v>
      </c>
      <c r="V707" s="84">
        <v>0</v>
      </c>
      <c r="W707" s="84">
        <v>0</v>
      </c>
      <c r="X707" s="84">
        <v>0</v>
      </c>
      <c r="Y707" s="84">
        <v>0</v>
      </c>
      <c r="Z707" s="84">
        <v>0</v>
      </c>
      <c r="AA707" s="84">
        <v>0</v>
      </c>
      <c r="AB707" s="84">
        <v>0</v>
      </c>
      <c r="AC707" s="84">
        <v>0</v>
      </c>
      <c r="AD707" s="84">
        <v>1</v>
      </c>
      <c r="AE707" s="84">
        <v>1</v>
      </c>
      <c r="AF707" s="84">
        <v>1</v>
      </c>
      <c r="AG707" s="84">
        <v>1</v>
      </c>
      <c r="AH707" s="84">
        <v>0</v>
      </c>
      <c r="AI707" s="84">
        <v>0</v>
      </c>
      <c r="AJ707" s="84">
        <v>0</v>
      </c>
      <c r="AK707" s="84">
        <v>0</v>
      </c>
      <c r="AL707" s="84" cm="1">
        <f t="array" ref="AL7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7" s="84" cm="1">
        <f t="array" ref="AM7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7" s="84" cm="1">
        <f t="array" ref="AN7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7" s="84" cm="1">
        <f t="array" ref="AO7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7" s="84" cm="1">
        <f t="array" ref="AP7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7" s="84" cm="1">
        <f t="array" ref="AQ7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7" s="84" cm="1">
        <f t="array" ref="AR7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7" s="84" cm="1">
        <f t="array" ref="AS7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7" s="84" cm="1">
        <f t="array" ref="AT7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7" s="84" cm="1">
        <f t="array" ref="AU7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7" s="84" cm="1">
        <f t="array" ref="AV7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7" s="84" cm="1">
        <f t="array" ref="AW7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7" s="84" cm="1">
        <f t="array" ref="AX7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7" s="84" cm="1">
        <f t="array" ref="AY7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7" s="84" cm="1">
        <f t="array" ref="AZ7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7" s="84" cm="1">
        <f t="array" ref="BA7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7" s="84" cm="1">
        <f t="array" ref="BB7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7" s="84">
        <f>IF(SUM(Table3[[#This Row],[Column2]:[Column18]])&gt;Table3[[#This Row],[Column19]],Table3[[#This Row],[Column19]],SUM(Table3[[#This Row],[Column2]:[Column18]]))</f>
        <v>50000</v>
      </c>
      <c r="BD707" s="2">
        <f>Table3[[#This Row],[Total Spend]]/SUM(Table3[[#This Row],[Column2]:[Column18]])</f>
        <v>0.53163211057947901</v>
      </c>
    </row>
    <row r="708" spans="1:56">
      <c r="A708" s="84" t="s">
        <v>782</v>
      </c>
      <c r="B708" s="84" t="s">
        <v>57</v>
      </c>
      <c r="C708" s="84"/>
      <c r="D708" s="85">
        <v>45566</v>
      </c>
      <c r="E708" s="85" t="s">
        <v>92</v>
      </c>
      <c r="F708" s="84">
        <f>INDEX(Definitions!$G$13:$G$17,MATCH(Table3[[#This Row],[Propensity to buy/ buyer readiness]],Definitions!$A$13:$A$17,0))</f>
        <v>50000</v>
      </c>
      <c r="G708" s="86">
        <v>5</v>
      </c>
      <c r="H708" s="86">
        <v>4</v>
      </c>
      <c r="I708" s="86">
        <v>3</v>
      </c>
      <c r="J708" s="86">
        <v>3</v>
      </c>
      <c r="K708" s="86">
        <v>3</v>
      </c>
      <c r="L708" s="86">
        <f>SUM(Table3[[#This Row],[Strategic priority segment]:[Propensity to buy/ buyer readiness]])</f>
        <v>18</v>
      </c>
      <c r="M708" s="86" t="s">
        <v>66</v>
      </c>
      <c r="N708" s="84" t="s">
        <v>62</v>
      </c>
      <c r="O708" s="84"/>
      <c r="P708" s="87"/>
      <c r="Q708" s="87"/>
      <c r="R708" s="84"/>
      <c r="S708" s="84"/>
      <c r="T708" s="84"/>
      <c r="U708" s="84">
        <v>1</v>
      </c>
      <c r="V708" s="84">
        <v>0</v>
      </c>
      <c r="W708" s="84">
        <v>0</v>
      </c>
      <c r="X708" s="84">
        <v>0</v>
      </c>
      <c r="Y708" s="84">
        <v>0</v>
      </c>
      <c r="Z708" s="84">
        <v>0</v>
      </c>
      <c r="AA708" s="84">
        <v>0</v>
      </c>
      <c r="AB708" s="84">
        <v>0</v>
      </c>
      <c r="AC708" s="84">
        <v>0</v>
      </c>
      <c r="AD708" s="84">
        <v>1</v>
      </c>
      <c r="AE708" s="84">
        <v>1</v>
      </c>
      <c r="AF708" s="84">
        <v>1</v>
      </c>
      <c r="AG708" s="84">
        <v>1</v>
      </c>
      <c r="AH708" s="84">
        <v>0</v>
      </c>
      <c r="AI708" s="84">
        <v>0</v>
      </c>
      <c r="AJ708" s="84">
        <v>0</v>
      </c>
      <c r="AK708" s="84">
        <v>0</v>
      </c>
      <c r="AL708" s="84" cm="1">
        <f t="array" ref="AL7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8" s="84" cm="1">
        <f t="array" ref="AM7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8" s="84" cm="1">
        <f t="array" ref="AN7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8" s="84" cm="1">
        <f t="array" ref="AO7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8" s="84" cm="1">
        <f t="array" ref="AP7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8" s="84" cm="1">
        <f t="array" ref="AQ7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8" s="84" cm="1">
        <f t="array" ref="AR7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8" s="84" cm="1">
        <f t="array" ref="AS7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8" s="84" cm="1">
        <f t="array" ref="AT7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8" s="84" cm="1">
        <f t="array" ref="AU7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8" s="84" cm="1">
        <f t="array" ref="AV7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8" s="84" cm="1">
        <f t="array" ref="AW7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8" s="84" cm="1">
        <f t="array" ref="AX7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8" s="84" cm="1">
        <f t="array" ref="AY7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8" s="84" cm="1">
        <f t="array" ref="AZ7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8" s="84" cm="1">
        <f t="array" ref="BA7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8" s="84" cm="1">
        <f t="array" ref="BB7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8" s="84">
        <f>IF(SUM(Table3[[#This Row],[Column2]:[Column18]])&gt;Table3[[#This Row],[Column19]],Table3[[#This Row],[Column19]],SUM(Table3[[#This Row],[Column2]:[Column18]]))</f>
        <v>50000</v>
      </c>
      <c r="BD708" s="2">
        <f>Table3[[#This Row],[Total Spend]]/SUM(Table3[[#This Row],[Column2]:[Column18]])</f>
        <v>0.53163211057947901</v>
      </c>
    </row>
    <row r="709" spans="1:56">
      <c r="A709" s="84" t="s">
        <v>783</v>
      </c>
      <c r="B709" s="84"/>
      <c r="C709" s="84" t="s">
        <v>57</v>
      </c>
      <c r="D709" s="85">
        <v>45566</v>
      </c>
      <c r="E709" s="85" t="s">
        <v>92</v>
      </c>
      <c r="F709" s="84">
        <f>INDEX(Definitions!$G$13:$G$17,MATCH(Table3[[#This Row],[Propensity to buy/ buyer readiness]],Definitions!$A$13:$A$17,0))</f>
        <v>50000</v>
      </c>
      <c r="G709" s="86">
        <v>5</v>
      </c>
      <c r="H709" s="86">
        <v>4</v>
      </c>
      <c r="I709" s="86">
        <v>3</v>
      </c>
      <c r="J709" s="86">
        <v>3</v>
      </c>
      <c r="K709" s="86">
        <v>3</v>
      </c>
      <c r="L709" s="86">
        <f>SUM(Table3[[#This Row],[Strategic priority segment]:[Propensity to buy/ buyer readiness]])</f>
        <v>18</v>
      </c>
      <c r="M709" s="86" t="s">
        <v>66</v>
      </c>
      <c r="N709" s="84" t="s">
        <v>62</v>
      </c>
      <c r="O709" s="84"/>
      <c r="P709" s="87"/>
      <c r="Q709" s="87"/>
      <c r="R709" s="84"/>
      <c r="S709" s="87"/>
      <c r="T709" s="87"/>
      <c r="U709" s="84">
        <v>1</v>
      </c>
      <c r="V709" s="84">
        <v>0</v>
      </c>
      <c r="W709" s="84">
        <v>0</v>
      </c>
      <c r="X709" s="84">
        <v>0</v>
      </c>
      <c r="Y709" s="84">
        <v>0</v>
      </c>
      <c r="Z709" s="84">
        <v>0</v>
      </c>
      <c r="AA709" s="84">
        <v>0</v>
      </c>
      <c r="AB709" s="84">
        <v>0</v>
      </c>
      <c r="AC709" s="84">
        <v>0</v>
      </c>
      <c r="AD709" s="84">
        <v>1</v>
      </c>
      <c r="AE709" s="84">
        <v>1</v>
      </c>
      <c r="AF709" s="84">
        <v>1</v>
      </c>
      <c r="AG709" s="84">
        <v>1</v>
      </c>
      <c r="AH709" s="84">
        <v>0</v>
      </c>
      <c r="AI709" s="84">
        <v>0</v>
      </c>
      <c r="AJ709" s="84">
        <v>0</v>
      </c>
      <c r="AK709" s="84">
        <v>0</v>
      </c>
      <c r="AL709" s="84" cm="1">
        <f t="array" ref="AL7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09" s="84" cm="1">
        <f t="array" ref="AM7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09" s="84" cm="1">
        <f t="array" ref="AN7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09" s="84" cm="1">
        <f t="array" ref="AO7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09" s="84" cm="1">
        <f t="array" ref="AP7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09" s="84" cm="1">
        <f t="array" ref="AQ7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09" s="84" cm="1">
        <f t="array" ref="AR7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09" s="84" cm="1">
        <f t="array" ref="AS7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09" s="84" cm="1">
        <f t="array" ref="AT7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09" s="84" cm="1">
        <f t="array" ref="AU7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09" s="84" cm="1">
        <f t="array" ref="AV7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09" s="84" cm="1">
        <f t="array" ref="AW7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09" s="84" cm="1">
        <f t="array" ref="AX7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09" s="84" cm="1">
        <f t="array" ref="AY7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09" s="84" cm="1">
        <f t="array" ref="AZ7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09" s="84" cm="1">
        <f t="array" ref="BA7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09" s="84" cm="1">
        <f t="array" ref="BB7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09" s="84">
        <f>IF(SUM(Table3[[#This Row],[Column2]:[Column18]])&gt;Table3[[#This Row],[Column19]],Table3[[#This Row],[Column19]],SUM(Table3[[#This Row],[Column2]:[Column18]]))</f>
        <v>50000</v>
      </c>
      <c r="BD709" s="2">
        <f>Table3[[#This Row],[Total Spend]]/SUM(Table3[[#This Row],[Column2]:[Column18]])</f>
        <v>0.53163211057947901</v>
      </c>
    </row>
    <row r="710" spans="1:56" ht="28.5">
      <c r="A710" s="87" t="s">
        <v>784</v>
      </c>
      <c r="B710" s="87"/>
      <c r="C710" s="87"/>
      <c r="D710" s="85">
        <v>45566</v>
      </c>
      <c r="E710" s="85" t="s">
        <v>58</v>
      </c>
      <c r="F710" s="84">
        <f>INDEX(Definitions!$G$13:$G$17,MATCH(Table3[[#This Row],[Propensity to buy/ buyer readiness]],Definitions!$A$13:$A$17,0))</f>
        <v>50000</v>
      </c>
      <c r="G710" s="86">
        <v>5</v>
      </c>
      <c r="H710" s="86">
        <v>4</v>
      </c>
      <c r="I710" s="86">
        <v>2</v>
      </c>
      <c r="J710" s="86">
        <v>4</v>
      </c>
      <c r="K710" s="86">
        <v>3</v>
      </c>
      <c r="L710" s="86">
        <f>SUM(Table3[[#This Row],[Strategic priority segment]:[Propensity to buy/ buyer readiness]])</f>
        <v>18</v>
      </c>
      <c r="M710" s="86" t="s">
        <v>191</v>
      </c>
      <c r="N710" s="84" t="s">
        <v>135</v>
      </c>
      <c r="O710" s="87"/>
      <c r="P710" s="87"/>
      <c r="Q710" s="87"/>
      <c r="R710" s="84"/>
      <c r="S710" s="87"/>
      <c r="T710" s="84"/>
      <c r="U710" s="84">
        <v>0</v>
      </c>
      <c r="V710" s="84">
        <v>0</v>
      </c>
      <c r="W710" s="84">
        <v>0</v>
      </c>
      <c r="X710" s="84">
        <v>0</v>
      </c>
      <c r="Y710" s="84">
        <v>0</v>
      </c>
      <c r="Z710" s="84">
        <v>0</v>
      </c>
      <c r="AA710" s="84">
        <v>0</v>
      </c>
      <c r="AB710" s="84">
        <v>0</v>
      </c>
      <c r="AC710" s="84">
        <v>0</v>
      </c>
      <c r="AD710" s="84">
        <v>0</v>
      </c>
      <c r="AE710" s="84">
        <v>0</v>
      </c>
      <c r="AF710" s="84">
        <v>0</v>
      </c>
      <c r="AG710" s="84">
        <v>0</v>
      </c>
      <c r="AH710" s="84">
        <v>1</v>
      </c>
      <c r="AI710" s="84">
        <v>1</v>
      </c>
      <c r="AJ710" s="84">
        <v>1</v>
      </c>
      <c r="AK710" s="84">
        <v>1</v>
      </c>
      <c r="AL710" s="84" cm="1">
        <f t="array" ref="AL7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0" s="84" cm="1">
        <f t="array" ref="AM7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0" s="84" cm="1">
        <f t="array" ref="AN7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0" s="84" cm="1">
        <f t="array" ref="AO7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0" s="84" cm="1">
        <f t="array" ref="AP7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0" s="84" cm="1">
        <f t="array" ref="AQ7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0" s="84" cm="1">
        <f t="array" ref="AR7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0" s="84" cm="1">
        <f t="array" ref="AS7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0" s="84" cm="1">
        <f t="array" ref="AT7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0" s="84" cm="1">
        <f t="array" ref="AU7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0" s="84" cm="1">
        <f t="array" ref="AV7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0" s="84" cm="1">
        <f t="array" ref="AW7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0" s="84" cm="1">
        <f t="array" ref="AX7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0" s="84" cm="1">
        <f t="array" ref="AY7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0" s="84" cm="1">
        <f t="array" ref="AZ7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0" s="84" cm="1">
        <f t="array" ref="BA7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0" s="84" cm="1">
        <f t="array" ref="BB7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0" s="84">
        <f>IF(SUM(Table3[[#This Row],[Column2]:[Column18]])&gt;Table3[[#This Row],[Column19]],Table3[[#This Row],[Column19]],SUM(Table3[[#This Row],[Column2]:[Column18]]))</f>
        <v>50000</v>
      </c>
      <c r="BD710" s="2">
        <f>Table3[[#This Row],[Total Spend]]/SUM(Table3[[#This Row],[Column2]:[Column18]])</f>
        <v>0.77700077700077697</v>
      </c>
    </row>
    <row r="711" spans="1:56">
      <c r="A711" s="88" t="s">
        <v>785</v>
      </c>
      <c r="B711" s="88"/>
      <c r="C711" s="88"/>
      <c r="D711" s="85">
        <v>45566</v>
      </c>
      <c r="E711" s="85" t="s">
        <v>92</v>
      </c>
      <c r="F711" s="84">
        <f>INDEX(Definitions!$G$13:$G$17,MATCH(Table3[[#This Row],[Propensity to buy/ buyer readiness]],Definitions!$A$13:$A$17,0))</f>
        <v>50000</v>
      </c>
      <c r="G711" s="86">
        <v>5</v>
      </c>
      <c r="H711" s="86">
        <v>4</v>
      </c>
      <c r="I711" s="86">
        <v>3</v>
      </c>
      <c r="J711" s="86">
        <v>3</v>
      </c>
      <c r="K711" s="86">
        <v>3</v>
      </c>
      <c r="L711" s="86">
        <f>SUM(Table3[[#This Row],[Strategic priority segment]:[Propensity to buy/ buyer readiness]])</f>
        <v>18</v>
      </c>
      <c r="M711" s="86" t="s">
        <v>66</v>
      </c>
      <c r="N711" s="84" t="s">
        <v>62</v>
      </c>
      <c r="O711" s="84"/>
      <c r="P711" s="87"/>
      <c r="Q711" s="87"/>
      <c r="R711" s="84"/>
      <c r="S711" s="87"/>
      <c r="T711" s="84"/>
      <c r="U711" s="84">
        <v>1</v>
      </c>
      <c r="V711" s="84">
        <v>0</v>
      </c>
      <c r="W711" s="84">
        <v>0</v>
      </c>
      <c r="X711" s="84">
        <v>0</v>
      </c>
      <c r="Y711" s="84">
        <v>0</v>
      </c>
      <c r="Z711" s="84">
        <v>0</v>
      </c>
      <c r="AA711" s="84">
        <v>0</v>
      </c>
      <c r="AB711" s="84">
        <v>0</v>
      </c>
      <c r="AC711" s="84">
        <v>0</v>
      </c>
      <c r="AD711" s="84">
        <v>1</v>
      </c>
      <c r="AE711" s="84">
        <v>1</v>
      </c>
      <c r="AF711" s="84">
        <v>1</v>
      </c>
      <c r="AG711" s="84">
        <v>1</v>
      </c>
      <c r="AH711" s="84">
        <v>0</v>
      </c>
      <c r="AI711" s="84">
        <v>0</v>
      </c>
      <c r="AJ711" s="84">
        <v>0</v>
      </c>
      <c r="AK711" s="84">
        <v>0</v>
      </c>
      <c r="AL711" s="84" cm="1">
        <f t="array" ref="AL7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11" s="84" cm="1">
        <f t="array" ref="AM7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1" s="84" cm="1">
        <f t="array" ref="AN7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1" s="84" cm="1">
        <f t="array" ref="AO7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1" s="84" cm="1">
        <f t="array" ref="AP7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1" s="84" cm="1">
        <f t="array" ref="AQ7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1" s="84" cm="1">
        <f t="array" ref="AR7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1" s="84" cm="1">
        <f t="array" ref="AS7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1" s="84" cm="1">
        <f t="array" ref="AT7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1" s="84" cm="1">
        <f t="array" ref="AU7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11" s="84" cm="1">
        <f t="array" ref="AV7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11" s="84" cm="1">
        <f t="array" ref="AW7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11" s="84" cm="1">
        <f t="array" ref="AX7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11" s="84" cm="1">
        <f t="array" ref="AY7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11" s="84" cm="1">
        <f t="array" ref="AZ7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11" s="84" cm="1">
        <f t="array" ref="BA7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11" s="84" cm="1">
        <f t="array" ref="BB7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11" s="84">
        <f>IF(SUM(Table3[[#This Row],[Column2]:[Column18]])&gt;Table3[[#This Row],[Column19]],Table3[[#This Row],[Column19]],SUM(Table3[[#This Row],[Column2]:[Column18]]))</f>
        <v>50000</v>
      </c>
      <c r="BD711" s="2">
        <f>Table3[[#This Row],[Total Spend]]/SUM(Table3[[#This Row],[Column2]:[Column18]])</f>
        <v>0.53163211057947901</v>
      </c>
    </row>
    <row r="712" spans="1:56">
      <c r="A712" s="87" t="s">
        <v>786</v>
      </c>
      <c r="B712" s="87"/>
      <c r="C712" s="87"/>
      <c r="D712" s="85">
        <v>45566</v>
      </c>
      <c r="E712" s="85" t="s">
        <v>58</v>
      </c>
      <c r="F712" s="84">
        <f>INDEX(Definitions!$G$13:$G$17,MATCH(Table3[[#This Row],[Propensity to buy/ buyer readiness]],Definitions!$A$13:$A$17,0))</f>
        <v>50000</v>
      </c>
      <c r="G712" s="86">
        <v>5</v>
      </c>
      <c r="H712" s="86">
        <v>4</v>
      </c>
      <c r="I712" s="86">
        <v>2</v>
      </c>
      <c r="J712" s="86">
        <v>4</v>
      </c>
      <c r="K712" s="86">
        <v>3</v>
      </c>
      <c r="L712" s="86">
        <f>SUM(Table3[[#This Row],[Strategic priority segment]:[Propensity to buy/ buyer readiness]])</f>
        <v>18</v>
      </c>
      <c r="M712" s="86" t="s">
        <v>191</v>
      </c>
      <c r="N712" s="84" t="s">
        <v>135</v>
      </c>
      <c r="O712" s="87"/>
      <c r="P712" s="87"/>
      <c r="Q712" s="87"/>
      <c r="R712" s="84"/>
      <c r="S712" s="87"/>
      <c r="T712" s="84"/>
      <c r="U712" s="84">
        <v>0</v>
      </c>
      <c r="V712" s="84">
        <v>0</v>
      </c>
      <c r="W712" s="84">
        <v>0</v>
      </c>
      <c r="X712" s="84">
        <v>0</v>
      </c>
      <c r="Y712" s="84">
        <v>0</v>
      </c>
      <c r="Z712" s="84">
        <v>0</v>
      </c>
      <c r="AA712" s="84">
        <v>0</v>
      </c>
      <c r="AB712" s="84">
        <v>0</v>
      </c>
      <c r="AC712" s="84">
        <v>0</v>
      </c>
      <c r="AD712" s="84">
        <v>0</v>
      </c>
      <c r="AE712" s="84">
        <v>0</v>
      </c>
      <c r="AF712" s="84">
        <v>0</v>
      </c>
      <c r="AG712" s="84">
        <v>0</v>
      </c>
      <c r="AH712" s="84">
        <v>1</v>
      </c>
      <c r="AI712" s="84">
        <v>1</v>
      </c>
      <c r="AJ712" s="84">
        <v>1</v>
      </c>
      <c r="AK712" s="84">
        <v>1</v>
      </c>
      <c r="AL712" s="84" cm="1">
        <f t="array" ref="AL7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2" s="84" cm="1">
        <f t="array" ref="AM7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2" s="84" cm="1">
        <f t="array" ref="AN7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2" s="84" cm="1">
        <f t="array" ref="AO7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2" s="84" cm="1">
        <f t="array" ref="AP7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2" s="84" cm="1">
        <f t="array" ref="AQ7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2" s="84" cm="1">
        <f t="array" ref="AR7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2" s="84" cm="1">
        <f t="array" ref="AS7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2" s="84" cm="1">
        <f t="array" ref="AT7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2" s="84" cm="1">
        <f t="array" ref="AU7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2" s="84" cm="1">
        <f t="array" ref="AV7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2" s="84" cm="1">
        <f t="array" ref="AW7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2" s="84" cm="1">
        <f t="array" ref="AX7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2" s="84" cm="1">
        <f t="array" ref="AY7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2" s="84" cm="1">
        <f t="array" ref="AZ7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2" s="84" cm="1">
        <f t="array" ref="BA7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2" s="84" cm="1">
        <f t="array" ref="BB7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2" s="84">
        <f>IF(SUM(Table3[[#This Row],[Column2]:[Column18]])&gt;Table3[[#This Row],[Column19]],Table3[[#This Row],[Column19]],SUM(Table3[[#This Row],[Column2]:[Column18]]))</f>
        <v>50000</v>
      </c>
      <c r="BD712" s="2">
        <f>Table3[[#This Row],[Total Spend]]/SUM(Table3[[#This Row],[Column2]:[Column18]])</f>
        <v>0.77700077700077697</v>
      </c>
    </row>
    <row r="713" spans="1:56">
      <c r="A713" s="87" t="s">
        <v>787</v>
      </c>
      <c r="B713" s="87"/>
      <c r="C713" s="87"/>
      <c r="D713" s="85">
        <v>45566</v>
      </c>
      <c r="E713" s="85" t="s">
        <v>58</v>
      </c>
      <c r="F713" s="84">
        <f>INDEX(Definitions!$G$13:$G$17,MATCH(Table3[[#This Row],[Propensity to buy/ buyer readiness]],Definitions!$A$13:$A$17,0))</f>
        <v>50000</v>
      </c>
      <c r="G713" s="86">
        <v>5</v>
      </c>
      <c r="H713" s="86">
        <v>4</v>
      </c>
      <c r="I713" s="86">
        <v>2</v>
      </c>
      <c r="J713" s="86">
        <v>4</v>
      </c>
      <c r="K713" s="86">
        <v>3</v>
      </c>
      <c r="L713" s="86">
        <f>SUM(Table3[[#This Row],[Strategic priority segment]:[Propensity to buy/ buyer readiness]])</f>
        <v>18</v>
      </c>
      <c r="M713" s="86" t="s">
        <v>191</v>
      </c>
      <c r="N713" s="84" t="s">
        <v>135</v>
      </c>
      <c r="O713" s="87"/>
      <c r="P713" s="87"/>
      <c r="Q713" s="87"/>
      <c r="R713" s="84"/>
      <c r="S713" s="87"/>
      <c r="T713" s="87"/>
      <c r="U713" s="84">
        <v>0</v>
      </c>
      <c r="V713" s="84">
        <v>0</v>
      </c>
      <c r="W713" s="84">
        <v>0</v>
      </c>
      <c r="X713" s="84">
        <v>0</v>
      </c>
      <c r="Y713" s="84">
        <v>0</v>
      </c>
      <c r="Z713" s="84">
        <v>0</v>
      </c>
      <c r="AA713" s="84">
        <v>0</v>
      </c>
      <c r="AB713" s="84">
        <v>0</v>
      </c>
      <c r="AC713" s="84">
        <v>0</v>
      </c>
      <c r="AD713" s="84">
        <v>0</v>
      </c>
      <c r="AE713" s="84">
        <v>0</v>
      </c>
      <c r="AF713" s="84">
        <v>0</v>
      </c>
      <c r="AG713" s="84">
        <v>0</v>
      </c>
      <c r="AH713" s="84">
        <v>1</v>
      </c>
      <c r="AI713" s="84">
        <v>1</v>
      </c>
      <c r="AJ713" s="84">
        <v>1</v>
      </c>
      <c r="AK713" s="84">
        <v>1</v>
      </c>
      <c r="AL713" s="84" cm="1">
        <f t="array" ref="AL7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3" s="84" cm="1">
        <f t="array" ref="AM7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3" s="84" cm="1">
        <f t="array" ref="AN7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3" s="84" cm="1">
        <f t="array" ref="AO7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3" s="84" cm="1">
        <f t="array" ref="AP7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3" s="84" cm="1">
        <f t="array" ref="AQ7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3" s="84" cm="1">
        <f t="array" ref="AR7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3" s="84" cm="1">
        <f t="array" ref="AS7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3" s="84" cm="1">
        <f t="array" ref="AT7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3" s="84" cm="1">
        <f t="array" ref="AU7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3" s="84" cm="1">
        <f t="array" ref="AV7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3" s="84" cm="1">
        <f t="array" ref="AW7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3" s="84" cm="1">
        <f t="array" ref="AX7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3" s="84" cm="1">
        <f t="array" ref="AY7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3" s="84" cm="1">
        <f t="array" ref="AZ7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3" s="84" cm="1">
        <f t="array" ref="BA7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3" s="84" cm="1">
        <f t="array" ref="BB7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3" s="84">
        <f>IF(SUM(Table3[[#This Row],[Column2]:[Column18]])&gt;Table3[[#This Row],[Column19]],Table3[[#This Row],[Column19]],SUM(Table3[[#This Row],[Column2]:[Column18]]))</f>
        <v>50000</v>
      </c>
      <c r="BD713" s="2">
        <f>Table3[[#This Row],[Total Spend]]/SUM(Table3[[#This Row],[Column2]:[Column18]])</f>
        <v>0.77700077700077697</v>
      </c>
    </row>
    <row r="714" spans="1:56">
      <c r="A714" s="87" t="s">
        <v>788</v>
      </c>
      <c r="B714" s="87"/>
      <c r="C714" s="87"/>
      <c r="D714" s="85">
        <v>45566</v>
      </c>
      <c r="E714" s="85" t="s">
        <v>58</v>
      </c>
      <c r="F714" s="84">
        <f>INDEX(Definitions!$G$13:$G$17,MATCH(Table3[[#This Row],[Propensity to buy/ buyer readiness]],Definitions!$A$13:$A$17,0))</f>
        <v>50000</v>
      </c>
      <c r="G714" s="86">
        <v>5</v>
      </c>
      <c r="H714" s="86">
        <v>4</v>
      </c>
      <c r="I714" s="86">
        <v>2</v>
      </c>
      <c r="J714" s="86">
        <v>4</v>
      </c>
      <c r="K714" s="86">
        <v>3</v>
      </c>
      <c r="L714" s="86">
        <f>SUM(Table3[[#This Row],[Strategic priority segment]:[Propensity to buy/ buyer readiness]])</f>
        <v>18</v>
      </c>
      <c r="M714" s="86" t="s">
        <v>191</v>
      </c>
      <c r="N714" s="84" t="s">
        <v>135</v>
      </c>
      <c r="O714" s="87"/>
      <c r="P714" s="87"/>
      <c r="Q714" s="87"/>
      <c r="R714" s="84"/>
      <c r="S714" s="87"/>
      <c r="T714" s="87"/>
      <c r="U714" s="84">
        <v>0</v>
      </c>
      <c r="V714" s="84">
        <v>0</v>
      </c>
      <c r="W714" s="84">
        <v>0</v>
      </c>
      <c r="X714" s="84">
        <v>0</v>
      </c>
      <c r="Y714" s="84">
        <v>0</v>
      </c>
      <c r="Z714" s="84">
        <v>0</v>
      </c>
      <c r="AA714" s="84">
        <v>0</v>
      </c>
      <c r="AB714" s="84">
        <v>0</v>
      </c>
      <c r="AC714" s="84">
        <v>0</v>
      </c>
      <c r="AD714" s="84">
        <v>0</v>
      </c>
      <c r="AE714" s="84">
        <v>0</v>
      </c>
      <c r="AF714" s="84">
        <v>0</v>
      </c>
      <c r="AG714" s="84">
        <v>0</v>
      </c>
      <c r="AH714" s="84">
        <v>1</v>
      </c>
      <c r="AI714" s="84">
        <v>1</v>
      </c>
      <c r="AJ714" s="84">
        <v>1</v>
      </c>
      <c r="AK714" s="84">
        <v>1</v>
      </c>
      <c r="AL714" s="84" cm="1">
        <f t="array" ref="AL7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4" s="84" cm="1">
        <f t="array" ref="AM7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4" s="84" cm="1">
        <f t="array" ref="AN7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4" s="84" cm="1">
        <f t="array" ref="AO7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4" s="84" cm="1">
        <f t="array" ref="AP7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4" s="84" cm="1">
        <f t="array" ref="AQ7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4" s="84" cm="1">
        <f t="array" ref="AR7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4" s="84" cm="1">
        <f t="array" ref="AS7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4" s="84" cm="1">
        <f t="array" ref="AT7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4" s="84" cm="1">
        <f t="array" ref="AU7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4" s="84" cm="1">
        <f t="array" ref="AV7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4" s="84" cm="1">
        <f t="array" ref="AW7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4" s="84" cm="1">
        <f t="array" ref="AX7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4" s="84" cm="1">
        <f t="array" ref="AY7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4" s="84" cm="1">
        <f t="array" ref="AZ7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4" s="84" cm="1">
        <f t="array" ref="BA7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4" s="84" cm="1">
        <f t="array" ref="BB7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4" s="84">
        <f>IF(SUM(Table3[[#This Row],[Column2]:[Column18]])&gt;Table3[[#This Row],[Column19]],Table3[[#This Row],[Column19]],SUM(Table3[[#This Row],[Column2]:[Column18]]))</f>
        <v>50000</v>
      </c>
      <c r="BD714" s="2">
        <f>Table3[[#This Row],[Total Spend]]/SUM(Table3[[#This Row],[Column2]:[Column18]])</f>
        <v>0.77700077700077697</v>
      </c>
    </row>
    <row r="715" spans="1:56">
      <c r="A715" s="88" t="s">
        <v>789</v>
      </c>
      <c r="B715" s="88"/>
      <c r="C715" s="88"/>
      <c r="D715" s="85">
        <v>45566</v>
      </c>
      <c r="E715" s="85" t="s">
        <v>92</v>
      </c>
      <c r="F715" s="84">
        <f>INDEX(Definitions!$G$13:$G$17,MATCH(Table3[[#This Row],[Propensity to buy/ buyer readiness]],Definitions!$A$13:$A$17,0))</f>
        <v>50000</v>
      </c>
      <c r="G715" s="86">
        <v>5</v>
      </c>
      <c r="H715" s="86">
        <v>4</v>
      </c>
      <c r="I715" s="86">
        <v>3</v>
      </c>
      <c r="J715" s="86">
        <v>3</v>
      </c>
      <c r="K715" s="86">
        <v>3</v>
      </c>
      <c r="L715" s="86">
        <f>SUM(Table3[[#This Row],[Strategic priority segment]:[Propensity to buy/ buyer readiness]])</f>
        <v>18</v>
      </c>
      <c r="M715" s="86" t="s">
        <v>66</v>
      </c>
      <c r="N715" s="84" t="s">
        <v>62</v>
      </c>
      <c r="O715" s="84"/>
      <c r="P715" s="87"/>
      <c r="Q715" s="87"/>
      <c r="R715" s="84"/>
      <c r="S715" s="87"/>
      <c r="T715" s="84"/>
      <c r="U715" s="84">
        <v>1</v>
      </c>
      <c r="V715" s="84">
        <v>0</v>
      </c>
      <c r="W715" s="84">
        <v>0</v>
      </c>
      <c r="X715" s="84">
        <v>0</v>
      </c>
      <c r="Y715" s="84">
        <v>0</v>
      </c>
      <c r="Z715" s="84">
        <v>0</v>
      </c>
      <c r="AA715" s="84">
        <v>0</v>
      </c>
      <c r="AB715" s="84">
        <v>0</v>
      </c>
      <c r="AC715" s="84">
        <v>0</v>
      </c>
      <c r="AD715" s="84">
        <v>1</v>
      </c>
      <c r="AE715" s="84">
        <v>1</v>
      </c>
      <c r="AF715" s="84">
        <v>1</v>
      </c>
      <c r="AG715" s="84">
        <v>1</v>
      </c>
      <c r="AH715" s="84">
        <v>0</v>
      </c>
      <c r="AI715" s="84">
        <v>0</v>
      </c>
      <c r="AJ715" s="84">
        <v>0</v>
      </c>
      <c r="AK715" s="84">
        <v>0</v>
      </c>
      <c r="AL715" s="84" cm="1">
        <f t="array" ref="AL7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15" s="84" cm="1">
        <f t="array" ref="AM7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5" s="84" cm="1">
        <f t="array" ref="AN7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5" s="84" cm="1">
        <f t="array" ref="AO7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5" s="84" cm="1">
        <f t="array" ref="AP7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5" s="84" cm="1">
        <f t="array" ref="AQ7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5" s="84" cm="1">
        <f t="array" ref="AR7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5" s="84" cm="1">
        <f t="array" ref="AS7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5" s="84" cm="1">
        <f t="array" ref="AT7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5" s="84" cm="1">
        <f t="array" ref="AU7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15" s="84" cm="1">
        <f t="array" ref="AV7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15" s="84" cm="1">
        <f t="array" ref="AW7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15" s="84" cm="1">
        <f t="array" ref="AX7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15" s="84" cm="1">
        <f t="array" ref="AY7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15" s="84" cm="1">
        <f t="array" ref="AZ7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15" s="84" cm="1">
        <f t="array" ref="BA7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15" s="84" cm="1">
        <f t="array" ref="BB7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15" s="84">
        <f>IF(SUM(Table3[[#This Row],[Column2]:[Column18]])&gt;Table3[[#This Row],[Column19]],Table3[[#This Row],[Column19]],SUM(Table3[[#This Row],[Column2]:[Column18]]))</f>
        <v>50000</v>
      </c>
      <c r="BD715" s="2">
        <f>Table3[[#This Row],[Total Spend]]/SUM(Table3[[#This Row],[Column2]:[Column18]])</f>
        <v>0.53163211057947901</v>
      </c>
    </row>
    <row r="716" spans="1:56" ht="28.5">
      <c r="A716" s="87" t="s">
        <v>790</v>
      </c>
      <c r="B716" s="87"/>
      <c r="C716" s="87"/>
      <c r="D716" s="85">
        <v>45566</v>
      </c>
      <c r="E716" s="85" t="s">
        <v>58</v>
      </c>
      <c r="F716" s="84">
        <f>INDEX(Definitions!$G$13:$G$17,MATCH(Table3[[#This Row],[Propensity to buy/ buyer readiness]],Definitions!$A$13:$A$17,0))</f>
        <v>50000</v>
      </c>
      <c r="G716" s="86">
        <v>5</v>
      </c>
      <c r="H716" s="86">
        <v>4</v>
      </c>
      <c r="I716" s="86">
        <v>2</v>
      </c>
      <c r="J716" s="86">
        <v>4</v>
      </c>
      <c r="K716" s="86">
        <v>3</v>
      </c>
      <c r="L716" s="86">
        <f>SUM(Table3[[#This Row],[Strategic priority segment]:[Propensity to buy/ buyer readiness]])</f>
        <v>18</v>
      </c>
      <c r="M716" s="86" t="s">
        <v>191</v>
      </c>
      <c r="N716" s="84" t="s">
        <v>135</v>
      </c>
      <c r="O716" s="87" t="s">
        <v>76</v>
      </c>
      <c r="P716" s="87"/>
      <c r="Q716" s="87"/>
      <c r="R716" s="84"/>
      <c r="S716" s="87"/>
      <c r="T716" s="84"/>
      <c r="U716" s="84">
        <v>0</v>
      </c>
      <c r="V716" s="84">
        <v>0</v>
      </c>
      <c r="W716" s="84">
        <v>0</v>
      </c>
      <c r="X716" s="84">
        <v>0</v>
      </c>
      <c r="Y716" s="84">
        <v>0</v>
      </c>
      <c r="Z716" s="84">
        <v>0</v>
      </c>
      <c r="AA716" s="84">
        <v>0</v>
      </c>
      <c r="AB716" s="84">
        <v>0</v>
      </c>
      <c r="AC716" s="84">
        <v>0</v>
      </c>
      <c r="AD716" s="84">
        <v>0</v>
      </c>
      <c r="AE716" s="84">
        <v>0</v>
      </c>
      <c r="AF716" s="84">
        <v>0</v>
      </c>
      <c r="AG716" s="84">
        <v>0</v>
      </c>
      <c r="AH716" s="84">
        <v>1</v>
      </c>
      <c r="AI716" s="84">
        <v>1</v>
      </c>
      <c r="AJ716" s="84">
        <v>1</v>
      </c>
      <c r="AK716" s="84">
        <v>1</v>
      </c>
      <c r="AL716" s="84" cm="1">
        <f t="array" ref="AL7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6" s="84" cm="1">
        <f t="array" ref="AM7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6" s="84" cm="1">
        <f t="array" ref="AN7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6" s="84" cm="1">
        <f t="array" ref="AO7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6" s="84" cm="1">
        <f t="array" ref="AP7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6" s="84" cm="1">
        <f t="array" ref="AQ7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6" s="84" cm="1">
        <f t="array" ref="AR7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6" s="84" cm="1">
        <f t="array" ref="AS7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6" s="84" cm="1">
        <f t="array" ref="AT7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6" s="84" cm="1">
        <f t="array" ref="AU7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6" s="84" cm="1">
        <f t="array" ref="AV7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6" s="84" cm="1">
        <f t="array" ref="AW7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6" s="84" cm="1">
        <f t="array" ref="AX7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6" s="84" cm="1">
        <f t="array" ref="AY7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6" s="84" cm="1">
        <f t="array" ref="AZ7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6" s="84" cm="1">
        <f t="array" ref="BA7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6" s="84" cm="1">
        <f t="array" ref="BB7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6" s="84">
        <f>IF(SUM(Table3[[#This Row],[Column2]:[Column18]])&gt;Table3[[#This Row],[Column19]],Table3[[#This Row],[Column19]],SUM(Table3[[#This Row],[Column2]:[Column18]]))</f>
        <v>50000</v>
      </c>
      <c r="BD716" s="2">
        <f>Table3[[#This Row],[Total Spend]]/SUM(Table3[[#This Row],[Column2]:[Column18]])</f>
        <v>0.77700077700077697</v>
      </c>
    </row>
    <row r="717" spans="1:56">
      <c r="A717" s="87" t="s">
        <v>791</v>
      </c>
      <c r="B717" s="87"/>
      <c r="C717" s="87"/>
      <c r="D717" s="85">
        <v>45566</v>
      </c>
      <c r="E717" s="85" t="s">
        <v>58</v>
      </c>
      <c r="F717" s="84">
        <f>INDEX(Definitions!$G$13:$G$17,MATCH(Table3[[#This Row],[Propensity to buy/ buyer readiness]],Definitions!$A$13:$A$17,0))</f>
        <v>50000</v>
      </c>
      <c r="G717" s="86">
        <v>5</v>
      </c>
      <c r="H717" s="86">
        <v>4</v>
      </c>
      <c r="I717" s="86">
        <v>2</v>
      </c>
      <c r="J717" s="86">
        <v>4</v>
      </c>
      <c r="K717" s="86">
        <v>3</v>
      </c>
      <c r="L717" s="86">
        <f>SUM(Table3[[#This Row],[Strategic priority segment]:[Propensity to buy/ buyer readiness]])</f>
        <v>18</v>
      </c>
      <c r="M717" s="86" t="s">
        <v>191</v>
      </c>
      <c r="N717" s="84" t="s">
        <v>135</v>
      </c>
      <c r="O717" s="87"/>
      <c r="P717" s="87"/>
      <c r="Q717" s="87"/>
      <c r="R717" s="84"/>
      <c r="S717" s="87"/>
      <c r="T717" s="87"/>
      <c r="U717" s="84">
        <v>0</v>
      </c>
      <c r="V717" s="84">
        <v>0</v>
      </c>
      <c r="W717" s="84">
        <v>0</v>
      </c>
      <c r="X717" s="84">
        <v>0</v>
      </c>
      <c r="Y717" s="84">
        <v>0</v>
      </c>
      <c r="Z717" s="84">
        <v>0</v>
      </c>
      <c r="AA717" s="84">
        <v>0</v>
      </c>
      <c r="AB717" s="84">
        <v>0</v>
      </c>
      <c r="AC717" s="84">
        <v>0</v>
      </c>
      <c r="AD717" s="84">
        <v>0</v>
      </c>
      <c r="AE717" s="84">
        <v>0</v>
      </c>
      <c r="AF717" s="84">
        <v>0</v>
      </c>
      <c r="AG717" s="84">
        <v>0</v>
      </c>
      <c r="AH717" s="84">
        <v>1</v>
      </c>
      <c r="AI717" s="84">
        <v>1</v>
      </c>
      <c r="AJ717" s="84">
        <v>1</v>
      </c>
      <c r="AK717" s="84">
        <v>1</v>
      </c>
      <c r="AL717" s="84" cm="1">
        <f t="array" ref="AL7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7" s="84" cm="1">
        <f t="array" ref="AM7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7" s="84" cm="1">
        <f t="array" ref="AN7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7" s="84" cm="1">
        <f t="array" ref="AO7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7" s="84" cm="1">
        <f t="array" ref="AP7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7" s="84" cm="1">
        <f t="array" ref="AQ7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7" s="84" cm="1">
        <f t="array" ref="AR7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7" s="84" cm="1">
        <f t="array" ref="AS7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7" s="84" cm="1">
        <f t="array" ref="AT7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7" s="84" cm="1">
        <f t="array" ref="AU7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7" s="84" cm="1">
        <f t="array" ref="AV7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7" s="84" cm="1">
        <f t="array" ref="AW7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7" s="84" cm="1">
        <f t="array" ref="AX7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7" s="84" cm="1">
        <f t="array" ref="AY7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7" s="84" cm="1">
        <f t="array" ref="AZ7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7" s="84" cm="1">
        <f t="array" ref="BA7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7" s="84" cm="1">
        <f t="array" ref="BB7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7" s="84">
        <f>IF(SUM(Table3[[#This Row],[Column2]:[Column18]])&gt;Table3[[#This Row],[Column19]],Table3[[#This Row],[Column19]],SUM(Table3[[#This Row],[Column2]:[Column18]]))</f>
        <v>50000</v>
      </c>
      <c r="BD717" s="2">
        <f>Table3[[#This Row],[Total Spend]]/SUM(Table3[[#This Row],[Column2]:[Column18]])</f>
        <v>0.77700077700077697</v>
      </c>
    </row>
    <row r="718" spans="1:56">
      <c r="A718" s="88" t="s">
        <v>792</v>
      </c>
      <c r="B718" s="88"/>
      <c r="C718" s="88"/>
      <c r="D718" s="85">
        <v>45566</v>
      </c>
      <c r="E718" s="85" t="s">
        <v>92</v>
      </c>
      <c r="F718" s="84">
        <f>INDEX(Definitions!$G$13:$G$17,MATCH(Table3[[#This Row],[Propensity to buy/ buyer readiness]],Definitions!$A$13:$A$17,0))</f>
        <v>50000</v>
      </c>
      <c r="G718" s="86">
        <v>5</v>
      </c>
      <c r="H718" s="86">
        <v>4</v>
      </c>
      <c r="I718" s="86">
        <v>3</v>
      </c>
      <c r="J718" s="86">
        <v>3</v>
      </c>
      <c r="K718" s="86">
        <v>3</v>
      </c>
      <c r="L718" s="86">
        <f>SUM(Table3[[#This Row],[Strategic priority segment]:[Propensity to buy/ buyer readiness]])</f>
        <v>18</v>
      </c>
      <c r="M718" s="86" t="s">
        <v>66</v>
      </c>
      <c r="N718" s="84" t="s">
        <v>62</v>
      </c>
      <c r="O718" s="84"/>
      <c r="P718" s="87"/>
      <c r="Q718" s="87"/>
      <c r="R718" s="84"/>
      <c r="S718" s="87"/>
      <c r="T718" s="84"/>
      <c r="U718" s="84">
        <v>1</v>
      </c>
      <c r="V718" s="84">
        <v>0</v>
      </c>
      <c r="W718" s="84">
        <v>0</v>
      </c>
      <c r="X718" s="84">
        <v>0</v>
      </c>
      <c r="Y718" s="84">
        <v>0</v>
      </c>
      <c r="Z718" s="84">
        <v>0</v>
      </c>
      <c r="AA718" s="84">
        <v>0</v>
      </c>
      <c r="AB718" s="84">
        <v>0</v>
      </c>
      <c r="AC718" s="84">
        <v>0</v>
      </c>
      <c r="AD718" s="84">
        <v>1</v>
      </c>
      <c r="AE718" s="84">
        <v>1</v>
      </c>
      <c r="AF718" s="84">
        <v>1</v>
      </c>
      <c r="AG718" s="84">
        <v>1</v>
      </c>
      <c r="AH718" s="84">
        <v>0</v>
      </c>
      <c r="AI718" s="84">
        <v>0</v>
      </c>
      <c r="AJ718" s="84">
        <v>0</v>
      </c>
      <c r="AK718" s="84">
        <v>0</v>
      </c>
      <c r="AL718" s="84" cm="1">
        <f t="array" ref="AL7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18" s="84" cm="1">
        <f t="array" ref="AM7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8" s="84" cm="1">
        <f t="array" ref="AN7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8" s="84" cm="1">
        <f t="array" ref="AO7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8" s="84" cm="1">
        <f t="array" ref="AP7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8" s="84" cm="1">
        <f t="array" ref="AQ7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8" s="84" cm="1">
        <f t="array" ref="AR7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8" s="84" cm="1">
        <f t="array" ref="AS7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8" s="84" cm="1">
        <f t="array" ref="AT7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8" s="84" cm="1">
        <f t="array" ref="AU7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18" s="84" cm="1">
        <f t="array" ref="AV7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18" s="84" cm="1">
        <f t="array" ref="AW7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18" s="84" cm="1">
        <f t="array" ref="AX7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18" s="84" cm="1">
        <f t="array" ref="AY7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18" s="84" cm="1">
        <f t="array" ref="AZ7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18" s="84" cm="1">
        <f t="array" ref="BA7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18" s="84" cm="1">
        <f t="array" ref="BB7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18" s="84">
        <f>IF(SUM(Table3[[#This Row],[Column2]:[Column18]])&gt;Table3[[#This Row],[Column19]],Table3[[#This Row],[Column19]],SUM(Table3[[#This Row],[Column2]:[Column18]]))</f>
        <v>50000</v>
      </c>
      <c r="BD718" s="2">
        <f>Table3[[#This Row],[Total Spend]]/SUM(Table3[[#This Row],[Column2]:[Column18]])</f>
        <v>0.53163211057947901</v>
      </c>
    </row>
    <row r="719" spans="1:56" ht="28.5">
      <c r="A719" s="87" t="s">
        <v>793</v>
      </c>
      <c r="B719" s="87"/>
      <c r="C719" s="87"/>
      <c r="D719" s="85">
        <v>45566</v>
      </c>
      <c r="E719" s="85" t="s">
        <v>58</v>
      </c>
      <c r="F719" s="84">
        <f>INDEX(Definitions!$G$13:$G$17,MATCH(Table3[[#This Row],[Propensity to buy/ buyer readiness]],Definitions!$A$13:$A$17,0))</f>
        <v>50000</v>
      </c>
      <c r="G719" s="86">
        <v>5</v>
      </c>
      <c r="H719" s="86">
        <v>4</v>
      </c>
      <c r="I719" s="86">
        <v>2</v>
      </c>
      <c r="J719" s="86">
        <v>4</v>
      </c>
      <c r="K719" s="86">
        <v>3</v>
      </c>
      <c r="L719" s="86">
        <f>SUM(Table3[[#This Row],[Strategic priority segment]:[Propensity to buy/ buyer readiness]])</f>
        <v>18</v>
      </c>
      <c r="M719" s="86" t="s">
        <v>191</v>
      </c>
      <c r="N719" s="84" t="s">
        <v>135</v>
      </c>
      <c r="O719" s="87" t="s">
        <v>76</v>
      </c>
      <c r="P719" s="87"/>
      <c r="Q719" s="87"/>
      <c r="R719" s="84"/>
      <c r="S719" s="87"/>
      <c r="T719" s="87"/>
      <c r="U719" s="84">
        <v>0</v>
      </c>
      <c r="V719" s="84">
        <v>0</v>
      </c>
      <c r="W719" s="84">
        <v>0</v>
      </c>
      <c r="X719" s="84">
        <v>0</v>
      </c>
      <c r="Y719" s="84">
        <v>0</v>
      </c>
      <c r="Z719" s="84">
        <v>0</v>
      </c>
      <c r="AA719" s="84">
        <v>0</v>
      </c>
      <c r="AB719" s="84">
        <v>0</v>
      </c>
      <c r="AC719" s="84">
        <v>0</v>
      </c>
      <c r="AD719" s="84">
        <v>0</v>
      </c>
      <c r="AE719" s="84">
        <v>0</v>
      </c>
      <c r="AF719" s="84">
        <v>0</v>
      </c>
      <c r="AG719" s="84">
        <v>0</v>
      </c>
      <c r="AH719" s="84">
        <v>1</v>
      </c>
      <c r="AI719" s="84">
        <v>1</v>
      </c>
      <c r="AJ719" s="84">
        <v>1</v>
      </c>
      <c r="AK719" s="84">
        <v>1</v>
      </c>
      <c r="AL719" s="84" cm="1">
        <f t="array" ref="AL7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19" s="84" cm="1">
        <f t="array" ref="AM7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19" s="84" cm="1">
        <f t="array" ref="AN7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19" s="84" cm="1">
        <f t="array" ref="AO7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19" s="84" cm="1">
        <f t="array" ref="AP7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19" s="84" cm="1">
        <f t="array" ref="AQ7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19" s="84" cm="1">
        <f t="array" ref="AR7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19" s="84" cm="1">
        <f t="array" ref="AS7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19" s="84" cm="1">
        <f t="array" ref="AT7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19" s="84" cm="1">
        <f t="array" ref="AU7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19" s="84" cm="1">
        <f t="array" ref="AV7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19" s="84" cm="1">
        <f t="array" ref="AW7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19" s="84" cm="1">
        <f t="array" ref="AX7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19" s="84" cm="1">
        <f t="array" ref="AY7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19" s="84" cm="1">
        <f t="array" ref="AZ7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19" s="84" cm="1">
        <f t="array" ref="BA7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19" s="84" cm="1">
        <f t="array" ref="BB7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19" s="84">
        <f>IF(SUM(Table3[[#This Row],[Column2]:[Column18]])&gt;Table3[[#This Row],[Column19]],Table3[[#This Row],[Column19]],SUM(Table3[[#This Row],[Column2]:[Column18]]))</f>
        <v>50000</v>
      </c>
      <c r="BD719" s="2">
        <f>Table3[[#This Row],[Total Spend]]/SUM(Table3[[#This Row],[Column2]:[Column18]])</f>
        <v>0.77700077700077697</v>
      </c>
    </row>
    <row r="720" spans="1:56">
      <c r="A720" s="84" t="s">
        <v>794</v>
      </c>
      <c r="B720" s="84"/>
      <c r="C720" s="84" t="s">
        <v>57</v>
      </c>
      <c r="D720" s="85">
        <v>45566</v>
      </c>
      <c r="E720" s="85" t="s">
        <v>92</v>
      </c>
      <c r="F720" s="84">
        <f>INDEX(Definitions!$G$13:$G$17,MATCH(Table3[[#This Row],[Propensity to buy/ buyer readiness]],Definitions!$A$13:$A$17,0))</f>
        <v>50000</v>
      </c>
      <c r="G720" s="86">
        <v>5</v>
      </c>
      <c r="H720" s="86">
        <v>4</v>
      </c>
      <c r="I720" s="86">
        <v>3</v>
      </c>
      <c r="J720" s="86">
        <v>3</v>
      </c>
      <c r="K720" s="86">
        <v>3</v>
      </c>
      <c r="L720" s="86">
        <f>SUM(Table3[[#This Row],[Strategic priority segment]:[Propensity to buy/ buyer readiness]])</f>
        <v>18</v>
      </c>
      <c r="M720" s="86" t="s">
        <v>66</v>
      </c>
      <c r="N720" s="84" t="s">
        <v>62</v>
      </c>
      <c r="O720" s="84"/>
      <c r="P720" s="87"/>
      <c r="Q720" s="87"/>
      <c r="R720" s="84"/>
      <c r="S720" s="87"/>
      <c r="T720" s="87"/>
      <c r="U720" s="84">
        <v>1</v>
      </c>
      <c r="V720" s="84">
        <v>0</v>
      </c>
      <c r="W720" s="84">
        <v>0</v>
      </c>
      <c r="X720" s="84">
        <v>0</v>
      </c>
      <c r="Y720" s="84">
        <v>0</v>
      </c>
      <c r="Z720" s="84">
        <v>0</v>
      </c>
      <c r="AA720" s="84">
        <v>0</v>
      </c>
      <c r="AB720" s="84">
        <v>0</v>
      </c>
      <c r="AC720" s="84">
        <v>0</v>
      </c>
      <c r="AD720" s="84">
        <v>1</v>
      </c>
      <c r="AE720" s="84">
        <v>1</v>
      </c>
      <c r="AF720" s="84">
        <v>1</v>
      </c>
      <c r="AG720" s="84">
        <v>1</v>
      </c>
      <c r="AH720" s="84">
        <v>0</v>
      </c>
      <c r="AI720" s="84">
        <v>0</v>
      </c>
      <c r="AJ720" s="84">
        <v>0</v>
      </c>
      <c r="AK720" s="84">
        <v>0</v>
      </c>
      <c r="AL720" s="84" cm="1">
        <f t="array" ref="AL7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20" s="84" cm="1">
        <f t="array" ref="AM7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0" s="84" cm="1">
        <f t="array" ref="AN7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0" s="84" cm="1">
        <f t="array" ref="AO7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0" s="84" cm="1">
        <f t="array" ref="AP7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0" s="84" cm="1">
        <f t="array" ref="AQ7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0" s="84" cm="1">
        <f t="array" ref="AR7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0" s="84" cm="1">
        <f t="array" ref="AS7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0" s="84" cm="1">
        <f t="array" ref="AT7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0" s="84" cm="1">
        <f t="array" ref="AU7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20" s="84" cm="1">
        <f t="array" ref="AV7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20" s="84" cm="1">
        <f t="array" ref="AW7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20" s="84" cm="1">
        <f t="array" ref="AX7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20" s="84" cm="1">
        <f t="array" ref="AY7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20" s="84" cm="1">
        <f t="array" ref="AZ7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20" s="84" cm="1">
        <f t="array" ref="BA7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20" s="84" cm="1">
        <f t="array" ref="BB7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20" s="84">
        <f>IF(SUM(Table3[[#This Row],[Column2]:[Column18]])&gt;Table3[[#This Row],[Column19]],Table3[[#This Row],[Column19]],SUM(Table3[[#This Row],[Column2]:[Column18]]))</f>
        <v>50000</v>
      </c>
      <c r="BD720" s="2">
        <f>Table3[[#This Row],[Total Spend]]/SUM(Table3[[#This Row],[Column2]:[Column18]])</f>
        <v>0.53163211057947901</v>
      </c>
    </row>
    <row r="721" spans="1:56">
      <c r="A721" s="87" t="s">
        <v>795</v>
      </c>
      <c r="B721" s="87"/>
      <c r="C721" s="87"/>
      <c r="D721" s="85">
        <v>45566</v>
      </c>
      <c r="E721" s="85" t="s">
        <v>58</v>
      </c>
      <c r="F721" s="84">
        <f>INDEX(Definitions!$G$13:$G$17,MATCH(Table3[[#This Row],[Propensity to buy/ buyer readiness]],Definitions!$A$13:$A$17,0))</f>
        <v>50000</v>
      </c>
      <c r="G721" s="86">
        <v>5</v>
      </c>
      <c r="H721" s="86">
        <v>4</v>
      </c>
      <c r="I721" s="86">
        <v>2</v>
      </c>
      <c r="J721" s="86">
        <v>4</v>
      </c>
      <c r="K721" s="86">
        <v>3</v>
      </c>
      <c r="L721" s="86">
        <f>SUM(Table3[[#This Row],[Strategic priority segment]:[Propensity to buy/ buyer readiness]])</f>
        <v>18</v>
      </c>
      <c r="M721" s="86" t="s">
        <v>191</v>
      </c>
      <c r="N721" s="84" t="s">
        <v>135</v>
      </c>
      <c r="O721" s="87"/>
      <c r="P721" s="87"/>
      <c r="Q721" s="87"/>
      <c r="R721" s="84"/>
      <c r="S721" s="87"/>
      <c r="T721" s="87"/>
      <c r="U721" s="84">
        <v>0</v>
      </c>
      <c r="V721" s="84">
        <v>0</v>
      </c>
      <c r="W721" s="84">
        <v>0</v>
      </c>
      <c r="X721" s="84">
        <v>0</v>
      </c>
      <c r="Y721" s="84">
        <v>0</v>
      </c>
      <c r="Z721" s="84">
        <v>0</v>
      </c>
      <c r="AA721" s="84">
        <v>0</v>
      </c>
      <c r="AB721" s="84">
        <v>0</v>
      </c>
      <c r="AC721" s="84">
        <v>0</v>
      </c>
      <c r="AD721" s="84">
        <v>0</v>
      </c>
      <c r="AE721" s="84">
        <v>0</v>
      </c>
      <c r="AF721" s="84">
        <v>0</v>
      </c>
      <c r="AG721" s="84">
        <v>0</v>
      </c>
      <c r="AH721" s="84">
        <v>1</v>
      </c>
      <c r="AI721" s="84">
        <v>1</v>
      </c>
      <c r="AJ721" s="84">
        <v>1</v>
      </c>
      <c r="AK721" s="84">
        <v>1</v>
      </c>
      <c r="AL721" s="84" cm="1">
        <f t="array" ref="AL7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21" s="84" cm="1">
        <f t="array" ref="AM7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1" s="84" cm="1">
        <f t="array" ref="AN7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1" s="84" cm="1">
        <f t="array" ref="AO7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1" s="84" cm="1">
        <f t="array" ref="AP7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1" s="84" cm="1">
        <f t="array" ref="AQ7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1" s="84" cm="1">
        <f t="array" ref="AR7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1" s="84" cm="1">
        <f t="array" ref="AS7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1" s="84" cm="1">
        <f t="array" ref="AT7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1" s="84" cm="1">
        <f t="array" ref="AU7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21" s="84" cm="1">
        <f t="array" ref="AV7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1" s="84" cm="1">
        <f t="array" ref="AW7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1" s="84" cm="1">
        <f t="array" ref="AX7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1" s="84" cm="1">
        <f t="array" ref="AY7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21" s="84" cm="1">
        <f t="array" ref="AZ7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21" s="84" cm="1">
        <f t="array" ref="BA7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21" s="84" cm="1">
        <f t="array" ref="BB7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21" s="84">
        <f>IF(SUM(Table3[[#This Row],[Column2]:[Column18]])&gt;Table3[[#This Row],[Column19]],Table3[[#This Row],[Column19]],SUM(Table3[[#This Row],[Column2]:[Column18]]))</f>
        <v>50000</v>
      </c>
      <c r="BD721" s="2">
        <f>Table3[[#This Row],[Total Spend]]/SUM(Table3[[#This Row],[Column2]:[Column18]])</f>
        <v>0.77700077700077697</v>
      </c>
    </row>
    <row r="722" spans="1:56" ht="28.5">
      <c r="A722" s="87" t="s">
        <v>796</v>
      </c>
      <c r="B722" s="87"/>
      <c r="C722" s="87"/>
      <c r="D722" s="85">
        <v>45566</v>
      </c>
      <c r="E722" s="85" t="s">
        <v>58</v>
      </c>
      <c r="F722" s="84">
        <f>INDEX(Definitions!$G$13:$G$17,MATCH(Table3[[#This Row],[Propensity to buy/ buyer readiness]],Definitions!$A$13:$A$17,0))</f>
        <v>50000</v>
      </c>
      <c r="G722" s="86">
        <v>5</v>
      </c>
      <c r="H722" s="86">
        <v>4</v>
      </c>
      <c r="I722" s="86">
        <v>2</v>
      </c>
      <c r="J722" s="86">
        <v>4</v>
      </c>
      <c r="K722" s="86">
        <v>3</v>
      </c>
      <c r="L722" s="86">
        <f>SUM(Table3[[#This Row],[Strategic priority segment]:[Propensity to buy/ buyer readiness]])</f>
        <v>18</v>
      </c>
      <c r="M722" s="86" t="s">
        <v>191</v>
      </c>
      <c r="N722" s="84" t="s">
        <v>135</v>
      </c>
      <c r="O722" s="87"/>
      <c r="P722" s="87"/>
      <c r="Q722" s="87"/>
      <c r="R722" s="84"/>
      <c r="S722" s="87"/>
      <c r="T722" s="87"/>
      <c r="U722" s="84">
        <v>0</v>
      </c>
      <c r="V722" s="84">
        <v>0</v>
      </c>
      <c r="W722" s="84">
        <v>0</v>
      </c>
      <c r="X722" s="84">
        <v>0</v>
      </c>
      <c r="Y722" s="84">
        <v>0</v>
      </c>
      <c r="Z722" s="84">
        <v>0</v>
      </c>
      <c r="AA722" s="84">
        <v>0</v>
      </c>
      <c r="AB722" s="84">
        <v>0</v>
      </c>
      <c r="AC722" s="84">
        <v>0</v>
      </c>
      <c r="AD722" s="84">
        <v>0</v>
      </c>
      <c r="AE722" s="84">
        <v>0</v>
      </c>
      <c r="AF722" s="84">
        <v>0</v>
      </c>
      <c r="AG722" s="84">
        <v>0</v>
      </c>
      <c r="AH722" s="84">
        <v>1</v>
      </c>
      <c r="AI722" s="84">
        <v>1</v>
      </c>
      <c r="AJ722" s="84">
        <v>1</v>
      </c>
      <c r="AK722" s="84">
        <v>1</v>
      </c>
      <c r="AL722" s="84" cm="1">
        <f t="array" ref="AL7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22" s="84" cm="1">
        <f t="array" ref="AM7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2" s="84" cm="1">
        <f t="array" ref="AN7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2" s="84" cm="1">
        <f t="array" ref="AO7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2" s="84" cm="1">
        <f t="array" ref="AP7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2" s="84" cm="1">
        <f t="array" ref="AQ7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2" s="84" cm="1">
        <f t="array" ref="AR7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2" s="84" cm="1">
        <f t="array" ref="AS7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2" s="84" cm="1">
        <f t="array" ref="AT7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2" s="84" cm="1">
        <f t="array" ref="AU7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22" s="84" cm="1">
        <f t="array" ref="AV7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2" s="84" cm="1">
        <f t="array" ref="AW7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2" s="84" cm="1">
        <f t="array" ref="AX7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2" s="84" cm="1">
        <f t="array" ref="AY7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22" s="84" cm="1">
        <f t="array" ref="AZ7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22" s="84" cm="1">
        <f t="array" ref="BA7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22" s="84" cm="1">
        <f t="array" ref="BB7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22" s="84">
        <f>IF(SUM(Table3[[#This Row],[Column2]:[Column18]])&gt;Table3[[#This Row],[Column19]],Table3[[#This Row],[Column19]],SUM(Table3[[#This Row],[Column2]:[Column18]]))</f>
        <v>50000</v>
      </c>
      <c r="BD722" s="2">
        <f>Table3[[#This Row],[Total Spend]]/SUM(Table3[[#This Row],[Column2]:[Column18]])</f>
        <v>0.77700077700077697</v>
      </c>
    </row>
    <row r="723" spans="1:56">
      <c r="A723" s="84" t="s">
        <v>797</v>
      </c>
      <c r="B723" s="84"/>
      <c r="C723" s="84"/>
      <c r="D723" s="85">
        <v>45566</v>
      </c>
      <c r="E723" s="85" t="s">
        <v>58</v>
      </c>
      <c r="F723" s="84">
        <f>INDEX(Definitions!$G$13:$G$17,MATCH(Table3[[#This Row],[Propensity to buy/ buyer readiness]],Definitions!$A$13:$A$17,0))</f>
        <v>50000</v>
      </c>
      <c r="G723" s="86">
        <v>5</v>
      </c>
      <c r="H723" s="86">
        <v>4</v>
      </c>
      <c r="I723" s="86">
        <v>2</v>
      </c>
      <c r="J723" s="86">
        <v>4</v>
      </c>
      <c r="K723" s="86">
        <v>3</v>
      </c>
      <c r="L723" s="86">
        <f>SUM(Table3[[#This Row],[Strategic priority segment]:[Propensity to buy/ buyer readiness]])</f>
        <v>18</v>
      </c>
      <c r="M723" s="86" t="s">
        <v>191</v>
      </c>
      <c r="N723" s="84" t="s">
        <v>135</v>
      </c>
      <c r="O723" s="87"/>
      <c r="P723" s="87"/>
      <c r="Q723" s="87"/>
      <c r="R723" s="84"/>
      <c r="S723" s="87"/>
      <c r="T723" s="87"/>
      <c r="U723" s="84">
        <v>0</v>
      </c>
      <c r="V723" s="84">
        <v>0</v>
      </c>
      <c r="W723" s="84">
        <v>0</v>
      </c>
      <c r="X723" s="84">
        <v>0</v>
      </c>
      <c r="Y723" s="84">
        <v>0</v>
      </c>
      <c r="Z723" s="84">
        <v>0</v>
      </c>
      <c r="AA723" s="84">
        <v>0</v>
      </c>
      <c r="AB723" s="84">
        <v>0</v>
      </c>
      <c r="AC723" s="84">
        <v>0</v>
      </c>
      <c r="AD723" s="84">
        <v>0</v>
      </c>
      <c r="AE723" s="84">
        <v>0</v>
      </c>
      <c r="AF723" s="84">
        <v>0</v>
      </c>
      <c r="AG723" s="84">
        <v>0</v>
      </c>
      <c r="AH723" s="84">
        <v>1</v>
      </c>
      <c r="AI723" s="84">
        <v>1</v>
      </c>
      <c r="AJ723" s="84">
        <v>1</v>
      </c>
      <c r="AK723" s="84">
        <v>1</v>
      </c>
      <c r="AL723" s="84" cm="1">
        <f t="array" ref="AL7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23" s="84" cm="1">
        <f t="array" ref="AM7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3" s="84" cm="1">
        <f t="array" ref="AN7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3" s="84" cm="1">
        <f t="array" ref="AO7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3" s="84" cm="1">
        <f t="array" ref="AP7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3" s="84" cm="1">
        <f t="array" ref="AQ7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3" s="84" cm="1">
        <f t="array" ref="AR7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3" s="84" cm="1">
        <f t="array" ref="AS7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3" s="84" cm="1">
        <f t="array" ref="AT7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3" s="84" cm="1">
        <f t="array" ref="AU7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23" s="84" cm="1">
        <f t="array" ref="AV7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3" s="84" cm="1">
        <f t="array" ref="AW7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3" s="84" cm="1">
        <f t="array" ref="AX7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3" s="84" cm="1">
        <f t="array" ref="AY7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23" s="84" cm="1">
        <f t="array" ref="AZ7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23" s="84" cm="1">
        <f t="array" ref="BA7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23" s="84" cm="1">
        <f t="array" ref="BB7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23" s="84">
        <f>IF(SUM(Table3[[#This Row],[Column2]:[Column18]])&gt;Table3[[#This Row],[Column19]],Table3[[#This Row],[Column19]],SUM(Table3[[#This Row],[Column2]:[Column18]]))</f>
        <v>50000</v>
      </c>
      <c r="BD723" s="2">
        <f>Table3[[#This Row],[Total Spend]]/SUM(Table3[[#This Row],[Column2]:[Column18]])</f>
        <v>0.77700077700077697</v>
      </c>
    </row>
    <row r="724" spans="1:56">
      <c r="A724" s="88" t="s">
        <v>798</v>
      </c>
      <c r="B724" s="88"/>
      <c r="C724" s="88"/>
      <c r="D724" s="85">
        <v>45566</v>
      </c>
      <c r="E724" s="85" t="s">
        <v>92</v>
      </c>
      <c r="F724" s="84">
        <f>INDEX(Definitions!$G$13:$G$17,MATCH(Table3[[#This Row],[Propensity to buy/ buyer readiness]],Definitions!$A$13:$A$17,0))</f>
        <v>50000</v>
      </c>
      <c r="G724" s="86">
        <v>5</v>
      </c>
      <c r="H724" s="86">
        <v>4</v>
      </c>
      <c r="I724" s="86">
        <v>3</v>
      </c>
      <c r="J724" s="86">
        <v>3</v>
      </c>
      <c r="K724" s="86">
        <v>3</v>
      </c>
      <c r="L724" s="86">
        <f>SUM(Table3[[#This Row],[Strategic priority segment]:[Propensity to buy/ buyer readiness]])</f>
        <v>18</v>
      </c>
      <c r="M724" s="86" t="s">
        <v>66</v>
      </c>
      <c r="N724" s="84" t="s">
        <v>62</v>
      </c>
      <c r="O724" s="84" t="s">
        <v>63</v>
      </c>
      <c r="P724" s="87"/>
      <c r="Q724" s="87"/>
      <c r="R724" s="84"/>
      <c r="S724" s="87"/>
      <c r="T724" s="87"/>
      <c r="U724" s="84">
        <v>1</v>
      </c>
      <c r="V724" s="84">
        <v>0</v>
      </c>
      <c r="W724" s="84">
        <v>1</v>
      </c>
      <c r="X724" s="84">
        <v>0</v>
      </c>
      <c r="Y724" s="84">
        <v>0</v>
      </c>
      <c r="Z724" s="84">
        <v>0</v>
      </c>
      <c r="AA724" s="84">
        <v>1</v>
      </c>
      <c r="AB724" s="84">
        <v>0</v>
      </c>
      <c r="AC724" s="84">
        <v>0</v>
      </c>
      <c r="AD724" s="84">
        <v>1</v>
      </c>
      <c r="AE724" s="84">
        <v>1</v>
      </c>
      <c r="AF724" s="84">
        <v>1</v>
      </c>
      <c r="AG724" s="84">
        <v>1</v>
      </c>
      <c r="AH724" s="84">
        <v>0</v>
      </c>
      <c r="AI724" s="84">
        <v>0</v>
      </c>
      <c r="AJ724" s="84">
        <v>0</v>
      </c>
      <c r="AK724" s="84">
        <v>0</v>
      </c>
      <c r="AL724" s="84" cm="1">
        <f t="array" ref="AL7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24" s="84" cm="1">
        <f t="array" ref="AM7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4" s="84" cm="1">
        <f t="array" ref="AN7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24" s="84" cm="1">
        <f t="array" ref="AO7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4" s="84" cm="1">
        <f t="array" ref="AP7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4" s="84" cm="1">
        <f t="array" ref="AQ7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4" s="84" cm="1">
        <f t="array" ref="AR7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24" s="84" cm="1">
        <f t="array" ref="AS7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4" s="84" cm="1">
        <f t="array" ref="AT7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4" s="84" cm="1">
        <f t="array" ref="AU7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24" s="84" cm="1">
        <f t="array" ref="AV7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24" s="84" cm="1">
        <f t="array" ref="AW7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24" s="84" cm="1">
        <f t="array" ref="AX7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24" s="84" cm="1">
        <f t="array" ref="AY7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24" s="84" cm="1">
        <f t="array" ref="AZ7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24" s="84" cm="1">
        <f t="array" ref="BA7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24" s="84" cm="1">
        <f t="array" ref="BB7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24" s="84">
        <f>IF(SUM(Table3[[#This Row],[Column2]:[Column18]])&gt;Table3[[#This Row],[Column19]],Table3[[#This Row],[Column19]],SUM(Table3[[#This Row],[Column2]:[Column18]]))</f>
        <v>50000</v>
      </c>
      <c r="BD724" s="2">
        <f>Table3[[#This Row],[Total Spend]]/SUM(Table3[[#This Row],[Column2]:[Column18]])</f>
        <v>0.30778701138811942</v>
      </c>
    </row>
    <row r="725" spans="1:56">
      <c r="A725" s="87" t="s">
        <v>799</v>
      </c>
      <c r="B725" s="87"/>
      <c r="C725" s="87"/>
      <c r="D725" s="85">
        <v>45566</v>
      </c>
      <c r="E725" s="85" t="s">
        <v>58</v>
      </c>
      <c r="F725" s="84">
        <f>INDEX(Definitions!$G$13:$G$17,MATCH(Table3[[#This Row],[Propensity to buy/ buyer readiness]],Definitions!$A$13:$A$17,0))</f>
        <v>50000</v>
      </c>
      <c r="G725" s="86">
        <v>5</v>
      </c>
      <c r="H725" s="86">
        <v>4</v>
      </c>
      <c r="I725" s="86">
        <v>2</v>
      </c>
      <c r="J725" s="86">
        <v>4</v>
      </c>
      <c r="K725" s="86">
        <v>3</v>
      </c>
      <c r="L725" s="86">
        <f>SUM(Table3[[#This Row],[Strategic priority segment]:[Propensity to buy/ buyer readiness]])</f>
        <v>18</v>
      </c>
      <c r="M725" s="86" t="s">
        <v>191</v>
      </c>
      <c r="N725" s="84" t="s">
        <v>135</v>
      </c>
      <c r="O725" s="87"/>
      <c r="P725" s="87"/>
      <c r="Q725" s="87"/>
      <c r="R725" s="84"/>
      <c r="S725" s="87"/>
      <c r="T725" s="87"/>
      <c r="U725" s="84">
        <v>0</v>
      </c>
      <c r="V725" s="84">
        <v>0</v>
      </c>
      <c r="W725" s="84">
        <v>0</v>
      </c>
      <c r="X725" s="84">
        <v>0</v>
      </c>
      <c r="Y725" s="84">
        <v>0</v>
      </c>
      <c r="Z725" s="84">
        <v>0</v>
      </c>
      <c r="AA725" s="84">
        <v>0</v>
      </c>
      <c r="AB725" s="84">
        <v>0</v>
      </c>
      <c r="AC725" s="84">
        <v>0</v>
      </c>
      <c r="AD725" s="84">
        <v>0</v>
      </c>
      <c r="AE725" s="84">
        <v>0</v>
      </c>
      <c r="AF725" s="84">
        <v>0</v>
      </c>
      <c r="AG725" s="84">
        <v>0</v>
      </c>
      <c r="AH725" s="84">
        <v>1</v>
      </c>
      <c r="AI725" s="84">
        <v>1</v>
      </c>
      <c r="AJ725" s="84">
        <v>1</v>
      </c>
      <c r="AK725" s="84">
        <v>1</v>
      </c>
      <c r="AL725" s="84" cm="1">
        <f t="array" ref="AL7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25" s="84" cm="1">
        <f t="array" ref="AM7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5" s="84" cm="1">
        <f t="array" ref="AN7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5" s="84" cm="1">
        <f t="array" ref="AO7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5" s="84" cm="1">
        <f t="array" ref="AP7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5" s="84" cm="1">
        <f t="array" ref="AQ7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5" s="84" cm="1">
        <f t="array" ref="AR7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5" s="84" cm="1">
        <f t="array" ref="AS7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5" s="84" cm="1">
        <f t="array" ref="AT7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5" s="84" cm="1">
        <f t="array" ref="AU7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25" s="84" cm="1">
        <f t="array" ref="AV7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5" s="84" cm="1">
        <f t="array" ref="AW7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5" s="84" cm="1">
        <f t="array" ref="AX7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5" s="84" cm="1">
        <f t="array" ref="AY7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25" s="84" cm="1">
        <f t="array" ref="AZ7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25" s="84" cm="1">
        <f t="array" ref="BA7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25" s="84" cm="1">
        <f t="array" ref="BB7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25" s="84">
        <f>IF(SUM(Table3[[#This Row],[Column2]:[Column18]])&gt;Table3[[#This Row],[Column19]],Table3[[#This Row],[Column19]],SUM(Table3[[#This Row],[Column2]:[Column18]]))</f>
        <v>50000</v>
      </c>
      <c r="BD725" s="2">
        <f>Table3[[#This Row],[Total Spend]]/SUM(Table3[[#This Row],[Column2]:[Column18]])</f>
        <v>0.77700077700077697</v>
      </c>
    </row>
    <row r="726" spans="1:56">
      <c r="A726" s="87" t="s">
        <v>800</v>
      </c>
      <c r="B726" s="87"/>
      <c r="C726" s="87"/>
      <c r="D726" s="85">
        <v>45566</v>
      </c>
      <c r="E726" s="85" t="s">
        <v>58</v>
      </c>
      <c r="F726" s="84">
        <f>INDEX(Definitions!$G$13:$G$17,MATCH(Table3[[#This Row],[Propensity to buy/ buyer readiness]],Definitions!$A$13:$A$17,0))</f>
        <v>50000</v>
      </c>
      <c r="G726" s="86">
        <v>5</v>
      </c>
      <c r="H726" s="86">
        <v>4</v>
      </c>
      <c r="I726" s="86">
        <v>2</v>
      </c>
      <c r="J726" s="86">
        <v>4</v>
      </c>
      <c r="K726" s="86">
        <v>3</v>
      </c>
      <c r="L726" s="86">
        <f>SUM(Table3[[#This Row],[Strategic priority segment]:[Propensity to buy/ buyer readiness]])</f>
        <v>18</v>
      </c>
      <c r="M726" s="86" t="s">
        <v>191</v>
      </c>
      <c r="N726" s="84" t="s">
        <v>135</v>
      </c>
      <c r="O726" s="87"/>
      <c r="P726" s="87"/>
      <c r="Q726" s="87"/>
      <c r="R726" s="84"/>
      <c r="S726" s="87"/>
      <c r="T726" s="87"/>
      <c r="U726" s="84">
        <v>0</v>
      </c>
      <c r="V726" s="84">
        <v>0</v>
      </c>
      <c r="W726" s="84">
        <v>0</v>
      </c>
      <c r="X726" s="84">
        <v>0</v>
      </c>
      <c r="Y726" s="84">
        <v>0</v>
      </c>
      <c r="Z726" s="84">
        <v>0</v>
      </c>
      <c r="AA726" s="84">
        <v>0</v>
      </c>
      <c r="AB726" s="84">
        <v>0</v>
      </c>
      <c r="AC726" s="84">
        <v>0</v>
      </c>
      <c r="AD726" s="84">
        <v>0</v>
      </c>
      <c r="AE726" s="84">
        <v>0</v>
      </c>
      <c r="AF726" s="84">
        <v>0</v>
      </c>
      <c r="AG726" s="84">
        <v>0</v>
      </c>
      <c r="AH726" s="84">
        <v>1</v>
      </c>
      <c r="AI726" s="84">
        <v>1</v>
      </c>
      <c r="AJ726" s="84">
        <v>1</v>
      </c>
      <c r="AK726" s="84">
        <v>1</v>
      </c>
      <c r="AL726" s="84" cm="1">
        <f t="array" ref="AL7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26" s="84" cm="1">
        <f t="array" ref="AM7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6" s="84" cm="1">
        <f t="array" ref="AN7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6" s="84" cm="1">
        <f t="array" ref="AO7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6" s="84" cm="1">
        <f t="array" ref="AP7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6" s="84" cm="1">
        <f t="array" ref="AQ7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6" s="84" cm="1">
        <f t="array" ref="AR7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6" s="84" cm="1">
        <f t="array" ref="AS7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6" s="84" cm="1">
        <f t="array" ref="AT7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6" s="84" cm="1">
        <f t="array" ref="AU7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26" s="84" cm="1">
        <f t="array" ref="AV7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6" s="84" cm="1">
        <f t="array" ref="AW7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6" s="84" cm="1">
        <f t="array" ref="AX7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6" s="84" cm="1">
        <f t="array" ref="AY7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26" s="84" cm="1">
        <f t="array" ref="AZ7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26" s="84" cm="1">
        <f t="array" ref="BA7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26" s="84" cm="1">
        <f t="array" ref="BB7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26" s="84">
        <f>IF(SUM(Table3[[#This Row],[Column2]:[Column18]])&gt;Table3[[#This Row],[Column19]],Table3[[#This Row],[Column19]],SUM(Table3[[#This Row],[Column2]:[Column18]]))</f>
        <v>50000</v>
      </c>
      <c r="BD726" s="2">
        <f>Table3[[#This Row],[Total Spend]]/SUM(Table3[[#This Row],[Column2]:[Column18]])</f>
        <v>0.77700077700077697</v>
      </c>
    </row>
    <row r="727" spans="1:56" ht="28.5">
      <c r="A727" s="87" t="s">
        <v>801</v>
      </c>
      <c r="B727" s="87"/>
      <c r="C727" s="87" t="s">
        <v>57</v>
      </c>
      <c r="D727" s="85">
        <v>45566</v>
      </c>
      <c r="E727" s="85" t="s">
        <v>92</v>
      </c>
      <c r="F727" s="84">
        <f>INDEX(Definitions!$G$13:$G$17,MATCH(Table3[[#This Row],[Propensity to buy/ buyer readiness]],Definitions!$A$13:$A$17,0))</f>
        <v>50000</v>
      </c>
      <c r="G727" s="86">
        <v>5</v>
      </c>
      <c r="H727" s="86">
        <v>4</v>
      </c>
      <c r="I727" s="86">
        <v>3</v>
      </c>
      <c r="J727" s="86">
        <v>3</v>
      </c>
      <c r="K727" s="86">
        <v>3</v>
      </c>
      <c r="L727" s="86">
        <f>SUM(Table3[[#This Row],[Strategic priority segment]:[Propensity to buy/ buyer readiness]])</f>
        <v>18</v>
      </c>
      <c r="M727" s="86" t="s">
        <v>66</v>
      </c>
      <c r="N727" s="84" t="s">
        <v>62</v>
      </c>
      <c r="O727" s="87"/>
      <c r="P727" s="87"/>
      <c r="Q727" s="87"/>
      <c r="R727" s="84"/>
      <c r="S727" s="87"/>
      <c r="T727" s="87"/>
      <c r="U727" s="84">
        <v>1</v>
      </c>
      <c r="V727" s="84">
        <v>0</v>
      </c>
      <c r="W727" s="84">
        <v>0</v>
      </c>
      <c r="X727" s="84">
        <v>0</v>
      </c>
      <c r="Y727" s="84">
        <v>0</v>
      </c>
      <c r="Z727" s="84">
        <v>0</v>
      </c>
      <c r="AA727" s="84">
        <v>0</v>
      </c>
      <c r="AB727" s="84">
        <v>0</v>
      </c>
      <c r="AC727" s="84">
        <v>0</v>
      </c>
      <c r="AD727" s="84">
        <v>1</v>
      </c>
      <c r="AE727" s="84">
        <v>1</v>
      </c>
      <c r="AF727" s="84">
        <v>1</v>
      </c>
      <c r="AG727" s="84">
        <v>1</v>
      </c>
      <c r="AH727" s="84">
        <v>0</v>
      </c>
      <c r="AI727" s="84">
        <v>0</v>
      </c>
      <c r="AJ727" s="84">
        <v>0</v>
      </c>
      <c r="AK727" s="84">
        <v>0</v>
      </c>
      <c r="AL727" s="84" cm="1">
        <f t="array" ref="AL7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27" s="84" cm="1">
        <f t="array" ref="AM7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7" s="84" cm="1">
        <f t="array" ref="AN7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7" s="84" cm="1">
        <f t="array" ref="AO7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7" s="84" cm="1">
        <f t="array" ref="AP7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7" s="84" cm="1">
        <f t="array" ref="AQ7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7" s="84" cm="1">
        <f t="array" ref="AR7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7" s="84" cm="1">
        <f t="array" ref="AS7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7" s="84" cm="1">
        <f t="array" ref="AT7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7" s="84" cm="1">
        <f t="array" ref="AU7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27" s="84" cm="1">
        <f t="array" ref="AV7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27" s="84" cm="1">
        <f t="array" ref="AW7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27" s="84" cm="1">
        <f t="array" ref="AX7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27" s="84" cm="1">
        <f t="array" ref="AY7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27" s="84" cm="1">
        <f t="array" ref="AZ7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27" s="84" cm="1">
        <f t="array" ref="BA7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27" s="84" cm="1">
        <f t="array" ref="BB7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27" s="84">
        <f>IF(SUM(Table3[[#This Row],[Column2]:[Column18]])&gt;Table3[[#This Row],[Column19]],Table3[[#This Row],[Column19]],SUM(Table3[[#This Row],[Column2]:[Column18]]))</f>
        <v>50000</v>
      </c>
      <c r="BD727" s="2">
        <f>Table3[[#This Row],[Total Spend]]/SUM(Table3[[#This Row],[Column2]:[Column18]])</f>
        <v>0.53163211057947901</v>
      </c>
    </row>
    <row r="728" spans="1:56">
      <c r="A728" s="84" t="s">
        <v>802</v>
      </c>
      <c r="B728" s="84"/>
      <c r="C728" s="84" t="s">
        <v>57</v>
      </c>
      <c r="D728" s="85">
        <v>45566</v>
      </c>
      <c r="E728" s="85" t="s">
        <v>92</v>
      </c>
      <c r="F728" s="84">
        <f>INDEX(Definitions!$G$13:$G$17,MATCH(Table3[[#This Row],[Propensity to buy/ buyer readiness]],Definitions!$A$13:$A$17,0))</f>
        <v>50000</v>
      </c>
      <c r="G728" s="86">
        <v>5</v>
      </c>
      <c r="H728" s="86">
        <v>4</v>
      </c>
      <c r="I728" s="86">
        <v>3</v>
      </c>
      <c r="J728" s="86">
        <v>3</v>
      </c>
      <c r="K728" s="86">
        <v>3</v>
      </c>
      <c r="L728" s="86">
        <f>SUM(Table3[[#This Row],[Strategic priority segment]:[Propensity to buy/ buyer readiness]])</f>
        <v>18</v>
      </c>
      <c r="M728" s="86" t="s">
        <v>66</v>
      </c>
      <c r="N728" s="84" t="s">
        <v>62</v>
      </c>
      <c r="O728" s="87"/>
      <c r="P728" s="87"/>
      <c r="Q728" s="87"/>
      <c r="R728" s="84"/>
      <c r="S728" s="87"/>
      <c r="T728" s="87"/>
      <c r="U728" s="84">
        <v>1</v>
      </c>
      <c r="V728" s="84">
        <v>0</v>
      </c>
      <c r="W728" s="84">
        <v>0</v>
      </c>
      <c r="X728" s="84">
        <v>0</v>
      </c>
      <c r="Y728" s="84">
        <v>0</v>
      </c>
      <c r="Z728" s="84">
        <v>0</v>
      </c>
      <c r="AA728" s="84">
        <v>0</v>
      </c>
      <c r="AB728" s="84">
        <v>0</v>
      </c>
      <c r="AC728" s="84">
        <v>0</v>
      </c>
      <c r="AD728" s="84">
        <v>1</v>
      </c>
      <c r="AE728" s="84">
        <v>1</v>
      </c>
      <c r="AF728" s="84">
        <v>1</v>
      </c>
      <c r="AG728" s="84">
        <v>1</v>
      </c>
      <c r="AH728" s="84">
        <v>0</v>
      </c>
      <c r="AI728" s="84">
        <v>0</v>
      </c>
      <c r="AJ728" s="84">
        <v>0</v>
      </c>
      <c r="AK728" s="84">
        <v>0</v>
      </c>
      <c r="AL728" s="84" cm="1">
        <f t="array" ref="AL7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28" s="84" cm="1">
        <f t="array" ref="AM7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8" s="84" cm="1">
        <f t="array" ref="AN7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8" s="84" cm="1">
        <f t="array" ref="AO7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8" s="84" cm="1">
        <f t="array" ref="AP7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8" s="84" cm="1">
        <f t="array" ref="AQ7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8" s="84" cm="1">
        <f t="array" ref="AR7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8" s="84" cm="1">
        <f t="array" ref="AS7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8" s="84" cm="1">
        <f t="array" ref="AT7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8" s="84" cm="1">
        <f t="array" ref="AU7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28" s="84" cm="1">
        <f t="array" ref="AV7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28" s="84" cm="1">
        <f t="array" ref="AW7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28" s="84" cm="1">
        <f t="array" ref="AX7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28" s="84" cm="1">
        <f t="array" ref="AY7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28" s="84" cm="1">
        <f t="array" ref="AZ7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28" s="84" cm="1">
        <f t="array" ref="BA7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28" s="84" cm="1">
        <f t="array" ref="BB7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28" s="84">
        <f>IF(SUM(Table3[[#This Row],[Column2]:[Column18]])&gt;Table3[[#This Row],[Column19]],Table3[[#This Row],[Column19]],SUM(Table3[[#This Row],[Column2]:[Column18]]))</f>
        <v>50000</v>
      </c>
      <c r="BD728" s="2">
        <f>Table3[[#This Row],[Total Spend]]/SUM(Table3[[#This Row],[Column2]:[Column18]])</f>
        <v>0.53163211057947901</v>
      </c>
    </row>
    <row r="729" spans="1:56">
      <c r="A729" s="87" t="s">
        <v>803</v>
      </c>
      <c r="B729" s="87"/>
      <c r="C729" s="87"/>
      <c r="D729" s="85">
        <v>45566</v>
      </c>
      <c r="E729" s="85" t="s">
        <v>58</v>
      </c>
      <c r="F729" s="84">
        <f>INDEX(Definitions!$G$13:$G$17,MATCH(Table3[[#This Row],[Propensity to buy/ buyer readiness]],Definitions!$A$13:$A$17,0))</f>
        <v>50000</v>
      </c>
      <c r="G729" s="86">
        <v>5</v>
      </c>
      <c r="H729" s="86">
        <v>4</v>
      </c>
      <c r="I729" s="86">
        <v>2</v>
      </c>
      <c r="J729" s="86">
        <v>4</v>
      </c>
      <c r="K729" s="86">
        <v>3</v>
      </c>
      <c r="L729" s="86">
        <f>SUM(Table3[[#This Row],[Strategic priority segment]:[Propensity to buy/ buyer readiness]])</f>
        <v>18</v>
      </c>
      <c r="M729" s="86" t="s">
        <v>191</v>
      </c>
      <c r="N729" s="84" t="s">
        <v>135</v>
      </c>
      <c r="O729" s="87"/>
      <c r="P729" s="87"/>
      <c r="Q729" s="87"/>
      <c r="R729" s="84"/>
      <c r="S729" s="87"/>
      <c r="T729" s="87"/>
      <c r="U729" s="84">
        <v>0</v>
      </c>
      <c r="V729" s="84">
        <v>0</v>
      </c>
      <c r="W729" s="84">
        <v>0</v>
      </c>
      <c r="X729" s="84">
        <v>0</v>
      </c>
      <c r="Y729" s="84">
        <v>0</v>
      </c>
      <c r="Z729" s="84">
        <v>0</v>
      </c>
      <c r="AA729" s="84">
        <v>0</v>
      </c>
      <c r="AB729" s="84">
        <v>0</v>
      </c>
      <c r="AC729" s="84">
        <v>0</v>
      </c>
      <c r="AD729" s="84">
        <v>0</v>
      </c>
      <c r="AE729" s="84">
        <v>0</v>
      </c>
      <c r="AF729" s="84">
        <v>0</v>
      </c>
      <c r="AG729" s="84">
        <v>0</v>
      </c>
      <c r="AH729" s="84">
        <v>1</v>
      </c>
      <c r="AI729" s="84">
        <v>1</v>
      </c>
      <c r="AJ729" s="84">
        <v>1</v>
      </c>
      <c r="AK729" s="84">
        <v>1</v>
      </c>
      <c r="AL729" s="84" cm="1">
        <f t="array" ref="AL7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29" s="84" cm="1">
        <f t="array" ref="AM7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29" s="84" cm="1">
        <f t="array" ref="AN7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29" s="84" cm="1">
        <f t="array" ref="AO7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29" s="84" cm="1">
        <f t="array" ref="AP7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29" s="84" cm="1">
        <f t="array" ref="AQ7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29" s="84" cm="1">
        <f t="array" ref="AR7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29" s="84" cm="1">
        <f t="array" ref="AS7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29" s="84" cm="1">
        <f t="array" ref="AT7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29" s="84" cm="1">
        <f t="array" ref="AU7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29" s="84" cm="1">
        <f t="array" ref="AV7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29" s="84" cm="1">
        <f t="array" ref="AW7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29" s="84" cm="1">
        <f t="array" ref="AX7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29" s="84" cm="1">
        <f t="array" ref="AY7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29" s="84" cm="1">
        <f t="array" ref="AZ7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29" s="84" cm="1">
        <f t="array" ref="BA7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29" s="84" cm="1">
        <f t="array" ref="BB7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29" s="84">
        <f>IF(SUM(Table3[[#This Row],[Column2]:[Column18]])&gt;Table3[[#This Row],[Column19]],Table3[[#This Row],[Column19]],SUM(Table3[[#This Row],[Column2]:[Column18]]))</f>
        <v>50000</v>
      </c>
      <c r="BD729" s="2">
        <f>Table3[[#This Row],[Total Spend]]/SUM(Table3[[#This Row],[Column2]:[Column18]])</f>
        <v>0.77700077700077697</v>
      </c>
    </row>
    <row r="730" spans="1:56">
      <c r="A730" s="87" t="s">
        <v>804</v>
      </c>
      <c r="B730" s="87"/>
      <c r="C730" s="87"/>
      <c r="D730" s="85">
        <v>45566</v>
      </c>
      <c r="E730" s="85" t="s">
        <v>58</v>
      </c>
      <c r="F730" s="84">
        <f>INDEX(Definitions!$G$13:$G$17,MATCH(Table3[[#This Row],[Propensity to buy/ buyer readiness]],Definitions!$A$13:$A$17,0))</f>
        <v>50000</v>
      </c>
      <c r="G730" s="86">
        <v>5</v>
      </c>
      <c r="H730" s="86">
        <v>4</v>
      </c>
      <c r="I730" s="86">
        <v>2</v>
      </c>
      <c r="J730" s="86">
        <v>4</v>
      </c>
      <c r="K730" s="86">
        <v>3</v>
      </c>
      <c r="L730" s="86">
        <f>SUM(Table3[[#This Row],[Strategic priority segment]:[Propensity to buy/ buyer readiness]])</f>
        <v>18</v>
      </c>
      <c r="M730" s="86" t="s">
        <v>191</v>
      </c>
      <c r="N730" s="84" t="s">
        <v>135</v>
      </c>
      <c r="O730" s="87" t="s">
        <v>76</v>
      </c>
      <c r="P730" s="87"/>
      <c r="Q730" s="87"/>
      <c r="R730" s="84"/>
      <c r="S730" s="87"/>
      <c r="T730" s="87"/>
      <c r="U730" s="84">
        <v>0</v>
      </c>
      <c r="V730" s="84">
        <v>0</v>
      </c>
      <c r="W730" s="84">
        <v>0</v>
      </c>
      <c r="X730" s="84">
        <v>0</v>
      </c>
      <c r="Y730" s="84">
        <v>0</v>
      </c>
      <c r="Z730" s="84">
        <v>0</v>
      </c>
      <c r="AA730" s="84">
        <v>0</v>
      </c>
      <c r="AB730" s="84">
        <v>0</v>
      </c>
      <c r="AC730" s="84">
        <v>0</v>
      </c>
      <c r="AD730" s="84">
        <v>0</v>
      </c>
      <c r="AE730" s="84">
        <v>0</v>
      </c>
      <c r="AF730" s="84">
        <v>0</v>
      </c>
      <c r="AG730" s="84">
        <v>0</v>
      </c>
      <c r="AH730" s="84">
        <v>1</v>
      </c>
      <c r="AI730" s="84">
        <v>1</v>
      </c>
      <c r="AJ730" s="84">
        <v>1</v>
      </c>
      <c r="AK730" s="84">
        <v>1</v>
      </c>
      <c r="AL730" s="84" cm="1">
        <f t="array" ref="AL7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30" s="84" cm="1">
        <f t="array" ref="AM7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0" s="84" cm="1">
        <f t="array" ref="AN7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0" s="84" cm="1">
        <f t="array" ref="AO7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0" s="84" cm="1">
        <f t="array" ref="AP7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0" s="84" cm="1">
        <f t="array" ref="AQ7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0" s="84" cm="1">
        <f t="array" ref="AR7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0" s="84" cm="1">
        <f t="array" ref="AS7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0" s="84" cm="1">
        <f t="array" ref="AT7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0" s="84" cm="1">
        <f t="array" ref="AU7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30" s="84" cm="1">
        <f t="array" ref="AV7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0" s="84" cm="1">
        <f t="array" ref="AW7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30" s="84" cm="1">
        <f t="array" ref="AX7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0" s="84" cm="1">
        <f t="array" ref="AY7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30" s="84" cm="1">
        <f t="array" ref="AZ7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30" s="84" cm="1">
        <f t="array" ref="BA7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30" s="84" cm="1">
        <f t="array" ref="BB7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30" s="84">
        <f>IF(SUM(Table3[[#This Row],[Column2]:[Column18]])&gt;Table3[[#This Row],[Column19]],Table3[[#This Row],[Column19]],SUM(Table3[[#This Row],[Column2]:[Column18]]))</f>
        <v>50000</v>
      </c>
      <c r="BD730" s="2">
        <f>Table3[[#This Row],[Total Spend]]/SUM(Table3[[#This Row],[Column2]:[Column18]])</f>
        <v>0.77700077700077697</v>
      </c>
    </row>
    <row r="731" spans="1:56">
      <c r="A731" s="87" t="s">
        <v>805</v>
      </c>
      <c r="B731" s="87"/>
      <c r="C731" s="87"/>
      <c r="D731" s="85">
        <v>45566</v>
      </c>
      <c r="E731" s="85" t="s">
        <v>58</v>
      </c>
      <c r="F731" s="84">
        <f>INDEX(Definitions!$G$13:$G$17,MATCH(Table3[[#This Row],[Propensity to buy/ buyer readiness]],Definitions!$A$13:$A$17,0))</f>
        <v>50000</v>
      </c>
      <c r="G731" s="86">
        <v>5</v>
      </c>
      <c r="H731" s="86">
        <v>4</v>
      </c>
      <c r="I731" s="86">
        <v>2</v>
      </c>
      <c r="J731" s="86">
        <v>4</v>
      </c>
      <c r="K731" s="86">
        <v>3</v>
      </c>
      <c r="L731" s="86">
        <f>SUM(Table3[[#This Row],[Strategic priority segment]:[Propensity to buy/ buyer readiness]])</f>
        <v>18</v>
      </c>
      <c r="M731" s="86" t="s">
        <v>191</v>
      </c>
      <c r="N731" s="84" t="s">
        <v>135</v>
      </c>
      <c r="O731" s="87"/>
      <c r="P731" s="87"/>
      <c r="Q731" s="87"/>
      <c r="R731" s="84"/>
      <c r="S731" s="87"/>
      <c r="T731" s="87"/>
      <c r="U731" s="84">
        <v>0</v>
      </c>
      <c r="V731" s="84">
        <v>0</v>
      </c>
      <c r="W731" s="84">
        <v>0</v>
      </c>
      <c r="X731" s="84">
        <v>0</v>
      </c>
      <c r="Y731" s="84">
        <v>0</v>
      </c>
      <c r="Z731" s="84">
        <v>0</v>
      </c>
      <c r="AA731" s="84">
        <v>0</v>
      </c>
      <c r="AB731" s="84">
        <v>0</v>
      </c>
      <c r="AC731" s="84">
        <v>0</v>
      </c>
      <c r="AD731" s="84">
        <v>0</v>
      </c>
      <c r="AE731" s="84">
        <v>0</v>
      </c>
      <c r="AF731" s="84">
        <v>0</v>
      </c>
      <c r="AG731" s="84">
        <v>0</v>
      </c>
      <c r="AH731" s="84">
        <v>1</v>
      </c>
      <c r="AI731" s="84">
        <v>1</v>
      </c>
      <c r="AJ731" s="84">
        <v>1</v>
      </c>
      <c r="AK731" s="84">
        <v>1</v>
      </c>
      <c r="AL731" s="84" cm="1">
        <f t="array" ref="AL7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31" s="84" cm="1">
        <f t="array" ref="AM7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1" s="84" cm="1">
        <f t="array" ref="AN7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1" s="84" cm="1">
        <f t="array" ref="AO7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1" s="84" cm="1">
        <f t="array" ref="AP7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1" s="84" cm="1">
        <f t="array" ref="AQ7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1" s="84" cm="1">
        <f t="array" ref="AR7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1" s="84" cm="1">
        <f t="array" ref="AS7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1" s="84" cm="1">
        <f t="array" ref="AT7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1" s="84" cm="1">
        <f t="array" ref="AU7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31" s="84" cm="1">
        <f t="array" ref="AV7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1" s="84" cm="1">
        <f t="array" ref="AW7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31" s="84" cm="1">
        <f t="array" ref="AX7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1" s="84" cm="1">
        <f t="array" ref="AY7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31" s="84" cm="1">
        <f t="array" ref="AZ7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31" s="84" cm="1">
        <f t="array" ref="BA7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31" s="84" cm="1">
        <f t="array" ref="BB7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31" s="84">
        <f>IF(SUM(Table3[[#This Row],[Column2]:[Column18]])&gt;Table3[[#This Row],[Column19]],Table3[[#This Row],[Column19]],SUM(Table3[[#This Row],[Column2]:[Column18]]))</f>
        <v>50000</v>
      </c>
      <c r="BD731" s="2">
        <f>Table3[[#This Row],[Total Spend]]/SUM(Table3[[#This Row],[Column2]:[Column18]])</f>
        <v>0.77700077700077697</v>
      </c>
    </row>
    <row r="732" spans="1:56" ht="28.5">
      <c r="A732" s="84" t="s">
        <v>806</v>
      </c>
      <c r="B732" s="84"/>
      <c r="C732" s="84" t="s">
        <v>57</v>
      </c>
      <c r="D732" s="85">
        <v>45809</v>
      </c>
      <c r="E732" s="85" t="s">
        <v>92</v>
      </c>
      <c r="F732" s="84">
        <f>INDEX(Definitions!$G$13:$G$17,MATCH(Table3[[#This Row],[Propensity to buy/ buyer readiness]],Definitions!$A$13:$A$17,0))</f>
        <v>50000</v>
      </c>
      <c r="G732" s="86">
        <v>4</v>
      </c>
      <c r="H732" s="86">
        <v>4</v>
      </c>
      <c r="I732" s="86">
        <v>4</v>
      </c>
      <c r="J732" s="86">
        <v>3</v>
      </c>
      <c r="K732" s="86">
        <v>3</v>
      </c>
      <c r="L732" s="86">
        <f>SUM(Table3[[#This Row],[Strategic priority segment]:[Propensity to buy/ buyer readiness]])</f>
        <v>18</v>
      </c>
      <c r="M732" s="86" t="s">
        <v>152</v>
      </c>
      <c r="N732" s="84" t="s">
        <v>122</v>
      </c>
      <c r="O732" s="87" t="s">
        <v>61</v>
      </c>
      <c r="P732" s="87" t="s">
        <v>62</v>
      </c>
      <c r="Q732" s="87"/>
      <c r="R732" s="84"/>
      <c r="S732" s="87"/>
      <c r="T732" s="87"/>
      <c r="U732" s="84">
        <v>1</v>
      </c>
      <c r="V732" s="84">
        <v>0</v>
      </c>
      <c r="W732" s="84">
        <v>0</v>
      </c>
      <c r="X732" s="84">
        <v>0</v>
      </c>
      <c r="Y732" s="84">
        <v>0</v>
      </c>
      <c r="Z732" s="84">
        <v>1</v>
      </c>
      <c r="AA732" s="84">
        <v>1</v>
      </c>
      <c r="AB732" s="84">
        <v>1</v>
      </c>
      <c r="AC732" s="84">
        <v>1</v>
      </c>
      <c r="AD732" s="84">
        <v>1</v>
      </c>
      <c r="AE732" s="84">
        <v>1</v>
      </c>
      <c r="AF732" s="84">
        <v>1</v>
      </c>
      <c r="AG732" s="84">
        <v>1</v>
      </c>
      <c r="AH732" s="84">
        <v>0</v>
      </c>
      <c r="AI732" s="84">
        <v>0</v>
      </c>
      <c r="AJ732" s="84">
        <v>0</v>
      </c>
      <c r="AK732" s="84">
        <v>0</v>
      </c>
      <c r="AL732" s="84" cm="1">
        <f t="array" ref="AL7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32" s="84" cm="1">
        <f t="array" ref="AM7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2" s="84" cm="1">
        <f t="array" ref="AN7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2" s="84" cm="1">
        <f t="array" ref="AO7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2" s="84" cm="1">
        <f t="array" ref="AP7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2" s="84" cm="1">
        <f t="array" ref="AQ7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732" s="84" cm="1">
        <f t="array" ref="AR7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32" s="84" cm="1">
        <f t="array" ref="AS7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732" s="84" cm="1">
        <f t="array" ref="AT7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732" s="84" cm="1">
        <f t="array" ref="AU7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32" s="84" cm="1">
        <f t="array" ref="AV7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32" s="84" cm="1">
        <f t="array" ref="AW7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32" s="84" cm="1">
        <f t="array" ref="AX7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32" s="84" cm="1">
        <f t="array" ref="AY7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32" s="84" cm="1">
        <f t="array" ref="AZ7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32" s="84" cm="1">
        <f t="array" ref="BA7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32" s="84" cm="1">
        <f t="array" ref="BB7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32" s="84">
        <f>IF(SUM(Table3[[#This Row],[Column2]:[Column18]])&gt;Table3[[#This Row],[Column19]],Table3[[#This Row],[Column19]],SUM(Table3[[#This Row],[Column2]:[Column18]]))</f>
        <v>50000</v>
      </c>
      <c r="BD732" s="2">
        <f>Table3[[#This Row],[Total Spend]]/SUM(Table3[[#This Row],[Column2]:[Column18]])</f>
        <v>0.2664535038635758</v>
      </c>
    </row>
    <row r="733" spans="1:56">
      <c r="A733" s="84" t="s">
        <v>807</v>
      </c>
      <c r="B733" s="84"/>
      <c r="C733" s="84"/>
      <c r="D733" s="85">
        <v>45809</v>
      </c>
      <c r="E733" s="85" t="s">
        <v>92</v>
      </c>
      <c r="F733" s="84">
        <f>INDEX(Definitions!$G$13:$G$17,MATCH(Table3[[#This Row],[Propensity to buy/ buyer readiness]],Definitions!$A$13:$A$17,0))</f>
        <v>50000</v>
      </c>
      <c r="G733" s="86">
        <v>4</v>
      </c>
      <c r="H733" s="86">
        <v>4</v>
      </c>
      <c r="I733" s="86">
        <v>3</v>
      </c>
      <c r="J733" s="86">
        <v>4</v>
      </c>
      <c r="K733" s="86">
        <v>3</v>
      </c>
      <c r="L733" s="86">
        <f>SUM(Table3[[#This Row],[Strategic priority segment]:[Propensity to buy/ buyer readiness]])</f>
        <v>18</v>
      </c>
      <c r="M733" s="86" t="s">
        <v>66</v>
      </c>
      <c r="N733" s="84" t="s">
        <v>144</v>
      </c>
      <c r="O733" s="84" t="s">
        <v>60</v>
      </c>
      <c r="P733" s="87"/>
      <c r="Q733" s="87"/>
      <c r="R733" s="84"/>
      <c r="S733" s="84"/>
      <c r="T733" s="84"/>
      <c r="U733" s="84">
        <v>1</v>
      </c>
      <c r="V733" s="84">
        <v>1</v>
      </c>
      <c r="W733" s="84">
        <v>1</v>
      </c>
      <c r="X733" s="84">
        <v>1</v>
      </c>
      <c r="Y733" s="84">
        <v>1</v>
      </c>
      <c r="Z733" s="84">
        <v>0</v>
      </c>
      <c r="AA733" s="84">
        <v>0</v>
      </c>
      <c r="AB733" s="84">
        <v>0</v>
      </c>
      <c r="AC733" s="84">
        <v>0</v>
      </c>
      <c r="AD733" s="84">
        <v>1</v>
      </c>
      <c r="AE733" s="84">
        <v>0</v>
      </c>
      <c r="AF733" s="84">
        <v>1</v>
      </c>
      <c r="AG733" s="84">
        <v>0</v>
      </c>
      <c r="AH733" s="84">
        <v>0</v>
      </c>
      <c r="AI733" s="84">
        <v>0</v>
      </c>
      <c r="AJ733" s="84">
        <v>1</v>
      </c>
      <c r="AK733" s="84">
        <v>0</v>
      </c>
      <c r="AL733" s="84" cm="1">
        <f t="array" ref="AL7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33" s="84" cm="1">
        <f t="array" ref="AM7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733" s="84" cm="1">
        <f t="array" ref="AN7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33" s="84" cm="1">
        <f t="array" ref="AO7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733" s="84" cm="1">
        <f t="array" ref="AP7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733" s="84" cm="1">
        <f t="array" ref="AQ7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3" s="84" cm="1">
        <f t="array" ref="AR7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3" s="84" cm="1">
        <f t="array" ref="AS7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3" s="84" cm="1">
        <f t="array" ref="AT7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3" s="84" cm="1">
        <f t="array" ref="AU7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33" s="84" cm="1">
        <f t="array" ref="AV7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3" s="84" cm="1">
        <f t="array" ref="AW7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33" s="84" cm="1">
        <f t="array" ref="AX7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3" s="84" cm="1">
        <f t="array" ref="AY7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33" s="84" cm="1">
        <f t="array" ref="AZ7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33" s="84" cm="1">
        <f t="array" ref="BA7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33" s="84" cm="1">
        <f t="array" ref="BB7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33" s="84">
        <f>IF(SUM(Table3[[#This Row],[Column2]:[Column18]])&gt;Table3[[#This Row],[Column19]],Table3[[#This Row],[Column19]],SUM(Table3[[#This Row],[Column2]:[Column18]]))</f>
        <v>50000</v>
      </c>
      <c r="BD733" s="2">
        <f>Table3[[#This Row],[Total Spend]]/SUM(Table3[[#This Row],[Column2]:[Column18]])</f>
        <v>0.20964360587002095</v>
      </c>
    </row>
    <row r="734" spans="1:56">
      <c r="A734" s="87" t="s">
        <v>808</v>
      </c>
      <c r="B734" s="87"/>
      <c r="C734" s="87"/>
      <c r="D734" s="85">
        <v>45566</v>
      </c>
      <c r="E734" s="85" t="s">
        <v>58</v>
      </c>
      <c r="F734" s="84">
        <f>INDEX(Definitions!$G$13:$G$17,MATCH(Table3[[#This Row],[Propensity to buy/ buyer readiness]],Definitions!$A$13:$A$17,0))</f>
        <v>50000</v>
      </c>
      <c r="G734" s="86">
        <v>5</v>
      </c>
      <c r="H734" s="86">
        <v>4</v>
      </c>
      <c r="I734" s="86">
        <v>2</v>
      </c>
      <c r="J734" s="86">
        <v>4</v>
      </c>
      <c r="K734" s="86">
        <v>3</v>
      </c>
      <c r="L734" s="86">
        <f>SUM(Table3[[#This Row],[Strategic priority segment]:[Propensity to buy/ buyer readiness]])</f>
        <v>18</v>
      </c>
      <c r="M734" s="86" t="s">
        <v>191</v>
      </c>
      <c r="N734" s="84" t="s">
        <v>135</v>
      </c>
      <c r="O734" s="87"/>
      <c r="P734" s="87"/>
      <c r="Q734" s="87"/>
      <c r="R734" s="84"/>
      <c r="S734" s="87"/>
      <c r="T734" s="87"/>
      <c r="U734" s="84">
        <v>0</v>
      </c>
      <c r="V734" s="84">
        <v>0</v>
      </c>
      <c r="W734" s="84">
        <v>0</v>
      </c>
      <c r="X734" s="84">
        <v>0</v>
      </c>
      <c r="Y734" s="84">
        <v>0</v>
      </c>
      <c r="Z734" s="84">
        <v>0</v>
      </c>
      <c r="AA734" s="84">
        <v>0</v>
      </c>
      <c r="AB734" s="84">
        <v>0</v>
      </c>
      <c r="AC734" s="84">
        <v>0</v>
      </c>
      <c r="AD734" s="84">
        <v>0</v>
      </c>
      <c r="AE734" s="84">
        <v>0</v>
      </c>
      <c r="AF734" s="84">
        <v>0</v>
      </c>
      <c r="AG734" s="84">
        <v>0</v>
      </c>
      <c r="AH734" s="84">
        <v>1</v>
      </c>
      <c r="AI734" s="84">
        <v>1</v>
      </c>
      <c r="AJ734" s="84">
        <v>1</v>
      </c>
      <c r="AK734" s="84">
        <v>1</v>
      </c>
      <c r="AL734" s="84" cm="1">
        <f t="array" ref="AL7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34" s="84" cm="1">
        <f t="array" ref="AM7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4" s="84" cm="1">
        <f t="array" ref="AN7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4" s="84" cm="1">
        <f t="array" ref="AO7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4" s="84" cm="1">
        <f t="array" ref="AP7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4" s="84" cm="1">
        <f t="array" ref="AQ7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4" s="84" cm="1">
        <f t="array" ref="AR7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4" s="84" cm="1">
        <f t="array" ref="AS7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4" s="84" cm="1">
        <f t="array" ref="AT7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4" s="84" cm="1">
        <f t="array" ref="AU7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34" s="84" cm="1">
        <f t="array" ref="AV7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4" s="84" cm="1">
        <f t="array" ref="AW7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34" s="84" cm="1">
        <f t="array" ref="AX7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4" s="84" cm="1">
        <f t="array" ref="AY7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34" s="84" cm="1">
        <f t="array" ref="AZ7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34" s="84" cm="1">
        <f t="array" ref="BA7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34" s="84" cm="1">
        <f t="array" ref="BB7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34" s="84">
        <f>IF(SUM(Table3[[#This Row],[Column2]:[Column18]])&gt;Table3[[#This Row],[Column19]],Table3[[#This Row],[Column19]],SUM(Table3[[#This Row],[Column2]:[Column18]]))</f>
        <v>50000</v>
      </c>
      <c r="BD734" s="2">
        <f>Table3[[#This Row],[Total Spend]]/SUM(Table3[[#This Row],[Column2]:[Column18]])</f>
        <v>0.77700077700077697</v>
      </c>
    </row>
    <row r="735" spans="1:56">
      <c r="A735" s="87" t="s">
        <v>809</v>
      </c>
      <c r="B735" s="87"/>
      <c r="C735" s="87"/>
      <c r="D735" s="85">
        <v>45566</v>
      </c>
      <c r="E735" s="85" t="s">
        <v>58</v>
      </c>
      <c r="F735" s="84">
        <f>INDEX(Definitions!$G$13:$G$17,MATCH(Table3[[#This Row],[Propensity to buy/ buyer readiness]],Definitions!$A$13:$A$17,0))</f>
        <v>50000</v>
      </c>
      <c r="G735" s="86">
        <v>5</v>
      </c>
      <c r="H735" s="86">
        <v>4</v>
      </c>
      <c r="I735" s="86">
        <v>2</v>
      </c>
      <c r="J735" s="86">
        <v>4</v>
      </c>
      <c r="K735" s="86">
        <v>3</v>
      </c>
      <c r="L735" s="86">
        <f>SUM(Table3[[#This Row],[Strategic priority segment]:[Propensity to buy/ buyer readiness]])</f>
        <v>18</v>
      </c>
      <c r="M735" s="86" t="s">
        <v>191</v>
      </c>
      <c r="N735" s="84" t="s">
        <v>135</v>
      </c>
      <c r="O735" s="87"/>
      <c r="P735" s="87"/>
      <c r="Q735" s="87"/>
      <c r="R735" s="84"/>
      <c r="S735" s="87"/>
      <c r="T735" s="87"/>
      <c r="U735" s="84">
        <v>0</v>
      </c>
      <c r="V735" s="84">
        <v>0</v>
      </c>
      <c r="W735" s="84">
        <v>0</v>
      </c>
      <c r="X735" s="84">
        <v>0</v>
      </c>
      <c r="Y735" s="84">
        <v>0</v>
      </c>
      <c r="Z735" s="84">
        <v>0</v>
      </c>
      <c r="AA735" s="84">
        <v>0</v>
      </c>
      <c r="AB735" s="84">
        <v>0</v>
      </c>
      <c r="AC735" s="84">
        <v>0</v>
      </c>
      <c r="AD735" s="84">
        <v>0</v>
      </c>
      <c r="AE735" s="84">
        <v>0</v>
      </c>
      <c r="AF735" s="84">
        <v>0</v>
      </c>
      <c r="AG735" s="84">
        <v>0</v>
      </c>
      <c r="AH735" s="84">
        <v>1</v>
      </c>
      <c r="AI735" s="84">
        <v>1</v>
      </c>
      <c r="AJ735" s="84">
        <v>1</v>
      </c>
      <c r="AK735" s="84">
        <v>1</v>
      </c>
      <c r="AL735" s="84" cm="1">
        <f t="array" ref="AL7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35" s="84" cm="1">
        <f t="array" ref="AM7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5" s="84" cm="1">
        <f t="array" ref="AN7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5" s="84" cm="1">
        <f t="array" ref="AO7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5" s="84" cm="1">
        <f t="array" ref="AP7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5" s="84" cm="1">
        <f t="array" ref="AQ7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5" s="84" cm="1">
        <f t="array" ref="AR7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5" s="84" cm="1">
        <f t="array" ref="AS7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5" s="84" cm="1">
        <f t="array" ref="AT7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5" s="84" cm="1">
        <f t="array" ref="AU7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35" s="84" cm="1">
        <f t="array" ref="AV7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5" s="84" cm="1">
        <f t="array" ref="AW7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35" s="84" cm="1">
        <f t="array" ref="AX7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5" s="84" cm="1">
        <f t="array" ref="AY7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35" s="84" cm="1">
        <f t="array" ref="AZ7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35" s="84" cm="1">
        <f t="array" ref="BA7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35" s="84" cm="1">
        <f t="array" ref="BB7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35" s="84">
        <f>IF(SUM(Table3[[#This Row],[Column2]:[Column18]])&gt;Table3[[#This Row],[Column19]],Table3[[#This Row],[Column19]],SUM(Table3[[#This Row],[Column2]:[Column18]]))</f>
        <v>50000</v>
      </c>
      <c r="BD735" s="2">
        <f>Table3[[#This Row],[Total Spend]]/SUM(Table3[[#This Row],[Column2]:[Column18]])</f>
        <v>0.77700077700077697</v>
      </c>
    </row>
    <row r="736" spans="1:56" ht="18" customHeight="1">
      <c r="A736" s="87" t="s">
        <v>810</v>
      </c>
      <c r="B736" s="87"/>
      <c r="C736" s="87"/>
      <c r="D736" s="85">
        <v>45566</v>
      </c>
      <c r="E736" s="85" t="s">
        <v>58</v>
      </c>
      <c r="F736" s="84">
        <f>INDEX(Definitions!$G$13:$G$17,MATCH(Table3[[#This Row],[Propensity to buy/ buyer readiness]],Definitions!$A$13:$A$17,0))</f>
        <v>50000</v>
      </c>
      <c r="G736" s="86">
        <v>5</v>
      </c>
      <c r="H736" s="86">
        <v>4</v>
      </c>
      <c r="I736" s="86">
        <v>2</v>
      </c>
      <c r="J736" s="86">
        <v>4</v>
      </c>
      <c r="K736" s="86">
        <v>3</v>
      </c>
      <c r="L736" s="86">
        <f>SUM(Table3[[#This Row],[Strategic priority segment]:[Propensity to buy/ buyer readiness]])</f>
        <v>18</v>
      </c>
      <c r="M736" s="86" t="s">
        <v>191</v>
      </c>
      <c r="N736" s="84" t="s">
        <v>135</v>
      </c>
      <c r="O736" s="87"/>
      <c r="P736" s="87"/>
      <c r="Q736" s="87"/>
      <c r="R736" s="84"/>
      <c r="S736" s="87"/>
      <c r="T736" s="87"/>
      <c r="U736" s="84">
        <v>0</v>
      </c>
      <c r="V736" s="84">
        <v>0</v>
      </c>
      <c r="W736" s="84">
        <v>0</v>
      </c>
      <c r="X736" s="84">
        <v>0</v>
      </c>
      <c r="Y736" s="84">
        <v>0</v>
      </c>
      <c r="Z736" s="84">
        <v>0</v>
      </c>
      <c r="AA736" s="84">
        <v>0</v>
      </c>
      <c r="AB736" s="84">
        <v>0</v>
      </c>
      <c r="AC736" s="84">
        <v>0</v>
      </c>
      <c r="AD736" s="84">
        <v>0</v>
      </c>
      <c r="AE736" s="84">
        <v>0</v>
      </c>
      <c r="AF736" s="84">
        <v>0</v>
      </c>
      <c r="AG736" s="84">
        <v>0</v>
      </c>
      <c r="AH736" s="84">
        <v>1</v>
      </c>
      <c r="AI736" s="84">
        <v>1</v>
      </c>
      <c r="AJ736" s="84">
        <v>1</v>
      </c>
      <c r="AK736" s="84">
        <v>1</v>
      </c>
      <c r="AL736" s="84" cm="1">
        <f t="array" ref="AL7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36" s="84" cm="1">
        <f t="array" ref="AM7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6" s="84" cm="1">
        <f t="array" ref="AN7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6" s="84" cm="1">
        <f t="array" ref="AO7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6" s="84" cm="1">
        <f t="array" ref="AP7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6" s="84" cm="1">
        <f t="array" ref="AQ7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6" s="84" cm="1">
        <f t="array" ref="AR7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6" s="84" cm="1">
        <f t="array" ref="AS7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6" s="84" cm="1">
        <f t="array" ref="AT7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6" s="84" cm="1">
        <f t="array" ref="AU7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36" s="84" cm="1">
        <f t="array" ref="AV7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6" s="84" cm="1">
        <f t="array" ref="AW7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36" s="84" cm="1">
        <f t="array" ref="AX7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6" s="84" cm="1">
        <f t="array" ref="AY7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36" s="84" cm="1">
        <f t="array" ref="AZ7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36" s="84" cm="1">
        <f t="array" ref="BA7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36" s="84" cm="1">
        <f t="array" ref="BB7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36" s="84">
        <f>IF(SUM(Table3[[#This Row],[Column2]:[Column18]])&gt;Table3[[#This Row],[Column19]],Table3[[#This Row],[Column19]],SUM(Table3[[#This Row],[Column2]:[Column18]]))</f>
        <v>50000</v>
      </c>
      <c r="BD736" s="2">
        <f>Table3[[#This Row],[Total Spend]]/SUM(Table3[[#This Row],[Column2]:[Column18]])</f>
        <v>0.77700077700077697</v>
      </c>
    </row>
    <row r="737" spans="1:56">
      <c r="A737" s="84" t="s">
        <v>811</v>
      </c>
      <c r="B737" s="84"/>
      <c r="C737" s="84" t="s">
        <v>57</v>
      </c>
      <c r="D737" s="85">
        <v>45809</v>
      </c>
      <c r="E737" s="85" t="s">
        <v>92</v>
      </c>
      <c r="F737" s="84">
        <f>INDEX(Definitions!$G$13:$G$17,MATCH(Table3[[#This Row],[Propensity to buy/ buyer readiness]],Definitions!$A$13:$A$17,0))</f>
        <v>50000</v>
      </c>
      <c r="G737" s="86">
        <v>5</v>
      </c>
      <c r="H737" s="86">
        <v>4</v>
      </c>
      <c r="I737" s="86">
        <v>3</v>
      </c>
      <c r="J737" s="86">
        <v>3</v>
      </c>
      <c r="K737" s="86">
        <v>3</v>
      </c>
      <c r="L737" s="86">
        <f>SUM(Table3[[#This Row],[Strategic priority segment]:[Propensity to buy/ buyer readiness]])</f>
        <v>18</v>
      </c>
      <c r="M737" s="86" t="s">
        <v>66</v>
      </c>
      <c r="N737" s="84" t="s">
        <v>62</v>
      </c>
      <c r="O737" s="84" t="s">
        <v>61</v>
      </c>
      <c r="P737" s="84"/>
      <c r="Q737" s="84"/>
      <c r="R737" s="84"/>
      <c r="S737" s="84"/>
      <c r="T737" s="87"/>
      <c r="U737" s="84">
        <v>1</v>
      </c>
      <c r="V737" s="84">
        <v>0</v>
      </c>
      <c r="W737" s="84">
        <v>0</v>
      </c>
      <c r="X737" s="84">
        <v>0</v>
      </c>
      <c r="Y737" s="84">
        <v>0</v>
      </c>
      <c r="Z737" s="84">
        <v>1</v>
      </c>
      <c r="AA737" s="84">
        <v>1</v>
      </c>
      <c r="AB737" s="84">
        <v>1</v>
      </c>
      <c r="AC737" s="84">
        <v>1</v>
      </c>
      <c r="AD737" s="84">
        <v>1</v>
      </c>
      <c r="AE737" s="84">
        <v>1</v>
      </c>
      <c r="AF737" s="84">
        <v>1</v>
      </c>
      <c r="AG737" s="84">
        <v>1</v>
      </c>
      <c r="AH737" s="84">
        <v>0</v>
      </c>
      <c r="AI737" s="84">
        <v>0</v>
      </c>
      <c r="AJ737" s="84">
        <v>0</v>
      </c>
      <c r="AK737" s="84">
        <v>0</v>
      </c>
      <c r="AL737" s="84" cm="1">
        <f t="array" ref="AL7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37" s="84" cm="1">
        <f t="array" ref="AM7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7" s="84" cm="1">
        <f t="array" ref="AN7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7" s="84" cm="1">
        <f t="array" ref="AO7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7" s="84" cm="1">
        <f t="array" ref="AP7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7" s="84" cm="1">
        <f t="array" ref="AQ7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737" s="84" cm="1">
        <f t="array" ref="AR7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37" s="84" cm="1">
        <f t="array" ref="AS7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737" s="84" cm="1">
        <f t="array" ref="AT7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737" s="84" cm="1">
        <f t="array" ref="AU7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37" s="84" cm="1">
        <f t="array" ref="AV7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37" s="84" cm="1">
        <f t="array" ref="AW7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37" s="84" cm="1">
        <f t="array" ref="AX7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37" s="84" cm="1">
        <f t="array" ref="AY7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37" s="84" cm="1">
        <f t="array" ref="AZ7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37" s="84" cm="1">
        <f t="array" ref="BA7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37" s="84" cm="1">
        <f t="array" ref="BB7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37" s="84">
        <f>IF(SUM(Table3[[#This Row],[Column2]:[Column18]])&gt;Table3[[#This Row],[Column19]],Table3[[#This Row],[Column19]],SUM(Table3[[#This Row],[Column2]:[Column18]]))</f>
        <v>50000</v>
      </c>
      <c r="BD737" s="2">
        <f>Table3[[#This Row],[Total Spend]]/SUM(Table3[[#This Row],[Column2]:[Column18]])</f>
        <v>0.2664535038635758</v>
      </c>
    </row>
    <row r="738" spans="1:56" ht="28.5">
      <c r="A738" s="87" t="s">
        <v>812</v>
      </c>
      <c r="B738" s="87"/>
      <c r="C738" s="87"/>
      <c r="D738" s="85">
        <v>45566</v>
      </c>
      <c r="E738" s="85" t="s">
        <v>58</v>
      </c>
      <c r="F738" s="84">
        <f>INDEX(Definitions!$G$13:$G$17,MATCH(Table3[[#This Row],[Propensity to buy/ buyer readiness]],Definitions!$A$13:$A$17,0))</f>
        <v>50000</v>
      </c>
      <c r="G738" s="86">
        <v>5</v>
      </c>
      <c r="H738" s="86">
        <v>4</v>
      </c>
      <c r="I738" s="86">
        <v>2</v>
      </c>
      <c r="J738" s="86">
        <v>4</v>
      </c>
      <c r="K738" s="86">
        <v>3</v>
      </c>
      <c r="L738" s="86">
        <f>SUM(Table3[[#This Row],[Strategic priority segment]:[Propensity to buy/ buyer readiness]])</f>
        <v>18</v>
      </c>
      <c r="M738" s="86" t="s">
        <v>191</v>
      </c>
      <c r="N738" s="84" t="s">
        <v>135</v>
      </c>
      <c r="O738" s="87" t="s">
        <v>61</v>
      </c>
      <c r="P738" s="87"/>
      <c r="Q738" s="87"/>
      <c r="R738" s="84"/>
      <c r="S738" s="87"/>
      <c r="T738" s="84"/>
      <c r="U738" s="84">
        <v>1</v>
      </c>
      <c r="V738" s="84">
        <v>0</v>
      </c>
      <c r="W738" s="84">
        <v>0</v>
      </c>
      <c r="X738" s="84">
        <v>0</v>
      </c>
      <c r="Y738" s="84">
        <v>0</v>
      </c>
      <c r="Z738" s="84">
        <v>1</v>
      </c>
      <c r="AA738" s="84">
        <v>1</v>
      </c>
      <c r="AB738" s="84">
        <v>1</v>
      </c>
      <c r="AC738" s="84">
        <v>1</v>
      </c>
      <c r="AD738" s="84">
        <v>0</v>
      </c>
      <c r="AE738" s="84">
        <v>0</v>
      </c>
      <c r="AF738" s="84">
        <v>0</v>
      </c>
      <c r="AG738" s="84">
        <v>0</v>
      </c>
      <c r="AH738" s="84">
        <v>1</v>
      </c>
      <c r="AI738" s="84">
        <v>1</v>
      </c>
      <c r="AJ738" s="84">
        <v>1</v>
      </c>
      <c r="AK738" s="84">
        <v>1</v>
      </c>
      <c r="AL738" s="84" cm="1">
        <f t="array" ref="AL7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38" s="84" cm="1">
        <f t="array" ref="AM7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8" s="84" cm="1">
        <f t="array" ref="AN7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8" s="84" cm="1">
        <f t="array" ref="AO7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8" s="84" cm="1">
        <f t="array" ref="AP7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8" s="84" cm="1">
        <f t="array" ref="AQ7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38" s="84" cm="1">
        <f t="array" ref="AR7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738" s="84" cm="1">
        <f t="array" ref="AS7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38" s="84" cm="1">
        <f t="array" ref="AT7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738" s="84" cm="1">
        <f t="array" ref="AU7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38" s="84" cm="1">
        <f t="array" ref="AV7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38" s="84" cm="1">
        <f t="array" ref="AW7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38" s="84" cm="1">
        <f t="array" ref="AX7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38" s="84" cm="1">
        <f t="array" ref="AY7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38" s="84" cm="1">
        <f t="array" ref="AZ7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38" s="84" cm="1">
        <f t="array" ref="BA7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38" s="84" cm="1">
        <f t="array" ref="BB7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38" s="84">
        <f>IF(SUM(Table3[[#This Row],[Column2]:[Column18]])&gt;Table3[[#This Row],[Column19]],Table3[[#This Row],[Column19]],SUM(Table3[[#This Row],[Column2]:[Column18]]))</f>
        <v>50000</v>
      </c>
      <c r="BD738" s="2">
        <f>Table3[[#This Row],[Total Spend]]/SUM(Table3[[#This Row],[Column2]:[Column18]])</f>
        <v>0.24420024420024419</v>
      </c>
    </row>
    <row r="739" spans="1:56">
      <c r="A739" s="84" t="s">
        <v>813</v>
      </c>
      <c r="B739" s="84"/>
      <c r="C739" s="84"/>
      <c r="D739" s="85">
        <v>45566</v>
      </c>
      <c r="E739" s="85" t="s">
        <v>58</v>
      </c>
      <c r="F739" s="84">
        <f>INDEX(Definitions!$G$13:$G$17,MATCH(Table3[[#This Row],[Propensity to buy/ buyer readiness]],Definitions!$A$13:$A$17,0))</f>
        <v>150000</v>
      </c>
      <c r="G739" s="86">
        <v>5</v>
      </c>
      <c r="H739" s="86">
        <v>4</v>
      </c>
      <c r="I739" s="86">
        <v>2</v>
      </c>
      <c r="J739" s="86">
        <v>3</v>
      </c>
      <c r="K739" s="86">
        <v>4</v>
      </c>
      <c r="L739" s="86">
        <f>SUM(Table3[[#This Row],[Strategic priority segment]:[Propensity to buy/ buyer readiness]])</f>
        <v>18</v>
      </c>
      <c r="M739" s="86" t="s">
        <v>66</v>
      </c>
      <c r="N739" s="84" t="s">
        <v>62</v>
      </c>
      <c r="O739" s="84"/>
      <c r="P739" s="87"/>
      <c r="Q739" s="87"/>
      <c r="R739" s="84"/>
      <c r="S739" s="87"/>
      <c r="T739" s="87"/>
      <c r="U739" s="84">
        <v>1</v>
      </c>
      <c r="V739" s="84">
        <v>0</v>
      </c>
      <c r="W739" s="84">
        <v>0</v>
      </c>
      <c r="X739" s="84">
        <v>0</v>
      </c>
      <c r="Y739" s="84">
        <v>0</v>
      </c>
      <c r="Z739" s="84">
        <v>0</v>
      </c>
      <c r="AA739" s="84">
        <v>0</v>
      </c>
      <c r="AB739" s="84">
        <v>0</v>
      </c>
      <c r="AC739" s="84">
        <v>0</v>
      </c>
      <c r="AD739" s="84">
        <v>1</v>
      </c>
      <c r="AE739" s="84">
        <v>1</v>
      </c>
      <c r="AF739" s="84">
        <v>1</v>
      </c>
      <c r="AG739" s="84">
        <v>1</v>
      </c>
      <c r="AH739" s="84">
        <v>0</v>
      </c>
      <c r="AI739" s="84">
        <v>0</v>
      </c>
      <c r="AJ739" s="84">
        <v>0</v>
      </c>
      <c r="AK739" s="84">
        <v>0</v>
      </c>
      <c r="AL739" s="84" cm="1">
        <f t="array" ref="AL7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39" s="84" cm="1">
        <f t="array" ref="AM7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39" s="84" cm="1">
        <f t="array" ref="AN7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39" s="84" cm="1">
        <f t="array" ref="AO7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39" s="84" cm="1">
        <f t="array" ref="AP7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39" s="84" cm="1">
        <f t="array" ref="AQ7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39" s="84" cm="1">
        <f t="array" ref="AR7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39" s="84" cm="1">
        <f t="array" ref="AS7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39" s="84" cm="1">
        <f t="array" ref="AT7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39" s="84" cm="1">
        <f t="array" ref="AU7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39" s="84" cm="1">
        <f t="array" ref="AV7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739" s="84" cm="1">
        <f t="array" ref="AW7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39" s="84" cm="1">
        <f t="array" ref="AX7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739" s="84" cm="1">
        <f t="array" ref="AY7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39" s="84" cm="1">
        <f t="array" ref="AZ7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39" s="84" cm="1">
        <f t="array" ref="BA7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39" s="84" cm="1">
        <f t="array" ref="BB7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39" s="84">
        <f>IF(SUM(Table3[[#This Row],[Column2]:[Column18]])&gt;Table3[[#This Row],[Column19]],Table3[[#This Row],[Column19]],SUM(Table3[[#This Row],[Column2]:[Column18]]))</f>
        <v>131400</v>
      </c>
      <c r="BD739" s="2">
        <f>Table3[[#This Row],[Total Spend]]/SUM(Table3[[#This Row],[Column2]:[Column18]])</f>
        <v>1</v>
      </c>
    </row>
    <row r="740" spans="1:56">
      <c r="A740" s="87" t="s">
        <v>814</v>
      </c>
      <c r="B740" s="87"/>
      <c r="C740" s="87"/>
      <c r="D740" s="85">
        <v>45566</v>
      </c>
      <c r="E740" s="85" t="s">
        <v>58</v>
      </c>
      <c r="F740" s="84">
        <f>INDEX(Definitions!$G$13:$G$17,MATCH(Table3[[#This Row],[Propensity to buy/ buyer readiness]],Definitions!$A$13:$A$17,0))</f>
        <v>50000</v>
      </c>
      <c r="G740" s="86">
        <v>5</v>
      </c>
      <c r="H740" s="86">
        <v>4</v>
      </c>
      <c r="I740" s="86">
        <v>2</v>
      </c>
      <c r="J740" s="86">
        <v>4</v>
      </c>
      <c r="K740" s="86">
        <v>3</v>
      </c>
      <c r="L740" s="86">
        <f>SUM(Table3[[#This Row],[Strategic priority segment]:[Propensity to buy/ buyer readiness]])</f>
        <v>18</v>
      </c>
      <c r="M740" s="86" t="s">
        <v>191</v>
      </c>
      <c r="N740" s="84" t="s">
        <v>135</v>
      </c>
      <c r="O740" s="87"/>
      <c r="P740" s="87"/>
      <c r="Q740" s="87"/>
      <c r="R740" s="84"/>
      <c r="S740" s="87"/>
      <c r="T740" s="87"/>
      <c r="U740" s="84">
        <v>0</v>
      </c>
      <c r="V740" s="84">
        <v>0</v>
      </c>
      <c r="W740" s="84">
        <v>0</v>
      </c>
      <c r="X740" s="84">
        <v>0</v>
      </c>
      <c r="Y740" s="84">
        <v>0</v>
      </c>
      <c r="Z740" s="84">
        <v>0</v>
      </c>
      <c r="AA740" s="84">
        <v>0</v>
      </c>
      <c r="AB740" s="84">
        <v>0</v>
      </c>
      <c r="AC740" s="84">
        <v>0</v>
      </c>
      <c r="AD740" s="84">
        <v>0</v>
      </c>
      <c r="AE740" s="84">
        <v>0</v>
      </c>
      <c r="AF740" s="84">
        <v>0</v>
      </c>
      <c r="AG740" s="84">
        <v>0</v>
      </c>
      <c r="AH740" s="84">
        <v>1</v>
      </c>
      <c r="AI740" s="84">
        <v>1</v>
      </c>
      <c r="AJ740" s="84">
        <v>1</v>
      </c>
      <c r="AK740" s="84">
        <v>1</v>
      </c>
      <c r="AL740" s="84" cm="1">
        <f t="array" ref="AL7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40" s="84" cm="1">
        <f t="array" ref="AM7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0" s="84" cm="1">
        <f t="array" ref="AN7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0" s="84" cm="1">
        <f t="array" ref="AO7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0" s="84" cm="1">
        <f t="array" ref="AP7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0" s="84" cm="1">
        <f t="array" ref="AQ7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0" s="84" cm="1">
        <f t="array" ref="AR7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0" s="84" cm="1">
        <f t="array" ref="AS7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0" s="84" cm="1">
        <f t="array" ref="AT7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0" s="84" cm="1">
        <f t="array" ref="AU7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40" s="84" cm="1">
        <f t="array" ref="AV7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0" s="84" cm="1">
        <f t="array" ref="AW7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40" s="84" cm="1">
        <f t="array" ref="AX7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0" s="84" cm="1">
        <f t="array" ref="AY7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40" s="84" cm="1">
        <f t="array" ref="AZ7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40" s="84" cm="1">
        <f t="array" ref="BA7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40" s="84" cm="1">
        <f t="array" ref="BB7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40" s="84">
        <f>IF(SUM(Table3[[#This Row],[Column2]:[Column18]])&gt;Table3[[#This Row],[Column19]],Table3[[#This Row],[Column19]],SUM(Table3[[#This Row],[Column2]:[Column18]]))</f>
        <v>50000</v>
      </c>
      <c r="BD740" s="2">
        <f>Table3[[#This Row],[Total Spend]]/SUM(Table3[[#This Row],[Column2]:[Column18]])</f>
        <v>0.77700077700077697</v>
      </c>
    </row>
    <row r="741" spans="1:56">
      <c r="A741" s="87" t="s">
        <v>815</v>
      </c>
      <c r="B741" s="87"/>
      <c r="C741" s="87"/>
      <c r="D741" s="85">
        <v>45566</v>
      </c>
      <c r="E741" s="85" t="s">
        <v>58</v>
      </c>
      <c r="F741" s="84">
        <f>INDEX(Definitions!$G$13:$G$17,MATCH(Table3[[#This Row],[Propensity to buy/ buyer readiness]],Definitions!$A$13:$A$17,0))</f>
        <v>50000</v>
      </c>
      <c r="G741" s="86">
        <v>5</v>
      </c>
      <c r="H741" s="86">
        <v>4</v>
      </c>
      <c r="I741" s="86">
        <v>2</v>
      </c>
      <c r="J741" s="86">
        <v>4</v>
      </c>
      <c r="K741" s="86">
        <v>3</v>
      </c>
      <c r="L741" s="86">
        <f>SUM(Table3[[#This Row],[Strategic priority segment]:[Propensity to buy/ buyer readiness]])</f>
        <v>18</v>
      </c>
      <c r="M741" s="86" t="s">
        <v>191</v>
      </c>
      <c r="N741" s="84" t="s">
        <v>135</v>
      </c>
      <c r="O741" s="87"/>
      <c r="P741" s="87"/>
      <c r="Q741" s="87"/>
      <c r="R741" s="84"/>
      <c r="S741" s="87"/>
      <c r="T741" s="87"/>
      <c r="U741" s="84">
        <v>0</v>
      </c>
      <c r="V741" s="84">
        <v>0</v>
      </c>
      <c r="W741" s="84">
        <v>0</v>
      </c>
      <c r="X741" s="84">
        <v>0</v>
      </c>
      <c r="Y741" s="84">
        <v>0</v>
      </c>
      <c r="Z741" s="84">
        <v>0</v>
      </c>
      <c r="AA741" s="84">
        <v>0</v>
      </c>
      <c r="AB741" s="84">
        <v>0</v>
      </c>
      <c r="AC741" s="84">
        <v>0</v>
      </c>
      <c r="AD741" s="84">
        <v>0</v>
      </c>
      <c r="AE741" s="84">
        <v>0</v>
      </c>
      <c r="AF741" s="84">
        <v>0</v>
      </c>
      <c r="AG741" s="84">
        <v>0</v>
      </c>
      <c r="AH741" s="84">
        <v>1</v>
      </c>
      <c r="AI741" s="84">
        <v>1</v>
      </c>
      <c r="AJ741" s="84">
        <v>1</v>
      </c>
      <c r="AK741" s="84">
        <v>1</v>
      </c>
      <c r="AL741" s="84" cm="1">
        <f t="array" ref="AL7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41" s="84" cm="1">
        <f t="array" ref="AM7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1" s="84" cm="1">
        <f t="array" ref="AN7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1" s="84" cm="1">
        <f t="array" ref="AO7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1" s="84" cm="1">
        <f t="array" ref="AP7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1" s="84" cm="1">
        <f t="array" ref="AQ7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1" s="84" cm="1">
        <f t="array" ref="AR7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1" s="84" cm="1">
        <f t="array" ref="AS7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1" s="84" cm="1">
        <f t="array" ref="AT7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1" s="84" cm="1">
        <f t="array" ref="AU7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41" s="84" cm="1">
        <f t="array" ref="AV7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1" s="84" cm="1">
        <f t="array" ref="AW7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41" s="84" cm="1">
        <f t="array" ref="AX7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1" s="84" cm="1">
        <f t="array" ref="AY7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41" s="84" cm="1">
        <f t="array" ref="AZ7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41" s="84" cm="1">
        <f t="array" ref="BA7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41" s="84" cm="1">
        <f t="array" ref="BB7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41" s="84">
        <f>IF(SUM(Table3[[#This Row],[Column2]:[Column18]])&gt;Table3[[#This Row],[Column19]],Table3[[#This Row],[Column19]],SUM(Table3[[#This Row],[Column2]:[Column18]]))</f>
        <v>50000</v>
      </c>
      <c r="BD741" s="2">
        <f>Table3[[#This Row],[Total Spend]]/SUM(Table3[[#This Row],[Column2]:[Column18]])</f>
        <v>0.77700077700077697</v>
      </c>
    </row>
    <row r="742" spans="1:56">
      <c r="A742" s="87" t="s">
        <v>816</v>
      </c>
      <c r="B742" s="87"/>
      <c r="C742" s="87"/>
      <c r="D742" s="85">
        <v>45566</v>
      </c>
      <c r="E742" s="85" t="s">
        <v>58</v>
      </c>
      <c r="F742" s="84">
        <f>INDEX(Definitions!$G$13:$G$17,MATCH(Table3[[#This Row],[Propensity to buy/ buyer readiness]],Definitions!$A$13:$A$17,0))</f>
        <v>50000</v>
      </c>
      <c r="G742" s="86">
        <v>5</v>
      </c>
      <c r="H742" s="86">
        <v>4</v>
      </c>
      <c r="I742" s="86">
        <v>2</v>
      </c>
      <c r="J742" s="86">
        <v>4</v>
      </c>
      <c r="K742" s="86">
        <v>3</v>
      </c>
      <c r="L742" s="86">
        <f>SUM(Table3[[#This Row],[Strategic priority segment]:[Propensity to buy/ buyer readiness]])</f>
        <v>18</v>
      </c>
      <c r="M742" s="86" t="s">
        <v>191</v>
      </c>
      <c r="N742" s="84" t="s">
        <v>135</v>
      </c>
      <c r="O742" s="87"/>
      <c r="P742" s="87"/>
      <c r="Q742" s="87"/>
      <c r="R742" s="84"/>
      <c r="S742" s="87"/>
      <c r="T742" s="87"/>
      <c r="U742" s="84">
        <v>0</v>
      </c>
      <c r="V742" s="84">
        <v>0</v>
      </c>
      <c r="W742" s="84">
        <v>0</v>
      </c>
      <c r="X742" s="84">
        <v>0</v>
      </c>
      <c r="Y742" s="84">
        <v>0</v>
      </c>
      <c r="Z742" s="84">
        <v>0</v>
      </c>
      <c r="AA742" s="84">
        <v>0</v>
      </c>
      <c r="AB742" s="84">
        <v>0</v>
      </c>
      <c r="AC742" s="84">
        <v>0</v>
      </c>
      <c r="AD742" s="84">
        <v>0</v>
      </c>
      <c r="AE742" s="84">
        <v>0</v>
      </c>
      <c r="AF742" s="84">
        <v>0</v>
      </c>
      <c r="AG742" s="84">
        <v>0</v>
      </c>
      <c r="AH742" s="84">
        <v>1</v>
      </c>
      <c r="AI742" s="84">
        <v>1</v>
      </c>
      <c r="AJ742" s="84">
        <v>1</v>
      </c>
      <c r="AK742" s="84">
        <v>1</v>
      </c>
      <c r="AL742" s="84" cm="1">
        <f t="array" ref="AL7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42" s="84" cm="1">
        <f t="array" ref="AM7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2" s="84" cm="1">
        <f t="array" ref="AN7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2" s="84" cm="1">
        <f t="array" ref="AO7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2" s="84" cm="1">
        <f t="array" ref="AP7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2" s="84" cm="1">
        <f t="array" ref="AQ7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2" s="84" cm="1">
        <f t="array" ref="AR7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2" s="84" cm="1">
        <f t="array" ref="AS7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2" s="84" cm="1">
        <f t="array" ref="AT7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2" s="84" cm="1">
        <f t="array" ref="AU7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42" s="84" cm="1">
        <f t="array" ref="AV7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2" s="84" cm="1">
        <f t="array" ref="AW7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42" s="84" cm="1">
        <f t="array" ref="AX7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2" s="84" cm="1">
        <f t="array" ref="AY7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42" s="84" cm="1">
        <f t="array" ref="AZ7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42" s="84" cm="1">
        <f t="array" ref="BA7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42" s="84" cm="1">
        <f t="array" ref="BB7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42" s="84">
        <f>IF(SUM(Table3[[#This Row],[Column2]:[Column18]])&gt;Table3[[#This Row],[Column19]],Table3[[#This Row],[Column19]],SUM(Table3[[#This Row],[Column2]:[Column18]]))</f>
        <v>50000</v>
      </c>
      <c r="BD742" s="2">
        <f>Table3[[#This Row],[Total Spend]]/SUM(Table3[[#This Row],[Column2]:[Column18]])</f>
        <v>0.77700077700077697</v>
      </c>
    </row>
    <row r="743" spans="1:56">
      <c r="A743" s="84" t="s">
        <v>817</v>
      </c>
      <c r="B743" s="84"/>
      <c r="C743" s="84"/>
      <c r="D743" s="85">
        <v>45566</v>
      </c>
      <c r="E743" s="85" t="s">
        <v>92</v>
      </c>
      <c r="F743" s="84">
        <f>INDEX(Definitions!$G$13:$G$17,MATCH(Table3[[#This Row],[Propensity to buy/ buyer readiness]],Definitions!$A$13:$A$17,0))</f>
        <v>50000</v>
      </c>
      <c r="G743" s="86">
        <v>5</v>
      </c>
      <c r="H743" s="86">
        <v>4</v>
      </c>
      <c r="I743" s="86">
        <v>2</v>
      </c>
      <c r="J743" s="86">
        <v>3</v>
      </c>
      <c r="K743" s="86">
        <v>3</v>
      </c>
      <c r="L743" s="86">
        <f>SUM(Table3[[#This Row],[Strategic priority segment]:[Propensity to buy/ buyer readiness]])</f>
        <v>17</v>
      </c>
      <c r="M743" s="86" t="s">
        <v>66</v>
      </c>
      <c r="N743" s="84" t="s">
        <v>62</v>
      </c>
      <c r="O743" s="84"/>
      <c r="P743" s="84"/>
      <c r="Q743" s="84"/>
      <c r="R743" s="84"/>
      <c r="S743" s="84"/>
      <c r="T743" s="84"/>
      <c r="U743" s="84">
        <v>1</v>
      </c>
      <c r="V743" s="84">
        <v>0</v>
      </c>
      <c r="W743" s="84">
        <v>0</v>
      </c>
      <c r="X743" s="84">
        <v>0</v>
      </c>
      <c r="Y743" s="84">
        <v>0</v>
      </c>
      <c r="Z743" s="84">
        <v>0</v>
      </c>
      <c r="AA743" s="84">
        <v>0</v>
      </c>
      <c r="AB743" s="84">
        <v>0</v>
      </c>
      <c r="AC743" s="84">
        <v>0</v>
      </c>
      <c r="AD743" s="84">
        <v>1</v>
      </c>
      <c r="AE743" s="84">
        <v>1</v>
      </c>
      <c r="AF743" s="84">
        <v>1</v>
      </c>
      <c r="AG743" s="84">
        <v>1</v>
      </c>
      <c r="AH743" s="84">
        <v>0</v>
      </c>
      <c r="AI743" s="84">
        <v>0</v>
      </c>
      <c r="AJ743" s="84">
        <v>0</v>
      </c>
      <c r="AK743" s="84">
        <v>0</v>
      </c>
      <c r="AL743" s="84" cm="1">
        <f t="array" ref="AL7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43" s="84" cm="1">
        <f t="array" ref="AM7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3" s="84" cm="1">
        <f t="array" ref="AN7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3" s="84" cm="1">
        <f t="array" ref="AO7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3" s="84" cm="1">
        <f t="array" ref="AP7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3" s="84" cm="1">
        <f t="array" ref="AQ7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3" s="84" cm="1">
        <f t="array" ref="AR7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3" s="84" cm="1">
        <f t="array" ref="AS7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3" s="84" cm="1">
        <f t="array" ref="AT7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3" s="84" cm="1">
        <f t="array" ref="AU7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43" s="84" cm="1">
        <f t="array" ref="AV7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43" s="84" cm="1">
        <f t="array" ref="AW7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43" s="84" cm="1">
        <f t="array" ref="AX7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43" s="84" cm="1">
        <f t="array" ref="AY7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3" s="84" cm="1">
        <f t="array" ref="AZ7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43" s="84" cm="1">
        <f t="array" ref="BA7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3" s="84" cm="1">
        <f t="array" ref="BB7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3" s="84">
        <f>IF(SUM(Table3[[#This Row],[Column2]:[Column18]])&gt;Table3[[#This Row],[Column19]],Table3[[#This Row],[Column19]],SUM(Table3[[#This Row],[Column2]:[Column18]]))</f>
        <v>50000</v>
      </c>
      <c r="BD743" s="2">
        <f>Table3[[#This Row],[Total Spend]]/SUM(Table3[[#This Row],[Column2]:[Column18]])</f>
        <v>0.53163211057947901</v>
      </c>
    </row>
    <row r="744" spans="1:56">
      <c r="A744" s="84" t="s">
        <v>818</v>
      </c>
      <c r="B744" s="84"/>
      <c r="C744" s="84"/>
      <c r="D744" s="85">
        <v>45566</v>
      </c>
      <c r="E744" s="85" t="s">
        <v>92</v>
      </c>
      <c r="F744" s="84">
        <f>INDEX(Definitions!$G$13:$G$17,MATCH(Table3[[#This Row],[Propensity to buy/ buyer readiness]],Definitions!$A$13:$A$17,0))</f>
        <v>50000</v>
      </c>
      <c r="G744" s="86">
        <v>5</v>
      </c>
      <c r="H744" s="86">
        <v>4</v>
      </c>
      <c r="I744" s="86">
        <v>2</v>
      </c>
      <c r="J744" s="86">
        <v>3</v>
      </c>
      <c r="K744" s="86">
        <v>3</v>
      </c>
      <c r="L744" s="86">
        <f>SUM(Table3[[#This Row],[Strategic priority segment]:[Propensity to buy/ buyer readiness]])</f>
        <v>17</v>
      </c>
      <c r="M744" s="86" t="s">
        <v>66</v>
      </c>
      <c r="N744" s="84" t="s">
        <v>62</v>
      </c>
      <c r="O744" s="87"/>
      <c r="P744" s="87"/>
      <c r="Q744" s="87"/>
      <c r="R744" s="87"/>
      <c r="S744" s="87"/>
      <c r="T744" s="87"/>
      <c r="U744" s="84">
        <v>1</v>
      </c>
      <c r="V744" s="84">
        <v>0</v>
      </c>
      <c r="W744" s="84">
        <v>0</v>
      </c>
      <c r="X744" s="84">
        <v>0</v>
      </c>
      <c r="Y744" s="84">
        <v>0</v>
      </c>
      <c r="Z744" s="84">
        <v>0</v>
      </c>
      <c r="AA744" s="84">
        <v>0</v>
      </c>
      <c r="AB744" s="84">
        <v>0</v>
      </c>
      <c r="AC744" s="84">
        <v>0</v>
      </c>
      <c r="AD744" s="84">
        <v>1</v>
      </c>
      <c r="AE744" s="84">
        <v>1</v>
      </c>
      <c r="AF744" s="84">
        <v>1</v>
      </c>
      <c r="AG744" s="84">
        <v>1</v>
      </c>
      <c r="AH744" s="84">
        <v>0</v>
      </c>
      <c r="AI744" s="84">
        <v>0</v>
      </c>
      <c r="AJ744" s="84">
        <v>0</v>
      </c>
      <c r="AK744" s="84">
        <v>0</v>
      </c>
      <c r="AL744" s="84" cm="1">
        <f t="array" ref="AL7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44" s="84" cm="1">
        <f t="array" ref="AM7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4" s="84" cm="1">
        <f t="array" ref="AN7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4" s="84" cm="1">
        <f t="array" ref="AO7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4" s="84" cm="1">
        <f t="array" ref="AP7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4" s="84" cm="1">
        <f t="array" ref="AQ7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4" s="84" cm="1">
        <f t="array" ref="AR7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4" s="84" cm="1">
        <f t="array" ref="AS7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4" s="84" cm="1">
        <f t="array" ref="AT7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4" s="84" cm="1">
        <f t="array" ref="AU7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44" s="84" cm="1">
        <f t="array" ref="AV7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44" s="84" cm="1">
        <f t="array" ref="AW7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44" s="84" cm="1">
        <f t="array" ref="AX7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44" s="84" cm="1">
        <f t="array" ref="AY7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4" s="84" cm="1">
        <f t="array" ref="AZ7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44" s="84" cm="1">
        <f t="array" ref="BA7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4" s="84" cm="1">
        <f t="array" ref="BB7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4" s="84">
        <f>IF(SUM(Table3[[#This Row],[Column2]:[Column18]])&gt;Table3[[#This Row],[Column19]],Table3[[#This Row],[Column19]],SUM(Table3[[#This Row],[Column2]:[Column18]]))</f>
        <v>50000</v>
      </c>
      <c r="BD744" s="2">
        <f>Table3[[#This Row],[Total Spend]]/SUM(Table3[[#This Row],[Column2]:[Column18]])</f>
        <v>0.53163211057947901</v>
      </c>
    </row>
    <row r="745" spans="1:56">
      <c r="A745" s="84" t="s">
        <v>819</v>
      </c>
      <c r="B745" s="84" t="s">
        <v>57</v>
      </c>
      <c r="C745" s="84"/>
      <c r="D745" s="85">
        <v>45566</v>
      </c>
      <c r="E745" s="85" t="s">
        <v>58</v>
      </c>
      <c r="F745" s="84">
        <f>INDEX(Definitions!$G$13:$G$17,MATCH(Table3[[#This Row],[Propensity to buy/ buyer readiness]],Definitions!$A$13:$A$17,0))</f>
        <v>50000</v>
      </c>
      <c r="G745" s="86">
        <v>3</v>
      </c>
      <c r="H745" s="86">
        <v>3</v>
      </c>
      <c r="I745" s="86">
        <v>4</v>
      </c>
      <c r="J745" s="86">
        <v>4</v>
      </c>
      <c r="K745" s="86">
        <v>3</v>
      </c>
      <c r="L745" s="86">
        <f>SUM(Table3[[#This Row],[Strategic priority segment]:[Propensity to buy/ buyer readiness]])</f>
        <v>17</v>
      </c>
      <c r="M745" s="86" t="s">
        <v>59</v>
      </c>
      <c r="N745" s="84" t="s">
        <v>265</v>
      </c>
      <c r="O745" s="84"/>
      <c r="P745" s="87"/>
      <c r="Q745" s="87"/>
      <c r="R745" s="84"/>
      <c r="S745" s="87"/>
      <c r="T745" s="87"/>
      <c r="U745" s="84">
        <v>1</v>
      </c>
      <c r="V745" s="84">
        <v>1</v>
      </c>
      <c r="W745" s="84">
        <v>1</v>
      </c>
      <c r="X745" s="84">
        <v>1</v>
      </c>
      <c r="Y745" s="84">
        <v>0</v>
      </c>
      <c r="Z745" s="84">
        <v>0</v>
      </c>
      <c r="AA745" s="84">
        <v>0</v>
      </c>
      <c r="AB745" s="84">
        <v>0</v>
      </c>
      <c r="AC745" s="84">
        <v>0</v>
      </c>
      <c r="AD745" s="84">
        <v>0</v>
      </c>
      <c r="AE745" s="84">
        <v>0</v>
      </c>
      <c r="AF745" s="84">
        <v>0</v>
      </c>
      <c r="AG745" s="84">
        <v>0</v>
      </c>
      <c r="AH745" s="84">
        <v>0</v>
      </c>
      <c r="AI745" s="84">
        <v>1</v>
      </c>
      <c r="AJ745" s="84">
        <v>0</v>
      </c>
      <c r="AK745" s="84">
        <v>0</v>
      </c>
      <c r="AL745" s="84" cm="1">
        <f t="array" ref="AL7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45" s="84" cm="1">
        <f t="array" ref="AM7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45" s="84" cm="1">
        <f t="array" ref="AN7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45" s="84" cm="1">
        <f t="array" ref="AO7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45" s="84" cm="1">
        <f t="array" ref="AP7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5" s="84" cm="1">
        <f t="array" ref="AQ7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5" s="84" cm="1">
        <f t="array" ref="AR7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5" s="84" cm="1">
        <f t="array" ref="AS7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5" s="84" cm="1">
        <f t="array" ref="AT7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5" s="84" cm="1">
        <f t="array" ref="AU7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45" s="84" cm="1">
        <f t="array" ref="AV7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5" s="84" cm="1">
        <f t="array" ref="AW7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45" s="84" cm="1">
        <f t="array" ref="AX7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5" s="84" cm="1">
        <f t="array" ref="AY7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5" s="84" cm="1">
        <f t="array" ref="AZ7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45" s="84" cm="1">
        <f t="array" ref="BA7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5" s="84" cm="1">
        <f t="array" ref="BB7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5" s="84">
        <f>IF(SUM(Table3[[#This Row],[Column2]:[Column18]])&gt;Table3[[#This Row],[Column19]],Table3[[#This Row],[Column19]],SUM(Table3[[#This Row],[Column2]:[Column18]]))</f>
        <v>50000</v>
      </c>
      <c r="BD745" s="2">
        <f>Table3[[#This Row],[Total Spend]]/SUM(Table3[[#This Row],[Column2]:[Column18]])</f>
        <v>0.26021337496747332</v>
      </c>
    </row>
    <row r="746" spans="1:56">
      <c r="A746" s="84" t="s">
        <v>820</v>
      </c>
      <c r="B746" s="84" t="s">
        <v>57</v>
      </c>
      <c r="C746" s="84"/>
      <c r="D746" s="85">
        <v>45566</v>
      </c>
      <c r="E746" s="85" t="s">
        <v>58</v>
      </c>
      <c r="F746" s="84">
        <f>INDEX(Definitions!$G$13:$G$17,MATCH(Table3[[#This Row],[Propensity to buy/ buyer readiness]],Definitions!$A$13:$A$17,0))</f>
        <v>50000</v>
      </c>
      <c r="G746" s="86">
        <v>3</v>
      </c>
      <c r="H746" s="86">
        <v>3</v>
      </c>
      <c r="I746" s="86">
        <v>4</v>
      </c>
      <c r="J746" s="86">
        <v>4</v>
      </c>
      <c r="K746" s="86">
        <v>3</v>
      </c>
      <c r="L746" s="86">
        <f>SUM(Table3[[#This Row],[Strategic priority segment]:[Propensity to buy/ buyer readiness]])</f>
        <v>17</v>
      </c>
      <c r="M746" s="86" t="s">
        <v>59</v>
      </c>
      <c r="N746" s="84" t="s">
        <v>265</v>
      </c>
      <c r="O746" s="84"/>
      <c r="P746" s="87"/>
      <c r="Q746" s="87"/>
      <c r="R746" s="84"/>
      <c r="S746" s="87"/>
      <c r="T746" s="87"/>
      <c r="U746" s="84">
        <v>1</v>
      </c>
      <c r="V746" s="84">
        <v>1</v>
      </c>
      <c r="W746" s="84">
        <v>1</v>
      </c>
      <c r="X746" s="84">
        <v>1</v>
      </c>
      <c r="Y746" s="84">
        <v>0</v>
      </c>
      <c r="Z746" s="84">
        <v>0</v>
      </c>
      <c r="AA746" s="84">
        <v>0</v>
      </c>
      <c r="AB746" s="84">
        <v>0</v>
      </c>
      <c r="AC746" s="84">
        <v>0</v>
      </c>
      <c r="AD746" s="84">
        <v>0</v>
      </c>
      <c r="AE746" s="84">
        <v>0</v>
      </c>
      <c r="AF746" s="84">
        <v>0</v>
      </c>
      <c r="AG746" s="84">
        <v>0</v>
      </c>
      <c r="AH746" s="84">
        <v>0</v>
      </c>
      <c r="AI746" s="84">
        <v>1</v>
      </c>
      <c r="AJ746" s="84">
        <v>0</v>
      </c>
      <c r="AK746" s="84">
        <v>0</v>
      </c>
      <c r="AL746" s="84" cm="1">
        <f t="array" ref="AL7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46" s="84" cm="1">
        <f t="array" ref="AM7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46" s="84" cm="1">
        <f t="array" ref="AN7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46" s="84" cm="1">
        <f t="array" ref="AO7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46" s="84" cm="1">
        <f t="array" ref="AP7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6" s="84" cm="1">
        <f t="array" ref="AQ7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6" s="84" cm="1">
        <f t="array" ref="AR7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6" s="84" cm="1">
        <f t="array" ref="AS7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6" s="84" cm="1">
        <f t="array" ref="AT7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6" s="84" cm="1">
        <f t="array" ref="AU7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46" s="84" cm="1">
        <f t="array" ref="AV7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6" s="84" cm="1">
        <f t="array" ref="AW7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46" s="84" cm="1">
        <f t="array" ref="AX7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6" s="84" cm="1">
        <f t="array" ref="AY7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6" s="84" cm="1">
        <f t="array" ref="AZ7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46" s="84" cm="1">
        <f t="array" ref="BA7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6" s="84" cm="1">
        <f t="array" ref="BB7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6" s="84">
        <f>IF(SUM(Table3[[#This Row],[Column2]:[Column18]])&gt;Table3[[#This Row],[Column19]],Table3[[#This Row],[Column19]],SUM(Table3[[#This Row],[Column2]:[Column18]]))</f>
        <v>50000</v>
      </c>
      <c r="BD746" s="2">
        <f>Table3[[#This Row],[Total Spend]]/SUM(Table3[[#This Row],[Column2]:[Column18]])</f>
        <v>0.26021337496747332</v>
      </c>
    </row>
    <row r="747" spans="1:56" ht="16.5" customHeight="1">
      <c r="A747" s="84" t="s">
        <v>821</v>
      </c>
      <c r="B747" s="84"/>
      <c r="C747" s="84"/>
      <c r="D747" s="85">
        <v>45566</v>
      </c>
      <c r="E747" s="85" t="s">
        <v>92</v>
      </c>
      <c r="F747" s="84">
        <f>INDEX(Definitions!$G$13:$G$17,MATCH(Table3[[#This Row],[Propensity to buy/ buyer readiness]],Definitions!$A$13:$A$17,0))</f>
        <v>50000</v>
      </c>
      <c r="G747" s="86">
        <v>5</v>
      </c>
      <c r="H747" s="86">
        <v>4</v>
      </c>
      <c r="I747" s="86">
        <v>2</v>
      </c>
      <c r="J747" s="86">
        <v>3</v>
      </c>
      <c r="K747" s="86">
        <v>3</v>
      </c>
      <c r="L747" s="86">
        <f>SUM(Table3[[#This Row],[Strategic priority segment]:[Propensity to buy/ buyer readiness]])</f>
        <v>17</v>
      </c>
      <c r="M747" s="86" t="s">
        <v>66</v>
      </c>
      <c r="N747" s="84" t="s">
        <v>62</v>
      </c>
      <c r="O747" s="87" t="s">
        <v>135</v>
      </c>
      <c r="P747" s="87"/>
      <c r="Q747" s="87"/>
      <c r="R747" s="87"/>
      <c r="S747" s="87"/>
      <c r="T747" s="87"/>
      <c r="U747" s="84">
        <v>1</v>
      </c>
      <c r="V747" s="84">
        <v>0</v>
      </c>
      <c r="W747" s="84">
        <v>0</v>
      </c>
      <c r="X747" s="84">
        <v>0</v>
      </c>
      <c r="Y747" s="84">
        <v>0</v>
      </c>
      <c r="Z747" s="84">
        <v>0</v>
      </c>
      <c r="AA747" s="84">
        <v>0</v>
      </c>
      <c r="AB747" s="84">
        <v>0</v>
      </c>
      <c r="AC747" s="84">
        <v>0</v>
      </c>
      <c r="AD747" s="84">
        <v>1</v>
      </c>
      <c r="AE747" s="84">
        <v>1</v>
      </c>
      <c r="AF747" s="84">
        <v>1</v>
      </c>
      <c r="AG747" s="84">
        <v>1</v>
      </c>
      <c r="AH747" s="84">
        <v>1</v>
      </c>
      <c r="AI747" s="84">
        <v>1</v>
      </c>
      <c r="AJ747" s="84">
        <v>1</v>
      </c>
      <c r="AK747" s="84">
        <v>1</v>
      </c>
      <c r="AL747" s="84" cm="1">
        <f t="array" ref="AL7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47" s="84" cm="1">
        <f t="array" ref="AM7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7" s="84" cm="1">
        <f t="array" ref="AN7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7" s="84" cm="1">
        <f t="array" ref="AO7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7" s="84" cm="1">
        <f t="array" ref="AP7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7" s="84" cm="1">
        <f t="array" ref="AQ7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7" s="84" cm="1">
        <f t="array" ref="AR7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7" s="84" cm="1">
        <f t="array" ref="AS7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7" s="84" cm="1">
        <f t="array" ref="AT7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7" s="84" cm="1">
        <f t="array" ref="AU7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47" s="84" cm="1">
        <f t="array" ref="AV7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47" s="84" cm="1">
        <f t="array" ref="AW7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47" s="84" cm="1">
        <f t="array" ref="AX7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47" s="84" cm="1">
        <f t="array" ref="AY7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747" s="84" cm="1">
        <f t="array" ref="AZ7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747" s="84" cm="1">
        <f t="array" ref="BA7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47" s="84" cm="1">
        <f t="array" ref="BB7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747" s="84">
        <f>IF(SUM(Table3[[#This Row],[Column2]:[Column18]])&gt;Table3[[#This Row],[Column19]],Table3[[#This Row],[Column19]],SUM(Table3[[#This Row],[Column2]:[Column18]]))</f>
        <v>50000</v>
      </c>
      <c r="BD747" s="2">
        <f>Table3[[#This Row],[Total Spend]]/SUM(Table3[[#This Row],[Column2]:[Column18]])</f>
        <v>0.35612535612535612</v>
      </c>
    </row>
    <row r="748" spans="1:56">
      <c r="A748" s="84" t="s">
        <v>822</v>
      </c>
      <c r="B748" s="84"/>
      <c r="C748" s="84"/>
      <c r="D748" s="85">
        <v>45566</v>
      </c>
      <c r="E748" s="85" t="s">
        <v>58</v>
      </c>
      <c r="F748" s="84">
        <f>INDEX(Definitions!$G$13:$G$17,MATCH(Table3[[#This Row],[Propensity to buy/ buyer readiness]],Definitions!$A$13:$A$17,0))</f>
        <v>150000</v>
      </c>
      <c r="G748" s="86">
        <v>4</v>
      </c>
      <c r="H748" s="86">
        <v>3</v>
      </c>
      <c r="I748" s="86">
        <v>3</v>
      </c>
      <c r="J748" s="86">
        <v>3</v>
      </c>
      <c r="K748" s="86">
        <v>4</v>
      </c>
      <c r="L748" s="86">
        <f>SUM(Table3[[#This Row],[Strategic priority segment]:[Propensity to buy/ buyer readiness]])</f>
        <v>17</v>
      </c>
      <c r="M748" s="86" t="s">
        <v>152</v>
      </c>
      <c r="N748" s="84" t="s">
        <v>122</v>
      </c>
      <c r="O748" s="84"/>
      <c r="P748" s="87"/>
      <c r="Q748" s="87"/>
      <c r="R748" s="84"/>
      <c r="S748" s="87"/>
      <c r="T748" s="87"/>
      <c r="U748" s="84">
        <v>1</v>
      </c>
      <c r="V748" s="84">
        <v>0</v>
      </c>
      <c r="W748" s="84">
        <v>0</v>
      </c>
      <c r="X748" s="84">
        <v>0</v>
      </c>
      <c r="Y748" s="84">
        <v>0</v>
      </c>
      <c r="Z748" s="84">
        <v>1</v>
      </c>
      <c r="AA748" s="84">
        <v>0</v>
      </c>
      <c r="AB748" s="84">
        <v>1</v>
      </c>
      <c r="AC748" s="84">
        <v>0</v>
      </c>
      <c r="AD748" s="84">
        <v>1</v>
      </c>
      <c r="AE748" s="84">
        <v>0</v>
      </c>
      <c r="AF748" s="84">
        <v>1</v>
      </c>
      <c r="AG748" s="84">
        <v>0</v>
      </c>
      <c r="AH748" s="84">
        <v>0</v>
      </c>
      <c r="AI748" s="84">
        <v>0</v>
      </c>
      <c r="AJ748" s="84">
        <v>0</v>
      </c>
      <c r="AK748" s="84">
        <v>0</v>
      </c>
      <c r="AL748" s="84" cm="1">
        <f t="array" ref="AL7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48" s="84" cm="1">
        <f t="array" ref="AM7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8" s="84" cm="1">
        <f t="array" ref="AN7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8" s="84" cm="1">
        <f t="array" ref="AO7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8" s="84" cm="1">
        <f t="array" ref="AP7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8" s="84" cm="1">
        <f t="array" ref="AQ7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48" s="84" cm="1">
        <f t="array" ref="AR7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8" s="84" cm="1">
        <f t="array" ref="AS7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48" s="84" cm="1">
        <f t="array" ref="AT7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8" s="84" cm="1">
        <f t="array" ref="AU7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48" s="84" cm="1">
        <f t="array" ref="AV7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48" s="84" cm="1">
        <f t="array" ref="AW7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48" s="84" cm="1">
        <f t="array" ref="AX7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48" s="84" cm="1">
        <f t="array" ref="AY7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8" s="84" cm="1">
        <f t="array" ref="AZ7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48" s="84" cm="1">
        <f t="array" ref="BA7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8" s="84" cm="1">
        <f t="array" ref="BB7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8" s="84">
        <f>IF(SUM(Table3[[#This Row],[Column2]:[Column18]])&gt;Table3[[#This Row],[Column19]],Table3[[#This Row],[Column19]],SUM(Table3[[#This Row],[Column2]:[Column18]]))</f>
        <v>150000</v>
      </c>
      <c r="BD748" s="2">
        <f>Table3[[#This Row],[Total Spend]]/SUM(Table3[[#This Row],[Column2]:[Column18]])</f>
        <v>0.89605734767025091</v>
      </c>
    </row>
    <row r="749" spans="1:56">
      <c r="A749" s="88" t="s">
        <v>823</v>
      </c>
      <c r="B749" s="88"/>
      <c r="C749" s="88"/>
      <c r="D749" s="85">
        <v>45566</v>
      </c>
      <c r="E749" s="85" t="s">
        <v>92</v>
      </c>
      <c r="F749" s="84">
        <f>INDEX(Definitions!$G$13:$G$17,MATCH(Table3[[#This Row],[Propensity to buy/ buyer readiness]],Definitions!$A$13:$A$17,0))</f>
        <v>50000</v>
      </c>
      <c r="G749" s="86">
        <v>5</v>
      </c>
      <c r="H749" s="86">
        <v>4</v>
      </c>
      <c r="I749" s="86">
        <v>2</v>
      </c>
      <c r="J749" s="86">
        <v>3</v>
      </c>
      <c r="K749" s="86">
        <v>3</v>
      </c>
      <c r="L749" s="86">
        <f>SUM(Table3[[#This Row],[Strategic priority segment]:[Propensity to buy/ buyer readiness]])</f>
        <v>17</v>
      </c>
      <c r="M749" s="86" t="s">
        <v>66</v>
      </c>
      <c r="N749" s="84" t="s">
        <v>62</v>
      </c>
      <c r="O749" s="84"/>
      <c r="P749" s="87"/>
      <c r="Q749" s="87"/>
      <c r="R749" s="84"/>
      <c r="S749" s="87"/>
      <c r="T749" s="87"/>
      <c r="U749" s="84">
        <v>1</v>
      </c>
      <c r="V749" s="84">
        <v>0</v>
      </c>
      <c r="W749" s="84">
        <v>0</v>
      </c>
      <c r="X749" s="84">
        <v>0</v>
      </c>
      <c r="Y749" s="84">
        <v>0</v>
      </c>
      <c r="Z749" s="84">
        <v>0</v>
      </c>
      <c r="AA749" s="84">
        <v>0</v>
      </c>
      <c r="AB749" s="84">
        <v>0</v>
      </c>
      <c r="AC749" s="84">
        <v>0</v>
      </c>
      <c r="AD749" s="84">
        <v>1</v>
      </c>
      <c r="AE749" s="84">
        <v>1</v>
      </c>
      <c r="AF749" s="84">
        <v>1</v>
      </c>
      <c r="AG749" s="84">
        <v>1</v>
      </c>
      <c r="AH749" s="84">
        <v>0</v>
      </c>
      <c r="AI749" s="84">
        <v>0</v>
      </c>
      <c r="AJ749" s="84">
        <v>0</v>
      </c>
      <c r="AK749" s="84">
        <v>0</v>
      </c>
      <c r="AL749" s="84" cm="1">
        <f t="array" ref="AL7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49" s="84" cm="1">
        <f t="array" ref="AM7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49" s="84" cm="1">
        <f t="array" ref="AN7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49" s="84" cm="1">
        <f t="array" ref="AO7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49" s="84" cm="1">
        <f t="array" ref="AP7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49" s="84" cm="1">
        <f t="array" ref="AQ7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49" s="84" cm="1">
        <f t="array" ref="AR7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49" s="84" cm="1">
        <f t="array" ref="AS7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49" s="84" cm="1">
        <f t="array" ref="AT7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49" s="84" cm="1">
        <f t="array" ref="AU7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49" s="84" cm="1">
        <f t="array" ref="AV7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49" s="84" cm="1">
        <f t="array" ref="AW7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49" s="84" cm="1">
        <f t="array" ref="AX7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49" s="84" cm="1">
        <f t="array" ref="AY7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49" s="84" cm="1">
        <f t="array" ref="AZ7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49" s="84" cm="1">
        <f t="array" ref="BA7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49" s="84" cm="1">
        <f t="array" ref="BB7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49" s="84">
        <f>IF(SUM(Table3[[#This Row],[Column2]:[Column18]])&gt;Table3[[#This Row],[Column19]],Table3[[#This Row],[Column19]],SUM(Table3[[#This Row],[Column2]:[Column18]]))</f>
        <v>50000</v>
      </c>
      <c r="BD749" s="2">
        <f>Table3[[#This Row],[Total Spend]]/SUM(Table3[[#This Row],[Column2]:[Column18]])</f>
        <v>0.53163211057947901</v>
      </c>
    </row>
    <row r="750" spans="1:56">
      <c r="A750" s="84" t="s">
        <v>824</v>
      </c>
      <c r="B750" s="84"/>
      <c r="C750" s="84"/>
      <c r="D750" s="85">
        <v>45566</v>
      </c>
      <c r="E750" s="85" t="s">
        <v>58</v>
      </c>
      <c r="F750" s="84">
        <f>INDEX(Definitions!$G$13:$G$17,MATCH(Table3[[#This Row],[Propensity to buy/ buyer readiness]],Definitions!$A$13:$A$17,0))</f>
        <v>150000</v>
      </c>
      <c r="G750" s="86">
        <v>4</v>
      </c>
      <c r="H750" s="86">
        <v>3</v>
      </c>
      <c r="I750" s="86">
        <v>3</v>
      </c>
      <c r="J750" s="86">
        <v>3</v>
      </c>
      <c r="K750" s="86">
        <v>4</v>
      </c>
      <c r="L750" s="86">
        <f>SUM(Table3[[#This Row],[Strategic priority segment]:[Propensity to buy/ buyer readiness]])</f>
        <v>17</v>
      </c>
      <c r="M750" s="86" t="s">
        <v>191</v>
      </c>
      <c r="N750" s="84" t="s">
        <v>76</v>
      </c>
      <c r="O750" s="84" t="s">
        <v>135</v>
      </c>
      <c r="P750" s="84"/>
      <c r="Q750" s="84"/>
      <c r="R750" s="84"/>
      <c r="S750" s="87"/>
      <c r="T750" s="87"/>
      <c r="U750" s="84">
        <v>0</v>
      </c>
      <c r="V750" s="84">
        <v>0</v>
      </c>
      <c r="W750" s="84">
        <v>0</v>
      </c>
      <c r="X750" s="84">
        <v>0</v>
      </c>
      <c r="Y750" s="84">
        <v>0</v>
      </c>
      <c r="Z750" s="84">
        <v>0</v>
      </c>
      <c r="AA750" s="84">
        <v>0</v>
      </c>
      <c r="AB750" s="84">
        <v>0</v>
      </c>
      <c r="AC750" s="84">
        <v>0</v>
      </c>
      <c r="AD750" s="84">
        <v>0</v>
      </c>
      <c r="AE750" s="84">
        <v>0</v>
      </c>
      <c r="AF750" s="84">
        <v>0</v>
      </c>
      <c r="AG750" s="84">
        <v>0</v>
      </c>
      <c r="AH750" s="84">
        <v>1</v>
      </c>
      <c r="AI750" s="84">
        <v>1</v>
      </c>
      <c r="AJ750" s="84">
        <v>1</v>
      </c>
      <c r="AK750" s="84">
        <v>1</v>
      </c>
      <c r="AL750" s="84" cm="1">
        <f t="array" ref="AL7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50" s="84" cm="1">
        <f t="array" ref="AM7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0" s="84" cm="1">
        <f t="array" ref="AN7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0" s="84" cm="1">
        <f t="array" ref="AO7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0" s="84" cm="1">
        <f t="array" ref="AP7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0" s="84" cm="1">
        <f t="array" ref="AQ7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50" s="84" cm="1">
        <f t="array" ref="AR7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0" s="84" cm="1">
        <f t="array" ref="AS7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50" s="84" cm="1">
        <f t="array" ref="AT7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0" s="84" cm="1">
        <f t="array" ref="AU7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50" s="84" cm="1">
        <f t="array" ref="AV7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0" s="84" cm="1">
        <f t="array" ref="AW7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50" s="84" cm="1">
        <f t="array" ref="AX7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0" s="84" cm="1">
        <f t="array" ref="AY7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50" s="84" cm="1">
        <f t="array" ref="AZ7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50" s="84" cm="1">
        <f t="array" ref="BA7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50" s="84" cm="1">
        <f t="array" ref="BB7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50" s="84">
        <f>IF(SUM(Table3[[#This Row],[Column2]:[Column18]])&gt;Table3[[#This Row],[Column19]],Table3[[#This Row],[Column19]],SUM(Table3[[#This Row],[Column2]:[Column18]]))</f>
        <v>64350</v>
      </c>
      <c r="BD750" s="2">
        <f>Table3[[#This Row],[Total Spend]]/SUM(Table3[[#This Row],[Column2]:[Column18]])</f>
        <v>1</v>
      </c>
    </row>
    <row r="751" spans="1:56">
      <c r="A751" s="84" t="s">
        <v>825</v>
      </c>
      <c r="B751" s="84" t="s">
        <v>57</v>
      </c>
      <c r="C751" s="84"/>
      <c r="D751" s="85">
        <v>45566</v>
      </c>
      <c r="E751" s="85" t="s">
        <v>58</v>
      </c>
      <c r="F751" s="84">
        <f>INDEX(Definitions!$G$13:$G$17,MATCH(Table3[[#This Row],[Propensity to buy/ buyer readiness]],Definitions!$A$13:$A$17,0))</f>
        <v>150000</v>
      </c>
      <c r="G751" s="86">
        <v>3</v>
      </c>
      <c r="H751" s="86">
        <v>3</v>
      </c>
      <c r="I751" s="86">
        <v>4</v>
      </c>
      <c r="J751" s="86">
        <v>3</v>
      </c>
      <c r="K751" s="86">
        <v>4</v>
      </c>
      <c r="L751" s="86">
        <f>SUM(Table3[[#This Row],[Strategic priority segment]:[Propensity to buy/ buyer readiness]])</f>
        <v>17</v>
      </c>
      <c r="M751" s="86" t="s">
        <v>152</v>
      </c>
      <c r="N751" s="84" t="s">
        <v>122</v>
      </c>
      <c r="O751" s="84" t="s">
        <v>135</v>
      </c>
      <c r="P751" s="87"/>
      <c r="Q751" s="87"/>
      <c r="R751" s="84"/>
      <c r="S751" s="87"/>
      <c r="T751" s="87"/>
      <c r="U751" s="84">
        <v>1</v>
      </c>
      <c r="V751" s="84">
        <v>0</v>
      </c>
      <c r="W751" s="84">
        <v>0</v>
      </c>
      <c r="X751" s="84">
        <v>0</v>
      </c>
      <c r="Y751" s="84">
        <v>0</v>
      </c>
      <c r="Z751" s="84">
        <v>1</v>
      </c>
      <c r="AA751" s="84">
        <v>0</v>
      </c>
      <c r="AB751" s="84">
        <v>1</v>
      </c>
      <c r="AC751" s="84">
        <v>0</v>
      </c>
      <c r="AD751" s="84">
        <v>1</v>
      </c>
      <c r="AE751" s="84">
        <v>0</v>
      </c>
      <c r="AF751" s="84">
        <v>1</v>
      </c>
      <c r="AG751" s="84">
        <v>0</v>
      </c>
      <c r="AH751" s="84">
        <v>1</v>
      </c>
      <c r="AI751" s="84">
        <v>1</v>
      </c>
      <c r="AJ751" s="84">
        <v>1</v>
      </c>
      <c r="AK751" s="84">
        <v>1</v>
      </c>
      <c r="AL751" s="84" cm="1">
        <f t="array" ref="AL7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51" s="84" cm="1">
        <f t="array" ref="AM7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1" s="84" cm="1">
        <f t="array" ref="AN7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1" s="84" cm="1">
        <f t="array" ref="AO7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1" s="84" cm="1">
        <f t="array" ref="AP7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1" s="84" cm="1">
        <f t="array" ref="AQ7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51" s="84" cm="1">
        <f t="array" ref="AR7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1" s="84" cm="1">
        <f t="array" ref="AS7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51" s="84" cm="1">
        <f t="array" ref="AT7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1" s="84" cm="1">
        <f t="array" ref="AU7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51" s="84" cm="1">
        <f t="array" ref="AV7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1" s="84" cm="1">
        <f t="array" ref="AW7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51" s="84" cm="1">
        <f t="array" ref="AX7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1" s="84" cm="1">
        <f t="array" ref="AY7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51" s="84" cm="1">
        <f t="array" ref="AZ7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51" s="84" cm="1">
        <f t="array" ref="BA7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51" s="84" cm="1">
        <f t="array" ref="BB7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51" s="84">
        <f>IF(SUM(Table3[[#This Row],[Column2]:[Column18]])&gt;Table3[[#This Row],[Column19]],Table3[[#This Row],[Column19]],SUM(Table3[[#This Row],[Column2]:[Column18]]))</f>
        <v>150000</v>
      </c>
      <c r="BD751" s="2">
        <f>Table3[[#This Row],[Total Spend]]/SUM(Table3[[#This Row],[Column2]:[Column18]])</f>
        <v>0.6472491909385113</v>
      </c>
    </row>
    <row r="752" spans="1:56" ht="16.5" customHeight="1">
      <c r="A752" s="84" t="s">
        <v>826</v>
      </c>
      <c r="B752" s="84"/>
      <c r="C752" s="84"/>
      <c r="D752" s="85">
        <v>45566</v>
      </c>
      <c r="E752" s="85" t="s">
        <v>92</v>
      </c>
      <c r="F752" s="84">
        <f>INDEX(Definitions!$G$13:$G$17,MATCH(Table3[[#This Row],[Propensity to buy/ buyer readiness]],Definitions!$A$13:$A$17,0))</f>
        <v>50000</v>
      </c>
      <c r="G752" s="86">
        <v>5</v>
      </c>
      <c r="H752" s="86">
        <v>4</v>
      </c>
      <c r="I752" s="86">
        <v>2</v>
      </c>
      <c r="J752" s="86">
        <v>3</v>
      </c>
      <c r="K752" s="86">
        <v>3</v>
      </c>
      <c r="L752" s="86">
        <f>SUM(Table3[[#This Row],[Strategic priority segment]:[Propensity to buy/ buyer readiness]])</f>
        <v>17</v>
      </c>
      <c r="M752" s="86" t="s">
        <v>66</v>
      </c>
      <c r="N752" s="84" t="s">
        <v>62</v>
      </c>
      <c r="O752" s="87"/>
      <c r="P752" s="87"/>
      <c r="Q752" s="87"/>
      <c r="R752" s="87"/>
      <c r="S752" s="87"/>
      <c r="T752" s="87"/>
      <c r="U752" s="84">
        <v>1</v>
      </c>
      <c r="V752" s="84">
        <v>0</v>
      </c>
      <c r="W752" s="84">
        <v>0</v>
      </c>
      <c r="X752" s="84">
        <v>0</v>
      </c>
      <c r="Y752" s="84">
        <v>0</v>
      </c>
      <c r="Z752" s="84">
        <v>0</v>
      </c>
      <c r="AA752" s="84">
        <v>0</v>
      </c>
      <c r="AB752" s="84">
        <v>0</v>
      </c>
      <c r="AC752" s="84">
        <v>0</v>
      </c>
      <c r="AD752" s="84">
        <v>1</v>
      </c>
      <c r="AE752" s="84">
        <v>1</v>
      </c>
      <c r="AF752" s="84">
        <v>1</v>
      </c>
      <c r="AG752" s="84">
        <v>1</v>
      </c>
      <c r="AH752" s="84">
        <v>0</v>
      </c>
      <c r="AI752" s="84">
        <v>0</v>
      </c>
      <c r="AJ752" s="84">
        <v>0</v>
      </c>
      <c r="AK752" s="84">
        <v>0</v>
      </c>
      <c r="AL752" s="84" cm="1">
        <f t="array" ref="AL7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52" s="84" cm="1">
        <f t="array" ref="AM7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2" s="84" cm="1">
        <f t="array" ref="AN7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2" s="84" cm="1">
        <f t="array" ref="AO7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2" s="84" cm="1">
        <f t="array" ref="AP7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2" s="84" cm="1">
        <f t="array" ref="AQ7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52" s="84" cm="1">
        <f t="array" ref="AR7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2" s="84" cm="1">
        <f t="array" ref="AS7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52" s="84" cm="1">
        <f t="array" ref="AT7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2" s="84" cm="1">
        <f t="array" ref="AU7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52" s="84" cm="1">
        <f t="array" ref="AV7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52" s="84" cm="1">
        <f t="array" ref="AW7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52" s="84" cm="1">
        <f t="array" ref="AX7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52" s="84" cm="1">
        <f t="array" ref="AY7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52" s="84" cm="1">
        <f t="array" ref="AZ7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52" s="84" cm="1">
        <f t="array" ref="BA7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52" s="84" cm="1">
        <f t="array" ref="BB7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52" s="84">
        <f>IF(SUM(Table3[[#This Row],[Column2]:[Column18]])&gt;Table3[[#This Row],[Column19]],Table3[[#This Row],[Column19]],SUM(Table3[[#This Row],[Column2]:[Column18]]))</f>
        <v>50000</v>
      </c>
      <c r="BD752" s="2">
        <f>Table3[[#This Row],[Total Spend]]/SUM(Table3[[#This Row],[Column2]:[Column18]])</f>
        <v>0.53163211057947901</v>
      </c>
    </row>
    <row r="753" spans="1:56">
      <c r="A753" s="84" t="s">
        <v>827</v>
      </c>
      <c r="B753" s="84" t="s">
        <v>57</v>
      </c>
      <c r="C753" s="84"/>
      <c r="D753" s="85">
        <v>45566</v>
      </c>
      <c r="E753" s="85" t="s">
        <v>58</v>
      </c>
      <c r="F753" s="84">
        <f>INDEX(Definitions!$G$13:$G$17,MATCH(Table3[[#This Row],[Propensity to buy/ buyer readiness]],Definitions!$A$13:$A$17,0))</f>
        <v>50000</v>
      </c>
      <c r="G753" s="86">
        <v>3</v>
      </c>
      <c r="H753" s="86">
        <v>3</v>
      </c>
      <c r="I753" s="86">
        <v>4</v>
      </c>
      <c r="J753" s="86">
        <v>4</v>
      </c>
      <c r="K753" s="86">
        <v>3</v>
      </c>
      <c r="L753" s="86">
        <f>SUM(Table3[[#This Row],[Strategic priority segment]:[Propensity to buy/ buyer readiness]])</f>
        <v>17</v>
      </c>
      <c r="M753" s="86" t="s">
        <v>59</v>
      </c>
      <c r="N753" s="84" t="s">
        <v>265</v>
      </c>
      <c r="O753" s="84"/>
      <c r="P753" s="87"/>
      <c r="Q753" s="87"/>
      <c r="R753" s="84"/>
      <c r="S753" s="87"/>
      <c r="T753" s="87"/>
      <c r="U753" s="84">
        <v>1</v>
      </c>
      <c r="V753" s="84">
        <v>1</v>
      </c>
      <c r="W753" s="84">
        <v>1</v>
      </c>
      <c r="X753" s="84">
        <v>1</v>
      </c>
      <c r="Y753" s="84">
        <v>0</v>
      </c>
      <c r="Z753" s="84">
        <v>0</v>
      </c>
      <c r="AA753" s="84">
        <v>0</v>
      </c>
      <c r="AB753" s="84">
        <v>0</v>
      </c>
      <c r="AC753" s="84">
        <v>0</v>
      </c>
      <c r="AD753" s="84">
        <v>0</v>
      </c>
      <c r="AE753" s="84">
        <v>0</v>
      </c>
      <c r="AF753" s="84">
        <v>0</v>
      </c>
      <c r="AG753" s="84">
        <v>0</v>
      </c>
      <c r="AH753" s="84">
        <v>0</v>
      </c>
      <c r="AI753" s="84">
        <v>1</v>
      </c>
      <c r="AJ753" s="84">
        <v>0</v>
      </c>
      <c r="AK753" s="84">
        <v>0</v>
      </c>
      <c r="AL753" s="84" cm="1">
        <f t="array" ref="AL7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53" s="84" cm="1">
        <f t="array" ref="AM7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53" s="84" cm="1">
        <f t="array" ref="AN7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53" s="84" cm="1">
        <f t="array" ref="AO7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53" s="84" cm="1">
        <f t="array" ref="AP7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3" s="84" cm="1">
        <f t="array" ref="AQ7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53" s="84" cm="1">
        <f t="array" ref="AR7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3" s="84" cm="1">
        <f t="array" ref="AS7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53" s="84" cm="1">
        <f t="array" ref="AT7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3" s="84" cm="1">
        <f t="array" ref="AU7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53" s="84" cm="1">
        <f t="array" ref="AV7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3" s="84" cm="1">
        <f t="array" ref="AW7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53" s="84" cm="1">
        <f t="array" ref="AX7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3" s="84" cm="1">
        <f t="array" ref="AY7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53" s="84" cm="1">
        <f t="array" ref="AZ7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53" s="84" cm="1">
        <f t="array" ref="BA7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53" s="84" cm="1">
        <f t="array" ref="BB7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53" s="84">
        <f>IF(SUM(Table3[[#This Row],[Column2]:[Column18]])&gt;Table3[[#This Row],[Column19]],Table3[[#This Row],[Column19]],SUM(Table3[[#This Row],[Column2]:[Column18]]))</f>
        <v>50000</v>
      </c>
      <c r="BD753" s="2">
        <f>Table3[[#This Row],[Total Spend]]/SUM(Table3[[#This Row],[Column2]:[Column18]])</f>
        <v>0.26021337496747332</v>
      </c>
    </row>
    <row r="754" spans="1:56">
      <c r="A754" s="84" t="s">
        <v>828</v>
      </c>
      <c r="B754" s="84"/>
      <c r="C754" s="84"/>
      <c r="D754" s="85">
        <v>45809</v>
      </c>
      <c r="E754" s="85" t="s">
        <v>92</v>
      </c>
      <c r="F754" s="84">
        <f>INDEX(Definitions!$G$13:$G$17,MATCH(Table3[[#This Row],[Propensity to buy/ buyer readiness]],Definitions!$A$13:$A$17,0))</f>
        <v>50000</v>
      </c>
      <c r="G754" s="86">
        <v>5</v>
      </c>
      <c r="H754" s="86">
        <v>4</v>
      </c>
      <c r="I754" s="86">
        <v>2</v>
      </c>
      <c r="J754" s="86">
        <v>3</v>
      </c>
      <c r="K754" s="86">
        <v>3</v>
      </c>
      <c r="L754" s="86">
        <f>SUM(Table3[[#This Row],[Strategic priority segment]:[Propensity to buy/ buyer readiness]])</f>
        <v>17</v>
      </c>
      <c r="M754" s="86" t="s">
        <v>66</v>
      </c>
      <c r="N754" s="84" t="s">
        <v>62</v>
      </c>
      <c r="O754" s="84" t="s">
        <v>61</v>
      </c>
      <c r="P754" s="87" t="s">
        <v>135</v>
      </c>
      <c r="Q754" s="87"/>
      <c r="R754" s="84"/>
      <c r="S754" s="87"/>
      <c r="T754" s="87"/>
      <c r="U754" s="84">
        <v>1</v>
      </c>
      <c r="V754" s="84">
        <v>0</v>
      </c>
      <c r="W754" s="84">
        <v>0</v>
      </c>
      <c r="X754" s="84">
        <v>0</v>
      </c>
      <c r="Y754" s="84">
        <v>0</v>
      </c>
      <c r="Z754" s="84">
        <v>1</v>
      </c>
      <c r="AA754" s="84">
        <v>1</v>
      </c>
      <c r="AB754" s="84">
        <v>1</v>
      </c>
      <c r="AC754" s="84">
        <v>1</v>
      </c>
      <c r="AD754" s="84">
        <v>1</v>
      </c>
      <c r="AE754" s="84">
        <v>1</v>
      </c>
      <c r="AF754" s="84">
        <v>1</v>
      </c>
      <c r="AG754" s="84">
        <v>1</v>
      </c>
      <c r="AH754" s="84">
        <v>1</v>
      </c>
      <c r="AI754" s="84">
        <v>1</v>
      </c>
      <c r="AJ754" s="84">
        <v>1</v>
      </c>
      <c r="AK754" s="84">
        <v>1</v>
      </c>
      <c r="AL754" s="84" cm="1">
        <f t="array" ref="AL7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54" s="84" cm="1">
        <f t="array" ref="AM7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4" s="84" cm="1">
        <f t="array" ref="AN7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4" s="84" cm="1">
        <f t="array" ref="AO7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4" s="84" cm="1">
        <f t="array" ref="AP7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4" s="84" cm="1">
        <f t="array" ref="AQ7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754" s="84" cm="1">
        <f t="array" ref="AR7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54" s="84" cm="1">
        <f t="array" ref="AS7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754" s="84" cm="1">
        <f t="array" ref="AT7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754" s="84" cm="1">
        <f t="array" ref="AU7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54" s="84" cm="1">
        <f t="array" ref="AV7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54" s="84" cm="1">
        <f t="array" ref="AW7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54" s="84" cm="1">
        <f t="array" ref="AX7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54" s="84" cm="1">
        <f t="array" ref="AY7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754" s="84" cm="1">
        <f t="array" ref="AZ7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754" s="84" cm="1">
        <f t="array" ref="BA7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54" s="84" cm="1">
        <f t="array" ref="BB7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754" s="84">
        <f>IF(SUM(Table3[[#This Row],[Column2]:[Column18]])&gt;Table3[[#This Row],[Column19]],Table3[[#This Row],[Column19]],SUM(Table3[[#This Row],[Column2]:[Column18]]))</f>
        <v>50000</v>
      </c>
      <c r="BD754" s="2">
        <f>Table3[[#This Row],[Total Spend]]/SUM(Table3[[#This Row],[Column2]:[Column18]])</f>
        <v>0.21367521367521367</v>
      </c>
    </row>
    <row r="755" spans="1:56">
      <c r="A755" s="84" t="s">
        <v>829</v>
      </c>
      <c r="B755" s="84" t="s">
        <v>57</v>
      </c>
      <c r="C755" s="84"/>
      <c r="D755" s="85">
        <v>45566</v>
      </c>
      <c r="E755" s="85" t="s">
        <v>58</v>
      </c>
      <c r="F755" s="84">
        <f>INDEX(Definitions!$G$13:$G$17,MATCH(Table3[[#This Row],[Propensity to buy/ buyer readiness]],Definitions!$A$13:$A$17,0))</f>
        <v>150000</v>
      </c>
      <c r="G755" s="86">
        <v>3</v>
      </c>
      <c r="H755" s="86">
        <v>3</v>
      </c>
      <c r="I755" s="86">
        <v>4</v>
      </c>
      <c r="J755" s="86">
        <v>3</v>
      </c>
      <c r="K755" s="86">
        <v>4</v>
      </c>
      <c r="L755" s="86">
        <f>SUM(Table3[[#This Row],[Strategic priority segment]:[Propensity to buy/ buyer readiness]])</f>
        <v>17</v>
      </c>
      <c r="M755" s="86" t="s">
        <v>152</v>
      </c>
      <c r="N755" s="84" t="s">
        <v>122</v>
      </c>
      <c r="O755" s="84"/>
      <c r="P755" s="87"/>
      <c r="Q755" s="87"/>
      <c r="R755" s="84"/>
      <c r="S755" s="87"/>
      <c r="T755" s="87"/>
      <c r="U755" s="84">
        <v>1</v>
      </c>
      <c r="V755" s="84">
        <v>0</v>
      </c>
      <c r="W755" s="84">
        <v>0</v>
      </c>
      <c r="X755" s="84">
        <v>0</v>
      </c>
      <c r="Y755" s="84">
        <v>0</v>
      </c>
      <c r="Z755" s="84">
        <v>1</v>
      </c>
      <c r="AA755" s="84">
        <v>0</v>
      </c>
      <c r="AB755" s="84">
        <v>1</v>
      </c>
      <c r="AC755" s="84">
        <v>0</v>
      </c>
      <c r="AD755" s="84">
        <v>1</v>
      </c>
      <c r="AE755" s="84">
        <v>0</v>
      </c>
      <c r="AF755" s="84">
        <v>1</v>
      </c>
      <c r="AG755" s="84">
        <v>0</v>
      </c>
      <c r="AH755" s="84">
        <v>0</v>
      </c>
      <c r="AI755" s="84">
        <v>0</v>
      </c>
      <c r="AJ755" s="84">
        <v>0</v>
      </c>
      <c r="AK755" s="84">
        <v>0</v>
      </c>
      <c r="AL755" s="84" cm="1">
        <f t="array" ref="AL7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55" s="84" cm="1">
        <f t="array" ref="AM7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5" s="84" cm="1">
        <f t="array" ref="AN7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5" s="84" cm="1">
        <f t="array" ref="AO7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5" s="84" cm="1">
        <f t="array" ref="AP7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5" s="84" cm="1">
        <f t="array" ref="AQ7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55" s="84" cm="1">
        <f t="array" ref="AR7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5" s="84" cm="1">
        <f t="array" ref="AS7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55" s="84" cm="1">
        <f t="array" ref="AT7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5" s="84" cm="1">
        <f t="array" ref="AU7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55" s="84" cm="1">
        <f t="array" ref="AV7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5" s="84" cm="1">
        <f t="array" ref="AW7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55" s="84" cm="1">
        <f t="array" ref="AX7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5" s="84" cm="1">
        <f t="array" ref="AY7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55" s="84" cm="1">
        <f t="array" ref="AZ7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55" s="84" cm="1">
        <f t="array" ref="BA7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55" s="84" cm="1">
        <f t="array" ref="BB7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55" s="84">
        <f>IF(SUM(Table3[[#This Row],[Column2]:[Column18]])&gt;Table3[[#This Row],[Column19]],Table3[[#This Row],[Column19]],SUM(Table3[[#This Row],[Column2]:[Column18]]))</f>
        <v>150000</v>
      </c>
      <c r="BD755" s="2">
        <f>Table3[[#This Row],[Total Spend]]/SUM(Table3[[#This Row],[Column2]:[Column18]])</f>
        <v>0.89605734767025091</v>
      </c>
    </row>
    <row r="756" spans="1:56">
      <c r="A756" s="84" t="s">
        <v>830</v>
      </c>
      <c r="B756" s="84"/>
      <c r="C756" s="84"/>
      <c r="D756" s="85">
        <v>45566</v>
      </c>
      <c r="E756" s="85" t="s">
        <v>58</v>
      </c>
      <c r="F756" s="84">
        <f>INDEX(Definitions!$G$13:$G$17,MATCH(Table3[[#This Row],[Propensity to buy/ buyer readiness]],Definitions!$A$13:$A$17,0))</f>
        <v>150000</v>
      </c>
      <c r="G756" s="86">
        <v>4</v>
      </c>
      <c r="H756" s="86">
        <v>3</v>
      </c>
      <c r="I756" s="86">
        <v>3</v>
      </c>
      <c r="J756" s="86">
        <v>3</v>
      </c>
      <c r="K756" s="86">
        <v>4</v>
      </c>
      <c r="L756" s="86">
        <f>SUM(Table3[[#This Row],[Strategic priority segment]:[Propensity to buy/ buyer readiness]])</f>
        <v>17</v>
      </c>
      <c r="M756" s="86" t="s">
        <v>191</v>
      </c>
      <c r="N756" s="84" t="s">
        <v>76</v>
      </c>
      <c r="O756" s="84" t="s">
        <v>135</v>
      </c>
      <c r="P756" s="84"/>
      <c r="Q756" s="84"/>
      <c r="R756" s="84"/>
      <c r="S756" s="87"/>
      <c r="T756" s="87"/>
      <c r="U756" s="84">
        <v>0</v>
      </c>
      <c r="V756" s="84">
        <v>0</v>
      </c>
      <c r="W756" s="84">
        <v>0</v>
      </c>
      <c r="X756" s="84">
        <v>0</v>
      </c>
      <c r="Y756" s="84">
        <v>0</v>
      </c>
      <c r="Z756" s="84">
        <v>0</v>
      </c>
      <c r="AA756" s="84">
        <v>0</v>
      </c>
      <c r="AB756" s="84">
        <v>0</v>
      </c>
      <c r="AC756" s="84">
        <v>0</v>
      </c>
      <c r="AD756" s="84">
        <v>0</v>
      </c>
      <c r="AE756" s="84">
        <v>0</v>
      </c>
      <c r="AF756" s="84">
        <v>0</v>
      </c>
      <c r="AG756" s="84">
        <v>0</v>
      </c>
      <c r="AH756" s="84">
        <v>1</v>
      </c>
      <c r="AI756" s="84">
        <v>1</v>
      </c>
      <c r="AJ756" s="84">
        <v>1</v>
      </c>
      <c r="AK756" s="84">
        <v>1</v>
      </c>
      <c r="AL756" s="84" cm="1">
        <f t="array" ref="AL7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56" s="84" cm="1">
        <f t="array" ref="AM7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6" s="84" cm="1">
        <f t="array" ref="AN7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6" s="84" cm="1">
        <f t="array" ref="AO7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6" s="84" cm="1">
        <f t="array" ref="AP7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6" s="84" cm="1">
        <f t="array" ref="AQ7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56" s="84" cm="1">
        <f t="array" ref="AR7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6" s="84" cm="1">
        <f t="array" ref="AS7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56" s="84" cm="1">
        <f t="array" ref="AT7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6" s="84" cm="1">
        <f t="array" ref="AU7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56" s="84" cm="1">
        <f t="array" ref="AV7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6" s="84" cm="1">
        <f t="array" ref="AW7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56" s="84" cm="1">
        <f t="array" ref="AX7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6" s="84" cm="1">
        <f t="array" ref="AY7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56" s="84" cm="1">
        <f t="array" ref="AZ7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56" s="84" cm="1">
        <f t="array" ref="BA7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56" s="84" cm="1">
        <f t="array" ref="BB7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56" s="84">
        <f>IF(SUM(Table3[[#This Row],[Column2]:[Column18]])&gt;Table3[[#This Row],[Column19]],Table3[[#This Row],[Column19]],SUM(Table3[[#This Row],[Column2]:[Column18]]))</f>
        <v>64350</v>
      </c>
      <c r="BD756" s="2">
        <f>Table3[[#This Row],[Total Spend]]/SUM(Table3[[#This Row],[Column2]:[Column18]])</f>
        <v>1</v>
      </c>
    </row>
    <row r="757" spans="1:56">
      <c r="A757" s="84" t="s">
        <v>831</v>
      </c>
      <c r="B757" s="84" t="s">
        <v>57</v>
      </c>
      <c r="C757" s="84"/>
      <c r="D757" s="85">
        <v>45566</v>
      </c>
      <c r="E757" s="85" t="s">
        <v>58</v>
      </c>
      <c r="F757" s="84">
        <f>INDEX(Definitions!$G$13:$G$17,MATCH(Table3[[#This Row],[Propensity to buy/ buyer readiness]],Definitions!$A$13:$A$17,0))</f>
        <v>150000</v>
      </c>
      <c r="G757" s="86">
        <v>3</v>
      </c>
      <c r="H757" s="86">
        <v>3</v>
      </c>
      <c r="I757" s="86">
        <v>4</v>
      </c>
      <c r="J757" s="86">
        <v>3</v>
      </c>
      <c r="K757" s="86">
        <v>4</v>
      </c>
      <c r="L757" s="86">
        <f>SUM(Table3[[#This Row],[Strategic priority segment]:[Propensity to buy/ buyer readiness]])</f>
        <v>17</v>
      </c>
      <c r="M757" s="86" t="s">
        <v>152</v>
      </c>
      <c r="N757" s="84" t="s">
        <v>122</v>
      </c>
      <c r="O757" s="84" t="s">
        <v>264</v>
      </c>
      <c r="P757" s="87"/>
      <c r="Q757" s="87"/>
      <c r="R757" s="84"/>
      <c r="S757" s="87"/>
      <c r="T757" s="87"/>
      <c r="U757" s="84">
        <v>1</v>
      </c>
      <c r="V757" s="84">
        <v>0</v>
      </c>
      <c r="W757" s="84">
        <v>0</v>
      </c>
      <c r="X757" s="84">
        <v>0</v>
      </c>
      <c r="Y757" s="84">
        <v>0</v>
      </c>
      <c r="Z757" s="84">
        <v>1</v>
      </c>
      <c r="AA757" s="84">
        <v>0</v>
      </c>
      <c r="AB757" s="84">
        <v>1</v>
      </c>
      <c r="AC757" s="84">
        <v>0</v>
      </c>
      <c r="AD757" s="84">
        <v>1</v>
      </c>
      <c r="AE757" s="84">
        <v>0</v>
      </c>
      <c r="AF757" s="84">
        <v>1</v>
      </c>
      <c r="AG757" s="84">
        <v>0</v>
      </c>
      <c r="AH757" s="84">
        <v>0</v>
      </c>
      <c r="AI757" s="84">
        <v>0</v>
      </c>
      <c r="AJ757" s="84">
        <v>0</v>
      </c>
      <c r="AK757" s="84">
        <v>0</v>
      </c>
      <c r="AL757" s="84" cm="1">
        <f t="array" ref="AL7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57" s="84" cm="1">
        <f t="array" ref="AM7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7" s="84" cm="1">
        <f t="array" ref="AN7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7" s="84" cm="1">
        <f t="array" ref="AO7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7" s="84" cm="1">
        <f t="array" ref="AP7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7" s="84" cm="1">
        <f t="array" ref="AQ7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57" s="84" cm="1">
        <f t="array" ref="AR7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7" s="84" cm="1">
        <f t="array" ref="AS7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57" s="84" cm="1">
        <f t="array" ref="AT7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7" s="84" cm="1">
        <f t="array" ref="AU7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57" s="84" cm="1">
        <f t="array" ref="AV7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7" s="84" cm="1">
        <f t="array" ref="AW7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57" s="84" cm="1">
        <f t="array" ref="AX7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7" s="84" cm="1">
        <f t="array" ref="AY7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57" s="84" cm="1">
        <f t="array" ref="AZ7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57" s="84" cm="1">
        <f t="array" ref="BA7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57" s="84" cm="1">
        <f t="array" ref="BB7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57" s="84">
        <f>IF(SUM(Table3[[#This Row],[Column2]:[Column18]])&gt;Table3[[#This Row],[Column19]],Table3[[#This Row],[Column19]],SUM(Table3[[#This Row],[Column2]:[Column18]]))</f>
        <v>150000</v>
      </c>
      <c r="BD757" s="2">
        <f>Table3[[#This Row],[Total Spend]]/SUM(Table3[[#This Row],[Column2]:[Column18]])</f>
        <v>0.89605734767025091</v>
      </c>
    </row>
    <row r="758" spans="1:56">
      <c r="A758" s="84" t="s">
        <v>832</v>
      </c>
      <c r="B758" s="84"/>
      <c r="C758" s="84"/>
      <c r="D758" s="85">
        <v>45566</v>
      </c>
      <c r="E758" s="85" t="s">
        <v>92</v>
      </c>
      <c r="F758" s="84">
        <f>INDEX(Definitions!$G$13:$G$17,MATCH(Table3[[#This Row],[Propensity to buy/ buyer readiness]],Definitions!$A$13:$A$17,0))</f>
        <v>50000</v>
      </c>
      <c r="G758" s="86">
        <v>5</v>
      </c>
      <c r="H758" s="86">
        <v>4</v>
      </c>
      <c r="I758" s="86">
        <v>2</v>
      </c>
      <c r="J758" s="86">
        <v>3</v>
      </c>
      <c r="K758" s="86">
        <v>3</v>
      </c>
      <c r="L758" s="86">
        <f>SUM(Table3[[#This Row],[Strategic priority segment]:[Propensity to buy/ buyer readiness]])</f>
        <v>17</v>
      </c>
      <c r="M758" s="86" t="s">
        <v>66</v>
      </c>
      <c r="N758" s="84" t="s">
        <v>62</v>
      </c>
      <c r="O758" s="84"/>
      <c r="P758" s="84"/>
      <c r="Q758" s="84"/>
      <c r="R758" s="84"/>
      <c r="S758" s="84"/>
      <c r="T758" s="87"/>
      <c r="U758" s="84">
        <v>1</v>
      </c>
      <c r="V758" s="84">
        <v>0</v>
      </c>
      <c r="W758" s="84">
        <v>0</v>
      </c>
      <c r="X758" s="84">
        <v>0</v>
      </c>
      <c r="Y758" s="84">
        <v>0</v>
      </c>
      <c r="Z758" s="84">
        <v>0</v>
      </c>
      <c r="AA758" s="84">
        <v>0</v>
      </c>
      <c r="AB758" s="84">
        <v>0</v>
      </c>
      <c r="AC758" s="84">
        <v>0</v>
      </c>
      <c r="AD758" s="84">
        <v>1</v>
      </c>
      <c r="AE758" s="84">
        <v>1</v>
      </c>
      <c r="AF758" s="84">
        <v>1</v>
      </c>
      <c r="AG758" s="84">
        <v>1</v>
      </c>
      <c r="AH758" s="84">
        <v>0</v>
      </c>
      <c r="AI758" s="84">
        <v>0</v>
      </c>
      <c r="AJ758" s="84">
        <v>0</v>
      </c>
      <c r="AK758" s="84">
        <v>0</v>
      </c>
      <c r="AL758" s="84" cm="1">
        <f t="array" ref="AL7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58" s="84" cm="1">
        <f t="array" ref="AM7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8" s="84" cm="1">
        <f t="array" ref="AN7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8" s="84" cm="1">
        <f t="array" ref="AO7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8" s="84" cm="1">
        <f t="array" ref="AP7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58" s="84" cm="1">
        <f t="array" ref="AQ7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58" s="84" cm="1">
        <f t="array" ref="AR7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8" s="84" cm="1">
        <f t="array" ref="AS7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58" s="84" cm="1">
        <f t="array" ref="AT7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8" s="84" cm="1">
        <f t="array" ref="AU7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58" s="84" cm="1">
        <f t="array" ref="AV7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58" s="84" cm="1">
        <f t="array" ref="AW7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58" s="84" cm="1">
        <f t="array" ref="AX7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58" s="84" cm="1">
        <f t="array" ref="AY7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58" s="84" cm="1">
        <f t="array" ref="AZ7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58" s="84" cm="1">
        <f t="array" ref="BA7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58" s="84" cm="1">
        <f t="array" ref="BB7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58" s="84">
        <f>IF(SUM(Table3[[#This Row],[Column2]:[Column18]])&gt;Table3[[#This Row],[Column19]],Table3[[#This Row],[Column19]],SUM(Table3[[#This Row],[Column2]:[Column18]]))</f>
        <v>50000</v>
      </c>
      <c r="BD758" s="2">
        <f>Table3[[#This Row],[Total Spend]]/SUM(Table3[[#This Row],[Column2]:[Column18]])</f>
        <v>0.53163211057947901</v>
      </c>
    </row>
    <row r="759" spans="1:56">
      <c r="A759" s="84" t="s">
        <v>833</v>
      </c>
      <c r="B759" s="84"/>
      <c r="C759" s="84" t="s">
        <v>57</v>
      </c>
      <c r="D759" s="85">
        <v>45809</v>
      </c>
      <c r="E759" s="85" t="s">
        <v>58</v>
      </c>
      <c r="F759" s="84">
        <f>INDEX(Definitions!$G$13:$G$17,MATCH(Table3[[#This Row],[Propensity to buy/ buyer readiness]],Definitions!$A$13:$A$17,0))</f>
        <v>50000</v>
      </c>
      <c r="G759" s="86">
        <v>4</v>
      </c>
      <c r="H759" s="86">
        <v>3</v>
      </c>
      <c r="I759" s="86">
        <v>4</v>
      </c>
      <c r="J759" s="86">
        <v>3</v>
      </c>
      <c r="K759" s="86">
        <v>3</v>
      </c>
      <c r="L759" s="86">
        <f>SUM(Table3[[#This Row],[Strategic priority segment]:[Propensity to buy/ buyer readiness]])</f>
        <v>17</v>
      </c>
      <c r="M759" s="86" t="s">
        <v>59</v>
      </c>
      <c r="N759" s="84" t="s">
        <v>85</v>
      </c>
      <c r="O759" s="84"/>
      <c r="P759" s="84"/>
      <c r="Q759" s="84"/>
      <c r="R759" s="84"/>
      <c r="S759" s="84"/>
      <c r="T759" s="84"/>
      <c r="U759" s="84">
        <v>1</v>
      </c>
      <c r="V759" s="84">
        <v>0</v>
      </c>
      <c r="W759" s="84">
        <v>0</v>
      </c>
      <c r="X759" s="84">
        <v>0</v>
      </c>
      <c r="Y759" s="84">
        <v>1</v>
      </c>
      <c r="Z759" s="84">
        <v>0</v>
      </c>
      <c r="AA759" s="84">
        <v>0</v>
      </c>
      <c r="AB759" s="84">
        <v>0</v>
      </c>
      <c r="AC759" s="84">
        <v>0</v>
      </c>
      <c r="AD759" s="84">
        <v>0</v>
      </c>
      <c r="AE759" s="84">
        <v>0</v>
      </c>
      <c r="AF759" s="84">
        <v>0</v>
      </c>
      <c r="AG759" s="84">
        <v>0</v>
      </c>
      <c r="AH759" s="84">
        <v>0</v>
      </c>
      <c r="AI759" s="84">
        <v>0</v>
      </c>
      <c r="AJ759" s="84">
        <v>0</v>
      </c>
      <c r="AK759" s="84">
        <v>0</v>
      </c>
      <c r="AL759" s="84" cm="1">
        <f t="array" ref="AL7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59" s="84" cm="1">
        <f t="array" ref="AM7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59" s="84" cm="1">
        <f t="array" ref="AN7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59" s="84" cm="1">
        <f t="array" ref="AO7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59" s="84" cm="1">
        <f t="array" ref="AP7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759" s="84" cm="1">
        <f t="array" ref="AQ7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59" s="84" cm="1">
        <f t="array" ref="AR7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59" s="84" cm="1">
        <f t="array" ref="AS7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59" s="84" cm="1">
        <f t="array" ref="AT7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59" s="84" cm="1">
        <f t="array" ref="AU7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59" s="84" cm="1">
        <f t="array" ref="AV7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59" s="84" cm="1">
        <f t="array" ref="AW7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59" s="84" cm="1">
        <f t="array" ref="AX7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59" s="84" cm="1">
        <f t="array" ref="AY7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59" s="84" cm="1">
        <f t="array" ref="AZ7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59" s="84" cm="1">
        <f t="array" ref="BA7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59" s="84" cm="1">
        <f t="array" ref="BB7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59" s="84">
        <f>IF(SUM(Table3[[#This Row],[Column2]:[Column18]])&gt;Table3[[#This Row],[Column19]],Table3[[#This Row],[Column19]],SUM(Table3[[#This Row],[Column2]:[Column18]]))</f>
        <v>50000</v>
      </c>
      <c r="BD759" s="2">
        <f>Table3[[#This Row],[Total Spend]]/SUM(Table3[[#This Row],[Column2]:[Column18]])</f>
        <v>0.75075075075075071</v>
      </c>
    </row>
    <row r="760" spans="1:56">
      <c r="A760" s="84" t="s">
        <v>834</v>
      </c>
      <c r="B760" s="84" t="s">
        <v>57</v>
      </c>
      <c r="C760" s="84"/>
      <c r="D760" s="85">
        <v>45566</v>
      </c>
      <c r="E760" s="85" t="s">
        <v>58</v>
      </c>
      <c r="F760" s="84">
        <f>INDEX(Definitions!$G$13:$G$17,MATCH(Table3[[#This Row],[Propensity to buy/ buyer readiness]],Definitions!$A$13:$A$17,0))</f>
        <v>50000</v>
      </c>
      <c r="G760" s="86">
        <v>4</v>
      </c>
      <c r="H760" s="86">
        <v>3</v>
      </c>
      <c r="I760" s="86">
        <v>4</v>
      </c>
      <c r="J760" s="86">
        <v>3</v>
      </c>
      <c r="K760" s="86">
        <v>3</v>
      </c>
      <c r="L760" s="86">
        <f>SUM(Table3[[#This Row],[Strategic priority segment]:[Propensity to buy/ buyer readiness]])</f>
        <v>17</v>
      </c>
      <c r="M760" s="86" t="s">
        <v>59</v>
      </c>
      <c r="N760" s="84" t="s">
        <v>85</v>
      </c>
      <c r="O760" s="84"/>
      <c r="P760" s="87"/>
      <c r="Q760" s="87"/>
      <c r="R760" s="84"/>
      <c r="S760" s="87"/>
      <c r="T760" s="87"/>
      <c r="U760" s="84">
        <v>1</v>
      </c>
      <c r="V760" s="84">
        <v>0</v>
      </c>
      <c r="W760" s="84">
        <v>0</v>
      </c>
      <c r="X760" s="84">
        <v>0</v>
      </c>
      <c r="Y760" s="84">
        <v>1</v>
      </c>
      <c r="Z760" s="84">
        <v>0</v>
      </c>
      <c r="AA760" s="84">
        <v>0</v>
      </c>
      <c r="AB760" s="84">
        <v>0</v>
      </c>
      <c r="AC760" s="84">
        <v>0</v>
      </c>
      <c r="AD760" s="84">
        <v>0</v>
      </c>
      <c r="AE760" s="84">
        <v>0</v>
      </c>
      <c r="AF760" s="84">
        <v>0</v>
      </c>
      <c r="AG760" s="84">
        <v>0</v>
      </c>
      <c r="AH760" s="84">
        <v>0</v>
      </c>
      <c r="AI760" s="84">
        <v>0</v>
      </c>
      <c r="AJ760" s="84">
        <v>0</v>
      </c>
      <c r="AK760" s="84">
        <v>0</v>
      </c>
      <c r="AL760" s="84" cm="1">
        <f t="array" ref="AL7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60" s="84" cm="1">
        <f t="array" ref="AM7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0" s="84" cm="1">
        <f t="array" ref="AN7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0" s="84" cm="1">
        <f t="array" ref="AO7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0" s="84" cm="1">
        <f t="array" ref="AP7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760" s="84" cm="1">
        <f t="array" ref="AQ7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0" s="84" cm="1">
        <f t="array" ref="AR7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0" s="84" cm="1">
        <f t="array" ref="AS7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0" s="84" cm="1">
        <f t="array" ref="AT7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0" s="84" cm="1">
        <f t="array" ref="AU7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60" s="84" cm="1">
        <f t="array" ref="AV7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60" s="84" cm="1">
        <f t="array" ref="AW7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60" s="84" cm="1">
        <f t="array" ref="AX7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60" s="84" cm="1">
        <f t="array" ref="AY7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0" s="84" cm="1">
        <f t="array" ref="AZ7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0" s="84" cm="1">
        <f t="array" ref="BA7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0" s="84" cm="1">
        <f t="array" ref="BB7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0" s="84">
        <f>IF(SUM(Table3[[#This Row],[Column2]:[Column18]])&gt;Table3[[#This Row],[Column19]],Table3[[#This Row],[Column19]],SUM(Table3[[#This Row],[Column2]:[Column18]]))</f>
        <v>50000</v>
      </c>
      <c r="BD760" s="2">
        <f>Table3[[#This Row],[Total Spend]]/SUM(Table3[[#This Row],[Column2]:[Column18]])</f>
        <v>0.75075075075075071</v>
      </c>
    </row>
    <row r="761" spans="1:56">
      <c r="A761" s="84" t="s">
        <v>835</v>
      </c>
      <c r="B761" s="84"/>
      <c r="C761" s="84"/>
      <c r="D761" s="85">
        <v>45566</v>
      </c>
      <c r="E761" s="85" t="s">
        <v>92</v>
      </c>
      <c r="F761" s="84">
        <f>INDEX(Definitions!$G$13:$G$17,MATCH(Table3[[#This Row],[Propensity to buy/ buyer readiness]],Definitions!$A$13:$A$17,0))</f>
        <v>50000</v>
      </c>
      <c r="G761" s="86">
        <v>5</v>
      </c>
      <c r="H761" s="86">
        <v>4</v>
      </c>
      <c r="I761" s="86">
        <v>2</v>
      </c>
      <c r="J761" s="86">
        <v>3</v>
      </c>
      <c r="K761" s="86">
        <v>3</v>
      </c>
      <c r="L761" s="86">
        <f>SUM(Table3[[#This Row],[Strategic priority segment]:[Propensity to buy/ buyer readiness]])</f>
        <v>17</v>
      </c>
      <c r="M761" s="86" t="s">
        <v>66</v>
      </c>
      <c r="N761" s="84" t="s">
        <v>62</v>
      </c>
      <c r="O761" s="84"/>
      <c r="P761" s="87"/>
      <c r="Q761" s="87"/>
      <c r="R761" s="84"/>
      <c r="S761" s="87"/>
      <c r="T761" s="87"/>
      <c r="U761" s="84">
        <v>1</v>
      </c>
      <c r="V761" s="84">
        <v>0</v>
      </c>
      <c r="W761" s="84">
        <v>0</v>
      </c>
      <c r="X761" s="84">
        <v>0</v>
      </c>
      <c r="Y761" s="84">
        <v>0</v>
      </c>
      <c r="Z761" s="84">
        <v>0</v>
      </c>
      <c r="AA761" s="84">
        <v>0</v>
      </c>
      <c r="AB761" s="84">
        <v>0</v>
      </c>
      <c r="AC761" s="84">
        <v>0</v>
      </c>
      <c r="AD761" s="84">
        <v>1</v>
      </c>
      <c r="AE761" s="84">
        <v>1</v>
      </c>
      <c r="AF761" s="84">
        <v>1</v>
      </c>
      <c r="AG761" s="84">
        <v>1</v>
      </c>
      <c r="AH761" s="84">
        <v>0</v>
      </c>
      <c r="AI761" s="84">
        <v>0</v>
      </c>
      <c r="AJ761" s="84">
        <v>0</v>
      </c>
      <c r="AK761" s="84">
        <v>0</v>
      </c>
      <c r="AL761" s="84" cm="1">
        <f t="array" ref="AL7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1" s="84" cm="1">
        <f t="array" ref="AM7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1" s="84" cm="1">
        <f t="array" ref="AN7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1" s="84" cm="1">
        <f t="array" ref="AO7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1" s="84" cm="1">
        <f t="array" ref="AP7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1" s="84" cm="1">
        <f t="array" ref="AQ7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1" s="84" cm="1">
        <f t="array" ref="AR7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1" s="84" cm="1">
        <f t="array" ref="AS7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1" s="84" cm="1">
        <f t="array" ref="AT7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1" s="84" cm="1">
        <f t="array" ref="AU7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1" s="84" cm="1">
        <f t="array" ref="AV7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61" s="84" cm="1">
        <f t="array" ref="AW7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61" s="84" cm="1">
        <f t="array" ref="AX7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61" s="84" cm="1">
        <f t="array" ref="AY7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1" s="84" cm="1">
        <f t="array" ref="AZ7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1" s="84" cm="1">
        <f t="array" ref="BA7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1" s="84" cm="1">
        <f t="array" ref="BB7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1" s="84">
        <f>IF(SUM(Table3[[#This Row],[Column2]:[Column18]])&gt;Table3[[#This Row],[Column19]],Table3[[#This Row],[Column19]],SUM(Table3[[#This Row],[Column2]:[Column18]]))</f>
        <v>50000</v>
      </c>
      <c r="BD761" s="2">
        <f>Table3[[#This Row],[Total Spend]]/SUM(Table3[[#This Row],[Column2]:[Column18]])</f>
        <v>0.53163211057947901</v>
      </c>
    </row>
    <row r="762" spans="1:56">
      <c r="A762" s="84" t="s">
        <v>836</v>
      </c>
      <c r="B762" s="84"/>
      <c r="C762" s="84"/>
      <c r="D762" s="85">
        <v>45809</v>
      </c>
      <c r="E762" s="85" t="s">
        <v>92</v>
      </c>
      <c r="F762" s="84">
        <f>INDEX(Definitions!$G$13:$G$17,MATCH(Table3[[#This Row],[Propensity to buy/ buyer readiness]],Definitions!$A$13:$A$17,0))</f>
        <v>50000</v>
      </c>
      <c r="G762" s="86">
        <v>5</v>
      </c>
      <c r="H762" s="86">
        <v>4</v>
      </c>
      <c r="I762" s="86">
        <v>2</v>
      </c>
      <c r="J762" s="86">
        <v>3</v>
      </c>
      <c r="K762" s="86">
        <v>3</v>
      </c>
      <c r="L762" s="86">
        <f>SUM(Table3[[#This Row],[Strategic priority segment]:[Propensity to buy/ buyer readiness]])</f>
        <v>17</v>
      </c>
      <c r="M762" s="86" t="s">
        <v>66</v>
      </c>
      <c r="N762" s="84" t="s">
        <v>62</v>
      </c>
      <c r="O762" s="84"/>
      <c r="P762" s="84"/>
      <c r="Q762" s="84"/>
      <c r="R762" s="84"/>
      <c r="S762" s="84"/>
      <c r="T762" s="84"/>
      <c r="U762" s="84">
        <v>1</v>
      </c>
      <c r="V762" s="84">
        <v>0</v>
      </c>
      <c r="W762" s="84">
        <v>0</v>
      </c>
      <c r="X762" s="84">
        <v>0</v>
      </c>
      <c r="Y762" s="84">
        <v>0</v>
      </c>
      <c r="Z762" s="84">
        <v>0</v>
      </c>
      <c r="AA762" s="84">
        <v>0</v>
      </c>
      <c r="AB762" s="84">
        <v>0</v>
      </c>
      <c r="AC762" s="84">
        <v>0</v>
      </c>
      <c r="AD762" s="84">
        <v>1</v>
      </c>
      <c r="AE762" s="84">
        <v>1</v>
      </c>
      <c r="AF762" s="84">
        <v>1</v>
      </c>
      <c r="AG762" s="84">
        <v>1</v>
      </c>
      <c r="AH762" s="84">
        <v>0</v>
      </c>
      <c r="AI762" s="84">
        <v>0</v>
      </c>
      <c r="AJ762" s="84">
        <v>0</v>
      </c>
      <c r="AK762" s="84">
        <v>0</v>
      </c>
      <c r="AL762" s="84" cm="1">
        <f t="array" ref="AL7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2" s="84" cm="1">
        <f t="array" ref="AM7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2" s="84" cm="1">
        <f t="array" ref="AN7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2" s="84" cm="1">
        <f t="array" ref="AO7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2" s="84" cm="1">
        <f t="array" ref="AP7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2" s="84" cm="1">
        <f t="array" ref="AQ7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2" s="84" cm="1">
        <f t="array" ref="AR7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2" s="84" cm="1">
        <f t="array" ref="AS7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2" s="84" cm="1">
        <f t="array" ref="AT7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2" s="84" cm="1">
        <f t="array" ref="AU7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2" s="84" cm="1">
        <f t="array" ref="AV7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62" s="84" cm="1">
        <f t="array" ref="AW7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62" s="84" cm="1">
        <f t="array" ref="AX7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62" s="84" cm="1">
        <f t="array" ref="AY7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2" s="84" cm="1">
        <f t="array" ref="AZ7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2" s="84" cm="1">
        <f t="array" ref="BA7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2" s="84" cm="1">
        <f t="array" ref="BB7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2" s="84">
        <f>IF(SUM(Table3[[#This Row],[Column2]:[Column18]])&gt;Table3[[#This Row],[Column19]],Table3[[#This Row],[Column19]],SUM(Table3[[#This Row],[Column2]:[Column18]]))</f>
        <v>50000</v>
      </c>
      <c r="BD762" s="2">
        <f>Table3[[#This Row],[Total Spend]]/SUM(Table3[[#This Row],[Column2]:[Column18]])</f>
        <v>0.53163211057947901</v>
      </c>
    </row>
    <row r="763" spans="1:56">
      <c r="A763" s="88" t="s">
        <v>837</v>
      </c>
      <c r="B763" s="88"/>
      <c r="C763" s="88"/>
      <c r="D763" s="85">
        <v>45566</v>
      </c>
      <c r="E763" s="85" t="s">
        <v>92</v>
      </c>
      <c r="F763" s="84">
        <f>INDEX(Definitions!$G$13:$G$17,MATCH(Table3[[#This Row],[Propensity to buy/ buyer readiness]],Definitions!$A$13:$A$17,0))</f>
        <v>50000</v>
      </c>
      <c r="G763" s="86">
        <v>5</v>
      </c>
      <c r="H763" s="86">
        <v>4</v>
      </c>
      <c r="I763" s="86">
        <v>2</v>
      </c>
      <c r="J763" s="86">
        <v>3</v>
      </c>
      <c r="K763" s="86">
        <v>3</v>
      </c>
      <c r="L763" s="86">
        <f>SUM(Table3[[#This Row],[Strategic priority segment]:[Propensity to buy/ buyer readiness]])</f>
        <v>17</v>
      </c>
      <c r="M763" s="86" t="s">
        <v>66</v>
      </c>
      <c r="N763" s="84" t="s">
        <v>62</v>
      </c>
      <c r="O763" s="84"/>
      <c r="P763" s="87"/>
      <c r="Q763" s="87"/>
      <c r="R763" s="84"/>
      <c r="S763" s="87"/>
      <c r="T763" s="87"/>
      <c r="U763" s="84">
        <v>1</v>
      </c>
      <c r="V763" s="84">
        <v>0</v>
      </c>
      <c r="W763" s="84">
        <v>0</v>
      </c>
      <c r="X763" s="84">
        <v>0</v>
      </c>
      <c r="Y763" s="84">
        <v>0</v>
      </c>
      <c r="Z763" s="84">
        <v>0</v>
      </c>
      <c r="AA763" s="84">
        <v>0</v>
      </c>
      <c r="AB763" s="84">
        <v>0</v>
      </c>
      <c r="AC763" s="84">
        <v>0</v>
      </c>
      <c r="AD763" s="84">
        <v>1</v>
      </c>
      <c r="AE763" s="84">
        <v>1</v>
      </c>
      <c r="AF763" s="84">
        <v>1</v>
      </c>
      <c r="AG763" s="84">
        <v>1</v>
      </c>
      <c r="AH763" s="84">
        <v>0</v>
      </c>
      <c r="AI763" s="84">
        <v>0</v>
      </c>
      <c r="AJ763" s="84">
        <v>0</v>
      </c>
      <c r="AK763" s="84">
        <v>0</v>
      </c>
      <c r="AL763" s="84" cm="1">
        <f t="array" ref="AL7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3" s="84" cm="1">
        <f t="array" ref="AM7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3" s="84" cm="1">
        <f t="array" ref="AN7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3" s="84" cm="1">
        <f t="array" ref="AO7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3" s="84" cm="1">
        <f t="array" ref="AP7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3" s="84" cm="1">
        <f t="array" ref="AQ7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3" s="84" cm="1">
        <f t="array" ref="AR7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3" s="84" cm="1">
        <f t="array" ref="AS7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3" s="84" cm="1">
        <f t="array" ref="AT7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3" s="84" cm="1">
        <f t="array" ref="AU7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3" s="84" cm="1">
        <f t="array" ref="AV7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63" s="84" cm="1">
        <f t="array" ref="AW7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63" s="84" cm="1">
        <f t="array" ref="AX7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63" s="84" cm="1">
        <f t="array" ref="AY7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3" s="84" cm="1">
        <f t="array" ref="AZ7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3" s="84" cm="1">
        <f t="array" ref="BA7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3" s="84" cm="1">
        <f t="array" ref="BB7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3" s="84">
        <f>IF(SUM(Table3[[#This Row],[Column2]:[Column18]])&gt;Table3[[#This Row],[Column19]],Table3[[#This Row],[Column19]],SUM(Table3[[#This Row],[Column2]:[Column18]]))</f>
        <v>50000</v>
      </c>
      <c r="BD763" s="2">
        <f>Table3[[#This Row],[Total Spend]]/SUM(Table3[[#This Row],[Column2]:[Column18]])</f>
        <v>0.53163211057947901</v>
      </c>
    </row>
    <row r="764" spans="1:56">
      <c r="A764" s="84" t="s">
        <v>838</v>
      </c>
      <c r="B764" s="84" t="s">
        <v>57</v>
      </c>
      <c r="C764" s="84"/>
      <c r="D764" s="85">
        <v>45566</v>
      </c>
      <c r="E764" s="85" t="s">
        <v>58</v>
      </c>
      <c r="F764" s="84">
        <f>INDEX(Definitions!$G$13:$G$17,MATCH(Table3[[#This Row],[Propensity to buy/ buyer readiness]],Definitions!$A$13:$A$17,0))</f>
        <v>150000</v>
      </c>
      <c r="G764" s="86">
        <v>3</v>
      </c>
      <c r="H764" s="86">
        <v>3</v>
      </c>
      <c r="I764" s="86">
        <v>4</v>
      </c>
      <c r="J764" s="86">
        <v>3</v>
      </c>
      <c r="K764" s="86">
        <v>4</v>
      </c>
      <c r="L764" s="86">
        <f>SUM(Table3[[#This Row],[Strategic priority segment]:[Propensity to buy/ buyer readiness]])</f>
        <v>17</v>
      </c>
      <c r="M764" s="86" t="s">
        <v>152</v>
      </c>
      <c r="N764" s="84" t="s">
        <v>122</v>
      </c>
      <c r="O764" s="84" t="s">
        <v>135</v>
      </c>
      <c r="P764" s="87"/>
      <c r="Q764" s="87"/>
      <c r="R764" s="84"/>
      <c r="S764" s="87"/>
      <c r="T764" s="87"/>
      <c r="U764" s="84">
        <v>1</v>
      </c>
      <c r="V764" s="84">
        <v>0</v>
      </c>
      <c r="W764" s="84">
        <v>0</v>
      </c>
      <c r="X764" s="84">
        <v>0</v>
      </c>
      <c r="Y764" s="84">
        <v>0</v>
      </c>
      <c r="Z764" s="84">
        <v>1</v>
      </c>
      <c r="AA764" s="84">
        <v>0</v>
      </c>
      <c r="AB764" s="84">
        <v>1</v>
      </c>
      <c r="AC764" s="84">
        <v>0</v>
      </c>
      <c r="AD764" s="84">
        <v>1</v>
      </c>
      <c r="AE764" s="84">
        <v>0</v>
      </c>
      <c r="AF764" s="84">
        <v>1</v>
      </c>
      <c r="AG764" s="84">
        <v>0</v>
      </c>
      <c r="AH764" s="84">
        <v>1</v>
      </c>
      <c r="AI764" s="84">
        <v>1</v>
      </c>
      <c r="AJ764" s="84">
        <v>1</v>
      </c>
      <c r="AK764" s="84">
        <v>1</v>
      </c>
      <c r="AL764" s="84" cm="1">
        <f t="array" ref="AL7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64" s="84" cm="1">
        <f t="array" ref="AM7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4" s="84" cm="1">
        <f t="array" ref="AN7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4" s="84" cm="1">
        <f t="array" ref="AO7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4" s="84" cm="1">
        <f t="array" ref="AP7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4" s="84" cm="1">
        <f t="array" ref="AQ7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64" s="84" cm="1">
        <f t="array" ref="AR7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4" s="84" cm="1">
        <f t="array" ref="AS7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64" s="84" cm="1">
        <f t="array" ref="AT7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4" s="84" cm="1">
        <f t="array" ref="AU7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64" s="84" cm="1">
        <f t="array" ref="AV7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64" s="84" cm="1">
        <f t="array" ref="AW7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64" s="84" cm="1">
        <f t="array" ref="AX7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64" s="84" cm="1">
        <f t="array" ref="AY7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64" s="84" cm="1">
        <f t="array" ref="AZ7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64" s="84" cm="1">
        <f t="array" ref="BA7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64" s="84" cm="1">
        <f t="array" ref="BB7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64" s="84">
        <f>IF(SUM(Table3[[#This Row],[Column2]:[Column18]])&gt;Table3[[#This Row],[Column19]],Table3[[#This Row],[Column19]],SUM(Table3[[#This Row],[Column2]:[Column18]]))</f>
        <v>150000</v>
      </c>
      <c r="BD764" s="2">
        <f>Table3[[#This Row],[Total Spend]]/SUM(Table3[[#This Row],[Column2]:[Column18]])</f>
        <v>0.6472491909385113</v>
      </c>
    </row>
    <row r="765" spans="1:56">
      <c r="A765" s="84" t="s">
        <v>839</v>
      </c>
      <c r="B765" s="84"/>
      <c r="C765" s="84"/>
      <c r="D765" s="85">
        <v>45809</v>
      </c>
      <c r="E765" s="85" t="s">
        <v>92</v>
      </c>
      <c r="F765" s="84">
        <f>INDEX(Definitions!$G$13:$G$17,MATCH(Table3[[#This Row],[Propensity to buy/ buyer readiness]],Definitions!$A$13:$A$17,0))</f>
        <v>50000</v>
      </c>
      <c r="G765" s="86">
        <v>5</v>
      </c>
      <c r="H765" s="86">
        <v>4</v>
      </c>
      <c r="I765" s="86">
        <v>2</v>
      </c>
      <c r="J765" s="86">
        <v>3</v>
      </c>
      <c r="K765" s="86">
        <v>3</v>
      </c>
      <c r="L765" s="86">
        <f>SUM(Table3[[#This Row],[Strategic priority segment]:[Propensity to buy/ buyer readiness]])</f>
        <v>17</v>
      </c>
      <c r="M765" s="86" t="s">
        <v>66</v>
      </c>
      <c r="N765" s="84" t="s">
        <v>62</v>
      </c>
      <c r="O765" s="84"/>
      <c r="P765" s="84"/>
      <c r="Q765" s="84"/>
      <c r="R765" s="84"/>
      <c r="S765" s="84"/>
      <c r="T765" s="84"/>
      <c r="U765" s="84">
        <v>1</v>
      </c>
      <c r="V765" s="84">
        <v>0</v>
      </c>
      <c r="W765" s="84">
        <v>0</v>
      </c>
      <c r="X765" s="84">
        <v>0</v>
      </c>
      <c r="Y765" s="84">
        <v>0</v>
      </c>
      <c r="Z765" s="84">
        <v>0</v>
      </c>
      <c r="AA765" s="84">
        <v>0</v>
      </c>
      <c r="AB765" s="84">
        <v>0</v>
      </c>
      <c r="AC765" s="84">
        <v>0</v>
      </c>
      <c r="AD765" s="84">
        <v>1</v>
      </c>
      <c r="AE765" s="84">
        <v>1</v>
      </c>
      <c r="AF765" s="84">
        <v>1</v>
      </c>
      <c r="AG765" s="84">
        <v>1</v>
      </c>
      <c r="AH765" s="84">
        <v>0</v>
      </c>
      <c r="AI765" s="84">
        <v>0</v>
      </c>
      <c r="AJ765" s="84">
        <v>0</v>
      </c>
      <c r="AK765" s="84">
        <v>0</v>
      </c>
      <c r="AL765" s="84" cm="1">
        <f t="array" ref="AL7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5" s="84" cm="1">
        <f t="array" ref="AM7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5" s="84" cm="1">
        <f t="array" ref="AN7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5" s="84" cm="1">
        <f t="array" ref="AO7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5" s="84" cm="1">
        <f t="array" ref="AP7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5" s="84" cm="1">
        <f t="array" ref="AQ7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5" s="84" cm="1">
        <f t="array" ref="AR7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5" s="84" cm="1">
        <f t="array" ref="AS7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5" s="84" cm="1">
        <f t="array" ref="AT7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5" s="84" cm="1">
        <f t="array" ref="AU7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5" s="84" cm="1">
        <f t="array" ref="AV7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65" s="84" cm="1">
        <f t="array" ref="AW7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65" s="84" cm="1">
        <f t="array" ref="AX7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65" s="84" cm="1">
        <f t="array" ref="AY7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5" s="84" cm="1">
        <f t="array" ref="AZ7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5" s="84" cm="1">
        <f t="array" ref="BA7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5" s="84" cm="1">
        <f t="array" ref="BB7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5" s="84">
        <f>IF(SUM(Table3[[#This Row],[Column2]:[Column18]])&gt;Table3[[#This Row],[Column19]],Table3[[#This Row],[Column19]],SUM(Table3[[#This Row],[Column2]:[Column18]]))</f>
        <v>50000</v>
      </c>
      <c r="BD765" s="2">
        <f>Table3[[#This Row],[Total Spend]]/SUM(Table3[[#This Row],[Column2]:[Column18]])</f>
        <v>0.53163211057947901</v>
      </c>
    </row>
    <row r="766" spans="1:56" ht="28.5">
      <c r="A766" s="84" t="s">
        <v>840</v>
      </c>
      <c r="B766" s="84"/>
      <c r="C766" s="84"/>
      <c r="D766" s="85">
        <v>45566</v>
      </c>
      <c r="E766" s="85" t="s">
        <v>92</v>
      </c>
      <c r="F766" s="84">
        <f>INDEX(Definitions!$G$13:$G$17,MATCH(Table3[[#This Row],[Propensity to buy/ buyer readiness]],Definitions!$A$13:$A$17,0))</f>
        <v>50000</v>
      </c>
      <c r="G766" s="86">
        <v>5</v>
      </c>
      <c r="H766" s="86">
        <v>4</v>
      </c>
      <c r="I766" s="86">
        <v>2</v>
      </c>
      <c r="J766" s="86">
        <v>3</v>
      </c>
      <c r="K766" s="86">
        <v>3</v>
      </c>
      <c r="L766" s="86">
        <f>SUM(Table3[[#This Row],[Strategic priority segment]:[Propensity to buy/ buyer readiness]])</f>
        <v>17</v>
      </c>
      <c r="M766" s="86" t="s">
        <v>66</v>
      </c>
      <c r="N766" s="84" t="s">
        <v>62</v>
      </c>
      <c r="O766" s="87" t="s">
        <v>61</v>
      </c>
      <c r="P766" s="87" t="s">
        <v>135</v>
      </c>
      <c r="Q766" s="87"/>
      <c r="R766" s="87"/>
      <c r="S766" s="87"/>
      <c r="T766" s="87"/>
      <c r="U766" s="84">
        <v>1</v>
      </c>
      <c r="V766" s="84">
        <v>0</v>
      </c>
      <c r="W766" s="84">
        <v>0</v>
      </c>
      <c r="X766" s="84">
        <v>0</v>
      </c>
      <c r="Y766" s="84">
        <v>0</v>
      </c>
      <c r="Z766" s="84">
        <v>1</v>
      </c>
      <c r="AA766" s="84">
        <v>1</v>
      </c>
      <c r="AB766" s="84">
        <v>1</v>
      </c>
      <c r="AC766" s="84">
        <v>1</v>
      </c>
      <c r="AD766" s="84">
        <v>1</v>
      </c>
      <c r="AE766" s="84">
        <v>1</v>
      </c>
      <c r="AF766" s="84">
        <v>1</v>
      </c>
      <c r="AG766" s="84">
        <v>1</v>
      </c>
      <c r="AH766" s="84">
        <v>1</v>
      </c>
      <c r="AI766" s="84">
        <v>1</v>
      </c>
      <c r="AJ766" s="84">
        <v>1</v>
      </c>
      <c r="AK766" s="84">
        <v>1</v>
      </c>
      <c r="AL766" s="84" cm="1">
        <f t="array" ref="AL7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6" s="84" cm="1">
        <f t="array" ref="AM7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6" s="84" cm="1">
        <f t="array" ref="AN7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6" s="84" cm="1">
        <f t="array" ref="AO7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6" s="84" cm="1">
        <f t="array" ref="AP7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6" s="84" cm="1">
        <f t="array" ref="AQ7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766" s="84" cm="1">
        <f t="array" ref="AR7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66" s="84" cm="1">
        <f t="array" ref="AS7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766" s="84" cm="1">
        <f t="array" ref="AT7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766" s="84" cm="1">
        <f t="array" ref="AU7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6" s="84" cm="1">
        <f t="array" ref="AV7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66" s="84" cm="1">
        <f t="array" ref="AW7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66" s="84" cm="1">
        <f t="array" ref="AX7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66" s="84" cm="1">
        <f t="array" ref="AY7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766" s="84" cm="1">
        <f t="array" ref="AZ7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766" s="84" cm="1">
        <f t="array" ref="BA7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66" s="84" cm="1">
        <f t="array" ref="BB7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766" s="84">
        <f>IF(SUM(Table3[[#This Row],[Column2]:[Column18]])&gt;Table3[[#This Row],[Column19]],Table3[[#This Row],[Column19]],SUM(Table3[[#This Row],[Column2]:[Column18]]))</f>
        <v>50000</v>
      </c>
      <c r="BD766" s="2">
        <f>Table3[[#This Row],[Total Spend]]/SUM(Table3[[#This Row],[Column2]:[Column18]])</f>
        <v>0.21367521367521367</v>
      </c>
    </row>
    <row r="767" spans="1:56">
      <c r="A767" s="84" t="s">
        <v>841</v>
      </c>
      <c r="B767" s="84" t="s">
        <v>57</v>
      </c>
      <c r="C767" s="84"/>
      <c r="D767" s="85">
        <v>45566</v>
      </c>
      <c r="E767" s="85" t="s">
        <v>92</v>
      </c>
      <c r="F767" s="84">
        <f>INDEX(Definitions!$G$13:$G$17,MATCH(Table3[[#This Row],[Propensity to buy/ buyer readiness]],Definitions!$A$13:$A$17,0))</f>
        <v>50000</v>
      </c>
      <c r="G767" s="86">
        <v>5</v>
      </c>
      <c r="H767" s="86">
        <v>4</v>
      </c>
      <c r="I767" s="86">
        <v>2</v>
      </c>
      <c r="J767" s="86">
        <v>3</v>
      </c>
      <c r="K767" s="86">
        <v>3</v>
      </c>
      <c r="L767" s="86">
        <f>SUM(Table3[[#This Row],[Strategic priority segment]:[Propensity to buy/ buyer readiness]])</f>
        <v>17</v>
      </c>
      <c r="M767" s="86" t="s">
        <v>66</v>
      </c>
      <c r="N767" s="84" t="s">
        <v>62</v>
      </c>
      <c r="O767" s="84"/>
      <c r="P767" s="87"/>
      <c r="Q767" s="87"/>
      <c r="R767" s="84"/>
      <c r="S767" s="87"/>
      <c r="T767" s="87"/>
      <c r="U767" s="84">
        <v>1</v>
      </c>
      <c r="V767" s="84">
        <v>0</v>
      </c>
      <c r="W767" s="84">
        <v>0</v>
      </c>
      <c r="X767" s="84">
        <v>0</v>
      </c>
      <c r="Y767" s="84">
        <v>0</v>
      </c>
      <c r="Z767" s="84">
        <v>0</v>
      </c>
      <c r="AA767" s="84">
        <v>0</v>
      </c>
      <c r="AB767" s="84">
        <v>0</v>
      </c>
      <c r="AC767" s="84">
        <v>0</v>
      </c>
      <c r="AD767" s="84">
        <v>1</v>
      </c>
      <c r="AE767" s="84">
        <v>1</v>
      </c>
      <c r="AF767" s="84">
        <v>1</v>
      </c>
      <c r="AG767" s="84">
        <v>1</v>
      </c>
      <c r="AH767" s="84">
        <v>0</v>
      </c>
      <c r="AI767" s="84">
        <v>0</v>
      </c>
      <c r="AJ767" s="84">
        <v>0</v>
      </c>
      <c r="AK767" s="84">
        <v>0</v>
      </c>
      <c r="AL767" s="84" cm="1">
        <f t="array" ref="AL7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67" s="84" cm="1">
        <f t="array" ref="AM7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7" s="84" cm="1">
        <f t="array" ref="AN7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7" s="84" cm="1">
        <f t="array" ref="AO7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7" s="84" cm="1">
        <f t="array" ref="AP7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7" s="84" cm="1">
        <f t="array" ref="AQ7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7" s="84" cm="1">
        <f t="array" ref="AR7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7" s="84" cm="1">
        <f t="array" ref="AS7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7" s="84" cm="1">
        <f t="array" ref="AT7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7" s="84" cm="1">
        <f t="array" ref="AU7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67" s="84" cm="1">
        <f t="array" ref="AV7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67" s="84" cm="1">
        <f t="array" ref="AW7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67" s="84" cm="1">
        <f t="array" ref="AX7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67" s="84" cm="1">
        <f t="array" ref="AY7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7" s="84" cm="1">
        <f t="array" ref="AZ7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7" s="84" cm="1">
        <f t="array" ref="BA7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7" s="84" cm="1">
        <f t="array" ref="BB7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7" s="84">
        <f>IF(SUM(Table3[[#This Row],[Column2]:[Column18]])&gt;Table3[[#This Row],[Column19]],Table3[[#This Row],[Column19]],SUM(Table3[[#This Row],[Column2]:[Column18]]))</f>
        <v>50000</v>
      </c>
      <c r="BD767" s="2">
        <f>Table3[[#This Row],[Total Spend]]/SUM(Table3[[#This Row],[Column2]:[Column18]])</f>
        <v>0.53163211057947901</v>
      </c>
    </row>
    <row r="768" spans="1:56">
      <c r="A768" s="84" t="s">
        <v>842</v>
      </c>
      <c r="B768" s="84" t="s">
        <v>57</v>
      </c>
      <c r="C768" s="84"/>
      <c r="D768" s="85">
        <v>45566</v>
      </c>
      <c r="E768" s="85" t="s">
        <v>58</v>
      </c>
      <c r="F768" s="84">
        <f>INDEX(Definitions!$G$13:$G$17,MATCH(Table3[[#This Row],[Propensity to buy/ buyer readiness]],Definitions!$A$13:$A$17,0))</f>
        <v>50000</v>
      </c>
      <c r="G768" s="86">
        <v>4</v>
      </c>
      <c r="H768" s="86">
        <v>3</v>
      </c>
      <c r="I768" s="86">
        <v>4</v>
      </c>
      <c r="J768" s="86">
        <v>3</v>
      </c>
      <c r="K768" s="86">
        <v>3</v>
      </c>
      <c r="L768" s="86">
        <f>SUM(Table3[[#This Row],[Strategic priority segment]:[Propensity to buy/ buyer readiness]])</f>
        <v>17</v>
      </c>
      <c r="M768" s="86" t="s">
        <v>152</v>
      </c>
      <c r="N768" s="84" t="s">
        <v>153</v>
      </c>
      <c r="O768" s="84"/>
      <c r="P768" s="87"/>
      <c r="Q768" s="87"/>
      <c r="R768" s="84"/>
      <c r="S768" s="87"/>
      <c r="T768" s="87"/>
      <c r="U768" s="84">
        <v>1</v>
      </c>
      <c r="V768" s="84">
        <v>0</v>
      </c>
      <c r="W768" s="84">
        <v>0</v>
      </c>
      <c r="X768" s="84">
        <v>0</v>
      </c>
      <c r="Y768" s="84">
        <v>0</v>
      </c>
      <c r="Z768" s="84">
        <v>0</v>
      </c>
      <c r="AA768" s="84">
        <v>0</v>
      </c>
      <c r="AB768" s="84">
        <v>0</v>
      </c>
      <c r="AC768" s="84">
        <v>0</v>
      </c>
      <c r="AD768" s="84">
        <v>0</v>
      </c>
      <c r="AE768" s="84">
        <v>0</v>
      </c>
      <c r="AF768" s="84">
        <v>0</v>
      </c>
      <c r="AG768" s="84">
        <v>0</v>
      </c>
      <c r="AH768" s="84">
        <v>0</v>
      </c>
      <c r="AI768" s="84">
        <v>0</v>
      </c>
      <c r="AJ768" s="84">
        <v>0</v>
      </c>
      <c r="AK768" s="84">
        <v>0</v>
      </c>
      <c r="AL768" s="84" cm="1">
        <f t="array" ref="AL7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68" s="84" cm="1">
        <f t="array" ref="AM7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8" s="84" cm="1">
        <f t="array" ref="AN7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8" s="84" cm="1">
        <f t="array" ref="AO7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8" s="84" cm="1">
        <f t="array" ref="AP7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8" s="84" cm="1">
        <f t="array" ref="AQ7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8" s="84" cm="1">
        <f t="array" ref="AR7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8" s="84" cm="1">
        <f t="array" ref="AS7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8" s="84" cm="1">
        <f t="array" ref="AT7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8" s="84" cm="1">
        <f t="array" ref="AU7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68" s="84" cm="1">
        <f t="array" ref="AV7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68" s="84" cm="1">
        <f t="array" ref="AW7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68" s="84" cm="1">
        <f t="array" ref="AX7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68" s="84" cm="1">
        <f t="array" ref="AY7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68" s="84" cm="1">
        <f t="array" ref="AZ7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68" s="84" cm="1">
        <f t="array" ref="BA7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68" s="84" cm="1">
        <f t="array" ref="BB7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68" s="84">
        <f>IF(SUM(Table3[[#This Row],[Column2]:[Column18]])&gt;Table3[[#This Row],[Column19]],Table3[[#This Row],[Column19]],SUM(Table3[[#This Row],[Column2]:[Column18]]))</f>
        <v>10800</v>
      </c>
      <c r="BD768" s="2">
        <f>Table3[[#This Row],[Total Spend]]/SUM(Table3[[#This Row],[Column2]:[Column18]])</f>
        <v>1</v>
      </c>
    </row>
    <row r="769" spans="1:56">
      <c r="A769" s="84" t="s">
        <v>843</v>
      </c>
      <c r="B769" s="84"/>
      <c r="C769" s="84"/>
      <c r="D769" s="85">
        <v>45566</v>
      </c>
      <c r="E769" s="85" t="s">
        <v>58</v>
      </c>
      <c r="F769" s="84">
        <f>INDEX(Definitions!$G$13:$G$17,MATCH(Table3[[#This Row],[Propensity to buy/ buyer readiness]],Definitions!$A$13:$A$17,0))</f>
        <v>150000</v>
      </c>
      <c r="G769" s="86">
        <v>4</v>
      </c>
      <c r="H769" s="86">
        <v>3</v>
      </c>
      <c r="I769" s="86">
        <v>3</v>
      </c>
      <c r="J769" s="86">
        <v>3</v>
      </c>
      <c r="K769" s="86">
        <v>4</v>
      </c>
      <c r="L769" s="86">
        <f>SUM(Table3[[#This Row],[Strategic priority segment]:[Propensity to buy/ buyer readiness]])</f>
        <v>17</v>
      </c>
      <c r="M769" s="86" t="s">
        <v>191</v>
      </c>
      <c r="N769" s="84" t="s">
        <v>76</v>
      </c>
      <c r="O769" s="84" t="s">
        <v>135</v>
      </c>
      <c r="P769" s="84"/>
      <c r="Q769" s="84"/>
      <c r="R769" s="84"/>
      <c r="S769" s="87"/>
      <c r="T769" s="87"/>
      <c r="U769" s="84">
        <v>0</v>
      </c>
      <c r="V769" s="84">
        <v>0</v>
      </c>
      <c r="W769" s="84">
        <v>0</v>
      </c>
      <c r="X769" s="84">
        <v>0</v>
      </c>
      <c r="Y769" s="84">
        <v>0</v>
      </c>
      <c r="Z769" s="84">
        <v>0</v>
      </c>
      <c r="AA769" s="84">
        <v>0</v>
      </c>
      <c r="AB769" s="84">
        <v>0</v>
      </c>
      <c r="AC769" s="84">
        <v>0</v>
      </c>
      <c r="AD769" s="84">
        <v>0</v>
      </c>
      <c r="AE769" s="84">
        <v>0</v>
      </c>
      <c r="AF769" s="84">
        <v>0</v>
      </c>
      <c r="AG769" s="84">
        <v>0</v>
      </c>
      <c r="AH769" s="84">
        <v>1</v>
      </c>
      <c r="AI769" s="84">
        <v>1</v>
      </c>
      <c r="AJ769" s="84">
        <v>1</v>
      </c>
      <c r="AK769" s="84">
        <v>1</v>
      </c>
      <c r="AL769" s="84" cm="1">
        <f t="array" ref="AL7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69" s="84" cm="1">
        <f t="array" ref="AM7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69" s="84" cm="1">
        <f t="array" ref="AN7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69" s="84" cm="1">
        <f t="array" ref="AO7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69" s="84" cm="1">
        <f t="array" ref="AP7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69" s="84" cm="1">
        <f t="array" ref="AQ7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69" s="84" cm="1">
        <f t="array" ref="AR7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69" s="84" cm="1">
        <f t="array" ref="AS7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69" s="84" cm="1">
        <f t="array" ref="AT7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69" s="84" cm="1">
        <f t="array" ref="AU7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69" s="84" cm="1">
        <f t="array" ref="AV7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69" s="84" cm="1">
        <f t="array" ref="AW7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69" s="84" cm="1">
        <f t="array" ref="AX7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69" s="84" cm="1">
        <f t="array" ref="AY7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69" s="84" cm="1">
        <f t="array" ref="AZ7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69" s="84" cm="1">
        <f t="array" ref="BA7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69" s="84" cm="1">
        <f t="array" ref="BB7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69" s="84">
        <f>IF(SUM(Table3[[#This Row],[Column2]:[Column18]])&gt;Table3[[#This Row],[Column19]],Table3[[#This Row],[Column19]],SUM(Table3[[#This Row],[Column2]:[Column18]]))</f>
        <v>64350</v>
      </c>
      <c r="BD769" s="2">
        <f>Table3[[#This Row],[Total Spend]]/SUM(Table3[[#This Row],[Column2]:[Column18]])</f>
        <v>1</v>
      </c>
    </row>
    <row r="770" spans="1:56">
      <c r="A770" s="84" t="s">
        <v>844</v>
      </c>
      <c r="B770" s="84" t="s">
        <v>57</v>
      </c>
      <c r="C770" s="84"/>
      <c r="D770" s="85">
        <v>45566</v>
      </c>
      <c r="E770" s="85" t="s">
        <v>58</v>
      </c>
      <c r="F770" s="84">
        <f>INDEX(Definitions!$G$13:$G$17,MATCH(Table3[[#This Row],[Propensity to buy/ buyer readiness]],Definitions!$A$13:$A$17,0))</f>
        <v>50000</v>
      </c>
      <c r="G770" s="86">
        <v>3</v>
      </c>
      <c r="H770" s="86">
        <v>3</v>
      </c>
      <c r="I770" s="86">
        <v>4</v>
      </c>
      <c r="J770" s="86">
        <v>4</v>
      </c>
      <c r="K770" s="86">
        <v>3</v>
      </c>
      <c r="L770" s="86">
        <f>SUM(Table3[[#This Row],[Strategic priority segment]:[Propensity to buy/ buyer readiness]])</f>
        <v>17</v>
      </c>
      <c r="M770" s="86" t="s">
        <v>59</v>
      </c>
      <c r="N770" s="84" t="s">
        <v>265</v>
      </c>
      <c r="O770" s="84"/>
      <c r="P770" s="87"/>
      <c r="Q770" s="87"/>
      <c r="R770" s="84"/>
      <c r="S770" s="87"/>
      <c r="T770" s="87"/>
      <c r="U770" s="84">
        <v>1</v>
      </c>
      <c r="V770" s="84">
        <v>1</v>
      </c>
      <c r="W770" s="84">
        <v>1</v>
      </c>
      <c r="X770" s="84">
        <v>1</v>
      </c>
      <c r="Y770" s="84">
        <v>0</v>
      </c>
      <c r="Z770" s="84">
        <v>0</v>
      </c>
      <c r="AA770" s="84">
        <v>0</v>
      </c>
      <c r="AB770" s="84">
        <v>0</v>
      </c>
      <c r="AC770" s="84">
        <v>0</v>
      </c>
      <c r="AD770" s="84">
        <v>0</v>
      </c>
      <c r="AE770" s="84">
        <v>0</v>
      </c>
      <c r="AF770" s="84">
        <v>0</v>
      </c>
      <c r="AG770" s="84">
        <v>0</v>
      </c>
      <c r="AH770" s="84">
        <v>0</v>
      </c>
      <c r="AI770" s="84">
        <v>1</v>
      </c>
      <c r="AJ770" s="84">
        <v>0</v>
      </c>
      <c r="AK770" s="84">
        <v>0</v>
      </c>
      <c r="AL770" s="84" cm="1">
        <f t="array" ref="AL7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70" s="84" cm="1">
        <f t="array" ref="AM7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70" s="84" cm="1">
        <f t="array" ref="AN7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70" s="84" cm="1">
        <f t="array" ref="AO7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70" s="84" cm="1">
        <f t="array" ref="AP7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0" s="84" cm="1">
        <f t="array" ref="AQ7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0" s="84" cm="1">
        <f t="array" ref="AR7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0" s="84" cm="1">
        <f t="array" ref="AS7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0" s="84" cm="1">
        <f t="array" ref="AT7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0" s="84" cm="1">
        <f t="array" ref="AU7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70" s="84" cm="1">
        <f t="array" ref="AV7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70" s="84" cm="1">
        <f t="array" ref="AW7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70" s="84" cm="1">
        <f t="array" ref="AX7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70" s="84" cm="1">
        <f t="array" ref="AY7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0" s="84" cm="1">
        <f t="array" ref="AZ7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70" s="84" cm="1">
        <f t="array" ref="BA7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0" s="84" cm="1">
        <f t="array" ref="BB7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0" s="84">
        <f>IF(SUM(Table3[[#This Row],[Column2]:[Column18]])&gt;Table3[[#This Row],[Column19]],Table3[[#This Row],[Column19]],SUM(Table3[[#This Row],[Column2]:[Column18]]))</f>
        <v>50000</v>
      </c>
      <c r="BD770" s="2">
        <f>Table3[[#This Row],[Total Spend]]/SUM(Table3[[#This Row],[Column2]:[Column18]])</f>
        <v>0.26021337496747332</v>
      </c>
    </row>
    <row r="771" spans="1:56" ht="28.5">
      <c r="A771" s="84" t="s">
        <v>845</v>
      </c>
      <c r="B771" s="84"/>
      <c r="C771" s="84"/>
      <c r="D771" s="85">
        <v>45566</v>
      </c>
      <c r="E771" s="85" t="s">
        <v>92</v>
      </c>
      <c r="F771" s="84">
        <f>INDEX(Definitions!$G$13:$G$17,MATCH(Table3[[#This Row],[Propensity to buy/ buyer readiness]],Definitions!$A$13:$A$17,0))</f>
        <v>50000</v>
      </c>
      <c r="G771" s="86">
        <v>3</v>
      </c>
      <c r="H771" s="86">
        <v>4</v>
      </c>
      <c r="I771" s="86">
        <v>3</v>
      </c>
      <c r="J771" s="86">
        <v>4</v>
      </c>
      <c r="K771" s="86">
        <v>3</v>
      </c>
      <c r="L771" s="86">
        <f>SUM(Table3[[#This Row],[Strategic priority segment]:[Propensity to buy/ buyer readiness]])</f>
        <v>17</v>
      </c>
      <c r="M771" s="86" t="s">
        <v>152</v>
      </c>
      <c r="N771" s="84" t="s">
        <v>122</v>
      </c>
      <c r="O771" s="84" t="s">
        <v>61</v>
      </c>
      <c r="P771" s="87" t="s">
        <v>62</v>
      </c>
      <c r="Q771" s="87"/>
      <c r="R771" s="84"/>
      <c r="S771" s="87"/>
      <c r="T771" s="87"/>
      <c r="U771" s="84">
        <v>1</v>
      </c>
      <c r="V771" s="84">
        <v>0</v>
      </c>
      <c r="W771" s="84">
        <v>0</v>
      </c>
      <c r="X771" s="84">
        <v>0</v>
      </c>
      <c r="Y771" s="84">
        <v>0</v>
      </c>
      <c r="Z771" s="84">
        <v>1</v>
      </c>
      <c r="AA771" s="84">
        <v>1</v>
      </c>
      <c r="AB771" s="84">
        <v>1</v>
      </c>
      <c r="AC771" s="84">
        <v>1</v>
      </c>
      <c r="AD771" s="84">
        <v>1</v>
      </c>
      <c r="AE771" s="84">
        <v>1</v>
      </c>
      <c r="AF771" s="84">
        <v>1</v>
      </c>
      <c r="AG771" s="84">
        <v>1</v>
      </c>
      <c r="AH771" s="84">
        <v>0</v>
      </c>
      <c r="AI771" s="84">
        <v>0</v>
      </c>
      <c r="AJ771" s="84">
        <v>0</v>
      </c>
      <c r="AK771" s="84">
        <v>0</v>
      </c>
      <c r="AL771" s="84" cm="1">
        <f t="array" ref="AL7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71" s="84" cm="1">
        <f t="array" ref="AM7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1" s="84" cm="1">
        <f t="array" ref="AN7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1" s="84" cm="1">
        <f t="array" ref="AO7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1" s="84" cm="1">
        <f t="array" ref="AP7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1" s="84" cm="1">
        <f t="array" ref="AQ7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771" s="84" cm="1">
        <f t="array" ref="AR7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71" s="84" cm="1">
        <f t="array" ref="AS7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771" s="84" cm="1">
        <f t="array" ref="AT7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771" s="84" cm="1">
        <f t="array" ref="AU7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71" s="84" cm="1">
        <f t="array" ref="AV7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71" s="84" cm="1">
        <f t="array" ref="AW7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71" s="84" cm="1">
        <f t="array" ref="AX7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71" s="84" cm="1">
        <f t="array" ref="AY7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1" s="84" cm="1">
        <f t="array" ref="AZ7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71" s="84" cm="1">
        <f t="array" ref="BA7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1" s="84" cm="1">
        <f t="array" ref="BB7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1" s="84">
        <f>IF(SUM(Table3[[#This Row],[Column2]:[Column18]])&gt;Table3[[#This Row],[Column19]],Table3[[#This Row],[Column19]],SUM(Table3[[#This Row],[Column2]:[Column18]]))</f>
        <v>50000</v>
      </c>
      <c r="BD771" s="2">
        <f>Table3[[#This Row],[Total Spend]]/SUM(Table3[[#This Row],[Column2]:[Column18]])</f>
        <v>0.2664535038635758</v>
      </c>
    </row>
    <row r="772" spans="1:56">
      <c r="A772" s="84" t="s">
        <v>846</v>
      </c>
      <c r="B772" s="84"/>
      <c r="C772" s="84"/>
      <c r="D772" s="85">
        <v>45809</v>
      </c>
      <c r="E772" s="85" t="s">
        <v>92</v>
      </c>
      <c r="F772" s="84">
        <f>INDEX(Definitions!$G$13:$G$17,MATCH(Table3[[#This Row],[Propensity to buy/ buyer readiness]],Definitions!$A$13:$A$17,0))</f>
        <v>50000</v>
      </c>
      <c r="G772" s="86">
        <v>5</v>
      </c>
      <c r="H772" s="86">
        <v>4</v>
      </c>
      <c r="I772" s="86">
        <v>2</v>
      </c>
      <c r="J772" s="86">
        <v>3</v>
      </c>
      <c r="K772" s="86">
        <v>3</v>
      </c>
      <c r="L772" s="86">
        <f>SUM(Table3[[#This Row],[Strategic priority segment]:[Propensity to buy/ buyer readiness]])</f>
        <v>17</v>
      </c>
      <c r="M772" s="86" t="s">
        <v>66</v>
      </c>
      <c r="N772" s="84" t="s">
        <v>62</v>
      </c>
      <c r="O772" s="84" t="s">
        <v>135</v>
      </c>
      <c r="P772" s="87"/>
      <c r="Q772" s="87"/>
      <c r="R772" s="84"/>
      <c r="S772" s="84"/>
      <c r="T772" s="84"/>
      <c r="U772" s="84">
        <v>1</v>
      </c>
      <c r="V772" s="84">
        <v>0</v>
      </c>
      <c r="W772" s="84">
        <v>0</v>
      </c>
      <c r="X772" s="84">
        <v>0</v>
      </c>
      <c r="Y772" s="84">
        <v>0</v>
      </c>
      <c r="Z772" s="84">
        <v>0</v>
      </c>
      <c r="AA772" s="84">
        <v>0</v>
      </c>
      <c r="AB772" s="84">
        <v>0</v>
      </c>
      <c r="AC772" s="84">
        <v>0</v>
      </c>
      <c r="AD772" s="84">
        <v>1</v>
      </c>
      <c r="AE772" s="84">
        <v>1</v>
      </c>
      <c r="AF772" s="84">
        <v>1</v>
      </c>
      <c r="AG772" s="84">
        <v>1</v>
      </c>
      <c r="AH772" s="84">
        <v>1</v>
      </c>
      <c r="AI772" s="84">
        <v>1</v>
      </c>
      <c r="AJ772" s="84">
        <v>1</v>
      </c>
      <c r="AK772" s="84">
        <v>1</v>
      </c>
      <c r="AL772" s="84" cm="1">
        <f t="array" ref="AL7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72" s="84" cm="1">
        <f t="array" ref="AM7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2" s="84" cm="1">
        <f t="array" ref="AN7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2" s="84" cm="1">
        <f t="array" ref="AO7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2" s="84" cm="1">
        <f t="array" ref="AP7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2" s="84" cm="1">
        <f t="array" ref="AQ7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2" s="84" cm="1">
        <f t="array" ref="AR7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2" s="84" cm="1">
        <f t="array" ref="AS7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2" s="84" cm="1">
        <f t="array" ref="AT7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2" s="84" cm="1">
        <f t="array" ref="AU7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72" s="84" cm="1">
        <f t="array" ref="AV7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72" s="84" cm="1">
        <f t="array" ref="AW7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72" s="84" cm="1">
        <f t="array" ref="AX7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72" s="84" cm="1">
        <f t="array" ref="AY7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772" s="84" cm="1">
        <f t="array" ref="AZ7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772" s="84" cm="1">
        <f t="array" ref="BA7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72" s="84" cm="1">
        <f t="array" ref="BB7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772" s="84">
        <f>IF(SUM(Table3[[#This Row],[Column2]:[Column18]])&gt;Table3[[#This Row],[Column19]],Table3[[#This Row],[Column19]],SUM(Table3[[#This Row],[Column2]:[Column18]]))</f>
        <v>50000</v>
      </c>
      <c r="BD772" s="2">
        <f>Table3[[#This Row],[Total Spend]]/SUM(Table3[[#This Row],[Column2]:[Column18]])</f>
        <v>0.35612535612535612</v>
      </c>
    </row>
    <row r="773" spans="1:56">
      <c r="A773" s="87" t="s">
        <v>847</v>
      </c>
      <c r="B773" s="87"/>
      <c r="C773" s="87" t="s">
        <v>57</v>
      </c>
      <c r="D773" s="85">
        <v>45566</v>
      </c>
      <c r="E773" s="85" t="s">
        <v>92</v>
      </c>
      <c r="F773" s="84">
        <f>INDEX(Definitions!$G$13:$G$17,MATCH(Table3[[#This Row],[Propensity to buy/ buyer readiness]],Definitions!$A$13:$A$17,0))</f>
        <v>50000</v>
      </c>
      <c r="G773" s="86">
        <v>5</v>
      </c>
      <c r="H773" s="86">
        <v>4</v>
      </c>
      <c r="I773" s="86">
        <v>2</v>
      </c>
      <c r="J773" s="86">
        <v>3</v>
      </c>
      <c r="K773" s="86">
        <v>3</v>
      </c>
      <c r="L773" s="86">
        <f>SUM(Table3[[#This Row],[Strategic priority segment]:[Propensity to buy/ buyer readiness]])</f>
        <v>17</v>
      </c>
      <c r="M773" s="86" t="s">
        <v>66</v>
      </c>
      <c r="N773" s="84" t="s">
        <v>62</v>
      </c>
      <c r="O773" s="87"/>
      <c r="P773" s="87"/>
      <c r="Q773" s="87"/>
      <c r="R773" s="84"/>
      <c r="S773" s="87"/>
      <c r="T773" s="87"/>
      <c r="U773" s="84">
        <v>1</v>
      </c>
      <c r="V773" s="84">
        <v>0</v>
      </c>
      <c r="W773" s="84">
        <v>0</v>
      </c>
      <c r="X773" s="84">
        <v>0</v>
      </c>
      <c r="Y773" s="84">
        <v>0</v>
      </c>
      <c r="Z773" s="84">
        <v>0</v>
      </c>
      <c r="AA773" s="84">
        <v>0</v>
      </c>
      <c r="AB773" s="84">
        <v>0</v>
      </c>
      <c r="AC773" s="84">
        <v>0</v>
      </c>
      <c r="AD773" s="84">
        <v>1</v>
      </c>
      <c r="AE773" s="84">
        <v>1</v>
      </c>
      <c r="AF773" s="84">
        <v>1</v>
      </c>
      <c r="AG773" s="84">
        <v>1</v>
      </c>
      <c r="AH773" s="84">
        <v>0</v>
      </c>
      <c r="AI773" s="84">
        <v>0</v>
      </c>
      <c r="AJ773" s="84">
        <v>0</v>
      </c>
      <c r="AK773" s="84">
        <v>0</v>
      </c>
      <c r="AL773" s="84" cm="1">
        <f t="array" ref="AL7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73" s="84" cm="1">
        <f t="array" ref="AM7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3" s="84" cm="1">
        <f t="array" ref="AN7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3" s="84" cm="1">
        <f t="array" ref="AO7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3" s="84" cm="1">
        <f t="array" ref="AP7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3" s="84" cm="1">
        <f t="array" ref="AQ7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3" s="84" cm="1">
        <f t="array" ref="AR7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3" s="84" cm="1">
        <f t="array" ref="AS7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3" s="84" cm="1">
        <f t="array" ref="AT7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3" s="84" cm="1">
        <f t="array" ref="AU7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73" s="84" cm="1">
        <f t="array" ref="AV7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73" s="84" cm="1">
        <f t="array" ref="AW7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73" s="84" cm="1">
        <f t="array" ref="AX7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73" s="84" cm="1">
        <f t="array" ref="AY7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3" s="84" cm="1">
        <f t="array" ref="AZ7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73" s="84" cm="1">
        <f t="array" ref="BA7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3" s="84" cm="1">
        <f t="array" ref="BB7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3" s="84">
        <f>IF(SUM(Table3[[#This Row],[Column2]:[Column18]])&gt;Table3[[#This Row],[Column19]],Table3[[#This Row],[Column19]],SUM(Table3[[#This Row],[Column2]:[Column18]]))</f>
        <v>50000</v>
      </c>
      <c r="BD773" s="2">
        <f>Table3[[#This Row],[Total Spend]]/SUM(Table3[[#This Row],[Column2]:[Column18]])</f>
        <v>0.53163211057947901</v>
      </c>
    </row>
    <row r="774" spans="1:56" ht="17.25" customHeight="1">
      <c r="A774" s="84" t="s">
        <v>848</v>
      </c>
      <c r="B774" s="84"/>
      <c r="C774" s="84"/>
      <c r="D774" s="85">
        <v>45566</v>
      </c>
      <c r="E774" s="85" t="s">
        <v>92</v>
      </c>
      <c r="F774" s="84">
        <f>INDEX(Definitions!$G$13:$G$17,MATCH(Table3[[#This Row],[Propensity to buy/ buyer readiness]],Definitions!$A$13:$A$17,0))</f>
        <v>50000</v>
      </c>
      <c r="G774" s="86">
        <v>5</v>
      </c>
      <c r="H774" s="86">
        <v>4</v>
      </c>
      <c r="I774" s="86">
        <v>2</v>
      </c>
      <c r="J774" s="86">
        <v>3</v>
      </c>
      <c r="K774" s="86">
        <v>3</v>
      </c>
      <c r="L774" s="86">
        <f>SUM(Table3[[#This Row],[Strategic priority segment]:[Propensity to buy/ buyer readiness]])</f>
        <v>17</v>
      </c>
      <c r="M774" s="86" t="s">
        <v>66</v>
      </c>
      <c r="N774" s="84" t="s">
        <v>62</v>
      </c>
      <c r="O774" s="84"/>
      <c r="P774" s="87"/>
      <c r="Q774" s="87"/>
      <c r="R774" s="84"/>
      <c r="S774" s="87"/>
      <c r="T774" s="87"/>
      <c r="U774" s="84">
        <v>1</v>
      </c>
      <c r="V774" s="84">
        <v>0</v>
      </c>
      <c r="W774" s="84">
        <v>0</v>
      </c>
      <c r="X774" s="84">
        <v>0</v>
      </c>
      <c r="Y774" s="84">
        <v>0</v>
      </c>
      <c r="Z774" s="84">
        <v>0</v>
      </c>
      <c r="AA774" s="84">
        <v>0</v>
      </c>
      <c r="AB774" s="84">
        <v>0</v>
      </c>
      <c r="AC774" s="84">
        <v>0</v>
      </c>
      <c r="AD774" s="84">
        <v>1</v>
      </c>
      <c r="AE774" s="84">
        <v>1</v>
      </c>
      <c r="AF774" s="84">
        <v>1</v>
      </c>
      <c r="AG774" s="84">
        <v>1</v>
      </c>
      <c r="AH774" s="84">
        <v>0</v>
      </c>
      <c r="AI774" s="84">
        <v>0</v>
      </c>
      <c r="AJ774" s="84">
        <v>0</v>
      </c>
      <c r="AK774" s="84">
        <v>0</v>
      </c>
      <c r="AL774" s="84" cm="1">
        <f t="array" ref="AL7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74" s="84" cm="1">
        <f t="array" ref="AM7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4" s="84" cm="1">
        <f t="array" ref="AN7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4" s="84" cm="1">
        <f t="array" ref="AO7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4" s="84" cm="1">
        <f t="array" ref="AP7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4" s="84" cm="1">
        <f t="array" ref="AQ7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4" s="84" cm="1">
        <f t="array" ref="AR7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4" s="84" cm="1">
        <f t="array" ref="AS7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4" s="84" cm="1">
        <f t="array" ref="AT7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4" s="84" cm="1">
        <f t="array" ref="AU7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74" s="84" cm="1">
        <f t="array" ref="AV7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74" s="84" cm="1">
        <f t="array" ref="AW7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74" s="84" cm="1">
        <f t="array" ref="AX7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74" s="84" cm="1">
        <f t="array" ref="AY7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4" s="84" cm="1">
        <f t="array" ref="AZ7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74" s="84" cm="1">
        <f t="array" ref="BA7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4" s="84" cm="1">
        <f t="array" ref="BB7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4" s="84">
        <f>IF(SUM(Table3[[#This Row],[Column2]:[Column18]])&gt;Table3[[#This Row],[Column19]],Table3[[#This Row],[Column19]],SUM(Table3[[#This Row],[Column2]:[Column18]]))</f>
        <v>50000</v>
      </c>
      <c r="BD774" s="2">
        <f>Table3[[#This Row],[Total Spend]]/SUM(Table3[[#This Row],[Column2]:[Column18]])</f>
        <v>0.53163211057947901</v>
      </c>
    </row>
    <row r="775" spans="1:56">
      <c r="A775" s="84" t="s">
        <v>849</v>
      </c>
      <c r="B775" s="84"/>
      <c r="C775" s="84"/>
      <c r="D775" s="85">
        <v>45566</v>
      </c>
      <c r="E775" s="85" t="s">
        <v>92</v>
      </c>
      <c r="F775" s="84">
        <f>INDEX(Definitions!$G$13:$G$17,MATCH(Table3[[#This Row],[Propensity to buy/ buyer readiness]],Definitions!$A$13:$A$17,0))</f>
        <v>50000</v>
      </c>
      <c r="G775" s="86">
        <v>5</v>
      </c>
      <c r="H775" s="86">
        <v>4</v>
      </c>
      <c r="I775" s="86">
        <v>2</v>
      </c>
      <c r="J775" s="86">
        <v>3</v>
      </c>
      <c r="K775" s="86">
        <v>3</v>
      </c>
      <c r="L775" s="86">
        <f>SUM(Table3[[#This Row],[Strategic priority segment]:[Propensity to buy/ buyer readiness]])</f>
        <v>17</v>
      </c>
      <c r="M775" s="86" t="s">
        <v>66</v>
      </c>
      <c r="N775" s="84" t="s">
        <v>62</v>
      </c>
      <c r="O775" s="87"/>
      <c r="P775" s="87"/>
      <c r="Q775" s="87"/>
      <c r="R775" s="87"/>
      <c r="S775" s="87"/>
      <c r="T775" s="87"/>
      <c r="U775" s="84">
        <v>1</v>
      </c>
      <c r="V775" s="84">
        <v>0</v>
      </c>
      <c r="W775" s="84">
        <v>0</v>
      </c>
      <c r="X775" s="84">
        <v>0</v>
      </c>
      <c r="Y775" s="84">
        <v>0</v>
      </c>
      <c r="Z775" s="84">
        <v>0</v>
      </c>
      <c r="AA775" s="84">
        <v>0</v>
      </c>
      <c r="AB775" s="84">
        <v>0</v>
      </c>
      <c r="AC775" s="84">
        <v>0</v>
      </c>
      <c r="AD775" s="84">
        <v>1</v>
      </c>
      <c r="AE775" s="84">
        <v>1</v>
      </c>
      <c r="AF775" s="84">
        <v>1</v>
      </c>
      <c r="AG775" s="84">
        <v>1</v>
      </c>
      <c r="AH775" s="84">
        <v>0</v>
      </c>
      <c r="AI775" s="84">
        <v>0</v>
      </c>
      <c r="AJ775" s="84">
        <v>0</v>
      </c>
      <c r="AK775" s="84">
        <v>0</v>
      </c>
      <c r="AL775" s="84" cm="1">
        <f t="array" ref="AL7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75" s="84" cm="1">
        <f t="array" ref="AM7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5" s="84" cm="1">
        <f t="array" ref="AN7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5" s="84" cm="1">
        <f t="array" ref="AO7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5" s="84" cm="1">
        <f t="array" ref="AP7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5" s="84" cm="1">
        <f t="array" ref="AQ7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5" s="84" cm="1">
        <f t="array" ref="AR7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5" s="84" cm="1">
        <f t="array" ref="AS7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5" s="84" cm="1">
        <f t="array" ref="AT7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5" s="84" cm="1">
        <f t="array" ref="AU7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75" s="84" cm="1">
        <f t="array" ref="AV7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75" s="84" cm="1">
        <f t="array" ref="AW7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75" s="84" cm="1">
        <f t="array" ref="AX7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75" s="84" cm="1">
        <f t="array" ref="AY7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5" s="84" cm="1">
        <f t="array" ref="AZ7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75" s="84" cm="1">
        <f t="array" ref="BA7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5" s="84" cm="1">
        <f t="array" ref="BB7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5" s="84">
        <f>IF(SUM(Table3[[#This Row],[Column2]:[Column18]])&gt;Table3[[#This Row],[Column19]],Table3[[#This Row],[Column19]],SUM(Table3[[#This Row],[Column2]:[Column18]]))</f>
        <v>50000</v>
      </c>
      <c r="BD775" s="2">
        <f>Table3[[#This Row],[Total Spend]]/SUM(Table3[[#This Row],[Column2]:[Column18]])</f>
        <v>0.53163211057947901</v>
      </c>
    </row>
    <row r="776" spans="1:56">
      <c r="A776" s="84" t="s">
        <v>850</v>
      </c>
      <c r="B776" s="84"/>
      <c r="C776" s="84"/>
      <c r="D776" s="85">
        <v>45566</v>
      </c>
      <c r="E776" s="85" t="s">
        <v>92</v>
      </c>
      <c r="F776" s="84">
        <f>INDEX(Definitions!$G$13:$G$17,MATCH(Table3[[#This Row],[Propensity to buy/ buyer readiness]],Definitions!$A$13:$A$17,0))</f>
        <v>50000</v>
      </c>
      <c r="G776" s="86">
        <v>4</v>
      </c>
      <c r="H776" s="86">
        <v>3</v>
      </c>
      <c r="I776" s="86">
        <v>3</v>
      </c>
      <c r="J776" s="86">
        <v>4</v>
      </c>
      <c r="K776" s="86">
        <v>3</v>
      </c>
      <c r="L776" s="86">
        <f>SUM(Table3[[#This Row],[Strategic priority segment]:[Propensity to buy/ buyer readiness]])</f>
        <v>17</v>
      </c>
      <c r="M776" s="86" t="s">
        <v>59</v>
      </c>
      <c r="N776" s="84" t="s">
        <v>63</v>
      </c>
      <c r="O776" s="87"/>
      <c r="P776" s="87"/>
      <c r="Q776" s="87"/>
      <c r="R776" s="87"/>
      <c r="S776" s="87"/>
      <c r="T776" s="87"/>
      <c r="U776" s="84">
        <v>1</v>
      </c>
      <c r="V776" s="84">
        <v>0</v>
      </c>
      <c r="W776" s="84">
        <v>1</v>
      </c>
      <c r="X776" s="84">
        <v>0</v>
      </c>
      <c r="Y776" s="84">
        <v>0</v>
      </c>
      <c r="Z776" s="84">
        <v>0</v>
      </c>
      <c r="AA776" s="84">
        <v>1</v>
      </c>
      <c r="AB776" s="84">
        <v>0</v>
      </c>
      <c r="AC776" s="84">
        <v>0</v>
      </c>
      <c r="AD776" s="84">
        <v>1</v>
      </c>
      <c r="AE776" s="84">
        <v>1</v>
      </c>
      <c r="AF776" s="84">
        <v>1</v>
      </c>
      <c r="AG776" s="84">
        <v>0</v>
      </c>
      <c r="AH776" s="84">
        <v>0</v>
      </c>
      <c r="AI776" s="84">
        <v>0</v>
      </c>
      <c r="AJ776" s="84">
        <v>0</v>
      </c>
      <c r="AK776" s="84">
        <v>0</v>
      </c>
      <c r="AL776" s="84" cm="1">
        <f t="array" ref="AL7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76" s="84" cm="1">
        <f t="array" ref="AM7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6" s="84" cm="1">
        <f t="array" ref="AN7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776" s="84" cm="1">
        <f t="array" ref="AO7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6" s="84" cm="1">
        <f t="array" ref="AP7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6" s="84" cm="1">
        <f t="array" ref="AQ7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6" s="84" cm="1">
        <f t="array" ref="AR7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776" s="84" cm="1">
        <f t="array" ref="AS7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6" s="84" cm="1">
        <f t="array" ref="AT7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6" s="84" cm="1">
        <f t="array" ref="AU7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76" s="84" cm="1">
        <f t="array" ref="AV7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76" s="84" cm="1">
        <f t="array" ref="AW7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76" s="84" cm="1">
        <f t="array" ref="AX7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76" s="84" cm="1">
        <f t="array" ref="AY7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6" s="84" cm="1">
        <f t="array" ref="AZ7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76" s="84" cm="1">
        <f t="array" ref="BA7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76" s="84" cm="1">
        <f t="array" ref="BB7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6" s="84">
        <f>IF(SUM(Table3[[#This Row],[Column2]:[Column18]])&gt;Table3[[#This Row],[Column19]],Table3[[#This Row],[Column19]],SUM(Table3[[#This Row],[Column2]:[Column18]]))</f>
        <v>50000</v>
      </c>
      <c r="BD776" s="2">
        <f>Table3[[#This Row],[Total Spend]]/SUM(Table3[[#This Row],[Column2]:[Column18]])</f>
        <v>0.36429872495446264</v>
      </c>
    </row>
    <row r="777" spans="1:56">
      <c r="A777" s="84" t="s">
        <v>851</v>
      </c>
      <c r="B777" s="84" t="s">
        <v>57</v>
      </c>
      <c r="C777" s="84"/>
      <c r="D777" s="85">
        <v>45566</v>
      </c>
      <c r="E777" s="85" t="s">
        <v>58</v>
      </c>
      <c r="F777" s="84">
        <f>INDEX(Definitions!$G$13:$G$17,MATCH(Table3[[#This Row],[Propensity to buy/ buyer readiness]],Definitions!$A$13:$A$17,0))</f>
        <v>50000</v>
      </c>
      <c r="G777" s="86">
        <v>3</v>
      </c>
      <c r="H777" s="86">
        <v>4</v>
      </c>
      <c r="I777" s="86">
        <v>3</v>
      </c>
      <c r="J777" s="86">
        <v>4</v>
      </c>
      <c r="K777" s="86">
        <v>3</v>
      </c>
      <c r="L777" s="86">
        <f>SUM(Table3[[#This Row],[Strategic priority segment]:[Propensity to buy/ buyer readiness]])</f>
        <v>17</v>
      </c>
      <c r="M777" s="86" t="s">
        <v>66</v>
      </c>
      <c r="N777" s="84" t="s">
        <v>144</v>
      </c>
      <c r="O777" s="84" t="s">
        <v>265</v>
      </c>
      <c r="P777" s="87" t="s">
        <v>264</v>
      </c>
      <c r="Q777" s="87"/>
      <c r="R777" s="84"/>
      <c r="S777" s="87"/>
      <c r="T777" s="87"/>
      <c r="U777" s="84">
        <v>1</v>
      </c>
      <c r="V777" s="84">
        <v>1</v>
      </c>
      <c r="W777" s="84">
        <v>1</v>
      </c>
      <c r="X777" s="84">
        <v>1</v>
      </c>
      <c r="Y777" s="84">
        <v>0</v>
      </c>
      <c r="Z777" s="84">
        <v>0</v>
      </c>
      <c r="AA777" s="84">
        <v>0</v>
      </c>
      <c r="AB777" s="84">
        <v>0</v>
      </c>
      <c r="AC777" s="84">
        <v>0</v>
      </c>
      <c r="AD777" s="84">
        <v>0</v>
      </c>
      <c r="AE777" s="84">
        <v>0</v>
      </c>
      <c r="AF777" s="84">
        <v>1</v>
      </c>
      <c r="AG777" s="84">
        <v>0</v>
      </c>
      <c r="AH777" s="84">
        <v>0</v>
      </c>
      <c r="AI777" s="84">
        <v>1</v>
      </c>
      <c r="AJ777" s="84">
        <v>1</v>
      </c>
      <c r="AK777" s="84">
        <v>0</v>
      </c>
      <c r="AL777" s="84" cm="1">
        <f t="array" ref="AL7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77" s="84" cm="1">
        <f t="array" ref="AM7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77" s="84" cm="1">
        <f t="array" ref="AN7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77" s="84" cm="1">
        <f t="array" ref="AO7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77" s="84" cm="1">
        <f t="array" ref="AP7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7" s="84" cm="1">
        <f t="array" ref="AQ7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7" s="84" cm="1">
        <f t="array" ref="AR7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7" s="84" cm="1">
        <f t="array" ref="AS7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7" s="84" cm="1">
        <f t="array" ref="AT7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7" s="84" cm="1">
        <f t="array" ref="AU7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77" s="84" cm="1">
        <f t="array" ref="AV7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77" s="84" cm="1">
        <f t="array" ref="AW7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77" s="84" cm="1">
        <f t="array" ref="AX7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77" s="84" cm="1">
        <f t="array" ref="AY7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77" s="84" cm="1">
        <f t="array" ref="AZ7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77" s="84" cm="1">
        <f t="array" ref="BA7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77" s="84" cm="1">
        <f t="array" ref="BB7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77" s="84">
        <f>IF(SUM(Table3[[#This Row],[Column2]:[Column18]])&gt;Table3[[#This Row],[Column19]],Table3[[#This Row],[Column19]],SUM(Table3[[#This Row],[Column2]:[Column18]]))</f>
        <v>50000</v>
      </c>
      <c r="BD777" s="2">
        <f>Table3[[#This Row],[Total Spend]]/SUM(Table3[[#This Row],[Column2]:[Column18]])</f>
        <v>0.18993352326685661</v>
      </c>
    </row>
    <row r="778" spans="1:56">
      <c r="A778" s="84" t="s">
        <v>852</v>
      </c>
      <c r="B778" s="84"/>
      <c r="C778" s="84"/>
      <c r="D778" s="85">
        <v>45566</v>
      </c>
      <c r="E778" s="85" t="s">
        <v>58</v>
      </c>
      <c r="F778" s="84">
        <f>INDEX(Definitions!$G$13:$G$17,MATCH(Table3[[#This Row],[Propensity to buy/ buyer readiness]],Definitions!$A$13:$A$17,0))</f>
        <v>150000</v>
      </c>
      <c r="G778" s="86">
        <v>4</v>
      </c>
      <c r="H778" s="86">
        <v>3</v>
      </c>
      <c r="I778" s="86">
        <v>3</v>
      </c>
      <c r="J778" s="86">
        <v>3</v>
      </c>
      <c r="K778" s="86">
        <v>4</v>
      </c>
      <c r="L778" s="86">
        <f>SUM(Table3[[#This Row],[Strategic priority segment]:[Propensity to buy/ buyer readiness]])</f>
        <v>17</v>
      </c>
      <c r="M778" s="86" t="s">
        <v>191</v>
      </c>
      <c r="N778" s="84" t="s">
        <v>76</v>
      </c>
      <c r="O778" s="84" t="s">
        <v>135</v>
      </c>
      <c r="P778" s="84"/>
      <c r="Q778" s="84"/>
      <c r="R778" s="84"/>
      <c r="S778" s="87"/>
      <c r="T778" s="87"/>
      <c r="U778" s="84">
        <v>0</v>
      </c>
      <c r="V778" s="84">
        <v>0</v>
      </c>
      <c r="W778" s="84">
        <v>0</v>
      </c>
      <c r="X778" s="84">
        <v>0</v>
      </c>
      <c r="Y778" s="84">
        <v>0</v>
      </c>
      <c r="Z778" s="84">
        <v>0</v>
      </c>
      <c r="AA778" s="84">
        <v>0</v>
      </c>
      <c r="AB778" s="84">
        <v>0</v>
      </c>
      <c r="AC778" s="84">
        <v>0</v>
      </c>
      <c r="AD778" s="84">
        <v>0</v>
      </c>
      <c r="AE778" s="84">
        <v>0</v>
      </c>
      <c r="AF778" s="84">
        <v>0</v>
      </c>
      <c r="AG778" s="84">
        <v>0</v>
      </c>
      <c r="AH778" s="84">
        <v>1</v>
      </c>
      <c r="AI778" s="84">
        <v>1</v>
      </c>
      <c r="AJ778" s="84">
        <v>1</v>
      </c>
      <c r="AK778" s="84">
        <v>1</v>
      </c>
      <c r="AL778" s="84" cm="1">
        <f t="array" ref="AL7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78" s="84" cm="1">
        <f t="array" ref="AM7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8" s="84" cm="1">
        <f t="array" ref="AN7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8" s="84" cm="1">
        <f t="array" ref="AO7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8" s="84" cm="1">
        <f t="array" ref="AP7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8" s="84" cm="1">
        <f t="array" ref="AQ7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8" s="84" cm="1">
        <f t="array" ref="AR7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8" s="84" cm="1">
        <f t="array" ref="AS7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8" s="84" cm="1">
        <f t="array" ref="AT7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8" s="84" cm="1">
        <f t="array" ref="AU7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78" s="84" cm="1">
        <f t="array" ref="AV7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78" s="84" cm="1">
        <f t="array" ref="AW7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78" s="84" cm="1">
        <f t="array" ref="AX7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78" s="84" cm="1">
        <f t="array" ref="AY7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78" s="84" cm="1">
        <f t="array" ref="AZ7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78" s="84" cm="1">
        <f t="array" ref="BA7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78" s="84" cm="1">
        <f t="array" ref="BB7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78" s="84">
        <f>IF(SUM(Table3[[#This Row],[Column2]:[Column18]])&gt;Table3[[#This Row],[Column19]],Table3[[#This Row],[Column19]],SUM(Table3[[#This Row],[Column2]:[Column18]]))</f>
        <v>64350</v>
      </c>
      <c r="BD778" s="2">
        <f>Table3[[#This Row],[Total Spend]]/SUM(Table3[[#This Row],[Column2]:[Column18]])</f>
        <v>1</v>
      </c>
    </row>
    <row r="779" spans="1:56">
      <c r="A779" s="84" t="s">
        <v>853</v>
      </c>
      <c r="B779" s="84"/>
      <c r="C779" s="84"/>
      <c r="D779" s="85">
        <v>45566</v>
      </c>
      <c r="E779" s="85" t="s">
        <v>58</v>
      </c>
      <c r="F779" s="84">
        <f>INDEX(Definitions!$G$13:$G$17,MATCH(Table3[[#This Row],[Propensity to buy/ buyer readiness]],Definitions!$A$13:$A$17,0))</f>
        <v>150000</v>
      </c>
      <c r="G779" s="86">
        <v>4</v>
      </c>
      <c r="H779" s="86">
        <v>3</v>
      </c>
      <c r="I779" s="86">
        <v>3</v>
      </c>
      <c r="J779" s="86">
        <v>3</v>
      </c>
      <c r="K779" s="86">
        <v>4</v>
      </c>
      <c r="L779" s="86">
        <f>SUM(Table3[[#This Row],[Strategic priority segment]:[Propensity to buy/ buyer readiness]])</f>
        <v>17</v>
      </c>
      <c r="M779" s="86" t="s">
        <v>191</v>
      </c>
      <c r="N779" s="84" t="s">
        <v>76</v>
      </c>
      <c r="O779" s="84" t="s">
        <v>135</v>
      </c>
      <c r="P779" s="84"/>
      <c r="Q779" s="84"/>
      <c r="R779" s="84"/>
      <c r="S779" s="87"/>
      <c r="T779" s="87"/>
      <c r="U779" s="84">
        <v>0</v>
      </c>
      <c r="V779" s="84">
        <v>0</v>
      </c>
      <c r="W779" s="84">
        <v>0</v>
      </c>
      <c r="X779" s="84">
        <v>0</v>
      </c>
      <c r="Y779" s="84">
        <v>0</v>
      </c>
      <c r="Z779" s="84">
        <v>0</v>
      </c>
      <c r="AA779" s="84">
        <v>0</v>
      </c>
      <c r="AB779" s="84">
        <v>0</v>
      </c>
      <c r="AC779" s="84">
        <v>0</v>
      </c>
      <c r="AD779" s="84">
        <v>0</v>
      </c>
      <c r="AE779" s="84">
        <v>0</v>
      </c>
      <c r="AF779" s="84">
        <v>0</v>
      </c>
      <c r="AG779" s="84">
        <v>0</v>
      </c>
      <c r="AH779" s="84">
        <v>1</v>
      </c>
      <c r="AI779" s="84">
        <v>1</v>
      </c>
      <c r="AJ779" s="84">
        <v>1</v>
      </c>
      <c r="AK779" s="84">
        <v>1</v>
      </c>
      <c r="AL779" s="84" cm="1">
        <f t="array" ref="AL7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79" s="84" cm="1">
        <f t="array" ref="AM7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79" s="84" cm="1">
        <f t="array" ref="AN7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79" s="84" cm="1">
        <f t="array" ref="AO7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79" s="84" cm="1">
        <f t="array" ref="AP7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79" s="84" cm="1">
        <f t="array" ref="AQ7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79" s="84" cm="1">
        <f t="array" ref="AR7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79" s="84" cm="1">
        <f t="array" ref="AS7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79" s="84" cm="1">
        <f t="array" ref="AT7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79" s="84" cm="1">
        <f t="array" ref="AU7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79" s="84" cm="1">
        <f t="array" ref="AV7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79" s="84" cm="1">
        <f t="array" ref="AW7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79" s="84" cm="1">
        <f t="array" ref="AX7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79" s="84" cm="1">
        <f t="array" ref="AY7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79" s="84" cm="1">
        <f t="array" ref="AZ7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79" s="84" cm="1">
        <f t="array" ref="BA7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79" s="84" cm="1">
        <f t="array" ref="BB7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79" s="84">
        <f>IF(SUM(Table3[[#This Row],[Column2]:[Column18]])&gt;Table3[[#This Row],[Column19]],Table3[[#This Row],[Column19]],SUM(Table3[[#This Row],[Column2]:[Column18]]))</f>
        <v>64350</v>
      </c>
      <c r="BD779" s="2">
        <f>Table3[[#This Row],[Total Spend]]/SUM(Table3[[#This Row],[Column2]:[Column18]])</f>
        <v>1</v>
      </c>
    </row>
    <row r="780" spans="1:56">
      <c r="A780" s="84" t="s">
        <v>854</v>
      </c>
      <c r="B780" s="84" t="s">
        <v>57</v>
      </c>
      <c r="C780" s="84"/>
      <c r="D780" s="85">
        <v>45566</v>
      </c>
      <c r="E780" s="85" t="s">
        <v>58</v>
      </c>
      <c r="F780" s="84">
        <f>INDEX(Definitions!$G$13:$G$17,MATCH(Table3[[#This Row],[Propensity to buy/ buyer readiness]],Definitions!$A$13:$A$17,0))</f>
        <v>50000</v>
      </c>
      <c r="G780" s="86">
        <v>4</v>
      </c>
      <c r="H780" s="86">
        <v>3</v>
      </c>
      <c r="I780" s="86">
        <v>4</v>
      </c>
      <c r="J780" s="86">
        <v>3</v>
      </c>
      <c r="K780" s="86">
        <v>3</v>
      </c>
      <c r="L780" s="86">
        <f>SUM(Table3[[#This Row],[Strategic priority segment]:[Propensity to buy/ buyer readiness]])</f>
        <v>17</v>
      </c>
      <c r="M780" s="86" t="s">
        <v>59</v>
      </c>
      <c r="N780" s="84" t="s">
        <v>85</v>
      </c>
      <c r="O780" s="84"/>
      <c r="P780" s="87"/>
      <c r="Q780" s="87"/>
      <c r="R780" s="84"/>
      <c r="S780" s="87"/>
      <c r="T780" s="87"/>
      <c r="U780" s="84">
        <v>1</v>
      </c>
      <c r="V780" s="84">
        <v>0</v>
      </c>
      <c r="W780" s="84">
        <v>0</v>
      </c>
      <c r="X780" s="84">
        <v>0</v>
      </c>
      <c r="Y780" s="84">
        <v>1</v>
      </c>
      <c r="Z780" s="84">
        <v>0</v>
      </c>
      <c r="AA780" s="84">
        <v>0</v>
      </c>
      <c r="AB780" s="84">
        <v>0</v>
      </c>
      <c r="AC780" s="84">
        <v>0</v>
      </c>
      <c r="AD780" s="84">
        <v>0</v>
      </c>
      <c r="AE780" s="84">
        <v>0</v>
      </c>
      <c r="AF780" s="84">
        <v>0</v>
      </c>
      <c r="AG780" s="84">
        <v>0</v>
      </c>
      <c r="AH780" s="84">
        <v>0</v>
      </c>
      <c r="AI780" s="84">
        <v>0</v>
      </c>
      <c r="AJ780" s="84">
        <v>0</v>
      </c>
      <c r="AK780" s="84">
        <v>0</v>
      </c>
      <c r="AL780" s="84" cm="1">
        <f t="array" ref="AL7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0" s="84" cm="1">
        <f t="array" ref="AM7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0" s="84" cm="1">
        <f t="array" ref="AN7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0" s="84" cm="1">
        <f t="array" ref="AO7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0" s="84" cm="1">
        <f t="array" ref="AP7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780" s="84" cm="1">
        <f t="array" ref="AQ7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0" s="84" cm="1">
        <f t="array" ref="AR7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0" s="84" cm="1">
        <f t="array" ref="AS7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0" s="84" cm="1">
        <f t="array" ref="AT7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0" s="84" cm="1">
        <f t="array" ref="AU7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80" s="84" cm="1">
        <f t="array" ref="AV7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0" s="84" cm="1">
        <f t="array" ref="AW7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80" s="84" cm="1">
        <f t="array" ref="AX7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0" s="84" cm="1">
        <f t="array" ref="AY7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0" s="84" cm="1">
        <f t="array" ref="AZ7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0" s="84" cm="1">
        <f t="array" ref="BA7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0" s="84" cm="1">
        <f t="array" ref="BB7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0" s="84">
        <f>IF(SUM(Table3[[#This Row],[Column2]:[Column18]])&gt;Table3[[#This Row],[Column19]],Table3[[#This Row],[Column19]],SUM(Table3[[#This Row],[Column2]:[Column18]]))</f>
        <v>50000</v>
      </c>
      <c r="BD780" s="2">
        <f>Table3[[#This Row],[Total Spend]]/SUM(Table3[[#This Row],[Column2]:[Column18]])</f>
        <v>0.75075075075075071</v>
      </c>
    </row>
    <row r="781" spans="1:56">
      <c r="A781" s="88" t="s">
        <v>855</v>
      </c>
      <c r="B781" s="88"/>
      <c r="C781" s="88"/>
      <c r="D781" s="85">
        <v>45566</v>
      </c>
      <c r="E781" s="85" t="s">
        <v>92</v>
      </c>
      <c r="F781" s="84">
        <f>INDEX(Definitions!$G$13:$G$17,MATCH(Table3[[#This Row],[Propensity to buy/ buyer readiness]],Definitions!$A$13:$A$17,0))</f>
        <v>50000</v>
      </c>
      <c r="G781" s="86">
        <v>3</v>
      </c>
      <c r="H781" s="86">
        <v>4</v>
      </c>
      <c r="I781" s="86">
        <v>3</v>
      </c>
      <c r="J781" s="86">
        <v>4</v>
      </c>
      <c r="K781" s="86">
        <v>3</v>
      </c>
      <c r="L781" s="86">
        <f>SUM(Table3[[#This Row],[Strategic priority segment]:[Propensity to buy/ buyer readiness]])</f>
        <v>17</v>
      </c>
      <c r="M781" s="86" t="s">
        <v>66</v>
      </c>
      <c r="N781" s="84" t="s">
        <v>144</v>
      </c>
      <c r="O781" s="84" t="s">
        <v>62</v>
      </c>
      <c r="P781" s="84" t="s">
        <v>76</v>
      </c>
      <c r="Q781" s="87"/>
      <c r="R781" s="84"/>
      <c r="S781" s="87"/>
      <c r="T781" s="87"/>
      <c r="U781" s="84">
        <v>1</v>
      </c>
      <c r="V781" s="84">
        <v>0</v>
      </c>
      <c r="W781" s="84">
        <v>0</v>
      </c>
      <c r="X781" s="84">
        <v>0</v>
      </c>
      <c r="Y781" s="84">
        <v>0</v>
      </c>
      <c r="Z781" s="84">
        <v>0</v>
      </c>
      <c r="AA781" s="84">
        <v>0</v>
      </c>
      <c r="AB781" s="84">
        <v>0</v>
      </c>
      <c r="AC781" s="84">
        <v>0</v>
      </c>
      <c r="AD781" s="84">
        <v>1</v>
      </c>
      <c r="AE781" s="84">
        <v>1</v>
      </c>
      <c r="AF781" s="84">
        <v>1</v>
      </c>
      <c r="AG781" s="84">
        <v>1</v>
      </c>
      <c r="AH781" s="84">
        <v>1</v>
      </c>
      <c r="AI781" s="84">
        <v>0</v>
      </c>
      <c r="AJ781" s="84">
        <v>1</v>
      </c>
      <c r="AK781" s="84">
        <v>0</v>
      </c>
      <c r="AL781" s="84" cm="1">
        <f t="array" ref="AL7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81" s="84" cm="1">
        <f t="array" ref="AM7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1" s="84" cm="1">
        <f t="array" ref="AN7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1" s="84" cm="1">
        <f t="array" ref="AO7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1" s="84" cm="1">
        <f t="array" ref="AP7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1" s="84" cm="1">
        <f t="array" ref="AQ7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1" s="84" cm="1">
        <f t="array" ref="AR7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1" s="84" cm="1">
        <f t="array" ref="AS7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1" s="84" cm="1">
        <f t="array" ref="AT7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1" s="84" cm="1">
        <f t="array" ref="AU7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81" s="84" cm="1">
        <f t="array" ref="AV7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81" s="84" cm="1">
        <f t="array" ref="AW7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81" s="84" cm="1">
        <f t="array" ref="AX7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81" s="84" cm="1">
        <f t="array" ref="AY7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781" s="84" cm="1">
        <f t="array" ref="AZ7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1" s="84" cm="1">
        <f t="array" ref="BA7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781" s="84" cm="1">
        <f t="array" ref="BB7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1" s="84">
        <f>IF(SUM(Table3[[#This Row],[Column2]:[Column18]])&gt;Table3[[#This Row],[Column19]],Table3[[#This Row],[Column19]],SUM(Table3[[#This Row],[Column2]:[Column18]]))</f>
        <v>50000</v>
      </c>
      <c r="BD781" s="2">
        <f>Table3[[#This Row],[Total Spend]]/SUM(Table3[[#This Row],[Column2]:[Column18]])</f>
        <v>0.4011231448054553</v>
      </c>
    </row>
    <row r="782" spans="1:56">
      <c r="A782" s="84" t="s">
        <v>856</v>
      </c>
      <c r="B782" s="84"/>
      <c r="C782" s="84"/>
      <c r="D782" s="85">
        <v>45566</v>
      </c>
      <c r="E782" s="85" t="s">
        <v>58</v>
      </c>
      <c r="F782" s="84">
        <f>INDEX(Definitions!$G$13:$G$17,MATCH(Table3[[#This Row],[Propensity to buy/ buyer readiness]],Definitions!$A$13:$A$17,0))</f>
        <v>150000</v>
      </c>
      <c r="G782" s="86">
        <v>4</v>
      </c>
      <c r="H782" s="86">
        <v>3</v>
      </c>
      <c r="I782" s="86">
        <v>3</v>
      </c>
      <c r="J782" s="86">
        <v>3</v>
      </c>
      <c r="K782" s="86">
        <v>4</v>
      </c>
      <c r="L782" s="86">
        <f>SUM(Table3[[#This Row],[Strategic priority segment]:[Propensity to buy/ buyer readiness]])</f>
        <v>17</v>
      </c>
      <c r="M782" s="86" t="s">
        <v>152</v>
      </c>
      <c r="N782" s="84" t="s">
        <v>122</v>
      </c>
      <c r="O782" s="84"/>
      <c r="P782" s="87"/>
      <c r="Q782" s="87"/>
      <c r="R782" s="84"/>
      <c r="S782" s="87"/>
      <c r="T782" s="87"/>
      <c r="U782" s="84">
        <v>1</v>
      </c>
      <c r="V782" s="84">
        <v>0</v>
      </c>
      <c r="W782" s="84">
        <v>0</v>
      </c>
      <c r="X782" s="84">
        <v>0</v>
      </c>
      <c r="Y782" s="84">
        <v>0</v>
      </c>
      <c r="Z782" s="84">
        <v>1</v>
      </c>
      <c r="AA782" s="84">
        <v>0</v>
      </c>
      <c r="AB782" s="84">
        <v>1</v>
      </c>
      <c r="AC782" s="84">
        <v>0</v>
      </c>
      <c r="AD782" s="84">
        <v>1</v>
      </c>
      <c r="AE782" s="84">
        <v>0</v>
      </c>
      <c r="AF782" s="84">
        <v>1</v>
      </c>
      <c r="AG782" s="84">
        <v>0</v>
      </c>
      <c r="AH782" s="84">
        <v>0</v>
      </c>
      <c r="AI782" s="84">
        <v>0</v>
      </c>
      <c r="AJ782" s="84">
        <v>0</v>
      </c>
      <c r="AK782" s="84">
        <v>0</v>
      </c>
      <c r="AL782" s="84" cm="1">
        <f t="array" ref="AL7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2" s="84" cm="1">
        <f t="array" ref="AM7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2" s="84" cm="1">
        <f t="array" ref="AN7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2" s="84" cm="1">
        <f t="array" ref="AO7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2" s="84" cm="1">
        <f t="array" ref="AP7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2" s="84" cm="1">
        <f t="array" ref="AQ7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82" s="84" cm="1">
        <f t="array" ref="AR7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2" s="84" cm="1">
        <f t="array" ref="AS7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82" s="84" cm="1">
        <f t="array" ref="AT7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2" s="84" cm="1">
        <f t="array" ref="AU7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82" s="84" cm="1">
        <f t="array" ref="AV7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2" s="84" cm="1">
        <f t="array" ref="AW7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82" s="84" cm="1">
        <f t="array" ref="AX7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2" s="84" cm="1">
        <f t="array" ref="AY7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2" s="84" cm="1">
        <f t="array" ref="AZ7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2" s="84" cm="1">
        <f t="array" ref="BA7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2" s="84" cm="1">
        <f t="array" ref="BB7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2" s="84">
        <f>IF(SUM(Table3[[#This Row],[Column2]:[Column18]])&gt;Table3[[#This Row],[Column19]],Table3[[#This Row],[Column19]],SUM(Table3[[#This Row],[Column2]:[Column18]]))</f>
        <v>150000</v>
      </c>
      <c r="BD782" s="2">
        <f>Table3[[#This Row],[Total Spend]]/SUM(Table3[[#This Row],[Column2]:[Column18]])</f>
        <v>0.89605734767025091</v>
      </c>
    </row>
    <row r="783" spans="1:56">
      <c r="A783" s="84" t="s">
        <v>857</v>
      </c>
      <c r="B783" s="84" t="s">
        <v>57</v>
      </c>
      <c r="C783" s="84" t="s">
        <v>57</v>
      </c>
      <c r="D783" s="85">
        <v>45566</v>
      </c>
      <c r="E783" s="85" t="s">
        <v>58</v>
      </c>
      <c r="F783" s="84">
        <f>INDEX(Definitions!$G$13:$G$17,MATCH(Table3[[#This Row],[Propensity to buy/ buyer readiness]],Definitions!$A$13:$A$17,0))</f>
        <v>150000</v>
      </c>
      <c r="G783" s="86">
        <v>3</v>
      </c>
      <c r="H783" s="86">
        <v>3</v>
      </c>
      <c r="I783" s="86">
        <v>4</v>
      </c>
      <c r="J783" s="86">
        <v>3</v>
      </c>
      <c r="K783" s="86">
        <v>4</v>
      </c>
      <c r="L783" s="86">
        <f>SUM(Table3[[#This Row],[Strategic priority segment]:[Propensity to buy/ buyer readiness]])</f>
        <v>17</v>
      </c>
      <c r="M783" s="86" t="s">
        <v>152</v>
      </c>
      <c r="N783" s="84" t="s">
        <v>122</v>
      </c>
      <c r="O783" s="84"/>
      <c r="P783" s="87"/>
      <c r="Q783" s="87"/>
      <c r="R783" s="84"/>
      <c r="S783" s="87"/>
      <c r="T783" s="87"/>
      <c r="U783" s="84">
        <v>1</v>
      </c>
      <c r="V783" s="84">
        <v>0</v>
      </c>
      <c r="W783" s="84">
        <v>0</v>
      </c>
      <c r="X783" s="84">
        <v>0</v>
      </c>
      <c r="Y783" s="84">
        <v>0</v>
      </c>
      <c r="Z783" s="84">
        <v>1</v>
      </c>
      <c r="AA783" s="84">
        <v>0</v>
      </c>
      <c r="AB783" s="84">
        <v>1</v>
      </c>
      <c r="AC783" s="84">
        <v>0</v>
      </c>
      <c r="AD783" s="84">
        <v>1</v>
      </c>
      <c r="AE783" s="84">
        <v>0</v>
      </c>
      <c r="AF783" s="84">
        <v>1</v>
      </c>
      <c r="AG783" s="84">
        <v>0</v>
      </c>
      <c r="AH783" s="84">
        <v>0</v>
      </c>
      <c r="AI783" s="84">
        <v>0</v>
      </c>
      <c r="AJ783" s="84">
        <v>0</v>
      </c>
      <c r="AK783" s="84">
        <v>0</v>
      </c>
      <c r="AL783" s="84" cm="1">
        <f t="array" ref="AL7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3" s="84" cm="1">
        <f t="array" ref="AM7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3" s="84" cm="1">
        <f t="array" ref="AN7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3" s="84" cm="1">
        <f t="array" ref="AO7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3" s="84" cm="1">
        <f t="array" ref="AP7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3" s="84" cm="1">
        <f t="array" ref="AQ7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83" s="84" cm="1">
        <f t="array" ref="AR7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3" s="84" cm="1">
        <f t="array" ref="AS7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83" s="84" cm="1">
        <f t="array" ref="AT7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3" s="84" cm="1">
        <f t="array" ref="AU7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83" s="84" cm="1">
        <f t="array" ref="AV7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3" s="84" cm="1">
        <f t="array" ref="AW7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83" s="84" cm="1">
        <f t="array" ref="AX7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3" s="84" cm="1">
        <f t="array" ref="AY7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3" s="84" cm="1">
        <f t="array" ref="AZ7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3" s="84" cm="1">
        <f t="array" ref="BA7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3" s="84" cm="1">
        <f t="array" ref="BB7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3" s="84">
        <f>IF(SUM(Table3[[#This Row],[Column2]:[Column18]])&gt;Table3[[#This Row],[Column19]],Table3[[#This Row],[Column19]],SUM(Table3[[#This Row],[Column2]:[Column18]]))</f>
        <v>150000</v>
      </c>
      <c r="BD783" s="2">
        <f>Table3[[#This Row],[Total Spend]]/SUM(Table3[[#This Row],[Column2]:[Column18]])</f>
        <v>0.89605734767025091</v>
      </c>
    </row>
    <row r="784" spans="1:56">
      <c r="A784" s="84" t="s">
        <v>858</v>
      </c>
      <c r="B784" s="84"/>
      <c r="C784" s="84"/>
      <c r="D784" s="85">
        <v>45566</v>
      </c>
      <c r="E784" s="85" t="s">
        <v>58</v>
      </c>
      <c r="F784" s="84">
        <f>INDEX(Definitions!$G$13:$G$17,MATCH(Table3[[#This Row],[Propensity to buy/ buyer readiness]],Definitions!$A$13:$A$17,0))</f>
        <v>150000</v>
      </c>
      <c r="G784" s="86">
        <v>4</v>
      </c>
      <c r="H784" s="86">
        <v>3</v>
      </c>
      <c r="I784" s="86">
        <v>3</v>
      </c>
      <c r="J784" s="86">
        <v>3</v>
      </c>
      <c r="K784" s="86">
        <v>4</v>
      </c>
      <c r="L784" s="86">
        <f>SUM(Table3[[#This Row],[Strategic priority segment]:[Propensity to buy/ buyer readiness]])</f>
        <v>17</v>
      </c>
      <c r="M784" s="86" t="s">
        <v>152</v>
      </c>
      <c r="N784" s="84" t="s">
        <v>153</v>
      </c>
      <c r="O784" s="87"/>
      <c r="P784" s="87"/>
      <c r="Q784" s="87"/>
      <c r="R784" s="87"/>
      <c r="S784" s="87"/>
      <c r="T784" s="87"/>
      <c r="U784" s="84">
        <v>1</v>
      </c>
      <c r="V784" s="84">
        <v>0</v>
      </c>
      <c r="W784" s="84">
        <v>0</v>
      </c>
      <c r="X784" s="84">
        <v>0</v>
      </c>
      <c r="Y784" s="84">
        <v>0</v>
      </c>
      <c r="Z784" s="84">
        <v>0</v>
      </c>
      <c r="AA784" s="84">
        <v>0</v>
      </c>
      <c r="AB784" s="84">
        <v>0</v>
      </c>
      <c r="AC784" s="84">
        <v>0</v>
      </c>
      <c r="AD784" s="84">
        <v>0</v>
      </c>
      <c r="AE784" s="84">
        <v>0</v>
      </c>
      <c r="AF784" s="84">
        <v>0</v>
      </c>
      <c r="AG784" s="84">
        <v>0</v>
      </c>
      <c r="AH784" s="84">
        <v>0</v>
      </c>
      <c r="AI784" s="84">
        <v>0</v>
      </c>
      <c r="AJ784" s="84">
        <v>0</v>
      </c>
      <c r="AK784" s="84">
        <v>0</v>
      </c>
      <c r="AL784" s="84" cm="1">
        <f t="array" ref="AL7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4" s="84" cm="1">
        <f t="array" ref="AM7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4" s="84" cm="1">
        <f t="array" ref="AN7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4" s="84" cm="1">
        <f t="array" ref="AO7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4" s="84" cm="1">
        <f t="array" ref="AP7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4" s="84" cm="1">
        <f t="array" ref="AQ7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4" s="84" cm="1">
        <f t="array" ref="AR7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4" s="84" cm="1">
        <f t="array" ref="AS7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4" s="84" cm="1">
        <f t="array" ref="AT7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4" s="84" cm="1">
        <f t="array" ref="AU7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84" s="84" cm="1">
        <f t="array" ref="AV7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4" s="84" cm="1">
        <f t="array" ref="AW7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84" s="84" cm="1">
        <f t="array" ref="AX7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4" s="84" cm="1">
        <f t="array" ref="AY7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4" s="84" cm="1">
        <f t="array" ref="AZ7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4" s="84" cm="1">
        <f t="array" ref="BA7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4" s="84" cm="1">
        <f t="array" ref="BB7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4" s="84">
        <f>IF(SUM(Table3[[#This Row],[Column2]:[Column18]])&gt;Table3[[#This Row],[Column19]],Table3[[#This Row],[Column19]],SUM(Table3[[#This Row],[Column2]:[Column18]]))</f>
        <v>10800</v>
      </c>
      <c r="BD784" s="2">
        <f>Table3[[#This Row],[Total Spend]]/SUM(Table3[[#This Row],[Column2]:[Column18]])</f>
        <v>1</v>
      </c>
    </row>
    <row r="785" spans="1:56">
      <c r="A785" s="84" t="s">
        <v>859</v>
      </c>
      <c r="B785" s="84"/>
      <c r="C785" s="84"/>
      <c r="D785" s="85">
        <v>45566</v>
      </c>
      <c r="E785" s="85" t="s">
        <v>92</v>
      </c>
      <c r="F785" s="84">
        <f>INDEX(Definitions!$G$13:$G$17,MATCH(Table3[[#This Row],[Propensity to buy/ buyer readiness]],Definitions!$A$13:$A$17,0))</f>
        <v>50000</v>
      </c>
      <c r="G785" s="86">
        <v>5</v>
      </c>
      <c r="H785" s="86">
        <v>4</v>
      </c>
      <c r="I785" s="86">
        <v>2</v>
      </c>
      <c r="J785" s="86">
        <v>3</v>
      </c>
      <c r="K785" s="86">
        <v>3</v>
      </c>
      <c r="L785" s="86">
        <f>SUM(Table3[[#This Row],[Strategic priority segment]:[Propensity to buy/ buyer readiness]])</f>
        <v>17</v>
      </c>
      <c r="M785" s="86" t="s">
        <v>66</v>
      </c>
      <c r="N785" s="84" t="s">
        <v>62</v>
      </c>
      <c r="O785" s="84"/>
      <c r="P785" s="87"/>
      <c r="Q785" s="87"/>
      <c r="R785" s="84"/>
      <c r="S785" s="87"/>
      <c r="T785" s="87"/>
      <c r="U785" s="84">
        <v>1</v>
      </c>
      <c r="V785" s="84">
        <v>0</v>
      </c>
      <c r="W785" s="84">
        <v>0</v>
      </c>
      <c r="X785" s="84">
        <v>0</v>
      </c>
      <c r="Y785" s="84">
        <v>0</v>
      </c>
      <c r="Z785" s="84">
        <v>0</v>
      </c>
      <c r="AA785" s="84">
        <v>0</v>
      </c>
      <c r="AB785" s="84">
        <v>0</v>
      </c>
      <c r="AC785" s="84">
        <v>0</v>
      </c>
      <c r="AD785" s="84">
        <v>1</v>
      </c>
      <c r="AE785" s="84">
        <v>1</v>
      </c>
      <c r="AF785" s="84">
        <v>1</v>
      </c>
      <c r="AG785" s="84">
        <v>1</v>
      </c>
      <c r="AH785" s="84">
        <v>0</v>
      </c>
      <c r="AI785" s="84">
        <v>0</v>
      </c>
      <c r="AJ785" s="84">
        <v>0</v>
      </c>
      <c r="AK785" s="84">
        <v>0</v>
      </c>
      <c r="AL785" s="84" cm="1">
        <f t="array" ref="AL7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85" s="84" cm="1">
        <f t="array" ref="AM7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5" s="84" cm="1">
        <f t="array" ref="AN7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5" s="84" cm="1">
        <f t="array" ref="AO7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5" s="84" cm="1">
        <f t="array" ref="AP7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5" s="84" cm="1">
        <f t="array" ref="AQ7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5" s="84" cm="1">
        <f t="array" ref="AR7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5" s="84" cm="1">
        <f t="array" ref="AS7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5" s="84" cm="1">
        <f t="array" ref="AT7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5" s="84" cm="1">
        <f t="array" ref="AU7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85" s="84" cm="1">
        <f t="array" ref="AV7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85" s="84" cm="1">
        <f t="array" ref="AW7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85" s="84" cm="1">
        <f t="array" ref="AX7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85" s="84" cm="1">
        <f t="array" ref="AY7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5" s="84" cm="1">
        <f t="array" ref="AZ7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5" s="84" cm="1">
        <f t="array" ref="BA7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5" s="84" cm="1">
        <f t="array" ref="BB7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5" s="84">
        <f>IF(SUM(Table3[[#This Row],[Column2]:[Column18]])&gt;Table3[[#This Row],[Column19]],Table3[[#This Row],[Column19]],SUM(Table3[[#This Row],[Column2]:[Column18]]))</f>
        <v>50000</v>
      </c>
      <c r="BD785" s="2">
        <f>Table3[[#This Row],[Total Spend]]/SUM(Table3[[#This Row],[Column2]:[Column18]])</f>
        <v>0.53163211057947901</v>
      </c>
    </row>
    <row r="786" spans="1:56">
      <c r="A786" s="84" t="s">
        <v>860</v>
      </c>
      <c r="B786" s="84"/>
      <c r="C786" s="84" t="s">
        <v>57</v>
      </c>
      <c r="D786" s="85">
        <v>45566</v>
      </c>
      <c r="E786" s="85" t="s">
        <v>58</v>
      </c>
      <c r="F786" s="84">
        <f>INDEX(Definitions!$G$13:$G$17,MATCH(Table3[[#This Row],[Propensity to buy/ buyer readiness]],Definitions!$A$13:$A$17,0))</f>
        <v>150000</v>
      </c>
      <c r="G786" s="86">
        <v>3</v>
      </c>
      <c r="H786" s="86">
        <v>3</v>
      </c>
      <c r="I786" s="86">
        <v>4</v>
      </c>
      <c r="J786" s="86">
        <v>3</v>
      </c>
      <c r="K786" s="86">
        <v>4</v>
      </c>
      <c r="L786" s="86">
        <f>SUM(Table3[[#This Row],[Strategic priority segment]:[Propensity to buy/ buyer readiness]])</f>
        <v>17</v>
      </c>
      <c r="M786" s="86" t="s">
        <v>152</v>
      </c>
      <c r="N786" s="84" t="s">
        <v>122</v>
      </c>
      <c r="O786" s="84"/>
      <c r="P786" s="87"/>
      <c r="Q786" s="87"/>
      <c r="R786" s="84"/>
      <c r="S786" s="87"/>
      <c r="T786" s="87"/>
      <c r="U786" s="84">
        <v>1</v>
      </c>
      <c r="V786" s="84">
        <v>0</v>
      </c>
      <c r="W786" s="84">
        <v>0</v>
      </c>
      <c r="X786" s="84">
        <v>0</v>
      </c>
      <c r="Y786" s="84">
        <v>0</v>
      </c>
      <c r="Z786" s="84">
        <v>1</v>
      </c>
      <c r="AA786" s="84">
        <v>0</v>
      </c>
      <c r="AB786" s="84">
        <v>1</v>
      </c>
      <c r="AC786" s="84">
        <v>0</v>
      </c>
      <c r="AD786" s="84">
        <v>1</v>
      </c>
      <c r="AE786" s="84">
        <v>0</v>
      </c>
      <c r="AF786" s="84">
        <v>1</v>
      </c>
      <c r="AG786" s="84">
        <v>0</v>
      </c>
      <c r="AH786" s="84">
        <v>0</v>
      </c>
      <c r="AI786" s="84">
        <v>0</v>
      </c>
      <c r="AJ786" s="84">
        <v>0</v>
      </c>
      <c r="AK786" s="84">
        <v>0</v>
      </c>
      <c r="AL786" s="84" cm="1">
        <f t="array" ref="AL7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6" s="84" cm="1">
        <f t="array" ref="AM7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6" s="84" cm="1">
        <f t="array" ref="AN7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6" s="84" cm="1">
        <f t="array" ref="AO7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6" s="84" cm="1">
        <f t="array" ref="AP7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6" s="84" cm="1">
        <f t="array" ref="AQ7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86" s="84" cm="1">
        <f t="array" ref="AR7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6" s="84" cm="1">
        <f t="array" ref="AS7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86" s="84" cm="1">
        <f t="array" ref="AT7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6" s="84" cm="1">
        <f t="array" ref="AU7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86" s="84" cm="1">
        <f t="array" ref="AV7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6" s="84" cm="1">
        <f t="array" ref="AW7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86" s="84" cm="1">
        <f t="array" ref="AX7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6" s="84" cm="1">
        <f t="array" ref="AY7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6" s="84" cm="1">
        <f t="array" ref="AZ7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6" s="84" cm="1">
        <f t="array" ref="BA7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6" s="84" cm="1">
        <f t="array" ref="BB7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6" s="84">
        <f>IF(SUM(Table3[[#This Row],[Column2]:[Column18]])&gt;Table3[[#This Row],[Column19]],Table3[[#This Row],[Column19]],SUM(Table3[[#This Row],[Column2]:[Column18]]))</f>
        <v>150000</v>
      </c>
      <c r="BD786" s="2">
        <f>Table3[[#This Row],[Total Spend]]/SUM(Table3[[#This Row],[Column2]:[Column18]])</f>
        <v>0.89605734767025091</v>
      </c>
    </row>
    <row r="787" spans="1:56">
      <c r="A787" s="84" t="s">
        <v>861</v>
      </c>
      <c r="B787" s="84" t="s">
        <v>57</v>
      </c>
      <c r="C787" s="84" t="s">
        <v>57</v>
      </c>
      <c r="D787" s="85">
        <v>45566</v>
      </c>
      <c r="E787" s="85" t="s">
        <v>58</v>
      </c>
      <c r="F787" s="84">
        <f>INDEX(Definitions!$G$13:$G$17,MATCH(Table3[[#This Row],[Propensity to buy/ buyer readiness]],Definitions!$A$13:$A$17,0))</f>
        <v>50000</v>
      </c>
      <c r="G787" s="86">
        <v>4</v>
      </c>
      <c r="H787" s="86">
        <v>3</v>
      </c>
      <c r="I787" s="86">
        <v>4</v>
      </c>
      <c r="J787" s="86">
        <v>3</v>
      </c>
      <c r="K787" s="86">
        <v>3</v>
      </c>
      <c r="L787" s="86">
        <f>SUM(Table3[[#This Row],[Strategic priority segment]:[Propensity to buy/ buyer readiness]])</f>
        <v>17</v>
      </c>
      <c r="M787" s="86" t="s">
        <v>59</v>
      </c>
      <c r="N787" s="84" t="s">
        <v>85</v>
      </c>
      <c r="O787" s="84"/>
      <c r="P787" s="87"/>
      <c r="Q787" s="87"/>
      <c r="R787" s="84"/>
      <c r="S787" s="84"/>
      <c r="T787" s="87"/>
      <c r="U787" s="84">
        <v>1</v>
      </c>
      <c r="V787" s="84">
        <v>0</v>
      </c>
      <c r="W787" s="84">
        <v>0</v>
      </c>
      <c r="X787" s="84">
        <v>0</v>
      </c>
      <c r="Y787" s="84">
        <v>1</v>
      </c>
      <c r="Z787" s="84">
        <v>0</v>
      </c>
      <c r="AA787" s="84">
        <v>0</v>
      </c>
      <c r="AB787" s="84">
        <v>0</v>
      </c>
      <c r="AC787" s="84">
        <v>0</v>
      </c>
      <c r="AD787" s="84">
        <v>0</v>
      </c>
      <c r="AE787" s="84">
        <v>0</v>
      </c>
      <c r="AF787" s="84">
        <v>0</v>
      </c>
      <c r="AG787" s="84">
        <v>0</v>
      </c>
      <c r="AH787" s="84">
        <v>0</v>
      </c>
      <c r="AI787" s="84">
        <v>0</v>
      </c>
      <c r="AJ787" s="84">
        <v>0</v>
      </c>
      <c r="AK787" s="84">
        <v>0</v>
      </c>
      <c r="AL787" s="84" cm="1">
        <f t="array" ref="AL7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7" s="84" cm="1">
        <f t="array" ref="AM7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7" s="84" cm="1">
        <f t="array" ref="AN7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7" s="84" cm="1">
        <f t="array" ref="AO7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7" s="84" cm="1">
        <f t="array" ref="AP7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787" s="84" cm="1">
        <f t="array" ref="AQ7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7" s="84" cm="1">
        <f t="array" ref="AR7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7" s="84" cm="1">
        <f t="array" ref="AS7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7" s="84" cm="1">
        <f t="array" ref="AT7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7" s="84" cm="1">
        <f t="array" ref="AU7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87" s="84" cm="1">
        <f t="array" ref="AV7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7" s="84" cm="1">
        <f t="array" ref="AW7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87" s="84" cm="1">
        <f t="array" ref="AX7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7" s="84" cm="1">
        <f t="array" ref="AY7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7" s="84" cm="1">
        <f t="array" ref="AZ7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87" s="84" cm="1">
        <f t="array" ref="BA7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7" s="84" cm="1">
        <f t="array" ref="BB7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7" s="84">
        <f>IF(SUM(Table3[[#This Row],[Column2]:[Column18]])&gt;Table3[[#This Row],[Column19]],Table3[[#This Row],[Column19]],SUM(Table3[[#This Row],[Column2]:[Column18]]))</f>
        <v>50000</v>
      </c>
      <c r="BD787" s="2">
        <f>Table3[[#This Row],[Total Spend]]/SUM(Table3[[#This Row],[Column2]:[Column18]])</f>
        <v>0.75075075075075071</v>
      </c>
    </row>
    <row r="788" spans="1:56">
      <c r="A788" s="84" t="s">
        <v>862</v>
      </c>
      <c r="B788" s="84" t="s">
        <v>57</v>
      </c>
      <c r="C788" s="84"/>
      <c r="D788" s="85">
        <v>45566</v>
      </c>
      <c r="E788" s="85" t="s">
        <v>58</v>
      </c>
      <c r="F788" s="84">
        <f>INDEX(Definitions!$G$13:$G$17,MATCH(Table3[[#This Row],[Propensity to buy/ buyer readiness]],Definitions!$A$13:$A$17,0))</f>
        <v>50000</v>
      </c>
      <c r="G788" s="86">
        <v>3</v>
      </c>
      <c r="H788" s="86">
        <v>3</v>
      </c>
      <c r="I788" s="86">
        <v>4</v>
      </c>
      <c r="J788" s="86">
        <v>4</v>
      </c>
      <c r="K788" s="86">
        <v>3</v>
      </c>
      <c r="L788" s="86">
        <f>SUM(Table3[[#This Row],[Strategic priority segment]:[Propensity to buy/ buyer readiness]])</f>
        <v>17</v>
      </c>
      <c r="M788" s="86" t="s">
        <v>59</v>
      </c>
      <c r="N788" s="84" t="s">
        <v>265</v>
      </c>
      <c r="O788" s="84"/>
      <c r="P788" s="87"/>
      <c r="Q788" s="87"/>
      <c r="R788" s="84"/>
      <c r="S788" s="84"/>
      <c r="T788" s="87"/>
      <c r="U788" s="84">
        <v>1</v>
      </c>
      <c r="V788" s="84">
        <v>1</v>
      </c>
      <c r="W788" s="84">
        <v>1</v>
      </c>
      <c r="X788" s="84">
        <v>1</v>
      </c>
      <c r="Y788" s="84">
        <v>0</v>
      </c>
      <c r="Z788" s="84">
        <v>0</v>
      </c>
      <c r="AA788" s="84">
        <v>0</v>
      </c>
      <c r="AB788" s="84">
        <v>0</v>
      </c>
      <c r="AC788" s="84">
        <v>0</v>
      </c>
      <c r="AD788" s="84">
        <v>0</v>
      </c>
      <c r="AE788" s="84">
        <v>0</v>
      </c>
      <c r="AF788" s="84">
        <v>0</v>
      </c>
      <c r="AG788" s="84">
        <v>0</v>
      </c>
      <c r="AH788" s="84">
        <v>0</v>
      </c>
      <c r="AI788" s="84">
        <v>1</v>
      </c>
      <c r="AJ788" s="84">
        <v>0</v>
      </c>
      <c r="AK788" s="84">
        <v>0</v>
      </c>
      <c r="AL788" s="84" cm="1">
        <f t="array" ref="AL7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88" s="84" cm="1">
        <f t="array" ref="AM7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88" s="84" cm="1">
        <f t="array" ref="AN7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88" s="84" cm="1">
        <f t="array" ref="AO7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88" s="84" cm="1">
        <f t="array" ref="AP7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8" s="84" cm="1">
        <f t="array" ref="AQ7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8" s="84" cm="1">
        <f t="array" ref="AR7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8" s="84" cm="1">
        <f t="array" ref="AS7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8" s="84" cm="1">
        <f t="array" ref="AT7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8" s="84" cm="1">
        <f t="array" ref="AU7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88" s="84" cm="1">
        <f t="array" ref="AV7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8" s="84" cm="1">
        <f t="array" ref="AW7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88" s="84" cm="1">
        <f t="array" ref="AX7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8" s="84" cm="1">
        <f t="array" ref="AY7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88" s="84" cm="1">
        <f t="array" ref="AZ7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88" s="84" cm="1">
        <f t="array" ref="BA7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88" s="84" cm="1">
        <f t="array" ref="BB7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88" s="84">
        <f>IF(SUM(Table3[[#This Row],[Column2]:[Column18]])&gt;Table3[[#This Row],[Column19]],Table3[[#This Row],[Column19]],SUM(Table3[[#This Row],[Column2]:[Column18]]))</f>
        <v>50000</v>
      </c>
      <c r="BD788" s="2">
        <f>Table3[[#This Row],[Total Spend]]/SUM(Table3[[#This Row],[Column2]:[Column18]])</f>
        <v>0.26021337496747332</v>
      </c>
    </row>
    <row r="789" spans="1:56">
      <c r="A789" s="84" t="s">
        <v>863</v>
      </c>
      <c r="B789" s="84"/>
      <c r="C789" s="84"/>
      <c r="D789" s="85">
        <v>45566</v>
      </c>
      <c r="E789" s="85" t="s">
        <v>58</v>
      </c>
      <c r="F789" s="84">
        <f>INDEX(Definitions!$G$13:$G$17,MATCH(Table3[[#This Row],[Propensity to buy/ buyer readiness]],Definitions!$A$13:$A$17,0))</f>
        <v>150000</v>
      </c>
      <c r="G789" s="86">
        <v>4</v>
      </c>
      <c r="H789" s="86">
        <v>3</v>
      </c>
      <c r="I789" s="86">
        <v>3</v>
      </c>
      <c r="J789" s="86">
        <v>3</v>
      </c>
      <c r="K789" s="86">
        <v>4</v>
      </c>
      <c r="L789" s="86">
        <f>SUM(Table3[[#This Row],[Strategic priority segment]:[Propensity to buy/ buyer readiness]])</f>
        <v>17</v>
      </c>
      <c r="M789" s="86" t="s">
        <v>191</v>
      </c>
      <c r="N789" s="84" t="s">
        <v>76</v>
      </c>
      <c r="O789" s="84" t="s">
        <v>135</v>
      </c>
      <c r="P789" s="84"/>
      <c r="Q789" s="84"/>
      <c r="R789" s="84"/>
      <c r="S789" s="87"/>
      <c r="T789" s="87"/>
      <c r="U789" s="84">
        <v>0</v>
      </c>
      <c r="V789" s="84">
        <v>0</v>
      </c>
      <c r="W789" s="84">
        <v>0</v>
      </c>
      <c r="X789" s="84">
        <v>0</v>
      </c>
      <c r="Y789" s="84">
        <v>0</v>
      </c>
      <c r="Z789" s="84">
        <v>0</v>
      </c>
      <c r="AA789" s="84">
        <v>0</v>
      </c>
      <c r="AB789" s="84">
        <v>0</v>
      </c>
      <c r="AC789" s="84">
        <v>0</v>
      </c>
      <c r="AD789" s="84">
        <v>0</v>
      </c>
      <c r="AE789" s="84">
        <v>0</v>
      </c>
      <c r="AF789" s="84">
        <v>0</v>
      </c>
      <c r="AG789" s="84">
        <v>0</v>
      </c>
      <c r="AH789" s="84">
        <v>1</v>
      </c>
      <c r="AI789" s="84">
        <v>1</v>
      </c>
      <c r="AJ789" s="84">
        <v>1</v>
      </c>
      <c r="AK789" s="84">
        <v>1</v>
      </c>
      <c r="AL789" s="84" cm="1">
        <f t="array" ref="AL7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89" s="84" cm="1">
        <f t="array" ref="AM7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89" s="84" cm="1">
        <f t="array" ref="AN7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89" s="84" cm="1">
        <f t="array" ref="AO7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89" s="84" cm="1">
        <f t="array" ref="AP7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89" s="84" cm="1">
        <f t="array" ref="AQ7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89" s="84" cm="1">
        <f t="array" ref="AR7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89" s="84" cm="1">
        <f t="array" ref="AS7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89" s="84" cm="1">
        <f t="array" ref="AT7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89" s="84" cm="1">
        <f t="array" ref="AU7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89" s="84" cm="1">
        <f t="array" ref="AV7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89" s="84" cm="1">
        <f t="array" ref="AW7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89" s="84" cm="1">
        <f t="array" ref="AX7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89" s="84" cm="1">
        <f t="array" ref="AY7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89" s="84" cm="1">
        <f t="array" ref="AZ7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89" s="84" cm="1">
        <f t="array" ref="BA7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89" s="84" cm="1">
        <f t="array" ref="BB7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89" s="84">
        <f>IF(SUM(Table3[[#This Row],[Column2]:[Column18]])&gt;Table3[[#This Row],[Column19]],Table3[[#This Row],[Column19]],SUM(Table3[[#This Row],[Column2]:[Column18]]))</f>
        <v>64350</v>
      </c>
      <c r="BD789" s="2">
        <f>Table3[[#This Row],[Total Spend]]/SUM(Table3[[#This Row],[Column2]:[Column18]])</f>
        <v>1</v>
      </c>
    </row>
    <row r="790" spans="1:56" ht="15.75" customHeight="1">
      <c r="A790" s="84" t="s">
        <v>864</v>
      </c>
      <c r="B790" s="84"/>
      <c r="C790" s="84"/>
      <c r="D790" s="85">
        <v>45566</v>
      </c>
      <c r="E790" s="85" t="s">
        <v>58</v>
      </c>
      <c r="F790" s="84">
        <f>INDEX(Definitions!$G$13:$G$17,MATCH(Table3[[#This Row],[Propensity to buy/ buyer readiness]],Definitions!$A$13:$A$17,0))</f>
        <v>150000</v>
      </c>
      <c r="G790" s="86">
        <v>4</v>
      </c>
      <c r="H790" s="86">
        <v>3</v>
      </c>
      <c r="I790" s="86">
        <v>3</v>
      </c>
      <c r="J790" s="86">
        <v>3</v>
      </c>
      <c r="K790" s="86">
        <v>4</v>
      </c>
      <c r="L790" s="86">
        <f>SUM(Table3[[#This Row],[Strategic priority segment]:[Propensity to buy/ buyer readiness]])</f>
        <v>17</v>
      </c>
      <c r="M790" s="86" t="s">
        <v>191</v>
      </c>
      <c r="N790" s="84" t="s">
        <v>76</v>
      </c>
      <c r="O790" s="84"/>
      <c r="P790" s="84"/>
      <c r="Q790" s="84"/>
      <c r="R790" s="84"/>
      <c r="S790" s="87"/>
      <c r="T790" s="84"/>
      <c r="U790" s="84">
        <v>0</v>
      </c>
      <c r="V790" s="84">
        <v>0</v>
      </c>
      <c r="W790" s="84">
        <v>0</v>
      </c>
      <c r="X790" s="84">
        <v>0</v>
      </c>
      <c r="Y790" s="84">
        <v>0</v>
      </c>
      <c r="Z790" s="84">
        <v>0</v>
      </c>
      <c r="AA790" s="84">
        <v>0</v>
      </c>
      <c r="AB790" s="84">
        <v>0</v>
      </c>
      <c r="AC790" s="84">
        <v>0</v>
      </c>
      <c r="AD790" s="84">
        <v>0</v>
      </c>
      <c r="AE790" s="84">
        <v>0</v>
      </c>
      <c r="AF790" s="84">
        <v>0</v>
      </c>
      <c r="AG790" s="84">
        <v>0</v>
      </c>
      <c r="AH790" s="84">
        <v>1</v>
      </c>
      <c r="AI790" s="84">
        <v>0</v>
      </c>
      <c r="AJ790" s="84">
        <v>1</v>
      </c>
      <c r="AK790" s="84">
        <v>0</v>
      </c>
      <c r="AL790" s="84" cm="1">
        <f t="array" ref="AL7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790" s="84" cm="1">
        <f t="array" ref="AM7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0" s="84" cm="1">
        <f t="array" ref="AN7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0" s="84" cm="1">
        <f t="array" ref="AO7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0" s="84" cm="1">
        <f t="array" ref="AP7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0" s="84" cm="1">
        <f t="array" ref="AQ7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0" s="84" cm="1">
        <f t="array" ref="AR7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0" s="84" cm="1">
        <f t="array" ref="AS7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0" s="84" cm="1">
        <f t="array" ref="AT7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0" s="84" cm="1">
        <f t="array" ref="AU7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90" s="84" cm="1">
        <f t="array" ref="AV7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0" s="84" cm="1">
        <f t="array" ref="AW7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90" s="84" cm="1">
        <f t="array" ref="AX7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0" s="84" cm="1">
        <f t="array" ref="AY7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90" s="84" cm="1">
        <f t="array" ref="AZ7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0" s="84" cm="1">
        <f t="array" ref="BA7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90" s="84" cm="1">
        <f t="array" ref="BB7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0" s="84">
        <f>IF(SUM(Table3[[#This Row],[Column2]:[Column18]])&gt;Table3[[#This Row],[Column19]],Table3[[#This Row],[Column19]],SUM(Table3[[#This Row],[Column2]:[Column18]]))</f>
        <v>42300</v>
      </c>
      <c r="BD790" s="2">
        <f>Table3[[#This Row],[Total Spend]]/SUM(Table3[[#This Row],[Column2]:[Column18]])</f>
        <v>1</v>
      </c>
    </row>
    <row r="791" spans="1:56">
      <c r="A791" s="84" t="s">
        <v>865</v>
      </c>
      <c r="B791" s="84"/>
      <c r="C791" s="84"/>
      <c r="D791" s="85">
        <v>45566</v>
      </c>
      <c r="E791" s="85" t="s">
        <v>92</v>
      </c>
      <c r="F791" s="84">
        <f>INDEX(Definitions!$G$13:$G$17,MATCH(Table3[[#This Row],[Propensity to buy/ buyer readiness]],Definitions!$A$13:$A$17,0))</f>
        <v>50000</v>
      </c>
      <c r="G791" s="86">
        <v>5</v>
      </c>
      <c r="H791" s="86">
        <v>4</v>
      </c>
      <c r="I791" s="86">
        <v>2</v>
      </c>
      <c r="J791" s="86">
        <v>3</v>
      </c>
      <c r="K791" s="86">
        <v>3</v>
      </c>
      <c r="L791" s="86">
        <f>SUM(Table3[[#This Row],[Strategic priority segment]:[Propensity to buy/ buyer readiness]])</f>
        <v>17</v>
      </c>
      <c r="M791" s="86" t="s">
        <v>66</v>
      </c>
      <c r="N791" s="84" t="s">
        <v>62</v>
      </c>
      <c r="O791" s="84"/>
      <c r="P791" s="84"/>
      <c r="Q791" s="84"/>
      <c r="R791" s="84"/>
      <c r="S791" s="84"/>
      <c r="T791" s="87"/>
      <c r="U791" s="84">
        <v>1</v>
      </c>
      <c r="V791" s="84">
        <v>0</v>
      </c>
      <c r="W791" s="84">
        <v>0</v>
      </c>
      <c r="X791" s="84">
        <v>0</v>
      </c>
      <c r="Y791" s="84">
        <v>0</v>
      </c>
      <c r="Z791" s="84">
        <v>0</v>
      </c>
      <c r="AA791" s="84">
        <v>0</v>
      </c>
      <c r="AB791" s="84">
        <v>0</v>
      </c>
      <c r="AC791" s="84">
        <v>0</v>
      </c>
      <c r="AD791" s="84">
        <v>1</v>
      </c>
      <c r="AE791" s="84">
        <v>1</v>
      </c>
      <c r="AF791" s="84">
        <v>1</v>
      </c>
      <c r="AG791" s="84">
        <v>1</v>
      </c>
      <c r="AH791" s="84">
        <v>0</v>
      </c>
      <c r="AI791" s="84">
        <v>0</v>
      </c>
      <c r="AJ791" s="84">
        <v>0</v>
      </c>
      <c r="AK791" s="84">
        <v>0</v>
      </c>
      <c r="AL791" s="84" cm="1">
        <f t="array" ref="AL7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91" s="84" cm="1">
        <f t="array" ref="AM7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1" s="84" cm="1">
        <f t="array" ref="AN7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1" s="84" cm="1">
        <f t="array" ref="AO7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1" s="84" cm="1">
        <f t="array" ref="AP7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1" s="84" cm="1">
        <f t="array" ref="AQ7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1" s="84" cm="1">
        <f t="array" ref="AR7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1" s="84" cm="1">
        <f t="array" ref="AS7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1" s="84" cm="1">
        <f t="array" ref="AT7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1" s="84" cm="1">
        <f t="array" ref="AU7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91" s="84" cm="1">
        <f t="array" ref="AV7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91" s="84" cm="1">
        <f t="array" ref="AW7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91" s="84" cm="1">
        <f t="array" ref="AX7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91" s="84" cm="1">
        <f t="array" ref="AY7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1" s="84" cm="1">
        <f t="array" ref="AZ7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1" s="84" cm="1">
        <f t="array" ref="BA7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1" s="84" cm="1">
        <f t="array" ref="BB7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1" s="84">
        <f>IF(SUM(Table3[[#This Row],[Column2]:[Column18]])&gt;Table3[[#This Row],[Column19]],Table3[[#This Row],[Column19]],SUM(Table3[[#This Row],[Column2]:[Column18]]))</f>
        <v>50000</v>
      </c>
      <c r="BD791" s="2">
        <f>Table3[[#This Row],[Total Spend]]/SUM(Table3[[#This Row],[Column2]:[Column18]])</f>
        <v>0.53163211057947901</v>
      </c>
    </row>
    <row r="792" spans="1:56">
      <c r="A792" s="84" t="s">
        <v>866</v>
      </c>
      <c r="B792" s="84"/>
      <c r="C792" s="84"/>
      <c r="D792" s="85">
        <v>45566</v>
      </c>
      <c r="E792" s="85" t="s">
        <v>92</v>
      </c>
      <c r="F792" s="84">
        <f>INDEX(Definitions!$G$13:$G$17,MATCH(Table3[[#This Row],[Propensity to buy/ buyer readiness]],Definitions!$A$13:$A$17,0))</f>
        <v>50000</v>
      </c>
      <c r="G792" s="86">
        <v>5</v>
      </c>
      <c r="H792" s="86">
        <v>4</v>
      </c>
      <c r="I792" s="86">
        <v>2</v>
      </c>
      <c r="J792" s="86">
        <v>3</v>
      </c>
      <c r="K792" s="86">
        <v>3</v>
      </c>
      <c r="L792" s="86">
        <f>SUM(Table3[[#This Row],[Strategic priority segment]:[Propensity to buy/ buyer readiness]])</f>
        <v>17</v>
      </c>
      <c r="M792" s="86" t="s">
        <v>66</v>
      </c>
      <c r="N792" s="84" t="s">
        <v>62</v>
      </c>
      <c r="O792" s="84"/>
      <c r="P792" s="87"/>
      <c r="Q792" s="87"/>
      <c r="R792" s="84"/>
      <c r="S792" s="87"/>
      <c r="T792" s="87"/>
      <c r="U792" s="84">
        <v>1</v>
      </c>
      <c r="V792" s="84">
        <v>0</v>
      </c>
      <c r="W792" s="84">
        <v>0</v>
      </c>
      <c r="X792" s="84">
        <v>0</v>
      </c>
      <c r="Y792" s="84">
        <v>0</v>
      </c>
      <c r="Z792" s="84">
        <v>0</v>
      </c>
      <c r="AA792" s="84">
        <v>0</v>
      </c>
      <c r="AB792" s="84">
        <v>0</v>
      </c>
      <c r="AC792" s="84">
        <v>0</v>
      </c>
      <c r="AD792" s="84">
        <v>1</v>
      </c>
      <c r="AE792" s="84">
        <v>1</v>
      </c>
      <c r="AF792" s="84">
        <v>1</v>
      </c>
      <c r="AG792" s="84">
        <v>1</v>
      </c>
      <c r="AH792" s="84">
        <v>0</v>
      </c>
      <c r="AI792" s="84">
        <v>0</v>
      </c>
      <c r="AJ792" s="84">
        <v>0</v>
      </c>
      <c r="AK792" s="84">
        <v>0</v>
      </c>
      <c r="AL792" s="84" cm="1">
        <f t="array" ref="AL7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92" s="84" cm="1">
        <f t="array" ref="AM7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2" s="84" cm="1">
        <f t="array" ref="AN7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2" s="84" cm="1">
        <f t="array" ref="AO7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2" s="84" cm="1">
        <f t="array" ref="AP7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2" s="84" cm="1">
        <f t="array" ref="AQ7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2" s="84" cm="1">
        <f t="array" ref="AR7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2" s="84" cm="1">
        <f t="array" ref="AS7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2" s="84" cm="1">
        <f t="array" ref="AT7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2" s="84" cm="1">
        <f t="array" ref="AU7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92" s="84" cm="1">
        <f t="array" ref="AV7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92" s="84" cm="1">
        <f t="array" ref="AW7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92" s="84" cm="1">
        <f t="array" ref="AX7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92" s="84" cm="1">
        <f t="array" ref="AY7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2" s="84" cm="1">
        <f t="array" ref="AZ7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2" s="84" cm="1">
        <f t="array" ref="BA7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2" s="84" cm="1">
        <f t="array" ref="BB7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2" s="84">
        <f>IF(SUM(Table3[[#This Row],[Column2]:[Column18]])&gt;Table3[[#This Row],[Column19]],Table3[[#This Row],[Column19]],SUM(Table3[[#This Row],[Column2]:[Column18]]))</f>
        <v>50000</v>
      </c>
      <c r="BD792" s="2">
        <f>Table3[[#This Row],[Total Spend]]/SUM(Table3[[#This Row],[Column2]:[Column18]])</f>
        <v>0.53163211057947901</v>
      </c>
    </row>
    <row r="793" spans="1:56">
      <c r="A793" s="84" t="s">
        <v>867</v>
      </c>
      <c r="B793" s="84" t="s">
        <v>57</v>
      </c>
      <c r="C793" s="84"/>
      <c r="D793" s="85">
        <v>45566</v>
      </c>
      <c r="E793" s="85" t="s">
        <v>58</v>
      </c>
      <c r="F793" s="84">
        <f>INDEX(Definitions!$G$13:$G$17,MATCH(Table3[[#This Row],[Propensity to buy/ buyer readiness]],Definitions!$A$13:$A$17,0))</f>
        <v>50000</v>
      </c>
      <c r="G793" s="86">
        <v>3</v>
      </c>
      <c r="H793" s="86">
        <v>3</v>
      </c>
      <c r="I793" s="86">
        <v>4</v>
      </c>
      <c r="J793" s="86">
        <v>4</v>
      </c>
      <c r="K793" s="86">
        <v>3</v>
      </c>
      <c r="L793" s="86">
        <f>SUM(Table3[[#This Row],[Strategic priority segment]:[Propensity to buy/ buyer readiness]])</f>
        <v>17</v>
      </c>
      <c r="M793" s="86" t="s">
        <v>59</v>
      </c>
      <c r="N793" s="84" t="s">
        <v>265</v>
      </c>
      <c r="O793" s="84"/>
      <c r="P793" s="87"/>
      <c r="Q793" s="87"/>
      <c r="R793" s="84"/>
      <c r="S793" s="84"/>
      <c r="T793" s="87"/>
      <c r="U793" s="84">
        <v>1</v>
      </c>
      <c r="V793" s="84">
        <v>1</v>
      </c>
      <c r="W793" s="84">
        <v>1</v>
      </c>
      <c r="X793" s="84">
        <v>1</v>
      </c>
      <c r="Y793" s="84">
        <v>0</v>
      </c>
      <c r="Z793" s="84">
        <v>0</v>
      </c>
      <c r="AA793" s="84">
        <v>0</v>
      </c>
      <c r="AB793" s="84">
        <v>0</v>
      </c>
      <c r="AC793" s="84">
        <v>0</v>
      </c>
      <c r="AD793" s="84">
        <v>0</v>
      </c>
      <c r="AE793" s="84">
        <v>0</v>
      </c>
      <c r="AF793" s="84">
        <v>0</v>
      </c>
      <c r="AG793" s="84">
        <v>0</v>
      </c>
      <c r="AH793" s="84">
        <v>0</v>
      </c>
      <c r="AI793" s="84">
        <v>1</v>
      </c>
      <c r="AJ793" s="84">
        <v>0</v>
      </c>
      <c r="AK793" s="84">
        <v>0</v>
      </c>
      <c r="AL793" s="84" cm="1">
        <f t="array" ref="AL7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93" s="84" cm="1">
        <f t="array" ref="AM7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793" s="84" cm="1">
        <f t="array" ref="AN7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793" s="84" cm="1">
        <f t="array" ref="AO7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793" s="84" cm="1">
        <f t="array" ref="AP7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3" s="84" cm="1">
        <f t="array" ref="AQ7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3" s="84" cm="1">
        <f t="array" ref="AR7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3" s="84" cm="1">
        <f t="array" ref="AS7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3" s="84" cm="1">
        <f t="array" ref="AT7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3" s="84" cm="1">
        <f t="array" ref="AU7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93" s="84" cm="1">
        <f t="array" ref="AV7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3" s="84" cm="1">
        <f t="array" ref="AW7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93" s="84" cm="1">
        <f t="array" ref="AX7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3" s="84" cm="1">
        <f t="array" ref="AY7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3" s="84" cm="1">
        <f t="array" ref="AZ7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93" s="84" cm="1">
        <f t="array" ref="BA7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3" s="84" cm="1">
        <f t="array" ref="BB7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3" s="84">
        <f>IF(SUM(Table3[[#This Row],[Column2]:[Column18]])&gt;Table3[[#This Row],[Column19]],Table3[[#This Row],[Column19]],SUM(Table3[[#This Row],[Column2]:[Column18]]))</f>
        <v>50000</v>
      </c>
      <c r="BD793" s="2">
        <f>Table3[[#This Row],[Total Spend]]/SUM(Table3[[#This Row],[Column2]:[Column18]])</f>
        <v>0.26021337496747332</v>
      </c>
    </row>
    <row r="794" spans="1:56">
      <c r="A794" s="84" t="s">
        <v>868</v>
      </c>
      <c r="B794" s="84" t="s">
        <v>57</v>
      </c>
      <c r="C794" s="84"/>
      <c r="D794" s="85">
        <v>45566</v>
      </c>
      <c r="E794" s="85" t="s">
        <v>58</v>
      </c>
      <c r="F794" s="84">
        <f>INDEX(Definitions!$G$13:$G$17,MATCH(Table3[[#This Row],[Propensity to buy/ buyer readiness]],Definitions!$A$13:$A$17,0))</f>
        <v>150000</v>
      </c>
      <c r="G794" s="86">
        <v>3</v>
      </c>
      <c r="H794" s="86">
        <v>3</v>
      </c>
      <c r="I794" s="86">
        <v>4</v>
      </c>
      <c r="J794" s="86">
        <v>3</v>
      </c>
      <c r="K794" s="86">
        <v>4</v>
      </c>
      <c r="L794" s="86">
        <f>SUM(Table3[[#This Row],[Strategic priority segment]:[Propensity to buy/ buyer readiness]])</f>
        <v>17</v>
      </c>
      <c r="M794" s="86" t="s">
        <v>152</v>
      </c>
      <c r="N794" s="84" t="s">
        <v>122</v>
      </c>
      <c r="O794" s="84"/>
      <c r="P794" s="87"/>
      <c r="Q794" s="87"/>
      <c r="R794" s="84"/>
      <c r="S794" s="84"/>
      <c r="T794" s="84"/>
      <c r="U794" s="84">
        <v>1</v>
      </c>
      <c r="V794" s="84">
        <v>0</v>
      </c>
      <c r="W794" s="84">
        <v>0</v>
      </c>
      <c r="X794" s="84">
        <v>0</v>
      </c>
      <c r="Y794" s="84">
        <v>0</v>
      </c>
      <c r="Z794" s="84">
        <v>1</v>
      </c>
      <c r="AA794" s="84">
        <v>0</v>
      </c>
      <c r="AB794" s="84">
        <v>1</v>
      </c>
      <c r="AC794" s="84">
        <v>0</v>
      </c>
      <c r="AD794" s="84">
        <v>1</v>
      </c>
      <c r="AE794" s="84">
        <v>0</v>
      </c>
      <c r="AF794" s="84">
        <v>1</v>
      </c>
      <c r="AG794" s="84">
        <v>0</v>
      </c>
      <c r="AH794" s="84">
        <v>0</v>
      </c>
      <c r="AI794" s="84">
        <v>0</v>
      </c>
      <c r="AJ794" s="84">
        <v>0</v>
      </c>
      <c r="AK794" s="84">
        <v>0</v>
      </c>
      <c r="AL794" s="84" cm="1">
        <f t="array" ref="AL7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94" s="84" cm="1">
        <f t="array" ref="AM7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4" s="84" cm="1">
        <f t="array" ref="AN7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4" s="84" cm="1">
        <f t="array" ref="AO7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4" s="84" cm="1">
        <f t="array" ref="AP7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4" s="84" cm="1">
        <f t="array" ref="AQ7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94" s="84" cm="1">
        <f t="array" ref="AR7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4" s="84" cm="1">
        <f t="array" ref="AS7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94" s="84" cm="1">
        <f t="array" ref="AT7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4" s="84" cm="1">
        <f t="array" ref="AU7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94" s="84" cm="1">
        <f t="array" ref="AV7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4" s="84" cm="1">
        <f t="array" ref="AW7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94" s="84" cm="1">
        <f t="array" ref="AX7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4" s="84" cm="1">
        <f t="array" ref="AY7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4" s="84" cm="1">
        <f t="array" ref="AZ7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4" s="84" cm="1">
        <f t="array" ref="BA7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4" s="84" cm="1">
        <f t="array" ref="BB7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4" s="84">
        <f>IF(SUM(Table3[[#This Row],[Column2]:[Column18]])&gt;Table3[[#This Row],[Column19]],Table3[[#This Row],[Column19]],SUM(Table3[[#This Row],[Column2]:[Column18]]))</f>
        <v>150000</v>
      </c>
      <c r="BD794" s="2">
        <f>Table3[[#This Row],[Total Spend]]/SUM(Table3[[#This Row],[Column2]:[Column18]])</f>
        <v>0.89605734767025091</v>
      </c>
    </row>
    <row r="795" spans="1:56">
      <c r="A795" s="88" t="s">
        <v>869</v>
      </c>
      <c r="B795" s="88"/>
      <c r="C795" s="88"/>
      <c r="D795" s="85">
        <v>45566</v>
      </c>
      <c r="E795" s="85" t="s">
        <v>92</v>
      </c>
      <c r="F795" s="84">
        <f>INDEX(Definitions!$G$13:$G$17,MATCH(Table3[[#This Row],[Propensity to buy/ buyer readiness]],Definitions!$A$13:$A$17,0))</f>
        <v>50000</v>
      </c>
      <c r="G795" s="86">
        <v>5</v>
      </c>
      <c r="H795" s="86">
        <v>4</v>
      </c>
      <c r="I795" s="86">
        <v>2</v>
      </c>
      <c r="J795" s="86">
        <v>3</v>
      </c>
      <c r="K795" s="86">
        <v>3</v>
      </c>
      <c r="L795" s="86">
        <f>SUM(Table3[[#This Row],[Strategic priority segment]:[Propensity to buy/ buyer readiness]])</f>
        <v>17</v>
      </c>
      <c r="M795" s="86" t="s">
        <v>66</v>
      </c>
      <c r="N795" s="84" t="s">
        <v>62</v>
      </c>
      <c r="O795" s="84"/>
      <c r="P795" s="87"/>
      <c r="Q795" s="87"/>
      <c r="R795" s="84"/>
      <c r="S795" s="87"/>
      <c r="T795" s="87"/>
      <c r="U795" s="84">
        <v>1</v>
      </c>
      <c r="V795" s="84">
        <v>0</v>
      </c>
      <c r="W795" s="84">
        <v>0</v>
      </c>
      <c r="X795" s="84">
        <v>0</v>
      </c>
      <c r="Y795" s="84">
        <v>0</v>
      </c>
      <c r="Z795" s="84">
        <v>0</v>
      </c>
      <c r="AA795" s="84">
        <v>0</v>
      </c>
      <c r="AB795" s="84">
        <v>0</v>
      </c>
      <c r="AC795" s="84">
        <v>0</v>
      </c>
      <c r="AD795" s="84">
        <v>1</v>
      </c>
      <c r="AE795" s="84">
        <v>1</v>
      </c>
      <c r="AF795" s="84">
        <v>1</v>
      </c>
      <c r="AG795" s="84">
        <v>1</v>
      </c>
      <c r="AH795" s="84">
        <v>0</v>
      </c>
      <c r="AI795" s="84">
        <v>0</v>
      </c>
      <c r="AJ795" s="84">
        <v>0</v>
      </c>
      <c r="AK795" s="84">
        <v>0</v>
      </c>
      <c r="AL795" s="84" cm="1">
        <f t="array" ref="AL7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795" s="84" cm="1">
        <f t="array" ref="AM7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5" s="84" cm="1">
        <f t="array" ref="AN7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5" s="84" cm="1">
        <f t="array" ref="AO7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5" s="84" cm="1">
        <f t="array" ref="AP7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5" s="84" cm="1">
        <f t="array" ref="AQ7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5" s="84" cm="1">
        <f t="array" ref="AR7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5" s="84" cm="1">
        <f t="array" ref="AS7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5" s="84" cm="1">
        <f t="array" ref="AT7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5" s="84" cm="1">
        <f t="array" ref="AU7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795" s="84" cm="1">
        <f t="array" ref="AV7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795" s="84" cm="1">
        <f t="array" ref="AW7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795" s="84" cm="1">
        <f t="array" ref="AX7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795" s="84" cm="1">
        <f t="array" ref="AY7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5" s="84" cm="1">
        <f t="array" ref="AZ7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5" s="84" cm="1">
        <f t="array" ref="BA7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5" s="84" cm="1">
        <f t="array" ref="BB7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5" s="84">
        <f>IF(SUM(Table3[[#This Row],[Column2]:[Column18]])&gt;Table3[[#This Row],[Column19]],Table3[[#This Row],[Column19]],SUM(Table3[[#This Row],[Column2]:[Column18]]))</f>
        <v>50000</v>
      </c>
      <c r="BD795" s="2">
        <f>Table3[[#This Row],[Total Spend]]/SUM(Table3[[#This Row],[Column2]:[Column18]])</f>
        <v>0.53163211057947901</v>
      </c>
    </row>
    <row r="796" spans="1:56">
      <c r="A796" s="84" t="s">
        <v>870</v>
      </c>
      <c r="B796" s="84" t="s">
        <v>57</v>
      </c>
      <c r="C796" s="84"/>
      <c r="D796" s="85">
        <v>45566</v>
      </c>
      <c r="E796" s="85" t="s">
        <v>58</v>
      </c>
      <c r="F796" s="84">
        <f>INDEX(Definitions!$G$13:$G$17,MATCH(Table3[[#This Row],[Propensity to buy/ buyer readiness]],Definitions!$A$13:$A$17,0))</f>
        <v>150000</v>
      </c>
      <c r="G796" s="86">
        <v>3</v>
      </c>
      <c r="H796" s="86">
        <v>3</v>
      </c>
      <c r="I796" s="86">
        <v>4</v>
      </c>
      <c r="J796" s="86">
        <v>3</v>
      </c>
      <c r="K796" s="86">
        <v>4</v>
      </c>
      <c r="L796" s="86">
        <f>SUM(Table3[[#This Row],[Strategic priority segment]:[Propensity to buy/ buyer readiness]])</f>
        <v>17</v>
      </c>
      <c r="M796" s="86" t="s">
        <v>152</v>
      </c>
      <c r="N796" s="84" t="s">
        <v>122</v>
      </c>
      <c r="O796" s="84"/>
      <c r="P796" s="87"/>
      <c r="Q796" s="87"/>
      <c r="R796" s="84"/>
      <c r="S796" s="84"/>
      <c r="T796" s="84"/>
      <c r="U796" s="84">
        <v>1</v>
      </c>
      <c r="V796" s="84">
        <v>0</v>
      </c>
      <c r="W796" s="84">
        <v>0</v>
      </c>
      <c r="X796" s="84">
        <v>0</v>
      </c>
      <c r="Y796" s="84">
        <v>0</v>
      </c>
      <c r="Z796" s="84">
        <v>1</v>
      </c>
      <c r="AA796" s="84">
        <v>0</v>
      </c>
      <c r="AB796" s="84">
        <v>1</v>
      </c>
      <c r="AC796" s="84">
        <v>0</v>
      </c>
      <c r="AD796" s="84">
        <v>1</v>
      </c>
      <c r="AE796" s="84">
        <v>0</v>
      </c>
      <c r="AF796" s="84">
        <v>1</v>
      </c>
      <c r="AG796" s="84">
        <v>0</v>
      </c>
      <c r="AH796" s="84">
        <v>0</v>
      </c>
      <c r="AI796" s="84">
        <v>0</v>
      </c>
      <c r="AJ796" s="84">
        <v>0</v>
      </c>
      <c r="AK796" s="84">
        <v>0</v>
      </c>
      <c r="AL796" s="84" cm="1">
        <f t="array" ref="AL7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96" s="84" cm="1">
        <f t="array" ref="AM7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6" s="84" cm="1">
        <f t="array" ref="AN7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6" s="84" cm="1">
        <f t="array" ref="AO7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6" s="84" cm="1">
        <f t="array" ref="AP7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6" s="84" cm="1">
        <f t="array" ref="AQ7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96" s="84" cm="1">
        <f t="array" ref="AR7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6" s="84" cm="1">
        <f t="array" ref="AS7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96" s="84" cm="1">
        <f t="array" ref="AT7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6" s="84" cm="1">
        <f t="array" ref="AU7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96" s="84" cm="1">
        <f t="array" ref="AV7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6" s="84" cm="1">
        <f t="array" ref="AW7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96" s="84" cm="1">
        <f t="array" ref="AX7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6" s="84" cm="1">
        <f t="array" ref="AY7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6" s="84" cm="1">
        <f t="array" ref="AZ7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6" s="84" cm="1">
        <f t="array" ref="BA7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6" s="84" cm="1">
        <f t="array" ref="BB7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6" s="84">
        <f>IF(SUM(Table3[[#This Row],[Column2]:[Column18]])&gt;Table3[[#This Row],[Column19]],Table3[[#This Row],[Column19]],SUM(Table3[[#This Row],[Column2]:[Column18]]))</f>
        <v>150000</v>
      </c>
      <c r="BD796" s="2">
        <f>Table3[[#This Row],[Total Spend]]/SUM(Table3[[#This Row],[Column2]:[Column18]])</f>
        <v>0.89605734767025091</v>
      </c>
    </row>
    <row r="797" spans="1:56">
      <c r="A797" s="84" t="s">
        <v>871</v>
      </c>
      <c r="B797" s="84" t="s">
        <v>57</v>
      </c>
      <c r="C797" s="84"/>
      <c r="D797" s="85">
        <v>45566</v>
      </c>
      <c r="E797" s="85" t="s">
        <v>58</v>
      </c>
      <c r="F797" s="84">
        <f>INDEX(Definitions!$G$13:$G$17,MATCH(Table3[[#This Row],[Propensity to buy/ buyer readiness]],Definitions!$A$13:$A$17,0))</f>
        <v>50000</v>
      </c>
      <c r="G797" s="86">
        <v>4</v>
      </c>
      <c r="H797" s="86">
        <v>3</v>
      </c>
      <c r="I797" s="86">
        <v>4</v>
      </c>
      <c r="J797" s="86">
        <v>3</v>
      </c>
      <c r="K797" s="86">
        <v>3</v>
      </c>
      <c r="L797" s="86">
        <f>SUM(Table3[[#This Row],[Strategic priority segment]:[Propensity to buy/ buyer readiness]])</f>
        <v>17</v>
      </c>
      <c r="M797" s="86" t="s">
        <v>152</v>
      </c>
      <c r="N797" s="84" t="s">
        <v>130</v>
      </c>
      <c r="O797" s="84"/>
      <c r="P797" s="87"/>
      <c r="Q797" s="87"/>
      <c r="R797" s="84"/>
      <c r="S797" s="84"/>
      <c r="T797" s="87"/>
      <c r="U797" s="84">
        <v>1</v>
      </c>
      <c r="V797" s="84">
        <v>0</v>
      </c>
      <c r="W797" s="84">
        <v>0</v>
      </c>
      <c r="X797" s="84">
        <v>0</v>
      </c>
      <c r="Y797" s="84">
        <v>0</v>
      </c>
      <c r="Z797" s="84">
        <v>0</v>
      </c>
      <c r="AA797" s="84">
        <v>0</v>
      </c>
      <c r="AB797" s="84">
        <v>0</v>
      </c>
      <c r="AC797" s="84">
        <v>0</v>
      </c>
      <c r="AD797" s="84">
        <v>0</v>
      </c>
      <c r="AE797" s="84">
        <v>0</v>
      </c>
      <c r="AF797" s="84">
        <v>0</v>
      </c>
      <c r="AG797" s="84">
        <v>0</v>
      </c>
      <c r="AH797" s="84">
        <v>0</v>
      </c>
      <c r="AI797" s="84">
        <v>0</v>
      </c>
      <c r="AJ797" s="84">
        <v>0</v>
      </c>
      <c r="AK797" s="84">
        <v>0</v>
      </c>
      <c r="AL797" s="84" cm="1">
        <f t="array" ref="AL7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97" s="84" cm="1">
        <f t="array" ref="AM7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7" s="84" cm="1">
        <f t="array" ref="AN7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7" s="84" cm="1">
        <f t="array" ref="AO7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7" s="84" cm="1">
        <f t="array" ref="AP7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7" s="84" cm="1">
        <f t="array" ref="AQ7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7" s="84" cm="1">
        <f t="array" ref="AR7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7" s="84" cm="1">
        <f t="array" ref="AS7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7" s="84" cm="1">
        <f t="array" ref="AT7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7" s="84" cm="1">
        <f t="array" ref="AU7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97" s="84" cm="1">
        <f t="array" ref="AV7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7" s="84" cm="1">
        <f t="array" ref="AW7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97" s="84" cm="1">
        <f t="array" ref="AX7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7" s="84" cm="1">
        <f t="array" ref="AY7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7" s="84" cm="1">
        <f t="array" ref="AZ7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7" s="84" cm="1">
        <f t="array" ref="BA7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7" s="84" cm="1">
        <f t="array" ref="BB7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7" s="84">
        <f>IF(SUM(Table3[[#This Row],[Column2]:[Column18]])&gt;Table3[[#This Row],[Column19]],Table3[[#This Row],[Column19]],SUM(Table3[[#This Row],[Column2]:[Column18]]))</f>
        <v>10800</v>
      </c>
      <c r="BD797" s="2">
        <f>Table3[[#This Row],[Total Spend]]/SUM(Table3[[#This Row],[Column2]:[Column18]])</f>
        <v>1</v>
      </c>
    </row>
    <row r="798" spans="1:56">
      <c r="A798" s="84" t="s">
        <v>872</v>
      </c>
      <c r="B798" s="84" t="s">
        <v>57</v>
      </c>
      <c r="C798" s="84"/>
      <c r="D798" s="85">
        <v>45566</v>
      </c>
      <c r="E798" s="85" t="s">
        <v>58</v>
      </c>
      <c r="F798" s="84">
        <f>INDEX(Definitions!$G$13:$G$17,MATCH(Table3[[#This Row],[Propensity to buy/ buyer readiness]],Definitions!$A$13:$A$17,0))</f>
        <v>50000</v>
      </c>
      <c r="G798" s="86">
        <v>4</v>
      </c>
      <c r="H798" s="86">
        <v>3</v>
      </c>
      <c r="I798" s="86">
        <v>4</v>
      </c>
      <c r="J798" s="86">
        <v>3</v>
      </c>
      <c r="K798" s="86">
        <v>3</v>
      </c>
      <c r="L798" s="86">
        <f>SUM(Table3[[#This Row],[Strategic priority segment]:[Propensity to buy/ buyer readiness]])</f>
        <v>17</v>
      </c>
      <c r="M798" s="86" t="s">
        <v>152</v>
      </c>
      <c r="N798" s="84" t="s">
        <v>153</v>
      </c>
      <c r="O798" s="84"/>
      <c r="P798" s="87"/>
      <c r="Q798" s="87"/>
      <c r="R798" s="84"/>
      <c r="S798" s="84"/>
      <c r="T798" s="84"/>
      <c r="U798" s="84">
        <v>1</v>
      </c>
      <c r="V798" s="84">
        <v>0</v>
      </c>
      <c r="W798" s="84">
        <v>0</v>
      </c>
      <c r="X798" s="84">
        <v>0</v>
      </c>
      <c r="Y798" s="84">
        <v>0</v>
      </c>
      <c r="Z798" s="84">
        <v>0</v>
      </c>
      <c r="AA798" s="84">
        <v>0</v>
      </c>
      <c r="AB798" s="84">
        <v>0</v>
      </c>
      <c r="AC798" s="84">
        <v>0</v>
      </c>
      <c r="AD798" s="84">
        <v>0</v>
      </c>
      <c r="AE798" s="84">
        <v>0</v>
      </c>
      <c r="AF798" s="84">
        <v>0</v>
      </c>
      <c r="AG798" s="84">
        <v>0</v>
      </c>
      <c r="AH798" s="84">
        <v>0</v>
      </c>
      <c r="AI798" s="84">
        <v>0</v>
      </c>
      <c r="AJ798" s="84">
        <v>0</v>
      </c>
      <c r="AK798" s="84">
        <v>0</v>
      </c>
      <c r="AL798" s="84" cm="1">
        <f t="array" ref="AL7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98" s="84" cm="1">
        <f t="array" ref="AM7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8" s="84" cm="1">
        <f t="array" ref="AN7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8" s="84" cm="1">
        <f t="array" ref="AO7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8" s="84" cm="1">
        <f t="array" ref="AP7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8" s="84" cm="1">
        <f t="array" ref="AQ7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798" s="84" cm="1">
        <f t="array" ref="AR7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8" s="84" cm="1">
        <f t="array" ref="AS7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798" s="84" cm="1">
        <f t="array" ref="AT7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8" s="84" cm="1">
        <f t="array" ref="AU7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798" s="84" cm="1">
        <f t="array" ref="AV7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8" s="84" cm="1">
        <f t="array" ref="AW7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798" s="84" cm="1">
        <f t="array" ref="AX7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8" s="84" cm="1">
        <f t="array" ref="AY7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798" s="84" cm="1">
        <f t="array" ref="AZ7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798" s="84" cm="1">
        <f t="array" ref="BA7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798" s="84" cm="1">
        <f t="array" ref="BB7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798" s="84">
        <f>IF(SUM(Table3[[#This Row],[Column2]:[Column18]])&gt;Table3[[#This Row],[Column19]],Table3[[#This Row],[Column19]],SUM(Table3[[#This Row],[Column2]:[Column18]]))</f>
        <v>10800</v>
      </c>
      <c r="BD798" s="2">
        <f>Table3[[#This Row],[Total Spend]]/SUM(Table3[[#This Row],[Column2]:[Column18]])</f>
        <v>1</v>
      </c>
    </row>
    <row r="799" spans="1:56">
      <c r="A799" s="87" t="s">
        <v>873</v>
      </c>
      <c r="B799" s="87"/>
      <c r="C799" s="87" t="s">
        <v>57</v>
      </c>
      <c r="D799" s="85">
        <v>45566</v>
      </c>
      <c r="E799" s="85" t="s">
        <v>58</v>
      </c>
      <c r="F799" s="84">
        <f>INDEX(Definitions!$G$13:$G$17,MATCH(Table3[[#This Row],[Propensity to buy/ buyer readiness]],Definitions!$A$13:$A$17,0))</f>
        <v>150000</v>
      </c>
      <c r="G799" s="86">
        <v>3</v>
      </c>
      <c r="H799" s="86">
        <v>3</v>
      </c>
      <c r="I799" s="86">
        <v>4</v>
      </c>
      <c r="J799" s="86">
        <v>3</v>
      </c>
      <c r="K799" s="86">
        <v>4</v>
      </c>
      <c r="L799" s="86">
        <f>SUM(Table3[[#This Row],[Strategic priority segment]:[Propensity to buy/ buyer readiness]])</f>
        <v>17</v>
      </c>
      <c r="M799" s="86" t="s">
        <v>152</v>
      </c>
      <c r="N799" s="84" t="s">
        <v>122</v>
      </c>
      <c r="O799" s="87" t="s">
        <v>135</v>
      </c>
      <c r="P799" s="87"/>
      <c r="Q799" s="87"/>
      <c r="R799" s="84"/>
      <c r="S799" s="87"/>
      <c r="T799" s="87"/>
      <c r="U799" s="84">
        <v>1</v>
      </c>
      <c r="V799" s="84">
        <v>0</v>
      </c>
      <c r="W799" s="84">
        <v>0</v>
      </c>
      <c r="X799" s="84">
        <v>0</v>
      </c>
      <c r="Y799" s="84">
        <v>0</v>
      </c>
      <c r="Z799" s="84">
        <v>1</v>
      </c>
      <c r="AA799" s="84">
        <v>0</v>
      </c>
      <c r="AB799" s="84">
        <v>1</v>
      </c>
      <c r="AC799" s="84">
        <v>0</v>
      </c>
      <c r="AD799" s="84">
        <v>1</v>
      </c>
      <c r="AE799" s="84">
        <v>0</v>
      </c>
      <c r="AF799" s="84">
        <v>1</v>
      </c>
      <c r="AG799" s="84">
        <v>0</v>
      </c>
      <c r="AH799" s="84">
        <v>1</v>
      </c>
      <c r="AI799" s="84">
        <v>1</v>
      </c>
      <c r="AJ799" s="84">
        <v>1</v>
      </c>
      <c r="AK799" s="84">
        <v>1</v>
      </c>
      <c r="AL799" s="84" cm="1">
        <f t="array" ref="AL7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799" s="84" cm="1">
        <f t="array" ref="AM7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799" s="84" cm="1">
        <f t="array" ref="AN7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799" s="84" cm="1">
        <f t="array" ref="AO7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799" s="84" cm="1">
        <f t="array" ref="AP7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799" s="84" cm="1">
        <f t="array" ref="AQ7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799" s="84" cm="1">
        <f t="array" ref="AR7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799" s="84" cm="1">
        <f t="array" ref="AS7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799" s="84" cm="1">
        <f t="array" ref="AT7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799" s="84" cm="1">
        <f t="array" ref="AU7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799" s="84" cm="1">
        <f t="array" ref="AV7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799" s="84" cm="1">
        <f t="array" ref="AW7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799" s="84" cm="1">
        <f t="array" ref="AX7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799" s="84" cm="1">
        <f t="array" ref="AY7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799" s="84" cm="1">
        <f t="array" ref="AZ7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799" s="84" cm="1">
        <f t="array" ref="BA7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799" s="84" cm="1">
        <f t="array" ref="BB7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799" s="84">
        <f>IF(SUM(Table3[[#This Row],[Column2]:[Column18]])&gt;Table3[[#This Row],[Column19]],Table3[[#This Row],[Column19]],SUM(Table3[[#This Row],[Column2]:[Column18]]))</f>
        <v>150000</v>
      </c>
      <c r="BD799" s="2">
        <f>Table3[[#This Row],[Total Spend]]/SUM(Table3[[#This Row],[Column2]:[Column18]])</f>
        <v>0.6472491909385113</v>
      </c>
    </row>
    <row r="800" spans="1:56">
      <c r="A800" s="84" t="s">
        <v>874</v>
      </c>
      <c r="B800" s="84" t="s">
        <v>57</v>
      </c>
      <c r="C800" s="84"/>
      <c r="D800" s="85">
        <v>45566</v>
      </c>
      <c r="E800" s="85" t="s">
        <v>92</v>
      </c>
      <c r="F800" s="84">
        <f>INDEX(Definitions!$G$13:$G$17,MATCH(Table3[[#This Row],[Propensity to buy/ buyer readiness]],Definitions!$A$13:$A$17,0))</f>
        <v>10000</v>
      </c>
      <c r="G800" s="86">
        <v>4</v>
      </c>
      <c r="H800" s="86">
        <v>3</v>
      </c>
      <c r="I800" s="86">
        <v>4</v>
      </c>
      <c r="J800" s="86">
        <v>4</v>
      </c>
      <c r="K800" s="86">
        <v>2</v>
      </c>
      <c r="L800" s="86">
        <f>SUM(Table3[[#This Row],[Strategic priority segment]:[Propensity to buy/ buyer readiness]])</f>
        <v>17</v>
      </c>
      <c r="M800" s="86" t="s">
        <v>102</v>
      </c>
      <c r="N800" s="84" t="s">
        <v>61</v>
      </c>
      <c r="O800" s="84" t="s">
        <v>62</v>
      </c>
      <c r="P800" s="87"/>
      <c r="Q800" s="87"/>
      <c r="R800" s="84"/>
      <c r="S800" s="84"/>
      <c r="T800" s="87"/>
      <c r="U800" s="84">
        <v>1</v>
      </c>
      <c r="V800" s="84">
        <v>0</v>
      </c>
      <c r="W800" s="84">
        <v>0</v>
      </c>
      <c r="X800" s="84">
        <v>0</v>
      </c>
      <c r="Y800" s="84">
        <v>0</v>
      </c>
      <c r="Z800" s="84">
        <v>1</v>
      </c>
      <c r="AA800" s="84">
        <v>1</v>
      </c>
      <c r="AB800" s="84">
        <v>1</v>
      </c>
      <c r="AC800" s="84">
        <v>1</v>
      </c>
      <c r="AD800" s="84">
        <v>1</v>
      </c>
      <c r="AE800" s="84">
        <v>1</v>
      </c>
      <c r="AF800" s="84">
        <v>1</v>
      </c>
      <c r="AG800" s="84">
        <v>1</v>
      </c>
      <c r="AH800" s="84">
        <v>0</v>
      </c>
      <c r="AI800" s="84">
        <v>0</v>
      </c>
      <c r="AJ800" s="84">
        <v>0</v>
      </c>
      <c r="AK800" s="84">
        <v>0</v>
      </c>
      <c r="AL800" s="84" cm="1">
        <f t="array" ref="AL8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00" s="84" cm="1">
        <f t="array" ref="AM8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0" s="84" cm="1">
        <f t="array" ref="AN8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0" s="84" cm="1">
        <f t="array" ref="AO8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0" s="84" cm="1">
        <f t="array" ref="AP8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0" s="84" cm="1">
        <f t="array" ref="AQ8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00" s="84" cm="1">
        <f t="array" ref="AR8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00" s="84" cm="1">
        <f t="array" ref="AS8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00" s="84" cm="1">
        <f t="array" ref="AT8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00" s="84" cm="1">
        <f t="array" ref="AU8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00" s="84" cm="1">
        <f t="array" ref="AV8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00" s="84" cm="1">
        <f t="array" ref="AW8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00" s="84" cm="1">
        <f t="array" ref="AX8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00" s="84" cm="1">
        <f t="array" ref="AY8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0" s="84" cm="1">
        <f t="array" ref="AZ8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0" s="84" cm="1">
        <f t="array" ref="BA8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0" s="84" cm="1">
        <f t="array" ref="BB8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0" s="84">
        <f>IF(SUM(Table3[[#This Row],[Column2]:[Column18]])&gt;Table3[[#This Row],[Column19]],Table3[[#This Row],[Column19]],SUM(Table3[[#This Row],[Column2]:[Column18]]))</f>
        <v>10000</v>
      </c>
      <c r="BD800" s="2">
        <f>Table3[[#This Row],[Total Spend]]/SUM(Table3[[#This Row],[Column2]:[Column18]])</f>
        <v>5.3290700772715159E-2</v>
      </c>
    </row>
    <row r="801" spans="1:56">
      <c r="A801" s="84" t="s">
        <v>875</v>
      </c>
      <c r="B801" s="84" t="s">
        <v>57</v>
      </c>
      <c r="C801" s="84"/>
      <c r="D801" s="85">
        <v>45566</v>
      </c>
      <c r="E801" s="85" t="s">
        <v>58</v>
      </c>
      <c r="F801" s="84">
        <f>INDEX(Definitions!$G$13:$G$17,MATCH(Table3[[#This Row],[Propensity to buy/ buyer readiness]],Definitions!$A$13:$A$17,0))</f>
        <v>50000</v>
      </c>
      <c r="G801" s="86">
        <v>3</v>
      </c>
      <c r="H801" s="86">
        <v>3</v>
      </c>
      <c r="I801" s="86">
        <v>4</v>
      </c>
      <c r="J801" s="86">
        <v>4</v>
      </c>
      <c r="K801" s="86">
        <v>3</v>
      </c>
      <c r="L801" s="86">
        <f>SUM(Table3[[#This Row],[Strategic priority segment]:[Propensity to buy/ buyer readiness]])</f>
        <v>17</v>
      </c>
      <c r="M801" s="86" t="s">
        <v>59</v>
      </c>
      <c r="N801" s="84" t="s">
        <v>265</v>
      </c>
      <c r="O801" s="84"/>
      <c r="P801" s="87"/>
      <c r="Q801" s="87"/>
      <c r="R801" s="84"/>
      <c r="S801" s="84"/>
      <c r="T801" s="87"/>
      <c r="U801" s="84">
        <v>1</v>
      </c>
      <c r="V801" s="84">
        <v>1</v>
      </c>
      <c r="W801" s="84">
        <v>1</v>
      </c>
      <c r="X801" s="84">
        <v>1</v>
      </c>
      <c r="Y801" s="84">
        <v>0</v>
      </c>
      <c r="Z801" s="84">
        <v>0</v>
      </c>
      <c r="AA801" s="84">
        <v>0</v>
      </c>
      <c r="AB801" s="84">
        <v>0</v>
      </c>
      <c r="AC801" s="84">
        <v>0</v>
      </c>
      <c r="AD801" s="84">
        <v>0</v>
      </c>
      <c r="AE801" s="84">
        <v>0</v>
      </c>
      <c r="AF801" s="84">
        <v>0</v>
      </c>
      <c r="AG801" s="84">
        <v>0</v>
      </c>
      <c r="AH801" s="84">
        <v>0</v>
      </c>
      <c r="AI801" s="84">
        <v>1</v>
      </c>
      <c r="AJ801" s="84">
        <v>0</v>
      </c>
      <c r="AK801" s="84">
        <v>0</v>
      </c>
      <c r="AL801" s="84" cm="1">
        <f t="array" ref="AL8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01" s="84" cm="1">
        <f t="array" ref="AM8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01" s="84" cm="1">
        <f t="array" ref="AN8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01" s="84" cm="1">
        <f t="array" ref="AO8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01" s="84" cm="1">
        <f t="array" ref="AP8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1" s="84" cm="1">
        <f t="array" ref="AQ8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1" s="84" cm="1">
        <f t="array" ref="AR8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1" s="84" cm="1">
        <f t="array" ref="AS8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1" s="84" cm="1">
        <f t="array" ref="AT8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1" s="84" cm="1">
        <f t="array" ref="AU8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01" s="84" cm="1">
        <f t="array" ref="AV8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01" s="84" cm="1">
        <f t="array" ref="AW8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01" s="84" cm="1">
        <f t="array" ref="AX8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01" s="84" cm="1">
        <f t="array" ref="AY8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1" s="84" cm="1">
        <f t="array" ref="AZ8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01" s="84" cm="1">
        <f t="array" ref="BA8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1" s="84" cm="1">
        <f t="array" ref="BB8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1" s="84">
        <f>IF(SUM(Table3[[#This Row],[Column2]:[Column18]])&gt;Table3[[#This Row],[Column19]],Table3[[#This Row],[Column19]],SUM(Table3[[#This Row],[Column2]:[Column18]]))</f>
        <v>50000</v>
      </c>
      <c r="BD801" s="2">
        <f>Table3[[#This Row],[Total Spend]]/SUM(Table3[[#This Row],[Column2]:[Column18]])</f>
        <v>0.26021337496747332</v>
      </c>
    </row>
    <row r="802" spans="1:56">
      <c r="A802" s="84" t="s">
        <v>876</v>
      </c>
      <c r="B802" s="84" t="s">
        <v>57</v>
      </c>
      <c r="C802" s="84"/>
      <c r="D802" s="85">
        <v>45566</v>
      </c>
      <c r="E802" s="85" t="s">
        <v>58</v>
      </c>
      <c r="F802" s="84">
        <f>INDEX(Definitions!$G$13:$G$17,MATCH(Table3[[#This Row],[Propensity to buy/ buyer readiness]],Definitions!$A$13:$A$17,0))</f>
        <v>50000</v>
      </c>
      <c r="G802" s="86">
        <v>3</v>
      </c>
      <c r="H802" s="86">
        <v>3</v>
      </c>
      <c r="I802" s="86">
        <v>4</v>
      </c>
      <c r="J802" s="86">
        <v>4</v>
      </c>
      <c r="K802" s="86">
        <v>3</v>
      </c>
      <c r="L802" s="86">
        <f>SUM(Table3[[#This Row],[Strategic priority segment]:[Propensity to buy/ buyer readiness]])</f>
        <v>17</v>
      </c>
      <c r="M802" s="86" t="s">
        <v>59</v>
      </c>
      <c r="N802" s="84" t="s">
        <v>265</v>
      </c>
      <c r="O802" s="84"/>
      <c r="P802" s="87"/>
      <c r="Q802" s="87"/>
      <c r="R802" s="84"/>
      <c r="S802" s="84"/>
      <c r="T802" s="84"/>
      <c r="U802" s="84">
        <v>1</v>
      </c>
      <c r="V802" s="84">
        <v>1</v>
      </c>
      <c r="W802" s="84">
        <v>1</v>
      </c>
      <c r="X802" s="84">
        <v>1</v>
      </c>
      <c r="Y802" s="84">
        <v>0</v>
      </c>
      <c r="Z802" s="84">
        <v>0</v>
      </c>
      <c r="AA802" s="84">
        <v>0</v>
      </c>
      <c r="AB802" s="84">
        <v>0</v>
      </c>
      <c r="AC802" s="84">
        <v>0</v>
      </c>
      <c r="AD802" s="84">
        <v>0</v>
      </c>
      <c r="AE802" s="84">
        <v>0</v>
      </c>
      <c r="AF802" s="84">
        <v>0</v>
      </c>
      <c r="AG802" s="84">
        <v>0</v>
      </c>
      <c r="AH802" s="84">
        <v>0</v>
      </c>
      <c r="AI802" s="84">
        <v>1</v>
      </c>
      <c r="AJ802" s="84">
        <v>0</v>
      </c>
      <c r="AK802" s="84">
        <v>0</v>
      </c>
      <c r="AL802" s="84" cm="1">
        <f t="array" ref="AL8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02" s="84" cm="1">
        <f t="array" ref="AM8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02" s="84" cm="1">
        <f t="array" ref="AN8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02" s="84" cm="1">
        <f t="array" ref="AO8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02" s="84" cm="1">
        <f t="array" ref="AP8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2" s="84" cm="1">
        <f t="array" ref="AQ8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2" s="84" cm="1">
        <f t="array" ref="AR8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2" s="84" cm="1">
        <f t="array" ref="AS8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2" s="84" cm="1">
        <f t="array" ref="AT8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2" s="84" cm="1">
        <f t="array" ref="AU8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02" s="84" cm="1">
        <f t="array" ref="AV8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02" s="84" cm="1">
        <f t="array" ref="AW8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02" s="84" cm="1">
        <f t="array" ref="AX8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02" s="84" cm="1">
        <f t="array" ref="AY8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2" s="84" cm="1">
        <f t="array" ref="AZ8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02" s="84" cm="1">
        <f t="array" ref="BA8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2" s="84" cm="1">
        <f t="array" ref="BB8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2" s="84">
        <f>IF(SUM(Table3[[#This Row],[Column2]:[Column18]])&gt;Table3[[#This Row],[Column19]],Table3[[#This Row],[Column19]],SUM(Table3[[#This Row],[Column2]:[Column18]]))</f>
        <v>50000</v>
      </c>
      <c r="BD802" s="2">
        <f>Table3[[#This Row],[Total Spend]]/SUM(Table3[[#This Row],[Column2]:[Column18]])</f>
        <v>0.26021337496747332</v>
      </c>
    </row>
    <row r="803" spans="1:56" ht="15" customHeight="1">
      <c r="A803" s="88" t="s">
        <v>877</v>
      </c>
      <c r="B803" s="88"/>
      <c r="C803" s="88"/>
      <c r="D803" s="85">
        <v>45566</v>
      </c>
      <c r="E803" s="85" t="s">
        <v>92</v>
      </c>
      <c r="F803" s="84">
        <f>INDEX(Definitions!$G$13:$G$17,MATCH(Table3[[#This Row],[Propensity to buy/ buyer readiness]],Definitions!$A$13:$A$17,0))</f>
        <v>50000</v>
      </c>
      <c r="G803" s="86">
        <v>5</v>
      </c>
      <c r="H803" s="86">
        <v>4</v>
      </c>
      <c r="I803" s="86">
        <v>2</v>
      </c>
      <c r="J803" s="86">
        <v>3</v>
      </c>
      <c r="K803" s="86">
        <v>3</v>
      </c>
      <c r="L803" s="86">
        <f>SUM(Table3[[#This Row],[Strategic priority segment]:[Propensity to buy/ buyer readiness]])</f>
        <v>17</v>
      </c>
      <c r="M803" s="86" t="s">
        <v>66</v>
      </c>
      <c r="N803" s="84" t="s">
        <v>62</v>
      </c>
      <c r="O803" s="84"/>
      <c r="P803" s="87"/>
      <c r="Q803" s="87"/>
      <c r="R803" s="84"/>
      <c r="S803" s="87"/>
      <c r="T803" s="84"/>
      <c r="U803" s="84">
        <v>1</v>
      </c>
      <c r="V803" s="84">
        <v>0</v>
      </c>
      <c r="W803" s="84">
        <v>0</v>
      </c>
      <c r="X803" s="84">
        <v>0</v>
      </c>
      <c r="Y803" s="84">
        <v>0</v>
      </c>
      <c r="Z803" s="84">
        <v>0</v>
      </c>
      <c r="AA803" s="84">
        <v>0</v>
      </c>
      <c r="AB803" s="84">
        <v>0</v>
      </c>
      <c r="AC803" s="84">
        <v>0</v>
      </c>
      <c r="AD803" s="84">
        <v>1</v>
      </c>
      <c r="AE803" s="84">
        <v>1</v>
      </c>
      <c r="AF803" s="84">
        <v>1</v>
      </c>
      <c r="AG803" s="84">
        <v>1</v>
      </c>
      <c r="AH803" s="84">
        <v>0</v>
      </c>
      <c r="AI803" s="84">
        <v>0</v>
      </c>
      <c r="AJ803" s="84">
        <v>0</v>
      </c>
      <c r="AK803" s="84">
        <v>0</v>
      </c>
      <c r="AL803" s="84" cm="1">
        <f t="array" ref="AL8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03" s="84" cm="1">
        <f t="array" ref="AM8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3" s="84" cm="1">
        <f t="array" ref="AN8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3" s="84" cm="1">
        <f t="array" ref="AO8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3" s="84" cm="1">
        <f t="array" ref="AP8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3" s="84" cm="1">
        <f t="array" ref="AQ8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3" s="84" cm="1">
        <f t="array" ref="AR8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3" s="84" cm="1">
        <f t="array" ref="AS8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3" s="84" cm="1">
        <f t="array" ref="AT8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3" s="84" cm="1">
        <f t="array" ref="AU8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03" s="84" cm="1">
        <f t="array" ref="AV8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03" s="84" cm="1">
        <f t="array" ref="AW8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03" s="84" cm="1">
        <f t="array" ref="AX8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03" s="84" cm="1">
        <f t="array" ref="AY8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3" s="84" cm="1">
        <f t="array" ref="AZ8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3" s="84" cm="1">
        <f t="array" ref="BA8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3" s="84" cm="1">
        <f t="array" ref="BB8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3" s="84">
        <f>IF(SUM(Table3[[#This Row],[Column2]:[Column18]])&gt;Table3[[#This Row],[Column19]],Table3[[#This Row],[Column19]],SUM(Table3[[#This Row],[Column2]:[Column18]]))</f>
        <v>50000</v>
      </c>
      <c r="BD803" s="2">
        <f>Table3[[#This Row],[Total Spend]]/SUM(Table3[[#This Row],[Column2]:[Column18]])</f>
        <v>0.53163211057947901</v>
      </c>
    </row>
    <row r="804" spans="1:56">
      <c r="A804" s="84" t="s">
        <v>878</v>
      </c>
      <c r="B804" s="84" t="s">
        <v>57</v>
      </c>
      <c r="C804" s="84"/>
      <c r="D804" s="85">
        <v>45566</v>
      </c>
      <c r="E804" s="85" t="s">
        <v>58</v>
      </c>
      <c r="F804" s="84">
        <f>INDEX(Definitions!$G$13:$G$17,MATCH(Table3[[#This Row],[Propensity to buy/ buyer readiness]],Definitions!$A$13:$A$17,0))</f>
        <v>150000</v>
      </c>
      <c r="G804" s="86">
        <v>3</v>
      </c>
      <c r="H804" s="86">
        <v>3</v>
      </c>
      <c r="I804" s="86">
        <v>4</v>
      </c>
      <c r="J804" s="86">
        <v>3</v>
      </c>
      <c r="K804" s="86">
        <v>4</v>
      </c>
      <c r="L804" s="86">
        <f>SUM(Table3[[#This Row],[Strategic priority segment]:[Propensity to buy/ buyer readiness]])</f>
        <v>17</v>
      </c>
      <c r="M804" s="86" t="s">
        <v>152</v>
      </c>
      <c r="N804" s="84" t="s">
        <v>122</v>
      </c>
      <c r="O804" s="84"/>
      <c r="P804" s="87"/>
      <c r="Q804" s="87"/>
      <c r="R804" s="84"/>
      <c r="S804" s="84"/>
      <c r="T804" s="84"/>
      <c r="U804" s="84">
        <v>1</v>
      </c>
      <c r="V804" s="84">
        <v>0</v>
      </c>
      <c r="W804" s="84">
        <v>0</v>
      </c>
      <c r="X804" s="84">
        <v>0</v>
      </c>
      <c r="Y804" s="84">
        <v>0</v>
      </c>
      <c r="Z804" s="84">
        <v>1</v>
      </c>
      <c r="AA804" s="84">
        <v>0</v>
      </c>
      <c r="AB804" s="84">
        <v>1</v>
      </c>
      <c r="AC804" s="84">
        <v>0</v>
      </c>
      <c r="AD804" s="84">
        <v>1</v>
      </c>
      <c r="AE804" s="84">
        <v>0</v>
      </c>
      <c r="AF804" s="84">
        <v>1</v>
      </c>
      <c r="AG804" s="84">
        <v>0</v>
      </c>
      <c r="AH804" s="84">
        <v>0</v>
      </c>
      <c r="AI804" s="84">
        <v>0</v>
      </c>
      <c r="AJ804" s="84">
        <v>0</v>
      </c>
      <c r="AK804" s="84">
        <v>0</v>
      </c>
      <c r="AL804" s="84" cm="1">
        <f t="array" ref="AL8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04" s="84" cm="1">
        <f t="array" ref="AM8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4" s="84" cm="1">
        <f t="array" ref="AN8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4" s="84" cm="1">
        <f t="array" ref="AO8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4" s="84" cm="1">
        <f t="array" ref="AP8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4" s="84" cm="1">
        <f t="array" ref="AQ8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04" s="84" cm="1">
        <f t="array" ref="AR8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4" s="84" cm="1">
        <f t="array" ref="AS8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04" s="84" cm="1">
        <f t="array" ref="AT8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4" s="84" cm="1">
        <f t="array" ref="AU8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04" s="84" cm="1">
        <f t="array" ref="AV8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04" s="84" cm="1">
        <f t="array" ref="AW8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04" s="84" cm="1">
        <f t="array" ref="AX8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04" s="84" cm="1">
        <f t="array" ref="AY8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4" s="84" cm="1">
        <f t="array" ref="AZ8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4" s="84" cm="1">
        <f t="array" ref="BA8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4" s="84" cm="1">
        <f t="array" ref="BB8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4" s="84">
        <f>IF(SUM(Table3[[#This Row],[Column2]:[Column18]])&gt;Table3[[#This Row],[Column19]],Table3[[#This Row],[Column19]],SUM(Table3[[#This Row],[Column2]:[Column18]]))</f>
        <v>150000</v>
      </c>
      <c r="BD804" s="2">
        <f>Table3[[#This Row],[Total Spend]]/SUM(Table3[[#This Row],[Column2]:[Column18]])</f>
        <v>0.89605734767025091</v>
      </c>
    </row>
    <row r="805" spans="1:56" ht="15.75" customHeight="1">
      <c r="A805" s="84" t="s">
        <v>879</v>
      </c>
      <c r="B805" s="84"/>
      <c r="C805" s="84"/>
      <c r="D805" s="85">
        <v>45566</v>
      </c>
      <c r="E805" s="85" t="s">
        <v>58</v>
      </c>
      <c r="F805" s="84">
        <f>INDEX(Definitions!$G$13:$G$17,MATCH(Table3[[#This Row],[Propensity to buy/ buyer readiness]],Definitions!$A$13:$A$17,0))</f>
        <v>150000</v>
      </c>
      <c r="G805" s="86">
        <v>4</v>
      </c>
      <c r="H805" s="86">
        <v>3</v>
      </c>
      <c r="I805" s="86">
        <v>3</v>
      </c>
      <c r="J805" s="86">
        <v>3</v>
      </c>
      <c r="K805" s="86">
        <v>4</v>
      </c>
      <c r="L805" s="86">
        <f>SUM(Table3[[#This Row],[Strategic priority segment]:[Propensity to buy/ buyer readiness]])</f>
        <v>17</v>
      </c>
      <c r="M805" s="86" t="s">
        <v>191</v>
      </c>
      <c r="N805" s="84" t="s">
        <v>76</v>
      </c>
      <c r="O805" s="84" t="s">
        <v>135</v>
      </c>
      <c r="P805" s="84"/>
      <c r="Q805" s="84"/>
      <c r="R805" s="84"/>
      <c r="S805" s="87"/>
      <c r="T805" s="87"/>
      <c r="U805" s="84">
        <v>0</v>
      </c>
      <c r="V805" s="84">
        <v>0</v>
      </c>
      <c r="W805" s="84">
        <v>0</v>
      </c>
      <c r="X805" s="84">
        <v>0</v>
      </c>
      <c r="Y805" s="84">
        <v>0</v>
      </c>
      <c r="Z805" s="84">
        <v>0</v>
      </c>
      <c r="AA805" s="84">
        <v>0</v>
      </c>
      <c r="AB805" s="84">
        <v>0</v>
      </c>
      <c r="AC805" s="84">
        <v>0</v>
      </c>
      <c r="AD805" s="84">
        <v>0</v>
      </c>
      <c r="AE805" s="84">
        <v>0</v>
      </c>
      <c r="AF805" s="84">
        <v>0</v>
      </c>
      <c r="AG805" s="84">
        <v>0</v>
      </c>
      <c r="AH805" s="84">
        <v>1</v>
      </c>
      <c r="AI805" s="84">
        <v>1</v>
      </c>
      <c r="AJ805" s="84">
        <v>1</v>
      </c>
      <c r="AK805" s="84">
        <v>1</v>
      </c>
      <c r="AL805" s="84" cm="1">
        <f t="array" ref="AL8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05" s="84" cm="1">
        <f t="array" ref="AM8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5" s="84" cm="1">
        <f t="array" ref="AN8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5" s="84" cm="1">
        <f t="array" ref="AO8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5" s="84" cm="1">
        <f t="array" ref="AP8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5" s="84" cm="1">
        <f t="array" ref="AQ8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5" s="84" cm="1">
        <f t="array" ref="AR8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5" s="84" cm="1">
        <f t="array" ref="AS8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5" s="84" cm="1">
        <f t="array" ref="AT8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5" s="84" cm="1">
        <f t="array" ref="AU8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05" s="84" cm="1">
        <f t="array" ref="AV8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05" s="84" cm="1">
        <f t="array" ref="AW8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05" s="84" cm="1">
        <f t="array" ref="AX8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05" s="84" cm="1">
        <f t="array" ref="AY8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05" s="84" cm="1">
        <f t="array" ref="AZ8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05" s="84" cm="1">
        <f t="array" ref="BA8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05" s="84" cm="1">
        <f t="array" ref="BB8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05" s="84">
        <f>IF(SUM(Table3[[#This Row],[Column2]:[Column18]])&gt;Table3[[#This Row],[Column19]],Table3[[#This Row],[Column19]],SUM(Table3[[#This Row],[Column2]:[Column18]]))</f>
        <v>64350</v>
      </c>
      <c r="BD805" s="2">
        <f>Table3[[#This Row],[Total Spend]]/SUM(Table3[[#This Row],[Column2]:[Column18]])</f>
        <v>1</v>
      </c>
    </row>
    <row r="806" spans="1:56">
      <c r="A806" s="88" t="s">
        <v>880</v>
      </c>
      <c r="B806" s="88"/>
      <c r="C806" s="88"/>
      <c r="D806" s="85">
        <v>45566</v>
      </c>
      <c r="E806" s="85" t="s">
        <v>92</v>
      </c>
      <c r="F806" s="84">
        <f>INDEX(Definitions!$G$13:$G$17,MATCH(Table3[[#This Row],[Propensity to buy/ buyer readiness]],Definitions!$A$13:$A$17,0))</f>
        <v>50000</v>
      </c>
      <c r="G806" s="86">
        <v>5</v>
      </c>
      <c r="H806" s="86">
        <v>4</v>
      </c>
      <c r="I806" s="86">
        <v>2</v>
      </c>
      <c r="J806" s="86">
        <v>3</v>
      </c>
      <c r="K806" s="86">
        <v>3</v>
      </c>
      <c r="L806" s="86">
        <f>SUM(Table3[[#This Row],[Strategic priority segment]:[Propensity to buy/ buyer readiness]])</f>
        <v>17</v>
      </c>
      <c r="M806" s="86" t="s">
        <v>66</v>
      </c>
      <c r="N806" s="84" t="s">
        <v>62</v>
      </c>
      <c r="O806" s="84"/>
      <c r="P806" s="87"/>
      <c r="Q806" s="87"/>
      <c r="R806" s="84"/>
      <c r="S806" s="87"/>
      <c r="T806" s="84"/>
      <c r="U806" s="84">
        <v>1</v>
      </c>
      <c r="V806" s="84">
        <v>0</v>
      </c>
      <c r="W806" s="84">
        <v>0</v>
      </c>
      <c r="X806" s="84">
        <v>0</v>
      </c>
      <c r="Y806" s="84">
        <v>0</v>
      </c>
      <c r="Z806" s="84">
        <v>0</v>
      </c>
      <c r="AA806" s="84">
        <v>0</v>
      </c>
      <c r="AB806" s="84">
        <v>0</v>
      </c>
      <c r="AC806" s="84">
        <v>0</v>
      </c>
      <c r="AD806" s="84">
        <v>1</v>
      </c>
      <c r="AE806" s="84">
        <v>1</v>
      </c>
      <c r="AF806" s="84">
        <v>1</v>
      </c>
      <c r="AG806" s="84">
        <v>1</v>
      </c>
      <c r="AH806" s="84">
        <v>0</v>
      </c>
      <c r="AI806" s="84">
        <v>0</v>
      </c>
      <c r="AJ806" s="84">
        <v>0</v>
      </c>
      <c r="AK806" s="84">
        <v>0</v>
      </c>
      <c r="AL806" s="84" cm="1">
        <f t="array" ref="AL8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06" s="84" cm="1">
        <f t="array" ref="AM8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6" s="84" cm="1">
        <f t="array" ref="AN8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6" s="84" cm="1">
        <f t="array" ref="AO8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6" s="84" cm="1">
        <f t="array" ref="AP8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6" s="84" cm="1">
        <f t="array" ref="AQ8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6" s="84" cm="1">
        <f t="array" ref="AR8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6" s="84" cm="1">
        <f t="array" ref="AS8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6" s="84" cm="1">
        <f t="array" ref="AT8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6" s="84" cm="1">
        <f t="array" ref="AU8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06" s="84" cm="1">
        <f t="array" ref="AV8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06" s="84" cm="1">
        <f t="array" ref="AW8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06" s="84" cm="1">
        <f t="array" ref="AX8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06" s="84" cm="1">
        <f t="array" ref="AY8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6" s="84" cm="1">
        <f t="array" ref="AZ8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6" s="84" cm="1">
        <f t="array" ref="BA8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6" s="84" cm="1">
        <f t="array" ref="BB8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6" s="84">
        <f>IF(SUM(Table3[[#This Row],[Column2]:[Column18]])&gt;Table3[[#This Row],[Column19]],Table3[[#This Row],[Column19]],SUM(Table3[[#This Row],[Column2]:[Column18]]))</f>
        <v>50000</v>
      </c>
      <c r="BD806" s="2">
        <f>Table3[[#This Row],[Total Spend]]/SUM(Table3[[#This Row],[Column2]:[Column18]])</f>
        <v>0.53163211057947901</v>
      </c>
    </row>
    <row r="807" spans="1:56">
      <c r="A807" s="84" t="s">
        <v>881</v>
      </c>
      <c r="B807" s="84"/>
      <c r="C807" s="84"/>
      <c r="D807" s="85">
        <v>45566</v>
      </c>
      <c r="E807" s="85" t="s">
        <v>58</v>
      </c>
      <c r="F807" s="84">
        <f>INDEX(Definitions!$G$13:$G$17,MATCH(Table3[[#This Row],[Propensity to buy/ buyer readiness]],Definitions!$A$13:$A$17,0))</f>
        <v>150000</v>
      </c>
      <c r="G807" s="86">
        <v>4</v>
      </c>
      <c r="H807" s="86">
        <v>3</v>
      </c>
      <c r="I807" s="86">
        <v>3</v>
      </c>
      <c r="J807" s="86">
        <v>3</v>
      </c>
      <c r="K807" s="86">
        <v>4</v>
      </c>
      <c r="L807" s="86">
        <f>SUM(Table3[[#This Row],[Strategic priority segment]:[Propensity to buy/ buyer readiness]])</f>
        <v>17</v>
      </c>
      <c r="M807" s="86" t="s">
        <v>191</v>
      </c>
      <c r="N807" s="84" t="s">
        <v>76</v>
      </c>
      <c r="O807" s="84" t="s">
        <v>135</v>
      </c>
      <c r="P807" s="84"/>
      <c r="Q807" s="84"/>
      <c r="R807" s="84"/>
      <c r="S807" s="87"/>
      <c r="T807" s="84"/>
      <c r="U807" s="84">
        <v>0</v>
      </c>
      <c r="V807" s="84">
        <v>0</v>
      </c>
      <c r="W807" s="84">
        <v>0</v>
      </c>
      <c r="X807" s="84">
        <v>0</v>
      </c>
      <c r="Y807" s="84">
        <v>0</v>
      </c>
      <c r="Z807" s="84">
        <v>0</v>
      </c>
      <c r="AA807" s="84">
        <v>0</v>
      </c>
      <c r="AB807" s="84">
        <v>0</v>
      </c>
      <c r="AC807" s="84">
        <v>0</v>
      </c>
      <c r="AD807" s="84">
        <v>0</v>
      </c>
      <c r="AE807" s="84">
        <v>0</v>
      </c>
      <c r="AF807" s="84">
        <v>0</v>
      </c>
      <c r="AG807" s="84">
        <v>0</v>
      </c>
      <c r="AH807" s="84">
        <v>1</v>
      </c>
      <c r="AI807" s="84">
        <v>1</v>
      </c>
      <c r="AJ807" s="84">
        <v>1</v>
      </c>
      <c r="AK807" s="84">
        <v>1</v>
      </c>
      <c r="AL807" s="84" cm="1">
        <f t="array" ref="AL8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07" s="84" cm="1">
        <f t="array" ref="AM8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7" s="84" cm="1">
        <f t="array" ref="AN8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7" s="84" cm="1">
        <f t="array" ref="AO8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7" s="84" cm="1">
        <f t="array" ref="AP8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7" s="84" cm="1">
        <f t="array" ref="AQ8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7" s="84" cm="1">
        <f t="array" ref="AR8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7" s="84" cm="1">
        <f t="array" ref="AS8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7" s="84" cm="1">
        <f t="array" ref="AT8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7" s="84" cm="1">
        <f t="array" ref="AU8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07" s="84" cm="1">
        <f t="array" ref="AV8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07" s="84" cm="1">
        <f t="array" ref="AW8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07" s="84" cm="1">
        <f t="array" ref="AX8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07" s="84" cm="1">
        <f t="array" ref="AY8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07" s="84" cm="1">
        <f t="array" ref="AZ8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07" s="84" cm="1">
        <f t="array" ref="BA8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07" s="84" cm="1">
        <f t="array" ref="BB8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07" s="84">
        <f>IF(SUM(Table3[[#This Row],[Column2]:[Column18]])&gt;Table3[[#This Row],[Column19]],Table3[[#This Row],[Column19]],SUM(Table3[[#This Row],[Column2]:[Column18]]))</f>
        <v>64350</v>
      </c>
      <c r="BD807" s="2">
        <f>Table3[[#This Row],[Total Spend]]/SUM(Table3[[#This Row],[Column2]:[Column18]])</f>
        <v>1</v>
      </c>
    </row>
    <row r="808" spans="1:56">
      <c r="A808" s="84" t="s">
        <v>882</v>
      </c>
      <c r="B808" s="84"/>
      <c r="C808" s="84"/>
      <c r="D808" s="85">
        <v>45566</v>
      </c>
      <c r="E808" s="85" t="s">
        <v>92</v>
      </c>
      <c r="F808" s="84">
        <f>INDEX(Definitions!$G$13:$G$17,MATCH(Table3[[#This Row],[Propensity to buy/ buyer readiness]],Definitions!$A$13:$A$17,0))</f>
        <v>50000</v>
      </c>
      <c r="G808" s="86">
        <v>5</v>
      </c>
      <c r="H808" s="86">
        <v>4</v>
      </c>
      <c r="I808" s="86">
        <v>2</v>
      </c>
      <c r="J808" s="86">
        <v>3</v>
      </c>
      <c r="K808" s="86">
        <v>3</v>
      </c>
      <c r="L808" s="86">
        <f>SUM(Table3[[#This Row],[Strategic priority segment]:[Propensity to buy/ buyer readiness]])</f>
        <v>17</v>
      </c>
      <c r="M808" s="86" t="s">
        <v>66</v>
      </c>
      <c r="N808" s="84" t="s">
        <v>62</v>
      </c>
      <c r="O808" s="84"/>
      <c r="P808" s="87"/>
      <c r="Q808" s="87"/>
      <c r="R808" s="84"/>
      <c r="S808" s="87"/>
      <c r="T808" s="87"/>
      <c r="U808" s="84">
        <v>1</v>
      </c>
      <c r="V808" s="84">
        <v>0</v>
      </c>
      <c r="W808" s="84">
        <v>0</v>
      </c>
      <c r="X808" s="84">
        <v>0</v>
      </c>
      <c r="Y808" s="84">
        <v>0</v>
      </c>
      <c r="Z808" s="84">
        <v>0</v>
      </c>
      <c r="AA808" s="84">
        <v>0</v>
      </c>
      <c r="AB808" s="84">
        <v>0</v>
      </c>
      <c r="AC808" s="84">
        <v>0</v>
      </c>
      <c r="AD808" s="84">
        <v>1</v>
      </c>
      <c r="AE808" s="84">
        <v>1</v>
      </c>
      <c r="AF808" s="84">
        <v>1</v>
      </c>
      <c r="AG808" s="84">
        <v>1</v>
      </c>
      <c r="AH808" s="84">
        <v>0</v>
      </c>
      <c r="AI808" s="84">
        <v>0</v>
      </c>
      <c r="AJ808" s="84">
        <v>0</v>
      </c>
      <c r="AK808" s="84">
        <v>0</v>
      </c>
      <c r="AL808" s="84" cm="1">
        <f t="array" ref="AL8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08" s="84" cm="1">
        <f t="array" ref="AM8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8" s="84" cm="1">
        <f t="array" ref="AN8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8" s="84" cm="1">
        <f t="array" ref="AO8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8" s="84" cm="1">
        <f t="array" ref="AP8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8" s="84" cm="1">
        <f t="array" ref="AQ8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8" s="84" cm="1">
        <f t="array" ref="AR8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8" s="84" cm="1">
        <f t="array" ref="AS8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8" s="84" cm="1">
        <f t="array" ref="AT8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8" s="84" cm="1">
        <f t="array" ref="AU8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08" s="84" cm="1">
        <f t="array" ref="AV8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08" s="84" cm="1">
        <f t="array" ref="AW8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08" s="84" cm="1">
        <f t="array" ref="AX8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08" s="84" cm="1">
        <f t="array" ref="AY8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8" s="84" cm="1">
        <f t="array" ref="AZ8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8" s="84" cm="1">
        <f t="array" ref="BA8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8" s="84" cm="1">
        <f t="array" ref="BB8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8" s="84">
        <f>IF(SUM(Table3[[#This Row],[Column2]:[Column18]])&gt;Table3[[#This Row],[Column19]],Table3[[#This Row],[Column19]],SUM(Table3[[#This Row],[Column2]:[Column18]]))</f>
        <v>50000</v>
      </c>
      <c r="BD808" s="2">
        <f>Table3[[#This Row],[Total Spend]]/SUM(Table3[[#This Row],[Column2]:[Column18]])</f>
        <v>0.53163211057947901</v>
      </c>
    </row>
    <row r="809" spans="1:56">
      <c r="A809" s="84" t="s">
        <v>883</v>
      </c>
      <c r="B809" s="84"/>
      <c r="C809" s="84"/>
      <c r="D809" s="85">
        <v>45566</v>
      </c>
      <c r="E809" s="85" t="s">
        <v>92</v>
      </c>
      <c r="F809" s="84">
        <f>INDEX(Definitions!$G$13:$G$17,MATCH(Table3[[#This Row],[Propensity to buy/ buyer readiness]],Definitions!$A$13:$A$17,0))</f>
        <v>50000</v>
      </c>
      <c r="G809" s="86">
        <v>5</v>
      </c>
      <c r="H809" s="86">
        <v>4</v>
      </c>
      <c r="I809" s="86">
        <v>2</v>
      </c>
      <c r="J809" s="86">
        <v>3</v>
      </c>
      <c r="K809" s="86">
        <v>3</v>
      </c>
      <c r="L809" s="86">
        <f>SUM(Table3[[#This Row],[Strategic priority segment]:[Propensity to buy/ buyer readiness]])</f>
        <v>17</v>
      </c>
      <c r="M809" s="86" t="s">
        <v>66</v>
      </c>
      <c r="N809" s="84" t="s">
        <v>62</v>
      </c>
      <c r="O809" s="84"/>
      <c r="P809" s="87"/>
      <c r="Q809" s="87"/>
      <c r="R809" s="84"/>
      <c r="S809" s="87"/>
      <c r="T809" s="87"/>
      <c r="U809" s="84">
        <v>1</v>
      </c>
      <c r="V809" s="84">
        <v>0</v>
      </c>
      <c r="W809" s="84">
        <v>0</v>
      </c>
      <c r="X809" s="84">
        <v>0</v>
      </c>
      <c r="Y809" s="84">
        <v>0</v>
      </c>
      <c r="Z809" s="84">
        <v>0</v>
      </c>
      <c r="AA809" s="84">
        <v>0</v>
      </c>
      <c r="AB809" s="84">
        <v>0</v>
      </c>
      <c r="AC809" s="84">
        <v>0</v>
      </c>
      <c r="AD809" s="84">
        <v>1</v>
      </c>
      <c r="AE809" s="84">
        <v>1</v>
      </c>
      <c r="AF809" s="84">
        <v>1</v>
      </c>
      <c r="AG809" s="84">
        <v>1</v>
      </c>
      <c r="AH809" s="84">
        <v>0</v>
      </c>
      <c r="AI809" s="84">
        <v>0</v>
      </c>
      <c r="AJ809" s="84">
        <v>0</v>
      </c>
      <c r="AK809" s="84">
        <v>0</v>
      </c>
      <c r="AL809" s="84" cm="1">
        <f t="array" ref="AL8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09" s="84" cm="1">
        <f t="array" ref="AM8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09" s="84" cm="1">
        <f t="array" ref="AN8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09" s="84" cm="1">
        <f t="array" ref="AO8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09" s="84" cm="1">
        <f t="array" ref="AP8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09" s="84" cm="1">
        <f t="array" ref="AQ8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09" s="84" cm="1">
        <f t="array" ref="AR8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09" s="84" cm="1">
        <f t="array" ref="AS8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09" s="84" cm="1">
        <f t="array" ref="AT8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09" s="84" cm="1">
        <f t="array" ref="AU8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09" s="84" cm="1">
        <f t="array" ref="AV8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09" s="84" cm="1">
        <f t="array" ref="AW8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09" s="84" cm="1">
        <f t="array" ref="AX8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09" s="84" cm="1">
        <f t="array" ref="AY8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09" s="84" cm="1">
        <f t="array" ref="AZ8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09" s="84" cm="1">
        <f t="array" ref="BA8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09" s="84" cm="1">
        <f t="array" ref="BB8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09" s="84">
        <f>IF(SUM(Table3[[#This Row],[Column2]:[Column18]])&gt;Table3[[#This Row],[Column19]],Table3[[#This Row],[Column19]],SUM(Table3[[#This Row],[Column2]:[Column18]]))</f>
        <v>50000</v>
      </c>
      <c r="BD809" s="2">
        <f>Table3[[#This Row],[Total Spend]]/SUM(Table3[[#This Row],[Column2]:[Column18]])</f>
        <v>0.53163211057947901</v>
      </c>
    </row>
    <row r="810" spans="1:56">
      <c r="A810" s="84" t="s">
        <v>884</v>
      </c>
      <c r="B810" s="84"/>
      <c r="C810" s="84" t="s">
        <v>57</v>
      </c>
      <c r="D810" s="85">
        <v>45566</v>
      </c>
      <c r="E810" s="85" t="s">
        <v>58</v>
      </c>
      <c r="F810" s="84">
        <f>INDEX(Definitions!$G$13:$G$17,MATCH(Table3[[#This Row],[Propensity to buy/ buyer readiness]],Definitions!$A$13:$A$17,0))</f>
        <v>150000</v>
      </c>
      <c r="G810" s="86">
        <v>3</v>
      </c>
      <c r="H810" s="86">
        <v>3</v>
      </c>
      <c r="I810" s="86">
        <v>4</v>
      </c>
      <c r="J810" s="86">
        <v>3</v>
      </c>
      <c r="K810" s="86">
        <v>4</v>
      </c>
      <c r="L810" s="86">
        <f>SUM(Table3[[#This Row],[Strategic priority segment]:[Propensity to buy/ buyer readiness]])</f>
        <v>17</v>
      </c>
      <c r="M810" s="86" t="s">
        <v>152</v>
      </c>
      <c r="N810" s="84" t="s">
        <v>122</v>
      </c>
      <c r="O810" s="87"/>
      <c r="P810" s="87"/>
      <c r="Q810" s="87"/>
      <c r="R810" s="84"/>
      <c r="S810" s="87"/>
      <c r="T810" s="87"/>
      <c r="U810" s="84">
        <v>1</v>
      </c>
      <c r="V810" s="84">
        <v>0</v>
      </c>
      <c r="W810" s="84">
        <v>0</v>
      </c>
      <c r="X810" s="84">
        <v>0</v>
      </c>
      <c r="Y810" s="84">
        <v>0</v>
      </c>
      <c r="Z810" s="84">
        <v>1</v>
      </c>
      <c r="AA810" s="84">
        <v>0</v>
      </c>
      <c r="AB810" s="84">
        <v>1</v>
      </c>
      <c r="AC810" s="84">
        <v>0</v>
      </c>
      <c r="AD810" s="84">
        <v>1</v>
      </c>
      <c r="AE810" s="84">
        <v>0</v>
      </c>
      <c r="AF810" s="84">
        <v>1</v>
      </c>
      <c r="AG810" s="84">
        <v>0</v>
      </c>
      <c r="AH810" s="84">
        <v>0</v>
      </c>
      <c r="AI810" s="84">
        <v>0</v>
      </c>
      <c r="AJ810" s="84">
        <v>0</v>
      </c>
      <c r="AK810" s="84">
        <v>0</v>
      </c>
      <c r="AL810" s="84" cm="1">
        <f t="array" ref="AL8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10" s="84" cm="1">
        <f t="array" ref="AM8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0" s="84" cm="1">
        <f t="array" ref="AN8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0" s="84" cm="1">
        <f t="array" ref="AO8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0" s="84" cm="1">
        <f t="array" ref="AP8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0" s="84" cm="1">
        <f t="array" ref="AQ8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10" s="84" cm="1">
        <f t="array" ref="AR8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0" s="84" cm="1">
        <f t="array" ref="AS8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10" s="84" cm="1">
        <f t="array" ref="AT8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0" s="84" cm="1">
        <f t="array" ref="AU8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10" s="84" cm="1">
        <f t="array" ref="AV8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10" s="84" cm="1">
        <f t="array" ref="AW8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10" s="84" cm="1">
        <f t="array" ref="AX8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10" s="84" cm="1">
        <f t="array" ref="AY8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0" s="84" cm="1">
        <f t="array" ref="AZ8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0" s="84" cm="1">
        <f t="array" ref="BA8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0" s="84" cm="1">
        <f t="array" ref="BB8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0" s="84">
        <f>IF(SUM(Table3[[#This Row],[Column2]:[Column18]])&gt;Table3[[#This Row],[Column19]],Table3[[#This Row],[Column19]],SUM(Table3[[#This Row],[Column2]:[Column18]]))</f>
        <v>150000</v>
      </c>
      <c r="BD810" s="2">
        <f>Table3[[#This Row],[Total Spend]]/SUM(Table3[[#This Row],[Column2]:[Column18]])</f>
        <v>0.89605734767025091</v>
      </c>
    </row>
    <row r="811" spans="1:56">
      <c r="A811" s="84" t="s">
        <v>885</v>
      </c>
      <c r="B811" s="84" t="s">
        <v>57</v>
      </c>
      <c r="C811" s="84"/>
      <c r="D811" s="85">
        <v>45566</v>
      </c>
      <c r="E811" s="85" t="s">
        <v>58</v>
      </c>
      <c r="F811" s="84">
        <f>INDEX(Definitions!$G$13:$G$17,MATCH(Table3[[#This Row],[Propensity to buy/ buyer readiness]],Definitions!$A$13:$A$17,0))</f>
        <v>150000</v>
      </c>
      <c r="G811" s="86">
        <v>3</v>
      </c>
      <c r="H811" s="86">
        <v>3</v>
      </c>
      <c r="I811" s="86">
        <v>4</v>
      </c>
      <c r="J811" s="86">
        <v>3</v>
      </c>
      <c r="K811" s="86">
        <v>4</v>
      </c>
      <c r="L811" s="86">
        <f>SUM(Table3[[#This Row],[Strategic priority segment]:[Propensity to buy/ buyer readiness]])</f>
        <v>17</v>
      </c>
      <c r="M811" s="86" t="s">
        <v>152</v>
      </c>
      <c r="N811" s="84" t="s">
        <v>122</v>
      </c>
      <c r="O811" s="87" t="s">
        <v>135</v>
      </c>
      <c r="P811" s="87"/>
      <c r="Q811" s="87"/>
      <c r="R811" s="84"/>
      <c r="S811" s="84"/>
      <c r="T811" s="87"/>
      <c r="U811" s="84">
        <v>1</v>
      </c>
      <c r="V811" s="84">
        <v>0</v>
      </c>
      <c r="W811" s="84">
        <v>0</v>
      </c>
      <c r="X811" s="84">
        <v>0</v>
      </c>
      <c r="Y811" s="84">
        <v>0</v>
      </c>
      <c r="Z811" s="84">
        <v>1</v>
      </c>
      <c r="AA811" s="84">
        <v>0</v>
      </c>
      <c r="AB811" s="84">
        <v>1</v>
      </c>
      <c r="AC811" s="84">
        <v>0</v>
      </c>
      <c r="AD811" s="84">
        <v>1</v>
      </c>
      <c r="AE811" s="84">
        <v>0</v>
      </c>
      <c r="AF811" s="84">
        <v>1</v>
      </c>
      <c r="AG811" s="84">
        <v>0</v>
      </c>
      <c r="AH811" s="84">
        <v>1</v>
      </c>
      <c r="AI811" s="84">
        <v>1</v>
      </c>
      <c r="AJ811" s="84">
        <v>1</v>
      </c>
      <c r="AK811" s="84">
        <v>1</v>
      </c>
      <c r="AL811" s="84" cm="1">
        <f t="array" ref="AL8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11" s="84" cm="1">
        <f t="array" ref="AM8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1" s="84" cm="1">
        <f t="array" ref="AN8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1" s="84" cm="1">
        <f t="array" ref="AO8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1" s="84" cm="1">
        <f t="array" ref="AP8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1" s="84" cm="1">
        <f t="array" ref="AQ8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11" s="84" cm="1">
        <f t="array" ref="AR8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1" s="84" cm="1">
        <f t="array" ref="AS8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11" s="84" cm="1">
        <f t="array" ref="AT8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1" s="84" cm="1">
        <f t="array" ref="AU8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11" s="84" cm="1">
        <f t="array" ref="AV8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11" s="84" cm="1">
        <f t="array" ref="AW8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11" s="84" cm="1">
        <f t="array" ref="AX8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11" s="84" cm="1">
        <f t="array" ref="AY8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11" s="84" cm="1">
        <f t="array" ref="AZ8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11" s="84" cm="1">
        <f t="array" ref="BA8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11" s="84" cm="1">
        <f t="array" ref="BB8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11" s="84">
        <f>IF(SUM(Table3[[#This Row],[Column2]:[Column18]])&gt;Table3[[#This Row],[Column19]],Table3[[#This Row],[Column19]],SUM(Table3[[#This Row],[Column2]:[Column18]]))</f>
        <v>150000</v>
      </c>
      <c r="BD811" s="2">
        <f>Table3[[#This Row],[Total Spend]]/SUM(Table3[[#This Row],[Column2]:[Column18]])</f>
        <v>0.6472491909385113</v>
      </c>
    </row>
    <row r="812" spans="1:56" ht="18" customHeight="1">
      <c r="A812" s="84" t="s">
        <v>886</v>
      </c>
      <c r="B812" s="84" t="s">
        <v>57</v>
      </c>
      <c r="C812" s="84"/>
      <c r="D812" s="85">
        <v>45566</v>
      </c>
      <c r="E812" s="85" t="s">
        <v>92</v>
      </c>
      <c r="F812" s="84">
        <f>INDEX(Definitions!$G$13:$G$17,MATCH(Table3[[#This Row],[Propensity to buy/ buyer readiness]],Definitions!$A$13:$A$17,0))</f>
        <v>50000</v>
      </c>
      <c r="G812" s="86">
        <v>3</v>
      </c>
      <c r="H812" s="86">
        <v>4</v>
      </c>
      <c r="I812" s="86">
        <v>4</v>
      </c>
      <c r="J812" s="86">
        <v>3</v>
      </c>
      <c r="K812" s="86">
        <v>3</v>
      </c>
      <c r="L812" s="86">
        <f>SUM(Table3[[#This Row],[Strategic priority segment]:[Propensity to buy/ buyer readiness]])</f>
        <v>17</v>
      </c>
      <c r="M812" s="86" t="s">
        <v>152</v>
      </c>
      <c r="N812" s="84" t="s">
        <v>122</v>
      </c>
      <c r="O812" s="84" t="s">
        <v>61</v>
      </c>
      <c r="P812" s="87" t="s">
        <v>62</v>
      </c>
      <c r="Q812" s="87"/>
      <c r="R812" s="84"/>
      <c r="S812" s="84"/>
      <c r="T812" s="84"/>
      <c r="U812" s="84">
        <v>1</v>
      </c>
      <c r="V812" s="84">
        <v>0</v>
      </c>
      <c r="W812" s="84">
        <v>0</v>
      </c>
      <c r="X812" s="84">
        <v>0</v>
      </c>
      <c r="Y812" s="84">
        <v>0</v>
      </c>
      <c r="Z812" s="84">
        <v>1</v>
      </c>
      <c r="AA812" s="84">
        <v>1</v>
      </c>
      <c r="AB812" s="84">
        <v>1</v>
      </c>
      <c r="AC812" s="84">
        <v>1</v>
      </c>
      <c r="AD812" s="84">
        <v>1</v>
      </c>
      <c r="AE812" s="84">
        <v>1</v>
      </c>
      <c r="AF812" s="84">
        <v>1</v>
      </c>
      <c r="AG812" s="84">
        <v>1</v>
      </c>
      <c r="AH812" s="84">
        <v>0</v>
      </c>
      <c r="AI812" s="84">
        <v>0</v>
      </c>
      <c r="AJ812" s="84">
        <v>0</v>
      </c>
      <c r="AK812" s="84">
        <v>0</v>
      </c>
      <c r="AL812" s="84" cm="1">
        <f t="array" ref="AL8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12" s="84" cm="1">
        <f t="array" ref="AM8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2" s="84" cm="1">
        <f t="array" ref="AN8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2" s="84" cm="1">
        <f t="array" ref="AO8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2" s="84" cm="1">
        <f t="array" ref="AP8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2" s="84" cm="1">
        <f t="array" ref="AQ8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12" s="84" cm="1">
        <f t="array" ref="AR8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12" s="84" cm="1">
        <f t="array" ref="AS8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12" s="84" cm="1">
        <f t="array" ref="AT8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12" s="84" cm="1">
        <f t="array" ref="AU8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12" s="84" cm="1">
        <f t="array" ref="AV8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12" s="84" cm="1">
        <f t="array" ref="AW8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12" s="84" cm="1">
        <f t="array" ref="AX8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12" s="84" cm="1">
        <f t="array" ref="AY8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2" s="84" cm="1">
        <f t="array" ref="AZ8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2" s="84" cm="1">
        <f t="array" ref="BA8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2" s="84" cm="1">
        <f t="array" ref="BB8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2" s="84">
        <f>IF(SUM(Table3[[#This Row],[Column2]:[Column18]])&gt;Table3[[#This Row],[Column19]],Table3[[#This Row],[Column19]],SUM(Table3[[#This Row],[Column2]:[Column18]]))</f>
        <v>50000</v>
      </c>
      <c r="BD812" s="2">
        <f>Table3[[#This Row],[Total Spend]]/SUM(Table3[[#This Row],[Column2]:[Column18]])</f>
        <v>0.2664535038635758</v>
      </c>
    </row>
    <row r="813" spans="1:56">
      <c r="A813" s="84" t="s">
        <v>887</v>
      </c>
      <c r="B813" s="84"/>
      <c r="C813" s="84"/>
      <c r="D813" s="85">
        <v>45566</v>
      </c>
      <c r="E813" s="85" t="s">
        <v>58</v>
      </c>
      <c r="F813" s="84">
        <f>INDEX(Definitions!$G$13:$G$17,MATCH(Table3[[#This Row],[Propensity to buy/ buyer readiness]],Definitions!$A$13:$A$17,0))</f>
        <v>150000</v>
      </c>
      <c r="G813" s="86">
        <v>4</v>
      </c>
      <c r="H813" s="86">
        <v>3</v>
      </c>
      <c r="I813" s="86">
        <v>3</v>
      </c>
      <c r="J813" s="86">
        <v>3</v>
      </c>
      <c r="K813" s="86">
        <v>4</v>
      </c>
      <c r="L813" s="86">
        <f>SUM(Table3[[#This Row],[Strategic priority segment]:[Propensity to buy/ buyer readiness]])</f>
        <v>17</v>
      </c>
      <c r="M813" s="86" t="s">
        <v>191</v>
      </c>
      <c r="N813" s="84" t="s">
        <v>76</v>
      </c>
      <c r="O813" s="84" t="s">
        <v>135</v>
      </c>
      <c r="P813" s="84"/>
      <c r="Q813" s="84"/>
      <c r="R813" s="84"/>
      <c r="S813" s="87"/>
      <c r="T813" s="84"/>
      <c r="U813" s="84">
        <v>0</v>
      </c>
      <c r="V813" s="84">
        <v>0</v>
      </c>
      <c r="W813" s="84">
        <v>0</v>
      </c>
      <c r="X813" s="84">
        <v>0</v>
      </c>
      <c r="Y813" s="84">
        <v>0</v>
      </c>
      <c r="Z813" s="84">
        <v>0</v>
      </c>
      <c r="AA813" s="84">
        <v>0</v>
      </c>
      <c r="AB813" s="84">
        <v>0</v>
      </c>
      <c r="AC813" s="84">
        <v>0</v>
      </c>
      <c r="AD813" s="84">
        <v>0</v>
      </c>
      <c r="AE813" s="84">
        <v>0</v>
      </c>
      <c r="AF813" s="84">
        <v>0</v>
      </c>
      <c r="AG813" s="84">
        <v>0</v>
      </c>
      <c r="AH813" s="84">
        <v>1</v>
      </c>
      <c r="AI813" s="84">
        <v>1</v>
      </c>
      <c r="AJ813" s="84">
        <v>1</v>
      </c>
      <c r="AK813" s="84">
        <v>1</v>
      </c>
      <c r="AL813" s="84" cm="1">
        <f t="array" ref="AL8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13" s="84" cm="1">
        <f t="array" ref="AM8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3" s="84" cm="1">
        <f t="array" ref="AN8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3" s="84" cm="1">
        <f t="array" ref="AO8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3" s="84" cm="1">
        <f t="array" ref="AP8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3" s="84" cm="1">
        <f t="array" ref="AQ8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13" s="84" cm="1">
        <f t="array" ref="AR8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3" s="84" cm="1">
        <f t="array" ref="AS8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13" s="84" cm="1">
        <f t="array" ref="AT8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3" s="84" cm="1">
        <f t="array" ref="AU8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13" s="84" cm="1">
        <f t="array" ref="AV8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13" s="84" cm="1">
        <f t="array" ref="AW8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13" s="84" cm="1">
        <f t="array" ref="AX8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13" s="84" cm="1">
        <f t="array" ref="AY8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13" s="84" cm="1">
        <f t="array" ref="AZ8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13" s="84" cm="1">
        <f t="array" ref="BA8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13" s="84" cm="1">
        <f t="array" ref="BB8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13" s="84">
        <f>IF(SUM(Table3[[#This Row],[Column2]:[Column18]])&gt;Table3[[#This Row],[Column19]],Table3[[#This Row],[Column19]],SUM(Table3[[#This Row],[Column2]:[Column18]]))</f>
        <v>64350</v>
      </c>
      <c r="BD813" s="2">
        <f>Table3[[#This Row],[Total Spend]]/SUM(Table3[[#This Row],[Column2]:[Column18]])</f>
        <v>1</v>
      </c>
    </row>
    <row r="814" spans="1:56">
      <c r="A814" s="84" t="s">
        <v>888</v>
      </c>
      <c r="B814" s="84"/>
      <c r="C814" s="84"/>
      <c r="D814" s="85">
        <v>45809</v>
      </c>
      <c r="E814" s="85" t="s">
        <v>92</v>
      </c>
      <c r="F814" s="84">
        <f>INDEX(Definitions!$G$13:$G$17,MATCH(Table3[[#This Row],[Propensity to buy/ buyer readiness]],Definitions!$A$13:$A$17,0))</f>
        <v>50000</v>
      </c>
      <c r="G814" s="86">
        <v>5</v>
      </c>
      <c r="H814" s="86">
        <v>4</v>
      </c>
      <c r="I814" s="86">
        <v>2</v>
      </c>
      <c r="J814" s="86">
        <v>3</v>
      </c>
      <c r="K814" s="86">
        <v>3</v>
      </c>
      <c r="L814" s="86">
        <f>SUM(Table3[[#This Row],[Strategic priority segment]:[Propensity to buy/ buyer readiness]])</f>
        <v>17</v>
      </c>
      <c r="M814" s="86" t="s">
        <v>66</v>
      </c>
      <c r="N814" s="84" t="s">
        <v>62</v>
      </c>
      <c r="O814" s="84"/>
      <c r="P814" s="87"/>
      <c r="Q814" s="87"/>
      <c r="R814" s="84"/>
      <c r="S814" s="87"/>
      <c r="T814" s="87"/>
      <c r="U814" s="84">
        <v>1</v>
      </c>
      <c r="V814" s="84">
        <v>0</v>
      </c>
      <c r="W814" s="84">
        <v>0</v>
      </c>
      <c r="X814" s="84">
        <v>0</v>
      </c>
      <c r="Y814" s="84">
        <v>0</v>
      </c>
      <c r="Z814" s="84">
        <v>0</v>
      </c>
      <c r="AA814" s="84">
        <v>0</v>
      </c>
      <c r="AB814" s="84">
        <v>0</v>
      </c>
      <c r="AC814" s="84">
        <v>0</v>
      </c>
      <c r="AD814" s="84">
        <v>1</v>
      </c>
      <c r="AE814" s="84">
        <v>1</v>
      </c>
      <c r="AF814" s="84">
        <v>1</v>
      </c>
      <c r="AG814" s="84">
        <v>1</v>
      </c>
      <c r="AH814" s="84">
        <v>0</v>
      </c>
      <c r="AI814" s="84">
        <v>0</v>
      </c>
      <c r="AJ814" s="84">
        <v>0</v>
      </c>
      <c r="AK814" s="84">
        <v>0</v>
      </c>
      <c r="AL814" s="84" cm="1">
        <f t="array" ref="AL8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14" s="84" cm="1">
        <f t="array" ref="AM8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4" s="84" cm="1">
        <f t="array" ref="AN8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4" s="84" cm="1">
        <f t="array" ref="AO8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4" s="84" cm="1">
        <f t="array" ref="AP8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4" s="84" cm="1">
        <f t="array" ref="AQ8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14" s="84" cm="1">
        <f t="array" ref="AR8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4" s="84" cm="1">
        <f t="array" ref="AS8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14" s="84" cm="1">
        <f t="array" ref="AT8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4" s="84" cm="1">
        <f t="array" ref="AU8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14" s="84" cm="1">
        <f t="array" ref="AV8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14" s="84" cm="1">
        <f t="array" ref="AW8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14" s="84" cm="1">
        <f t="array" ref="AX8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14" s="84" cm="1">
        <f t="array" ref="AY8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4" s="84" cm="1">
        <f t="array" ref="AZ8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4" s="84" cm="1">
        <f t="array" ref="BA8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4" s="84" cm="1">
        <f t="array" ref="BB8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4" s="84">
        <f>IF(SUM(Table3[[#This Row],[Column2]:[Column18]])&gt;Table3[[#This Row],[Column19]],Table3[[#This Row],[Column19]],SUM(Table3[[#This Row],[Column2]:[Column18]]))</f>
        <v>50000</v>
      </c>
      <c r="BD814" s="2">
        <f>Table3[[#This Row],[Total Spend]]/SUM(Table3[[#This Row],[Column2]:[Column18]])</f>
        <v>0.53163211057947901</v>
      </c>
    </row>
    <row r="815" spans="1:56" ht="28.5">
      <c r="A815" s="84" t="s">
        <v>889</v>
      </c>
      <c r="B815" s="84" t="s">
        <v>57</v>
      </c>
      <c r="C815" s="84" t="s">
        <v>57</v>
      </c>
      <c r="D815" s="85">
        <v>45566</v>
      </c>
      <c r="E815" s="85" t="s">
        <v>58</v>
      </c>
      <c r="F815" s="84">
        <f>INDEX(Definitions!$G$13:$G$17,MATCH(Table3[[#This Row],[Propensity to buy/ buyer readiness]],Definitions!$A$13:$A$17,0))</f>
        <v>150000</v>
      </c>
      <c r="G815" s="86">
        <v>3</v>
      </c>
      <c r="H815" s="86">
        <v>3</v>
      </c>
      <c r="I815" s="86">
        <v>4</v>
      </c>
      <c r="J815" s="86">
        <v>3</v>
      </c>
      <c r="K815" s="86">
        <v>4</v>
      </c>
      <c r="L815" s="86">
        <f>SUM(Table3[[#This Row],[Strategic priority segment]:[Propensity to buy/ buyer readiness]])</f>
        <v>17</v>
      </c>
      <c r="M815" s="86" t="s">
        <v>152</v>
      </c>
      <c r="N815" s="84" t="s">
        <v>122</v>
      </c>
      <c r="O815" s="84" t="s">
        <v>135</v>
      </c>
      <c r="P815" s="87" t="s">
        <v>61</v>
      </c>
      <c r="Q815" s="87" t="s">
        <v>62</v>
      </c>
      <c r="R815" s="84"/>
      <c r="S815" s="84"/>
      <c r="T815" s="84"/>
      <c r="U815" s="84">
        <v>1</v>
      </c>
      <c r="V815" s="84">
        <v>0</v>
      </c>
      <c r="W815" s="84">
        <v>0</v>
      </c>
      <c r="X815" s="84">
        <v>0</v>
      </c>
      <c r="Y815" s="84">
        <v>0</v>
      </c>
      <c r="Z815" s="84">
        <v>1</v>
      </c>
      <c r="AA815" s="84">
        <v>1</v>
      </c>
      <c r="AB815" s="84">
        <v>1</v>
      </c>
      <c r="AC815" s="84">
        <v>1</v>
      </c>
      <c r="AD815" s="84">
        <v>1</v>
      </c>
      <c r="AE815" s="84">
        <v>1</v>
      </c>
      <c r="AF815" s="84">
        <v>1</v>
      </c>
      <c r="AG815" s="84">
        <v>1</v>
      </c>
      <c r="AH815" s="84">
        <v>1</v>
      </c>
      <c r="AI815" s="84">
        <v>1</v>
      </c>
      <c r="AJ815" s="84">
        <v>1</v>
      </c>
      <c r="AK815" s="84">
        <v>1</v>
      </c>
      <c r="AL815" s="84" cm="1">
        <f t="array" ref="AL8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15" s="84" cm="1">
        <f t="array" ref="AM8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5" s="84" cm="1">
        <f t="array" ref="AN8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5" s="84" cm="1">
        <f t="array" ref="AO8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5" s="84" cm="1">
        <f t="array" ref="AP8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5" s="84" cm="1">
        <f t="array" ref="AQ8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15" s="84" cm="1">
        <f t="array" ref="AR8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20700</v>
      </c>
      <c r="AS815" s="84" cm="1">
        <f t="array" ref="AS8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15" s="84" cm="1">
        <f t="array" ref="AT8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26100</v>
      </c>
      <c r="AU815" s="84" cm="1">
        <f t="array" ref="AU8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15" s="84" cm="1">
        <f t="array" ref="AV8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10800</v>
      </c>
      <c r="AW815" s="84" cm="1">
        <f t="array" ref="AW8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15" s="84" cm="1">
        <f t="array" ref="AX8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36000</v>
      </c>
      <c r="AY815" s="84" cm="1">
        <f t="array" ref="AY8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15" s="84" cm="1">
        <f t="array" ref="AZ8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15" s="84" cm="1">
        <f t="array" ref="BA8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15" s="84" cm="1">
        <f t="array" ref="BB8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15" s="84">
        <f>IF(SUM(Table3[[#This Row],[Column2]:[Column18]])&gt;Table3[[#This Row],[Column19]],Table3[[#This Row],[Column19]],SUM(Table3[[#This Row],[Column2]:[Column18]]))</f>
        <v>150000</v>
      </c>
      <c r="BD815" s="2">
        <f>Table3[[#This Row],[Total Spend]]/SUM(Table3[[#This Row],[Column2]:[Column18]])</f>
        <v>0.46104195481788846</v>
      </c>
    </row>
    <row r="816" spans="1:56">
      <c r="A816" s="84" t="s">
        <v>890</v>
      </c>
      <c r="B816" s="84" t="s">
        <v>57</v>
      </c>
      <c r="C816" s="84"/>
      <c r="D816" s="85">
        <v>45566</v>
      </c>
      <c r="E816" s="85" t="s">
        <v>58</v>
      </c>
      <c r="F816" s="84">
        <f>INDEX(Definitions!$G$13:$G$17,MATCH(Table3[[#This Row],[Propensity to buy/ buyer readiness]],Definitions!$A$13:$A$17,0))</f>
        <v>50000</v>
      </c>
      <c r="G816" s="86">
        <v>3</v>
      </c>
      <c r="H816" s="86">
        <v>4</v>
      </c>
      <c r="I816" s="86">
        <v>4</v>
      </c>
      <c r="J816" s="86">
        <v>3</v>
      </c>
      <c r="K816" s="86">
        <v>3</v>
      </c>
      <c r="L816" s="86">
        <f>SUM(Table3[[#This Row],[Strategic priority segment]:[Propensity to buy/ buyer readiness]])</f>
        <v>17</v>
      </c>
      <c r="M816" s="86" t="s">
        <v>59</v>
      </c>
      <c r="N816" s="84" t="s">
        <v>153</v>
      </c>
      <c r="O816" s="84" t="s">
        <v>85</v>
      </c>
      <c r="P816" s="87"/>
      <c r="Q816" s="87"/>
      <c r="R816" s="84"/>
      <c r="S816" s="84"/>
      <c r="T816" s="87"/>
      <c r="U816" s="84">
        <v>1</v>
      </c>
      <c r="V816" s="84">
        <v>0</v>
      </c>
      <c r="W816" s="84">
        <v>0</v>
      </c>
      <c r="X816" s="84">
        <v>0</v>
      </c>
      <c r="Y816" s="84">
        <v>1</v>
      </c>
      <c r="Z816" s="84">
        <v>0</v>
      </c>
      <c r="AA816" s="84">
        <v>0</v>
      </c>
      <c r="AB816" s="84">
        <v>0</v>
      </c>
      <c r="AC816" s="84">
        <v>0</v>
      </c>
      <c r="AD816" s="84">
        <v>0</v>
      </c>
      <c r="AE816" s="84">
        <v>0</v>
      </c>
      <c r="AF816" s="84">
        <v>0</v>
      </c>
      <c r="AG816" s="84">
        <v>0</v>
      </c>
      <c r="AH816" s="84">
        <v>0</v>
      </c>
      <c r="AI816" s="84">
        <v>0</v>
      </c>
      <c r="AJ816" s="84">
        <v>0</v>
      </c>
      <c r="AK816" s="84">
        <v>0</v>
      </c>
      <c r="AL816" s="84" cm="1">
        <f t="array" ref="AL8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16" s="84" cm="1">
        <f t="array" ref="AM8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6" s="84" cm="1">
        <f t="array" ref="AN8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6" s="84" cm="1">
        <f t="array" ref="AO8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6" s="84" cm="1">
        <f t="array" ref="AP8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816" s="84" cm="1">
        <f t="array" ref="AQ8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16" s="84" cm="1">
        <f t="array" ref="AR8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6" s="84" cm="1">
        <f t="array" ref="AS8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16" s="84" cm="1">
        <f t="array" ref="AT8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6" s="84" cm="1">
        <f t="array" ref="AU8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16" s="84" cm="1">
        <f t="array" ref="AV8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16" s="84" cm="1">
        <f t="array" ref="AW8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16" s="84" cm="1">
        <f t="array" ref="AX8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16" s="84" cm="1">
        <f t="array" ref="AY8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6" s="84" cm="1">
        <f t="array" ref="AZ8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6" s="84" cm="1">
        <f t="array" ref="BA8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6" s="84" cm="1">
        <f t="array" ref="BB8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6" s="84">
        <f>IF(SUM(Table3[[#This Row],[Column2]:[Column18]])&gt;Table3[[#This Row],[Column19]],Table3[[#This Row],[Column19]],SUM(Table3[[#This Row],[Column2]:[Column18]]))</f>
        <v>50000</v>
      </c>
      <c r="BD816" s="2">
        <f>Table3[[#This Row],[Total Spend]]/SUM(Table3[[#This Row],[Column2]:[Column18]])</f>
        <v>0.75075075075075071</v>
      </c>
    </row>
    <row r="817" spans="1:56">
      <c r="A817" s="84" t="s">
        <v>891</v>
      </c>
      <c r="B817" s="84" t="s">
        <v>57</v>
      </c>
      <c r="C817" s="84"/>
      <c r="D817" s="85">
        <v>45566</v>
      </c>
      <c r="E817" s="85" t="s">
        <v>58</v>
      </c>
      <c r="F817" s="84">
        <f>INDEX(Definitions!$G$13:$G$17,MATCH(Table3[[#This Row],[Propensity to buy/ buyer readiness]],Definitions!$A$13:$A$17,0))</f>
        <v>50000</v>
      </c>
      <c r="G817" s="86">
        <v>3</v>
      </c>
      <c r="H817" s="86">
        <v>3</v>
      </c>
      <c r="I817" s="86">
        <v>4</v>
      </c>
      <c r="J817" s="86">
        <v>4</v>
      </c>
      <c r="K817" s="86">
        <v>3</v>
      </c>
      <c r="L817" s="86">
        <f>SUM(Table3[[#This Row],[Strategic priority segment]:[Propensity to buy/ buyer readiness]])</f>
        <v>17</v>
      </c>
      <c r="M817" s="86" t="s">
        <v>59</v>
      </c>
      <c r="N817" s="84" t="s">
        <v>265</v>
      </c>
      <c r="O817" s="84"/>
      <c r="P817" s="87"/>
      <c r="Q817" s="87"/>
      <c r="R817" s="84"/>
      <c r="S817" s="84"/>
      <c r="T817" s="87"/>
      <c r="U817" s="84">
        <v>1</v>
      </c>
      <c r="V817" s="84">
        <v>1</v>
      </c>
      <c r="W817" s="84">
        <v>1</v>
      </c>
      <c r="X817" s="84">
        <v>1</v>
      </c>
      <c r="Y817" s="84">
        <v>0</v>
      </c>
      <c r="Z817" s="84">
        <v>0</v>
      </c>
      <c r="AA817" s="84">
        <v>0</v>
      </c>
      <c r="AB817" s="84">
        <v>0</v>
      </c>
      <c r="AC817" s="84">
        <v>0</v>
      </c>
      <c r="AD817" s="84">
        <v>0</v>
      </c>
      <c r="AE817" s="84">
        <v>0</v>
      </c>
      <c r="AF817" s="84">
        <v>0</v>
      </c>
      <c r="AG817" s="84">
        <v>0</v>
      </c>
      <c r="AH817" s="84">
        <v>0</v>
      </c>
      <c r="AI817" s="84">
        <v>1</v>
      </c>
      <c r="AJ817" s="84">
        <v>0</v>
      </c>
      <c r="AK817" s="84">
        <v>0</v>
      </c>
      <c r="AL817" s="84" cm="1">
        <f t="array" ref="AL8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17" s="84" cm="1">
        <f t="array" ref="AM8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17" s="84" cm="1">
        <f t="array" ref="AN8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17" s="84" cm="1">
        <f t="array" ref="AO8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17" s="84" cm="1">
        <f t="array" ref="AP8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7" s="84" cm="1">
        <f t="array" ref="AQ8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17" s="84" cm="1">
        <f t="array" ref="AR8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7" s="84" cm="1">
        <f t="array" ref="AS8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17" s="84" cm="1">
        <f t="array" ref="AT8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7" s="84" cm="1">
        <f t="array" ref="AU8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17" s="84" cm="1">
        <f t="array" ref="AV8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17" s="84" cm="1">
        <f t="array" ref="AW8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17" s="84" cm="1">
        <f t="array" ref="AX8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17" s="84" cm="1">
        <f t="array" ref="AY8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7" s="84" cm="1">
        <f t="array" ref="AZ8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17" s="84" cm="1">
        <f t="array" ref="BA8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7" s="84" cm="1">
        <f t="array" ref="BB8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7" s="84">
        <f>IF(SUM(Table3[[#This Row],[Column2]:[Column18]])&gt;Table3[[#This Row],[Column19]],Table3[[#This Row],[Column19]],SUM(Table3[[#This Row],[Column2]:[Column18]]))</f>
        <v>50000</v>
      </c>
      <c r="BD817" s="2">
        <f>Table3[[#This Row],[Total Spend]]/SUM(Table3[[#This Row],[Column2]:[Column18]])</f>
        <v>0.26021337496747332</v>
      </c>
    </row>
    <row r="818" spans="1:56">
      <c r="A818" s="84" t="s">
        <v>892</v>
      </c>
      <c r="B818" s="84"/>
      <c r="C818" s="84"/>
      <c r="D818" s="85">
        <v>45566</v>
      </c>
      <c r="E818" s="85" t="s">
        <v>92</v>
      </c>
      <c r="F818" s="84">
        <f>INDEX(Definitions!$G$13:$G$17,MATCH(Table3[[#This Row],[Propensity to buy/ buyer readiness]],Definitions!$A$13:$A$17,0))</f>
        <v>50000</v>
      </c>
      <c r="G818" s="86">
        <v>5</v>
      </c>
      <c r="H818" s="86">
        <v>4</v>
      </c>
      <c r="I818" s="86">
        <v>2</v>
      </c>
      <c r="J818" s="86">
        <v>3</v>
      </c>
      <c r="K818" s="86">
        <v>3</v>
      </c>
      <c r="L818" s="86">
        <f>SUM(Table3[[#This Row],[Strategic priority segment]:[Propensity to buy/ buyer readiness]])</f>
        <v>17</v>
      </c>
      <c r="M818" s="86" t="s">
        <v>66</v>
      </c>
      <c r="N818" s="84" t="s">
        <v>62</v>
      </c>
      <c r="O818" s="87"/>
      <c r="P818" s="87"/>
      <c r="Q818" s="87"/>
      <c r="R818" s="87"/>
      <c r="S818" s="87"/>
      <c r="T818" s="87"/>
      <c r="U818" s="84">
        <v>1</v>
      </c>
      <c r="V818" s="84">
        <v>0</v>
      </c>
      <c r="W818" s="84">
        <v>0</v>
      </c>
      <c r="X818" s="84">
        <v>0</v>
      </c>
      <c r="Y818" s="84">
        <v>0</v>
      </c>
      <c r="Z818" s="84">
        <v>0</v>
      </c>
      <c r="AA818" s="84">
        <v>0</v>
      </c>
      <c r="AB818" s="84">
        <v>0</v>
      </c>
      <c r="AC818" s="84">
        <v>0</v>
      </c>
      <c r="AD818" s="84">
        <v>1</v>
      </c>
      <c r="AE818" s="84">
        <v>1</v>
      </c>
      <c r="AF818" s="84">
        <v>1</v>
      </c>
      <c r="AG818" s="84">
        <v>1</v>
      </c>
      <c r="AH818" s="84">
        <v>0</v>
      </c>
      <c r="AI818" s="84">
        <v>0</v>
      </c>
      <c r="AJ818" s="84">
        <v>0</v>
      </c>
      <c r="AK818" s="84">
        <v>0</v>
      </c>
      <c r="AL818" s="84" cm="1">
        <f t="array" ref="AL8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18" s="84" cm="1">
        <f t="array" ref="AM8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8" s="84" cm="1">
        <f t="array" ref="AN8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8" s="84" cm="1">
        <f t="array" ref="AO8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8" s="84" cm="1">
        <f t="array" ref="AP8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8" s="84" cm="1">
        <f t="array" ref="AQ8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18" s="84" cm="1">
        <f t="array" ref="AR8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8" s="84" cm="1">
        <f t="array" ref="AS8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18" s="84" cm="1">
        <f t="array" ref="AT8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8" s="84" cm="1">
        <f t="array" ref="AU8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18" s="84" cm="1">
        <f t="array" ref="AV8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18" s="84" cm="1">
        <f t="array" ref="AW8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18" s="84" cm="1">
        <f t="array" ref="AX8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18" s="84" cm="1">
        <f t="array" ref="AY8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8" s="84" cm="1">
        <f t="array" ref="AZ8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8" s="84" cm="1">
        <f t="array" ref="BA8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8" s="84" cm="1">
        <f t="array" ref="BB8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8" s="84">
        <f>IF(SUM(Table3[[#This Row],[Column2]:[Column18]])&gt;Table3[[#This Row],[Column19]],Table3[[#This Row],[Column19]],SUM(Table3[[#This Row],[Column2]:[Column18]]))</f>
        <v>50000</v>
      </c>
      <c r="BD818" s="2">
        <f>Table3[[#This Row],[Total Spend]]/SUM(Table3[[#This Row],[Column2]:[Column18]])</f>
        <v>0.53163211057947901</v>
      </c>
    </row>
    <row r="819" spans="1:56">
      <c r="A819" s="84" t="s">
        <v>893</v>
      </c>
      <c r="B819" s="84"/>
      <c r="C819" s="84"/>
      <c r="D819" s="85">
        <v>45566</v>
      </c>
      <c r="E819" s="85" t="s">
        <v>92</v>
      </c>
      <c r="F819" s="84">
        <f>INDEX(Definitions!$G$13:$G$17,MATCH(Table3[[#This Row],[Propensity to buy/ buyer readiness]],Definitions!$A$13:$A$17,0))</f>
        <v>50000</v>
      </c>
      <c r="G819" s="86">
        <v>5</v>
      </c>
      <c r="H819" s="86">
        <v>4</v>
      </c>
      <c r="I819" s="86">
        <v>2</v>
      </c>
      <c r="J819" s="86">
        <v>3</v>
      </c>
      <c r="K819" s="86">
        <v>3</v>
      </c>
      <c r="L819" s="86">
        <f>SUM(Table3[[#This Row],[Strategic priority segment]:[Propensity to buy/ buyer readiness]])</f>
        <v>17</v>
      </c>
      <c r="M819" s="86" t="s">
        <v>66</v>
      </c>
      <c r="N819" s="84" t="s">
        <v>62</v>
      </c>
      <c r="O819" s="84"/>
      <c r="P819" s="87"/>
      <c r="Q819" s="87"/>
      <c r="R819" s="84"/>
      <c r="S819" s="87"/>
      <c r="T819" s="87"/>
      <c r="U819" s="84">
        <v>1</v>
      </c>
      <c r="V819" s="84">
        <v>0</v>
      </c>
      <c r="W819" s="84">
        <v>0</v>
      </c>
      <c r="X819" s="84">
        <v>0</v>
      </c>
      <c r="Y819" s="84">
        <v>0</v>
      </c>
      <c r="Z819" s="84">
        <v>0</v>
      </c>
      <c r="AA819" s="84">
        <v>0</v>
      </c>
      <c r="AB819" s="84">
        <v>0</v>
      </c>
      <c r="AC819" s="84">
        <v>0</v>
      </c>
      <c r="AD819" s="84">
        <v>1</v>
      </c>
      <c r="AE819" s="84">
        <v>1</v>
      </c>
      <c r="AF819" s="84">
        <v>1</v>
      </c>
      <c r="AG819" s="84">
        <v>1</v>
      </c>
      <c r="AH819" s="84">
        <v>0</v>
      </c>
      <c r="AI819" s="84">
        <v>0</v>
      </c>
      <c r="AJ819" s="84">
        <v>0</v>
      </c>
      <c r="AK819" s="84">
        <v>0</v>
      </c>
      <c r="AL819" s="84" cm="1">
        <f t="array" ref="AL8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19" s="84" cm="1">
        <f t="array" ref="AM8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19" s="84" cm="1">
        <f t="array" ref="AN8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19" s="84" cm="1">
        <f t="array" ref="AO8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19" s="84" cm="1">
        <f t="array" ref="AP8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19" s="84" cm="1">
        <f t="array" ref="AQ8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19" s="84" cm="1">
        <f t="array" ref="AR8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19" s="84" cm="1">
        <f t="array" ref="AS8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19" s="84" cm="1">
        <f t="array" ref="AT8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19" s="84" cm="1">
        <f t="array" ref="AU8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19" s="84" cm="1">
        <f t="array" ref="AV8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19" s="84" cm="1">
        <f t="array" ref="AW8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19" s="84" cm="1">
        <f t="array" ref="AX8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19" s="84" cm="1">
        <f t="array" ref="AY8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19" s="84" cm="1">
        <f t="array" ref="AZ8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19" s="84" cm="1">
        <f t="array" ref="BA8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19" s="84" cm="1">
        <f t="array" ref="BB8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19" s="84">
        <f>IF(SUM(Table3[[#This Row],[Column2]:[Column18]])&gt;Table3[[#This Row],[Column19]],Table3[[#This Row],[Column19]],SUM(Table3[[#This Row],[Column2]:[Column18]]))</f>
        <v>50000</v>
      </c>
      <c r="BD819" s="2">
        <f>Table3[[#This Row],[Total Spend]]/SUM(Table3[[#This Row],[Column2]:[Column18]])</f>
        <v>0.53163211057947901</v>
      </c>
    </row>
    <row r="820" spans="1:56">
      <c r="A820" s="84" t="s">
        <v>894</v>
      </c>
      <c r="B820" s="84"/>
      <c r="C820" s="84"/>
      <c r="D820" s="85">
        <v>45809</v>
      </c>
      <c r="E820" s="85" t="s">
        <v>92</v>
      </c>
      <c r="F820" s="84">
        <f>INDEX(Definitions!$G$13:$G$17,MATCH(Table3[[#This Row],[Propensity to buy/ buyer readiness]],Definitions!$A$13:$A$17,0))</f>
        <v>50000</v>
      </c>
      <c r="G820" s="86">
        <v>5</v>
      </c>
      <c r="H820" s="86">
        <v>4</v>
      </c>
      <c r="I820" s="86">
        <v>2</v>
      </c>
      <c r="J820" s="86">
        <v>3</v>
      </c>
      <c r="K820" s="86">
        <v>3</v>
      </c>
      <c r="L820" s="86">
        <f>SUM(Table3[[#This Row],[Strategic priority segment]:[Propensity to buy/ buyer readiness]])</f>
        <v>17</v>
      </c>
      <c r="M820" s="86" t="s">
        <v>66</v>
      </c>
      <c r="N820" s="84" t="s">
        <v>62</v>
      </c>
      <c r="O820" s="84"/>
      <c r="P820" s="84"/>
      <c r="Q820" s="84"/>
      <c r="R820" s="84"/>
      <c r="S820" s="84"/>
      <c r="T820" s="84"/>
      <c r="U820" s="84">
        <v>1</v>
      </c>
      <c r="V820" s="84">
        <v>0</v>
      </c>
      <c r="W820" s="84">
        <v>0</v>
      </c>
      <c r="X820" s="84">
        <v>0</v>
      </c>
      <c r="Y820" s="84">
        <v>0</v>
      </c>
      <c r="Z820" s="84">
        <v>0</v>
      </c>
      <c r="AA820" s="84">
        <v>0</v>
      </c>
      <c r="AB820" s="84">
        <v>0</v>
      </c>
      <c r="AC820" s="84">
        <v>0</v>
      </c>
      <c r="AD820" s="84">
        <v>1</v>
      </c>
      <c r="AE820" s="84">
        <v>1</v>
      </c>
      <c r="AF820" s="84">
        <v>1</v>
      </c>
      <c r="AG820" s="84">
        <v>1</v>
      </c>
      <c r="AH820" s="84">
        <v>0</v>
      </c>
      <c r="AI820" s="84">
        <v>0</v>
      </c>
      <c r="AJ820" s="84">
        <v>0</v>
      </c>
      <c r="AK820" s="84">
        <v>0</v>
      </c>
      <c r="AL820" s="84" cm="1">
        <f t="array" ref="AL8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20" s="84" cm="1">
        <f t="array" ref="AM8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0" s="84" cm="1">
        <f t="array" ref="AN8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0" s="84" cm="1">
        <f t="array" ref="AO8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0" s="84" cm="1">
        <f t="array" ref="AP8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0" s="84" cm="1">
        <f t="array" ref="AQ8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0" s="84" cm="1">
        <f t="array" ref="AR8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0" s="84" cm="1">
        <f t="array" ref="AS8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0" s="84" cm="1">
        <f t="array" ref="AT8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0" s="84" cm="1">
        <f t="array" ref="AU8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20" s="84" cm="1">
        <f t="array" ref="AV8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20" s="84" cm="1">
        <f t="array" ref="AW8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20" s="84" cm="1">
        <f t="array" ref="AX8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20" s="84" cm="1">
        <f t="array" ref="AY8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0" s="84" cm="1">
        <f t="array" ref="AZ8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0" s="84" cm="1">
        <f t="array" ref="BA8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0" s="84" cm="1">
        <f t="array" ref="BB8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0" s="84">
        <f>IF(SUM(Table3[[#This Row],[Column2]:[Column18]])&gt;Table3[[#This Row],[Column19]],Table3[[#This Row],[Column19]],SUM(Table3[[#This Row],[Column2]:[Column18]]))</f>
        <v>50000</v>
      </c>
      <c r="BD820" s="2">
        <f>Table3[[#This Row],[Total Spend]]/SUM(Table3[[#This Row],[Column2]:[Column18]])</f>
        <v>0.53163211057947901</v>
      </c>
    </row>
    <row r="821" spans="1:56">
      <c r="A821" s="84" t="s">
        <v>895</v>
      </c>
      <c r="B821" s="84" t="s">
        <v>57</v>
      </c>
      <c r="C821" s="84"/>
      <c r="D821" s="85">
        <v>45566</v>
      </c>
      <c r="E821" s="85" t="s">
        <v>58</v>
      </c>
      <c r="F821" s="84">
        <f>INDEX(Definitions!$G$13:$G$17,MATCH(Table3[[#This Row],[Propensity to buy/ buyer readiness]],Definitions!$A$13:$A$17,0))</f>
        <v>50000</v>
      </c>
      <c r="G821" s="86">
        <v>4</v>
      </c>
      <c r="H821" s="86">
        <v>3</v>
      </c>
      <c r="I821" s="86">
        <v>4</v>
      </c>
      <c r="J821" s="86">
        <v>3</v>
      </c>
      <c r="K821" s="86">
        <v>3</v>
      </c>
      <c r="L821" s="86">
        <f>SUM(Table3[[#This Row],[Strategic priority segment]:[Propensity to buy/ buyer readiness]])</f>
        <v>17</v>
      </c>
      <c r="M821" s="86" t="s">
        <v>59</v>
      </c>
      <c r="N821" s="84" t="s">
        <v>85</v>
      </c>
      <c r="O821" s="84"/>
      <c r="P821" s="87"/>
      <c r="Q821" s="87"/>
      <c r="R821" s="84"/>
      <c r="S821" s="84"/>
      <c r="T821" s="84"/>
      <c r="U821" s="84">
        <v>1</v>
      </c>
      <c r="V821" s="84">
        <v>0</v>
      </c>
      <c r="W821" s="84">
        <v>0</v>
      </c>
      <c r="X821" s="84">
        <v>0</v>
      </c>
      <c r="Y821" s="84">
        <v>1</v>
      </c>
      <c r="Z821" s="84">
        <v>0</v>
      </c>
      <c r="AA821" s="84">
        <v>0</v>
      </c>
      <c r="AB821" s="84">
        <v>0</v>
      </c>
      <c r="AC821" s="84">
        <v>0</v>
      </c>
      <c r="AD821" s="84">
        <v>0</v>
      </c>
      <c r="AE821" s="84">
        <v>0</v>
      </c>
      <c r="AF821" s="84">
        <v>0</v>
      </c>
      <c r="AG821" s="84">
        <v>0</v>
      </c>
      <c r="AH821" s="84">
        <v>0</v>
      </c>
      <c r="AI821" s="84">
        <v>0</v>
      </c>
      <c r="AJ821" s="84">
        <v>0</v>
      </c>
      <c r="AK821" s="84">
        <v>0</v>
      </c>
      <c r="AL821" s="84" cm="1">
        <f t="array" ref="AL8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1" s="84" cm="1">
        <f t="array" ref="AM8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1" s="84" cm="1">
        <f t="array" ref="AN8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1" s="84" cm="1">
        <f t="array" ref="AO8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1" s="84" cm="1">
        <f t="array" ref="AP8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821" s="84" cm="1">
        <f t="array" ref="AQ8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1" s="84" cm="1">
        <f t="array" ref="AR8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1" s="84" cm="1">
        <f t="array" ref="AS8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1" s="84" cm="1">
        <f t="array" ref="AT8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1" s="84" cm="1">
        <f t="array" ref="AU8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21" s="84" cm="1">
        <f t="array" ref="AV8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1" s="84" cm="1">
        <f t="array" ref="AW8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21" s="84" cm="1">
        <f t="array" ref="AX8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1" s="84" cm="1">
        <f t="array" ref="AY8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1" s="84" cm="1">
        <f t="array" ref="AZ8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1" s="84" cm="1">
        <f t="array" ref="BA8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1" s="84" cm="1">
        <f t="array" ref="BB8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1" s="84">
        <f>IF(SUM(Table3[[#This Row],[Column2]:[Column18]])&gt;Table3[[#This Row],[Column19]],Table3[[#This Row],[Column19]],SUM(Table3[[#This Row],[Column2]:[Column18]]))</f>
        <v>50000</v>
      </c>
      <c r="BD821" s="2">
        <f>Table3[[#This Row],[Total Spend]]/SUM(Table3[[#This Row],[Column2]:[Column18]])</f>
        <v>0.75075075075075071</v>
      </c>
    </row>
    <row r="822" spans="1:56">
      <c r="A822" s="84" t="s">
        <v>896</v>
      </c>
      <c r="B822" s="84"/>
      <c r="C822" s="84"/>
      <c r="D822" s="85">
        <v>45566</v>
      </c>
      <c r="E822" s="85" t="s">
        <v>58</v>
      </c>
      <c r="F822" s="84">
        <f>INDEX(Definitions!$G$13:$G$17,MATCH(Table3[[#This Row],[Propensity to buy/ buyer readiness]],Definitions!$A$13:$A$17,0))</f>
        <v>150000</v>
      </c>
      <c r="G822" s="86">
        <v>4</v>
      </c>
      <c r="H822" s="86">
        <v>3</v>
      </c>
      <c r="I822" s="86">
        <v>3</v>
      </c>
      <c r="J822" s="86">
        <v>3</v>
      </c>
      <c r="K822" s="86">
        <v>4</v>
      </c>
      <c r="L822" s="86">
        <f>SUM(Table3[[#This Row],[Strategic priority segment]:[Propensity to buy/ buyer readiness]])</f>
        <v>17</v>
      </c>
      <c r="M822" s="86" t="s">
        <v>191</v>
      </c>
      <c r="N822" s="84" t="s">
        <v>76</v>
      </c>
      <c r="O822" s="84" t="s">
        <v>135</v>
      </c>
      <c r="P822" s="84"/>
      <c r="Q822" s="84"/>
      <c r="R822" s="84"/>
      <c r="S822" s="87"/>
      <c r="T822" s="87"/>
      <c r="U822" s="84">
        <v>0</v>
      </c>
      <c r="V822" s="84">
        <v>0</v>
      </c>
      <c r="W822" s="84">
        <v>0</v>
      </c>
      <c r="X822" s="84">
        <v>0</v>
      </c>
      <c r="Y822" s="84">
        <v>0</v>
      </c>
      <c r="Z822" s="84">
        <v>0</v>
      </c>
      <c r="AA822" s="84">
        <v>0</v>
      </c>
      <c r="AB822" s="84">
        <v>0</v>
      </c>
      <c r="AC822" s="84">
        <v>0</v>
      </c>
      <c r="AD822" s="84">
        <v>0</v>
      </c>
      <c r="AE822" s="84">
        <v>0</v>
      </c>
      <c r="AF822" s="84">
        <v>0</v>
      </c>
      <c r="AG822" s="84">
        <v>0</v>
      </c>
      <c r="AH822" s="84">
        <v>1</v>
      </c>
      <c r="AI822" s="84">
        <v>1</v>
      </c>
      <c r="AJ822" s="84">
        <v>1</v>
      </c>
      <c r="AK822" s="84">
        <v>1</v>
      </c>
      <c r="AL822" s="84" cm="1">
        <f t="array" ref="AL8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22" s="84" cm="1">
        <f t="array" ref="AM8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2" s="84" cm="1">
        <f t="array" ref="AN8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2" s="84" cm="1">
        <f t="array" ref="AO8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2" s="84" cm="1">
        <f t="array" ref="AP8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2" s="84" cm="1">
        <f t="array" ref="AQ8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2" s="84" cm="1">
        <f t="array" ref="AR8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2" s="84" cm="1">
        <f t="array" ref="AS8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2" s="84" cm="1">
        <f t="array" ref="AT8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2" s="84" cm="1">
        <f t="array" ref="AU8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22" s="84" cm="1">
        <f t="array" ref="AV8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2" s="84" cm="1">
        <f t="array" ref="AW8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22" s="84" cm="1">
        <f t="array" ref="AX8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2" s="84" cm="1">
        <f t="array" ref="AY8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22" s="84" cm="1">
        <f t="array" ref="AZ8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22" s="84" cm="1">
        <f t="array" ref="BA8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22" s="84" cm="1">
        <f t="array" ref="BB8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22" s="84">
        <f>IF(SUM(Table3[[#This Row],[Column2]:[Column18]])&gt;Table3[[#This Row],[Column19]],Table3[[#This Row],[Column19]],SUM(Table3[[#This Row],[Column2]:[Column18]]))</f>
        <v>64350</v>
      </c>
      <c r="BD822" s="2">
        <f>Table3[[#This Row],[Total Spend]]/SUM(Table3[[#This Row],[Column2]:[Column18]])</f>
        <v>1</v>
      </c>
    </row>
    <row r="823" spans="1:56">
      <c r="A823" s="84" t="s">
        <v>897</v>
      </c>
      <c r="B823" s="84" t="s">
        <v>57</v>
      </c>
      <c r="C823" s="84"/>
      <c r="D823" s="85">
        <v>45566</v>
      </c>
      <c r="E823" s="85" t="s">
        <v>58</v>
      </c>
      <c r="F823" s="84">
        <f>INDEX(Definitions!$G$13:$G$17,MATCH(Table3[[#This Row],[Propensity to buy/ buyer readiness]],Definitions!$A$13:$A$17,0))</f>
        <v>150000</v>
      </c>
      <c r="G823" s="86">
        <v>3</v>
      </c>
      <c r="H823" s="86">
        <v>3</v>
      </c>
      <c r="I823" s="86">
        <v>4</v>
      </c>
      <c r="J823" s="86">
        <v>3</v>
      </c>
      <c r="K823" s="86">
        <v>4</v>
      </c>
      <c r="L823" s="86">
        <f>SUM(Table3[[#This Row],[Strategic priority segment]:[Propensity to buy/ buyer readiness]])</f>
        <v>17</v>
      </c>
      <c r="M823" s="86" t="s">
        <v>152</v>
      </c>
      <c r="N823" s="84" t="s">
        <v>122</v>
      </c>
      <c r="O823" s="84" t="s">
        <v>135</v>
      </c>
      <c r="P823" s="87"/>
      <c r="Q823" s="87"/>
      <c r="R823" s="84"/>
      <c r="S823" s="84"/>
      <c r="T823" s="84"/>
      <c r="U823" s="84">
        <v>1</v>
      </c>
      <c r="V823" s="84">
        <v>0</v>
      </c>
      <c r="W823" s="84">
        <v>0</v>
      </c>
      <c r="X823" s="84">
        <v>0</v>
      </c>
      <c r="Y823" s="84">
        <v>0</v>
      </c>
      <c r="Z823" s="84">
        <v>1</v>
      </c>
      <c r="AA823" s="84">
        <v>0</v>
      </c>
      <c r="AB823" s="84">
        <v>1</v>
      </c>
      <c r="AC823" s="84">
        <v>0</v>
      </c>
      <c r="AD823" s="84">
        <v>1</v>
      </c>
      <c r="AE823" s="84">
        <v>0</v>
      </c>
      <c r="AF823" s="84">
        <v>1</v>
      </c>
      <c r="AG823" s="84">
        <v>0</v>
      </c>
      <c r="AH823" s="84">
        <v>1</v>
      </c>
      <c r="AI823" s="84">
        <v>1</v>
      </c>
      <c r="AJ823" s="84">
        <v>1</v>
      </c>
      <c r="AK823" s="84">
        <v>1</v>
      </c>
      <c r="AL823" s="84" cm="1">
        <f t="array" ref="AL8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3" s="84" cm="1">
        <f t="array" ref="AM8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3" s="84" cm="1">
        <f t="array" ref="AN8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3" s="84" cm="1">
        <f t="array" ref="AO8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3" s="84" cm="1">
        <f t="array" ref="AP8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3" s="84" cm="1">
        <f t="array" ref="AQ8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23" s="84" cm="1">
        <f t="array" ref="AR8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3" s="84" cm="1">
        <f t="array" ref="AS8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23" s="84" cm="1">
        <f t="array" ref="AT8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3" s="84" cm="1">
        <f t="array" ref="AU8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23" s="84" cm="1">
        <f t="array" ref="AV8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3" s="84" cm="1">
        <f t="array" ref="AW8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23" s="84" cm="1">
        <f t="array" ref="AX8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3" s="84" cm="1">
        <f t="array" ref="AY8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23" s="84" cm="1">
        <f t="array" ref="AZ8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23" s="84" cm="1">
        <f t="array" ref="BA8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23" s="84" cm="1">
        <f t="array" ref="BB8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23" s="84">
        <f>IF(SUM(Table3[[#This Row],[Column2]:[Column18]])&gt;Table3[[#This Row],[Column19]],Table3[[#This Row],[Column19]],SUM(Table3[[#This Row],[Column2]:[Column18]]))</f>
        <v>150000</v>
      </c>
      <c r="BD823" s="2">
        <f>Table3[[#This Row],[Total Spend]]/SUM(Table3[[#This Row],[Column2]:[Column18]])</f>
        <v>0.6472491909385113</v>
      </c>
    </row>
    <row r="824" spans="1:56">
      <c r="A824" s="84" t="s">
        <v>898</v>
      </c>
      <c r="B824" s="84" t="s">
        <v>57</v>
      </c>
      <c r="C824" s="84"/>
      <c r="D824" s="85">
        <v>45566</v>
      </c>
      <c r="E824" s="85" t="s">
        <v>58</v>
      </c>
      <c r="F824" s="84">
        <f>INDEX(Definitions!$G$13:$G$17,MATCH(Table3[[#This Row],[Propensity to buy/ buyer readiness]],Definitions!$A$13:$A$17,0))</f>
        <v>50000</v>
      </c>
      <c r="G824" s="86">
        <v>3</v>
      </c>
      <c r="H824" s="86">
        <v>3</v>
      </c>
      <c r="I824" s="86">
        <v>4</v>
      </c>
      <c r="J824" s="86">
        <v>4</v>
      </c>
      <c r="K824" s="86">
        <v>3</v>
      </c>
      <c r="L824" s="86">
        <f>SUM(Table3[[#This Row],[Strategic priority segment]:[Propensity to buy/ buyer readiness]])</f>
        <v>17</v>
      </c>
      <c r="M824" s="86" t="s">
        <v>59</v>
      </c>
      <c r="N824" s="84" t="s">
        <v>265</v>
      </c>
      <c r="O824" s="84" t="s">
        <v>264</v>
      </c>
      <c r="P824" s="87"/>
      <c r="Q824" s="87"/>
      <c r="R824" s="84"/>
      <c r="S824" s="84"/>
      <c r="T824" s="87"/>
      <c r="U824" s="84">
        <v>1</v>
      </c>
      <c r="V824" s="84">
        <v>1</v>
      </c>
      <c r="W824" s="84">
        <v>1</v>
      </c>
      <c r="X824" s="84">
        <v>1</v>
      </c>
      <c r="Y824" s="84">
        <v>0</v>
      </c>
      <c r="Z824" s="84">
        <v>0</v>
      </c>
      <c r="AA824" s="84">
        <v>0</v>
      </c>
      <c r="AB824" s="84">
        <v>0</v>
      </c>
      <c r="AC824" s="84">
        <v>0</v>
      </c>
      <c r="AD824" s="84">
        <v>0</v>
      </c>
      <c r="AE824" s="84">
        <v>0</v>
      </c>
      <c r="AF824" s="84">
        <v>0</v>
      </c>
      <c r="AG824" s="84">
        <v>0</v>
      </c>
      <c r="AH824" s="84">
        <v>0</v>
      </c>
      <c r="AI824" s="84">
        <v>1</v>
      </c>
      <c r="AJ824" s="84">
        <v>0</v>
      </c>
      <c r="AK824" s="84">
        <v>0</v>
      </c>
      <c r="AL824" s="84" cm="1">
        <f t="array" ref="AL8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4" s="84" cm="1">
        <f t="array" ref="AM8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24" s="84" cm="1">
        <f t="array" ref="AN8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24" s="84" cm="1">
        <f t="array" ref="AO8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24" s="84" cm="1">
        <f t="array" ref="AP8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4" s="84" cm="1">
        <f t="array" ref="AQ8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4" s="84" cm="1">
        <f t="array" ref="AR8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4" s="84" cm="1">
        <f t="array" ref="AS8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4" s="84" cm="1">
        <f t="array" ref="AT8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4" s="84" cm="1">
        <f t="array" ref="AU8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24" s="84" cm="1">
        <f t="array" ref="AV8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4" s="84" cm="1">
        <f t="array" ref="AW8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24" s="84" cm="1">
        <f t="array" ref="AX8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4" s="84" cm="1">
        <f t="array" ref="AY8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4" s="84" cm="1">
        <f t="array" ref="AZ8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24" s="84" cm="1">
        <f t="array" ref="BA8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4" s="84" cm="1">
        <f t="array" ref="BB8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4" s="84">
        <f>IF(SUM(Table3[[#This Row],[Column2]:[Column18]])&gt;Table3[[#This Row],[Column19]],Table3[[#This Row],[Column19]],SUM(Table3[[#This Row],[Column2]:[Column18]]))</f>
        <v>50000</v>
      </c>
      <c r="BD824" s="2">
        <f>Table3[[#This Row],[Total Spend]]/SUM(Table3[[#This Row],[Column2]:[Column18]])</f>
        <v>0.26021337496747332</v>
      </c>
    </row>
    <row r="825" spans="1:56">
      <c r="A825" s="84" t="s">
        <v>899</v>
      </c>
      <c r="B825" s="84" t="s">
        <v>57</v>
      </c>
      <c r="C825" s="84"/>
      <c r="D825" s="85">
        <v>45566</v>
      </c>
      <c r="E825" s="85" t="s">
        <v>58</v>
      </c>
      <c r="F825" s="84">
        <f>INDEX(Definitions!$G$13:$G$17,MATCH(Table3[[#This Row],[Propensity to buy/ buyer readiness]],Definitions!$A$13:$A$17,0))</f>
        <v>150000</v>
      </c>
      <c r="G825" s="86">
        <v>3</v>
      </c>
      <c r="H825" s="86">
        <v>3</v>
      </c>
      <c r="I825" s="86">
        <v>4</v>
      </c>
      <c r="J825" s="86">
        <v>3</v>
      </c>
      <c r="K825" s="86">
        <v>4</v>
      </c>
      <c r="L825" s="86">
        <f>SUM(Table3[[#This Row],[Strategic priority segment]:[Propensity to buy/ buyer readiness]])</f>
        <v>17</v>
      </c>
      <c r="M825" s="86" t="s">
        <v>152</v>
      </c>
      <c r="N825" s="84" t="s">
        <v>122</v>
      </c>
      <c r="O825" s="84"/>
      <c r="P825" s="87"/>
      <c r="Q825" s="87"/>
      <c r="R825" s="84"/>
      <c r="S825" s="84"/>
      <c r="T825" s="87"/>
      <c r="U825" s="84">
        <v>1</v>
      </c>
      <c r="V825" s="84">
        <v>0</v>
      </c>
      <c r="W825" s="84">
        <v>0</v>
      </c>
      <c r="X825" s="84">
        <v>0</v>
      </c>
      <c r="Y825" s="84">
        <v>0</v>
      </c>
      <c r="Z825" s="84">
        <v>1</v>
      </c>
      <c r="AA825" s="84">
        <v>0</v>
      </c>
      <c r="AB825" s="84">
        <v>1</v>
      </c>
      <c r="AC825" s="84">
        <v>0</v>
      </c>
      <c r="AD825" s="84">
        <v>1</v>
      </c>
      <c r="AE825" s="84">
        <v>0</v>
      </c>
      <c r="AF825" s="84">
        <v>1</v>
      </c>
      <c r="AG825" s="84">
        <v>0</v>
      </c>
      <c r="AH825" s="84">
        <v>0</v>
      </c>
      <c r="AI825" s="84">
        <v>0</v>
      </c>
      <c r="AJ825" s="84">
        <v>0</v>
      </c>
      <c r="AK825" s="84">
        <v>0</v>
      </c>
      <c r="AL825" s="84" cm="1">
        <f t="array" ref="AL8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5" s="84" cm="1">
        <f t="array" ref="AM8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5" s="84" cm="1">
        <f t="array" ref="AN8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5" s="84" cm="1">
        <f t="array" ref="AO8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5" s="84" cm="1">
        <f t="array" ref="AP8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5" s="84" cm="1">
        <f t="array" ref="AQ8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25" s="84" cm="1">
        <f t="array" ref="AR8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5" s="84" cm="1">
        <f t="array" ref="AS8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25" s="84" cm="1">
        <f t="array" ref="AT8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5" s="84" cm="1">
        <f t="array" ref="AU8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25" s="84" cm="1">
        <f t="array" ref="AV8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5" s="84" cm="1">
        <f t="array" ref="AW8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25" s="84" cm="1">
        <f t="array" ref="AX8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5" s="84" cm="1">
        <f t="array" ref="AY8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5" s="84" cm="1">
        <f t="array" ref="AZ8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5" s="84" cm="1">
        <f t="array" ref="BA8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5" s="84" cm="1">
        <f t="array" ref="BB8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5" s="84">
        <f>IF(SUM(Table3[[#This Row],[Column2]:[Column18]])&gt;Table3[[#This Row],[Column19]],Table3[[#This Row],[Column19]],SUM(Table3[[#This Row],[Column2]:[Column18]]))</f>
        <v>150000</v>
      </c>
      <c r="BD825" s="2">
        <f>Table3[[#This Row],[Total Spend]]/SUM(Table3[[#This Row],[Column2]:[Column18]])</f>
        <v>0.89605734767025091</v>
      </c>
    </row>
    <row r="826" spans="1:56">
      <c r="A826" s="84" t="s">
        <v>900</v>
      </c>
      <c r="B826" s="84" t="s">
        <v>57</v>
      </c>
      <c r="C826" s="84" t="s">
        <v>57</v>
      </c>
      <c r="D826" s="85">
        <v>45566</v>
      </c>
      <c r="E826" s="85" t="s">
        <v>58</v>
      </c>
      <c r="F826" s="84">
        <f>INDEX(Definitions!$G$13:$G$17,MATCH(Table3[[#This Row],[Propensity to buy/ buyer readiness]],Definitions!$A$13:$A$17,0))</f>
        <v>150000</v>
      </c>
      <c r="G826" s="86">
        <v>3</v>
      </c>
      <c r="H826" s="86">
        <v>3</v>
      </c>
      <c r="I826" s="86">
        <v>4</v>
      </c>
      <c r="J826" s="86">
        <v>3</v>
      </c>
      <c r="K826" s="86">
        <v>4</v>
      </c>
      <c r="L826" s="86">
        <f>SUM(Table3[[#This Row],[Strategic priority segment]:[Propensity to buy/ buyer readiness]])</f>
        <v>17</v>
      </c>
      <c r="M826" s="86" t="s">
        <v>152</v>
      </c>
      <c r="N826" s="84" t="s">
        <v>122</v>
      </c>
      <c r="O826" s="84"/>
      <c r="P826" s="87"/>
      <c r="Q826" s="87"/>
      <c r="R826" s="84"/>
      <c r="S826" s="84"/>
      <c r="T826" s="87"/>
      <c r="U826" s="84">
        <v>1</v>
      </c>
      <c r="V826" s="84">
        <v>0</v>
      </c>
      <c r="W826" s="84">
        <v>0</v>
      </c>
      <c r="X826" s="84">
        <v>0</v>
      </c>
      <c r="Y826" s="84">
        <v>0</v>
      </c>
      <c r="Z826" s="84">
        <v>1</v>
      </c>
      <c r="AA826" s="84">
        <v>0</v>
      </c>
      <c r="AB826" s="84">
        <v>1</v>
      </c>
      <c r="AC826" s="84">
        <v>0</v>
      </c>
      <c r="AD826" s="84">
        <v>1</v>
      </c>
      <c r="AE826" s="84">
        <v>0</v>
      </c>
      <c r="AF826" s="84">
        <v>1</v>
      </c>
      <c r="AG826" s="84">
        <v>0</v>
      </c>
      <c r="AH826" s="84">
        <v>0</v>
      </c>
      <c r="AI826" s="84">
        <v>0</v>
      </c>
      <c r="AJ826" s="84">
        <v>0</v>
      </c>
      <c r="AK826" s="84">
        <v>0</v>
      </c>
      <c r="AL826" s="84" cm="1">
        <f t="array" ref="AL8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6" s="84" cm="1">
        <f t="array" ref="AM8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6" s="84" cm="1">
        <f t="array" ref="AN8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6" s="84" cm="1">
        <f t="array" ref="AO8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6" s="84" cm="1">
        <f t="array" ref="AP8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6" s="84" cm="1">
        <f t="array" ref="AQ8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26" s="84" cm="1">
        <f t="array" ref="AR8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6" s="84" cm="1">
        <f t="array" ref="AS8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26" s="84" cm="1">
        <f t="array" ref="AT8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6" s="84" cm="1">
        <f t="array" ref="AU8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26" s="84" cm="1">
        <f t="array" ref="AV8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6" s="84" cm="1">
        <f t="array" ref="AW8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26" s="84" cm="1">
        <f t="array" ref="AX8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6" s="84" cm="1">
        <f t="array" ref="AY8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6" s="84" cm="1">
        <f t="array" ref="AZ8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6" s="84" cm="1">
        <f t="array" ref="BA8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6" s="84" cm="1">
        <f t="array" ref="BB8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6" s="84">
        <f>IF(SUM(Table3[[#This Row],[Column2]:[Column18]])&gt;Table3[[#This Row],[Column19]],Table3[[#This Row],[Column19]],SUM(Table3[[#This Row],[Column2]:[Column18]]))</f>
        <v>150000</v>
      </c>
      <c r="BD826" s="2">
        <f>Table3[[#This Row],[Total Spend]]/SUM(Table3[[#This Row],[Column2]:[Column18]])</f>
        <v>0.89605734767025091</v>
      </c>
    </row>
    <row r="827" spans="1:56">
      <c r="A827" s="84" t="s">
        <v>901</v>
      </c>
      <c r="B827" s="84" t="s">
        <v>57</v>
      </c>
      <c r="C827" s="84"/>
      <c r="D827" s="85">
        <v>45566</v>
      </c>
      <c r="E827" s="85" t="s">
        <v>58</v>
      </c>
      <c r="F827" s="84">
        <f>INDEX(Definitions!$G$13:$G$17,MATCH(Table3[[#This Row],[Propensity to buy/ buyer readiness]],Definitions!$A$13:$A$17,0))</f>
        <v>150000</v>
      </c>
      <c r="G827" s="86">
        <v>3</v>
      </c>
      <c r="H827" s="86">
        <v>3</v>
      </c>
      <c r="I827" s="86">
        <v>4</v>
      </c>
      <c r="J827" s="86">
        <v>3</v>
      </c>
      <c r="K827" s="86">
        <v>4</v>
      </c>
      <c r="L827" s="86">
        <f>SUM(Table3[[#This Row],[Strategic priority segment]:[Propensity to buy/ buyer readiness]])</f>
        <v>17</v>
      </c>
      <c r="M827" s="86" t="s">
        <v>152</v>
      </c>
      <c r="N827" s="84" t="s">
        <v>122</v>
      </c>
      <c r="O827" s="84"/>
      <c r="P827" s="87"/>
      <c r="Q827" s="87"/>
      <c r="R827" s="84"/>
      <c r="S827" s="84"/>
      <c r="T827" s="84"/>
      <c r="U827" s="84">
        <v>1</v>
      </c>
      <c r="V827" s="84">
        <v>0</v>
      </c>
      <c r="W827" s="84">
        <v>0</v>
      </c>
      <c r="X827" s="84">
        <v>0</v>
      </c>
      <c r="Y827" s="84">
        <v>0</v>
      </c>
      <c r="Z827" s="84">
        <v>1</v>
      </c>
      <c r="AA827" s="84">
        <v>0</v>
      </c>
      <c r="AB827" s="84">
        <v>1</v>
      </c>
      <c r="AC827" s="84">
        <v>0</v>
      </c>
      <c r="AD827" s="84">
        <v>1</v>
      </c>
      <c r="AE827" s="84">
        <v>0</v>
      </c>
      <c r="AF827" s="84">
        <v>1</v>
      </c>
      <c r="AG827" s="84">
        <v>0</v>
      </c>
      <c r="AH827" s="84">
        <v>0</v>
      </c>
      <c r="AI827" s="84">
        <v>0</v>
      </c>
      <c r="AJ827" s="84">
        <v>0</v>
      </c>
      <c r="AK827" s="84">
        <v>0</v>
      </c>
      <c r="AL827" s="84" cm="1">
        <f t="array" ref="AL8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27" s="84" cm="1">
        <f t="array" ref="AM8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7" s="84" cm="1">
        <f t="array" ref="AN8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7" s="84" cm="1">
        <f t="array" ref="AO8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7" s="84" cm="1">
        <f t="array" ref="AP8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7" s="84" cm="1">
        <f t="array" ref="AQ8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27" s="84" cm="1">
        <f t="array" ref="AR8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7" s="84" cm="1">
        <f t="array" ref="AS8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27" s="84" cm="1">
        <f t="array" ref="AT8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7" s="84" cm="1">
        <f t="array" ref="AU8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27" s="84" cm="1">
        <f t="array" ref="AV8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7" s="84" cm="1">
        <f t="array" ref="AW8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27" s="84" cm="1">
        <f t="array" ref="AX8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7" s="84" cm="1">
        <f t="array" ref="AY8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7" s="84" cm="1">
        <f t="array" ref="AZ8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7" s="84" cm="1">
        <f t="array" ref="BA8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7" s="84" cm="1">
        <f t="array" ref="BB8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7" s="84">
        <f>IF(SUM(Table3[[#This Row],[Column2]:[Column18]])&gt;Table3[[#This Row],[Column19]],Table3[[#This Row],[Column19]],SUM(Table3[[#This Row],[Column2]:[Column18]]))</f>
        <v>150000</v>
      </c>
      <c r="BD827" s="2">
        <f>Table3[[#This Row],[Total Spend]]/SUM(Table3[[#This Row],[Column2]:[Column18]])</f>
        <v>0.89605734767025091</v>
      </c>
    </row>
    <row r="828" spans="1:56">
      <c r="A828" s="88" t="s">
        <v>902</v>
      </c>
      <c r="B828" s="88"/>
      <c r="C828" s="88"/>
      <c r="D828" s="85">
        <v>45566</v>
      </c>
      <c r="E828" s="85" t="s">
        <v>92</v>
      </c>
      <c r="F828" s="84">
        <f>INDEX(Definitions!$G$13:$G$17,MATCH(Table3[[#This Row],[Propensity to buy/ buyer readiness]],Definitions!$A$13:$A$17,0))</f>
        <v>50000</v>
      </c>
      <c r="G828" s="86">
        <v>5</v>
      </c>
      <c r="H828" s="86">
        <v>4</v>
      </c>
      <c r="I828" s="86">
        <v>2</v>
      </c>
      <c r="J828" s="86">
        <v>3</v>
      </c>
      <c r="K828" s="86">
        <v>3</v>
      </c>
      <c r="L828" s="86">
        <f>SUM(Table3[[#This Row],[Strategic priority segment]:[Propensity to buy/ buyer readiness]])</f>
        <v>17</v>
      </c>
      <c r="M828" s="86" t="s">
        <v>66</v>
      </c>
      <c r="N828" s="84" t="s">
        <v>62</v>
      </c>
      <c r="O828" s="84"/>
      <c r="P828" s="87"/>
      <c r="Q828" s="87"/>
      <c r="R828" s="84"/>
      <c r="S828" s="87"/>
      <c r="T828" s="84"/>
      <c r="U828" s="84">
        <v>1</v>
      </c>
      <c r="V828" s="84">
        <v>0</v>
      </c>
      <c r="W828" s="84">
        <v>0</v>
      </c>
      <c r="X828" s="84">
        <v>0</v>
      </c>
      <c r="Y828" s="84">
        <v>0</v>
      </c>
      <c r="Z828" s="84">
        <v>0</v>
      </c>
      <c r="AA828" s="84">
        <v>0</v>
      </c>
      <c r="AB828" s="84">
        <v>0</v>
      </c>
      <c r="AC828" s="84">
        <v>0</v>
      </c>
      <c r="AD828" s="84">
        <v>1</v>
      </c>
      <c r="AE828" s="84">
        <v>1</v>
      </c>
      <c r="AF828" s="84">
        <v>1</v>
      </c>
      <c r="AG828" s="84">
        <v>1</v>
      </c>
      <c r="AH828" s="84">
        <v>0</v>
      </c>
      <c r="AI828" s="84">
        <v>0</v>
      </c>
      <c r="AJ828" s="84">
        <v>0</v>
      </c>
      <c r="AK828" s="84">
        <v>0</v>
      </c>
      <c r="AL828" s="84" cm="1">
        <f t="array" ref="AL8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28" s="84" cm="1">
        <f t="array" ref="AM8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8" s="84" cm="1">
        <f t="array" ref="AN8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8" s="84" cm="1">
        <f t="array" ref="AO8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8" s="84" cm="1">
        <f t="array" ref="AP8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8" s="84" cm="1">
        <f t="array" ref="AQ8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8" s="84" cm="1">
        <f t="array" ref="AR8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8" s="84" cm="1">
        <f t="array" ref="AS8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8" s="84" cm="1">
        <f t="array" ref="AT8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8" s="84" cm="1">
        <f t="array" ref="AU8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28" s="84" cm="1">
        <f t="array" ref="AV8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28" s="84" cm="1">
        <f t="array" ref="AW8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28" s="84" cm="1">
        <f t="array" ref="AX8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28" s="84" cm="1">
        <f t="array" ref="AY8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28" s="84" cm="1">
        <f t="array" ref="AZ8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28" s="84" cm="1">
        <f t="array" ref="BA8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28" s="84" cm="1">
        <f t="array" ref="BB8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28" s="84">
        <f>IF(SUM(Table3[[#This Row],[Column2]:[Column18]])&gt;Table3[[#This Row],[Column19]],Table3[[#This Row],[Column19]],SUM(Table3[[#This Row],[Column2]:[Column18]]))</f>
        <v>50000</v>
      </c>
      <c r="BD828" s="2">
        <f>Table3[[#This Row],[Total Spend]]/SUM(Table3[[#This Row],[Column2]:[Column18]])</f>
        <v>0.53163211057947901</v>
      </c>
    </row>
    <row r="829" spans="1:56">
      <c r="A829" s="84" t="s">
        <v>903</v>
      </c>
      <c r="B829" s="84"/>
      <c r="C829" s="84"/>
      <c r="D829" s="85">
        <v>45566</v>
      </c>
      <c r="E829" s="85" t="s">
        <v>58</v>
      </c>
      <c r="F829" s="84">
        <f>INDEX(Definitions!$G$13:$G$17,MATCH(Table3[[#This Row],[Propensity to buy/ buyer readiness]],Definitions!$A$13:$A$17,0))</f>
        <v>150000</v>
      </c>
      <c r="G829" s="86">
        <v>4</v>
      </c>
      <c r="H829" s="86">
        <v>3</v>
      </c>
      <c r="I829" s="86">
        <v>3</v>
      </c>
      <c r="J829" s="86">
        <v>3</v>
      </c>
      <c r="K829" s="86">
        <v>4</v>
      </c>
      <c r="L829" s="86">
        <f>SUM(Table3[[#This Row],[Strategic priority segment]:[Propensity to buy/ buyer readiness]])</f>
        <v>17</v>
      </c>
      <c r="M829" s="86" t="s">
        <v>191</v>
      </c>
      <c r="N829" s="84" t="s">
        <v>76</v>
      </c>
      <c r="O829" s="84" t="s">
        <v>135</v>
      </c>
      <c r="P829" s="84"/>
      <c r="Q829" s="84"/>
      <c r="R829" s="84"/>
      <c r="S829" s="87"/>
      <c r="T829" s="87"/>
      <c r="U829" s="84">
        <v>0</v>
      </c>
      <c r="V829" s="84">
        <v>0</v>
      </c>
      <c r="W829" s="84">
        <v>0</v>
      </c>
      <c r="X829" s="84">
        <v>0</v>
      </c>
      <c r="Y829" s="84">
        <v>0</v>
      </c>
      <c r="Z829" s="84">
        <v>0</v>
      </c>
      <c r="AA829" s="84">
        <v>0</v>
      </c>
      <c r="AB829" s="84">
        <v>0</v>
      </c>
      <c r="AC829" s="84">
        <v>0</v>
      </c>
      <c r="AD829" s="84">
        <v>0</v>
      </c>
      <c r="AE829" s="84">
        <v>0</v>
      </c>
      <c r="AF829" s="84">
        <v>0</v>
      </c>
      <c r="AG829" s="84">
        <v>0</v>
      </c>
      <c r="AH829" s="84">
        <v>1</v>
      </c>
      <c r="AI829" s="84">
        <v>1</v>
      </c>
      <c r="AJ829" s="84">
        <v>1</v>
      </c>
      <c r="AK829" s="84">
        <v>1</v>
      </c>
      <c r="AL829" s="84" cm="1">
        <f t="array" ref="AL8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29" s="84" cm="1">
        <f t="array" ref="AM8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29" s="84" cm="1">
        <f t="array" ref="AN8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29" s="84" cm="1">
        <f t="array" ref="AO8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29" s="84" cm="1">
        <f t="array" ref="AP8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29" s="84" cm="1">
        <f t="array" ref="AQ8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29" s="84" cm="1">
        <f t="array" ref="AR8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29" s="84" cm="1">
        <f t="array" ref="AS8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29" s="84" cm="1">
        <f t="array" ref="AT8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29" s="84" cm="1">
        <f t="array" ref="AU8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29" s="84" cm="1">
        <f t="array" ref="AV8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29" s="84" cm="1">
        <f t="array" ref="AW8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29" s="84" cm="1">
        <f t="array" ref="AX8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29" s="84" cm="1">
        <f t="array" ref="AY8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29" s="84" cm="1">
        <f t="array" ref="AZ8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29" s="84" cm="1">
        <f t="array" ref="BA8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29" s="84" cm="1">
        <f t="array" ref="BB8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29" s="84">
        <f>IF(SUM(Table3[[#This Row],[Column2]:[Column18]])&gt;Table3[[#This Row],[Column19]],Table3[[#This Row],[Column19]],SUM(Table3[[#This Row],[Column2]:[Column18]]))</f>
        <v>64350</v>
      </c>
      <c r="BD829" s="2">
        <f>Table3[[#This Row],[Total Spend]]/SUM(Table3[[#This Row],[Column2]:[Column18]])</f>
        <v>1</v>
      </c>
    </row>
    <row r="830" spans="1:56">
      <c r="A830" s="84" t="s">
        <v>904</v>
      </c>
      <c r="B830" s="84"/>
      <c r="C830" s="84"/>
      <c r="D830" s="85">
        <v>45809</v>
      </c>
      <c r="E830" s="85" t="s">
        <v>92</v>
      </c>
      <c r="F830" s="84">
        <f>INDEX(Definitions!$G$13:$G$17,MATCH(Table3[[#This Row],[Propensity to buy/ buyer readiness]],Definitions!$A$13:$A$17,0))</f>
        <v>50000</v>
      </c>
      <c r="G830" s="86">
        <v>5</v>
      </c>
      <c r="H830" s="86">
        <v>4</v>
      </c>
      <c r="I830" s="86">
        <v>2</v>
      </c>
      <c r="J830" s="86">
        <v>3</v>
      </c>
      <c r="K830" s="86">
        <v>3</v>
      </c>
      <c r="L830" s="86">
        <f>SUM(Table3[[#This Row],[Strategic priority segment]:[Propensity to buy/ buyer readiness]])</f>
        <v>17</v>
      </c>
      <c r="M830" s="86" t="s">
        <v>66</v>
      </c>
      <c r="N830" s="84" t="s">
        <v>62</v>
      </c>
      <c r="O830" s="84"/>
      <c r="P830" s="87"/>
      <c r="Q830" s="87"/>
      <c r="R830" s="84"/>
      <c r="S830" s="87"/>
      <c r="T830" s="87"/>
      <c r="U830" s="84">
        <v>1</v>
      </c>
      <c r="V830" s="84">
        <v>0</v>
      </c>
      <c r="W830" s="84">
        <v>0</v>
      </c>
      <c r="X830" s="84">
        <v>0</v>
      </c>
      <c r="Y830" s="84">
        <v>0</v>
      </c>
      <c r="Z830" s="84">
        <v>0</v>
      </c>
      <c r="AA830" s="84">
        <v>0</v>
      </c>
      <c r="AB830" s="84">
        <v>0</v>
      </c>
      <c r="AC830" s="84">
        <v>0</v>
      </c>
      <c r="AD830" s="84">
        <v>1</v>
      </c>
      <c r="AE830" s="84">
        <v>1</v>
      </c>
      <c r="AF830" s="84">
        <v>1</v>
      </c>
      <c r="AG830" s="84">
        <v>1</v>
      </c>
      <c r="AH830" s="84">
        <v>0</v>
      </c>
      <c r="AI830" s="84">
        <v>0</v>
      </c>
      <c r="AJ830" s="84">
        <v>0</v>
      </c>
      <c r="AK830" s="84">
        <v>0</v>
      </c>
      <c r="AL830" s="84" cm="1">
        <f t="array" ref="AL8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0" s="84" cm="1">
        <f t="array" ref="AM8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0" s="84" cm="1">
        <f t="array" ref="AN8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0" s="84" cm="1">
        <f t="array" ref="AO8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0" s="84" cm="1">
        <f t="array" ref="AP8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0" s="84" cm="1">
        <f t="array" ref="AQ8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0" s="84" cm="1">
        <f t="array" ref="AR8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0" s="84" cm="1">
        <f t="array" ref="AS8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0" s="84" cm="1">
        <f t="array" ref="AT8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0" s="84" cm="1">
        <f t="array" ref="AU8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30" s="84" cm="1">
        <f t="array" ref="AV8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30" s="84" cm="1">
        <f t="array" ref="AW8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30" s="84" cm="1">
        <f t="array" ref="AX8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30" s="84" cm="1">
        <f t="array" ref="AY8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0" s="84" cm="1">
        <f t="array" ref="AZ8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0" s="84" cm="1">
        <f t="array" ref="BA8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0" s="84" cm="1">
        <f t="array" ref="BB8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0" s="84">
        <f>IF(SUM(Table3[[#This Row],[Column2]:[Column18]])&gt;Table3[[#This Row],[Column19]],Table3[[#This Row],[Column19]],SUM(Table3[[#This Row],[Column2]:[Column18]]))</f>
        <v>50000</v>
      </c>
      <c r="BD830" s="2">
        <f>Table3[[#This Row],[Total Spend]]/SUM(Table3[[#This Row],[Column2]:[Column18]])</f>
        <v>0.53163211057947901</v>
      </c>
    </row>
    <row r="831" spans="1:56">
      <c r="A831" s="84" t="s">
        <v>905</v>
      </c>
      <c r="B831" s="84" t="s">
        <v>57</v>
      </c>
      <c r="C831" s="84"/>
      <c r="D831" s="85">
        <v>45566</v>
      </c>
      <c r="E831" s="85" t="s">
        <v>58</v>
      </c>
      <c r="F831" s="84">
        <f>INDEX(Definitions!$G$13:$G$17,MATCH(Table3[[#This Row],[Propensity to buy/ buyer readiness]],Definitions!$A$13:$A$17,0))</f>
        <v>50000</v>
      </c>
      <c r="G831" s="86">
        <v>3</v>
      </c>
      <c r="H831" s="86">
        <v>3</v>
      </c>
      <c r="I831" s="86">
        <v>4</v>
      </c>
      <c r="J831" s="86">
        <v>4</v>
      </c>
      <c r="K831" s="86">
        <v>3</v>
      </c>
      <c r="L831" s="86">
        <f>SUM(Table3[[#This Row],[Strategic priority segment]:[Propensity to buy/ buyer readiness]])</f>
        <v>17</v>
      </c>
      <c r="M831" s="86" t="s">
        <v>59</v>
      </c>
      <c r="N831" s="84" t="s">
        <v>265</v>
      </c>
      <c r="O831" s="84"/>
      <c r="P831" s="87"/>
      <c r="Q831" s="87"/>
      <c r="R831" s="84"/>
      <c r="S831" s="84"/>
      <c r="T831" s="87"/>
      <c r="U831" s="84">
        <v>1</v>
      </c>
      <c r="V831" s="84">
        <v>1</v>
      </c>
      <c r="W831" s="84">
        <v>1</v>
      </c>
      <c r="X831" s="84">
        <v>1</v>
      </c>
      <c r="Y831" s="84">
        <v>0</v>
      </c>
      <c r="Z831" s="84">
        <v>0</v>
      </c>
      <c r="AA831" s="84">
        <v>0</v>
      </c>
      <c r="AB831" s="84">
        <v>0</v>
      </c>
      <c r="AC831" s="84">
        <v>0</v>
      </c>
      <c r="AD831" s="84">
        <v>0</v>
      </c>
      <c r="AE831" s="84">
        <v>0</v>
      </c>
      <c r="AF831" s="84">
        <v>0</v>
      </c>
      <c r="AG831" s="84">
        <v>0</v>
      </c>
      <c r="AH831" s="84">
        <v>0</v>
      </c>
      <c r="AI831" s="84">
        <v>1</v>
      </c>
      <c r="AJ831" s="84">
        <v>0</v>
      </c>
      <c r="AK831" s="84">
        <v>0</v>
      </c>
      <c r="AL831" s="84" cm="1">
        <f t="array" ref="AL8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31" s="84" cm="1">
        <f t="array" ref="AM8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31" s="84" cm="1">
        <f t="array" ref="AN8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31" s="84" cm="1">
        <f t="array" ref="AO8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31" s="84" cm="1">
        <f t="array" ref="AP8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1" s="84" cm="1">
        <f t="array" ref="AQ8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1" s="84" cm="1">
        <f t="array" ref="AR8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1" s="84" cm="1">
        <f t="array" ref="AS8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1" s="84" cm="1">
        <f t="array" ref="AT8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1" s="84" cm="1">
        <f t="array" ref="AU8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31" s="84" cm="1">
        <f t="array" ref="AV8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31" s="84" cm="1">
        <f t="array" ref="AW8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31" s="84" cm="1">
        <f t="array" ref="AX8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31" s="84" cm="1">
        <f t="array" ref="AY8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1" s="84" cm="1">
        <f t="array" ref="AZ8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31" s="84" cm="1">
        <f t="array" ref="BA8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1" s="84" cm="1">
        <f t="array" ref="BB8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1" s="84">
        <f>IF(SUM(Table3[[#This Row],[Column2]:[Column18]])&gt;Table3[[#This Row],[Column19]],Table3[[#This Row],[Column19]],SUM(Table3[[#This Row],[Column2]:[Column18]]))</f>
        <v>50000</v>
      </c>
      <c r="BD831" s="2">
        <f>Table3[[#This Row],[Total Spend]]/SUM(Table3[[#This Row],[Column2]:[Column18]])</f>
        <v>0.26021337496747332</v>
      </c>
    </row>
    <row r="832" spans="1:56">
      <c r="A832" s="88" t="s">
        <v>906</v>
      </c>
      <c r="B832" s="88"/>
      <c r="C832" s="88"/>
      <c r="D832" s="85">
        <v>45566</v>
      </c>
      <c r="E832" s="85" t="s">
        <v>92</v>
      </c>
      <c r="F832" s="84">
        <f>INDEX(Definitions!$G$13:$G$17,MATCH(Table3[[#This Row],[Propensity to buy/ buyer readiness]],Definitions!$A$13:$A$17,0))</f>
        <v>50000</v>
      </c>
      <c r="G832" s="86">
        <v>5</v>
      </c>
      <c r="H832" s="86">
        <v>4</v>
      </c>
      <c r="I832" s="86">
        <v>2</v>
      </c>
      <c r="J832" s="86">
        <v>3</v>
      </c>
      <c r="K832" s="86">
        <v>3</v>
      </c>
      <c r="L832" s="86">
        <f>SUM(Table3[[#This Row],[Strategic priority segment]:[Propensity to buy/ buyer readiness]])</f>
        <v>17</v>
      </c>
      <c r="M832" s="86" t="s">
        <v>66</v>
      </c>
      <c r="N832" s="84" t="s">
        <v>62</v>
      </c>
      <c r="O832" s="84"/>
      <c r="P832" s="87"/>
      <c r="Q832" s="87"/>
      <c r="R832" s="84"/>
      <c r="S832" s="87"/>
      <c r="T832" s="87"/>
      <c r="U832" s="84">
        <v>1</v>
      </c>
      <c r="V832" s="84">
        <v>0</v>
      </c>
      <c r="W832" s="84">
        <v>0</v>
      </c>
      <c r="X832" s="84">
        <v>0</v>
      </c>
      <c r="Y832" s="84">
        <v>0</v>
      </c>
      <c r="Z832" s="84">
        <v>0</v>
      </c>
      <c r="AA832" s="84">
        <v>0</v>
      </c>
      <c r="AB832" s="84">
        <v>0</v>
      </c>
      <c r="AC832" s="84">
        <v>0</v>
      </c>
      <c r="AD832" s="84">
        <v>1</v>
      </c>
      <c r="AE832" s="84">
        <v>1</v>
      </c>
      <c r="AF832" s="84">
        <v>1</v>
      </c>
      <c r="AG832" s="84">
        <v>1</v>
      </c>
      <c r="AH832" s="84">
        <v>0</v>
      </c>
      <c r="AI832" s="84">
        <v>0</v>
      </c>
      <c r="AJ832" s="84">
        <v>0</v>
      </c>
      <c r="AK832" s="84">
        <v>0</v>
      </c>
      <c r="AL832" s="84" cm="1">
        <f t="array" ref="AL8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2" s="84" cm="1">
        <f t="array" ref="AM8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2" s="84" cm="1">
        <f t="array" ref="AN8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2" s="84" cm="1">
        <f t="array" ref="AO8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2" s="84" cm="1">
        <f t="array" ref="AP8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2" s="84" cm="1">
        <f t="array" ref="AQ8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2" s="84" cm="1">
        <f t="array" ref="AR8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2" s="84" cm="1">
        <f t="array" ref="AS8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2" s="84" cm="1">
        <f t="array" ref="AT8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2" s="84" cm="1">
        <f t="array" ref="AU8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32" s="84" cm="1">
        <f t="array" ref="AV8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32" s="84" cm="1">
        <f t="array" ref="AW8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32" s="84" cm="1">
        <f t="array" ref="AX8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32" s="84" cm="1">
        <f t="array" ref="AY8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2" s="84" cm="1">
        <f t="array" ref="AZ8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2" s="84" cm="1">
        <f t="array" ref="BA8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2" s="84" cm="1">
        <f t="array" ref="BB8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2" s="84">
        <f>IF(SUM(Table3[[#This Row],[Column2]:[Column18]])&gt;Table3[[#This Row],[Column19]],Table3[[#This Row],[Column19]],SUM(Table3[[#This Row],[Column2]:[Column18]]))</f>
        <v>50000</v>
      </c>
      <c r="BD832" s="2">
        <f>Table3[[#This Row],[Total Spend]]/SUM(Table3[[#This Row],[Column2]:[Column18]])</f>
        <v>0.53163211057947901</v>
      </c>
    </row>
    <row r="833" spans="1:56">
      <c r="A833" s="84" t="s">
        <v>907</v>
      </c>
      <c r="B833" s="84"/>
      <c r="C833" s="84"/>
      <c r="D833" s="85">
        <v>45566</v>
      </c>
      <c r="E833" s="85" t="s">
        <v>92</v>
      </c>
      <c r="F833" s="84">
        <f>INDEX(Definitions!$G$13:$G$17,MATCH(Table3[[#This Row],[Propensity to buy/ buyer readiness]],Definitions!$A$13:$A$17,0))</f>
        <v>50000</v>
      </c>
      <c r="G833" s="86">
        <v>5</v>
      </c>
      <c r="H833" s="86">
        <v>4</v>
      </c>
      <c r="I833" s="86">
        <v>2</v>
      </c>
      <c r="J833" s="86">
        <v>3</v>
      </c>
      <c r="K833" s="86">
        <v>3</v>
      </c>
      <c r="L833" s="86">
        <f>SUM(Table3[[#This Row],[Strategic priority segment]:[Propensity to buy/ buyer readiness]])</f>
        <v>17</v>
      </c>
      <c r="M833" s="86" t="s">
        <v>66</v>
      </c>
      <c r="N833" s="84" t="s">
        <v>62</v>
      </c>
      <c r="O833" s="84"/>
      <c r="P833" s="84"/>
      <c r="Q833" s="84"/>
      <c r="R833" s="84"/>
      <c r="S833" s="84"/>
      <c r="T833" s="87"/>
      <c r="U833" s="84">
        <v>1</v>
      </c>
      <c r="V833" s="84">
        <v>0</v>
      </c>
      <c r="W833" s="84">
        <v>0</v>
      </c>
      <c r="X833" s="84">
        <v>0</v>
      </c>
      <c r="Y833" s="84">
        <v>0</v>
      </c>
      <c r="Z833" s="84">
        <v>0</v>
      </c>
      <c r="AA833" s="84">
        <v>0</v>
      </c>
      <c r="AB833" s="84">
        <v>0</v>
      </c>
      <c r="AC833" s="84">
        <v>0</v>
      </c>
      <c r="AD833" s="84">
        <v>1</v>
      </c>
      <c r="AE833" s="84">
        <v>1</v>
      </c>
      <c r="AF833" s="84">
        <v>1</v>
      </c>
      <c r="AG833" s="84">
        <v>1</v>
      </c>
      <c r="AH833" s="84">
        <v>0</v>
      </c>
      <c r="AI833" s="84">
        <v>0</v>
      </c>
      <c r="AJ833" s="84">
        <v>0</v>
      </c>
      <c r="AK833" s="84">
        <v>0</v>
      </c>
      <c r="AL833" s="84" cm="1">
        <f t="array" ref="AL8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3" s="84" cm="1">
        <f t="array" ref="AM8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3" s="84" cm="1">
        <f t="array" ref="AN8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3" s="84" cm="1">
        <f t="array" ref="AO8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3" s="84" cm="1">
        <f t="array" ref="AP8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3" s="84" cm="1">
        <f t="array" ref="AQ8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3" s="84" cm="1">
        <f t="array" ref="AR8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3" s="84" cm="1">
        <f t="array" ref="AS8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3" s="84" cm="1">
        <f t="array" ref="AT8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3" s="84" cm="1">
        <f t="array" ref="AU8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33" s="84" cm="1">
        <f t="array" ref="AV8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33" s="84" cm="1">
        <f t="array" ref="AW8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33" s="84" cm="1">
        <f t="array" ref="AX8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33" s="84" cm="1">
        <f t="array" ref="AY8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3" s="84" cm="1">
        <f t="array" ref="AZ8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3" s="84" cm="1">
        <f t="array" ref="BA8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3" s="84" cm="1">
        <f t="array" ref="BB8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3" s="84">
        <f>IF(SUM(Table3[[#This Row],[Column2]:[Column18]])&gt;Table3[[#This Row],[Column19]],Table3[[#This Row],[Column19]],SUM(Table3[[#This Row],[Column2]:[Column18]]))</f>
        <v>50000</v>
      </c>
      <c r="BD833" s="2">
        <f>Table3[[#This Row],[Total Spend]]/SUM(Table3[[#This Row],[Column2]:[Column18]])</f>
        <v>0.53163211057947901</v>
      </c>
    </row>
    <row r="834" spans="1:56">
      <c r="A834" s="84" t="s">
        <v>908</v>
      </c>
      <c r="B834" s="84" t="s">
        <v>57</v>
      </c>
      <c r="C834" s="84"/>
      <c r="D834" s="85">
        <v>45566</v>
      </c>
      <c r="E834" s="85" t="s">
        <v>58</v>
      </c>
      <c r="F834" s="84">
        <f>INDEX(Definitions!$G$13:$G$17,MATCH(Table3[[#This Row],[Propensity to buy/ buyer readiness]],Definitions!$A$13:$A$17,0))</f>
        <v>150000</v>
      </c>
      <c r="G834" s="86">
        <v>3</v>
      </c>
      <c r="H834" s="86">
        <v>3</v>
      </c>
      <c r="I834" s="86">
        <v>4</v>
      </c>
      <c r="J834" s="86">
        <v>3</v>
      </c>
      <c r="K834" s="86">
        <v>4</v>
      </c>
      <c r="L834" s="86">
        <f>SUM(Table3[[#This Row],[Strategic priority segment]:[Propensity to buy/ buyer readiness]])</f>
        <v>17</v>
      </c>
      <c r="M834" s="86" t="s">
        <v>152</v>
      </c>
      <c r="N834" s="84" t="s">
        <v>122</v>
      </c>
      <c r="O834" s="84" t="s">
        <v>135</v>
      </c>
      <c r="P834" s="87"/>
      <c r="Q834" s="87"/>
      <c r="R834" s="84"/>
      <c r="S834" s="84"/>
      <c r="T834" s="87"/>
      <c r="U834" s="84">
        <v>1</v>
      </c>
      <c r="V834" s="84">
        <v>0</v>
      </c>
      <c r="W834" s="84">
        <v>0</v>
      </c>
      <c r="X834" s="84">
        <v>0</v>
      </c>
      <c r="Y834" s="84">
        <v>0</v>
      </c>
      <c r="Z834" s="84">
        <v>1</v>
      </c>
      <c r="AA834" s="84">
        <v>0</v>
      </c>
      <c r="AB834" s="84">
        <v>1</v>
      </c>
      <c r="AC834" s="84">
        <v>0</v>
      </c>
      <c r="AD834" s="84">
        <v>1</v>
      </c>
      <c r="AE834" s="84">
        <v>0</v>
      </c>
      <c r="AF834" s="84">
        <v>1</v>
      </c>
      <c r="AG834" s="84">
        <v>0</v>
      </c>
      <c r="AH834" s="84">
        <v>1</v>
      </c>
      <c r="AI834" s="84">
        <v>1</v>
      </c>
      <c r="AJ834" s="84">
        <v>1</v>
      </c>
      <c r="AK834" s="84">
        <v>1</v>
      </c>
      <c r="AL834" s="84" cm="1">
        <f t="array" ref="AL8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34" s="84" cm="1">
        <f t="array" ref="AM8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4" s="84" cm="1">
        <f t="array" ref="AN8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4" s="84" cm="1">
        <f t="array" ref="AO8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4" s="84" cm="1">
        <f t="array" ref="AP8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4" s="84" cm="1">
        <f t="array" ref="AQ8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34" s="84" cm="1">
        <f t="array" ref="AR8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4" s="84" cm="1">
        <f t="array" ref="AS8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34" s="84" cm="1">
        <f t="array" ref="AT8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4" s="84" cm="1">
        <f t="array" ref="AU8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34" s="84" cm="1">
        <f t="array" ref="AV8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34" s="84" cm="1">
        <f t="array" ref="AW8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34" s="84" cm="1">
        <f t="array" ref="AX8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34" s="84" cm="1">
        <f t="array" ref="AY8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34" s="84" cm="1">
        <f t="array" ref="AZ8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34" s="84" cm="1">
        <f t="array" ref="BA8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34" s="84" cm="1">
        <f t="array" ref="BB8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34" s="84">
        <f>IF(SUM(Table3[[#This Row],[Column2]:[Column18]])&gt;Table3[[#This Row],[Column19]],Table3[[#This Row],[Column19]],SUM(Table3[[#This Row],[Column2]:[Column18]]))</f>
        <v>150000</v>
      </c>
      <c r="BD834" s="2">
        <f>Table3[[#This Row],[Total Spend]]/SUM(Table3[[#This Row],[Column2]:[Column18]])</f>
        <v>0.6472491909385113</v>
      </c>
    </row>
    <row r="835" spans="1:56">
      <c r="A835" s="88" t="s">
        <v>909</v>
      </c>
      <c r="B835" s="88"/>
      <c r="C835" s="88"/>
      <c r="D835" s="85">
        <v>45566</v>
      </c>
      <c r="E835" s="85" t="s">
        <v>92</v>
      </c>
      <c r="F835" s="84">
        <f>INDEX(Definitions!$G$13:$G$17,MATCH(Table3[[#This Row],[Propensity to buy/ buyer readiness]],Definitions!$A$13:$A$17,0))</f>
        <v>50000</v>
      </c>
      <c r="G835" s="86">
        <v>5</v>
      </c>
      <c r="H835" s="86">
        <v>4</v>
      </c>
      <c r="I835" s="86">
        <v>2</v>
      </c>
      <c r="J835" s="86">
        <v>3</v>
      </c>
      <c r="K835" s="86">
        <v>3</v>
      </c>
      <c r="L835" s="86">
        <f>SUM(Table3[[#This Row],[Strategic priority segment]:[Propensity to buy/ buyer readiness]])</f>
        <v>17</v>
      </c>
      <c r="M835" s="86" t="s">
        <v>66</v>
      </c>
      <c r="N835" s="84" t="s">
        <v>62</v>
      </c>
      <c r="O835" s="84"/>
      <c r="P835" s="87"/>
      <c r="Q835" s="87"/>
      <c r="R835" s="84"/>
      <c r="S835" s="87"/>
      <c r="T835" s="84"/>
      <c r="U835" s="84">
        <v>1</v>
      </c>
      <c r="V835" s="84">
        <v>0</v>
      </c>
      <c r="W835" s="84">
        <v>0</v>
      </c>
      <c r="X835" s="84">
        <v>0</v>
      </c>
      <c r="Y835" s="84">
        <v>0</v>
      </c>
      <c r="Z835" s="84">
        <v>0</v>
      </c>
      <c r="AA835" s="84">
        <v>0</v>
      </c>
      <c r="AB835" s="84">
        <v>0</v>
      </c>
      <c r="AC835" s="84">
        <v>0</v>
      </c>
      <c r="AD835" s="84">
        <v>1</v>
      </c>
      <c r="AE835" s="84">
        <v>1</v>
      </c>
      <c r="AF835" s="84">
        <v>1</v>
      </c>
      <c r="AG835" s="84">
        <v>1</v>
      </c>
      <c r="AH835" s="84">
        <v>0</v>
      </c>
      <c r="AI835" s="84">
        <v>0</v>
      </c>
      <c r="AJ835" s="84">
        <v>0</v>
      </c>
      <c r="AK835" s="84">
        <v>0</v>
      </c>
      <c r="AL835" s="84" cm="1">
        <f t="array" ref="AL8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5" s="84" cm="1">
        <f t="array" ref="AM8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5" s="84" cm="1">
        <f t="array" ref="AN8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5" s="84" cm="1">
        <f t="array" ref="AO8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5" s="84" cm="1">
        <f t="array" ref="AP8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5" s="84" cm="1">
        <f t="array" ref="AQ8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5" s="84" cm="1">
        <f t="array" ref="AR8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5" s="84" cm="1">
        <f t="array" ref="AS8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5" s="84" cm="1">
        <f t="array" ref="AT8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5" s="84" cm="1">
        <f t="array" ref="AU8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35" s="84" cm="1">
        <f t="array" ref="AV8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35" s="84" cm="1">
        <f t="array" ref="AW8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35" s="84" cm="1">
        <f t="array" ref="AX8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35" s="84" cm="1">
        <f t="array" ref="AY8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5" s="84" cm="1">
        <f t="array" ref="AZ8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5" s="84" cm="1">
        <f t="array" ref="BA8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5" s="84" cm="1">
        <f t="array" ref="BB8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5" s="84">
        <f>IF(SUM(Table3[[#This Row],[Column2]:[Column18]])&gt;Table3[[#This Row],[Column19]],Table3[[#This Row],[Column19]],SUM(Table3[[#This Row],[Column2]:[Column18]]))</f>
        <v>50000</v>
      </c>
      <c r="BD835" s="2">
        <f>Table3[[#This Row],[Total Spend]]/SUM(Table3[[#This Row],[Column2]:[Column18]])</f>
        <v>0.53163211057947901</v>
      </c>
    </row>
    <row r="836" spans="1:56">
      <c r="A836" s="88" t="s">
        <v>910</v>
      </c>
      <c r="B836" s="88"/>
      <c r="C836" s="88"/>
      <c r="D836" s="85">
        <v>45566</v>
      </c>
      <c r="E836" s="85" t="s">
        <v>92</v>
      </c>
      <c r="F836" s="84">
        <f>INDEX(Definitions!$G$13:$G$17,MATCH(Table3[[#This Row],[Propensity to buy/ buyer readiness]],Definitions!$A$13:$A$17,0))</f>
        <v>50000</v>
      </c>
      <c r="G836" s="86">
        <v>5</v>
      </c>
      <c r="H836" s="86">
        <v>4</v>
      </c>
      <c r="I836" s="86">
        <v>2</v>
      </c>
      <c r="J836" s="86">
        <v>3</v>
      </c>
      <c r="K836" s="86">
        <v>3</v>
      </c>
      <c r="L836" s="86">
        <f>SUM(Table3[[#This Row],[Strategic priority segment]:[Propensity to buy/ buyer readiness]])</f>
        <v>17</v>
      </c>
      <c r="M836" s="86" t="s">
        <v>66</v>
      </c>
      <c r="N836" s="84" t="s">
        <v>62</v>
      </c>
      <c r="O836" s="84"/>
      <c r="P836" s="87"/>
      <c r="Q836" s="87"/>
      <c r="R836" s="84"/>
      <c r="S836" s="87"/>
      <c r="T836" s="87"/>
      <c r="U836" s="84">
        <v>1</v>
      </c>
      <c r="V836" s="84">
        <v>0</v>
      </c>
      <c r="W836" s="84">
        <v>0</v>
      </c>
      <c r="X836" s="84">
        <v>0</v>
      </c>
      <c r="Y836" s="84">
        <v>0</v>
      </c>
      <c r="Z836" s="84">
        <v>0</v>
      </c>
      <c r="AA836" s="84">
        <v>0</v>
      </c>
      <c r="AB836" s="84">
        <v>0</v>
      </c>
      <c r="AC836" s="84">
        <v>0</v>
      </c>
      <c r="AD836" s="84">
        <v>1</v>
      </c>
      <c r="AE836" s="84">
        <v>1</v>
      </c>
      <c r="AF836" s="84">
        <v>1</v>
      </c>
      <c r="AG836" s="84">
        <v>1</v>
      </c>
      <c r="AH836" s="84">
        <v>0</v>
      </c>
      <c r="AI836" s="84">
        <v>0</v>
      </c>
      <c r="AJ836" s="84">
        <v>0</v>
      </c>
      <c r="AK836" s="84">
        <v>0</v>
      </c>
      <c r="AL836" s="84" cm="1">
        <f t="array" ref="AL8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6" s="84" cm="1">
        <f t="array" ref="AM8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6" s="84" cm="1">
        <f t="array" ref="AN8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6" s="84" cm="1">
        <f t="array" ref="AO8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6" s="84" cm="1">
        <f t="array" ref="AP8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6" s="84" cm="1">
        <f t="array" ref="AQ8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6" s="84" cm="1">
        <f t="array" ref="AR8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6" s="84" cm="1">
        <f t="array" ref="AS8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6" s="84" cm="1">
        <f t="array" ref="AT8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6" s="84" cm="1">
        <f t="array" ref="AU8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36" s="84" cm="1">
        <f t="array" ref="AV8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36" s="84" cm="1">
        <f t="array" ref="AW8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36" s="84" cm="1">
        <f t="array" ref="AX8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36" s="84" cm="1">
        <f t="array" ref="AY8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6" s="84" cm="1">
        <f t="array" ref="AZ8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6" s="84" cm="1">
        <f t="array" ref="BA8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6" s="84" cm="1">
        <f t="array" ref="BB8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6" s="84">
        <f>IF(SUM(Table3[[#This Row],[Column2]:[Column18]])&gt;Table3[[#This Row],[Column19]],Table3[[#This Row],[Column19]],SUM(Table3[[#This Row],[Column2]:[Column18]]))</f>
        <v>50000</v>
      </c>
      <c r="BD836" s="2">
        <f>Table3[[#This Row],[Total Spend]]/SUM(Table3[[#This Row],[Column2]:[Column18]])</f>
        <v>0.53163211057947901</v>
      </c>
    </row>
    <row r="837" spans="1:56">
      <c r="A837" s="84" t="s">
        <v>911</v>
      </c>
      <c r="B837" s="84"/>
      <c r="C837" s="84"/>
      <c r="D837" s="85">
        <v>45566</v>
      </c>
      <c r="E837" s="85" t="s">
        <v>92</v>
      </c>
      <c r="F837" s="84">
        <f>INDEX(Definitions!$G$13:$G$17,MATCH(Table3[[#This Row],[Propensity to buy/ buyer readiness]],Definitions!$A$13:$A$17,0))</f>
        <v>50000</v>
      </c>
      <c r="G837" s="86">
        <v>5</v>
      </c>
      <c r="H837" s="86">
        <v>4</v>
      </c>
      <c r="I837" s="86">
        <v>2</v>
      </c>
      <c r="J837" s="86">
        <v>3</v>
      </c>
      <c r="K837" s="86">
        <v>3</v>
      </c>
      <c r="L837" s="86">
        <f>SUM(Table3[[#This Row],[Strategic priority segment]:[Propensity to buy/ buyer readiness]])</f>
        <v>17</v>
      </c>
      <c r="M837" s="86" t="s">
        <v>66</v>
      </c>
      <c r="N837" s="84" t="s">
        <v>62</v>
      </c>
      <c r="O837" s="84"/>
      <c r="P837" s="87"/>
      <c r="Q837" s="87"/>
      <c r="R837" s="84"/>
      <c r="S837" s="87"/>
      <c r="T837" s="87"/>
      <c r="U837" s="84">
        <v>1</v>
      </c>
      <c r="V837" s="84">
        <v>0</v>
      </c>
      <c r="W837" s="84">
        <v>0</v>
      </c>
      <c r="X837" s="84">
        <v>0</v>
      </c>
      <c r="Y837" s="84">
        <v>0</v>
      </c>
      <c r="Z837" s="84">
        <v>0</v>
      </c>
      <c r="AA837" s="84">
        <v>0</v>
      </c>
      <c r="AB837" s="84">
        <v>0</v>
      </c>
      <c r="AC837" s="84">
        <v>0</v>
      </c>
      <c r="AD837" s="84">
        <v>1</v>
      </c>
      <c r="AE837" s="84">
        <v>1</v>
      </c>
      <c r="AF837" s="84">
        <v>1</v>
      </c>
      <c r="AG837" s="84">
        <v>1</v>
      </c>
      <c r="AH837" s="84">
        <v>0</v>
      </c>
      <c r="AI837" s="84">
        <v>0</v>
      </c>
      <c r="AJ837" s="84">
        <v>0</v>
      </c>
      <c r="AK837" s="84">
        <v>0</v>
      </c>
      <c r="AL837" s="84" cm="1">
        <f t="array" ref="AL8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7" s="84" cm="1">
        <f t="array" ref="AM8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7" s="84" cm="1">
        <f t="array" ref="AN8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7" s="84" cm="1">
        <f t="array" ref="AO8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7" s="84" cm="1">
        <f t="array" ref="AP8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7" s="84" cm="1">
        <f t="array" ref="AQ8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7" s="84" cm="1">
        <f t="array" ref="AR8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7" s="84" cm="1">
        <f t="array" ref="AS8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7" s="84" cm="1">
        <f t="array" ref="AT8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7" s="84" cm="1">
        <f t="array" ref="AU8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37" s="84" cm="1">
        <f t="array" ref="AV8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837" s="84" cm="1">
        <f t="array" ref="AW8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37" s="84" cm="1">
        <f t="array" ref="AX8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837" s="84" cm="1">
        <f t="array" ref="AY8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7" s="84" cm="1">
        <f t="array" ref="AZ8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7" s="84" cm="1">
        <f t="array" ref="BA8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7" s="84" cm="1">
        <f t="array" ref="BB8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7" s="84">
        <f>IF(SUM(Table3[[#This Row],[Column2]:[Column18]])&gt;Table3[[#This Row],[Column19]],Table3[[#This Row],[Column19]],SUM(Table3[[#This Row],[Column2]:[Column18]]))</f>
        <v>50000</v>
      </c>
      <c r="BD837" s="2">
        <f>Table3[[#This Row],[Total Spend]]/SUM(Table3[[#This Row],[Column2]:[Column18]])</f>
        <v>0.53163211057947901</v>
      </c>
    </row>
    <row r="838" spans="1:56">
      <c r="A838" s="84" t="s">
        <v>912</v>
      </c>
      <c r="B838" s="84" t="s">
        <v>57</v>
      </c>
      <c r="C838" s="84"/>
      <c r="D838" s="85">
        <v>45566</v>
      </c>
      <c r="E838" s="85" t="s">
        <v>58</v>
      </c>
      <c r="F838" s="84">
        <f>INDEX(Definitions!$G$13:$G$17,MATCH(Table3[[#This Row],[Propensity to buy/ buyer readiness]],Definitions!$A$13:$A$17,0))</f>
        <v>50000</v>
      </c>
      <c r="G838" s="86">
        <v>3</v>
      </c>
      <c r="H838" s="86">
        <v>3</v>
      </c>
      <c r="I838" s="86">
        <v>4</v>
      </c>
      <c r="J838" s="86">
        <v>4</v>
      </c>
      <c r="K838" s="86">
        <v>3</v>
      </c>
      <c r="L838" s="86">
        <f>SUM(Table3[[#This Row],[Strategic priority segment]:[Propensity to buy/ buyer readiness]])</f>
        <v>17</v>
      </c>
      <c r="M838" s="86" t="s">
        <v>59</v>
      </c>
      <c r="N838" s="84" t="s">
        <v>265</v>
      </c>
      <c r="O838" s="84"/>
      <c r="P838" s="87"/>
      <c r="Q838" s="87"/>
      <c r="R838" s="84"/>
      <c r="S838" s="84"/>
      <c r="T838" s="87"/>
      <c r="U838" s="84">
        <v>1</v>
      </c>
      <c r="V838" s="84">
        <v>1</v>
      </c>
      <c r="W838" s="84">
        <v>1</v>
      </c>
      <c r="X838" s="84">
        <v>1</v>
      </c>
      <c r="Y838" s="84">
        <v>0</v>
      </c>
      <c r="Z838" s="84">
        <v>0</v>
      </c>
      <c r="AA838" s="84">
        <v>0</v>
      </c>
      <c r="AB838" s="84">
        <v>0</v>
      </c>
      <c r="AC838" s="84">
        <v>0</v>
      </c>
      <c r="AD838" s="84">
        <v>0</v>
      </c>
      <c r="AE838" s="84">
        <v>0</v>
      </c>
      <c r="AF838" s="84">
        <v>0</v>
      </c>
      <c r="AG838" s="84">
        <v>0</v>
      </c>
      <c r="AH838" s="84">
        <v>0</v>
      </c>
      <c r="AI838" s="84">
        <v>1</v>
      </c>
      <c r="AJ838" s="84">
        <v>0</v>
      </c>
      <c r="AK838" s="84">
        <v>0</v>
      </c>
      <c r="AL838" s="84" cm="1">
        <f t="array" ref="AL8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38" s="84" cm="1">
        <f t="array" ref="AM8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38" s="84" cm="1">
        <f t="array" ref="AN8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38" s="84" cm="1">
        <f t="array" ref="AO8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38" s="84" cm="1">
        <f t="array" ref="AP8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8" s="84" cm="1">
        <f t="array" ref="AQ8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8" s="84" cm="1">
        <f t="array" ref="AR8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8" s="84" cm="1">
        <f t="array" ref="AS8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8" s="84" cm="1">
        <f t="array" ref="AT8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8" s="84" cm="1">
        <f t="array" ref="AU8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38" s="84" cm="1">
        <f t="array" ref="AV8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38" s="84" cm="1">
        <f t="array" ref="AW8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38" s="84" cm="1">
        <f t="array" ref="AX8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38" s="84" cm="1">
        <f t="array" ref="AY8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8" s="84" cm="1">
        <f t="array" ref="AZ8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38" s="84" cm="1">
        <f t="array" ref="BA8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8" s="84" cm="1">
        <f t="array" ref="BB8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8" s="84">
        <f>IF(SUM(Table3[[#This Row],[Column2]:[Column18]])&gt;Table3[[#This Row],[Column19]],Table3[[#This Row],[Column19]],SUM(Table3[[#This Row],[Column2]:[Column18]]))</f>
        <v>50000</v>
      </c>
      <c r="BD838" s="2">
        <f>Table3[[#This Row],[Total Spend]]/SUM(Table3[[#This Row],[Column2]:[Column18]])</f>
        <v>0.26021337496747332</v>
      </c>
    </row>
    <row r="839" spans="1:56">
      <c r="A839" s="84" t="s">
        <v>913</v>
      </c>
      <c r="B839" s="84" t="s">
        <v>57</v>
      </c>
      <c r="C839" s="84" t="s">
        <v>57</v>
      </c>
      <c r="D839" s="85">
        <v>45566</v>
      </c>
      <c r="E839" s="85" t="s">
        <v>92</v>
      </c>
      <c r="F839" s="84">
        <f>INDEX(Definitions!$G$13:$G$17,MATCH(Table3[[#This Row],[Propensity to buy/ buyer readiness]],Definitions!$A$13:$A$17,0))</f>
        <v>50000</v>
      </c>
      <c r="G839" s="86">
        <v>3</v>
      </c>
      <c r="H839" s="86">
        <v>3</v>
      </c>
      <c r="I839" s="86">
        <v>4</v>
      </c>
      <c r="J839" s="86">
        <v>3</v>
      </c>
      <c r="K839" s="86">
        <v>3</v>
      </c>
      <c r="L839" s="86">
        <f>SUM(Table3[[#This Row],[Strategic priority segment]:[Propensity to buy/ buyer readiness]])</f>
        <v>16</v>
      </c>
      <c r="M839" s="86" t="s">
        <v>152</v>
      </c>
      <c r="N839" s="84" t="s">
        <v>130</v>
      </c>
      <c r="O839" s="84"/>
      <c r="P839" s="87"/>
      <c r="Q839" s="87"/>
      <c r="R839" s="84"/>
      <c r="S839" s="87"/>
      <c r="T839" s="87"/>
      <c r="U839" s="84">
        <v>1</v>
      </c>
      <c r="V839" s="84">
        <v>0</v>
      </c>
      <c r="W839" s="84">
        <v>0</v>
      </c>
      <c r="X839" s="84">
        <v>0</v>
      </c>
      <c r="Y839" s="84">
        <v>0</v>
      </c>
      <c r="Z839" s="84">
        <v>0</v>
      </c>
      <c r="AA839" s="84">
        <v>0</v>
      </c>
      <c r="AB839" s="84">
        <v>0</v>
      </c>
      <c r="AC839" s="84">
        <v>0</v>
      </c>
      <c r="AD839" s="84">
        <v>0</v>
      </c>
      <c r="AE839" s="84">
        <v>0</v>
      </c>
      <c r="AF839" s="84">
        <v>0</v>
      </c>
      <c r="AG839" s="84">
        <v>0</v>
      </c>
      <c r="AH839" s="84">
        <v>0</v>
      </c>
      <c r="AI839" s="84">
        <v>0</v>
      </c>
      <c r="AJ839" s="84">
        <v>0</v>
      </c>
      <c r="AK839" s="84">
        <v>0</v>
      </c>
      <c r="AL839" s="84" cm="1">
        <f t="array" ref="AL8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39" s="84" cm="1">
        <f t="array" ref="AM8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39" s="84" cm="1">
        <f t="array" ref="AN8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39" s="84" cm="1">
        <f t="array" ref="AO8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39" s="84" cm="1">
        <f t="array" ref="AP8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39" s="84" cm="1">
        <f t="array" ref="AQ8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39" s="84" cm="1">
        <f t="array" ref="AR8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39" s="84" cm="1">
        <f t="array" ref="AS8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39" s="84" cm="1">
        <f t="array" ref="AT8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39" s="84" cm="1">
        <f t="array" ref="AU8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39" s="84" cm="1">
        <f t="array" ref="AV8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39" s="84" cm="1">
        <f t="array" ref="AW8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39" s="84" cm="1">
        <f t="array" ref="AX8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39" s="84" cm="1">
        <f t="array" ref="AY8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39" s="84" cm="1">
        <f t="array" ref="AZ8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39" s="84" cm="1">
        <f t="array" ref="BA8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39" s="84" cm="1">
        <f t="array" ref="BB8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39" s="84">
        <f>IF(SUM(Table3[[#This Row],[Column2]:[Column18]])&gt;Table3[[#This Row],[Column19]],Table3[[#This Row],[Column19]],SUM(Table3[[#This Row],[Column2]:[Column18]]))</f>
        <v>8100</v>
      </c>
      <c r="BD839" s="2">
        <f>Table3[[#This Row],[Total Spend]]/SUM(Table3[[#This Row],[Column2]:[Column18]])</f>
        <v>1</v>
      </c>
    </row>
    <row r="840" spans="1:56">
      <c r="A840" s="84" t="s">
        <v>914</v>
      </c>
      <c r="B840" s="84"/>
      <c r="C840" s="84"/>
      <c r="D840" s="85">
        <v>45566</v>
      </c>
      <c r="E840" s="85" t="s">
        <v>58</v>
      </c>
      <c r="F840" s="84">
        <f>INDEX(Definitions!$G$13:$G$17,MATCH(Table3[[#This Row],[Propensity to buy/ buyer readiness]],Definitions!$A$13:$A$17,0))</f>
        <v>150000</v>
      </c>
      <c r="G840" s="86">
        <v>3</v>
      </c>
      <c r="H840" s="86">
        <v>3</v>
      </c>
      <c r="I840" s="86">
        <v>3</v>
      </c>
      <c r="J840" s="86">
        <v>3</v>
      </c>
      <c r="K840" s="86">
        <v>4</v>
      </c>
      <c r="L840" s="86">
        <f>SUM(Table3[[#This Row],[Strategic priority segment]:[Propensity to buy/ buyer readiness]])</f>
        <v>16</v>
      </c>
      <c r="M840" s="86" t="s">
        <v>152</v>
      </c>
      <c r="N840" s="84" t="s">
        <v>122</v>
      </c>
      <c r="O840" s="84"/>
      <c r="P840" s="87"/>
      <c r="Q840" s="87"/>
      <c r="R840" s="84"/>
      <c r="S840" s="87"/>
      <c r="T840" s="87"/>
      <c r="U840" s="84">
        <v>1</v>
      </c>
      <c r="V840" s="84">
        <v>0</v>
      </c>
      <c r="W840" s="84">
        <v>0</v>
      </c>
      <c r="X840" s="84">
        <v>0</v>
      </c>
      <c r="Y840" s="84">
        <v>0</v>
      </c>
      <c r="Z840" s="84">
        <v>1</v>
      </c>
      <c r="AA840" s="84">
        <v>0</v>
      </c>
      <c r="AB840" s="84">
        <v>1</v>
      </c>
      <c r="AC840" s="84">
        <v>0</v>
      </c>
      <c r="AD840" s="84">
        <v>1</v>
      </c>
      <c r="AE840" s="84">
        <v>0</v>
      </c>
      <c r="AF840" s="84">
        <v>1</v>
      </c>
      <c r="AG840" s="84">
        <v>0</v>
      </c>
      <c r="AH840" s="84">
        <v>0</v>
      </c>
      <c r="AI840" s="84">
        <v>0</v>
      </c>
      <c r="AJ840" s="84">
        <v>0</v>
      </c>
      <c r="AK840" s="84">
        <v>0</v>
      </c>
      <c r="AL840" s="84" cm="1">
        <f t="array" ref="AL8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0" s="84" cm="1">
        <f t="array" ref="AM8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0" s="84" cm="1">
        <f t="array" ref="AN8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0" s="84" cm="1">
        <f t="array" ref="AO8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0" s="84" cm="1">
        <f t="array" ref="AP8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0" s="84" cm="1">
        <f t="array" ref="AQ8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40" s="84" cm="1">
        <f t="array" ref="AR8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0" s="84" cm="1">
        <f t="array" ref="AS8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40" s="84" cm="1">
        <f t="array" ref="AT8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0" s="84" cm="1">
        <f t="array" ref="AU8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40" s="84" cm="1">
        <f t="array" ref="AV8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0" s="84" cm="1">
        <f t="array" ref="AW8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40" s="84" cm="1">
        <f t="array" ref="AX8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0" s="84" cm="1">
        <f t="array" ref="AY8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0" s="84" cm="1">
        <f t="array" ref="AZ8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40" s="84" cm="1">
        <f t="array" ref="BA8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0" s="84" cm="1">
        <f t="array" ref="BB8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0" s="84">
        <f>IF(SUM(Table3[[#This Row],[Column2]:[Column18]])&gt;Table3[[#This Row],[Column19]],Table3[[#This Row],[Column19]],SUM(Table3[[#This Row],[Column2]:[Column18]]))</f>
        <v>150000</v>
      </c>
      <c r="BD840" s="2">
        <f>Table3[[#This Row],[Total Spend]]/SUM(Table3[[#This Row],[Column2]:[Column18]])</f>
        <v>0.89605734767025091</v>
      </c>
    </row>
    <row r="841" spans="1:56">
      <c r="A841" s="84" t="s">
        <v>915</v>
      </c>
      <c r="B841" s="84"/>
      <c r="C841" s="84"/>
      <c r="D841" s="85">
        <v>45566</v>
      </c>
      <c r="E841" s="85" t="s">
        <v>58</v>
      </c>
      <c r="F841" s="84">
        <f>INDEX(Definitions!$G$13:$G$17,MATCH(Table3[[#This Row],[Propensity to buy/ buyer readiness]],Definitions!$A$13:$A$17,0))</f>
        <v>50000</v>
      </c>
      <c r="G841" s="86">
        <v>4</v>
      </c>
      <c r="H841" s="86">
        <v>3</v>
      </c>
      <c r="I841" s="86">
        <v>3</v>
      </c>
      <c r="J841" s="86">
        <v>3</v>
      </c>
      <c r="K841" s="86">
        <v>3</v>
      </c>
      <c r="L841" s="86">
        <f>SUM(Table3[[#This Row],[Strategic priority segment]:[Propensity to buy/ buyer readiness]])</f>
        <v>16</v>
      </c>
      <c r="M841" s="86" t="s">
        <v>59</v>
      </c>
      <c r="N841" s="84" t="s">
        <v>264</v>
      </c>
      <c r="O841" s="84" t="s">
        <v>265</v>
      </c>
      <c r="P841" s="87"/>
      <c r="Q841" s="87"/>
      <c r="R841" s="84"/>
      <c r="S841" s="87"/>
      <c r="T841" s="87"/>
      <c r="U841" s="84">
        <v>1</v>
      </c>
      <c r="V841" s="84">
        <v>1</v>
      </c>
      <c r="W841" s="84">
        <v>1</v>
      </c>
      <c r="X841" s="84">
        <v>1</v>
      </c>
      <c r="Y841" s="84">
        <v>0</v>
      </c>
      <c r="Z841" s="84">
        <v>0</v>
      </c>
      <c r="AA841" s="84">
        <v>0</v>
      </c>
      <c r="AB841" s="84">
        <v>0</v>
      </c>
      <c r="AC841" s="84">
        <v>0</v>
      </c>
      <c r="AD841" s="84">
        <v>0</v>
      </c>
      <c r="AE841" s="84">
        <v>0</v>
      </c>
      <c r="AF841" s="84">
        <v>0</v>
      </c>
      <c r="AG841" s="84">
        <v>0</v>
      </c>
      <c r="AH841" s="84">
        <v>0</v>
      </c>
      <c r="AI841" s="84">
        <v>1</v>
      </c>
      <c r="AJ841" s="84">
        <v>0</v>
      </c>
      <c r="AK841" s="84">
        <v>0</v>
      </c>
      <c r="AL841" s="84" cm="1">
        <f t="array" ref="AL8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1" s="84" cm="1">
        <f t="array" ref="AM8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41" s="84" cm="1">
        <f t="array" ref="AN8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41" s="84" cm="1">
        <f t="array" ref="AO8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41" s="84" cm="1">
        <f t="array" ref="AP8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1" s="84" cm="1">
        <f t="array" ref="AQ8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1" s="84" cm="1">
        <f t="array" ref="AR8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1" s="84" cm="1">
        <f t="array" ref="AS8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1" s="84" cm="1">
        <f t="array" ref="AT8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1" s="84" cm="1">
        <f t="array" ref="AU8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41" s="84" cm="1">
        <f t="array" ref="AV8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1" s="84" cm="1">
        <f t="array" ref="AW8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41" s="84" cm="1">
        <f t="array" ref="AX8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1" s="84" cm="1">
        <f t="array" ref="AY8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1" s="84" cm="1">
        <f t="array" ref="AZ8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41" s="84" cm="1">
        <f t="array" ref="BA8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1" s="84" cm="1">
        <f t="array" ref="BB8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1" s="84">
        <f>IF(SUM(Table3[[#This Row],[Column2]:[Column18]])&gt;Table3[[#This Row],[Column19]],Table3[[#This Row],[Column19]],SUM(Table3[[#This Row],[Column2]:[Column18]]))</f>
        <v>50000</v>
      </c>
      <c r="BD841" s="2">
        <f>Table3[[#This Row],[Total Spend]]/SUM(Table3[[#This Row],[Column2]:[Column18]])</f>
        <v>0.26021337496747332</v>
      </c>
    </row>
    <row r="842" spans="1:56">
      <c r="A842" s="84" t="s">
        <v>916</v>
      </c>
      <c r="B842" s="84"/>
      <c r="C842" s="84"/>
      <c r="D842" s="85">
        <v>45566</v>
      </c>
      <c r="E842" s="85" t="s">
        <v>58</v>
      </c>
      <c r="F842" s="84">
        <f>INDEX(Definitions!$G$13:$G$17,MATCH(Table3[[#This Row],[Propensity to buy/ buyer readiness]],Definitions!$A$13:$A$17,0))</f>
        <v>150000</v>
      </c>
      <c r="G842" s="86">
        <v>3</v>
      </c>
      <c r="H842" s="86">
        <v>3</v>
      </c>
      <c r="I842" s="86">
        <v>3</v>
      </c>
      <c r="J842" s="86">
        <v>3</v>
      </c>
      <c r="K842" s="86">
        <v>4</v>
      </c>
      <c r="L842" s="86">
        <f>SUM(Table3[[#This Row],[Strategic priority segment]:[Propensity to buy/ buyer readiness]])</f>
        <v>16</v>
      </c>
      <c r="M842" s="86" t="s">
        <v>152</v>
      </c>
      <c r="N842" s="84" t="s">
        <v>122</v>
      </c>
      <c r="O842" s="87" t="s">
        <v>135</v>
      </c>
      <c r="P842" s="87"/>
      <c r="Q842" s="87"/>
      <c r="R842" s="87"/>
      <c r="S842" s="87"/>
      <c r="T842" s="87"/>
      <c r="U842" s="84">
        <v>1</v>
      </c>
      <c r="V842" s="84">
        <v>0</v>
      </c>
      <c r="W842" s="84">
        <v>0</v>
      </c>
      <c r="X842" s="84">
        <v>0</v>
      </c>
      <c r="Y842" s="84">
        <v>0</v>
      </c>
      <c r="Z842" s="84">
        <v>1</v>
      </c>
      <c r="AA842" s="84">
        <v>0</v>
      </c>
      <c r="AB842" s="84">
        <v>1</v>
      </c>
      <c r="AC842" s="84">
        <v>0</v>
      </c>
      <c r="AD842" s="84">
        <v>1</v>
      </c>
      <c r="AE842" s="84">
        <v>0</v>
      </c>
      <c r="AF842" s="84">
        <v>1</v>
      </c>
      <c r="AG842" s="84">
        <v>0</v>
      </c>
      <c r="AH842" s="84">
        <v>1</v>
      </c>
      <c r="AI842" s="84">
        <v>1</v>
      </c>
      <c r="AJ842" s="84">
        <v>1</v>
      </c>
      <c r="AK842" s="84">
        <v>1</v>
      </c>
      <c r="AL842" s="84" cm="1">
        <f t="array" ref="AL8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2" s="84" cm="1">
        <f t="array" ref="AM8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2" s="84" cm="1">
        <f t="array" ref="AN8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2" s="84" cm="1">
        <f t="array" ref="AO8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2" s="84" cm="1">
        <f t="array" ref="AP8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2" s="84" cm="1">
        <f t="array" ref="AQ8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42" s="84" cm="1">
        <f t="array" ref="AR8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2" s="84" cm="1">
        <f t="array" ref="AS8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42" s="84" cm="1">
        <f t="array" ref="AT8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2" s="84" cm="1">
        <f t="array" ref="AU8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42" s="84" cm="1">
        <f t="array" ref="AV8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2" s="84" cm="1">
        <f t="array" ref="AW8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42" s="84" cm="1">
        <f t="array" ref="AX8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2" s="84" cm="1">
        <f t="array" ref="AY8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42" s="84" cm="1">
        <f t="array" ref="AZ8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42" s="84" cm="1">
        <f t="array" ref="BA8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42" s="84" cm="1">
        <f t="array" ref="BB8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42" s="84">
        <f>IF(SUM(Table3[[#This Row],[Column2]:[Column18]])&gt;Table3[[#This Row],[Column19]],Table3[[#This Row],[Column19]],SUM(Table3[[#This Row],[Column2]:[Column18]]))</f>
        <v>150000</v>
      </c>
      <c r="BD842" s="2">
        <f>Table3[[#This Row],[Total Spend]]/SUM(Table3[[#This Row],[Column2]:[Column18]])</f>
        <v>0.6472491909385113</v>
      </c>
    </row>
    <row r="843" spans="1:56">
      <c r="A843" s="84" t="s">
        <v>917</v>
      </c>
      <c r="B843" s="84" t="s">
        <v>57</v>
      </c>
      <c r="C843" s="84"/>
      <c r="D843" s="85">
        <v>45566</v>
      </c>
      <c r="E843" s="85" t="s">
        <v>92</v>
      </c>
      <c r="F843" s="84">
        <f>INDEX(Definitions!$G$13:$G$17,MATCH(Table3[[#This Row],[Propensity to buy/ buyer readiness]],Definitions!$A$13:$A$17,0))</f>
        <v>10000</v>
      </c>
      <c r="G843" s="86">
        <v>3</v>
      </c>
      <c r="H843" s="86">
        <v>3</v>
      </c>
      <c r="I843" s="86">
        <v>4</v>
      </c>
      <c r="J843" s="86">
        <v>4</v>
      </c>
      <c r="K843" s="86">
        <v>2</v>
      </c>
      <c r="L843" s="86">
        <f>SUM(Table3[[#This Row],[Strategic priority segment]:[Propensity to buy/ buyer readiness]])</f>
        <v>16</v>
      </c>
      <c r="M843" s="86" t="s">
        <v>59</v>
      </c>
      <c r="N843" s="84" t="s">
        <v>265</v>
      </c>
      <c r="O843" s="84"/>
      <c r="P843" s="87"/>
      <c r="Q843" s="87"/>
      <c r="R843" s="84"/>
      <c r="S843" s="87"/>
      <c r="T843" s="87"/>
      <c r="U843" s="84">
        <v>1</v>
      </c>
      <c r="V843" s="84">
        <v>1</v>
      </c>
      <c r="W843" s="84">
        <v>1</v>
      </c>
      <c r="X843" s="84">
        <v>1</v>
      </c>
      <c r="Y843" s="84">
        <v>0</v>
      </c>
      <c r="Z843" s="84">
        <v>0</v>
      </c>
      <c r="AA843" s="84">
        <v>0</v>
      </c>
      <c r="AB843" s="84">
        <v>0</v>
      </c>
      <c r="AC843" s="84">
        <v>0</v>
      </c>
      <c r="AD843" s="84">
        <v>0</v>
      </c>
      <c r="AE843" s="84">
        <v>0</v>
      </c>
      <c r="AF843" s="84">
        <v>0</v>
      </c>
      <c r="AG843" s="84">
        <v>0</v>
      </c>
      <c r="AH843" s="84">
        <v>0</v>
      </c>
      <c r="AI843" s="84">
        <v>1</v>
      </c>
      <c r="AJ843" s="84">
        <v>0</v>
      </c>
      <c r="AK843" s="84">
        <v>0</v>
      </c>
      <c r="AL843" s="84" cm="1">
        <f t="array" ref="AL8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43" s="84" cm="1">
        <f t="array" ref="AM8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43" s="84" cm="1">
        <f t="array" ref="AN8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43" s="84" cm="1">
        <f t="array" ref="AO8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43" s="84" cm="1">
        <f t="array" ref="AP8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3" s="84" cm="1">
        <f t="array" ref="AQ8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3" s="84" cm="1">
        <f t="array" ref="AR8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3" s="84" cm="1">
        <f t="array" ref="AS8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3" s="84" cm="1">
        <f t="array" ref="AT8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3" s="84" cm="1">
        <f t="array" ref="AU8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43" s="84" cm="1">
        <f t="array" ref="AV8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3" s="84" cm="1">
        <f t="array" ref="AW8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43" s="84" cm="1">
        <f t="array" ref="AX8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3" s="84" cm="1">
        <f t="array" ref="AY8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3" s="84" cm="1">
        <f t="array" ref="AZ8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43" s="84" cm="1">
        <f t="array" ref="BA8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3" s="84" cm="1">
        <f t="array" ref="BB8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3" s="84">
        <f>IF(SUM(Table3[[#This Row],[Column2]:[Column18]])&gt;Table3[[#This Row],[Column19]],Table3[[#This Row],[Column19]],SUM(Table3[[#This Row],[Column2]:[Column18]]))</f>
        <v>10000</v>
      </c>
      <c r="BD843" s="2">
        <f>Table3[[#This Row],[Total Spend]]/SUM(Table3[[#This Row],[Column2]:[Column18]])</f>
        <v>7.2859744990892539E-2</v>
      </c>
    </row>
    <row r="844" spans="1:56">
      <c r="A844" s="84" t="s">
        <v>918</v>
      </c>
      <c r="B844" s="84"/>
      <c r="C844" s="84"/>
      <c r="D844" s="85">
        <v>45566</v>
      </c>
      <c r="E844" s="85" t="s">
        <v>58</v>
      </c>
      <c r="F844" s="84">
        <f>INDEX(Definitions!$G$13:$G$17,MATCH(Table3[[#This Row],[Propensity to buy/ buyer readiness]],Definitions!$A$13:$A$17,0))</f>
        <v>150000</v>
      </c>
      <c r="G844" s="86">
        <v>3</v>
      </c>
      <c r="H844" s="86">
        <v>3</v>
      </c>
      <c r="I844" s="86">
        <v>3</v>
      </c>
      <c r="J844" s="86">
        <v>3</v>
      </c>
      <c r="K844" s="86">
        <v>4</v>
      </c>
      <c r="L844" s="86">
        <f>SUM(Table3[[#This Row],[Strategic priority segment]:[Propensity to buy/ buyer readiness]])</f>
        <v>16</v>
      </c>
      <c r="M844" s="86" t="s">
        <v>152</v>
      </c>
      <c r="N844" s="84" t="s">
        <v>122</v>
      </c>
      <c r="O844" s="84"/>
      <c r="P844" s="87"/>
      <c r="Q844" s="87"/>
      <c r="R844" s="84"/>
      <c r="S844" s="87"/>
      <c r="T844" s="87"/>
      <c r="U844" s="84">
        <v>1</v>
      </c>
      <c r="V844" s="84">
        <v>0</v>
      </c>
      <c r="W844" s="84">
        <v>0</v>
      </c>
      <c r="X844" s="84">
        <v>0</v>
      </c>
      <c r="Y844" s="84">
        <v>0</v>
      </c>
      <c r="Z844" s="84">
        <v>1</v>
      </c>
      <c r="AA844" s="84">
        <v>0</v>
      </c>
      <c r="AB844" s="84">
        <v>1</v>
      </c>
      <c r="AC844" s="84">
        <v>0</v>
      </c>
      <c r="AD844" s="84">
        <v>1</v>
      </c>
      <c r="AE844" s="84">
        <v>0</v>
      </c>
      <c r="AF844" s="84">
        <v>1</v>
      </c>
      <c r="AG844" s="84">
        <v>0</v>
      </c>
      <c r="AH844" s="84">
        <v>0</v>
      </c>
      <c r="AI844" s="84">
        <v>0</v>
      </c>
      <c r="AJ844" s="84">
        <v>0</v>
      </c>
      <c r="AK844" s="84">
        <v>0</v>
      </c>
      <c r="AL844" s="84" cm="1">
        <f t="array" ref="AL8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4" s="84" cm="1">
        <f t="array" ref="AM8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4" s="84" cm="1">
        <f t="array" ref="AN8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4" s="84" cm="1">
        <f t="array" ref="AO8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4" s="84" cm="1">
        <f t="array" ref="AP8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4" s="84" cm="1">
        <f t="array" ref="AQ8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44" s="84" cm="1">
        <f t="array" ref="AR8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4" s="84" cm="1">
        <f t="array" ref="AS8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44" s="84" cm="1">
        <f t="array" ref="AT8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4" s="84" cm="1">
        <f t="array" ref="AU8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44" s="84" cm="1">
        <f t="array" ref="AV8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4" s="84" cm="1">
        <f t="array" ref="AW8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44" s="84" cm="1">
        <f t="array" ref="AX8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4" s="84" cm="1">
        <f t="array" ref="AY8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4" s="84" cm="1">
        <f t="array" ref="AZ8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44" s="84" cm="1">
        <f t="array" ref="BA8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4" s="84" cm="1">
        <f t="array" ref="BB8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4" s="84">
        <f>IF(SUM(Table3[[#This Row],[Column2]:[Column18]])&gt;Table3[[#This Row],[Column19]],Table3[[#This Row],[Column19]],SUM(Table3[[#This Row],[Column2]:[Column18]]))</f>
        <v>150000</v>
      </c>
      <c r="BD844" s="2">
        <f>Table3[[#This Row],[Total Spend]]/SUM(Table3[[#This Row],[Column2]:[Column18]])</f>
        <v>0.89605734767025091</v>
      </c>
    </row>
    <row r="845" spans="1:56">
      <c r="A845" s="84" t="s">
        <v>919</v>
      </c>
      <c r="B845" s="84"/>
      <c r="C845" s="84"/>
      <c r="D845" s="85">
        <v>45566</v>
      </c>
      <c r="E845" s="85" t="s">
        <v>58</v>
      </c>
      <c r="F845" s="84">
        <f>INDEX(Definitions!$G$13:$G$17,MATCH(Table3[[#This Row],[Propensity to buy/ buyer readiness]],Definitions!$A$13:$A$17,0))</f>
        <v>50000</v>
      </c>
      <c r="G845" s="86">
        <v>3</v>
      </c>
      <c r="H845" s="86">
        <v>3</v>
      </c>
      <c r="I845" s="86">
        <v>3</v>
      </c>
      <c r="J845" s="86">
        <v>4</v>
      </c>
      <c r="K845" s="86">
        <v>3</v>
      </c>
      <c r="L845" s="86">
        <f>SUM(Table3[[#This Row],[Strategic priority segment]:[Propensity to buy/ buyer readiness]])</f>
        <v>16</v>
      </c>
      <c r="M845" s="86" t="s">
        <v>59</v>
      </c>
      <c r="N845" s="84" t="s">
        <v>265</v>
      </c>
      <c r="O845" s="84"/>
      <c r="P845" s="87"/>
      <c r="Q845" s="87"/>
      <c r="R845" s="84"/>
      <c r="S845" s="87"/>
      <c r="T845" s="87"/>
      <c r="U845" s="84">
        <v>1</v>
      </c>
      <c r="V845" s="84">
        <v>1</v>
      </c>
      <c r="W845" s="84">
        <v>1</v>
      </c>
      <c r="X845" s="84">
        <v>1</v>
      </c>
      <c r="Y845" s="84">
        <v>0</v>
      </c>
      <c r="Z845" s="84">
        <v>0</v>
      </c>
      <c r="AA845" s="84">
        <v>0</v>
      </c>
      <c r="AB845" s="84">
        <v>0</v>
      </c>
      <c r="AC845" s="84">
        <v>0</v>
      </c>
      <c r="AD845" s="84">
        <v>0</v>
      </c>
      <c r="AE845" s="84">
        <v>0</v>
      </c>
      <c r="AF845" s="84">
        <v>0</v>
      </c>
      <c r="AG845" s="84">
        <v>0</v>
      </c>
      <c r="AH845" s="84">
        <v>0</v>
      </c>
      <c r="AI845" s="84">
        <v>1</v>
      </c>
      <c r="AJ845" s="84">
        <v>0</v>
      </c>
      <c r="AK845" s="84">
        <v>0</v>
      </c>
      <c r="AL845" s="84" cm="1">
        <f t="array" ref="AL8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5" s="84" cm="1">
        <f t="array" ref="AM8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45" s="84" cm="1">
        <f t="array" ref="AN8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45" s="84" cm="1">
        <f t="array" ref="AO8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45" s="84" cm="1">
        <f t="array" ref="AP8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5" s="84" cm="1">
        <f t="array" ref="AQ8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5" s="84" cm="1">
        <f t="array" ref="AR8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5" s="84" cm="1">
        <f t="array" ref="AS8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5" s="84" cm="1">
        <f t="array" ref="AT8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5" s="84" cm="1">
        <f t="array" ref="AU8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45" s="84" cm="1">
        <f t="array" ref="AV8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5" s="84" cm="1">
        <f t="array" ref="AW8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45" s="84" cm="1">
        <f t="array" ref="AX8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5" s="84" cm="1">
        <f t="array" ref="AY8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5" s="84" cm="1">
        <f t="array" ref="AZ8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45" s="84" cm="1">
        <f t="array" ref="BA8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5" s="84" cm="1">
        <f t="array" ref="BB8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5" s="84">
        <f>IF(SUM(Table3[[#This Row],[Column2]:[Column18]])&gt;Table3[[#This Row],[Column19]],Table3[[#This Row],[Column19]],SUM(Table3[[#This Row],[Column2]:[Column18]]))</f>
        <v>50000</v>
      </c>
      <c r="BD845" s="2">
        <f>Table3[[#This Row],[Total Spend]]/SUM(Table3[[#This Row],[Column2]:[Column18]])</f>
        <v>0.26021337496747332</v>
      </c>
    </row>
    <row r="846" spans="1:56">
      <c r="A846" s="84" t="s">
        <v>920</v>
      </c>
      <c r="B846" s="84"/>
      <c r="C846" s="84"/>
      <c r="D846" s="85">
        <v>45566</v>
      </c>
      <c r="E846" s="85" t="s">
        <v>92</v>
      </c>
      <c r="F846" s="84">
        <f>INDEX(Definitions!$G$13:$G$17,MATCH(Table3[[#This Row],[Propensity to buy/ buyer readiness]],Definitions!$A$13:$A$17,0))</f>
        <v>50000</v>
      </c>
      <c r="G846" s="86">
        <v>4</v>
      </c>
      <c r="H846" s="86">
        <v>3</v>
      </c>
      <c r="I846" s="86">
        <v>3</v>
      </c>
      <c r="J846" s="86">
        <v>3</v>
      </c>
      <c r="K846" s="86">
        <v>3</v>
      </c>
      <c r="L846" s="86">
        <f>SUM(Table3[[#This Row],[Strategic priority segment]:[Propensity to buy/ buyer readiness]])</f>
        <v>16</v>
      </c>
      <c r="M846" s="86" t="s">
        <v>191</v>
      </c>
      <c r="N846" s="84" t="s">
        <v>76</v>
      </c>
      <c r="O846" s="84" t="s">
        <v>135</v>
      </c>
      <c r="P846" s="84"/>
      <c r="Q846" s="84"/>
      <c r="R846" s="84"/>
      <c r="S846" s="87"/>
      <c r="T846" s="87"/>
      <c r="U846" s="84">
        <v>0</v>
      </c>
      <c r="V846" s="84">
        <v>0</v>
      </c>
      <c r="W846" s="84">
        <v>0</v>
      </c>
      <c r="X846" s="84">
        <v>0</v>
      </c>
      <c r="Y846" s="84">
        <v>0</v>
      </c>
      <c r="Z846" s="84">
        <v>0</v>
      </c>
      <c r="AA846" s="84">
        <v>0</v>
      </c>
      <c r="AB846" s="84">
        <v>0</v>
      </c>
      <c r="AC846" s="84">
        <v>0</v>
      </c>
      <c r="AD846" s="84">
        <v>0</v>
      </c>
      <c r="AE846" s="84">
        <v>0</v>
      </c>
      <c r="AF846" s="84">
        <v>0</v>
      </c>
      <c r="AG846" s="84">
        <v>0</v>
      </c>
      <c r="AH846" s="84">
        <v>1</v>
      </c>
      <c r="AI846" s="84">
        <v>1</v>
      </c>
      <c r="AJ846" s="84">
        <v>1</v>
      </c>
      <c r="AK846" s="84">
        <v>1</v>
      </c>
      <c r="AL846" s="84" cm="1">
        <f t="array" ref="AL8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46" s="84" cm="1">
        <f t="array" ref="AM8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6" s="84" cm="1">
        <f t="array" ref="AN8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6" s="84" cm="1">
        <f t="array" ref="AO8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6" s="84" cm="1">
        <f t="array" ref="AP8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6" s="84" cm="1">
        <f t="array" ref="AQ8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6" s="84" cm="1">
        <f t="array" ref="AR8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6" s="84" cm="1">
        <f t="array" ref="AS8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6" s="84" cm="1">
        <f t="array" ref="AT8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6" s="84" cm="1">
        <f t="array" ref="AU8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46" s="84" cm="1">
        <f t="array" ref="AV8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6" s="84" cm="1">
        <f t="array" ref="AW8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46" s="84" cm="1">
        <f t="array" ref="AX8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6" s="84" cm="1">
        <f t="array" ref="AY8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46" s="84" cm="1">
        <f t="array" ref="AZ8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46" s="84" cm="1">
        <f t="array" ref="BA8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46" s="84" cm="1">
        <f t="array" ref="BB8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46" s="84">
        <f>IF(SUM(Table3[[#This Row],[Column2]:[Column18]])&gt;Table3[[#This Row],[Column19]],Table3[[#This Row],[Column19]],SUM(Table3[[#This Row],[Column2]:[Column18]]))</f>
        <v>46350</v>
      </c>
      <c r="BD846" s="2">
        <f>Table3[[#This Row],[Total Spend]]/SUM(Table3[[#This Row],[Column2]:[Column18]])</f>
        <v>1</v>
      </c>
    </row>
    <row r="847" spans="1:56">
      <c r="A847" s="84" t="s">
        <v>921</v>
      </c>
      <c r="B847" s="84"/>
      <c r="C847" s="84"/>
      <c r="D847" s="85">
        <v>45566</v>
      </c>
      <c r="E847" s="85" t="s">
        <v>92</v>
      </c>
      <c r="F847" s="84">
        <f>INDEX(Definitions!$G$13:$G$17,MATCH(Table3[[#This Row],[Propensity to buy/ buyer readiness]],Definitions!$A$13:$A$17,0))</f>
        <v>50000</v>
      </c>
      <c r="G847" s="86">
        <v>4</v>
      </c>
      <c r="H847" s="86">
        <v>3</v>
      </c>
      <c r="I847" s="86">
        <v>3</v>
      </c>
      <c r="J847" s="86">
        <v>3</v>
      </c>
      <c r="K847" s="86">
        <v>3</v>
      </c>
      <c r="L847" s="86">
        <f>SUM(Table3[[#This Row],[Strategic priority segment]:[Propensity to buy/ buyer readiness]])</f>
        <v>16</v>
      </c>
      <c r="M847" s="86" t="s">
        <v>191</v>
      </c>
      <c r="N847" s="84" t="s">
        <v>76</v>
      </c>
      <c r="O847" s="84" t="s">
        <v>135</v>
      </c>
      <c r="P847" s="84"/>
      <c r="Q847" s="84"/>
      <c r="R847" s="84"/>
      <c r="S847" s="87"/>
      <c r="T847" s="87"/>
      <c r="U847" s="84">
        <v>0</v>
      </c>
      <c r="V847" s="84">
        <v>0</v>
      </c>
      <c r="W847" s="84">
        <v>0</v>
      </c>
      <c r="X847" s="84">
        <v>0</v>
      </c>
      <c r="Y847" s="84">
        <v>0</v>
      </c>
      <c r="Z847" s="84">
        <v>0</v>
      </c>
      <c r="AA847" s="84">
        <v>0</v>
      </c>
      <c r="AB847" s="84">
        <v>0</v>
      </c>
      <c r="AC847" s="84">
        <v>0</v>
      </c>
      <c r="AD847" s="84">
        <v>0</v>
      </c>
      <c r="AE847" s="84">
        <v>0</v>
      </c>
      <c r="AF847" s="84">
        <v>0</v>
      </c>
      <c r="AG847" s="84">
        <v>0</v>
      </c>
      <c r="AH847" s="84">
        <v>1</v>
      </c>
      <c r="AI847" s="84">
        <v>1</v>
      </c>
      <c r="AJ847" s="84">
        <v>1</v>
      </c>
      <c r="AK847" s="84">
        <v>1</v>
      </c>
      <c r="AL847" s="84" cm="1">
        <f t="array" ref="AL8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47" s="84" cm="1">
        <f t="array" ref="AM8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7" s="84" cm="1">
        <f t="array" ref="AN8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7" s="84" cm="1">
        <f t="array" ref="AO8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7" s="84" cm="1">
        <f t="array" ref="AP8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7" s="84" cm="1">
        <f t="array" ref="AQ8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7" s="84" cm="1">
        <f t="array" ref="AR8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7" s="84" cm="1">
        <f t="array" ref="AS8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7" s="84" cm="1">
        <f t="array" ref="AT8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7" s="84" cm="1">
        <f t="array" ref="AU8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47" s="84" cm="1">
        <f t="array" ref="AV8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7" s="84" cm="1">
        <f t="array" ref="AW8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47" s="84" cm="1">
        <f t="array" ref="AX8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7" s="84" cm="1">
        <f t="array" ref="AY8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47" s="84" cm="1">
        <f t="array" ref="AZ8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47" s="84" cm="1">
        <f t="array" ref="BA8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47" s="84" cm="1">
        <f t="array" ref="BB8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47" s="84">
        <f>IF(SUM(Table3[[#This Row],[Column2]:[Column18]])&gt;Table3[[#This Row],[Column19]],Table3[[#This Row],[Column19]],SUM(Table3[[#This Row],[Column2]:[Column18]]))</f>
        <v>46350</v>
      </c>
      <c r="BD847" s="2">
        <f>Table3[[#This Row],[Total Spend]]/SUM(Table3[[#This Row],[Column2]:[Column18]])</f>
        <v>1</v>
      </c>
    </row>
    <row r="848" spans="1:56">
      <c r="A848" s="84" t="s">
        <v>922</v>
      </c>
      <c r="B848" s="84"/>
      <c r="C848" s="84"/>
      <c r="D848" s="85">
        <v>45566</v>
      </c>
      <c r="E848" s="85" t="s">
        <v>58</v>
      </c>
      <c r="F848" s="84">
        <f>INDEX(Definitions!$G$13:$G$17,MATCH(Table3[[#This Row],[Propensity to buy/ buyer readiness]],Definitions!$A$13:$A$17,0))</f>
        <v>150000</v>
      </c>
      <c r="G848" s="86">
        <v>3</v>
      </c>
      <c r="H848" s="86">
        <v>3</v>
      </c>
      <c r="I848" s="86">
        <v>3</v>
      </c>
      <c r="J848" s="86">
        <v>3</v>
      </c>
      <c r="K848" s="86">
        <v>4</v>
      </c>
      <c r="L848" s="86">
        <f>SUM(Table3[[#This Row],[Strategic priority segment]:[Propensity to buy/ buyer readiness]])</f>
        <v>16</v>
      </c>
      <c r="M848" s="86" t="s">
        <v>152</v>
      </c>
      <c r="N848" s="84" t="s">
        <v>122</v>
      </c>
      <c r="O848" s="84"/>
      <c r="P848" s="87"/>
      <c r="Q848" s="87"/>
      <c r="R848" s="84"/>
      <c r="S848" s="87"/>
      <c r="T848" s="87"/>
      <c r="U848" s="84">
        <v>1</v>
      </c>
      <c r="V848" s="84">
        <v>0</v>
      </c>
      <c r="W848" s="84">
        <v>0</v>
      </c>
      <c r="X848" s="84">
        <v>0</v>
      </c>
      <c r="Y848" s="84">
        <v>0</v>
      </c>
      <c r="Z848" s="84">
        <v>1</v>
      </c>
      <c r="AA848" s="84">
        <v>0</v>
      </c>
      <c r="AB848" s="84">
        <v>1</v>
      </c>
      <c r="AC848" s="84">
        <v>0</v>
      </c>
      <c r="AD848" s="84">
        <v>1</v>
      </c>
      <c r="AE848" s="84">
        <v>0</v>
      </c>
      <c r="AF848" s="84">
        <v>1</v>
      </c>
      <c r="AG848" s="84">
        <v>0</v>
      </c>
      <c r="AH848" s="84">
        <v>0</v>
      </c>
      <c r="AI848" s="84">
        <v>0</v>
      </c>
      <c r="AJ848" s="84">
        <v>0</v>
      </c>
      <c r="AK848" s="84">
        <v>0</v>
      </c>
      <c r="AL848" s="84" cm="1">
        <f t="array" ref="AL8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48" s="84" cm="1">
        <f t="array" ref="AM8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48" s="84" cm="1">
        <f t="array" ref="AN8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48" s="84" cm="1">
        <f t="array" ref="AO8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48" s="84" cm="1">
        <f t="array" ref="AP8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8" s="84" cm="1">
        <f t="array" ref="AQ8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48" s="84" cm="1">
        <f t="array" ref="AR8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8" s="84" cm="1">
        <f t="array" ref="AS8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48" s="84" cm="1">
        <f t="array" ref="AT8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8" s="84" cm="1">
        <f t="array" ref="AU8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48" s="84" cm="1">
        <f t="array" ref="AV8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8" s="84" cm="1">
        <f t="array" ref="AW8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48" s="84" cm="1">
        <f t="array" ref="AX8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8" s="84" cm="1">
        <f t="array" ref="AY8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8" s="84" cm="1">
        <f t="array" ref="AZ8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48" s="84" cm="1">
        <f t="array" ref="BA8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8" s="84" cm="1">
        <f t="array" ref="BB8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8" s="84">
        <f>IF(SUM(Table3[[#This Row],[Column2]:[Column18]])&gt;Table3[[#This Row],[Column19]],Table3[[#This Row],[Column19]],SUM(Table3[[#This Row],[Column2]:[Column18]]))</f>
        <v>150000</v>
      </c>
      <c r="BD848" s="2">
        <f>Table3[[#This Row],[Total Spend]]/SUM(Table3[[#This Row],[Column2]:[Column18]])</f>
        <v>0.89605734767025091</v>
      </c>
    </row>
    <row r="849" spans="1:56">
      <c r="A849" s="84" t="s">
        <v>923</v>
      </c>
      <c r="B849" s="84" t="s">
        <v>57</v>
      </c>
      <c r="C849" s="84"/>
      <c r="D849" s="85">
        <v>45566</v>
      </c>
      <c r="E849" s="85" t="s">
        <v>92</v>
      </c>
      <c r="F849" s="84">
        <f>INDEX(Definitions!$G$13:$G$17,MATCH(Table3[[#This Row],[Propensity to buy/ buyer readiness]],Definitions!$A$13:$A$17,0))</f>
        <v>10000</v>
      </c>
      <c r="G849" s="86">
        <v>3</v>
      </c>
      <c r="H849" s="86">
        <v>3</v>
      </c>
      <c r="I849" s="86">
        <v>4</v>
      </c>
      <c r="J849" s="86">
        <v>4</v>
      </c>
      <c r="K849" s="86">
        <v>2</v>
      </c>
      <c r="L849" s="86">
        <f>SUM(Table3[[#This Row],[Strategic priority segment]:[Propensity to buy/ buyer readiness]])</f>
        <v>16</v>
      </c>
      <c r="M849" s="86" t="s">
        <v>59</v>
      </c>
      <c r="N849" s="84" t="s">
        <v>265</v>
      </c>
      <c r="O849" s="84"/>
      <c r="P849" s="87"/>
      <c r="Q849" s="87"/>
      <c r="R849" s="84"/>
      <c r="S849" s="87"/>
      <c r="T849" s="87"/>
      <c r="U849" s="84">
        <v>1</v>
      </c>
      <c r="V849" s="84">
        <v>1</v>
      </c>
      <c r="W849" s="84">
        <v>1</v>
      </c>
      <c r="X849" s="84">
        <v>1</v>
      </c>
      <c r="Y849" s="84">
        <v>0</v>
      </c>
      <c r="Z849" s="84">
        <v>0</v>
      </c>
      <c r="AA849" s="84">
        <v>0</v>
      </c>
      <c r="AB849" s="84">
        <v>0</v>
      </c>
      <c r="AC849" s="84">
        <v>0</v>
      </c>
      <c r="AD849" s="84">
        <v>0</v>
      </c>
      <c r="AE849" s="84">
        <v>0</v>
      </c>
      <c r="AF849" s="84">
        <v>0</v>
      </c>
      <c r="AG849" s="84">
        <v>0</v>
      </c>
      <c r="AH849" s="84">
        <v>0</v>
      </c>
      <c r="AI849" s="84">
        <v>1</v>
      </c>
      <c r="AJ849" s="84">
        <v>0</v>
      </c>
      <c r="AK849" s="84">
        <v>0</v>
      </c>
      <c r="AL849" s="84" cm="1">
        <f t="array" ref="AL8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49" s="84" cm="1">
        <f t="array" ref="AM8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49" s="84" cm="1">
        <f t="array" ref="AN8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49" s="84" cm="1">
        <f t="array" ref="AO8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49" s="84" cm="1">
        <f t="array" ref="AP8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49" s="84" cm="1">
        <f t="array" ref="AQ8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49" s="84" cm="1">
        <f t="array" ref="AR8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49" s="84" cm="1">
        <f t="array" ref="AS8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49" s="84" cm="1">
        <f t="array" ref="AT8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49" s="84" cm="1">
        <f t="array" ref="AU8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49" s="84" cm="1">
        <f t="array" ref="AV8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49" s="84" cm="1">
        <f t="array" ref="AW8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49" s="84" cm="1">
        <f t="array" ref="AX8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49" s="84" cm="1">
        <f t="array" ref="AY8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49" s="84" cm="1">
        <f t="array" ref="AZ8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49" s="84" cm="1">
        <f t="array" ref="BA8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49" s="84" cm="1">
        <f t="array" ref="BB8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49" s="84">
        <f>IF(SUM(Table3[[#This Row],[Column2]:[Column18]])&gt;Table3[[#This Row],[Column19]],Table3[[#This Row],[Column19]],SUM(Table3[[#This Row],[Column2]:[Column18]]))</f>
        <v>10000</v>
      </c>
      <c r="BD849" s="2">
        <f>Table3[[#This Row],[Total Spend]]/SUM(Table3[[#This Row],[Column2]:[Column18]])</f>
        <v>7.2859744990892539E-2</v>
      </c>
    </row>
    <row r="850" spans="1:56">
      <c r="A850" s="84" t="s">
        <v>924</v>
      </c>
      <c r="B850" s="84" t="s">
        <v>57</v>
      </c>
      <c r="C850" s="84"/>
      <c r="D850" s="85">
        <v>45566</v>
      </c>
      <c r="E850" s="85" t="s">
        <v>92</v>
      </c>
      <c r="F850" s="84">
        <f>INDEX(Definitions!$G$13:$G$17,MATCH(Table3[[#This Row],[Propensity to buy/ buyer readiness]],Definitions!$A$13:$A$17,0))</f>
        <v>50000</v>
      </c>
      <c r="G850" s="86">
        <v>3</v>
      </c>
      <c r="H850" s="86">
        <v>3</v>
      </c>
      <c r="I850" s="86">
        <v>4</v>
      </c>
      <c r="J850" s="86">
        <v>3</v>
      </c>
      <c r="K850" s="86">
        <v>3</v>
      </c>
      <c r="L850" s="86">
        <f>SUM(Table3[[#This Row],[Strategic priority segment]:[Propensity to buy/ buyer readiness]])</f>
        <v>16</v>
      </c>
      <c r="M850" s="86" t="s">
        <v>152</v>
      </c>
      <c r="N850" s="84" t="s">
        <v>122</v>
      </c>
      <c r="O850" s="84"/>
      <c r="P850" s="87"/>
      <c r="Q850" s="87"/>
      <c r="R850" s="84"/>
      <c r="S850" s="87"/>
      <c r="T850" s="87"/>
      <c r="U850" s="84">
        <v>1</v>
      </c>
      <c r="V850" s="84">
        <v>0</v>
      </c>
      <c r="W850" s="84">
        <v>0</v>
      </c>
      <c r="X850" s="84">
        <v>0</v>
      </c>
      <c r="Y850" s="84">
        <v>0</v>
      </c>
      <c r="Z850" s="84">
        <v>1</v>
      </c>
      <c r="AA850" s="84">
        <v>0</v>
      </c>
      <c r="AB850" s="84">
        <v>1</v>
      </c>
      <c r="AC850" s="84">
        <v>0</v>
      </c>
      <c r="AD850" s="84">
        <v>1</v>
      </c>
      <c r="AE850" s="84">
        <v>0</v>
      </c>
      <c r="AF850" s="84">
        <v>1</v>
      </c>
      <c r="AG850" s="84">
        <v>0</v>
      </c>
      <c r="AH850" s="84">
        <v>0</v>
      </c>
      <c r="AI850" s="84">
        <v>0</v>
      </c>
      <c r="AJ850" s="84">
        <v>0</v>
      </c>
      <c r="AK850" s="84">
        <v>0</v>
      </c>
      <c r="AL850" s="84" cm="1">
        <f t="array" ref="AL8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50" s="84" cm="1">
        <f t="array" ref="AM8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0" s="84" cm="1">
        <f t="array" ref="AN8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0" s="84" cm="1">
        <f t="array" ref="AO8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0" s="84" cm="1">
        <f t="array" ref="AP8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0" s="84" cm="1">
        <f t="array" ref="AQ8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50" s="84" cm="1">
        <f t="array" ref="AR8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0" s="84" cm="1">
        <f t="array" ref="AS8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50" s="84" cm="1">
        <f t="array" ref="AT8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0" s="84" cm="1">
        <f t="array" ref="AU8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50" s="84" cm="1">
        <f t="array" ref="AV8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0" s="84" cm="1">
        <f t="array" ref="AW8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50" s="84" cm="1">
        <f t="array" ref="AX8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0" s="84" cm="1">
        <f t="array" ref="AY8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50" s="84" cm="1">
        <f t="array" ref="AZ8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50" s="84" cm="1">
        <f t="array" ref="BA8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50" s="84" cm="1">
        <f t="array" ref="BB8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50" s="84">
        <f>IF(SUM(Table3[[#This Row],[Column2]:[Column18]])&gt;Table3[[#This Row],[Column19]],Table3[[#This Row],[Column19]],SUM(Table3[[#This Row],[Column2]:[Column18]]))</f>
        <v>50000</v>
      </c>
      <c r="BD850" s="2">
        <f>Table3[[#This Row],[Total Spend]]/SUM(Table3[[#This Row],[Column2]:[Column18]])</f>
        <v>0.41459369817578773</v>
      </c>
    </row>
    <row r="851" spans="1:56">
      <c r="A851" s="87" t="s">
        <v>925</v>
      </c>
      <c r="B851" s="87"/>
      <c r="C851" s="87"/>
      <c r="D851" s="85">
        <v>45566</v>
      </c>
      <c r="E851" s="85" t="s">
        <v>58</v>
      </c>
      <c r="F851" s="84">
        <f>INDEX(Definitions!$G$13:$G$17,MATCH(Table3[[#This Row],[Propensity to buy/ buyer readiness]],Definitions!$A$13:$A$17,0))</f>
        <v>150000</v>
      </c>
      <c r="G851" s="86">
        <v>3</v>
      </c>
      <c r="H851" s="86">
        <v>3</v>
      </c>
      <c r="I851" s="86">
        <v>3</v>
      </c>
      <c r="J851" s="86">
        <v>3</v>
      </c>
      <c r="K851" s="86">
        <v>4</v>
      </c>
      <c r="L851" s="86">
        <f>SUM(Table3[[#This Row],[Strategic priority segment]:[Propensity to buy/ buyer readiness]])</f>
        <v>16</v>
      </c>
      <c r="M851" s="86" t="s">
        <v>152</v>
      </c>
      <c r="N851" s="84" t="s">
        <v>122</v>
      </c>
      <c r="O851" s="87" t="s">
        <v>135</v>
      </c>
      <c r="P851" s="87"/>
      <c r="Q851" s="87"/>
      <c r="R851" s="84"/>
      <c r="S851" s="87"/>
      <c r="T851" s="87"/>
      <c r="U851" s="84">
        <v>1</v>
      </c>
      <c r="V851" s="84">
        <v>0</v>
      </c>
      <c r="W851" s="84">
        <v>0</v>
      </c>
      <c r="X851" s="84">
        <v>0</v>
      </c>
      <c r="Y851" s="84">
        <v>0</v>
      </c>
      <c r="Z851" s="84">
        <v>1</v>
      </c>
      <c r="AA851" s="84">
        <v>0</v>
      </c>
      <c r="AB851" s="84">
        <v>1</v>
      </c>
      <c r="AC851" s="84">
        <v>0</v>
      </c>
      <c r="AD851" s="84">
        <v>1</v>
      </c>
      <c r="AE851" s="84">
        <v>0</v>
      </c>
      <c r="AF851" s="84">
        <v>1</v>
      </c>
      <c r="AG851" s="84">
        <v>0</v>
      </c>
      <c r="AH851" s="84">
        <v>1</v>
      </c>
      <c r="AI851" s="84">
        <v>1</v>
      </c>
      <c r="AJ851" s="84">
        <v>1</v>
      </c>
      <c r="AK851" s="84">
        <v>1</v>
      </c>
      <c r="AL851" s="84" cm="1">
        <f t="array" ref="AL8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51" s="84" cm="1">
        <f t="array" ref="AM8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1" s="84" cm="1">
        <f t="array" ref="AN8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1" s="84" cm="1">
        <f t="array" ref="AO8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1" s="84" cm="1">
        <f t="array" ref="AP8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1" s="84" cm="1">
        <f t="array" ref="AQ8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51" s="84" cm="1">
        <f t="array" ref="AR8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1" s="84" cm="1">
        <f t="array" ref="AS8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51" s="84" cm="1">
        <f t="array" ref="AT8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1" s="84" cm="1">
        <f t="array" ref="AU8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51" s="84" cm="1">
        <f t="array" ref="AV8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1" s="84" cm="1">
        <f t="array" ref="AW8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51" s="84" cm="1">
        <f t="array" ref="AX8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1" s="84" cm="1">
        <f t="array" ref="AY8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51" s="84" cm="1">
        <f t="array" ref="AZ8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51" s="84" cm="1">
        <f t="array" ref="BA8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51" s="84" cm="1">
        <f t="array" ref="BB8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51" s="84">
        <f>IF(SUM(Table3[[#This Row],[Column2]:[Column18]])&gt;Table3[[#This Row],[Column19]],Table3[[#This Row],[Column19]],SUM(Table3[[#This Row],[Column2]:[Column18]]))</f>
        <v>150000</v>
      </c>
      <c r="BD851" s="2">
        <f>Table3[[#This Row],[Total Spend]]/SUM(Table3[[#This Row],[Column2]:[Column18]])</f>
        <v>0.6472491909385113</v>
      </c>
    </row>
    <row r="852" spans="1:56">
      <c r="A852" s="84" t="s">
        <v>926</v>
      </c>
      <c r="B852" s="84"/>
      <c r="C852" s="84"/>
      <c r="D852" s="85">
        <v>45566</v>
      </c>
      <c r="E852" s="85" t="s">
        <v>58</v>
      </c>
      <c r="F852" s="84">
        <f>INDEX(Definitions!$G$13:$G$17,MATCH(Table3[[#This Row],[Propensity to buy/ buyer readiness]],Definitions!$A$13:$A$17,0))</f>
        <v>150000</v>
      </c>
      <c r="G852" s="86">
        <v>3</v>
      </c>
      <c r="H852" s="86">
        <v>3</v>
      </c>
      <c r="I852" s="86">
        <v>3</v>
      </c>
      <c r="J852" s="86">
        <v>3</v>
      </c>
      <c r="K852" s="86">
        <v>4</v>
      </c>
      <c r="L852" s="86">
        <f>SUM(Table3[[#This Row],[Strategic priority segment]:[Propensity to buy/ buyer readiness]])</f>
        <v>16</v>
      </c>
      <c r="M852" s="86" t="s">
        <v>152</v>
      </c>
      <c r="N852" s="84" t="s">
        <v>122</v>
      </c>
      <c r="O852" s="84"/>
      <c r="P852" s="87"/>
      <c r="Q852" s="87"/>
      <c r="R852" s="84"/>
      <c r="S852" s="87"/>
      <c r="T852" s="87"/>
      <c r="U852" s="84">
        <v>1</v>
      </c>
      <c r="V852" s="84">
        <v>0</v>
      </c>
      <c r="W852" s="84">
        <v>0</v>
      </c>
      <c r="X852" s="84">
        <v>0</v>
      </c>
      <c r="Y852" s="84">
        <v>0</v>
      </c>
      <c r="Z852" s="84">
        <v>1</v>
      </c>
      <c r="AA852" s="84">
        <v>0</v>
      </c>
      <c r="AB852" s="84">
        <v>1</v>
      </c>
      <c r="AC852" s="84">
        <v>0</v>
      </c>
      <c r="AD852" s="84">
        <v>1</v>
      </c>
      <c r="AE852" s="84">
        <v>0</v>
      </c>
      <c r="AF852" s="84">
        <v>1</v>
      </c>
      <c r="AG852" s="84">
        <v>0</v>
      </c>
      <c r="AH852" s="84">
        <v>0</v>
      </c>
      <c r="AI852" s="84">
        <v>0</v>
      </c>
      <c r="AJ852" s="84">
        <v>0</v>
      </c>
      <c r="AK852" s="84">
        <v>0</v>
      </c>
      <c r="AL852" s="84" cm="1">
        <f t="array" ref="AL8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52" s="84" cm="1">
        <f t="array" ref="AM8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2" s="84" cm="1">
        <f t="array" ref="AN8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2" s="84" cm="1">
        <f t="array" ref="AO8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2" s="84" cm="1">
        <f t="array" ref="AP8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2" s="84" cm="1">
        <f t="array" ref="AQ8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52" s="84" cm="1">
        <f t="array" ref="AR8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2" s="84" cm="1">
        <f t="array" ref="AS8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52" s="84" cm="1">
        <f t="array" ref="AT8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2" s="84" cm="1">
        <f t="array" ref="AU8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52" s="84" cm="1">
        <f t="array" ref="AV8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2" s="84" cm="1">
        <f t="array" ref="AW8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52" s="84" cm="1">
        <f t="array" ref="AX8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2" s="84" cm="1">
        <f t="array" ref="AY8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52" s="84" cm="1">
        <f t="array" ref="AZ8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52" s="84" cm="1">
        <f t="array" ref="BA8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52" s="84" cm="1">
        <f t="array" ref="BB8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52" s="84">
        <f>IF(SUM(Table3[[#This Row],[Column2]:[Column18]])&gt;Table3[[#This Row],[Column19]],Table3[[#This Row],[Column19]],SUM(Table3[[#This Row],[Column2]:[Column18]]))</f>
        <v>150000</v>
      </c>
      <c r="BD852" s="2">
        <f>Table3[[#This Row],[Total Spend]]/SUM(Table3[[#This Row],[Column2]:[Column18]])</f>
        <v>0.89605734767025091</v>
      </c>
    </row>
    <row r="853" spans="1:56">
      <c r="A853" s="84" t="s">
        <v>927</v>
      </c>
      <c r="B853" s="84"/>
      <c r="C853" s="84"/>
      <c r="D853" s="85">
        <v>45566</v>
      </c>
      <c r="E853" s="85" t="s">
        <v>58</v>
      </c>
      <c r="F853" s="84">
        <f>INDEX(Definitions!$G$13:$G$17,MATCH(Table3[[#This Row],[Propensity to buy/ buyer readiness]],Definitions!$A$13:$A$17,0))</f>
        <v>150000</v>
      </c>
      <c r="G853" s="86">
        <v>3</v>
      </c>
      <c r="H853" s="86">
        <v>3</v>
      </c>
      <c r="I853" s="86">
        <v>3</v>
      </c>
      <c r="J853" s="86">
        <v>3</v>
      </c>
      <c r="K853" s="86">
        <v>4</v>
      </c>
      <c r="L853" s="86">
        <f>SUM(Table3[[#This Row],[Strategic priority segment]:[Propensity to buy/ buyer readiness]])</f>
        <v>16</v>
      </c>
      <c r="M853" s="86" t="s">
        <v>152</v>
      </c>
      <c r="N853" s="84" t="s">
        <v>122</v>
      </c>
      <c r="O853" s="87" t="s">
        <v>135</v>
      </c>
      <c r="P853" s="87"/>
      <c r="Q853" s="87"/>
      <c r="R853" s="87"/>
      <c r="S853" s="87"/>
      <c r="T853" s="87"/>
      <c r="U853" s="84">
        <v>1</v>
      </c>
      <c r="V853" s="84">
        <v>0</v>
      </c>
      <c r="W853" s="84">
        <v>0</v>
      </c>
      <c r="X853" s="84">
        <v>0</v>
      </c>
      <c r="Y853" s="84">
        <v>0</v>
      </c>
      <c r="Z853" s="84">
        <v>1</v>
      </c>
      <c r="AA853" s="84">
        <v>0</v>
      </c>
      <c r="AB853" s="84">
        <v>1</v>
      </c>
      <c r="AC853" s="84">
        <v>0</v>
      </c>
      <c r="AD853" s="84">
        <v>1</v>
      </c>
      <c r="AE853" s="84">
        <v>0</v>
      </c>
      <c r="AF853" s="84">
        <v>1</v>
      </c>
      <c r="AG853" s="84">
        <v>0</v>
      </c>
      <c r="AH853" s="84">
        <v>1</v>
      </c>
      <c r="AI853" s="84">
        <v>1</v>
      </c>
      <c r="AJ853" s="84">
        <v>1</v>
      </c>
      <c r="AK853" s="84">
        <v>1</v>
      </c>
      <c r="AL853" s="84" cm="1">
        <f t="array" ref="AL8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53" s="84" cm="1">
        <f t="array" ref="AM8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3" s="84" cm="1">
        <f t="array" ref="AN8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3" s="84" cm="1">
        <f t="array" ref="AO8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3" s="84" cm="1">
        <f t="array" ref="AP8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3" s="84" cm="1">
        <f t="array" ref="AQ8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53" s="84" cm="1">
        <f t="array" ref="AR8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3" s="84" cm="1">
        <f t="array" ref="AS8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53" s="84" cm="1">
        <f t="array" ref="AT8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3" s="84" cm="1">
        <f t="array" ref="AU8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53" s="84" cm="1">
        <f t="array" ref="AV8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3" s="84" cm="1">
        <f t="array" ref="AW8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53" s="84" cm="1">
        <f t="array" ref="AX8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3" s="84" cm="1">
        <f t="array" ref="AY8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53" s="84" cm="1">
        <f t="array" ref="AZ8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53" s="84" cm="1">
        <f t="array" ref="BA8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53" s="84" cm="1">
        <f t="array" ref="BB8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853" s="84">
        <f>IF(SUM(Table3[[#This Row],[Column2]:[Column18]])&gt;Table3[[#This Row],[Column19]],Table3[[#This Row],[Column19]],SUM(Table3[[#This Row],[Column2]:[Column18]]))</f>
        <v>150000</v>
      </c>
      <c r="BD853" s="2">
        <f>Table3[[#This Row],[Total Spend]]/SUM(Table3[[#This Row],[Column2]:[Column18]])</f>
        <v>0.6472491909385113</v>
      </c>
    </row>
    <row r="854" spans="1:56">
      <c r="A854" s="84" t="s">
        <v>928</v>
      </c>
      <c r="B854" s="84"/>
      <c r="C854" s="84"/>
      <c r="D854" s="85">
        <v>45566</v>
      </c>
      <c r="E854" s="85" t="s">
        <v>92</v>
      </c>
      <c r="F854" s="84">
        <f>INDEX(Definitions!$G$13:$G$17,MATCH(Table3[[#This Row],[Propensity to buy/ buyer readiness]],Definitions!$A$13:$A$17,0))</f>
        <v>50000</v>
      </c>
      <c r="G854" s="86">
        <v>4</v>
      </c>
      <c r="H854" s="86">
        <v>3</v>
      </c>
      <c r="I854" s="86">
        <v>3</v>
      </c>
      <c r="J854" s="86">
        <v>3</v>
      </c>
      <c r="K854" s="86">
        <v>3</v>
      </c>
      <c r="L854" s="86">
        <f>SUM(Table3[[#This Row],[Strategic priority segment]:[Propensity to buy/ buyer readiness]])</f>
        <v>16</v>
      </c>
      <c r="M854" s="86" t="s">
        <v>191</v>
      </c>
      <c r="N854" s="84" t="s">
        <v>76</v>
      </c>
      <c r="O854" s="84" t="s">
        <v>135</v>
      </c>
      <c r="P854" s="84" t="s">
        <v>135</v>
      </c>
      <c r="Q854" s="84"/>
      <c r="R854" s="84"/>
      <c r="S854" s="87"/>
      <c r="T854" s="87"/>
      <c r="U854" s="84">
        <v>0</v>
      </c>
      <c r="V854" s="84">
        <v>0</v>
      </c>
      <c r="W854" s="84">
        <v>0</v>
      </c>
      <c r="X854" s="84">
        <v>0</v>
      </c>
      <c r="Y854" s="84">
        <v>0</v>
      </c>
      <c r="Z854" s="84">
        <v>0</v>
      </c>
      <c r="AA854" s="84">
        <v>0</v>
      </c>
      <c r="AB854" s="84">
        <v>0</v>
      </c>
      <c r="AC854" s="84">
        <v>0</v>
      </c>
      <c r="AD854" s="84">
        <v>0</v>
      </c>
      <c r="AE854" s="84">
        <v>0</v>
      </c>
      <c r="AF854" s="84">
        <v>0</v>
      </c>
      <c r="AG854" s="84">
        <v>0</v>
      </c>
      <c r="AH854" s="84">
        <v>1</v>
      </c>
      <c r="AI854" s="84">
        <v>1</v>
      </c>
      <c r="AJ854" s="84">
        <v>1</v>
      </c>
      <c r="AK854" s="84">
        <v>1</v>
      </c>
      <c r="AL854" s="84" cm="1">
        <f t="array" ref="AL8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54" s="84" cm="1">
        <f t="array" ref="AM8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4" s="84" cm="1">
        <f t="array" ref="AN8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4" s="84" cm="1">
        <f t="array" ref="AO8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4" s="84" cm="1">
        <f t="array" ref="AP8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4" s="84" cm="1">
        <f t="array" ref="AQ8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54" s="84" cm="1">
        <f t="array" ref="AR8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4" s="84" cm="1">
        <f t="array" ref="AS8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54" s="84" cm="1">
        <f t="array" ref="AT8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4" s="84" cm="1">
        <f t="array" ref="AU8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54" s="84" cm="1">
        <f t="array" ref="AV8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4" s="84" cm="1">
        <f t="array" ref="AW8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4" s="84" cm="1">
        <f t="array" ref="AX8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4" s="84" cm="1">
        <f t="array" ref="AY8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54" s="84" cm="1">
        <f t="array" ref="AZ8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54" s="84" cm="1">
        <f t="array" ref="BA8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54" s="84" cm="1">
        <f t="array" ref="BB8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54" s="84">
        <f>IF(SUM(Table3[[#This Row],[Column2]:[Column18]])&gt;Table3[[#This Row],[Column19]],Table3[[#This Row],[Column19]],SUM(Table3[[#This Row],[Column2]:[Column18]]))</f>
        <v>46350</v>
      </c>
      <c r="BD854" s="2">
        <f>Table3[[#This Row],[Total Spend]]/SUM(Table3[[#This Row],[Column2]:[Column18]])</f>
        <v>1</v>
      </c>
    </row>
    <row r="855" spans="1:56">
      <c r="A855" s="84" t="s">
        <v>929</v>
      </c>
      <c r="B855" s="84"/>
      <c r="C855" s="84"/>
      <c r="D855" s="85">
        <v>45566</v>
      </c>
      <c r="E855" s="85" t="s">
        <v>92</v>
      </c>
      <c r="F855" s="84">
        <f>INDEX(Definitions!$G$13:$G$17,MATCH(Table3[[#This Row],[Propensity to buy/ buyer readiness]],Definitions!$A$13:$A$17,0))</f>
        <v>50000</v>
      </c>
      <c r="G855" s="86">
        <v>4</v>
      </c>
      <c r="H855" s="86">
        <v>3</v>
      </c>
      <c r="I855" s="86">
        <v>3</v>
      </c>
      <c r="J855" s="86">
        <v>3</v>
      </c>
      <c r="K855" s="86">
        <v>3</v>
      </c>
      <c r="L855" s="86">
        <f>SUM(Table3[[#This Row],[Strategic priority segment]:[Propensity to buy/ buyer readiness]])</f>
        <v>16</v>
      </c>
      <c r="M855" s="86" t="s">
        <v>191</v>
      </c>
      <c r="N855" s="84" t="s">
        <v>76</v>
      </c>
      <c r="O855" s="84" t="s">
        <v>135</v>
      </c>
      <c r="P855" s="84"/>
      <c r="Q855" s="84"/>
      <c r="R855" s="84"/>
      <c r="S855" s="87"/>
      <c r="T855" s="87"/>
      <c r="U855" s="84">
        <v>0</v>
      </c>
      <c r="V855" s="84">
        <v>0</v>
      </c>
      <c r="W855" s="84">
        <v>0</v>
      </c>
      <c r="X855" s="84">
        <v>0</v>
      </c>
      <c r="Y855" s="84">
        <v>0</v>
      </c>
      <c r="Z855" s="84">
        <v>0</v>
      </c>
      <c r="AA855" s="84">
        <v>0</v>
      </c>
      <c r="AB855" s="84">
        <v>0</v>
      </c>
      <c r="AC855" s="84">
        <v>0</v>
      </c>
      <c r="AD855" s="84">
        <v>0</v>
      </c>
      <c r="AE855" s="84">
        <v>0</v>
      </c>
      <c r="AF855" s="84">
        <v>0</v>
      </c>
      <c r="AG855" s="84">
        <v>0</v>
      </c>
      <c r="AH855" s="84">
        <v>1</v>
      </c>
      <c r="AI855" s="84">
        <v>1</v>
      </c>
      <c r="AJ855" s="84">
        <v>1</v>
      </c>
      <c r="AK855" s="84">
        <v>1</v>
      </c>
      <c r="AL855" s="84" cm="1">
        <f t="array" ref="AL8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55" s="84" cm="1">
        <f t="array" ref="AM8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5" s="84" cm="1">
        <f t="array" ref="AN8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5" s="84" cm="1">
        <f t="array" ref="AO8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5" s="84" cm="1">
        <f t="array" ref="AP8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5" s="84" cm="1">
        <f t="array" ref="AQ8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55" s="84" cm="1">
        <f t="array" ref="AR8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5" s="84" cm="1">
        <f t="array" ref="AS8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55" s="84" cm="1">
        <f t="array" ref="AT8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5" s="84" cm="1">
        <f t="array" ref="AU8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55" s="84" cm="1">
        <f t="array" ref="AV8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5" s="84" cm="1">
        <f t="array" ref="AW8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5" s="84" cm="1">
        <f t="array" ref="AX8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5" s="84" cm="1">
        <f t="array" ref="AY8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55" s="84" cm="1">
        <f t="array" ref="AZ8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55" s="84" cm="1">
        <f t="array" ref="BA8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55" s="84" cm="1">
        <f t="array" ref="BB8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55" s="84">
        <f>IF(SUM(Table3[[#This Row],[Column2]:[Column18]])&gt;Table3[[#This Row],[Column19]],Table3[[#This Row],[Column19]],SUM(Table3[[#This Row],[Column2]:[Column18]]))</f>
        <v>46350</v>
      </c>
      <c r="BD855" s="2">
        <f>Table3[[#This Row],[Total Spend]]/SUM(Table3[[#This Row],[Column2]:[Column18]])</f>
        <v>1</v>
      </c>
    </row>
    <row r="856" spans="1:56">
      <c r="A856" s="84" t="s">
        <v>930</v>
      </c>
      <c r="B856" s="84"/>
      <c r="C856" s="84"/>
      <c r="D856" s="85">
        <v>45566</v>
      </c>
      <c r="E856" s="85" t="s">
        <v>58</v>
      </c>
      <c r="F856" s="84">
        <f>INDEX(Definitions!$G$13:$G$17,MATCH(Table3[[#This Row],[Propensity to buy/ buyer readiness]],Definitions!$A$13:$A$17,0))</f>
        <v>50000</v>
      </c>
      <c r="G856" s="86">
        <v>3</v>
      </c>
      <c r="H856" s="86">
        <v>3</v>
      </c>
      <c r="I856" s="86">
        <v>3</v>
      </c>
      <c r="J856" s="86">
        <v>4</v>
      </c>
      <c r="K856" s="86">
        <v>3</v>
      </c>
      <c r="L856" s="86">
        <f>SUM(Table3[[#This Row],[Strategic priority segment]:[Propensity to buy/ buyer readiness]])</f>
        <v>16</v>
      </c>
      <c r="M856" s="86" t="s">
        <v>59</v>
      </c>
      <c r="N856" s="84" t="s">
        <v>265</v>
      </c>
      <c r="O856" s="84"/>
      <c r="P856" s="87"/>
      <c r="Q856" s="87"/>
      <c r="R856" s="84"/>
      <c r="S856" s="87"/>
      <c r="T856" s="87"/>
      <c r="U856" s="84">
        <v>1</v>
      </c>
      <c r="V856" s="84">
        <v>1</v>
      </c>
      <c r="W856" s="84">
        <v>1</v>
      </c>
      <c r="X856" s="84">
        <v>1</v>
      </c>
      <c r="Y856" s="84">
        <v>0</v>
      </c>
      <c r="Z856" s="84">
        <v>0</v>
      </c>
      <c r="AA856" s="84">
        <v>0</v>
      </c>
      <c r="AB856" s="84">
        <v>0</v>
      </c>
      <c r="AC856" s="84">
        <v>0</v>
      </c>
      <c r="AD856" s="84">
        <v>0</v>
      </c>
      <c r="AE856" s="84">
        <v>0</v>
      </c>
      <c r="AF856" s="84">
        <v>0</v>
      </c>
      <c r="AG856" s="84">
        <v>0</v>
      </c>
      <c r="AH856" s="84">
        <v>0</v>
      </c>
      <c r="AI856" s="84">
        <v>1</v>
      </c>
      <c r="AJ856" s="84">
        <v>0</v>
      </c>
      <c r="AK856" s="84">
        <v>0</v>
      </c>
      <c r="AL856" s="84" cm="1">
        <f t="array" ref="AL8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56" s="84" cm="1">
        <f t="array" ref="AM8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56" s="84" cm="1">
        <f t="array" ref="AN8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56" s="84" cm="1">
        <f t="array" ref="AO8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56" s="84" cm="1">
        <f t="array" ref="AP8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6" s="84" cm="1">
        <f t="array" ref="AQ8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56" s="84" cm="1">
        <f t="array" ref="AR8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6" s="84" cm="1">
        <f t="array" ref="AS8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56" s="84" cm="1">
        <f t="array" ref="AT8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6" s="84" cm="1">
        <f t="array" ref="AU8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56" s="84" cm="1">
        <f t="array" ref="AV8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6" s="84" cm="1">
        <f t="array" ref="AW8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6" s="84" cm="1">
        <f t="array" ref="AX8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6" s="84" cm="1">
        <f t="array" ref="AY8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56" s="84" cm="1">
        <f t="array" ref="AZ8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56" s="84" cm="1">
        <f t="array" ref="BA8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56" s="84" cm="1">
        <f t="array" ref="BB8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56" s="84">
        <f>IF(SUM(Table3[[#This Row],[Column2]:[Column18]])&gt;Table3[[#This Row],[Column19]],Table3[[#This Row],[Column19]],SUM(Table3[[#This Row],[Column2]:[Column18]]))</f>
        <v>50000</v>
      </c>
      <c r="BD856" s="2">
        <f>Table3[[#This Row],[Total Spend]]/SUM(Table3[[#This Row],[Column2]:[Column18]])</f>
        <v>0.26021337496747332</v>
      </c>
    </row>
    <row r="857" spans="1:56">
      <c r="A857" s="84" t="s">
        <v>931</v>
      </c>
      <c r="B857" s="84"/>
      <c r="C857" s="84"/>
      <c r="D857" s="85">
        <v>45566</v>
      </c>
      <c r="E857" s="85" t="s">
        <v>92</v>
      </c>
      <c r="F857" s="84">
        <f>INDEX(Definitions!$G$13:$G$17,MATCH(Table3[[#This Row],[Propensity to buy/ buyer readiness]],Definitions!$A$13:$A$17,0))</f>
        <v>50000</v>
      </c>
      <c r="G857" s="86">
        <v>4</v>
      </c>
      <c r="H857" s="86">
        <v>3</v>
      </c>
      <c r="I857" s="86">
        <v>3</v>
      </c>
      <c r="J857" s="86">
        <v>3</v>
      </c>
      <c r="K857" s="86">
        <v>3</v>
      </c>
      <c r="L857" s="86">
        <f>SUM(Table3[[#This Row],[Strategic priority segment]:[Propensity to buy/ buyer readiness]])</f>
        <v>16</v>
      </c>
      <c r="M857" s="86" t="s">
        <v>191</v>
      </c>
      <c r="N857" s="84" t="s">
        <v>76</v>
      </c>
      <c r="O857" s="84" t="s">
        <v>135</v>
      </c>
      <c r="P857" s="84"/>
      <c r="Q857" s="84"/>
      <c r="R857" s="84"/>
      <c r="S857" s="87"/>
      <c r="T857" s="87"/>
      <c r="U857" s="84">
        <v>0</v>
      </c>
      <c r="V857" s="84">
        <v>0</v>
      </c>
      <c r="W857" s="84">
        <v>0</v>
      </c>
      <c r="X857" s="84">
        <v>0</v>
      </c>
      <c r="Y857" s="84">
        <v>0</v>
      </c>
      <c r="Z857" s="84">
        <v>0</v>
      </c>
      <c r="AA857" s="84">
        <v>0</v>
      </c>
      <c r="AB857" s="84">
        <v>0</v>
      </c>
      <c r="AC857" s="84">
        <v>0</v>
      </c>
      <c r="AD857" s="84">
        <v>0</v>
      </c>
      <c r="AE857" s="84">
        <v>0</v>
      </c>
      <c r="AF857" s="84">
        <v>0</v>
      </c>
      <c r="AG857" s="84">
        <v>0</v>
      </c>
      <c r="AH857" s="84">
        <v>1</v>
      </c>
      <c r="AI857" s="84">
        <v>1</v>
      </c>
      <c r="AJ857" s="84">
        <v>1</v>
      </c>
      <c r="AK857" s="84">
        <v>1</v>
      </c>
      <c r="AL857" s="84" cm="1">
        <f t="array" ref="AL8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57" s="84" cm="1">
        <f t="array" ref="AM8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7" s="84" cm="1">
        <f t="array" ref="AN8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7" s="84" cm="1">
        <f t="array" ref="AO8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7" s="84" cm="1">
        <f t="array" ref="AP8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7" s="84" cm="1">
        <f t="array" ref="AQ8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57" s="84" cm="1">
        <f t="array" ref="AR8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7" s="84" cm="1">
        <f t="array" ref="AS8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57" s="84" cm="1">
        <f t="array" ref="AT8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7" s="84" cm="1">
        <f t="array" ref="AU8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57" s="84" cm="1">
        <f t="array" ref="AV8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7" s="84" cm="1">
        <f t="array" ref="AW8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7" s="84" cm="1">
        <f t="array" ref="AX8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7" s="84" cm="1">
        <f t="array" ref="AY8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57" s="84" cm="1">
        <f t="array" ref="AZ8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57" s="84" cm="1">
        <f t="array" ref="BA8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57" s="84" cm="1">
        <f t="array" ref="BB8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57" s="84">
        <f>IF(SUM(Table3[[#This Row],[Column2]:[Column18]])&gt;Table3[[#This Row],[Column19]],Table3[[#This Row],[Column19]],SUM(Table3[[#This Row],[Column2]:[Column18]]))</f>
        <v>46350</v>
      </c>
      <c r="BD857" s="2">
        <f>Table3[[#This Row],[Total Spend]]/SUM(Table3[[#This Row],[Column2]:[Column18]])</f>
        <v>1</v>
      </c>
    </row>
    <row r="858" spans="1:56">
      <c r="A858" s="84" t="s">
        <v>932</v>
      </c>
      <c r="B858" s="84"/>
      <c r="C858" s="84"/>
      <c r="D858" s="85">
        <v>45566</v>
      </c>
      <c r="E858" s="85" t="s">
        <v>92</v>
      </c>
      <c r="F858" s="84">
        <f>INDEX(Definitions!$G$13:$G$17,MATCH(Table3[[#This Row],[Propensity to buy/ buyer readiness]],Definitions!$A$13:$A$17,0))</f>
        <v>50000</v>
      </c>
      <c r="G858" s="86">
        <v>4</v>
      </c>
      <c r="H858" s="86">
        <v>3</v>
      </c>
      <c r="I858" s="86">
        <v>3</v>
      </c>
      <c r="J858" s="86">
        <v>3</v>
      </c>
      <c r="K858" s="86">
        <v>3</v>
      </c>
      <c r="L858" s="86">
        <f>SUM(Table3[[#This Row],[Strategic priority segment]:[Propensity to buy/ buyer readiness]])</f>
        <v>16</v>
      </c>
      <c r="M858" s="86" t="s">
        <v>191</v>
      </c>
      <c r="N858" s="84" t="s">
        <v>76</v>
      </c>
      <c r="O858" s="84" t="s">
        <v>135</v>
      </c>
      <c r="P858" s="84"/>
      <c r="Q858" s="84"/>
      <c r="R858" s="84"/>
      <c r="S858" s="87"/>
      <c r="T858" s="87"/>
      <c r="U858" s="84">
        <v>0</v>
      </c>
      <c r="V858" s="84">
        <v>0</v>
      </c>
      <c r="W858" s="84">
        <v>0</v>
      </c>
      <c r="X858" s="84">
        <v>0</v>
      </c>
      <c r="Y858" s="84">
        <v>0</v>
      </c>
      <c r="Z858" s="84">
        <v>0</v>
      </c>
      <c r="AA858" s="84">
        <v>0</v>
      </c>
      <c r="AB858" s="84">
        <v>0</v>
      </c>
      <c r="AC858" s="84">
        <v>0</v>
      </c>
      <c r="AD858" s="84">
        <v>0</v>
      </c>
      <c r="AE858" s="84">
        <v>0</v>
      </c>
      <c r="AF858" s="84">
        <v>0</v>
      </c>
      <c r="AG858" s="84">
        <v>0</v>
      </c>
      <c r="AH858" s="84">
        <v>1</v>
      </c>
      <c r="AI858" s="84">
        <v>1</v>
      </c>
      <c r="AJ858" s="84">
        <v>1</v>
      </c>
      <c r="AK858" s="84">
        <v>1</v>
      </c>
      <c r="AL858" s="84" cm="1">
        <f t="array" ref="AL8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58" s="84" cm="1">
        <f t="array" ref="AM8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8" s="84" cm="1">
        <f t="array" ref="AN8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8" s="84" cm="1">
        <f t="array" ref="AO8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8" s="84" cm="1">
        <f t="array" ref="AP8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8" s="84" cm="1">
        <f t="array" ref="AQ8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58" s="84" cm="1">
        <f t="array" ref="AR8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8" s="84" cm="1">
        <f t="array" ref="AS8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58" s="84" cm="1">
        <f t="array" ref="AT8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8" s="84" cm="1">
        <f t="array" ref="AU8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58" s="84" cm="1">
        <f t="array" ref="AV8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8" s="84" cm="1">
        <f t="array" ref="AW8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8" s="84" cm="1">
        <f t="array" ref="AX8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8" s="84" cm="1">
        <f t="array" ref="AY8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58" s="84" cm="1">
        <f t="array" ref="AZ8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58" s="84" cm="1">
        <f t="array" ref="BA8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58" s="84" cm="1">
        <f t="array" ref="BB8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58" s="84">
        <f>IF(SUM(Table3[[#This Row],[Column2]:[Column18]])&gt;Table3[[#This Row],[Column19]],Table3[[#This Row],[Column19]],SUM(Table3[[#This Row],[Column2]:[Column18]]))</f>
        <v>46350</v>
      </c>
      <c r="BD858" s="2">
        <f>Table3[[#This Row],[Total Spend]]/SUM(Table3[[#This Row],[Column2]:[Column18]])</f>
        <v>1</v>
      </c>
    </row>
    <row r="859" spans="1:56">
      <c r="A859" s="84" t="s">
        <v>933</v>
      </c>
      <c r="B859" s="84"/>
      <c r="C859" s="84"/>
      <c r="D859" s="85">
        <v>45566</v>
      </c>
      <c r="E859" s="85" t="s">
        <v>58</v>
      </c>
      <c r="F859" s="84">
        <f>INDEX(Definitions!$G$13:$G$17,MATCH(Table3[[#This Row],[Propensity to buy/ buyer readiness]],Definitions!$A$13:$A$17,0))</f>
        <v>150000</v>
      </c>
      <c r="G859" s="86">
        <v>3</v>
      </c>
      <c r="H859" s="86">
        <v>3</v>
      </c>
      <c r="I859" s="86">
        <v>3</v>
      </c>
      <c r="J859" s="86">
        <v>3</v>
      </c>
      <c r="K859" s="86">
        <v>4</v>
      </c>
      <c r="L859" s="86">
        <f>SUM(Table3[[#This Row],[Strategic priority segment]:[Propensity to buy/ buyer readiness]])</f>
        <v>16</v>
      </c>
      <c r="M859" s="86" t="s">
        <v>191</v>
      </c>
      <c r="N859" s="84" t="s">
        <v>76</v>
      </c>
      <c r="O859" s="84"/>
      <c r="P859" s="84"/>
      <c r="Q859" s="84"/>
      <c r="R859" s="84"/>
      <c r="S859" s="87"/>
      <c r="T859" s="87"/>
      <c r="U859" s="84">
        <v>0</v>
      </c>
      <c r="V859" s="84">
        <v>0</v>
      </c>
      <c r="W859" s="84">
        <v>0</v>
      </c>
      <c r="X859" s="84">
        <v>0</v>
      </c>
      <c r="Y859" s="84">
        <v>0</v>
      </c>
      <c r="Z859" s="84">
        <v>0</v>
      </c>
      <c r="AA859" s="84">
        <v>0</v>
      </c>
      <c r="AB859" s="84">
        <v>0</v>
      </c>
      <c r="AC859" s="84">
        <v>0</v>
      </c>
      <c r="AD859" s="84">
        <v>0</v>
      </c>
      <c r="AE859" s="84">
        <v>0</v>
      </c>
      <c r="AF859" s="84">
        <v>0</v>
      </c>
      <c r="AG859" s="84">
        <v>0</v>
      </c>
      <c r="AH859" s="84">
        <v>1</v>
      </c>
      <c r="AI859" s="84">
        <v>0</v>
      </c>
      <c r="AJ859" s="84">
        <v>1</v>
      </c>
      <c r="AK859" s="84">
        <v>0</v>
      </c>
      <c r="AL859" s="84" cm="1">
        <f t="array" ref="AL8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59" s="84" cm="1">
        <f t="array" ref="AM8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59" s="84" cm="1">
        <f t="array" ref="AN8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59" s="84" cm="1">
        <f t="array" ref="AO8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59" s="84" cm="1">
        <f t="array" ref="AP8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59" s="84" cm="1">
        <f t="array" ref="AQ8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59" s="84" cm="1">
        <f t="array" ref="AR8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59" s="84" cm="1">
        <f t="array" ref="AS8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59" s="84" cm="1">
        <f t="array" ref="AT8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59" s="84" cm="1">
        <f t="array" ref="AU8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59" s="84" cm="1">
        <f t="array" ref="AV8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59" s="84" cm="1">
        <f t="array" ref="AW8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59" s="84" cm="1">
        <f t="array" ref="AX8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59" s="84" cm="1">
        <f t="array" ref="AY8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859" s="84" cm="1">
        <f t="array" ref="AZ8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59" s="84" cm="1">
        <f t="array" ref="BA8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859" s="84" cm="1">
        <f t="array" ref="BB8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59" s="84">
        <f>IF(SUM(Table3[[#This Row],[Column2]:[Column18]])&gt;Table3[[#This Row],[Column19]],Table3[[#This Row],[Column19]],SUM(Table3[[#This Row],[Column2]:[Column18]]))</f>
        <v>42300</v>
      </c>
      <c r="BD859" s="2">
        <f>Table3[[#This Row],[Total Spend]]/SUM(Table3[[#This Row],[Column2]:[Column18]])</f>
        <v>1</v>
      </c>
    </row>
    <row r="860" spans="1:56">
      <c r="A860" s="84" t="s">
        <v>934</v>
      </c>
      <c r="B860" s="84" t="s">
        <v>57</v>
      </c>
      <c r="C860" s="84"/>
      <c r="D860" s="85">
        <v>45566</v>
      </c>
      <c r="E860" s="85" t="s">
        <v>58</v>
      </c>
      <c r="F860" s="84">
        <f>INDEX(Definitions!$G$13:$G$17,MATCH(Table3[[#This Row],[Propensity to buy/ buyer readiness]],Definitions!$A$13:$A$17,0))</f>
        <v>50000</v>
      </c>
      <c r="G860" s="86">
        <v>3</v>
      </c>
      <c r="H860" s="86">
        <v>3</v>
      </c>
      <c r="I860" s="86">
        <v>4</v>
      </c>
      <c r="J860" s="86">
        <v>3</v>
      </c>
      <c r="K860" s="86">
        <v>3</v>
      </c>
      <c r="L860" s="86">
        <f>SUM(Table3[[#This Row],[Strategic priority segment]:[Propensity to buy/ buyer readiness]])</f>
        <v>16</v>
      </c>
      <c r="M860" s="86" t="s">
        <v>152</v>
      </c>
      <c r="N860" s="84" t="s">
        <v>264</v>
      </c>
      <c r="O860" s="84"/>
      <c r="P860" s="87"/>
      <c r="Q860" s="87"/>
      <c r="R860" s="84"/>
      <c r="S860" s="87"/>
      <c r="T860" s="87"/>
      <c r="U860" s="84">
        <v>1</v>
      </c>
      <c r="V860" s="84">
        <v>0</v>
      </c>
      <c r="W860" s="84">
        <v>0</v>
      </c>
      <c r="X860" s="84">
        <v>0</v>
      </c>
      <c r="Y860" s="84">
        <v>0</v>
      </c>
      <c r="Z860" s="84">
        <v>0</v>
      </c>
      <c r="AA860" s="84">
        <v>0</v>
      </c>
      <c r="AB860" s="84">
        <v>0</v>
      </c>
      <c r="AC860" s="84">
        <v>0</v>
      </c>
      <c r="AD860" s="84">
        <v>0</v>
      </c>
      <c r="AE860" s="84">
        <v>0</v>
      </c>
      <c r="AF860" s="84">
        <v>0</v>
      </c>
      <c r="AG860" s="84">
        <v>0</v>
      </c>
      <c r="AH860" s="84">
        <v>0</v>
      </c>
      <c r="AI860" s="84">
        <v>0</v>
      </c>
      <c r="AJ860" s="84">
        <v>0</v>
      </c>
      <c r="AK860" s="84">
        <v>0</v>
      </c>
      <c r="AL860" s="84" cm="1">
        <f t="array" ref="AL8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0" s="84" cm="1">
        <f t="array" ref="AM8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0" s="84" cm="1">
        <f t="array" ref="AN8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0" s="84" cm="1">
        <f t="array" ref="AO8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0" s="84" cm="1">
        <f t="array" ref="AP8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0" s="84" cm="1">
        <f t="array" ref="AQ8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0" s="84" cm="1">
        <f t="array" ref="AR8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0" s="84" cm="1">
        <f t="array" ref="AS8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0" s="84" cm="1">
        <f t="array" ref="AT8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0" s="84" cm="1">
        <f t="array" ref="AU8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0" s="84" cm="1">
        <f t="array" ref="AV8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0" s="84" cm="1">
        <f t="array" ref="AW8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0" s="84" cm="1">
        <f t="array" ref="AX8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0" s="84" cm="1">
        <f t="array" ref="AY8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0" s="84" cm="1">
        <f t="array" ref="AZ8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0" s="84" cm="1">
        <f t="array" ref="BA8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0" s="84" cm="1">
        <f t="array" ref="BB8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0" s="84">
        <f>IF(SUM(Table3[[#This Row],[Column2]:[Column18]])&gt;Table3[[#This Row],[Column19]],Table3[[#This Row],[Column19]],SUM(Table3[[#This Row],[Column2]:[Column18]]))</f>
        <v>10800</v>
      </c>
      <c r="BD860" s="2">
        <f>Table3[[#This Row],[Total Spend]]/SUM(Table3[[#This Row],[Column2]:[Column18]])</f>
        <v>1</v>
      </c>
    </row>
    <row r="861" spans="1:56">
      <c r="A861" s="84" t="s">
        <v>935</v>
      </c>
      <c r="B861" s="84"/>
      <c r="C861" s="84" t="s">
        <v>57</v>
      </c>
      <c r="D861" s="85">
        <v>45566</v>
      </c>
      <c r="E861" s="85" t="s">
        <v>92</v>
      </c>
      <c r="F861" s="84">
        <f>INDEX(Definitions!$G$13:$G$17,MATCH(Table3[[#This Row],[Propensity to buy/ buyer readiness]],Definitions!$A$13:$A$17,0))</f>
        <v>50000</v>
      </c>
      <c r="G861" s="86">
        <v>3</v>
      </c>
      <c r="H861" s="86">
        <v>3</v>
      </c>
      <c r="I861" s="86">
        <v>4</v>
      </c>
      <c r="J861" s="86">
        <v>3</v>
      </c>
      <c r="K861" s="86">
        <v>3</v>
      </c>
      <c r="L861" s="86">
        <f>SUM(Table3[[#This Row],[Strategic priority segment]:[Propensity to buy/ buyer readiness]])</f>
        <v>16</v>
      </c>
      <c r="M861" s="86" t="s">
        <v>152</v>
      </c>
      <c r="N861" s="84" t="s">
        <v>122</v>
      </c>
      <c r="O861" s="84"/>
      <c r="P861" s="87"/>
      <c r="Q861" s="87"/>
      <c r="R861" s="84"/>
      <c r="S861" s="87"/>
      <c r="T861" s="87"/>
      <c r="U861" s="84">
        <v>1</v>
      </c>
      <c r="V861" s="84">
        <v>0</v>
      </c>
      <c r="W861" s="84">
        <v>0</v>
      </c>
      <c r="X861" s="84">
        <v>0</v>
      </c>
      <c r="Y861" s="84">
        <v>0</v>
      </c>
      <c r="Z861" s="84">
        <v>1</v>
      </c>
      <c r="AA861" s="84">
        <v>0</v>
      </c>
      <c r="AB861" s="84">
        <v>1</v>
      </c>
      <c r="AC861" s="84">
        <v>0</v>
      </c>
      <c r="AD861" s="84">
        <v>1</v>
      </c>
      <c r="AE861" s="84">
        <v>0</v>
      </c>
      <c r="AF861" s="84">
        <v>1</v>
      </c>
      <c r="AG861" s="84">
        <v>0</v>
      </c>
      <c r="AH861" s="84">
        <v>0</v>
      </c>
      <c r="AI861" s="84">
        <v>0</v>
      </c>
      <c r="AJ861" s="84">
        <v>0</v>
      </c>
      <c r="AK861" s="84">
        <v>0</v>
      </c>
      <c r="AL861" s="84" cm="1">
        <f t="array" ref="AL8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61" s="84" cm="1">
        <f t="array" ref="AM8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1" s="84" cm="1">
        <f t="array" ref="AN8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1" s="84" cm="1">
        <f t="array" ref="AO8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1" s="84" cm="1">
        <f t="array" ref="AP8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1" s="84" cm="1">
        <f t="array" ref="AQ8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61" s="84" cm="1">
        <f t="array" ref="AR8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1" s="84" cm="1">
        <f t="array" ref="AS8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61" s="84" cm="1">
        <f t="array" ref="AT8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1" s="84" cm="1">
        <f t="array" ref="AU8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61" s="84" cm="1">
        <f t="array" ref="AV8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1" s="84" cm="1">
        <f t="array" ref="AW8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61" s="84" cm="1">
        <f t="array" ref="AX8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1" s="84" cm="1">
        <f t="array" ref="AY8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1" s="84" cm="1">
        <f t="array" ref="AZ8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1" s="84" cm="1">
        <f t="array" ref="BA8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1" s="84" cm="1">
        <f t="array" ref="BB8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1" s="84">
        <f>IF(SUM(Table3[[#This Row],[Column2]:[Column18]])&gt;Table3[[#This Row],[Column19]],Table3[[#This Row],[Column19]],SUM(Table3[[#This Row],[Column2]:[Column18]]))</f>
        <v>50000</v>
      </c>
      <c r="BD861" s="2">
        <f>Table3[[#This Row],[Total Spend]]/SUM(Table3[[#This Row],[Column2]:[Column18]])</f>
        <v>0.41459369817578773</v>
      </c>
    </row>
    <row r="862" spans="1:56">
      <c r="A862" s="84" t="s">
        <v>936</v>
      </c>
      <c r="B862" s="84"/>
      <c r="C862" s="84" t="s">
        <v>57</v>
      </c>
      <c r="D862" s="85">
        <v>45566</v>
      </c>
      <c r="E862" s="85" t="s">
        <v>58</v>
      </c>
      <c r="F862" s="84">
        <f>INDEX(Definitions!$G$13:$G$17,MATCH(Table3[[#This Row],[Propensity to buy/ buyer readiness]],Definitions!$A$13:$A$17,0))</f>
        <v>50000</v>
      </c>
      <c r="G862" s="86">
        <v>3</v>
      </c>
      <c r="H862" s="86">
        <v>3</v>
      </c>
      <c r="I862" s="86">
        <v>4</v>
      </c>
      <c r="J862" s="86">
        <v>3</v>
      </c>
      <c r="K862" s="86">
        <v>3</v>
      </c>
      <c r="L862" s="86">
        <f>SUM(Table3[[#This Row],[Strategic priority segment]:[Propensity to buy/ buyer readiness]])</f>
        <v>16</v>
      </c>
      <c r="M862" s="86" t="s">
        <v>152</v>
      </c>
      <c r="N862" s="84" t="s">
        <v>264</v>
      </c>
      <c r="O862" s="84"/>
      <c r="P862" s="84"/>
      <c r="Q862" s="84"/>
      <c r="R862" s="84"/>
      <c r="S862" s="87"/>
      <c r="T862" s="87"/>
      <c r="U862" s="84">
        <v>1</v>
      </c>
      <c r="V862" s="84">
        <v>0</v>
      </c>
      <c r="W862" s="84">
        <v>0</v>
      </c>
      <c r="X862" s="84">
        <v>0</v>
      </c>
      <c r="Y862" s="84">
        <v>0</v>
      </c>
      <c r="Z862" s="84">
        <v>0</v>
      </c>
      <c r="AA862" s="84">
        <v>0</v>
      </c>
      <c r="AB862" s="84">
        <v>0</v>
      </c>
      <c r="AC862" s="84">
        <v>0</v>
      </c>
      <c r="AD862" s="84">
        <v>0</v>
      </c>
      <c r="AE862" s="84">
        <v>0</v>
      </c>
      <c r="AF862" s="84">
        <v>0</v>
      </c>
      <c r="AG862" s="84">
        <v>0</v>
      </c>
      <c r="AH862" s="84">
        <v>0</v>
      </c>
      <c r="AI862" s="84">
        <v>0</v>
      </c>
      <c r="AJ862" s="84">
        <v>0</v>
      </c>
      <c r="AK862" s="84">
        <v>0</v>
      </c>
      <c r="AL862" s="84" cm="1">
        <f t="array" ref="AL8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2" s="84" cm="1">
        <f t="array" ref="AM8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2" s="84" cm="1">
        <f t="array" ref="AN8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2" s="84" cm="1">
        <f t="array" ref="AO8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2" s="84" cm="1">
        <f t="array" ref="AP8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2" s="84" cm="1">
        <f t="array" ref="AQ8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2" s="84" cm="1">
        <f t="array" ref="AR8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2" s="84" cm="1">
        <f t="array" ref="AS8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2" s="84" cm="1">
        <f t="array" ref="AT8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2" s="84" cm="1">
        <f t="array" ref="AU8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2" s="84" cm="1">
        <f t="array" ref="AV8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2" s="84" cm="1">
        <f t="array" ref="AW8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2" s="84" cm="1">
        <f t="array" ref="AX8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2" s="84" cm="1">
        <f t="array" ref="AY8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2" s="84" cm="1">
        <f t="array" ref="AZ8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2" s="84" cm="1">
        <f t="array" ref="BA8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2" s="84" cm="1">
        <f t="array" ref="BB8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2" s="84">
        <f>IF(SUM(Table3[[#This Row],[Column2]:[Column18]])&gt;Table3[[#This Row],[Column19]],Table3[[#This Row],[Column19]],SUM(Table3[[#This Row],[Column2]:[Column18]]))</f>
        <v>10800</v>
      </c>
      <c r="BD862" s="2">
        <f>Table3[[#This Row],[Total Spend]]/SUM(Table3[[#This Row],[Column2]:[Column18]])</f>
        <v>1</v>
      </c>
    </row>
    <row r="863" spans="1:56">
      <c r="A863" s="84" t="s">
        <v>937</v>
      </c>
      <c r="B863" s="84" t="s">
        <v>57</v>
      </c>
      <c r="C863" s="84"/>
      <c r="D863" s="85">
        <v>45566</v>
      </c>
      <c r="E863" s="85" t="s">
        <v>58</v>
      </c>
      <c r="F863" s="84">
        <f>INDEX(Definitions!$G$13:$G$17,MATCH(Table3[[#This Row],[Propensity to buy/ buyer readiness]],Definitions!$A$13:$A$17,0))</f>
        <v>50000</v>
      </c>
      <c r="G863" s="86">
        <v>3</v>
      </c>
      <c r="H863" s="86">
        <v>3</v>
      </c>
      <c r="I863" s="86">
        <v>4</v>
      </c>
      <c r="J863" s="86">
        <v>3</v>
      </c>
      <c r="K863" s="86">
        <v>3</v>
      </c>
      <c r="L863" s="86">
        <f>SUM(Table3[[#This Row],[Strategic priority segment]:[Propensity to buy/ buyer readiness]])</f>
        <v>16</v>
      </c>
      <c r="M863" s="86" t="s">
        <v>152</v>
      </c>
      <c r="N863" s="84" t="s">
        <v>130</v>
      </c>
      <c r="O863" s="84"/>
      <c r="P863" s="87"/>
      <c r="Q863" s="87"/>
      <c r="R863" s="84"/>
      <c r="S863" s="87"/>
      <c r="T863" s="87"/>
      <c r="U863" s="84">
        <v>1</v>
      </c>
      <c r="V863" s="84">
        <v>0</v>
      </c>
      <c r="W863" s="84">
        <v>0</v>
      </c>
      <c r="X863" s="84">
        <v>0</v>
      </c>
      <c r="Y863" s="84">
        <v>0</v>
      </c>
      <c r="Z863" s="84">
        <v>0</v>
      </c>
      <c r="AA863" s="84">
        <v>0</v>
      </c>
      <c r="AB863" s="84">
        <v>0</v>
      </c>
      <c r="AC863" s="84">
        <v>0</v>
      </c>
      <c r="AD863" s="84">
        <v>0</v>
      </c>
      <c r="AE863" s="84">
        <v>0</v>
      </c>
      <c r="AF863" s="84">
        <v>0</v>
      </c>
      <c r="AG863" s="84">
        <v>0</v>
      </c>
      <c r="AH863" s="84">
        <v>0</v>
      </c>
      <c r="AI863" s="84">
        <v>0</v>
      </c>
      <c r="AJ863" s="84">
        <v>0</v>
      </c>
      <c r="AK863" s="84">
        <v>0</v>
      </c>
      <c r="AL863" s="84" cm="1">
        <f t="array" ref="AL8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3" s="84" cm="1">
        <f t="array" ref="AM8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3" s="84" cm="1">
        <f t="array" ref="AN8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3" s="84" cm="1">
        <f t="array" ref="AO8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3" s="84" cm="1">
        <f t="array" ref="AP8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3" s="84" cm="1">
        <f t="array" ref="AQ8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3" s="84" cm="1">
        <f t="array" ref="AR8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3" s="84" cm="1">
        <f t="array" ref="AS8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3" s="84" cm="1">
        <f t="array" ref="AT8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3" s="84" cm="1">
        <f t="array" ref="AU8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3" s="84" cm="1">
        <f t="array" ref="AV8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3" s="84" cm="1">
        <f t="array" ref="AW8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3" s="84" cm="1">
        <f t="array" ref="AX8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3" s="84" cm="1">
        <f t="array" ref="AY8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3" s="84" cm="1">
        <f t="array" ref="AZ8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3" s="84" cm="1">
        <f t="array" ref="BA8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3" s="84" cm="1">
        <f t="array" ref="BB8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3" s="84">
        <f>IF(SUM(Table3[[#This Row],[Column2]:[Column18]])&gt;Table3[[#This Row],[Column19]],Table3[[#This Row],[Column19]],SUM(Table3[[#This Row],[Column2]:[Column18]]))</f>
        <v>10800</v>
      </c>
      <c r="BD863" s="2">
        <f>Table3[[#This Row],[Total Spend]]/SUM(Table3[[#This Row],[Column2]:[Column18]])</f>
        <v>1</v>
      </c>
    </row>
    <row r="864" spans="1:56">
      <c r="A864" s="84" t="s">
        <v>938</v>
      </c>
      <c r="B864" s="84" t="s">
        <v>57</v>
      </c>
      <c r="C864" s="84"/>
      <c r="D864" s="85">
        <v>45566</v>
      </c>
      <c r="E864" s="85" t="s">
        <v>58</v>
      </c>
      <c r="F864" s="84">
        <f>INDEX(Definitions!$G$13:$G$17,MATCH(Table3[[#This Row],[Propensity to buy/ buyer readiness]],Definitions!$A$13:$A$17,0))</f>
        <v>50000</v>
      </c>
      <c r="G864" s="86">
        <v>3</v>
      </c>
      <c r="H864" s="86">
        <v>3</v>
      </c>
      <c r="I864" s="86">
        <v>4</v>
      </c>
      <c r="J864" s="86">
        <v>3</v>
      </c>
      <c r="K864" s="86">
        <v>3</v>
      </c>
      <c r="L864" s="86">
        <f>SUM(Table3[[#This Row],[Strategic priority segment]:[Propensity to buy/ buyer readiness]])</f>
        <v>16</v>
      </c>
      <c r="M864" s="86" t="s">
        <v>152</v>
      </c>
      <c r="N864" s="84" t="s">
        <v>264</v>
      </c>
      <c r="O864" s="84"/>
      <c r="P864" s="87"/>
      <c r="Q864" s="87"/>
      <c r="R864" s="84"/>
      <c r="S864" s="87"/>
      <c r="T864" s="87"/>
      <c r="U864" s="84">
        <v>1</v>
      </c>
      <c r="V864" s="84">
        <v>0</v>
      </c>
      <c r="W864" s="84">
        <v>0</v>
      </c>
      <c r="X864" s="84">
        <v>0</v>
      </c>
      <c r="Y864" s="84">
        <v>0</v>
      </c>
      <c r="Z864" s="84">
        <v>0</v>
      </c>
      <c r="AA864" s="84">
        <v>0</v>
      </c>
      <c r="AB864" s="84">
        <v>0</v>
      </c>
      <c r="AC864" s="84">
        <v>0</v>
      </c>
      <c r="AD864" s="84">
        <v>0</v>
      </c>
      <c r="AE864" s="84">
        <v>0</v>
      </c>
      <c r="AF864" s="84">
        <v>0</v>
      </c>
      <c r="AG864" s="84">
        <v>0</v>
      </c>
      <c r="AH864" s="84">
        <v>0</v>
      </c>
      <c r="AI864" s="84">
        <v>0</v>
      </c>
      <c r="AJ864" s="84">
        <v>0</v>
      </c>
      <c r="AK864" s="84">
        <v>0</v>
      </c>
      <c r="AL864" s="84" cm="1">
        <f t="array" ref="AL8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4" s="84" cm="1">
        <f t="array" ref="AM8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4" s="84" cm="1">
        <f t="array" ref="AN8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4" s="84" cm="1">
        <f t="array" ref="AO8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4" s="84" cm="1">
        <f t="array" ref="AP8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4" s="84" cm="1">
        <f t="array" ref="AQ8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4" s="84" cm="1">
        <f t="array" ref="AR8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4" s="84" cm="1">
        <f t="array" ref="AS8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4" s="84" cm="1">
        <f t="array" ref="AT8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4" s="84" cm="1">
        <f t="array" ref="AU8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4" s="84" cm="1">
        <f t="array" ref="AV8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4" s="84" cm="1">
        <f t="array" ref="AW8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4" s="84" cm="1">
        <f t="array" ref="AX8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4" s="84" cm="1">
        <f t="array" ref="AY8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4" s="84" cm="1">
        <f t="array" ref="AZ8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4" s="84" cm="1">
        <f t="array" ref="BA8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4" s="84" cm="1">
        <f t="array" ref="BB8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4" s="84">
        <f>IF(SUM(Table3[[#This Row],[Column2]:[Column18]])&gt;Table3[[#This Row],[Column19]],Table3[[#This Row],[Column19]],SUM(Table3[[#This Row],[Column2]:[Column18]]))</f>
        <v>10800</v>
      </c>
      <c r="BD864" s="2">
        <f>Table3[[#This Row],[Total Spend]]/SUM(Table3[[#This Row],[Column2]:[Column18]])</f>
        <v>1</v>
      </c>
    </row>
    <row r="865" spans="1:56">
      <c r="A865" s="84" t="s">
        <v>939</v>
      </c>
      <c r="B865" s="84"/>
      <c r="C865" s="84"/>
      <c r="D865" s="85">
        <v>45566</v>
      </c>
      <c r="E865" s="85" t="s">
        <v>92</v>
      </c>
      <c r="F865" s="84">
        <f>INDEX(Definitions!$G$13:$G$17,MATCH(Table3[[#This Row],[Propensity to buy/ buyer readiness]],Definitions!$A$13:$A$17,0))</f>
        <v>50000</v>
      </c>
      <c r="G865" s="86">
        <v>4</v>
      </c>
      <c r="H865" s="86">
        <v>3</v>
      </c>
      <c r="I865" s="86">
        <v>3</v>
      </c>
      <c r="J865" s="86">
        <v>3</v>
      </c>
      <c r="K865" s="86">
        <v>3</v>
      </c>
      <c r="L865" s="86">
        <f>SUM(Table3[[#This Row],[Strategic priority segment]:[Propensity to buy/ buyer readiness]])</f>
        <v>16</v>
      </c>
      <c r="M865" s="86" t="s">
        <v>191</v>
      </c>
      <c r="N865" s="84" t="s">
        <v>76</v>
      </c>
      <c r="O865" s="84" t="s">
        <v>135</v>
      </c>
      <c r="P865" s="84"/>
      <c r="Q865" s="84"/>
      <c r="R865" s="84"/>
      <c r="S865" s="87"/>
      <c r="T865" s="87"/>
      <c r="U865" s="84">
        <v>0</v>
      </c>
      <c r="V865" s="84">
        <v>0</v>
      </c>
      <c r="W865" s="84">
        <v>0</v>
      </c>
      <c r="X865" s="84">
        <v>0</v>
      </c>
      <c r="Y865" s="84">
        <v>0</v>
      </c>
      <c r="Z865" s="84">
        <v>0</v>
      </c>
      <c r="AA865" s="84">
        <v>0</v>
      </c>
      <c r="AB865" s="84">
        <v>0</v>
      </c>
      <c r="AC865" s="84">
        <v>0</v>
      </c>
      <c r="AD865" s="84">
        <v>0</v>
      </c>
      <c r="AE865" s="84">
        <v>0</v>
      </c>
      <c r="AF865" s="84">
        <v>0</v>
      </c>
      <c r="AG865" s="84">
        <v>0</v>
      </c>
      <c r="AH865" s="84">
        <v>1</v>
      </c>
      <c r="AI865" s="84">
        <v>1</v>
      </c>
      <c r="AJ865" s="84">
        <v>1</v>
      </c>
      <c r="AK865" s="84">
        <v>1</v>
      </c>
      <c r="AL865" s="84" cm="1">
        <f t="array" ref="AL8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65" s="84" cm="1">
        <f t="array" ref="AM8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5" s="84" cm="1">
        <f t="array" ref="AN8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5" s="84" cm="1">
        <f t="array" ref="AO8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5" s="84" cm="1">
        <f t="array" ref="AP8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5" s="84" cm="1">
        <f t="array" ref="AQ8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5" s="84" cm="1">
        <f t="array" ref="AR8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5" s="84" cm="1">
        <f t="array" ref="AS8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5" s="84" cm="1">
        <f t="array" ref="AT8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5" s="84" cm="1">
        <f t="array" ref="AU8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5" s="84" cm="1">
        <f t="array" ref="AV8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5" s="84" cm="1">
        <f t="array" ref="AW8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5" s="84" cm="1">
        <f t="array" ref="AX8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5" s="84" cm="1">
        <f t="array" ref="AY8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65" s="84" cm="1">
        <f t="array" ref="AZ8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65" s="84" cm="1">
        <f t="array" ref="BA8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65" s="84" cm="1">
        <f t="array" ref="BB8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65" s="84">
        <f>IF(SUM(Table3[[#This Row],[Column2]:[Column18]])&gt;Table3[[#This Row],[Column19]],Table3[[#This Row],[Column19]],SUM(Table3[[#This Row],[Column2]:[Column18]]))</f>
        <v>46350</v>
      </c>
      <c r="BD865" s="2">
        <f>Table3[[#This Row],[Total Spend]]/SUM(Table3[[#This Row],[Column2]:[Column18]])</f>
        <v>1</v>
      </c>
    </row>
    <row r="866" spans="1:56">
      <c r="A866" s="84" t="s">
        <v>940</v>
      </c>
      <c r="B866" s="84"/>
      <c r="C866" s="84"/>
      <c r="D866" s="85">
        <v>45566</v>
      </c>
      <c r="E866" s="85" t="s">
        <v>58</v>
      </c>
      <c r="F866" s="84">
        <f>INDEX(Definitions!$G$13:$G$17,MATCH(Table3[[#This Row],[Propensity to buy/ buyer readiness]],Definitions!$A$13:$A$17,0))</f>
        <v>150000</v>
      </c>
      <c r="G866" s="86">
        <v>3</v>
      </c>
      <c r="H866" s="86">
        <v>3</v>
      </c>
      <c r="I866" s="86">
        <v>3</v>
      </c>
      <c r="J866" s="86">
        <v>3</v>
      </c>
      <c r="K866" s="86">
        <v>4</v>
      </c>
      <c r="L866" s="86">
        <f>SUM(Table3[[#This Row],[Strategic priority segment]:[Propensity to buy/ buyer readiness]])</f>
        <v>16</v>
      </c>
      <c r="M866" s="86" t="s">
        <v>152</v>
      </c>
      <c r="N866" s="84" t="s">
        <v>122</v>
      </c>
      <c r="O866" s="87"/>
      <c r="P866" s="87"/>
      <c r="Q866" s="87"/>
      <c r="R866" s="87"/>
      <c r="S866" s="87"/>
      <c r="T866" s="87"/>
      <c r="U866" s="84">
        <v>1</v>
      </c>
      <c r="V866" s="84">
        <v>0</v>
      </c>
      <c r="W866" s="84">
        <v>0</v>
      </c>
      <c r="X866" s="84">
        <v>0</v>
      </c>
      <c r="Y866" s="84">
        <v>0</v>
      </c>
      <c r="Z866" s="84">
        <v>1</v>
      </c>
      <c r="AA866" s="84">
        <v>0</v>
      </c>
      <c r="AB866" s="84">
        <v>1</v>
      </c>
      <c r="AC866" s="84">
        <v>0</v>
      </c>
      <c r="AD866" s="84">
        <v>1</v>
      </c>
      <c r="AE866" s="84">
        <v>0</v>
      </c>
      <c r="AF866" s="84">
        <v>1</v>
      </c>
      <c r="AG866" s="84">
        <v>0</v>
      </c>
      <c r="AH866" s="84">
        <v>0</v>
      </c>
      <c r="AI866" s="84">
        <v>0</v>
      </c>
      <c r="AJ866" s="84">
        <v>0</v>
      </c>
      <c r="AK866" s="84">
        <v>0</v>
      </c>
      <c r="AL866" s="84" cm="1">
        <f t="array" ref="AL8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6" s="84" cm="1">
        <f t="array" ref="AM8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6" s="84" cm="1">
        <f t="array" ref="AN8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6" s="84" cm="1">
        <f t="array" ref="AO8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6" s="84" cm="1">
        <f t="array" ref="AP8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6" s="84" cm="1">
        <f t="array" ref="AQ8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866" s="84" cm="1">
        <f t="array" ref="AR8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6" s="84" cm="1">
        <f t="array" ref="AS8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866" s="84" cm="1">
        <f t="array" ref="AT8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6" s="84" cm="1">
        <f t="array" ref="AU8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866" s="84" cm="1">
        <f t="array" ref="AV8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6" s="84" cm="1">
        <f t="array" ref="AW8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866" s="84" cm="1">
        <f t="array" ref="AX8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6" s="84" cm="1">
        <f t="array" ref="AY8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6" s="84" cm="1">
        <f t="array" ref="AZ8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6" s="84" cm="1">
        <f t="array" ref="BA8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6" s="84" cm="1">
        <f t="array" ref="BB8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6" s="84">
        <f>IF(SUM(Table3[[#This Row],[Column2]:[Column18]])&gt;Table3[[#This Row],[Column19]],Table3[[#This Row],[Column19]],SUM(Table3[[#This Row],[Column2]:[Column18]]))</f>
        <v>150000</v>
      </c>
      <c r="BD866" s="2">
        <f>Table3[[#This Row],[Total Spend]]/SUM(Table3[[#This Row],[Column2]:[Column18]])</f>
        <v>0.89605734767025091</v>
      </c>
    </row>
    <row r="867" spans="1:56">
      <c r="A867" s="84" t="s">
        <v>941</v>
      </c>
      <c r="B867" s="84"/>
      <c r="C867" s="84" t="s">
        <v>57</v>
      </c>
      <c r="D867" s="85">
        <v>45566</v>
      </c>
      <c r="E867" s="85" t="s">
        <v>92</v>
      </c>
      <c r="F867" s="84">
        <f>INDEX(Definitions!$G$13:$G$17,MATCH(Table3[[#This Row],[Propensity to buy/ buyer readiness]],Definitions!$A$13:$A$17,0))</f>
        <v>50000</v>
      </c>
      <c r="G867" s="86">
        <v>3</v>
      </c>
      <c r="H867" s="86">
        <v>3</v>
      </c>
      <c r="I867" s="86">
        <v>4</v>
      </c>
      <c r="J867" s="86">
        <v>3</v>
      </c>
      <c r="K867" s="86">
        <v>3</v>
      </c>
      <c r="L867" s="86">
        <f>SUM(Table3[[#This Row],[Strategic priority segment]:[Propensity to buy/ buyer readiness]])</f>
        <v>16</v>
      </c>
      <c r="M867" s="86" t="s">
        <v>152</v>
      </c>
      <c r="N867" s="84" t="s">
        <v>122</v>
      </c>
      <c r="O867" s="87"/>
      <c r="P867" s="87"/>
      <c r="Q867" s="87"/>
      <c r="R867" s="84"/>
      <c r="S867" s="87"/>
      <c r="T867" s="87"/>
      <c r="U867" s="84">
        <v>1</v>
      </c>
      <c r="V867" s="84">
        <v>0</v>
      </c>
      <c r="W867" s="84">
        <v>0</v>
      </c>
      <c r="X867" s="84">
        <v>0</v>
      </c>
      <c r="Y867" s="84">
        <v>0</v>
      </c>
      <c r="Z867" s="84">
        <v>1</v>
      </c>
      <c r="AA867" s="84">
        <v>0</v>
      </c>
      <c r="AB867" s="84">
        <v>1</v>
      </c>
      <c r="AC867" s="84">
        <v>0</v>
      </c>
      <c r="AD867" s="84">
        <v>1</v>
      </c>
      <c r="AE867" s="84">
        <v>0</v>
      </c>
      <c r="AF867" s="84">
        <v>1</v>
      </c>
      <c r="AG867" s="84">
        <v>0</v>
      </c>
      <c r="AH867" s="84">
        <v>0</v>
      </c>
      <c r="AI867" s="84">
        <v>0</v>
      </c>
      <c r="AJ867" s="84">
        <v>0</v>
      </c>
      <c r="AK867" s="84">
        <v>0</v>
      </c>
      <c r="AL867" s="84" cm="1">
        <f t="array" ref="AL8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67" s="84" cm="1">
        <f t="array" ref="AM8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7" s="84" cm="1">
        <f t="array" ref="AN8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7" s="84" cm="1">
        <f t="array" ref="AO8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7" s="84" cm="1">
        <f t="array" ref="AP8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7" s="84" cm="1">
        <f t="array" ref="AQ8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67" s="84" cm="1">
        <f t="array" ref="AR8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7" s="84" cm="1">
        <f t="array" ref="AS8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67" s="84" cm="1">
        <f t="array" ref="AT8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7" s="84" cm="1">
        <f t="array" ref="AU8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67" s="84" cm="1">
        <f t="array" ref="AV8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7" s="84" cm="1">
        <f t="array" ref="AW8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67" s="84" cm="1">
        <f t="array" ref="AX8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7" s="84" cm="1">
        <f t="array" ref="AY8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7" s="84" cm="1">
        <f t="array" ref="AZ8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7" s="84" cm="1">
        <f t="array" ref="BA8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7" s="84" cm="1">
        <f t="array" ref="BB8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7" s="84">
        <f>IF(SUM(Table3[[#This Row],[Column2]:[Column18]])&gt;Table3[[#This Row],[Column19]],Table3[[#This Row],[Column19]],SUM(Table3[[#This Row],[Column2]:[Column18]]))</f>
        <v>50000</v>
      </c>
      <c r="BD867" s="2">
        <f>Table3[[#This Row],[Total Spend]]/SUM(Table3[[#This Row],[Column2]:[Column18]])</f>
        <v>0.41459369817578773</v>
      </c>
    </row>
    <row r="868" spans="1:56">
      <c r="A868" s="84" t="s">
        <v>942</v>
      </c>
      <c r="B868" s="84" t="s">
        <v>57</v>
      </c>
      <c r="C868" s="84"/>
      <c r="D868" s="85">
        <v>45566</v>
      </c>
      <c r="E868" s="85" t="s">
        <v>92</v>
      </c>
      <c r="F868" s="84">
        <f>INDEX(Definitions!$G$13:$G$17,MATCH(Table3[[#This Row],[Propensity to buy/ buyer readiness]],Definitions!$A$13:$A$17,0))</f>
        <v>10000</v>
      </c>
      <c r="G868" s="86">
        <v>3</v>
      </c>
      <c r="H868" s="86">
        <v>3</v>
      </c>
      <c r="I868" s="86">
        <v>4</v>
      </c>
      <c r="J868" s="86">
        <v>4</v>
      </c>
      <c r="K868" s="86">
        <v>2</v>
      </c>
      <c r="L868" s="86">
        <f>SUM(Table3[[#This Row],[Strategic priority segment]:[Propensity to buy/ buyer readiness]])</f>
        <v>16</v>
      </c>
      <c r="M868" s="86" t="s">
        <v>59</v>
      </c>
      <c r="N868" s="84" t="s">
        <v>265</v>
      </c>
      <c r="O868" s="84"/>
      <c r="P868" s="87"/>
      <c r="Q868" s="87"/>
      <c r="R868" s="84"/>
      <c r="S868" s="87"/>
      <c r="T868" s="87"/>
      <c r="U868" s="84">
        <v>1</v>
      </c>
      <c r="V868" s="84">
        <v>1</v>
      </c>
      <c r="W868" s="84">
        <v>1</v>
      </c>
      <c r="X868" s="84">
        <v>1</v>
      </c>
      <c r="Y868" s="84">
        <v>0</v>
      </c>
      <c r="Z868" s="84">
        <v>0</v>
      </c>
      <c r="AA868" s="84">
        <v>0</v>
      </c>
      <c r="AB868" s="84">
        <v>0</v>
      </c>
      <c r="AC868" s="84">
        <v>0</v>
      </c>
      <c r="AD868" s="84">
        <v>0</v>
      </c>
      <c r="AE868" s="84">
        <v>0</v>
      </c>
      <c r="AF868" s="84">
        <v>0</v>
      </c>
      <c r="AG868" s="84">
        <v>0</v>
      </c>
      <c r="AH868" s="84">
        <v>0</v>
      </c>
      <c r="AI868" s="84">
        <v>1</v>
      </c>
      <c r="AJ868" s="84">
        <v>0</v>
      </c>
      <c r="AK868" s="84">
        <v>0</v>
      </c>
      <c r="AL868" s="84" cm="1">
        <f t="array" ref="AL8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68" s="84" cm="1">
        <f t="array" ref="AM8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68" s="84" cm="1">
        <f t="array" ref="AN8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68" s="84" cm="1">
        <f t="array" ref="AO8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68" s="84" cm="1">
        <f t="array" ref="AP8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68" s="84" cm="1">
        <f t="array" ref="AQ8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8" s="84" cm="1">
        <f t="array" ref="AR8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8" s="84" cm="1">
        <f t="array" ref="AS8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8" s="84" cm="1">
        <f t="array" ref="AT8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8" s="84" cm="1">
        <f t="array" ref="AU8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8" s="84" cm="1">
        <f t="array" ref="AV8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8" s="84" cm="1">
        <f t="array" ref="AW8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8" s="84" cm="1">
        <f t="array" ref="AX8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8" s="84" cm="1">
        <f t="array" ref="AY8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8" s="84" cm="1">
        <f t="array" ref="AZ8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68" s="84" cm="1">
        <f t="array" ref="BA8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8" s="84" cm="1">
        <f t="array" ref="BB8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8" s="84">
        <f>IF(SUM(Table3[[#This Row],[Column2]:[Column18]])&gt;Table3[[#This Row],[Column19]],Table3[[#This Row],[Column19]],SUM(Table3[[#This Row],[Column2]:[Column18]]))</f>
        <v>10000</v>
      </c>
      <c r="BD868" s="2">
        <f>Table3[[#This Row],[Total Spend]]/SUM(Table3[[#This Row],[Column2]:[Column18]])</f>
        <v>7.2859744990892539E-2</v>
      </c>
    </row>
    <row r="869" spans="1:56">
      <c r="A869" s="84" t="s">
        <v>943</v>
      </c>
      <c r="B869" s="84" t="s">
        <v>57</v>
      </c>
      <c r="C869" s="84"/>
      <c r="D869" s="85">
        <v>45566</v>
      </c>
      <c r="E869" s="85" t="s">
        <v>58</v>
      </c>
      <c r="F869" s="84">
        <f>INDEX(Definitions!$G$13:$G$17,MATCH(Table3[[#This Row],[Propensity to buy/ buyer readiness]],Definitions!$A$13:$A$17,0))</f>
        <v>50000</v>
      </c>
      <c r="G869" s="86">
        <v>3</v>
      </c>
      <c r="H869" s="86">
        <v>3</v>
      </c>
      <c r="I869" s="86">
        <v>4</v>
      </c>
      <c r="J869" s="86">
        <v>3</v>
      </c>
      <c r="K869" s="86">
        <v>3</v>
      </c>
      <c r="L869" s="86">
        <f>SUM(Table3[[#This Row],[Strategic priority segment]:[Propensity to buy/ buyer readiness]])</f>
        <v>16</v>
      </c>
      <c r="M869" s="86" t="s">
        <v>59</v>
      </c>
      <c r="N869" s="84" t="s">
        <v>85</v>
      </c>
      <c r="O869" s="84" t="s">
        <v>264</v>
      </c>
      <c r="P869" s="87"/>
      <c r="Q869" s="87"/>
      <c r="R869" s="84"/>
      <c r="S869" s="87"/>
      <c r="T869" s="87"/>
      <c r="U869" s="84">
        <v>1</v>
      </c>
      <c r="V869" s="84">
        <v>0</v>
      </c>
      <c r="W869" s="84">
        <v>0</v>
      </c>
      <c r="X869" s="84">
        <v>0</v>
      </c>
      <c r="Y869" s="84">
        <v>1</v>
      </c>
      <c r="Z869" s="84">
        <v>0</v>
      </c>
      <c r="AA869" s="84">
        <v>0</v>
      </c>
      <c r="AB869" s="84">
        <v>0</v>
      </c>
      <c r="AC869" s="84">
        <v>0</v>
      </c>
      <c r="AD869" s="84">
        <v>0</v>
      </c>
      <c r="AE869" s="84">
        <v>0</v>
      </c>
      <c r="AF869" s="84">
        <v>0</v>
      </c>
      <c r="AG869" s="84">
        <v>0</v>
      </c>
      <c r="AH869" s="84">
        <v>0</v>
      </c>
      <c r="AI869" s="84">
        <v>0</v>
      </c>
      <c r="AJ869" s="84">
        <v>0</v>
      </c>
      <c r="AK869" s="84">
        <v>0</v>
      </c>
      <c r="AL869" s="84" cm="1">
        <f t="array" ref="AL8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69" s="84" cm="1">
        <f t="array" ref="AM8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69" s="84" cm="1">
        <f t="array" ref="AN8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69" s="84" cm="1">
        <f t="array" ref="AO8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69" s="84" cm="1">
        <f t="array" ref="AP8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869" s="84" cm="1">
        <f t="array" ref="AQ8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69" s="84" cm="1">
        <f t="array" ref="AR8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69" s="84" cm="1">
        <f t="array" ref="AS8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69" s="84" cm="1">
        <f t="array" ref="AT8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69" s="84" cm="1">
        <f t="array" ref="AU8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69" s="84" cm="1">
        <f t="array" ref="AV8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69" s="84" cm="1">
        <f t="array" ref="AW8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69" s="84" cm="1">
        <f t="array" ref="AX8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69" s="84" cm="1">
        <f t="array" ref="AY8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69" s="84" cm="1">
        <f t="array" ref="AZ8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69" s="84" cm="1">
        <f t="array" ref="BA8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69" s="84" cm="1">
        <f t="array" ref="BB8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69" s="84">
        <f>IF(SUM(Table3[[#This Row],[Column2]:[Column18]])&gt;Table3[[#This Row],[Column19]],Table3[[#This Row],[Column19]],SUM(Table3[[#This Row],[Column2]:[Column18]]))</f>
        <v>50000</v>
      </c>
      <c r="BD869" s="2">
        <f>Table3[[#This Row],[Total Spend]]/SUM(Table3[[#This Row],[Column2]:[Column18]])</f>
        <v>0.75075075075075071</v>
      </c>
    </row>
    <row r="870" spans="1:56">
      <c r="A870" s="84" t="s">
        <v>944</v>
      </c>
      <c r="B870" s="84"/>
      <c r="C870" s="84"/>
      <c r="D870" s="85">
        <v>45566</v>
      </c>
      <c r="E870" s="85" t="s">
        <v>92</v>
      </c>
      <c r="F870" s="84">
        <f>INDEX(Definitions!$G$13:$G$17,MATCH(Table3[[#This Row],[Propensity to buy/ buyer readiness]],Definitions!$A$13:$A$17,0))</f>
        <v>50000</v>
      </c>
      <c r="G870" s="86">
        <v>4</v>
      </c>
      <c r="H870" s="86">
        <v>3</v>
      </c>
      <c r="I870" s="86">
        <v>3</v>
      </c>
      <c r="J870" s="86">
        <v>3</v>
      </c>
      <c r="K870" s="86">
        <v>3</v>
      </c>
      <c r="L870" s="86">
        <f>SUM(Table3[[#This Row],[Strategic priority segment]:[Propensity to buy/ buyer readiness]])</f>
        <v>16</v>
      </c>
      <c r="M870" s="86" t="s">
        <v>191</v>
      </c>
      <c r="N870" s="84" t="s">
        <v>76</v>
      </c>
      <c r="O870" s="84" t="s">
        <v>135</v>
      </c>
      <c r="P870" s="84"/>
      <c r="Q870" s="84"/>
      <c r="R870" s="84"/>
      <c r="S870" s="87"/>
      <c r="T870" s="87"/>
      <c r="U870" s="84">
        <v>0</v>
      </c>
      <c r="V870" s="84">
        <v>0</v>
      </c>
      <c r="W870" s="84">
        <v>0</v>
      </c>
      <c r="X870" s="84">
        <v>0</v>
      </c>
      <c r="Y870" s="84">
        <v>0</v>
      </c>
      <c r="Z870" s="84">
        <v>0</v>
      </c>
      <c r="AA870" s="84">
        <v>0</v>
      </c>
      <c r="AB870" s="84">
        <v>0</v>
      </c>
      <c r="AC870" s="84">
        <v>0</v>
      </c>
      <c r="AD870" s="84">
        <v>0</v>
      </c>
      <c r="AE870" s="84">
        <v>0</v>
      </c>
      <c r="AF870" s="84">
        <v>0</v>
      </c>
      <c r="AG870" s="84">
        <v>0</v>
      </c>
      <c r="AH870" s="84">
        <v>1</v>
      </c>
      <c r="AI870" s="84">
        <v>1</v>
      </c>
      <c r="AJ870" s="84">
        <v>1</v>
      </c>
      <c r="AK870" s="84">
        <v>1</v>
      </c>
      <c r="AL870" s="84" cm="1">
        <f t="array" ref="AL8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0" s="84" cm="1">
        <f t="array" ref="AM8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0" s="84" cm="1">
        <f t="array" ref="AN8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0" s="84" cm="1">
        <f t="array" ref="AO8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0" s="84" cm="1">
        <f t="array" ref="AP8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0" s="84" cm="1">
        <f t="array" ref="AQ8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0" s="84" cm="1">
        <f t="array" ref="AR8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0" s="84" cm="1">
        <f t="array" ref="AS8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0" s="84" cm="1">
        <f t="array" ref="AT8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0" s="84" cm="1">
        <f t="array" ref="AU8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0" s="84" cm="1">
        <f t="array" ref="AV8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0" s="84" cm="1">
        <f t="array" ref="AW8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0" s="84" cm="1">
        <f t="array" ref="AX8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0" s="84" cm="1">
        <f t="array" ref="AY8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0" s="84" cm="1">
        <f t="array" ref="AZ8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0" s="84" cm="1">
        <f t="array" ref="BA8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0" s="84" cm="1">
        <f t="array" ref="BB8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0" s="84">
        <f>IF(SUM(Table3[[#This Row],[Column2]:[Column18]])&gt;Table3[[#This Row],[Column19]],Table3[[#This Row],[Column19]],SUM(Table3[[#This Row],[Column2]:[Column18]]))</f>
        <v>46350</v>
      </c>
      <c r="BD870" s="2">
        <f>Table3[[#This Row],[Total Spend]]/SUM(Table3[[#This Row],[Column2]:[Column18]])</f>
        <v>1</v>
      </c>
    </row>
    <row r="871" spans="1:56">
      <c r="A871" s="84" t="s">
        <v>945</v>
      </c>
      <c r="B871" s="84"/>
      <c r="C871" s="84"/>
      <c r="D871" s="85">
        <v>45566</v>
      </c>
      <c r="E871" s="85" t="s">
        <v>92</v>
      </c>
      <c r="F871" s="84">
        <f>INDEX(Definitions!$G$13:$G$17,MATCH(Table3[[#This Row],[Propensity to buy/ buyer readiness]],Definitions!$A$13:$A$17,0))</f>
        <v>50000</v>
      </c>
      <c r="G871" s="86">
        <v>4</v>
      </c>
      <c r="H871" s="86">
        <v>3</v>
      </c>
      <c r="I871" s="86">
        <v>3</v>
      </c>
      <c r="J871" s="86">
        <v>3</v>
      </c>
      <c r="K871" s="86">
        <v>3</v>
      </c>
      <c r="L871" s="86">
        <f>SUM(Table3[[#This Row],[Strategic priority segment]:[Propensity to buy/ buyer readiness]])</f>
        <v>16</v>
      </c>
      <c r="M871" s="86" t="s">
        <v>191</v>
      </c>
      <c r="N871" s="84" t="s">
        <v>76</v>
      </c>
      <c r="O871" s="84" t="s">
        <v>135</v>
      </c>
      <c r="P871" s="84"/>
      <c r="Q871" s="84"/>
      <c r="R871" s="84"/>
      <c r="S871" s="87"/>
      <c r="T871" s="87"/>
      <c r="U871" s="84">
        <v>0</v>
      </c>
      <c r="V871" s="84">
        <v>0</v>
      </c>
      <c r="W871" s="84">
        <v>0</v>
      </c>
      <c r="X871" s="84">
        <v>0</v>
      </c>
      <c r="Y871" s="84">
        <v>0</v>
      </c>
      <c r="Z871" s="84">
        <v>0</v>
      </c>
      <c r="AA871" s="84">
        <v>0</v>
      </c>
      <c r="AB871" s="84">
        <v>0</v>
      </c>
      <c r="AC871" s="84">
        <v>0</v>
      </c>
      <c r="AD871" s="84">
        <v>0</v>
      </c>
      <c r="AE871" s="84">
        <v>0</v>
      </c>
      <c r="AF871" s="84">
        <v>0</v>
      </c>
      <c r="AG871" s="84">
        <v>0</v>
      </c>
      <c r="AH871" s="84">
        <v>1</v>
      </c>
      <c r="AI871" s="84">
        <v>1</v>
      </c>
      <c r="AJ871" s="84">
        <v>1</v>
      </c>
      <c r="AK871" s="84">
        <v>1</v>
      </c>
      <c r="AL871" s="84" cm="1">
        <f t="array" ref="AL8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1" s="84" cm="1">
        <f t="array" ref="AM8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1" s="84" cm="1">
        <f t="array" ref="AN8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1" s="84" cm="1">
        <f t="array" ref="AO8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1" s="84" cm="1">
        <f t="array" ref="AP8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1" s="84" cm="1">
        <f t="array" ref="AQ8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1" s="84" cm="1">
        <f t="array" ref="AR8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1" s="84" cm="1">
        <f t="array" ref="AS8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1" s="84" cm="1">
        <f t="array" ref="AT8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1" s="84" cm="1">
        <f t="array" ref="AU8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1" s="84" cm="1">
        <f t="array" ref="AV8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1" s="84" cm="1">
        <f t="array" ref="AW8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1" s="84" cm="1">
        <f t="array" ref="AX8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1" s="84" cm="1">
        <f t="array" ref="AY8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1" s="84" cm="1">
        <f t="array" ref="AZ8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1" s="84" cm="1">
        <f t="array" ref="BA8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1" s="84" cm="1">
        <f t="array" ref="BB8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1" s="84">
        <f>IF(SUM(Table3[[#This Row],[Column2]:[Column18]])&gt;Table3[[#This Row],[Column19]],Table3[[#This Row],[Column19]],SUM(Table3[[#This Row],[Column2]:[Column18]]))</f>
        <v>46350</v>
      </c>
      <c r="BD871" s="2">
        <f>Table3[[#This Row],[Total Spend]]/SUM(Table3[[#This Row],[Column2]:[Column18]])</f>
        <v>1</v>
      </c>
    </row>
    <row r="872" spans="1:56">
      <c r="A872" s="84" t="s">
        <v>946</v>
      </c>
      <c r="B872" s="84"/>
      <c r="C872" s="84" t="s">
        <v>57</v>
      </c>
      <c r="D872" s="85">
        <v>45809</v>
      </c>
      <c r="E872" s="85" t="s">
        <v>92</v>
      </c>
      <c r="F872" s="84">
        <f>INDEX(Definitions!$G$13:$G$17,MATCH(Table3[[#This Row],[Propensity to buy/ buyer readiness]],Definitions!$A$13:$A$17,0))</f>
        <v>50000</v>
      </c>
      <c r="G872" s="86">
        <v>4</v>
      </c>
      <c r="H872" s="86">
        <v>3</v>
      </c>
      <c r="I872" s="86">
        <v>3</v>
      </c>
      <c r="J872" s="86">
        <v>3</v>
      </c>
      <c r="K872" s="86">
        <v>3</v>
      </c>
      <c r="L872" s="86">
        <f>SUM(Table3[[#This Row],[Strategic priority segment]:[Propensity to buy/ buyer readiness]])</f>
        <v>16</v>
      </c>
      <c r="M872" s="86" t="s">
        <v>191</v>
      </c>
      <c r="N872" s="84" t="s">
        <v>76</v>
      </c>
      <c r="O872" s="84" t="s">
        <v>135</v>
      </c>
      <c r="P872" s="84"/>
      <c r="Q872" s="84"/>
      <c r="R872" s="84"/>
      <c r="S872" s="84"/>
      <c r="T872" s="84"/>
      <c r="U872" s="84">
        <v>0</v>
      </c>
      <c r="V872" s="84">
        <v>0</v>
      </c>
      <c r="W872" s="84">
        <v>0</v>
      </c>
      <c r="X872" s="84">
        <v>0</v>
      </c>
      <c r="Y872" s="84">
        <v>0</v>
      </c>
      <c r="Z872" s="84">
        <v>0</v>
      </c>
      <c r="AA872" s="84">
        <v>0</v>
      </c>
      <c r="AB872" s="84">
        <v>0</v>
      </c>
      <c r="AC872" s="84">
        <v>0</v>
      </c>
      <c r="AD872" s="84">
        <v>0</v>
      </c>
      <c r="AE872" s="84">
        <v>0</v>
      </c>
      <c r="AF872" s="84">
        <v>0</v>
      </c>
      <c r="AG872" s="84">
        <v>0</v>
      </c>
      <c r="AH872" s="84">
        <v>1</v>
      </c>
      <c r="AI872" s="84">
        <v>1</v>
      </c>
      <c r="AJ872" s="84">
        <v>1</v>
      </c>
      <c r="AK872" s="84">
        <v>1</v>
      </c>
      <c r="AL872" s="84" cm="1">
        <f t="array" ref="AL8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2" s="84" cm="1">
        <f t="array" ref="AM8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2" s="84" cm="1">
        <f t="array" ref="AN8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2" s="84" cm="1">
        <f t="array" ref="AO8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2" s="84" cm="1">
        <f t="array" ref="AP8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2" s="84" cm="1">
        <f t="array" ref="AQ8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2" s="84" cm="1">
        <f t="array" ref="AR8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2" s="84" cm="1">
        <f t="array" ref="AS8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2" s="84" cm="1">
        <f t="array" ref="AT8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2" s="84" cm="1">
        <f t="array" ref="AU8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2" s="84" cm="1">
        <f t="array" ref="AV8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2" s="84" cm="1">
        <f t="array" ref="AW8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2" s="84" cm="1">
        <f t="array" ref="AX8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2" s="84" cm="1">
        <f t="array" ref="AY8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2" s="84" cm="1">
        <f t="array" ref="AZ8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2" s="84" cm="1">
        <f t="array" ref="BA8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2" s="84" cm="1">
        <f t="array" ref="BB8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2" s="84">
        <f>IF(SUM(Table3[[#This Row],[Column2]:[Column18]])&gt;Table3[[#This Row],[Column19]],Table3[[#This Row],[Column19]],SUM(Table3[[#This Row],[Column2]:[Column18]]))</f>
        <v>46350</v>
      </c>
      <c r="BD872" s="2">
        <f>Table3[[#This Row],[Total Spend]]/SUM(Table3[[#This Row],[Column2]:[Column18]])</f>
        <v>1</v>
      </c>
    </row>
    <row r="873" spans="1:56">
      <c r="A873" s="84" t="s">
        <v>947</v>
      </c>
      <c r="B873" s="84"/>
      <c r="C873" s="84"/>
      <c r="D873" s="85">
        <v>45566</v>
      </c>
      <c r="E873" s="85" t="s">
        <v>92</v>
      </c>
      <c r="F873" s="84">
        <f>INDEX(Definitions!$G$13:$G$17,MATCH(Table3[[#This Row],[Propensity to buy/ buyer readiness]],Definitions!$A$13:$A$17,0))</f>
        <v>50000</v>
      </c>
      <c r="G873" s="86">
        <v>4</v>
      </c>
      <c r="H873" s="86">
        <v>3</v>
      </c>
      <c r="I873" s="86">
        <v>3</v>
      </c>
      <c r="J873" s="86">
        <v>3</v>
      </c>
      <c r="K873" s="86">
        <v>3</v>
      </c>
      <c r="L873" s="86">
        <f>SUM(Table3[[#This Row],[Strategic priority segment]:[Propensity to buy/ buyer readiness]])</f>
        <v>16</v>
      </c>
      <c r="M873" s="86" t="s">
        <v>191</v>
      </c>
      <c r="N873" s="84" t="s">
        <v>76</v>
      </c>
      <c r="O873" s="84" t="s">
        <v>135</v>
      </c>
      <c r="P873" s="84"/>
      <c r="Q873" s="84"/>
      <c r="R873" s="84"/>
      <c r="S873" s="87"/>
      <c r="T873" s="87"/>
      <c r="U873" s="84">
        <v>0</v>
      </c>
      <c r="V873" s="84">
        <v>0</v>
      </c>
      <c r="W873" s="84">
        <v>0</v>
      </c>
      <c r="X873" s="84">
        <v>0</v>
      </c>
      <c r="Y873" s="84">
        <v>0</v>
      </c>
      <c r="Z873" s="84">
        <v>0</v>
      </c>
      <c r="AA873" s="84">
        <v>0</v>
      </c>
      <c r="AB873" s="84">
        <v>0</v>
      </c>
      <c r="AC873" s="84">
        <v>0</v>
      </c>
      <c r="AD873" s="84">
        <v>0</v>
      </c>
      <c r="AE873" s="84">
        <v>0</v>
      </c>
      <c r="AF873" s="84">
        <v>0</v>
      </c>
      <c r="AG873" s="84">
        <v>0</v>
      </c>
      <c r="AH873" s="84">
        <v>1</v>
      </c>
      <c r="AI873" s="84">
        <v>1</v>
      </c>
      <c r="AJ873" s="84">
        <v>1</v>
      </c>
      <c r="AK873" s="84">
        <v>1</v>
      </c>
      <c r="AL873" s="84" cm="1">
        <f t="array" ref="AL8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3" s="84" cm="1">
        <f t="array" ref="AM8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3" s="84" cm="1">
        <f t="array" ref="AN8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3" s="84" cm="1">
        <f t="array" ref="AO8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3" s="84" cm="1">
        <f t="array" ref="AP8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3" s="84" cm="1">
        <f t="array" ref="AQ8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3" s="84" cm="1">
        <f t="array" ref="AR8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3" s="84" cm="1">
        <f t="array" ref="AS8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3" s="84" cm="1">
        <f t="array" ref="AT8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3" s="84" cm="1">
        <f t="array" ref="AU8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3" s="84" cm="1">
        <f t="array" ref="AV8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3" s="84" cm="1">
        <f t="array" ref="AW8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3" s="84" cm="1">
        <f t="array" ref="AX8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3" s="84" cm="1">
        <f t="array" ref="AY8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3" s="84" cm="1">
        <f t="array" ref="AZ8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3" s="84" cm="1">
        <f t="array" ref="BA8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3" s="84" cm="1">
        <f t="array" ref="BB8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3" s="84">
        <f>IF(SUM(Table3[[#This Row],[Column2]:[Column18]])&gt;Table3[[#This Row],[Column19]],Table3[[#This Row],[Column19]],SUM(Table3[[#This Row],[Column2]:[Column18]]))</f>
        <v>46350</v>
      </c>
      <c r="BD873" s="2">
        <f>Table3[[#This Row],[Total Spend]]/SUM(Table3[[#This Row],[Column2]:[Column18]])</f>
        <v>1</v>
      </c>
    </row>
    <row r="874" spans="1:56">
      <c r="A874" s="84" t="s">
        <v>948</v>
      </c>
      <c r="B874" s="84"/>
      <c r="C874" s="84"/>
      <c r="D874" s="85">
        <v>45566</v>
      </c>
      <c r="E874" s="85" t="s">
        <v>92</v>
      </c>
      <c r="F874" s="84">
        <f>INDEX(Definitions!$G$13:$G$17,MATCH(Table3[[#This Row],[Propensity to buy/ buyer readiness]],Definitions!$A$13:$A$17,0))</f>
        <v>50000</v>
      </c>
      <c r="G874" s="86">
        <v>4</v>
      </c>
      <c r="H874" s="86">
        <v>3</v>
      </c>
      <c r="I874" s="86">
        <v>3</v>
      </c>
      <c r="J874" s="86">
        <v>3</v>
      </c>
      <c r="K874" s="86">
        <v>3</v>
      </c>
      <c r="L874" s="86">
        <f>SUM(Table3[[#This Row],[Strategic priority segment]:[Propensity to buy/ buyer readiness]])</f>
        <v>16</v>
      </c>
      <c r="M874" s="86" t="s">
        <v>191</v>
      </c>
      <c r="N874" s="84" t="s">
        <v>76</v>
      </c>
      <c r="O874" s="84" t="s">
        <v>135</v>
      </c>
      <c r="P874" s="84"/>
      <c r="Q874" s="84"/>
      <c r="R874" s="84"/>
      <c r="S874" s="87"/>
      <c r="T874" s="87"/>
      <c r="U874" s="84">
        <v>0</v>
      </c>
      <c r="V874" s="84">
        <v>0</v>
      </c>
      <c r="W874" s="84">
        <v>0</v>
      </c>
      <c r="X874" s="84">
        <v>0</v>
      </c>
      <c r="Y874" s="84">
        <v>0</v>
      </c>
      <c r="Z874" s="84">
        <v>0</v>
      </c>
      <c r="AA874" s="84">
        <v>0</v>
      </c>
      <c r="AB874" s="84">
        <v>0</v>
      </c>
      <c r="AC874" s="84">
        <v>0</v>
      </c>
      <c r="AD874" s="84">
        <v>0</v>
      </c>
      <c r="AE874" s="84">
        <v>0</v>
      </c>
      <c r="AF874" s="84">
        <v>0</v>
      </c>
      <c r="AG874" s="84">
        <v>0</v>
      </c>
      <c r="AH874" s="84">
        <v>1</v>
      </c>
      <c r="AI874" s="84">
        <v>1</v>
      </c>
      <c r="AJ874" s="84">
        <v>1</v>
      </c>
      <c r="AK874" s="84">
        <v>1</v>
      </c>
      <c r="AL874" s="84" cm="1">
        <f t="array" ref="AL8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4" s="84" cm="1">
        <f t="array" ref="AM8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4" s="84" cm="1">
        <f t="array" ref="AN8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4" s="84" cm="1">
        <f t="array" ref="AO8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4" s="84" cm="1">
        <f t="array" ref="AP8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4" s="84" cm="1">
        <f t="array" ref="AQ8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4" s="84" cm="1">
        <f t="array" ref="AR8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4" s="84" cm="1">
        <f t="array" ref="AS8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4" s="84" cm="1">
        <f t="array" ref="AT8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4" s="84" cm="1">
        <f t="array" ref="AU8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4" s="84" cm="1">
        <f t="array" ref="AV8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4" s="84" cm="1">
        <f t="array" ref="AW8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4" s="84" cm="1">
        <f t="array" ref="AX8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4" s="84" cm="1">
        <f t="array" ref="AY8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4" s="84" cm="1">
        <f t="array" ref="AZ8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4" s="84" cm="1">
        <f t="array" ref="BA8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4" s="84" cm="1">
        <f t="array" ref="BB8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4" s="84">
        <f>IF(SUM(Table3[[#This Row],[Column2]:[Column18]])&gt;Table3[[#This Row],[Column19]],Table3[[#This Row],[Column19]],SUM(Table3[[#This Row],[Column2]:[Column18]]))</f>
        <v>46350</v>
      </c>
      <c r="BD874" s="2">
        <f>Table3[[#This Row],[Total Spend]]/SUM(Table3[[#This Row],[Column2]:[Column18]])</f>
        <v>1</v>
      </c>
    </row>
    <row r="875" spans="1:56">
      <c r="A875" s="84" t="s">
        <v>949</v>
      </c>
      <c r="B875" s="84"/>
      <c r="C875" s="84"/>
      <c r="D875" s="85">
        <v>45566</v>
      </c>
      <c r="E875" s="85" t="s">
        <v>92</v>
      </c>
      <c r="F875" s="84">
        <f>INDEX(Definitions!$G$13:$G$17,MATCH(Table3[[#This Row],[Propensity to buy/ buyer readiness]],Definitions!$A$13:$A$17,0))</f>
        <v>50000</v>
      </c>
      <c r="G875" s="86">
        <v>4</v>
      </c>
      <c r="H875" s="86">
        <v>3</v>
      </c>
      <c r="I875" s="86">
        <v>3</v>
      </c>
      <c r="J875" s="86">
        <v>3</v>
      </c>
      <c r="K875" s="86">
        <v>3</v>
      </c>
      <c r="L875" s="86">
        <f>SUM(Table3[[#This Row],[Strategic priority segment]:[Propensity to buy/ buyer readiness]])</f>
        <v>16</v>
      </c>
      <c r="M875" s="86" t="s">
        <v>191</v>
      </c>
      <c r="N875" s="84" t="s">
        <v>76</v>
      </c>
      <c r="O875" s="84" t="s">
        <v>135</v>
      </c>
      <c r="P875" s="84"/>
      <c r="Q875" s="84"/>
      <c r="R875" s="84"/>
      <c r="S875" s="87"/>
      <c r="T875" s="87"/>
      <c r="U875" s="84">
        <v>0</v>
      </c>
      <c r="V875" s="84">
        <v>0</v>
      </c>
      <c r="W875" s="84">
        <v>0</v>
      </c>
      <c r="X875" s="84">
        <v>0</v>
      </c>
      <c r="Y875" s="84">
        <v>0</v>
      </c>
      <c r="Z875" s="84">
        <v>0</v>
      </c>
      <c r="AA875" s="84">
        <v>0</v>
      </c>
      <c r="AB875" s="84">
        <v>0</v>
      </c>
      <c r="AC875" s="84">
        <v>0</v>
      </c>
      <c r="AD875" s="84">
        <v>0</v>
      </c>
      <c r="AE875" s="84">
        <v>0</v>
      </c>
      <c r="AF875" s="84">
        <v>0</v>
      </c>
      <c r="AG875" s="84">
        <v>0</v>
      </c>
      <c r="AH875" s="84">
        <v>1</v>
      </c>
      <c r="AI875" s="84">
        <v>1</v>
      </c>
      <c r="AJ875" s="84">
        <v>1</v>
      </c>
      <c r="AK875" s="84">
        <v>1</v>
      </c>
      <c r="AL875" s="84" cm="1">
        <f t="array" ref="AL8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5" s="84" cm="1">
        <f t="array" ref="AM8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5" s="84" cm="1">
        <f t="array" ref="AN8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5" s="84" cm="1">
        <f t="array" ref="AO8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5" s="84" cm="1">
        <f t="array" ref="AP8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5" s="84" cm="1">
        <f t="array" ref="AQ8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5" s="84" cm="1">
        <f t="array" ref="AR8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5" s="84" cm="1">
        <f t="array" ref="AS8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5" s="84" cm="1">
        <f t="array" ref="AT8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5" s="84" cm="1">
        <f t="array" ref="AU8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5" s="84" cm="1">
        <f t="array" ref="AV8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5" s="84" cm="1">
        <f t="array" ref="AW8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5" s="84" cm="1">
        <f t="array" ref="AX8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5" s="84" cm="1">
        <f t="array" ref="AY8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5" s="84" cm="1">
        <f t="array" ref="AZ8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5" s="84" cm="1">
        <f t="array" ref="BA8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5" s="84" cm="1">
        <f t="array" ref="BB8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5" s="84">
        <f>IF(SUM(Table3[[#This Row],[Column2]:[Column18]])&gt;Table3[[#This Row],[Column19]],Table3[[#This Row],[Column19]],SUM(Table3[[#This Row],[Column2]:[Column18]]))</f>
        <v>46350</v>
      </c>
      <c r="BD875" s="2">
        <f>Table3[[#This Row],[Total Spend]]/SUM(Table3[[#This Row],[Column2]:[Column18]])</f>
        <v>1</v>
      </c>
    </row>
    <row r="876" spans="1:56">
      <c r="A876" s="84" t="s">
        <v>950</v>
      </c>
      <c r="B876" s="84"/>
      <c r="C876" s="84"/>
      <c r="D876" s="85">
        <v>45566</v>
      </c>
      <c r="E876" s="85" t="s">
        <v>92</v>
      </c>
      <c r="F876" s="84">
        <f>INDEX(Definitions!$G$13:$G$17,MATCH(Table3[[#This Row],[Propensity to buy/ buyer readiness]],Definitions!$A$13:$A$17,0))</f>
        <v>50000</v>
      </c>
      <c r="G876" s="86">
        <v>4</v>
      </c>
      <c r="H876" s="86">
        <v>3</v>
      </c>
      <c r="I876" s="86">
        <v>3</v>
      </c>
      <c r="J876" s="86">
        <v>3</v>
      </c>
      <c r="K876" s="86">
        <v>3</v>
      </c>
      <c r="L876" s="86">
        <f>SUM(Table3[[#This Row],[Strategic priority segment]:[Propensity to buy/ buyer readiness]])</f>
        <v>16</v>
      </c>
      <c r="M876" s="86" t="s">
        <v>191</v>
      </c>
      <c r="N876" s="84" t="s">
        <v>76</v>
      </c>
      <c r="O876" s="84" t="s">
        <v>135</v>
      </c>
      <c r="P876" s="84"/>
      <c r="Q876" s="84"/>
      <c r="R876" s="84"/>
      <c r="S876" s="87"/>
      <c r="T876" s="87"/>
      <c r="U876" s="84">
        <v>0</v>
      </c>
      <c r="V876" s="84">
        <v>0</v>
      </c>
      <c r="W876" s="84">
        <v>0</v>
      </c>
      <c r="X876" s="84">
        <v>0</v>
      </c>
      <c r="Y876" s="84">
        <v>0</v>
      </c>
      <c r="Z876" s="84">
        <v>0</v>
      </c>
      <c r="AA876" s="84">
        <v>0</v>
      </c>
      <c r="AB876" s="84">
        <v>0</v>
      </c>
      <c r="AC876" s="84">
        <v>0</v>
      </c>
      <c r="AD876" s="84">
        <v>0</v>
      </c>
      <c r="AE876" s="84">
        <v>0</v>
      </c>
      <c r="AF876" s="84">
        <v>0</v>
      </c>
      <c r="AG876" s="84">
        <v>0</v>
      </c>
      <c r="AH876" s="84">
        <v>1</v>
      </c>
      <c r="AI876" s="84">
        <v>1</v>
      </c>
      <c r="AJ876" s="84">
        <v>1</v>
      </c>
      <c r="AK876" s="84">
        <v>1</v>
      </c>
      <c r="AL876" s="84" cm="1">
        <f t="array" ref="AL8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76" s="84" cm="1">
        <f t="array" ref="AM8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6" s="84" cm="1">
        <f t="array" ref="AN8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6" s="84" cm="1">
        <f t="array" ref="AO8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6" s="84" cm="1">
        <f t="array" ref="AP8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6" s="84" cm="1">
        <f t="array" ref="AQ8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6" s="84" cm="1">
        <f t="array" ref="AR8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6" s="84" cm="1">
        <f t="array" ref="AS8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6" s="84" cm="1">
        <f t="array" ref="AT8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6" s="84" cm="1">
        <f t="array" ref="AU8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6" s="84" cm="1">
        <f t="array" ref="AV8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6" s="84" cm="1">
        <f t="array" ref="AW8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6" s="84" cm="1">
        <f t="array" ref="AX8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6" s="84" cm="1">
        <f t="array" ref="AY8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76" s="84" cm="1">
        <f t="array" ref="AZ8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6" s="84" cm="1">
        <f t="array" ref="BA8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76" s="84" cm="1">
        <f t="array" ref="BB8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76" s="84">
        <f>IF(SUM(Table3[[#This Row],[Column2]:[Column18]])&gt;Table3[[#This Row],[Column19]],Table3[[#This Row],[Column19]],SUM(Table3[[#This Row],[Column2]:[Column18]]))</f>
        <v>46350</v>
      </c>
      <c r="BD876" s="2">
        <f>Table3[[#This Row],[Total Spend]]/SUM(Table3[[#This Row],[Column2]:[Column18]])</f>
        <v>1</v>
      </c>
    </row>
    <row r="877" spans="1:56">
      <c r="A877" s="84" t="s">
        <v>951</v>
      </c>
      <c r="B877" s="84" t="s">
        <v>57</v>
      </c>
      <c r="C877" s="84"/>
      <c r="D877" s="85">
        <v>45566</v>
      </c>
      <c r="E877" s="85" t="s">
        <v>58</v>
      </c>
      <c r="F877" s="84">
        <f>INDEX(Definitions!$G$13:$G$17,MATCH(Table3[[#This Row],[Propensity to buy/ buyer readiness]],Definitions!$A$13:$A$17,0))</f>
        <v>50000</v>
      </c>
      <c r="G877" s="86">
        <v>3</v>
      </c>
      <c r="H877" s="86">
        <v>3</v>
      </c>
      <c r="I877" s="86">
        <v>4</v>
      </c>
      <c r="J877" s="86">
        <v>3</v>
      </c>
      <c r="K877" s="86">
        <v>3</v>
      </c>
      <c r="L877" s="86">
        <f>SUM(Table3[[#This Row],[Strategic priority segment]:[Propensity to buy/ buyer readiness]])</f>
        <v>16</v>
      </c>
      <c r="M877" s="86" t="s">
        <v>152</v>
      </c>
      <c r="N877" s="84" t="s">
        <v>264</v>
      </c>
      <c r="O877" s="84"/>
      <c r="P877" s="87"/>
      <c r="Q877" s="87"/>
      <c r="R877" s="84"/>
      <c r="S877" s="87"/>
      <c r="T877" s="87"/>
      <c r="U877" s="84">
        <v>1</v>
      </c>
      <c r="V877" s="84">
        <v>0</v>
      </c>
      <c r="W877" s="84">
        <v>0</v>
      </c>
      <c r="X877" s="84">
        <v>0</v>
      </c>
      <c r="Y877" s="84">
        <v>0</v>
      </c>
      <c r="Z877" s="84">
        <v>0</v>
      </c>
      <c r="AA877" s="84">
        <v>0</v>
      </c>
      <c r="AB877" s="84">
        <v>0</v>
      </c>
      <c r="AC877" s="84">
        <v>0</v>
      </c>
      <c r="AD877" s="84">
        <v>0</v>
      </c>
      <c r="AE877" s="84">
        <v>0</v>
      </c>
      <c r="AF877" s="84">
        <v>0</v>
      </c>
      <c r="AG877" s="84">
        <v>0</v>
      </c>
      <c r="AH877" s="84">
        <v>0</v>
      </c>
      <c r="AI877" s="84">
        <v>0</v>
      </c>
      <c r="AJ877" s="84">
        <v>0</v>
      </c>
      <c r="AK877" s="84">
        <v>0</v>
      </c>
      <c r="AL877" s="84" cm="1">
        <f t="array" ref="AL8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77" s="84" cm="1">
        <f t="array" ref="AM8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7" s="84" cm="1">
        <f t="array" ref="AN8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7" s="84" cm="1">
        <f t="array" ref="AO8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7" s="84" cm="1">
        <f t="array" ref="AP8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7" s="84" cm="1">
        <f t="array" ref="AQ8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7" s="84" cm="1">
        <f t="array" ref="AR8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7" s="84" cm="1">
        <f t="array" ref="AS8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7" s="84" cm="1">
        <f t="array" ref="AT8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7" s="84" cm="1">
        <f t="array" ref="AU8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7" s="84" cm="1">
        <f t="array" ref="AV8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7" s="84" cm="1">
        <f t="array" ref="AW8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7" s="84" cm="1">
        <f t="array" ref="AX8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7" s="84" cm="1">
        <f t="array" ref="AY8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77" s="84" cm="1">
        <f t="array" ref="AZ8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77" s="84" cm="1">
        <f t="array" ref="BA8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77" s="84" cm="1">
        <f t="array" ref="BB8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77" s="84">
        <f>IF(SUM(Table3[[#This Row],[Column2]:[Column18]])&gt;Table3[[#This Row],[Column19]],Table3[[#This Row],[Column19]],SUM(Table3[[#This Row],[Column2]:[Column18]]))</f>
        <v>10800</v>
      </c>
      <c r="BD877" s="2">
        <f>Table3[[#This Row],[Total Spend]]/SUM(Table3[[#This Row],[Column2]:[Column18]])</f>
        <v>1</v>
      </c>
    </row>
    <row r="878" spans="1:56">
      <c r="A878" s="84" t="s">
        <v>952</v>
      </c>
      <c r="B878" s="84" t="s">
        <v>57</v>
      </c>
      <c r="C878" s="84"/>
      <c r="D878" s="85">
        <v>45566</v>
      </c>
      <c r="E878" s="85" t="s">
        <v>58</v>
      </c>
      <c r="F878" s="84">
        <f>INDEX(Definitions!$G$13:$G$17,MATCH(Table3[[#This Row],[Propensity to buy/ buyer readiness]],Definitions!$A$13:$A$17,0))</f>
        <v>50000</v>
      </c>
      <c r="G878" s="86">
        <v>3</v>
      </c>
      <c r="H878" s="86">
        <v>3</v>
      </c>
      <c r="I878" s="86">
        <v>4</v>
      </c>
      <c r="J878" s="86">
        <v>3</v>
      </c>
      <c r="K878" s="86">
        <v>3</v>
      </c>
      <c r="L878" s="86">
        <f>SUM(Table3[[#This Row],[Strategic priority segment]:[Propensity to buy/ buyer readiness]])</f>
        <v>16</v>
      </c>
      <c r="M878" s="86" t="s">
        <v>152</v>
      </c>
      <c r="N878" s="84" t="s">
        <v>264</v>
      </c>
      <c r="O878" s="84"/>
      <c r="P878" s="87"/>
      <c r="Q878" s="87"/>
      <c r="R878" s="84"/>
      <c r="S878" s="87"/>
      <c r="T878" s="87"/>
      <c r="U878" s="84">
        <v>1</v>
      </c>
      <c r="V878" s="84">
        <v>0</v>
      </c>
      <c r="W878" s="84">
        <v>0</v>
      </c>
      <c r="X878" s="84">
        <v>0</v>
      </c>
      <c r="Y878" s="84">
        <v>0</v>
      </c>
      <c r="Z878" s="84">
        <v>0</v>
      </c>
      <c r="AA878" s="84">
        <v>0</v>
      </c>
      <c r="AB878" s="84">
        <v>0</v>
      </c>
      <c r="AC878" s="84">
        <v>0</v>
      </c>
      <c r="AD878" s="84">
        <v>0</v>
      </c>
      <c r="AE878" s="84">
        <v>0</v>
      </c>
      <c r="AF878" s="84">
        <v>0</v>
      </c>
      <c r="AG878" s="84">
        <v>0</v>
      </c>
      <c r="AH878" s="84">
        <v>0</v>
      </c>
      <c r="AI878" s="84">
        <v>0</v>
      </c>
      <c r="AJ878" s="84">
        <v>0</v>
      </c>
      <c r="AK878" s="84">
        <v>0</v>
      </c>
      <c r="AL878" s="84" cm="1">
        <f t="array" ref="AL8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78" s="84" cm="1">
        <f t="array" ref="AM8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78" s="84" cm="1">
        <f t="array" ref="AN8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78" s="84" cm="1">
        <f t="array" ref="AO8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78" s="84" cm="1">
        <f t="array" ref="AP8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8" s="84" cm="1">
        <f t="array" ref="AQ8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8" s="84" cm="1">
        <f t="array" ref="AR8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8" s="84" cm="1">
        <f t="array" ref="AS8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8" s="84" cm="1">
        <f t="array" ref="AT8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8" s="84" cm="1">
        <f t="array" ref="AU8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8" s="84" cm="1">
        <f t="array" ref="AV8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8" s="84" cm="1">
        <f t="array" ref="AW8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8" s="84" cm="1">
        <f t="array" ref="AX8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8" s="84" cm="1">
        <f t="array" ref="AY8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78" s="84" cm="1">
        <f t="array" ref="AZ8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78" s="84" cm="1">
        <f t="array" ref="BA8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78" s="84" cm="1">
        <f t="array" ref="BB8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78" s="84">
        <f>IF(SUM(Table3[[#This Row],[Column2]:[Column18]])&gt;Table3[[#This Row],[Column19]],Table3[[#This Row],[Column19]],SUM(Table3[[#This Row],[Column2]:[Column18]]))</f>
        <v>10800</v>
      </c>
      <c r="BD878" s="2">
        <f>Table3[[#This Row],[Total Spend]]/SUM(Table3[[#This Row],[Column2]:[Column18]])</f>
        <v>1</v>
      </c>
    </row>
    <row r="879" spans="1:56">
      <c r="A879" s="84" t="s">
        <v>953</v>
      </c>
      <c r="B879" s="84" t="s">
        <v>57</v>
      </c>
      <c r="C879" s="84"/>
      <c r="D879" s="85">
        <v>45566</v>
      </c>
      <c r="E879" s="85" t="s">
        <v>92</v>
      </c>
      <c r="F879" s="84">
        <f>INDEX(Definitions!$G$13:$G$17,MATCH(Table3[[#This Row],[Propensity to buy/ buyer readiness]],Definitions!$A$13:$A$17,0))</f>
        <v>10000</v>
      </c>
      <c r="G879" s="86">
        <v>3</v>
      </c>
      <c r="H879" s="86">
        <v>3</v>
      </c>
      <c r="I879" s="86">
        <v>4</v>
      </c>
      <c r="J879" s="86">
        <v>4</v>
      </c>
      <c r="K879" s="86">
        <v>2</v>
      </c>
      <c r="L879" s="86">
        <f>SUM(Table3[[#This Row],[Strategic priority segment]:[Propensity to buy/ buyer readiness]])</f>
        <v>16</v>
      </c>
      <c r="M879" s="86" t="s">
        <v>59</v>
      </c>
      <c r="N879" s="84" t="s">
        <v>265</v>
      </c>
      <c r="O879" s="84"/>
      <c r="P879" s="87"/>
      <c r="Q879" s="87"/>
      <c r="R879" s="84"/>
      <c r="S879" s="87"/>
      <c r="T879" s="87"/>
      <c r="U879" s="84">
        <v>1</v>
      </c>
      <c r="V879" s="84">
        <v>1</v>
      </c>
      <c r="W879" s="84">
        <v>1</v>
      </c>
      <c r="X879" s="84">
        <v>1</v>
      </c>
      <c r="Y879" s="84">
        <v>0</v>
      </c>
      <c r="Z879" s="84">
        <v>0</v>
      </c>
      <c r="AA879" s="84">
        <v>0</v>
      </c>
      <c r="AB879" s="84">
        <v>0</v>
      </c>
      <c r="AC879" s="84">
        <v>0</v>
      </c>
      <c r="AD879" s="84">
        <v>0</v>
      </c>
      <c r="AE879" s="84">
        <v>0</v>
      </c>
      <c r="AF879" s="84">
        <v>0</v>
      </c>
      <c r="AG879" s="84">
        <v>0</v>
      </c>
      <c r="AH879" s="84">
        <v>0</v>
      </c>
      <c r="AI879" s="84">
        <v>1</v>
      </c>
      <c r="AJ879" s="84">
        <v>0</v>
      </c>
      <c r="AK879" s="84">
        <v>0</v>
      </c>
      <c r="AL879" s="84" cm="1">
        <f t="array" ref="AL8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79" s="84" cm="1">
        <f t="array" ref="AM8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79" s="84" cm="1">
        <f t="array" ref="AN8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79" s="84" cm="1">
        <f t="array" ref="AO8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79" s="84" cm="1">
        <f t="array" ref="AP8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79" s="84" cm="1">
        <f t="array" ref="AQ8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79" s="84" cm="1">
        <f t="array" ref="AR8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79" s="84" cm="1">
        <f t="array" ref="AS8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79" s="84" cm="1">
        <f t="array" ref="AT8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79" s="84" cm="1">
        <f t="array" ref="AU8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79" s="84" cm="1">
        <f t="array" ref="AV8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79" s="84" cm="1">
        <f t="array" ref="AW8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79" s="84" cm="1">
        <f t="array" ref="AX8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79" s="84" cm="1">
        <f t="array" ref="AY8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79" s="84" cm="1">
        <f t="array" ref="AZ8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79" s="84" cm="1">
        <f t="array" ref="BA8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79" s="84" cm="1">
        <f t="array" ref="BB8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79" s="84">
        <f>IF(SUM(Table3[[#This Row],[Column2]:[Column18]])&gt;Table3[[#This Row],[Column19]],Table3[[#This Row],[Column19]],SUM(Table3[[#This Row],[Column2]:[Column18]]))</f>
        <v>10000</v>
      </c>
      <c r="BD879" s="2">
        <f>Table3[[#This Row],[Total Spend]]/SUM(Table3[[#This Row],[Column2]:[Column18]])</f>
        <v>7.2859744990892539E-2</v>
      </c>
    </row>
    <row r="880" spans="1:56">
      <c r="A880" s="84" t="s">
        <v>954</v>
      </c>
      <c r="B880" s="84" t="s">
        <v>57</v>
      </c>
      <c r="C880" s="84"/>
      <c r="D880" s="85">
        <v>45566</v>
      </c>
      <c r="E880" s="85" t="s">
        <v>92</v>
      </c>
      <c r="F880" s="84">
        <f>INDEX(Definitions!$G$13:$G$17,MATCH(Table3[[#This Row],[Propensity to buy/ buyer readiness]],Definitions!$A$13:$A$17,0))</f>
        <v>10000</v>
      </c>
      <c r="G880" s="86">
        <v>3</v>
      </c>
      <c r="H880" s="86">
        <v>3</v>
      </c>
      <c r="I880" s="86">
        <v>4</v>
      </c>
      <c r="J880" s="86">
        <v>4</v>
      </c>
      <c r="K880" s="86">
        <v>2</v>
      </c>
      <c r="L880" s="86">
        <f>SUM(Table3[[#This Row],[Strategic priority segment]:[Propensity to buy/ buyer readiness]])</f>
        <v>16</v>
      </c>
      <c r="M880" s="86" t="s">
        <v>59</v>
      </c>
      <c r="N880" s="84" t="s">
        <v>265</v>
      </c>
      <c r="O880" s="84"/>
      <c r="P880" s="87"/>
      <c r="Q880" s="87"/>
      <c r="R880" s="84"/>
      <c r="S880" s="87"/>
      <c r="T880" s="87"/>
      <c r="U880" s="84">
        <v>1</v>
      </c>
      <c r="V880" s="84">
        <v>1</v>
      </c>
      <c r="W880" s="84">
        <v>1</v>
      </c>
      <c r="X880" s="84">
        <v>1</v>
      </c>
      <c r="Y880" s="84">
        <v>0</v>
      </c>
      <c r="Z880" s="84">
        <v>0</v>
      </c>
      <c r="AA880" s="84">
        <v>0</v>
      </c>
      <c r="AB880" s="84">
        <v>0</v>
      </c>
      <c r="AC880" s="84">
        <v>0</v>
      </c>
      <c r="AD880" s="84">
        <v>0</v>
      </c>
      <c r="AE880" s="84">
        <v>0</v>
      </c>
      <c r="AF880" s="84">
        <v>0</v>
      </c>
      <c r="AG880" s="84">
        <v>0</v>
      </c>
      <c r="AH880" s="84">
        <v>0</v>
      </c>
      <c r="AI880" s="84">
        <v>1</v>
      </c>
      <c r="AJ880" s="84">
        <v>0</v>
      </c>
      <c r="AK880" s="84">
        <v>0</v>
      </c>
      <c r="AL880" s="84" cm="1">
        <f t="array" ref="AL8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0" s="84" cm="1">
        <f t="array" ref="AM8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80" s="84" cm="1">
        <f t="array" ref="AN8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80" s="84" cm="1">
        <f t="array" ref="AO8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80" s="84" cm="1">
        <f t="array" ref="AP8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0" s="84" cm="1">
        <f t="array" ref="AQ8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0" s="84" cm="1">
        <f t="array" ref="AR8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0" s="84" cm="1">
        <f t="array" ref="AS8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0" s="84" cm="1">
        <f t="array" ref="AT8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0" s="84" cm="1">
        <f t="array" ref="AU8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0" s="84" cm="1">
        <f t="array" ref="AV8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0" s="84" cm="1">
        <f t="array" ref="AW8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0" s="84" cm="1">
        <f t="array" ref="AX8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0" s="84" cm="1">
        <f t="array" ref="AY8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0" s="84" cm="1">
        <f t="array" ref="AZ8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80" s="84" cm="1">
        <f t="array" ref="BA8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0" s="84" cm="1">
        <f t="array" ref="BB8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0" s="84">
        <f>IF(SUM(Table3[[#This Row],[Column2]:[Column18]])&gt;Table3[[#This Row],[Column19]],Table3[[#This Row],[Column19]],SUM(Table3[[#This Row],[Column2]:[Column18]]))</f>
        <v>10000</v>
      </c>
      <c r="BD880" s="2">
        <f>Table3[[#This Row],[Total Spend]]/SUM(Table3[[#This Row],[Column2]:[Column18]])</f>
        <v>7.2859744990892539E-2</v>
      </c>
    </row>
    <row r="881" spans="1:56">
      <c r="A881" s="84" t="s">
        <v>955</v>
      </c>
      <c r="B881" s="84" t="s">
        <v>57</v>
      </c>
      <c r="C881" s="84" t="s">
        <v>57</v>
      </c>
      <c r="D881" s="85">
        <v>45566</v>
      </c>
      <c r="E881" s="85" t="s">
        <v>58</v>
      </c>
      <c r="F881" s="84">
        <f>INDEX(Definitions!$G$13:$G$17,MATCH(Table3[[#This Row],[Propensity to buy/ buyer readiness]],Definitions!$A$13:$A$17,0))</f>
        <v>50000</v>
      </c>
      <c r="G881" s="86">
        <v>3</v>
      </c>
      <c r="H881" s="86">
        <v>3</v>
      </c>
      <c r="I881" s="86">
        <v>4</v>
      </c>
      <c r="J881" s="86">
        <v>3</v>
      </c>
      <c r="K881" s="86">
        <v>3</v>
      </c>
      <c r="L881" s="86">
        <f>SUM(Table3[[#This Row],[Strategic priority segment]:[Propensity to buy/ buyer readiness]])</f>
        <v>16</v>
      </c>
      <c r="M881" s="86" t="s">
        <v>152</v>
      </c>
      <c r="N881" s="84" t="s">
        <v>264</v>
      </c>
      <c r="O881" s="84" t="s">
        <v>85</v>
      </c>
      <c r="P881" s="87"/>
      <c r="Q881" s="87"/>
      <c r="R881" s="84"/>
      <c r="S881" s="87"/>
      <c r="T881" s="87"/>
      <c r="U881" s="84">
        <v>1</v>
      </c>
      <c r="V881" s="84">
        <v>0</v>
      </c>
      <c r="W881" s="84">
        <v>0</v>
      </c>
      <c r="X881" s="84">
        <v>0</v>
      </c>
      <c r="Y881" s="84">
        <v>1</v>
      </c>
      <c r="Z881" s="84">
        <v>0</v>
      </c>
      <c r="AA881" s="84">
        <v>0</v>
      </c>
      <c r="AB881" s="84">
        <v>0</v>
      </c>
      <c r="AC881" s="84">
        <v>0</v>
      </c>
      <c r="AD881" s="84">
        <v>0</v>
      </c>
      <c r="AE881" s="84">
        <v>0</v>
      </c>
      <c r="AF881" s="84">
        <v>0</v>
      </c>
      <c r="AG881" s="84">
        <v>0</v>
      </c>
      <c r="AH881" s="84">
        <v>0</v>
      </c>
      <c r="AI881" s="84">
        <v>0</v>
      </c>
      <c r="AJ881" s="84">
        <v>0</v>
      </c>
      <c r="AK881" s="84">
        <v>0</v>
      </c>
      <c r="AL881" s="84" cm="1">
        <f t="array" ref="AL8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81" s="84" cm="1">
        <f t="array" ref="AM8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1" s="84" cm="1">
        <f t="array" ref="AN8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1" s="84" cm="1">
        <f t="array" ref="AO8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1" s="84" cm="1">
        <f t="array" ref="AP8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881" s="84" cm="1">
        <f t="array" ref="AQ8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1" s="84" cm="1">
        <f t="array" ref="AR8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1" s="84" cm="1">
        <f t="array" ref="AS8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1" s="84" cm="1">
        <f t="array" ref="AT8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1" s="84" cm="1">
        <f t="array" ref="AU8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1" s="84" cm="1">
        <f t="array" ref="AV8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1" s="84" cm="1">
        <f t="array" ref="AW8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1" s="84" cm="1">
        <f t="array" ref="AX8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1" s="84" cm="1">
        <f t="array" ref="AY8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1" s="84" cm="1">
        <f t="array" ref="AZ8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81" s="84" cm="1">
        <f t="array" ref="BA8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1" s="84" cm="1">
        <f t="array" ref="BB8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1" s="84">
        <f>IF(SUM(Table3[[#This Row],[Column2]:[Column18]])&gt;Table3[[#This Row],[Column19]],Table3[[#This Row],[Column19]],SUM(Table3[[#This Row],[Column2]:[Column18]]))</f>
        <v>50000</v>
      </c>
      <c r="BD881" s="2">
        <f>Table3[[#This Row],[Total Spend]]/SUM(Table3[[#This Row],[Column2]:[Column18]])</f>
        <v>0.75075075075075071</v>
      </c>
    </row>
    <row r="882" spans="1:56">
      <c r="A882" s="84" t="s">
        <v>956</v>
      </c>
      <c r="B882" s="84" t="s">
        <v>57</v>
      </c>
      <c r="C882" s="84"/>
      <c r="D882" s="85">
        <v>45566</v>
      </c>
      <c r="E882" s="85" t="s">
        <v>92</v>
      </c>
      <c r="F882" s="84">
        <f>INDEX(Definitions!$G$13:$G$17,MATCH(Table3[[#This Row],[Propensity to buy/ buyer readiness]],Definitions!$A$13:$A$17,0))</f>
        <v>50000</v>
      </c>
      <c r="G882" s="86">
        <v>3</v>
      </c>
      <c r="H882" s="86">
        <v>3</v>
      </c>
      <c r="I882" s="86">
        <v>4</v>
      </c>
      <c r="J882" s="86">
        <v>3</v>
      </c>
      <c r="K882" s="86">
        <v>3</v>
      </c>
      <c r="L882" s="86">
        <f>SUM(Table3[[#This Row],[Strategic priority segment]:[Propensity to buy/ buyer readiness]])</f>
        <v>16</v>
      </c>
      <c r="M882" s="86" t="s">
        <v>152</v>
      </c>
      <c r="N882" s="84" t="s">
        <v>122</v>
      </c>
      <c r="O882" s="84"/>
      <c r="P882" s="87"/>
      <c r="Q882" s="87"/>
      <c r="R882" s="84"/>
      <c r="S882" s="87"/>
      <c r="T882" s="87"/>
      <c r="U882" s="84">
        <v>1</v>
      </c>
      <c r="V882" s="84">
        <v>0</v>
      </c>
      <c r="W882" s="84">
        <v>0</v>
      </c>
      <c r="X882" s="84">
        <v>0</v>
      </c>
      <c r="Y882" s="84">
        <v>0</v>
      </c>
      <c r="Z882" s="84">
        <v>1</v>
      </c>
      <c r="AA882" s="84">
        <v>0</v>
      </c>
      <c r="AB882" s="84">
        <v>1</v>
      </c>
      <c r="AC882" s="84">
        <v>0</v>
      </c>
      <c r="AD882" s="84">
        <v>1</v>
      </c>
      <c r="AE882" s="84">
        <v>0</v>
      </c>
      <c r="AF882" s="84">
        <v>1</v>
      </c>
      <c r="AG882" s="84">
        <v>0</v>
      </c>
      <c r="AH882" s="84">
        <v>0</v>
      </c>
      <c r="AI882" s="84">
        <v>0</v>
      </c>
      <c r="AJ882" s="84">
        <v>0</v>
      </c>
      <c r="AK882" s="84">
        <v>0</v>
      </c>
      <c r="AL882" s="84" cm="1">
        <f t="array" ref="AL8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2" s="84" cm="1">
        <f t="array" ref="AM8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2" s="84" cm="1">
        <f t="array" ref="AN8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2" s="84" cm="1">
        <f t="array" ref="AO8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2" s="84" cm="1">
        <f t="array" ref="AP8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2" s="84" cm="1">
        <f t="array" ref="AQ8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82" s="84" cm="1">
        <f t="array" ref="AR8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2" s="84" cm="1">
        <f t="array" ref="AS8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82" s="84" cm="1">
        <f t="array" ref="AT8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2" s="84" cm="1">
        <f t="array" ref="AU8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82" s="84" cm="1">
        <f t="array" ref="AV8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2" s="84" cm="1">
        <f t="array" ref="AW8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82" s="84" cm="1">
        <f t="array" ref="AX8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2" s="84" cm="1">
        <f t="array" ref="AY8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2" s="84" cm="1">
        <f t="array" ref="AZ8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82" s="84" cm="1">
        <f t="array" ref="BA8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2" s="84" cm="1">
        <f t="array" ref="BB8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2" s="84">
        <f>IF(SUM(Table3[[#This Row],[Column2]:[Column18]])&gt;Table3[[#This Row],[Column19]],Table3[[#This Row],[Column19]],SUM(Table3[[#This Row],[Column2]:[Column18]]))</f>
        <v>50000</v>
      </c>
      <c r="BD882" s="2">
        <f>Table3[[#This Row],[Total Spend]]/SUM(Table3[[#This Row],[Column2]:[Column18]])</f>
        <v>0.41459369817578773</v>
      </c>
    </row>
    <row r="883" spans="1:56">
      <c r="A883" s="84" t="s">
        <v>957</v>
      </c>
      <c r="B883" s="84" t="s">
        <v>57</v>
      </c>
      <c r="C883" s="84"/>
      <c r="D883" s="85">
        <v>45566</v>
      </c>
      <c r="E883" s="85" t="s">
        <v>92</v>
      </c>
      <c r="F883" s="84">
        <f>INDEX(Definitions!$G$13:$G$17,MATCH(Table3[[#This Row],[Propensity to buy/ buyer readiness]],Definitions!$A$13:$A$17,0))</f>
        <v>10000</v>
      </c>
      <c r="G883" s="86">
        <v>3</v>
      </c>
      <c r="H883" s="86">
        <v>3</v>
      </c>
      <c r="I883" s="86">
        <v>4</v>
      </c>
      <c r="J883" s="86">
        <v>4</v>
      </c>
      <c r="K883" s="86">
        <v>2</v>
      </c>
      <c r="L883" s="86">
        <f>SUM(Table3[[#This Row],[Strategic priority segment]:[Propensity to buy/ buyer readiness]])</f>
        <v>16</v>
      </c>
      <c r="M883" s="86" t="s">
        <v>59</v>
      </c>
      <c r="N883" s="84" t="s">
        <v>265</v>
      </c>
      <c r="O883" s="84"/>
      <c r="P883" s="87"/>
      <c r="Q883" s="87"/>
      <c r="R883" s="84"/>
      <c r="S883" s="87"/>
      <c r="T883" s="87"/>
      <c r="U883" s="84">
        <v>1</v>
      </c>
      <c r="V883" s="84">
        <v>1</v>
      </c>
      <c r="W883" s="84">
        <v>1</v>
      </c>
      <c r="X883" s="84">
        <v>1</v>
      </c>
      <c r="Y883" s="84">
        <v>0</v>
      </c>
      <c r="Z883" s="84">
        <v>0</v>
      </c>
      <c r="AA883" s="84">
        <v>0</v>
      </c>
      <c r="AB883" s="84">
        <v>0</v>
      </c>
      <c r="AC883" s="84">
        <v>0</v>
      </c>
      <c r="AD883" s="84">
        <v>0</v>
      </c>
      <c r="AE883" s="84">
        <v>0</v>
      </c>
      <c r="AF883" s="84">
        <v>0</v>
      </c>
      <c r="AG883" s="84">
        <v>0</v>
      </c>
      <c r="AH883" s="84">
        <v>0</v>
      </c>
      <c r="AI883" s="84">
        <v>1</v>
      </c>
      <c r="AJ883" s="84">
        <v>0</v>
      </c>
      <c r="AK883" s="84">
        <v>0</v>
      </c>
      <c r="AL883" s="84" cm="1">
        <f t="array" ref="AL8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3" s="84" cm="1">
        <f t="array" ref="AM8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83" s="84" cm="1">
        <f t="array" ref="AN8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83" s="84" cm="1">
        <f t="array" ref="AO8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83" s="84" cm="1">
        <f t="array" ref="AP8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3" s="84" cm="1">
        <f t="array" ref="AQ8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3" s="84" cm="1">
        <f t="array" ref="AR8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3" s="84" cm="1">
        <f t="array" ref="AS8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3" s="84" cm="1">
        <f t="array" ref="AT8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3" s="84" cm="1">
        <f t="array" ref="AU8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3" s="84" cm="1">
        <f t="array" ref="AV8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3" s="84" cm="1">
        <f t="array" ref="AW8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3" s="84" cm="1">
        <f t="array" ref="AX8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3" s="84" cm="1">
        <f t="array" ref="AY8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3" s="84" cm="1">
        <f t="array" ref="AZ8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83" s="84" cm="1">
        <f t="array" ref="BA8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3" s="84" cm="1">
        <f t="array" ref="BB8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3" s="84">
        <f>IF(SUM(Table3[[#This Row],[Column2]:[Column18]])&gt;Table3[[#This Row],[Column19]],Table3[[#This Row],[Column19]],SUM(Table3[[#This Row],[Column2]:[Column18]]))</f>
        <v>10000</v>
      </c>
      <c r="BD883" s="2">
        <f>Table3[[#This Row],[Total Spend]]/SUM(Table3[[#This Row],[Column2]:[Column18]])</f>
        <v>7.2859744990892539E-2</v>
      </c>
    </row>
    <row r="884" spans="1:56">
      <c r="A884" s="84" t="s">
        <v>958</v>
      </c>
      <c r="B884" s="84"/>
      <c r="C884" s="84"/>
      <c r="D884" s="85">
        <v>45566</v>
      </c>
      <c r="E884" s="85" t="s">
        <v>58</v>
      </c>
      <c r="F884" s="84">
        <f>INDEX(Definitions!$G$13:$G$17,MATCH(Table3[[#This Row],[Propensity to buy/ buyer readiness]],Definitions!$A$13:$A$17,0))</f>
        <v>150000</v>
      </c>
      <c r="G884" s="86">
        <v>3</v>
      </c>
      <c r="H884" s="86">
        <v>3</v>
      </c>
      <c r="I884" s="86">
        <v>3</v>
      </c>
      <c r="J884" s="86">
        <v>3</v>
      </c>
      <c r="K884" s="86">
        <v>4</v>
      </c>
      <c r="L884" s="86">
        <f>SUM(Table3[[#This Row],[Strategic priority segment]:[Propensity to buy/ buyer readiness]])</f>
        <v>16</v>
      </c>
      <c r="M884" s="86" t="s">
        <v>152</v>
      </c>
      <c r="N884" s="84" t="s">
        <v>153</v>
      </c>
      <c r="O884" s="84"/>
      <c r="P884" s="84"/>
      <c r="Q884" s="84"/>
      <c r="R884" s="84"/>
      <c r="S884" s="87"/>
      <c r="T884" s="87"/>
      <c r="U884" s="84">
        <v>1</v>
      </c>
      <c r="V884" s="84">
        <v>0</v>
      </c>
      <c r="W884" s="84">
        <v>0</v>
      </c>
      <c r="X884" s="84">
        <v>0</v>
      </c>
      <c r="Y884" s="84">
        <v>0</v>
      </c>
      <c r="Z884" s="84">
        <v>0</v>
      </c>
      <c r="AA884" s="84">
        <v>0</v>
      </c>
      <c r="AB884" s="84">
        <v>0</v>
      </c>
      <c r="AC884" s="84">
        <v>0</v>
      </c>
      <c r="AD884" s="84">
        <v>0</v>
      </c>
      <c r="AE884" s="84">
        <v>0</v>
      </c>
      <c r="AF884" s="84">
        <v>0</v>
      </c>
      <c r="AG884" s="84">
        <v>0</v>
      </c>
      <c r="AH884" s="84">
        <v>0</v>
      </c>
      <c r="AI884" s="84">
        <v>0</v>
      </c>
      <c r="AJ884" s="84">
        <v>0</v>
      </c>
      <c r="AK884" s="84">
        <v>0</v>
      </c>
      <c r="AL884" s="84" cm="1">
        <f t="array" ref="AL8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84" s="84" cm="1">
        <f t="array" ref="AM8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4" s="84" cm="1">
        <f t="array" ref="AN8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4" s="84" cm="1">
        <f t="array" ref="AO8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4" s="84" cm="1">
        <f t="array" ref="AP8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4" s="84" cm="1">
        <f t="array" ref="AQ8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4" s="84" cm="1">
        <f t="array" ref="AR8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4" s="84" cm="1">
        <f t="array" ref="AS8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4" s="84" cm="1">
        <f t="array" ref="AT8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4" s="84" cm="1">
        <f t="array" ref="AU8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4" s="84" cm="1">
        <f t="array" ref="AV8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4" s="84" cm="1">
        <f t="array" ref="AW8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4" s="84" cm="1">
        <f t="array" ref="AX8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4" s="84" cm="1">
        <f t="array" ref="AY8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4" s="84" cm="1">
        <f t="array" ref="AZ8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84" s="84" cm="1">
        <f t="array" ref="BA8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4" s="84" cm="1">
        <f t="array" ref="BB8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4" s="84">
        <f>IF(SUM(Table3[[#This Row],[Column2]:[Column18]])&gt;Table3[[#This Row],[Column19]],Table3[[#This Row],[Column19]],SUM(Table3[[#This Row],[Column2]:[Column18]]))</f>
        <v>10800</v>
      </c>
      <c r="BD884" s="2">
        <f>Table3[[#This Row],[Total Spend]]/SUM(Table3[[#This Row],[Column2]:[Column18]])</f>
        <v>1</v>
      </c>
    </row>
    <row r="885" spans="1:56">
      <c r="A885" s="84" t="s">
        <v>959</v>
      </c>
      <c r="B885" s="84" t="s">
        <v>57</v>
      </c>
      <c r="C885" s="84"/>
      <c r="D885" s="85">
        <v>45566</v>
      </c>
      <c r="E885" s="85" t="s">
        <v>58</v>
      </c>
      <c r="F885" s="84">
        <f>INDEX(Definitions!$G$13:$G$17,MATCH(Table3[[#This Row],[Propensity to buy/ buyer readiness]],Definitions!$A$13:$A$17,0))</f>
        <v>50000</v>
      </c>
      <c r="G885" s="86">
        <v>3</v>
      </c>
      <c r="H885" s="86">
        <v>3</v>
      </c>
      <c r="I885" s="86">
        <v>4</v>
      </c>
      <c r="J885" s="86">
        <v>3</v>
      </c>
      <c r="K885" s="86">
        <v>3</v>
      </c>
      <c r="L885" s="86">
        <f>SUM(Table3[[#This Row],[Strategic priority segment]:[Propensity to buy/ buyer readiness]])</f>
        <v>16</v>
      </c>
      <c r="M885" s="86" t="s">
        <v>152</v>
      </c>
      <c r="N885" s="84" t="s">
        <v>264</v>
      </c>
      <c r="O885" s="84"/>
      <c r="P885" s="87"/>
      <c r="Q885" s="87"/>
      <c r="R885" s="84"/>
      <c r="S885" s="87"/>
      <c r="T885" s="87"/>
      <c r="U885" s="84">
        <v>1</v>
      </c>
      <c r="V885" s="84">
        <v>0</v>
      </c>
      <c r="W885" s="84">
        <v>0</v>
      </c>
      <c r="X885" s="84">
        <v>0</v>
      </c>
      <c r="Y885" s="84">
        <v>0</v>
      </c>
      <c r="Z885" s="84">
        <v>0</v>
      </c>
      <c r="AA885" s="84">
        <v>0</v>
      </c>
      <c r="AB885" s="84">
        <v>0</v>
      </c>
      <c r="AC885" s="84">
        <v>0</v>
      </c>
      <c r="AD885" s="84">
        <v>0</v>
      </c>
      <c r="AE885" s="84">
        <v>0</v>
      </c>
      <c r="AF885" s="84">
        <v>0</v>
      </c>
      <c r="AG885" s="84">
        <v>0</v>
      </c>
      <c r="AH885" s="84">
        <v>0</v>
      </c>
      <c r="AI885" s="84">
        <v>0</v>
      </c>
      <c r="AJ885" s="84">
        <v>0</v>
      </c>
      <c r="AK885" s="84">
        <v>0</v>
      </c>
      <c r="AL885" s="84" cm="1">
        <f t="array" ref="AL8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85" s="84" cm="1">
        <f t="array" ref="AM8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5" s="84" cm="1">
        <f t="array" ref="AN8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5" s="84" cm="1">
        <f t="array" ref="AO8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5" s="84" cm="1">
        <f t="array" ref="AP8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5" s="84" cm="1">
        <f t="array" ref="AQ8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5" s="84" cm="1">
        <f t="array" ref="AR8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5" s="84" cm="1">
        <f t="array" ref="AS8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5" s="84" cm="1">
        <f t="array" ref="AT8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5" s="84" cm="1">
        <f t="array" ref="AU8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5" s="84" cm="1">
        <f t="array" ref="AV8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5" s="84" cm="1">
        <f t="array" ref="AW8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5" s="84" cm="1">
        <f t="array" ref="AX8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5" s="84" cm="1">
        <f t="array" ref="AY8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5" s="84" cm="1">
        <f t="array" ref="AZ8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85" s="84" cm="1">
        <f t="array" ref="BA8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5" s="84" cm="1">
        <f t="array" ref="BB8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5" s="84">
        <f>IF(SUM(Table3[[#This Row],[Column2]:[Column18]])&gt;Table3[[#This Row],[Column19]],Table3[[#This Row],[Column19]],SUM(Table3[[#This Row],[Column2]:[Column18]]))</f>
        <v>10800</v>
      </c>
      <c r="BD885" s="2">
        <f>Table3[[#This Row],[Total Spend]]/SUM(Table3[[#This Row],[Column2]:[Column18]])</f>
        <v>1</v>
      </c>
    </row>
    <row r="886" spans="1:56">
      <c r="A886" s="84" t="s">
        <v>960</v>
      </c>
      <c r="B886" s="84" t="s">
        <v>57</v>
      </c>
      <c r="C886" s="84"/>
      <c r="D886" s="85">
        <v>45566</v>
      </c>
      <c r="E886" s="85" t="s">
        <v>92</v>
      </c>
      <c r="F886" s="84">
        <f>INDEX(Definitions!$G$13:$G$17,MATCH(Table3[[#This Row],[Propensity to buy/ buyer readiness]],Definitions!$A$13:$A$17,0))</f>
        <v>10000</v>
      </c>
      <c r="G886" s="86">
        <v>3</v>
      </c>
      <c r="H886" s="86">
        <v>3</v>
      </c>
      <c r="I886" s="86">
        <v>4</v>
      </c>
      <c r="J886" s="86">
        <v>4</v>
      </c>
      <c r="K886" s="86">
        <v>2</v>
      </c>
      <c r="L886" s="86">
        <f>SUM(Table3[[#This Row],[Strategic priority segment]:[Propensity to buy/ buyer readiness]])</f>
        <v>16</v>
      </c>
      <c r="M886" s="86" t="s">
        <v>59</v>
      </c>
      <c r="N886" s="84" t="s">
        <v>265</v>
      </c>
      <c r="O886" s="84"/>
      <c r="P886" s="87"/>
      <c r="Q886" s="87"/>
      <c r="R886" s="84"/>
      <c r="S886" s="87"/>
      <c r="T886" s="87"/>
      <c r="U886" s="84">
        <v>1</v>
      </c>
      <c r="V886" s="84">
        <v>1</v>
      </c>
      <c r="W886" s="84">
        <v>1</v>
      </c>
      <c r="X886" s="84">
        <v>1</v>
      </c>
      <c r="Y886" s="84">
        <v>0</v>
      </c>
      <c r="Z886" s="84">
        <v>0</v>
      </c>
      <c r="AA886" s="84">
        <v>0</v>
      </c>
      <c r="AB886" s="84">
        <v>0</v>
      </c>
      <c r="AC886" s="84">
        <v>0</v>
      </c>
      <c r="AD886" s="84">
        <v>0</v>
      </c>
      <c r="AE886" s="84">
        <v>0</v>
      </c>
      <c r="AF886" s="84">
        <v>0</v>
      </c>
      <c r="AG886" s="84">
        <v>0</v>
      </c>
      <c r="AH886" s="84">
        <v>0</v>
      </c>
      <c r="AI886" s="84">
        <v>1</v>
      </c>
      <c r="AJ886" s="84">
        <v>0</v>
      </c>
      <c r="AK886" s="84">
        <v>0</v>
      </c>
      <c r="AL886" s="84" cm="1">
        <f t="array" ref="AL8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6" s="84" cm="1">
        <f t="array" ref="AM8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86" s="84" cm="1">
        <f t="array" ref="AN8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86" s="84" cm="1">
        <f t="array" ref="AO8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86" s="84" cm="1">
        <f t="array" ref="AP8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6" s="84" cm="1">
        <f t="array" ref="AQ8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6" s="84" cm="1">
        <f t="array" ref="AR8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6" s="84" cm="1">
        <f t="array" ref="AS8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6" s="84" cm="1">
        <f t="array" ref="AT8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6" s="84" cm="1">
        <f t="array" ref="AU8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6" s="84" cm="1">
        <f t="array" ref="AV8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6" s="84" cm="1">
        <f t="array" ref="AW8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6" s="84" cm="1">
        <f t="array" ref="AX8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6" s="84" cm="1">
        <f t="array" ref="AY8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6" s="84" cm="1">
        <f t="array" ref="AZ8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86" s="84" cm="1">
        <f t="array" ref="BA8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6" s="84" cm="1">
        <f t="array" ref="BB8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6" s="84">
        <f>IF(SUM(Table3[[#This Row],[Column2]:[Column18]])&gt;Table3[[#This Row],[Column19]],Table3[[#This Row],[Column19]],SUM(Table3[[#This Row],[Column2]:[Column18]]))</f>
        <v>10000</v>
      </c>
      <c r="BD886" s="2">
        <f>Table3[[#This Row],[Total Spend]]/SUM(Table3[[#This Row],[Column2]:[Column18]])</f>
        <v>7.2859744990892539E-2</v>
      </c>
    </row>
    <row r="887" spans="1:56">
      <c r="A887" s="84" t="s">
        <v>961</v>
      </c>
      <c r="B887" s="84"/>
      <c r="C887" s="84"/>
      <c r="D887" s="85">
        <v>45566</v>
      </c>
      <c r="E887" s="85" t="s">
        <v>92</v>
      </c>
      <c r="F887" s="84">
        <f>INDEX(Definitions!$G$13:$G$17,MATCH(Table3[[#This Row],[Propensity to buy/ buyer readiness]],Definitions!$A$13:$A$17,0))</f>
        <v>50000</v>
      </c>
      <c r="G887" s="86">
        <v>4</v>
      </c>
      <c r="H887" s="86">
        <v>3</v>
      </c>
      <c r="I887" s="86">
        <v>3</v>
      </c>
      <c r="J887" s="86">
        <v>3</v>
      </c>
      <c r="K887" s="86">
        <v>3</v>
      </c>
      <c r="L887" s="86">
        <f>SUM(Table3[[#This Row],[Strategic priority segment]:[Propensity to buy/ buyer readiness]])</f>
        <v>16</v>
      </c>
      <c r="M887" s="86" t="s">
        <v>191</v>
      </c>
      <c r="N887" s="84" t="s">
        <v>76</v>
      </c>
      <c r="O887" s="84" t="s">
        <v>135</v>
      </c>
      <c r="P887" s="84"/>
      <c r="Q887" s="84"/>
      <c r="R887" s="84"/>
      <c r="S887" s="87"/>
      <c r="T887" s="87"/>
      <c r="U887" s="84">
        <v>0</v>
      </c>
      <c r="V887" s="84">
        <v>0</v>
      </c>
      <c r="W887" s="84">
        <v>0</v>
      </c>
      <c r="X887" s="84">
        <v>0</v>
      </c>
      <c r="Y887" s="84">
        <v>0</v>
      </c>
      <c r="Z887" s="84">
        <v>0</v>
      </c>
      <c r="AA887" s="84">
        <v>0</v>
      </c>
      <c r="AB887" s="84">
        <v>0</v>
      </c>
      <c r="AC887" s="84">
        <v>0</v>
      </c>
      <c r="AD887" s="84">
        <v>0</v>
      </c>
      <c r="AE887" s="84">
        <v>0</v>
      </c>
      <c r="AF887" s="84">
        <v>0</v>
      </c>
      <c r="AG887" s="84">
        <v>0</v>
      </c>
      <c r="AH887" s="84">
        <v>1</v>
      </c>
      <c r="AI887" s="84">
        <v>1</v>
      </c>
      <c r="AJ887" s="84">
        <v>1</v>
      </c>
      <c r="AK887" s="84">
        <v>1</v>
      </c>
      <c r="AL887" s="84" cm="1">
        <f t="array" ref="AL8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887" s="84" cm="1">
        <f t="array" ref="AM8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7" s="84" cm="1">
        <f t="array" ref="AN8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7" s="84" cm="1">
        <f t="array" ref="AO8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7" s="84" cm="1">
        <f t="array" ref="AP8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7" s="84" cm="1">
        <f t="array" ref="AQ8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7" s="84" cm="1">
        <f t="array" ref="AR8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7" s="84" cm="1">
        <f t="array" ref="AS8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7" s="84" cm="1">
        <f t="array" ref="AT8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7" s="84" cm="1">
        <f t="array" ref="AU8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7" s="84" cm="1">
        <f t="array" ref="AV8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7" s="84" cm="1">
        <f t="array" ref="AW8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7" s="84" cm="1">
        <f t="array" ref="AX8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7" s="84" cm="1">
        <f t="array" ref="AY8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887" s="84" cm="1">
        <f t="array" ref="AZ8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87" s="84" cm="1">
        <f t="array" ref="BA8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887" s="84" cm="1">
        <f t="array" ref="BB8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887" s="84">
        <f>IF(SUM(Table3[[#This Row],[Column2]:[Column18]])&gt;Table3[[#This Row],[Column19]],Table3[[#This Row],[Column19]],SUM(Table3[[#This Row],[Column2]:[Column18]]))</f>
        <v>46350</v>
      </c>
      <c r="BD887" s="2">
        <f>Table3[[#This Row],[Total Spend]]/SUM(Table3[[#This Row],[Column2]:[Column18]])</f>
        <v>1</v>
      </c>
    </row>
    <row r="888" spans="1:56">
      <c r="A888" s="84" t="s">
        <v>962</v>
      </c>
      <c r="B888" s="84"/>
      <c r="C888" s="84" t="s">
        <v>57</v>
      </c>
      <c r="D888" s="85">
        <v>45566</v>
      </c>
      <c r="E888" s="85" t="s">
        <v>92</v>
      </c>
      <c r="F888" s="84">
        <f>INDEX(Definitions!$G$13:$G$17,MATCH(Table3[[#This Row],[Propensity to buy/ buyer readiness]],Definitions!$A$13:$A$17,0))</f>
        <v>50000</v>
      </c>
      <c r="G888" s="86">
        <v>3</v>
      </c>
      <c r="H888" s="86">
        <v>3</v>
      </c>
      <c r="I888" s="86">
        <v>4</v>
      </c>
      <c r="J888" s="86">
        <v>3</v>
      </c>
      <c r="K888" s="86">
        <v>3</v>
      </c>
      <c r="L888" s="86">
        <f>SUM(Table3[[#This Row],[Strategic priority segment]:[Propensity to buy/ buyer readiness]])</f>
        <v>16</v>
      </c>
      <c r="M888" s="86" t="s">
        <v>152</v>
      </c>
      <c r="N888" s="84" t="s">
        <v>130</v>
      </c>
      <c r="O888" s="84"/>
      <c r="P888" s="87"/>
      <c r="Q888" s="87"/>
      <c r="R888" s="84"/>
      <c r="S888" s="87"/>
      <c r="T888" s="87"/>
      <c r="U888" s="84">
        <v>1</v>
      </c>
      <c r="V888" s="84">
        <v>0</v>
      </c>
      <c r="W888" s="84">
        <v>0</v>
      </c>
      <c r="X888" s="84">
        <v>0</v>
      </c>
      <c r="Y888" s="84">
        <v>0</v>
      </c>
      <c r="Z888" s="84">
        <v>0</v>
      </c>
      <c r="AA888" s="84">
        <v>0</v>
      </c>
      <c r="AB888" s="84">
        <v>0</v>
      </c>
      <c r="AC888" s="84">
        <v>0</v>
      </c>
      <c r="AD888" s="84">
        <v>0</v>
      </c>
      <c r="AE888" s="84">
        <v>0</v>
      </c>
      <c r="AF888" s="84">
        <v>0</v>
      </c>
      <c r="AG888" s="84">
        <v>0</v>
      </c>
      <c r="AH888" s="84">
        <v>0</v>
      </c>
      <c r="AI888" s="84">
        <v>0</v>
      </c>
      <c r="AJ888" s="84">
        <v>0</v>
      </c>
      <c r="AK888" s="84">
        <v>0</v>
      </c>
      <c r="AL888" s="84" cm="1">
        <f t="array" ref="AL8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8" s="84" cm="1">
        <f t="array" ref="AM8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88" s="84" cm="1">
        <f t="array" ref="AN8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88" s="84" cm="1">
        <f t="array" ref="AO8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88" s="84" cm="1">
        <f t="array" ref="AP8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88" s="84" cm="1">
        <f t="array" ref="AQ8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8" s="84" cm="1">
        <f t="array" ref="AR8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8" s="84" cm="1">
        <f t="array" ref="AS8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8" s="84" cm="1">
        <f t="array" ref="AT8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8" s="84" cm="1">
        <f t="array" ref="AU8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8" s="84" cm="1">
        <f t="array" ref="AV8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8" s="84" cm="1">
        <f t="array" ref="AW8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8" s="84" cm="1">
        <f t="array" ref="AX8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8" s="84" cm="1">
        <f t="array" ref="AY8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8" s="84" cm="1">
        <f t="array" ref="AZ8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88" s="84" cm="1">
        <f t="array" ref="BA8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8" s="84" cm="1">
        <f t="array" ref="BB8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8" s="84">
        <f>IF(SUM(Table3[[#This Row],[Column2]:[Column18]])&gt;Table3[[#This Row],[Column19]],Table3[[#This Row],[Column19]],SUM(Table3[[#This Row],[Column2]:[Column18]]))</f>
        <v>8100</v>
      </c>
      <c r="BD888" s="2">
        <f>Table3[[#This Row],[Total Spend]]/SUM(Table3[[#This Row],[Column2]:[Column18]])</f>
        <v>1</v>
      </c>
    </row>
    <row r="889" spans="1:56">
      <c r="A889" s="84" t="s">
        <v>963</v>
      </c>
      <c r="B889" s="84" t="s">
        <v>57</v>
      </c>
      <c r="C889" s="84"/>
      <c r="D889" s="85">
        <v>45566</v>
      </c>
      <c r="E889" s="85" t="s">
        <v>92</v>
      </c>
      <c r="F889" s="84">
        <f>INDEX(Definitions!$G$13:$G$17,MATCH(Table3[[#This Row],[Propensity to buy/ buyer readiness]],Definitions!$A$13:$A$17,0))</f>
        <v>10000</v>
      </c>
      <c r="G889" s="86">
        <v>3</v>
      </c>
      <c r="H889" s="86">
        <v>3</v>
      </c>
      <c r="I889" s="86">
        <v>4</v>
      </c>
      <c r="J889" s="86">
        <v>4</v>
      </c>
      <c r="K889" s="86">
        <v>2</v>
      </c>
      <c r="L889" s="86">
        <f>SUM(Table3[[#This Row],[Strategic priority segment]:[Propensity to buy/ buyer readiness]])</f>
        <v>16</v>
      </c>
      <c r="M889" s="86" t="s">
        <v>59</v>
      </c>
      <c r="N889" s="84" t="s">
        <v>265</v>
      </c>
      <c r="O889" s="84" t="s">
        <v>264</v>
      </c>
      <c r="P889" s="84" t="s">
        <v>85</v>
      </c>
      <c r="Q889" s="87"/>
      <c r="R889" s="84"/>
      <c r="S889" s="87"/>
      <c r="T889" s="87"/>
      <c r="U889" s="84">
        <v>1</v>
      </c>
      <c r="V889" s="84">
        <v>1</v>
      </c>
      <c r="W889" s="84">
        <v>1</v>
      </c>
      <c r="X889" s="84">
        <v>1</v>
      </c>
      <c r="Y889" s="84">
        <v>1</v>
      </c>
      <c r="Z889" s="84">
        <v>0</v>
      </c>
      <c r="AA889" s="84">
        <v>0</v>
      </c>
      <c r="AB889" s="84">
        <v>0</v>
      </c>
      <c r="AC889" s="84">
        <v>0</v>
      </c>
      <c r="AD889" s="84">
        <v>0</v>
      </c>
      <c r="AE889" s="84">
        <v>0</v>
      </c>
      <c r="AF889" s="84">
        <v>0</v>
      </c>
      <c r="AG889" s="84">
        <v>0</v>
      </c>
      <c r="AH889" s="84">
        <v>0</v>
      </c>
      <c r="AI889" s="84">
        <v>1</v>
      </c>
      <c r="AJ889" s="84">
        <v>0</v>
      </c>
      <c r="AK889" s="84">
        <v>0</v>
      </c>
      <c r="AL889" s="84" cm="1">
        <f t="array" ref="AL8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89" s="84" cm="1">
        <f t="array" ref="AM8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89" s="84" cm="1">
        <f t="array" ref="AN8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89" s="84" cm="1">
        <f t="array" ref="AO8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89" s="84" cm="1">
        <f t="array" ref="AP8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889" s="84" cm="1">
        <f t="array" ref="AQ8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89" s="84" cm="1">
        <f t="array" ref="AR8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89" s="84" cm="1">
        <f t="array" ref="AS8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89" s="84" cm="1">
        <f t="array" ref="AT8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89" s="84" cm="1">
        <f t="array" ref="AU8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89" s="84" cm="1">
        <f t="array" ref="AV8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89" s="84" cm="1">
        <f t="array" ref="AW8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89" s="84" cm="1">
        <f t="array" ref="AX8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89" s="84" cm="1">
        <f t="array" ref="AY8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89" s="84" cm="1">
        <f t="array" ref="AZ8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89" s="84" cm="1">
        <f t="array" ref="BA8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89" s="84" cm="1">
        <f t="array" ref="BB8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89" s="84">
        <f>IF(SUM(Table3[[#This Row],[Column2]:[Column18]])&gt;Table3[[#This Row],[Column19]],Table3[[#This Row],[Column19]],SUM(Table3[[#This Row],[Column2]:[Column18]]))</f>
        <v>10000</v>
      </c>
      <c r="BD889" s="2">
        <f>Table3[[#This Row],[Total Spend]]/SUM(Table3[[#This Row],[Column2]:[Column18]])</f>
        <v>5.6545094713033643E-2</v>
      </c>
    </row>
    <row r="890" spans="1:56">
      <c r="A890" s="88" t="s">
        <v>964</v>
      </c>
      <c r="B890" s="88"/>
      <c r="C890" s="88"/>
      <c r="D890" s="85">
        <v>45566</v>
      </c>
      <c r="E890" s="85" t="s">
        <v>92</v>
      </c>
      <c r="F890" s="84">
        <f>INDEX(Definitions!$G$13:$G$17,MATCH(Table3[[#This Row],[Propensity to buy/ buyer readiness]],Definitions!$A$13:$A$17,0))</f>
        <v>50000</v>
      </c>
      <c r="G890" s="86">
        <v>3</v>
      </c>
      <c r="H890" s="86">
        <v>4</v>
      </c>
      <c r="I890" s="86">
        <v>2</v>
      </c>
      <c r="J890" s="86">
        <v>4</v>
      </c>
      <c r="K890" s="86">
        <v>3</v>
      </c>
      <c r="L890" s="86">
        <f>SUM(Table3[[#This Row],[Strategic priority segment]:[Propensity to buy/ buyer readiness]])</f>
        <v>16</v>
      </c>
      <c r="M890" s="86" t="s">
        <v>152</v>
      </c>
      <c r="N890" s="84" t="s">
        <v>122</v>
      </c>
      <c r="O890" s="84" t="s">
        <v>61</v>
      </c>
      <c r="P890" s="87"/>
      <c r="Q890" s="87"/>
      <c r="R890" s="84"/>
      <c r="S890" s="87"/>
      <c r="T890" s="87"/>
      <c r="U890" s="84">
        <v>1</v>
      </c>
      <c r="V890" s="84">
        <v>0</v>
      </c>
      <c r="W890" s="84">
        <v>0</v>
      </c>
      <c r="X890" s="84">
        <v>0</v>
      </c>
      <c r="Y890" s="84">
        <v>0</v>
      </c>
      <c r="Z890" s="84">
        <v>1</v>
      </c>
      <c r="AA890" s="84">
        <v>1</v>
      </c>
      <c r="AB890" s="84">
        <v>1</v>
      </c>
      <c r="AC890" s="84">
        <v>1</v>
      </c>
      <c r="AD890" s="84">
        <v>1</v>
      </c>
      <c r="AE890" s="84">
        <v>0</v>
      </c>
      <c r="AF890" s="84">
        <v>1</v>
      </c>
      <c r="AG890" s="84">
        <v>0</v>
      </c>
      <c r="AH890" s="84">
        <v>0</v>
      </c>
      <c r="AI890" s="84">
        <v>0</v>
      </c>
      <c r="AJ890" s="84">
        <v>0</v>
      </c>
      <c r="AK890" s="84">
        <v>0</v>
      </c>
      <c r="AL890" s="84" cm="1">
        <f t="array" ref="AL8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0" s="84" cm="1">
        <f t="array" ref="AM8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0" s="84" cm="1">
        <f t="array" ref="AN8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0" s="84" cm="1">
        <f t="array" ref="AO8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0" s="84" cm="1">
        <f t="array" ref="AP8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0" s="84" cm="1">
        <f t="array" ref="AQ8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90" s="84" cm="1">
        <f t="array" ref="AR8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890" s="84" cm="1">
        <f t="array" ref="AS8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90" s="84" cm="1">
        <f t="array" ref="AT8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890" s="84" cm="1">
        <f t="array" ref="AU8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90" s="84" cm="1">
        <f t="array" ref="AV8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0" s="84" cm="1">
        <f t="array" ref="AW8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90" s="84" cm="1">
        <f t="array" ref="AX8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0" s="84" cm="1">
        <f t="array" ref="AY8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0" s="84" cm="1">
        <f t="array" ref="AZ8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0" s="84" cm="1">
        <f t="array" ref="BA8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0" s="84" cm="1">
        <f t="array" ref="BB8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0" s="84">
        <f>IF(SUM(Table3[[#This Row],[Column2]:[Column18]])&gt;Table3[[#This Row],[Column19]],Table3[[#This Row],[Column19]],SUM(Table3[[#This Row],[Column2]:[Column18]]))</f>
        <v>50000</v>
      </c>
      <c r="BD890" s="2">
        <f>Table3[[#This Row],[Total Spend]]/SUM(Table3[[#This Row],[Column2]:[Column18]])</f>
        <v>0.32299741602067183</v>
      </c>
    </row>
    <row r="891" spans="1:56">
      <c r="A891" s="84" t="s">
        <v>965</v>
      </c>
      <c r="B891" s="84" t="s">
        <v>57</v>
      </c>
      <c r="C891" s="84"/>
      <c r="D891" s="85">
        <v>45566</v>
      </c>
      <c r="E891" s="85" t="s">
        <v>58</v>
      </c>
      <c r="F891" s="84">
        <f>INDEX(Definitions!$G$13:$G$17,MATCH(Table3[[#This Row],[Propensity to buy/ buyer readiness]],Definitions!$A$13:$A$17,0))</f>
        <v>50000</v>
      </c>
      <c r="G891" s="86">
        <v>3</v>
      </c>
      <c r="H891" s="86">
        <v>3</v>
      </c>
      <c r="I891" s="86">
        <v>4</v>
      </c>
      <c r="J891" s="86">
        <v>3</v>
      </c>
      <c r="K891" s="86">
        <v>3</v>
      </c>
      <c r="L891" s="86">
        <f>SUM(Table3[[#This Row],[Strategic priority segment]:[Propensity to buy/ buyer readiness]])</f>
        <v>16</v>
      </c>
      <c r="M891" s="86" t="s">
        <v>152</v>
      </c>
      <c r="N891" s="84" t="s">
        <v>130</v>
      </c>
      <c r="O891" s="84"/>
      <c r="P891" s="87"/>
      <c r="Q891" s="87"/>
      <c r="R891" s="84"/>
      <c r="S891" s="87"/>
      <c r="T891" s="87"/>
      <c r="U891" s="84">
        <v>1</v>
      </c>
      <c r="V891" s="84">
        <v>0</v>
      </c>
      <c r="W891" s="84">
        <v>0</v>
      </c>
      <c r="X891" s="84">
        <v>0</v>
      </c>
      <c r="Y891" s="84">
        <v>0</v>
      </c>
      <c r="Z891" s="84">
        <v>0</v>
      </c>
      <c r="AA891" s="84">
        <v>0</v>
      </c>
      <c r="AB891" s="84">
        <v>0</v>
      </c>
      <c r="AC891" s="84">
        <v>0</v>
      </c>
      <c r="AD891" s="84">
        <v>0</v>
      </c>
      <c r="AE891" s="84">
        <v>0</v>
      </c>
      <c r="AF891" s="84">
        <v>0</v>
      </c>
      <c r="AG891" s="84">
        <v>0</v>
      </c>
      <c r="AH891" s="84">
        <v>0</v>
      </c>
      <c r="AI891" s="84">
        <v>0</v>
      </c>
      <c r="AJ891" s="84">
        <v>0</v>
      </c>
      <c r="AK891" s="84">
        <v>0</v>
      </c>
      <c r="AL891" s="84" cm="1">
        <f t="array" ref="AL8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91" s="84" cm="1">
        <f t="array" ref="AM8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1" s="84" cm="1">
        <f t="array" ref="AN8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1" s="84" cm="1">
        <f t="array" ref="AO8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1" s="84" cm="1">
        <f t="array" ref="AP8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1" s="84" cm="1">
        <f t="array" ref="AQ8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1" s="84" cm="1">
        <f t="array" ref="AR8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1" s="84" cm="1">
        <f t="array" ref="AS8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1" s="84" cm="1">
        <f t="array" ref="AT8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1" s="84" cm="1">
        <f t="array" ref="AU8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1" s="84" cm="1">
        <f t="array" ref="AV8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1" s="84" cm="1">
        <f t="array" ref="AW8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1" s="84" cm="1">
        <f t="array" ref="AX8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1" s="84" cm="1">
        <f t="array" ref="AY8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1" s="84" cm="1">
        <f t="array" ref="AZ8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1" s="84" cm="1">
        <f t="array" ref="BA8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1" s="84" cm="1">
        <f t="array" ref="BB8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1" s="84">
        <f>IF(SUM(Table3[[#This Row],[Column2]:[Column18]])&gt;Table3[[#This Row],[Column19]],Table3[[#This Row],[Column19]],SUM(Table3[[#This Row],[Column2]:[Column18]]))</f>
        <v>10800</v>
      </c>
      <c r="BD891" s="2">
        <f>Table3[[#This Row],[Total Spend]]/SUM(Table3[[#This Row],[Column2]:[Column18]])</f>
        <v>1</v>
      </c>
    </row>
    <row r="892" spans="1:56">
      <c r="A892" s="84" t="s">
        <v>966</v>
      </c>
      <c r="B892" s="84" t="s">
        <v>57</v>
      </c>
      <c r="C892" s="84"/>
      <c r="D892" s="85">
        <v>45566</v>
      </c>
      <c r="E892" s="85" t="s">
        <v>58</v>
      </c>
      <c r="F892" s="84">
        <f>INDEX(Definitions!$G$13:$G$17,MATCH(Table3[[#This Row],[Propensity to buy/ buyer readiness]],Definitions!$A$13:$A$17,0))</f>
        <v>50000</v>
      </c>
      <c r="G892" s="86">
        <v>3</v>
      </c>
      <c r="H892" s="86">
        <v>3</v>
      </c>
      <c r="I892" s="86">
        <v>4</v>
      </c>
      <c r="J892" s="86">
        <v>3</v>
      </c>
      <c r="K892" s="86">
        <v>3</v>
      </c>
      <c r="L892" s="86">
        <f>SUM(Table3[[#This Row],[Strategic priority segment]:[Propensity to buy/ buyer readiness]])</f>
        <v>16</v>
      </c>
      <c r="M892" s="86" t="s">
        <v>152</v>
      </c>
      <c r="N892" s="84" t="s">
        <v>153</v>
      </c>
      <c r="O892" s="84"/>
      <c r="P892" s="87"/>
      <c r="Q892" s="87"/>
      <c r="R892" s="84"/>
      <c r="S892" s="87"/>
      <c r="T892" s="87"/>
      <c r="U892" s="84">
        <v>1</v>
      </c>
      <c r="V892" s="84">
        <v>0</v>
      </c>
      <c r="W892" s="84">
        <v>0</v>
      </c>
      <c r="X892" s="84">
        <v>0</v>
      </c>
      <c r="Y892" s="84">
        <v>0</v>
      </c>
      <c r="Z892" s="84">
        <v>0</v>
      </c>
      <c r="AA892" s="84">
        <v>0</v>
      </c>
      <c r="AB892" s="84">
        <v>0</v>
      </c>
      <c r="AC892" s="84">
        <v>0</v>
      </c>
      <c r="AD892" s="84">
        <v>0</v>
      </c>
      <c r="AE892" s="84">
        <v>0</v>
      </c>
      <c r="AF892" s="84">
        <v>0</v>
      </c>
      <c r="AG892" s="84">
        <v>0</v>
      </c>
      <c r="AH892" s="84">
        <v>0</v>
      </c>
      <c r="AI892" s="84">
        <v>0</v>
      </c>
      <c r="AJ892" s="84">
        <v>0</v>
      </c>
      <c r="AK892" s="84">
        <v>0</v>
      </c>
      <c r="AL892" s="84" cm="1">
        <f t="array" ref="AL8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92" s="84" cm="1">
        <f t="array" ref="AM8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2" s="84" cm="1">
        <f t="array" ref="AN8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2" s="84" cm="1">
        <f t="array" ref="AO8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2" s="84" cm="1">
        <f t="array" ref="AP8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2" s="84" cm="1">
        <f t="array" ref="AQ8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2" s="84" cm="1">
        <f t="array" ref="AR8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2" s="84" cm="1">
        <f t="array" ref="AS8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2" s="84" cm="1">
        <f t="array" ref="AT8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2" s="84" cm="1">
        <f t="array" ref="AU8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2" s="84" cm="1">
        <f t="array" ref="AV8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2" s="84" cm="1">
        <f t="array" ref="AW8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2" s="84" cm="1">
        <f t="array" ref="AX8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2" s="84" cm="1">
        <f t="array" ref="AY8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2" s="84" cm="1">
        <f t="array" ref="AZ8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2" s="84" cm="1">
        <f t="array" ref="BA8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2" s="84" cm="1">
        <f t="array" ref="BB8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2" s="84">
        <f>IF(SUM(Table3[[#This Row],[Column2]:[Column18]])&gt;Table3[[#This Row],[Column19]],Table3[[#This Row],[Column19]],SUM(Table3[[#This Row],[Column2]:[Column18]]))</f>
        <v>10800</v>
      </c>
      <c r="BD892" s="2">
        <f>Table3[[#This Row],[Total Spend]]/SUM(Table3[[#This Row],[Column2]:[Column18]])</f>
        <v>1</v>
      </c>
    </row>
    <row r="893" spans="1:56">
      <c r="A893" s="84" t="s">
        <v>967</v>
      </c>
      <c r="B893" s="84" t="s">
        <v>57</v>
      </c>
      <c r="C893" s="84"/>
      <c r="D893" s="85">
        <v>45566</v>
      </c>
      <c r="E893" s="85" t="s">
        <v>92</v>
      </c>
      <c r="F893" s="84">
        <f>INDEX(Definitions!$G$13:$G$17,MATCH(Table3[[#This Row],[Propensity to buy/ buyer readiness]],Definitions!$A$13:$A$17,0))</f>
        <v>50000</v>
      </c>
      <c r="G893" s="86">
        <v>3</v>
      </c>
      <c r="H893" s="86">
        <v>3</v>
      </c>
      <c r="I893" s="86">
        <v>4</v>
      </c>
      <c r="J893" s="86">
        <v>3</v>
      </c>
      <c r="K893" s="86">
        <v>3</v>
      </c>
      <c r="L893" s="86">
        <f>SUM(Table3[[#This Row],[Strategic priority segment]:[Propensity to buy/ buyer readiness]])</f>
        <v>16</v>
      </c>
      <c r="M893" s="86" t="s">
        <v>152</v>
      </c>
      <c r="N893" s="84" t="s">
        <v>130</v>
      </c>
      <c r="O893" s="84"/>
      <c r="P893" s="87"/>
      <c r="Q893" s="87"/>
      <c r="R893" s="84"/>
      <c r="S893" s="87"/>
      <c r="T893" s="87"/>
      <c r="U893" s="84">
        <v>1</v>
      </c>
      <c r="V893" s="84">
        <v>0</v>
      </c>
      <c r="W893" s="84">
        <v>0</v>
      </c>
      <c r="X893" s="84">
        <v>0</v>
      </c>
      <c r="Y893" s="84">
        <v>0</v>
      </c>
      <c r="Z893" s="84">
        <v>0</v>
      </c>
      <c r="AA893" s="84">
        <v>0</v>
      </c>
      <c r="AB893" s="84">
        <v>0</v>
      </c>
      <c r="AC893" s="84">
        <v>0</v>
      </c>
      <c r="AD893" s="84">
        <v>0</v>
      </c>
      <c r="AE893" s="84">
        <v>0</v>
      </c>
      <c r="AF893" s="84">
        <v>0</v>
      </c>
      <c r="AG893" s="84">
        <v>0</v>
      </c>
      <c r="AH893" s="84">
        <v>0</v>
      </c>
      <c r="AI893" s="84">
        <v>0</v>
      </c>
      <c r="AJ893" s="84">
        <v>0</v>
      </c>
      <c r="AK893" s="84">
        <v>0</v>
      </c>
      <c r="AL893" s="84" cm="1">
        <f t="array" ref="AL8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3" s="84" cm="1">
        <f t="array" ref="AM8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3" s="84" cm="1">
        <f t="array" ref="AN8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3" s="84" cm="1">
        <f t="array" ref="AO8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3" s="84" cm="1">
        <f t="array" ref="AP8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3" s="84" cm="1">
        <f t="array" ref="AQ8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3" s="84" cm="1">
        <f t="array" ref="AR8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3" s="84" cm="1">
        <f t="array" ref="AS8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3" s="84" cm="1">
        <f t="array" ref="AT8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3" s="84" cm="1">
        <f t="array" ref="AU8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3" s="84" cm="1">
        <f t="array" ref="AV8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3" s="84" cm="1">
        <f t="array" ref="AW8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3" s="84" cm="1">
        <f t="array" ref="AX8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3" s="84" cm="1">
        <f t="array" ref="AY8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3" s="84" cm="1">
        <f t="array" ref="AZ8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3" s="84" cm="1">
        <f t="array" ref="BA8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3" s="84" cm="1">
        <f t="array" ref="BB8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3" s="84">
        <f>IF(SUM(Table3[[#This Row],[Column2]:[Column18]])&gt;Table3[[#This Row],[Column19]],Table3[[#This Row],[Column19]],SUM(Table3[[#This Row],[Column2]:[Column18]]))</f>
        <v>8100</v>
      </c>
      <c r="BD893" s="2">
        <f>Table3[[#This Row],[Total Spend]]/SUM(Table3[[#This Row],[Column2]:[Column18]])</f>
        <v>1</v>
      </c>
    </row>
    <row r="894" spans="1:56">
      <c r="A894" s="84" t="s">
        <v>968</v>
      </c>
      <c r="B894" s="84" t="s">
        <v>57</v>
      </c>
      <c r="C894" s="84"/>
      <c r="D894" s="85">
        <v>45566</v>
      </c>
      <c r="E894" s="85" t="s">
        <v>92</v>
      </c>
      <c r="F894" s="84">
        <f>INDEX(Definitions!$G$13:$G$17,MATCH(Table3[[#This Row],[Propensity to buy/ buyer readiness]],Definitions!$A$13:$A$17,0))</f>
        <v>10000</v>
      </c>
      <c r="G894" s="86">
        <v>3</v>
      </c>
      <c r="H894" s="86">
        <v>3</v>
      </c>
      <c r="I894" s="86">
        <v>4</v>
      </c>
      <c r="J894" s="86">
        <v>4</v>
      </c>
      <c r="K894" s="86">
        <v>2</v>
      </c>
      <c r="L894" s="86">
        <f>SUM(Table3[[#This Row],[Strategic priority segment]:[Propensity to buy/ buyer readiness]])</f>
        <v>16</v>
      </c>
      <c r="M894" s="86" t="s">
        <v>59</v>
      </c>
      <c r="N894" s="84" t="s">
        <v>265</v>
      </c>
      <c r="O894" s="84"/>
      <c r="P894" s="87"/>
      <c r="Q894" s="87"/>
      <c r="R894" s="84"/>
      <c r="S894" s="87"/>
      <c r="T894" s="87"/>
      <c r="U894" s="84">
        <v>1</v>
      </c>
      <c r="V894" s="84">
        <v>1</v>
      </c>
      <c r="W894" s="84">
        <v>1</v>
      </c>
      <c r="X894" s="84">
        <v>1</v>
      </c>
      <c r="Y894" s="84">
        <v>0</v>
      </c>
      <c r="Z894" s="84">
        <v>0</v>
      </c>
      <c r="AA894" s="84">
        <v>0</v>
      </c>
      <c r="AB894" s="84">
        <v>0</v>
      </c>
      <c r="AC894" s="84">
        <v>0</v>
      </c>
      <c r="AD894" s="84">
        <v>0</v>
      </c>
      <c r="AE894" s="84">
        <v>0</v>
      </c>
      <c r="AF894" s="84">
        <v>0</v>
      </c>
      <c r="AG894" s="84">
        <v>0</v>
      </c>
      <c r="AH894" s="84">
        <v>0</v>
      </c>
      <c r="AI894" s="84">
        <v>1</v>
      </c>
      <c r="AJ894" s="84">
        <v>0</v>
      </c>
      <c r="AK894" s="84">
        <v>0</v>
      </c>
      <c r="AL894" s="84" cm="1">
        <f t="array" ref="AL8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4" s="84" cm="1">
        <f t="array" ref="AM8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94" s="84" cm="1">
        <f t="array" ref="AN8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94" s="84" cm="1">
        <f t="array" ref="AO8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94" s="84" cm="1">
        <f t="array" ref="AP8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4" s="84" cm="1">
        <f t="array" ref="AQ8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4" s="84" cm="1">
        <f t="array" ref="AR8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4" s="84" cm="1">
        <f t="array" ref="AS8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4" s="84" cm="1">
        <f t="array" ref="AT8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4" s="84" cm="1">
        <f t="array" ref="AU8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4" s="84" cm="1">
        <f t="array" ref="AV8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4" s="84" cm="1">
        <f t="array" ref="AW8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4" s="84" cm="1">
        <f t="array" ref="AX8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4" s="84" cm="1">
        <f t="array" ref="AY8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4" s="84" cm="1">
        <f t="array" ref="AZ8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94" s="84" cm="1">
        <f t="array" ref="BA8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4" s="84" cm="1">
        <f t="array" ref="BB8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4" s="84">
        <f>IF(SUM(Table3[[#This Row],[Column2]:[Column18]])&gt;Table3[[#This Row],[Column19]],Table3[[#This Row],[Column19]],SUM(Table3[[#This Row],[Column2]:[Column18]]))</f>
        <v>10000</v>
      </c>
      <c r="BD894" s="2">
        <f>Table3[[#This Row],[Total Spend]]/SUM(Table3[[#This Row],[Column2]:[Column18]])</f>
        <v>7.2859744990892539E-2</v>
      </c>
    </row>
    <row r="895" spans="1:56">
      <c r="A895" s="84" t="s">
        <v>969</v>
      </c>
      <c r="B895" s="84"/>
      <c r="C895" s="84"/>
      <c r="D895" s="85">
        <v>45566</v>
      </c>
      <c r="E895" s="85" t="s">
        <v>58</v>
      </c>
      <c r="F895" s="84">
        <f>INDEX(Definitions!$G$13:$G$17,MATCH(Table3[[#This Row],[Propensity to buy/ buyer readiness]],Definitions!$A$13:$A$17,0))</f>
        <v>50000</v>
      </c>
      <c r="G895" s="86">
        <v>3</v>
      </c>
      <c r="H895" s="86">
        <v>3</v>
      </c>
      <c r="I895" s="86">
        <v>3</v>
      </c>
      <c r="J895" s="86">
        <v>4</v>
      </c>
      <c r="K895" s="86">
        <v>3</v>
      </c>
      <c r="L895" s="86">
        <f>SUM(Table3[[#This Row],[Strategic priority segment]:[Propensity to buy/ buyer readiness]])</f>
        <v>16</v>
      </c>
      <c r="M895" s="86" t="s">
        <v>59</v>
      </c>
      <c r="N895" s="84" t="s">
        <v>265</v>
      </c>
      <c r="O895" s="84"/>
      <c r="P895" s="87"/>
      <c r="Q895" s="87"/>
      <c r="R895" s="84"/>
      <c r="S895" s="87"/>
      <c r="T895" s="87"/>
      <c r="U895" s="84">
        <v>1</v>
      </c>
      <c r="V895" s="84">
        <v>1</v>
      </c>
      <c r="W895" s="84">
        <v>1</v>
      </c>
      <c r="X895" s="84">
        <v>1</v>
      </c>
      <c r="Y895" s="84">
        <v>0</v>
      </c>
      <c r="Z895" s="84">
        <v>0</v>
      </c>
      <c r="AA895" s="84">
        <v>0</v>
      </c>
      <c r="AB895" s="84">
        <v>0</v>
      </c>
      <c r="AC895" s="84">
        <v>0</v>
      </c>
      <c r="AD895" s="84">
        <v>0</v>
      </c>
      <c r="AE895" s="84">
        <v>0</v>
      </c>
      <c r="AF895" s="84">
        <v>0</v>
      </c>
      <c r="AG895" s="84">
        <v>0</v>
      </c>
      <c r="AH895" s="84">
        <v>0</v>
      </c>
      <c r="AI895" s="84">
        <v>1</v>
      </c>
      <c r="AJ895" s="84">
        <v>0</v>
      </c>
      <c r="AK895" s="84">
        <v>0</v>
      </c>
      <c r="AL895" s="84" cm="1">
        <f t="array" ref="AL8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95" s="84" cm="1">
        <f t="array" ref="AM8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895" s="84" cm="1">
        <f t="array" ref="AN8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895" s="84" cm="1">
        <f t="array" ref="AO8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895" s="84" cm="1">
        <f t="array" ref="AP8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5" s="84" cm="1">
        <f t="array" ref="AQ8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5" s="84" cm="1">
        <f t="array" ref="AR8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5" s="84" cm="1">
        <f t="array" ref="AS8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5" s="84" cm="1">
        <f t="array" ref="AT8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5" s="84" cm="1">
        <f t="array" ref="AU8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5" s="84" cm="1">
        <f t="array" ref="AV8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5" s="84" cm="1">
        <f t="array" ref="AW8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5" s="84" cm="1">
        <f t="array" ref="AX8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5" s="84" cm="1">
        <f t="array" ref="AY8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5" s="84" cm="1">
        <f t="array" ref="AZ8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895" s="84" cm="1">
        <f t="array" ref="BA8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5" s="84" cm="1">
        <f t="array" ref="BB8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5" s="84">
        <f>IF(SUM(Table3[[#This Row],[Column2]:[Column18]])&gt;Table3[[#This Row],[Column19]],Table3[[#This Row],[Column19]],SUM(Table3[[#This Row],[Column2]:[Column18]]))</f>
        <v>50000</v>
      </c>
      <c r="BD895" s="2">
        <f>Table3[[#This Row],[Total Spend]]/SUM(Table3[[#This Row],[Column2]:[Column18]])</f>
        <v>0.26021337496747332</v>
      </c>
    </row>
    <row r="896" spans="1:56">
      <c r="A896" s="84" t="s">
        <v>970</v>
      </c>
      <c r="B896" s="84" t="s">
        <v>57</v>
      </c>
      <c r="C896" s="84"/>
      <c r="D896" s="85">
        <v>45566</v>
      </c>
      <c r="E896" s="85" t="s">
        <v>92</v>
      </c>
      <c r="F896" s="84">
        <f>INDEX(Definitions!$G$13:$G$17,MATCH(Table3[[#This Row],[Propensity to buy/ buyer readiness]],Definitions!$A$13:$A$17,0))</f>
        <v>10000</v>
      </c>
      <c r="G896" s="86">
        <v>4</v>
      </c>
      <c r="H896" s="86">
        <v>3</v>
      </c>
      <c r="I896" s="86">
        <v>4</v>
      </c>
      <c r="J896" s="86">
        <v>3</v>
      </c>
      <c r="K896" s="86">
        <v>2</v>
      </c>
      <c r="L896" s="86">
        <f>SUM(Table3[[#This Row],[Strategic priority segment]:[Propensity to buy/ buyer readiness]])</f>
        <v>16</v>
      </c>
      <c r="M896" s="86" t="s">
        <v>152</v>
      </c>
      <c r="N896" s="84" t="s">
        <v>264</v>
      </c>
      <c r="O896" s="84" t="s">
        <v>85</v>
      </c>
      <c r="P896" s="87"/>
      <c r="Q896" s="87"/>
      <c r="R896" s="84"/>
      <c r="S896" s="87"/>
      <c r="T896" s="87"/>
      <c r="U896" s="84">
        <v>1</v>
      </c>
      <c r="V896" s="84">
        <v>0</v>
      </c>
      <c r="W896" s="84">
        <v>0</v>
      </c>
      <c r="X896" s="84">
        <v>0</v>
      </c>
      <c r="Y896" s="84">
        <v>1</v>
      </c>
      <c r="Z896" s="84">
        <v>0</v>
      </c>
      <c r="AA896" s="84">
        <v>0</v>
      </c>
      <c r="AB896" s="84">
        <v>0</v>
      </c>
      <c r="AC896" s="84">
        <v>0</v>
      </c>
      <c r="AD896" s="84">
        <v>0</v>
      </c>
      <c r="AE896" s="84">
        <v>0</v>
      </c>
      <c r="AF896" s="84">
        <v>0</v>
      </c>
      <c r="AG896" s="84">
        <v>0</v>
      </c>
      <c r="AH896" s="84">
        <v>0</v>
      </c>
      <c r="AI896" s="84">
        <v>0</v>
      </c>
      <c r="AJ896" s="84">
        <v>0</v>
      </c>
      <c r="AK896" s="84">
        <v>0</v>
      </c>
      <c r="AL896" s="84" cm="1">
        <f t="array" ref="AL8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6" s="84" cm="1">
        <f t="array" ref="AM8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6" s="84" cm="1">
        <f t="array" ref="AN8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6" s="84" cm="1">
        <f t="array" ref="AO8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6" s="84" cm="1">
        <f t="array" ref="AP8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896" s="84" cm="1">
        <f t="array" ref="AQ8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6" s="84" cm="1">
        <f t="array" ref="AR8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6" s="84" cm="1">
        <f t="array" ref="AS8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6" s="84" cm="1">
        <f t="array" ref="AT8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6" s="84" cm="1">
        <f t="array" ref="AU8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6" s="84" cm="1">
        <f t="array" ref="AV8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6" s="84" cm="1">
        <f t="array" ref="AW8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6" s="84" cm="1">
        <f t="array" ref="AX8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6" s="84" cm="1">
        <f t="array" ref="AY8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6" s="84" cm="1">
        <f t="array" ref="AZ8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6" s="84" cm="1">
        <f t="array" ref="BA8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6" s="84" cm="1">
        <f t="array" ref="BB8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6" s="84">
        <f>IF(SUM(Table3[[#This Row],[Column2]:[Column18]])&gt;Table3[[#This Row],[Column19]],Table3[[#This Row],[Column19]],SUM(Table3[[#This Row],[Column2]:[Column18]]))</f>
        <v>10000</v>
      </c>
      <c r="BD896" s="2">
        <f>Table3[[#This Row],[Total Spend]]/SUM(Table3[[#This Row],[Column2]:[Column18]])</f>
        <v>0.20964360587002095</v>
      </c>
    </row>
    <row r="897" spans="1:56">
      <c r="A897" s="84" t="s">
        <v>971</v>
      </c>
      <c r="B897" s="84" t="s">
        <v>57</v>
      </c>
      <c r="C897" s="84"/>
      <c r="D897" s="85">
        <v>45566</v>
      </c>
      <c r="E897" s="85" t="s">
        <v>92</v>
      </c>
      <c r="F897" s="84">
        <f>INDEX(Definitions!$G$13:$G$17,MATCH(Table3[[#This Row],[Propensity to buy/ buyer readiness]],Definitions!$A$13:$A$17,0))</f>
        <v>10000</v>
      </c>
      <c r="G897" s="86">
        <v>3</v>
      </c>
      <c r="H897" s="86">
        <v>3</v>
      </c>
      <c r="I897" s="86">
        <v>4</v>
      </c>
      <c r="J897" s="86">
        <v>4</v>
      </c>
      <c r="K897" s="86">
        <v>2</v>
      </c>
      <c r="L897" s="86">
        <f>SUM(Table3[[#This Row],[Strategic priority segment]:[Propensity to buy/ buyer readiness]])</f>
        <v>16</v>
      </c>
      <c r="M897" s="86" t="s">
        <v>59</v>
      </c>
      <c r="N897" s="84" t="s">
        <v>265</v>
      </c>
      <c r="O897" s="84"/>
      <c r="P897" s="87"/>
      <c r="Q897" s="87"/>
      <c r="R897" s="84"/>
      <c r="S897" s="87"/>
      <c r="T897" s="87"/>
      <c r="U897" s="84">
        <v>1</v>
      </c>
      <c r="V897" s="84">
        <v>1</v>
      </c>
      <c r="W897" s="84">
        <v>1</v>
      </c>
      <c r="X897" s="84">
        <v>1</v>
      </c>
      <c r="Y897" s="84">
        <v>0</v>
      </c>
      <c r="Z897" s="84">
        <v>0</v>
      </c>
      <c r="AA897" s="84">
        <v>0</v>
      </c>
      <c r="AB897" s="84">
        <v>0</v>
      </c>
      <c r="AC897" s="84">
        <v>0</v>
      </c>
      <c r="AD897" s="84">
        <v>0</v>
      </c>
      <c r="AE897" s="84">
        <v>0</v>
      </c>
      <c r="AF897" s="84">
        <v>0</v>
      </c>
      <c r="AG897" s="84">
        <v>0</v>
      </c>
      <c r="AH897" s="84">
        <v>0</v>
      </c>
      <c r="AI897" s="84">
        <v>1</v>
      </c>
      <c r="AJ897" s="84">
        <v>0</v>
      </c>
      <c r="AK897" s="84">
        <v>0</v>
      </c>
      <c r="AL897" s="84" cm="1">
        <f t="array" ref="AL8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7" s="84" cm="1">
        <f t="array" ref="AM8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897" s="84" cm="1">
        <f t="array" ref="AN8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897" s="84" cm="1">
        <f t="array" ref="AO8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897" s="84" cm="1">
        <f t="array" ref="AP8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7" s="84" cm="1">
        <f t="array" ref="AQ8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7" s="84" cm="1">
        <f t="array" ref="AR8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7" s="84" cm="1">
        <f t="array" ref="AS8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7" s="84" cm="1">
        <f t="array" ref="AT8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7" s="84" cm="1">
        <f t="array" ref="AU8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7" s="84" cm="1">
        <f t="array" ref="AV8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7" s="84" cm="1">
        <f t="array" ref="AW8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7" s="84" cm="1">
        <f t="array" ref="AX8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7" s="84" cm="1">
        <f t="array" ref="AY8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7" s="84" cm="1">
        <f t="array" ref="AZ8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897" s="84" cm="1">
        <f t="array" ref="BA8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7" s="84" cm="1">
        <f t="array" ref="BB8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7" s="84">
        <f>IF(SUM(Table3[[#This Row],[Column2]:[Column18]])&gt;Table3[[#This Row],[Column19]],Table3[[#This Row],[Column19]],SUM(Table3[[#This Row],[Column2]:[Column18]]))</f>
        <v>10000</v>
      </c>
      <c r="BD897" s="2">
        <f>Table3[[#This Row],[Total Spend]]/SUM(Table3[[#This Row],[Column2]:[Column18]])</f>
        <v>7.2859744990892539E-2</v>
      </c>
    </row>
    <row r="898" spans="1:56">
      <c r="A898" s="84" t="s">
        <v>972</v>
      </c>
      <c r="B898" s="84" t="s">
        <v>57</v>
      </c>
      <c r="C898" s="84"/>
      <c r="D898" s="85">
        <v>45566</v>
      </c>
      <c r="E898" s="85" t="s">
        <v>58</v>
      </c>
      <c r="F898" s="84">
        <f>INDEX(Definitions!$G$13:$G$17,MATCH(Table3[[#This Row],[Propensity to buy/ buyer readiness]],Definitions!$A$13:$A$17,0))</f>
        <v>50000</v>
      </c>
      <c r="G898" s="86">
        <v>3</v>
      </c>
      <c r="H898" s="86">
        <v>3</v>
      </c>
      <c r="I898" s="86">
        <v>4</v>
      </c>
      <c r="J898" s="86">
        <v>3</v>
      </c>
      <c r="K898" s="86">
        <v>3</v>
      </c>
      <c r="L898" s="86">
        <f>SUM(Table3[[#This Row],[Strategic priority segment]:[Propensity to buy/ buyer readiness]])</f>
        <v>16</v>
      </c>
      <c r="M898" s="86" t="s">
        <v>152</v>
      </c>
      <c r="N898" s="84" t="s">
        <v>264</v>
      </c>
      <c r="O898" s="84"/>
      <c r="P898" s="87"/>
      <c r="Q898" s="87"/>
      <c r="R898" s="84"/>
      <c r="S898" s="87"/>
      <c r="T898" s="87"/>
      <c r="U898" s="84">
        <v>1</v>
      </c>
      <c r="V898" s="84">
        <v>0</v>
      </c>
      <c r="W898" s="84">
        <v>0</v>
      </c>
      <c r="X898" s="84">
        <v>0</v>
      </c>
      <c r="Y898" s="84">
        <v>0</v>
      </c>
      <c r="Z898" s="84">
        <v>0</v>
      </c>
      <c r="AA898" s="84">
        <v>0</v>
      </c>
      <c r="AB898" s="84">
        <v>0</v>
      </c>
      <c r="AC898" s="84">
        <v>0</v>
      </c>
      <c r="AD898" s="84">
        <v>0</v>
      </c>
      <c r="AE898" s="84">
        <v>0</v>
      </c>
      <c r="AF898" s="84">
        <v>0</v>
      </c>
      <c r="AG898" s="84">
        <v>0</v>
      </c>
      <c r="AH898" s="84">
        <v>0</v>
      </c>
      <c r="AI898" s="84">
        <v>0</v>
      </c>
      <c r="AJ898" s="84">
        <v>0</v>
      </c>
      <c r="AK898" s="84">
        <v>0</v>
      </c>
      <c r="AL898" s="84" cm="1">
        <f t="array" ref="AL8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898" s="84" cm="1">
        <f t="array" ref="AM8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8" s="84" cm="1">
        <f t="array" ref="AN8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8" s="84" cm="1">
        <f t="array" ref="AO8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8" s="84" cm="1">
        <f t="array" ref="AP8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8" s="84" cm="1">
        <f t="array" ref="AQ8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898" s="84" cm="1">
        <f t="array" ref="AR8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8" s="84" cm="1">
        <f t="array" ref="AS8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898" s="84" cm="1">
        <f t="array" ref="AT8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8" s="84" cm="1">
        <f t="array" ref="AU8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898" s="84" cm="1">
        <f t="array" ref="AV8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8" s="84" cm="1">
        <f t="array" ref="AW8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898" s="84" cm="1">
        <f t="array" ref="AX8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8" s="84" cm="1">
        <f t="array" ref="AY8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8" s="84" cm="1">
        <f t="array" ref="AZ8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8" s="84" cm="1">
        <f t="array" ref="BA8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8" s="84" cm="1">
        <f t="array" ref="BB8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8" s="84">
        <f>IF(SUM(Table3[[#This Row],[Column2]:[Column18]])&gt;Table3[[#This Row],[Column19]],Table3[[#This Row],[Column19]],SUM(Table3[[#This Row],[Column2]:[Column18]]))</f>
        <v>10800</v>
      </c>
      <c r="BD898" s="2">
        <f>Table3[[#This Row],[Total Spend]]/SUM(Table3[[#This Row],[Column2]:[Column18]])</f>
        <v>1</v>
      </c>
    </row>
    <row r="899" spans="1:56">
      <c r="A899" s="84" t="s">
        <v>973</v>
      </c>
      <c r="B899" s="84" t="s">
        <v>57</v>
      </c>
      <c r="C899" s="84" t="s">
        <v>57</v>
      </c>
      <c r="D899" s="85">
        <v>45566</v>
      </c>
      <c r="E899" s="85" t="s">
        <v>92</v>
      </c>
      <c r="F899" s="84">
        <f>INDEX(Definitions!$G$13:$G$17,MATCH(Table3[[#This Row],[Propensity to buy/ buyer readiness]],Definitions!$A$13:$A$17,0))</f>
        <v>50000</v>
      </c>
      <c r="G899" s="86">
        <v>3</v>
      </c>
      <c r="H899" s="86">
        <v>3</v>
      </c>
      <c r="I899" s="86">
        <v>4</v>
      </c>
      <c r="J899" s="86">
        <v>3</v>
      </c>
      <c r="K899" s="86">
        <v>3</v>
      </c>
      <c r="L899" s="86">
        <f>SUM(Table3[[#This Row],[Strategic priority segment]:[Propensity to buy/ buyer readiness]])</f>
        <v>16</v>
      </c>
      <c r="M899" s="86" t="s">
        <v>152</v>
      </c>
      <c r="N899" s="84" t="s">
        <v>122</v>
      </c>
      <c r="O899" s="84"/>
      <c r="P899" s="87"/>
      <c r="Q899" s="87"/>
      <c r="R899" s="84"/>
      <c r="S899" s="87"/>
      <c r="T899" s="87"/>
      <c r="U899" s="84">
        <v>1</v>
      </c>
      <c r="V899" s="84">
        <v>0</v>
      </c>
      <c r="W899" s="84">
        <v>0</v>
      </c>
      <c r="X899" s="84">
        <v>0</v>
      </c>
      <c r="Y899" s="84">
        <v>0</v>
      </c>
      <c r="Z899" s="84">
        <v>1</v>
      </c>
      <c r="AA899" s="84">
        <v>0</v>
      </c>
      <c r="AB899" s="84">
        <v>1</v>
      </c>
      <c r="AC899" s="84">
        <v>0</v>
      </c>
      <c r="AD899" s="84">
        <v>1</v>
      </c>
      <c r="AE899" s="84">
        <v>0</v>
      </c>
      <c r="AF899" s="84">
        <v>1</v>
      </c>
      <c r="AG899" s="84">
        <v>0</v>
      </c>
      <c r="AH899" s="84">
        <v>0</v>
      </c>
      <c r="AI899" s="84">
        <v>0</v>
      </c>
      <c r="AJ899" s="84">
        <v>0</v>
      </c>
      <c r="AK899" s="84">
        <v>0</v>
      </c>
      <c r="AL899" s="84" cm="1">
        <f t="array" ref="AL8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899" s="84" cm="1">
        <f t="array" ref="AM8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899" s="84" cm="1">
        <f t="array" ref="AN8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899" s="84" cm="1">
        <f t="array" ref="AO8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899" s="84" cm="1">
        <f t="array" ref="AP8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899" s="84" cm="1">
        <f t="array" ref="AQ8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899" s="84" cm="1">
        <f t="array" ref="AR8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899" s="84" cm="1">
        <f t="array" ref="AS8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899" s="84" cm="1">
        <f t="array" ref="AT8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899" s="84" cm="1">
        <f t="array" ref="AU8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899" s="84" cm="1">
        <f t="array" ref="AV8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899" s="84" cm="1">
        <f t="array" ref="AW8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899" s="84" cm="1">
        <f t="array" ref="AX8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899" s="84" cm="1">
        <f t="array" ref="AY8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899" s="84" cm="1">
        <f t="array" ref="AZ8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899" s="84" cm="1">
        <f t="array" ref="BA8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899" s="84" cm="1">
        <f t="array" ref="BB8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899" s="84">
        <f>IF(SUM(Table3[[#This Row],[Column2]:[Column18]])&gt;Table3[[#This Row],[Column19]],Table3[[#This Row],[Column19]],SUM(Table3[[#This Row],[Column2]:[Column18]]))</f>
        <v>50000</v>
      </c>
      <c r="BD899" s="2">
        <f>Table3[[#This Row],[Total Spend]]/SUM(Table3[[#This Row],[Column2]:[Column18]])</f>
        <v>0.41459369817578773</v>
      </c>
    </row>
    <row r="900" spans="1:56">
      <c r="A900" s="84" t="s">
        <v>974</v>
      </c>
      <c r="B900" s="84" t="s">
        <v>57</v>
      </c>
      <c r="C900" s="84"/>
      <c r="D900" s="85">
        <v>45566</v>
      </c>
      <c r="E900" s="85" t="s">
        <v>58</v>
      </c>
      <c r="F900" s="84">
        <f>INDEX(Definitions!$G$13:$G$17,MATCH(Table3[[#This Row],[Propensity to buy/ buyer readiness]],Definitions!$A$13:$A$17,0))</f>
        <v>50000</v>
      </c>
      <c r="G900" s="86">
        <v>3</v>
      </c>
      <c r="H900" s="86">
        <v>3</v>
      </c>
      <c r="I900" s="86">
        <v>4</v>
      </c>
      <c r="J900" s="86">
        <v>3</v>
      </c>
      <c r="K900" s="86">
        <v>3</v>
      </c>
      <c r="L900" s="86">
        <f>SUM(Table3[[#This Row],[Strategic priority segment]:[Propensity to buy/ buyer readiness]])</f>
        <v>16</v>
      </c>
      <c r="M900" s="86" t="s">
        <v>152</v>
      </c>
      <c r="N900" s="84" t="s">
        <v>264</v>
      </c>
      <c r="O900" s="84"/>
      <c r="P900" s="87"/>
      <c r="Q900" s="87"/>
      <c r="R900" s="84"/>
      <c r="S900" s="87"/>
      <c r="T900" s="87"/>
      <c r="U900" s="84">
        <v>1</v>
      </c>
      <c r="V900" s="84">
        <v>0</v>
      </c>
      <c r="W900" s="84">
        <v>0</v>
      </c>
      <c r="X900" s="84">
        <v>0</v>
      </c>
      <c r="Y900" s="84">
        <v>0</v>
      </c>
      <c r="Z900" s="84">
        <v>0</v>
      </c>
      <c r="AA900" s="84">
        <v>0</v>
      </c>
      <c r="AB900" s="84">
        <v>0</v>
      </c>
      <c r="AC900" s="84">
        <v>0</v>
      </c>
      <c r="AD900" s="84">
        <v>0</v>
      </c>
      <c r="AE900" s="84">
        <v>0</v>
      </c>
      <c r="AF900" s="84">
        <v>0</v>
      </c>
      <c r="AG900" s="84">
        <v>0</v>
      </c>
      <c r="AH900" s="84">
        <v>0</v>
      </c>
      <c r="AI900" s="84">
        <v>0</v>
      </c>
      <c r="AJ900" s="84">
        <v>0</v>
      </c>
      <c r="AK900" s="84">
        <v>0</v>
      </c>
      <c r="AL900" s="84" cm="1">
        <f t="array" ref="AL9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00" s="84" cm="1">
        <f t="array" ref="AM9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0" s="84" cm="1">
        <f t="array" ref="AN9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0" s="84" cm="1">
        <f t="array" ref="AO9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0" s="84" cm="1">
        <f t="array" ref="AP9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0" s="84" cm="1">
        <f t="array" ref="AQ9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0" s="84" cm="1">
        <f t="array" ref="AR9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0" s="84" cm="1">
        <f t="array" ref="AS9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0" s="84" cm="1">
        <f t="array" ref="AT9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0" s="84" cm="1">
        <f t="array" ref="AU9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0" s="84" cm="1">
        <f t="array" ref="AV9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0" s="84" cm="1">
        <f t="array" ref="AW9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0" s="84" cm="1">
        <f t="array" ref="AX9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0" s="84" cm="1">
        <f t="array" ref="AY9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00" s="84" cm="1">
        <f t="array" ref="AZ9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00" s="84" cm="1">
        <f t="array" ref="BA9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00" s="84" cm="1">
        <f t="array" ref="BB9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00" s="84">
        <f>IF(SUM(Table3[[#This Row],[Column2]:[Column18]])&gt;Table3[[#This Row],[Column19]],Table3[[#This Row],[Column19]],SUM(Table3[[#This Row],[Column2]:[Column18]]))</f>
        <v>10800</v>
      </c>
      <c r="BD900" s="2">
        <f>Table3[[#This Row],[Total Spend]]/SUM(Table3[[#This Row],[Column2]:[Column18]])</f>
        <v>1</v>
      </c>
    </row>
    <row r="901" spans="1:56">
      <c r="A901" s="84" t="s">
        <v>975</v>
      </c>
      <c r="B901" s="84" t="s">
        <v>57</v>
      </c>
      <c r="C901" s="84"/>
      <c r="D901" s="85">
        <v>45566</v>
      </c>
      <c r="E901" s="85" t="s">
        <v>92</v>
      </c>
      <c r="F901" s="84">
        <f>INDEX(Definitions!$G$13:$G$17,MATCH(Table3[[#This Row],[Propensity to buy/ buyer readiness]],Definitions!$A$13:$A$17,0))</f>
        <v>10000</v>
      </c>
      <c r="G901" s="86">
        <v>3</v>
      </c>
      <c r="H901" s="86">
        <v>3</v>
      </c>
      <c r="I901" s="86">
        <v>4</v>
      </c>
      <c r="J901" s="86">
        <v>4</v>
      </c>
      <c r="K901" s="86">
        <v>2</v>
      </c>
      <c r="L901" s="86">
        <f>SUM(Table3[[#This Row],[Strategic priority segment]:[Propensity to buy/ buyer readiness]])</f>
        <v>16</v>
      </c>
      <c r="M901" s="86" t="s">
        <v>59</v>
      </c>
      <c r="N901" s="84" t="s">
        <v>265</v>
      </c>
      <c r="O901" s="84"/>
      <c r="P901" s="87"/>
      <c r="Q901" s="87"/>
      <c r="R901" s="84"/>
      <c r="S901" s="87"/>
      <c r="T901" s="87"/>
      <c r="U901" s="84">
        <v>1</v>
      </c>
      <c r="V901" s="84">
        <v>1</v>
      </c>
      <c r="W901" s="84">
        <v>1</v>
      </c>
      <c r="X901" s="84">
        <v>1</v>
      </c>
      <c r="Y901" s="84">
        <v>0</v>
      </c>
      <c r="Z901" s="84">
        <v>0</v>
      </c>
      <c r="AA901" s="84">
        <v>0</v>
      </c>
      <c r="AB901" s="84">
        <v>0</v>
      </c>
      <c r="AC901" s="84">
        <v>0</v>
      </c>
      <c r="AD901" s="84">
        <v>0</v>
      </c>
      <c r="AE901" s="84">
        <v>0</v>
      </c>
      <c r="AF901" s="84">
        <v>0</v>
      </c>
      <c r="AG901" s="84">
        <v>0</v>
      </c>
      <c r="AH901" s="84">
        <v>0</v>
      </c>
      <c r="AI901" s="84">
        <v>1</v>
      </c>
      <c r="AJ901" s="84">
        <v>0</v>
      </c>
      <c r="AK901" s="84">
        <v>0</v>
      </c>
      <c r="AL901" s="84" cm="1">
        <f t="array" ref="AL9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01" s="84" cm="1">
        <f t="array" ref="AM9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01" s="84" cm="1">
        <f t="array" ref="AN9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01" s="84" cm="1">
        <f t="array" ref="AO9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01" s="84" cm="1">
        <f t="array" ref="AP9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1" s="84" cm="1">
        <f t="array" ref="AQ9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1" s="84" cm="1">
        <f t="array" ref="AR9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1" s="84" cm="1">
        <f t="array" ref="AS9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1" s="84" cm="1">
        <f t="array" ref="AT9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1" s="84" cm="1">
        <f t="array" ref="AU9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1" s="84" cm="1">
        <f t="array" ref="AV9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1" s="84" cm="1">
        <f t="array" ref="AW9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1" s="84" cm="1">
        <f t="array" ref="AX9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1" s="84" cm="1">
        <f t="array" ref="AY9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01" s="84" cm="1">
        <f t="array" ref="AZ9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1" s="84" cm="1">
        <f t="array" ref="BA9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01" s="84" cm="1">
        <f t="array" ref="BB9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01" s="84">
        <f>IF(SUM(Table3[[#This Row],[Column2]:[Column18]])&gt;Table3[[#This Row],[Column19]],Table3[[#This Row],[Column19]],SUM(Table3[[#This Row],[Column2]:[Column18]]))</f>
        <v>10000</v>
      </c>
      <c r="BD901" s="2">
        <f>Table3[[#This Row],[Total Spend]]/SUM(Table3[[#This Row],[Column2]:[Column18]])</f>
        <v>7.2859744990892539E-2</v>
      </c>
    </row>
    <row r="902" spans="1:56">
      <c r="A902" s="84" t="s">
        <v>976</v>
      </c>
      <c r="B902" s="84"/>
      <c r="C902" s="84"/>
      <c r="D902" s="85">
        <v>45566</v>
      </c>
      <c r="E902" s="85" t="s">
        <v>92</v>
      </c>
      <c r="F902" s="84">
        <f>INDEX(Definitions!$G$13:$G$17,MATCH(Table3[[#This Row],[Propensity to buy/ buyer readiness]],Definitions!$A$13:$A$17,0))</f>
        <v>50000</v>
      </c>
      <c r="G902" s="86">
        <v>4</v>
      </c>
      <c r="H902" s="86">
        <v>3</v>
      </c>
      <c r="I902" s="86">
        <v>3</v>
      </c>
      <c r="J902" s="86">
        <v>3</v>
      </c>
      <c r="K902" s="86">
        <v>3</v>
      </c>
      <c r="L902" s="86">
        <f>SUM(Table3[[#This Row],[Strategic priority segment]:[Propensity to buy/ buyer readiness]])</f>
        <v>16</v>
      </c>
      <c r="M902" s="86" t="s">
        <v>191</v>
      </c>
      <c r="N902" s="84" t="s">
        <v>76</v>
      </c>
      <c r="O902" s="84" t="s">
        <v>135</v>
      </c>
      <c r="P902" s="84"/>
      <c r="Q902" s="84"/>
      <c r="R902" s="84"/>
      <c r="S902" s="87"/>
      <c r="T902" s="87"/>
      <c r="U902" s="84">
        <v>0</v>
      </c>
      <c r="V902" s="84">
        <v>0</v>
      </c>
      <c r="W902" s="84">
        <v>0</v>
      </c>
      <c r="X902" s="84">
        <v>0</v>
      </c>
      <c r="Y902" s="84">
        <v>0</v>
      </c>
      <c r="Z902" s="84">
        <v>0</v>
      </c>
      <c r="AA902" s="84">
        <v>0</v>
      </c>
      <c r="AB902" s="84">
        <v>0</v>
      </c>
      <c r="AC902" s="84">
        <v>0</v>
      </c>
      <c r="AD902" s="84">
        <v>0</v>
      </c>
      <c r="AE902" s="84">
        <v>0</v>
      </c>
      <c r="AF902" s="84">
        <v>0</v>
      </c>
      <c r="AG902" s="84">
        <v>0</v>
      </c>
      <c r="AH902" s="84">
        <v>1</v>
      </c>
      <c r="AI902" s="84">
        <v>1</v>
      </c>
      <c r="AJ902" s="84">
        <v>1</v>
      </c>
      <c r="AK902" s="84">
        <v>1</v>
      </c>
      <c r="AL902" s="84" cm="1">
        <f t="array" ref="AL9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02" s="84" cm="1">
        <f t="array" ref="AM9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2" s="84" cm="1">
        <f t="array" ref="AN9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2" s="84" cm="1">
        <f t="array" ref="AO9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2" s="84" cm="1">
        <f t="array" ref="AP9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2" s="84" cm="1">
        <f t="array" ref="AQ9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2" s="84" cm="1">
        <f t="array" ref="AR9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2" s="84" cm="1">
        <f t="array" ref="AS9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2" s="84" cm="1">
        <f t="array" ref="AT9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2" s="84" cm="1">
        <f t="array" ref="AU9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2" s="84" cm="1">
        <f t="array" ref="AV9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2" s="84" cm="1">
        <f t="array" ref="AW9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2" s="84" cm="1">
        <f t="array" ref="AX9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2" s="84" cm="1">
        <f t="array" ref="AY9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2" s="84" cm="1">
        <f t="array" ref="AZ9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2" s="84" cm="1">
        <f t="array" ref="BA9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2" s="84" cm="1">
        <f t="array" ref="BB9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2" s="84">
        <f>IF(SUM(Table3[[#This Row],[Column2]:[Column18]])&gt;Table3[[#This Row],[Column19]],Table3[[#This Row],[Column19]],SUM(Table3[[#This Row],[Column2]:[Column18]]))</f>
        <v>46350</v>
      </c>
      <c r="BD902" s="2">
        <f>Table3[[#This Row],[Total Spend]]/SUM(Table3[[#This Row],[Column2]:[Column18]])</f>
        <v>1</v>
      </c>
    </row>
    <row r="903" spans="1:56">
      <c r="A903" s="84" t="s">
        <v>977</v>
      </c>
      <c r="B903" s="84"/>
      <c r="C903" s="84" t="s">
        <v>57</v>
      </c>
      <c r="D903" s="85">
        <v>45809</v>
      </c>
      <c r="E903" s="85" t="s">
        <v>92</v>
      </c>
      <c r="F903" s="84">
        <f>INDEX(Definitions!$G$13:$G$17,MATCH(Table3[[#This Row],[Propensity to buy/ buyer readiness]],Definitions!$A$13:$A$17,0))</f>
        <v>50000</v>
      </c>
      <c r="G903" s="86">
        <v>3</v>
      </c>
      <c r="H903" s="86">
        <v>3</v>
      </c>
      <c r="I903" s="86">
        <v>4</v>
      </c>
      <c r="J903" s="86">
        <v>3</v>
      </c>
      <c r="K903" s="86">
        <v>3</v>
      </c>
      <c r="L903" s="86">
        <f>SUM(Table3[[#This Row],[Strategic priority segment]:[Propensity to buy/ buyer readiness]])</f>
        <v>16</v>
      </c>
      <c r="M903" s="86" t="s">
        <v>152</v>
      </c>
      <c r="N903" s="84" t="s">
        <v>122</v>
      </c>
      <c r="O903" s="84" t="s">
        <v>135</v>
      </c>
      <c r="P903" s="84"/>
      <c r="Q903" s="84"/>
      <c r="R903" s="84"/>
      <c r="S903" s="84"/>
      <c r="T903" s="84"/>
      <c r="U903" s="84">
        <v>1</v>
      </c>
      <c r="V903" s="84">
        <v>0</v>
      </c>
      <c r="W903" s="84">
        <v>0</v>
      </c>
      <c r="X903" s="84">
        <v>0</v>
      </c>
      <c r="Y903" s="84">
        <v>0</v>
      </c>
      <c r="Z903" s="84">
        <v>1</v>
      </c>
      <c r="AA903" s="84">
        <v>0</v>
      </c>
      <c r="AB903" s="84">
        <v>1</v>
      </c>
      <c r="AC903" s="84">
        <v>0</v>
      </c>
      <c r="AD903" s="84">
        <v>1</v>
      </c>
      <c r="AE903" s="84">
        <v>0</v>
      </c>
      <c r="AF903" s="84">
        <v>1</v>
      </c>
      <c r="AG903" s="84">
        <v>0</v>
      </c>
      <c r="AH903" s="84">
        <v>1</v>
      </c>
      <c r="AI903" s="84">
        <v>1</v>
      </c>
      <c r="AJ903" s="84">
        <v>1</v>
      </c>
      <c r="AK903" s="84">
        <v>1</v>
      </c>
      <c r="AL903" s="84" cm="1">
        <f t="array" ref="AL9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03" s="84" cm="1">
        <f t="array" ref="AM9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3" s="84" cm="1">
        <f t="array" ref="AN9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3" s="84" cm="1">
        <f t="array" ref="AO9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3" s="84" cm="1">
        <f t="array" ref="AP9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3" s="84" cm="1">
        <f t="array" ref="AQ9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03" s="84" cm="1">
        <f t="array" ref="AR9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3" s="84" cm="1">
        <f t="array" ref="AS9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03" s="84" cm="1">
        <f t="array" ref="AT9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3" s="84" cm="1">
        <f t="array" ref="AU9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03" s="84" cm="1">
        <f t="array" ref="AV9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3" s="84" cm="1">
        <f t="array" ref="AW9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03" s="84" cm="1">
        <f t="array" ref="AX9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3" s="84" cm="1">
        <f t="array" ref="AY9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3" s="84" cm="1">
        <f t="array" ref="AZ9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3" s="84" cm="1">
        <f t="array" ref="BA9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3" s="84" cm="1">
        <f t="array" ref="BB9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3" s="84">
        <f>IF(SUM(Table3[[#This Row],[Column2]:[Column18]])&gt;Table3[[#This Row],[Column19]],Table3[[#This Row],[Column19]],SUM(Table3[[#This Row],[Column2]:[Column18]]))</f>
        <v>50000</v>
      </c>
      <c r="BD903" s="2">
        <f>Table3[[#This Row],[Total Spend]]/SUM(Table3[[#This Row],[Column2]:[Column18]])</f>
        <v>0.29949086552860138</v>
      </c>
    </row>
    <row r="904" spans="1:56">
      <c r="A904" s="84" t="s">
        <v>978</v>
      </c>
      <c r="B904" s="84"/>
      <c r="C904" s="84"/>
      <c r="D904" s="85">
        <v>45566</v>
      </c>
      <c r="E904" s="85" t="s">
        <v>92</v>
      </c>
      <c r="F904" s="84">
        <f>INDEX(Definitions!$G$13:$G$17,MATCH(Table3[[#This Row],[Propensity to buy/ buyer readiness]],Definitions!$A$13:$A$17,0))</f>
        <v>50000</v>
      </c>
      <c r="G904" s="86">
        <v>4</v>
      </c>
      <c r="H904" s="86">
        <v>3</v>
      </c>
      <c r="I904" s="86">
        <v>3</v>
      </c>
      <c r="J904" s="86">
        <v>3</v>
      </c>
      <c r="K904" s="86">
        <v>3</v>
      </c>
      <c r="L904" s="86">
        <f>SUM(Table3[[#This Row],[Strategic priority segment]:[Propensity to buy/ buyer readiness]])</f>
        <v>16</v>
      </c>
      <c r="M904" s="86" t="s">
        <v>191</v>
      </c>
      <c r="N904" s="84" t="s">
        <v>76</v>
      </c>
      <c r="O904" s="84" t="s">
        <v>135</v>
      </c>
      <c r="P904" s="84"/>
      <c r="Q904" s="84"/>
      <c r="R904" s="84"/>
      <c r="S904" s="87"/>
      <c r="T904" s="87"/>
      <c r="U904" s="84">
        <v>0</v>
      </c>
      <c r="V904" s="84">
        <v>0</v>
      </c>
      <c r="W904" s="84">
        <v>0</v>
      </c>
      <c r="X904" s="84">
        <v>0</v>
      </c>
      <c r="Y904" s="84">
        <v>0</v>
      </c>
      <c r="Z904" s="84">
        <v>0</v>
      </c>
      <c r="AA904" s="84">
        <v>0</v>
      </c>
      <c r="AB904" s="84">
        <v>0</v>
      </c>
      <c r="AC904" s="84">
        <v>0</v>
      </c>
      <c r="AD904" s="84">
        <v>0</v>
      </c>
      <c r="AE904" s="84">
        <v>0</v>
      </c>
      <c r="AF904" s="84">
        <v>0</v>
      </c>
      <c r="AG904" s="84">
        <v>0</v>
      </c>
      <c r="AH904" s="84">
        <v>1</v>
      </c>
      <c r="AI904" s="84">
        <v>1</v>
      </c>
      <c r="AJ904" s="84">
        <v>1</v>
      </c>
      <c r="AK904" s="84">
        <v>1</v>
      </c>
      <c r="AL904" s="84" cm="1">
        <f t="array" ref="AL9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04" s="84" cm="1">
        <f t="array" ref="AM9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4" s="84" cm="1">
        <f t="array" ref="AN9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4" s="84" cm="1">
        <f t="array" ref="AO9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4" s="84" cm="1">
        <f t="array" ref="AP9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4" s="84" cm="1">
        <f t="array" ref="AQ9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4" s="84" cm="1">
        <f t="array" ref="AR9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4" s="84" cm="1">
        <f t="array" ref="AS9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4" s="84" cm="1">
        <f t="array" ref="AT9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4" s="84" cm="1">
        <f t="array" ref="AU9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4" s="84" cm="1">
        <f t="array" ref="AV9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4" s="84" cm="1">
        <f t="array" ref="AW9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4" s="84" cm="1">
        <f t="array" ref="AX9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4" s="84" cm="1">
        <f t="array" ref="AY9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4" s="84" cm="1">
        <f t="array" ref="AZ9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4" s="84" cm="1">
        <f t="array" ref="BA9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4" s="84" cm="1">
        <f t="array" ref="BB9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4" s="84">
        <f>IF(SUM(Table3[[#This Row],[Column2]:[Column18]])&gt;Table3[[#This Row],[Column19]],Table3[[#This Row],[Column19]],SUM(Table3[[#This Row],[Column2]:[Column18]]))</f>
        <v>46350</v>
      </c>
      <c r="BD904" s="2">
        <f>Table3[[#This Row],[Total Spend]]/SUM(Table3[[#This Row],[Column2]:[Column18]])</f>
        <v>1</v>
      </c>
    </row>
    <row r="905" spans="1:56">
      <c r="A905" s="84" t="s">
        <v>979</v>
      </c>
      <c r="B905" s="84"/>
      <c r="C905" s="84"/>
      <c r="D905" s="85">
        <v>45566</v>
      </c>
      <c r="E905" s="85" t="s">
        <v>92</v>
      </c>
      <c r="F905" s="84">
        <f>INDEX(Definitions!$G$13:$G$17,MATCH(Table3[[#This Row],[Propensity to buy/ buyer readiness]],Definitions!$A$13:$A$17,0))</f>
        <v>50000</v>
      </c>
      <c r="G905" s="86">
        <v>4</v>
      </c>
      <c r="H905" s="86">
        <v>3</v>
      </c>
      <c r="I905" s="86">
        <v>3</v>
      </c>
      <c r="J905" s="86">
        <v>3</v>
      </c>
      <c r="K905" s="86">
        <v>3</v>
      </c>
      <c r="L905" s="86">
        <f>SUM(Table3[[#This Row],[Strategic priority segment]:[Propensity to buy/ buyer readiness]])</f>
        <v>16</v>
      </c>
      <c r="M905" s="86" t="s">
        <v>191</v>
      </c>
      <c r="N905" s="84" t="s">
        <v>76</v>
      </c>
      <c r="O905" s="84" t="s">
        <v>135</v>
      </c>
      <c r="P905" s="84"/>
      <c r="Q905" s="84"/>
      <c r="R905" s="84"/>
      <c r="S905" s="87"/>
      <c r="T905" s="87"/>
      <c r="U905" s="84">
        <v>0</v>
      </c>
      <c r="V905" s="84">
        <v>0</v>
      </c>
      <c r="W905" s="84">
        <v>0</v>
      </c>
      <c r="X905" s="84">
        <v>0</v>
      </c>
      <c r="Y905" s="84">
        <v>0</v>
      </c>
      <c r="Z905" s="84">
        <v>0</v>
      </c>
      <c r="AA905" s="84">
        <v>0</v>
      </c>
      <c r="AB905" s="84">
        <v>0</v>
      </c>
      <c r="AC905" s="84">
        <v>0</v>
      </c>
      <c r="AD905" s="84">
        <v>0</v>
      </c>
      <c r="AE905" s="84">
        <v>0</v>
      </c>
      <c r="AF905" s="84">
        <v>0</v>
      </c>
      <c r="AG905" s="84">
        <v>0</v>
      </c>
      <c r="AH905" s="84">
        <v>1</v>
      </c>
      <c r="AI905" s="84">
        <v>1</v>
      </c>
      <c r="AJ905" s="84">
        <v>1</v>
      </c>
      <c r="AK905" s="84">
        <v>1</v>
      </c>
      <c r="AL905" s="84" cm="1">
        <f t="array" ref="AL9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05" s="84" cm="1">
        <f t="array" ref="AM9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5" s="84" cm="1">
        <f t="array" ref="AN9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5" s="84" cm="1">
        <f t="array" ref="AO9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5" s="84" cm="1">
        <f t="array" ref="AP9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5" s="84" cm="1">
        <f t="array" ref="AQ9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5" s="84" cm="1">
        <f t="array" ref="AR9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5" s="84" cm="1">
        <f t="array" ref="AS9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5" s="84" cm="1">
        <f t="array" ref="AT9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5" s="84" cm="1">
        <f t="array" ref="AU9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5" s="84" cm="1">
        <f t="array" ref="AV9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5" s="84" cm="1">
        <f t="array" ref="AW9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5" s="84" cm="1">
        <f t="array" ref="AX9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5" s="84" cm="1">
        <f t="array" ref="AY9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5" s="84" cm="1">
        <f t="array" ref="AZ9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5" s="84" cm="1">
        <f t="array" ref="BA9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5" s="84" cm="1">
        <f t="array" ref="BB9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5" s="84">
        <f>IF(SUM(Table3[[#This Row],[Column2]:[Column18]])&gt;Table3[[#This Row],[Column19]],Table3[[#This Row],[Column19]],SUM(Table3[[#This Row],[Column2]:[Column18]]))</f>
        <v>46350</v>
      </c>
      <c r="BD905" s="2">
        <f>Table3[[#This Row],[Total Spend]]/SUM(Table3[[#This Row],[Column2]:[Column18]])</f>
        <v>1</v>
      </c>
    </row>
    <row r="906" spans="1:56">
      <c r="A906" s="84" t="s">
        <v>980</v>
      </c>
      <c r="B906" s="84"/>
      <c r="C906" s="84"/>
      <c r="D906" s="85">
        <v>45566</v>
      </c>
      <c r="E906" s="85" t="s">
        <v>92</v>
      </c>
      <c r="F906" s="84">
        <f>INDEX(Definitions!$G$13:$G$17,MATCH(Table3[[#This Row],[Propensity to buy/ buyer readiness]],Definitions!$A$13:$A$17,0))</f>
        <v>50000</v>
      </c>
      <c r="G906" s="86">
        <v>4</v>
      </c>
      <c r="H906" s="86">
        <v>3</v>
      </c>
      <c r="I906" s="86">
        <v>3</v>
      </c>
      <c r="J906" s="86">
        <v>3</v>
      </c>
      <c r="K906" s="86">
        <v>3</v>
      </c>
      <c r="L906" s="86">
        <f>SUM(Table3[[#This Row],[Strategic priority segment]:[Propensity to buy/ buyer readiness]])</f>
        <v>16</v>
      </c>
      <c r="M906" s="86" t="s">
        <v>191</v>
      </c>
      <c r="N906" s="84" t="s">
        <v>76</v>
      </c>
      <c r="O906" s="84" t="s">
        <v>135</v>
      </c>
      <c r="P906" s="84"/>
      <c r="Q906" s="84"/>
      <c r="R906" s="84"/>
      <c r="S906" s="87"/>
      <c r="T906" s="87"/>
      <c r="U906" s="84">
        <v>0</v>
      </c>
      <c r="V906" s="84">
        <v>0</v>
      </c>
      <c r="W906" s="84">
        <v>0</v>
      </c>
      <c r="X906" s="84">
        <v>0</v>
      </c>
      <c r="Y906" s="84">
        <v>0</v>
      </c>
      <c r="Z906" s="84">
        <v>0</v>
      </c>
      <c r="AA906" s="84">
        <v>0</v>
      </c>
      <c r="AB906" s="84">
        <v>0</v>
      </c>
      <c r="AC906" s="84">
        <v>0</v>
      </c>
      <c r="AD906" s="84">
        <v>0</v>
      </c>
      <c r="AE906" s="84">
        <v>0</v>
      </c>
      <c r="AF906" s="84">
        <v>0</v>
      </c>
      <c r="AG906" s="84">
        <v>0</v>
      </c>
      <c r="AH906" s="84">
        <v>1</v>
      </c>
      <c r="AI906" s="84">
        <v>1</v>
      </c>
      <c r="AJ906" s="84">
        <v>1</v>
      </c>
      <c r="AK906" s="84">
        <v>1</v>
      </c>
      <c r="AL906" s="84" cm="1">
        <f t="array" ref="AL9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06" s="84" cm="1">
        <f t="array" ref="AM9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6" s="84" cm="1">
        <f t="array" ref="AN9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6" s="84" cm="1">
        <f t="array" ref="AO9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6" s="84" cm="1">
        <f t="array" ref="AP9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6" s="84" cm="1">
        <f t="array" ref="AQ9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6" s="84" cm="1">
        <f t="array" ref="AR9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6" s="84" cm="1">
        <f t="array" ref="AS9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6" s="84" cm="1">
        <f t="array" ref="AT9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6" s="84" cm="1">
        <f t="array" ref="AU9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6" s="84" cm="1">
        <f t="array" ref="AV9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6" s="84" cm="1">
        <f t="array" ref="AW9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6" s="84" cm="1">
        <f t="array" ref="AX9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6" s="84" cm="1">
        <f t="array" ref="AY9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6" s="84" cm="1">
        <f t="array" ref="AZ9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6" s="84" cm="1">
        <f t="array" ref="BA9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6" s="84" cm="1">
        <f t="array" ref="BB9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6" s="84">
        <f>IF(SUM(Table3[[#This Row],[Column2]:[Column18]])&gt;Table3[[#This Row],[Column19]],Table3[[#This Row],[Column19]],SUM(Table3[[#This Row],[Column2]:[Column18]]))</f>
        <v>46350</v>
      </c>
      <c r="BD906" s="2">
        <f>Table3[[#This Row],[Total Spend]]/SUM(Table3[[#This Row],[Column2]:[Column18]])</f>
        <v>1</v>
      </c>
    </row>
    <row r="907" spans="1:56">
      <c r="A907" s="84" t="s">
        <v>981</v>
      </c>
      <c r="B907" s="84" t="s">
        <v>57</v>
      </c>
      <c r="C907" s="84"/>
      <c r="D907" s="85">
        <v>45566</v>
      </c>
      <c r="E907" s="85" t="s">
        <v>58</v>
      </c>
      <c r="F907" s="84">
        <f>INDEX(Definitions!$G$13:$G$17,MATCH(Table3[[#This Row],[Propensity to buy/ buyer readiness]],Definitions!$A$13:$A$17,0))</f>
        <v>50000</v>
      </c>
      <c r="G907" s="86">
        <v>3</v>
      </c>
      <c r="H907" s="86">
        <v>3</v>
      </c>
      <c r="I907" s="86">
        <v>4</v>
      </c>
      <c r="J907" s="86">
        <v>3</v>
      </c>
      <c r="K907" s="86">
        <v>3</v>
      </c>
      <c r="L907" s="86">
        <f>SUM(Table3[[#This Row],[Strategic priority segment]:[Propensity to buy/ buyer readiness]])</f>
        <v>16</v>
      </c>
      <c r="M907" s="86" t="s">
        <v>152</v>
      </c>
      <c r="N907" s="84" t="s">
        <v>264</v>
      </c>
      <c r="O907" s="84"/>
      <c r="P907" s="87"/>
      <c r="Q907" s="87"/>
      <c r="R907" s="84"/>
      <c r="S907" s="87"/>
      <c r="T907" s="87"/>
      <c r="U907" s="84">
        <v>1</v>
      </c>
      <c r="V907" s="84">
        <v>0</v>
      </c>
      <c r="W907" s="84">
        <v>0</v>
      </c>
      <c r="X907" s="84">
        <v>0</v>
      </c>
      <c r="Y907" s="84">
        <v>0</v>
      </c>
      <c r="Z907" s="84">
        <v>0</v>
      </c>
      <c r="AA907" s="84">
        <v>0</v>
      </c>
      <c r="AB907" s="84">
        <v>0</v>
      </c>
      <c r="AC907" s="84">
        <v>0</v>
      </c>
      <c r="AD907" s="84">
        <v>0</v>
      </c>
      <c r="AE907" s="84">
        <v>0</v>
      </c>
      <c r="AF907" s="84">
        <v>0</v>
      </c>
      <c r="AG907" s="84">
        <v>0</v>
      </c>
      <c r="AH907" s="84">
        <v>0</v>
      </c>
      <c r="AI907" s="84">
        <v>0</v>
      </c>
      <c r="AJ907" s="84">
        <v>0</v>
      </c>
      <c r="AK907" s="84">
        <v>0</v>
      </c>
      <c r="AL907" s="84" cm="1">
        <f t="array" ref="AL9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07" s="84" cm="1">
        <f t="array" ref="AM9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7" s="84" cm="1">
        <f t="array" ref="AN9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7" s="84" cm="1">
        <f t="array" ref="AO9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7" s="84" cm="1">
        <f t="array" ref="AP9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7" s="84" cm="1">
        <f t="array" ref="AQ9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7" s="84" cm="1">
        <f t="array" ref="AR9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7" s="84" cm="1">
        <f t="array" ref="AS9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7" s="84" cm="1">
        <f t="array" ref="AT9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7" s="84" cm="1">
        <f t="array" ref="AU9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7" s="84" cm="1">
        <f t="array" ref="AV9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7" s="84" cm="1">
        <f t="array" ref="AW9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7" s="84" cm="1">
        <f t="array" ref="AX9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7" s="84" cm="1">
        <f t="array" ref="AY9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07" s="84" cm="1">
        <f t="array" ref="AZ9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07" s="84" cm="1">
        <f t="array" ref="BA9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07" s="84" cm="1">
        <f t="array" ref="BB9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07" s="84">
        <f>IF(SUM(Table3[[#This Row],[Column2]:[Column18]])&gt;Table3[[#This Row],[Column19]],Table3[[#This Row],[Column19]],SUM(Table3[[#This Row],[Column2]:[Column18]]))</f>
        <v>10800</v>
      </c>
      <c r="BD907" s="2">
        <f>Table3[[#This Row],[Total Spend]]/SUM(Table3[[#This Row],[Column2]:[Column18]])</f>
        <v>1</v>
      </c>
    </row>
    <row r="908" spans="1:56">
      <c r="A908" s="84" t="s">
        <v>982</v>
      </c>
      <c r="B908" s="84"/>
      <c r="C908" s="84"/>
      <c r="D908" s="85">
        <v>45566</v>
      </c>
      <c r="E908" s="85" t="s">
        <v>92</v>
      </c>
      <c r="F908" s="84">
        <f>INDEX(Definitions!$G$13:$G$17,MATCH(Table3[[#This Row],[Propensity to buy/ buyer readiness]],Definitions!$A$13:$A$17,0))</f>
        <v>50000</v>
      </c>
      <c r="G908" s="86">
        <v>4</v>
      </c>
      <c r="H908" s="86">
        <v>3</v>
      </c>
      <c r="I908" s="86">
        <v>3</v>
      </c>
      <c r="J908" s="86">
        <v>3</v>
      </c>
      <c r="K908" s="86">
        <v>3</v>
      </c>
      <c r="L908" s="86">
        <f>SUM(Table3[[#This Row],[Strategic priority segment]:[Propensity to buy/ buyer readiness]])</f>
        <v>16</v>
      </c>
      <c r="M908" s="86" t="s">
        <v>191</v>
      </c>
      <c r="N908" s="84" t="s">
        <v>76</v>
      </c>
      <c r="O908" s="84" t="s">
        <v>135</v>
      </c>
      <c r="P908" s="84"/>
      <c r="Q908" s="84"/>
      <c r="R908" s="84"/>
      <c r="S908" s="87"/>
      <c r="T908" s="87"/>
      <c r="U908" s="84">
        <v>0</v>
      </c>
      <c r="V908" s="84">
        <v>0</v>
      </c>
      <c r="W908" s="84">
        <v>0</v>
      </c>
      <c r="X908" s="84">
        <v>0</v>
      </c>
      <c r="Y908" s="84">
        <v>0</v>
      </c>
      <c r="Z908" s="84">
        <v>0</v>
      </c>
      <c r="AA908" s="84">
        <v>0</v>
      </c>
      <c r="AB908" s="84">
        <v>0</v>
      </c>
      <c r="AC908" s="84">
        <v>0</v>
      </c>
      <c r="AD908" s="84">
        <v>0</v>
      </c>
      <c r="AE908" s="84">
        <v>0</v>
      </c>
      <c r="AF908" s="84">
        <v>0</v>
      </c>
      <c r="AG908" s="84">
        <v>0</v>
      </c>
      <c r="AH908" s="84">
        <v>1</v>
      </c>
      <c r="AI908" s="84">
        <v>1</v>
      </c>
      <c r="AJ908" s="84">
        <v>1</v>
      </c>
      <c r="AK908" s="84">
        <v>1</v>
      </c>
      <c r="AL908" s="84" cm="1">
        <f t="array" ref="AL9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08" s="84" cm="1">
        <f t="array" ref="AM9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8" s="84" cm="1">
        <f t="array" ref="AN9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8" s="84" cm="1">
        <f t="array" ref="AO9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8" s="84" cm="1">
        <f t="array" ref="AP9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8" s="84" cm="1">
        <f t="array" ref="AQ9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8" s="84" cm="1">
        <f t="array" ref="AR9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8" s="84" cm="1">
        <f t="array" ref="AS9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8" s="84" cm="1">
        <f t="array" ref="AT9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8" s="84" cm="1">
        <f t="array" ref="AU9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8" s="84" cm="1">
        <f t="array" ref="AV9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8" s="84" cm="1">
        <f t="array" ref="AW9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8" s="84" cm="1">
        <f t="array" ref="AX9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8" s="84" cm="1">
        <f t="array" ref="AY9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8" s="84" cm="1">
        <f t="array" ref="AZ9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8" s="84" cm="1">
        <f t="array" ref="BA9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8" s="84" cm="1">
        <f t="array" ref="BB9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8" s="84">
        <f>IF(SUM(Table3[[#This Row],[Column2]:[Column18]])&gt;Table3[[#This Row],[Column19]],Table3[[#This Row],[Column19]],SUM(Table3[[#This Row],[Column2]:[Column18]]))</f>
        <v>46350</v>
      </c>
      <c r="BD908" s="2">
        <f>Table3[[#This Row],[Total Spend]]/SUM(Table3[[#This Row],[Column2]:[Column18]])</f>
        <v>1</v>
      </c>
    </row>
    <row r="909" spans="1:56">
      <c r="A909" s="84" t="s">
        <v>983</v>
      </c>
      <c r="B909" s="84"/>
      <c r="C909" s="84"/>
      <c r="D909" s="85">
        <v>45566</v>
      </c>
      <c r="E909" s="85" t="s">
        <v>92</v>
      </c>
      <c r="F909" s="84">
        <f>INDEX(Definitions!$G$13:$G$17,MATCH(Table3[[#This Row],[Propensity to buy/ buyer readiness]],Definitions!$A$13:$A$17,0))</f>
        <v>50000</v>
      </c>
      <c r="G909" s="86">
        <v>4</v>
      </c>
      <c r="H909" s="86">
        <v>3</v>
      </c>
      <c r="I909" s="86">
        <v>3</v>
      </c>
      <c r="J909" s="86">
        <v>3</v>
      </c>
      <c r="K909" s="86">
        <v>3</v>
      </c>
      <c r="L909" s="86">
        <f>SUM(Table3[[#This Row],[Strategic priority segment]:[Propensity to buy/ buyer readiness]])</f>
        <v>16</v>
      </c>
      <c r="M909" s="86" t="s">
        <v>191</v>
      </c>
      <c r="N909" s="84" t="s">
        <v>76</v>
      </c>
      <c r="O909" s="84" t="s">
        <v>135</v>
      </c>
      <c r="P909" s="84"/>
      <c r="Q909" s="84"/>
      <c r="R909" s="84"/>
      <c r="S909" s="87"/>
      <c r="T909" s="87"/>
      <c r="U909" s="84">
        <v>0</v>
      </c>
      <c r="V909" s="84">
        <v>0</v>
      </c>
      <c r="W909" s="84">
        <v>0</v>
      </c>
      <c r="X909" s="84">
        <v>0</v>
      </c>
      <c r="Y909" s="84">
        <v>0</v>
      </c>
      <c r="Z909" s="84">
        <v>0</v>
      </c>
      <c r="AA909" s="84">
        <v>0</v>
      </c>
      <c r="AB909" s="84">
        <v>0</v>
      </c>
      <c r="AC909" s="84">
        <v>0</v>
      </c>
      <c r="AD909" s="84">
        <v>0</v>
      </c>
      <c r="AE909" s="84">
        <v>0</v>
      </c>
      <c r="AF909" s="84">
        <v>0</v>
      </c>
      <c r="AG909" s="84">
        <v>0</v>
      </c>
      <c r="AH909" s="84">
        <v>1</v>
      </c>
      <c r="AI909" s="84">
        <v>1</v>
      </c>
      <c r="AJ909" s="84">
        <v>1</v>
      </c>
      <c r="AK909" s="84">
        <v>1</v>
      </c>
      <c r="AL909" s="84" cm="1">
        <f t="array" ref="AL9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09" s="84" cm="1">
        <f t="array" ref="AM9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09" s="84" cm="1">
        <f t="array" ref="AN9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09" s="84" cm="1">
        <f t="array" ref="AO9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09" s="84" cm="1">
        <f t="array" ref="AP9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09" s="84" cm="1">
        <f t="array" ref="AQ9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09" s="84" cm="1">
        <f t="array" ref="AR9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09" s="84" cm="1">
        <f t="array" ref="AS9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09" s="84" cm="1">
        <f t="array" ref="AT9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09" s="84" cm="1">
        <f t="array" ref="AU9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09" s="84" cm="1">
        <f t="array" ref="AV9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09" s="84" cm="1">
        <f t="array" ref="AW9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09" s="84" cm="1">
        <f t="array" ref="AX9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09" s="84" cm="1">
        <f t="array" ref="AY9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09" s="84" cm="1">
        <f t="array" ref="AZ9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09" s="84" cm="1">
        <f t="array" ref="BA9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09" s="84" cm="1">
        <f t="array" ref="BB9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09" s="84">
        <f>IF(SUM(Table3[[#This Row],[Column2]:[Column18]])&gt;Table3[[#This Row],[Column19]],Table3[[#This Row],[Column19]],SUM(Table3[[#This Row],[Column2]:[Column18]]))</f>
        <v>46350</v>
      </c>
      <c r="BD909" s="2">
        <f>Table3[[#This Row],[Total Spend]]/SUM(Table3[[#This Row],[Column2]:[Column18]])</f>
        <v>1</v>
      </c>
    </row>
    <row r="910" spans="1:56">
      <c r="A910" s="84" t="s">
        <v>984</v>
      </c>
      <c r="B910" s="84" t="s">
        <v>57</v>
      </c>
      <c r="C910" s="84"/>
      <c r="D910" s="85">
        <v>45566</v>
      </c>
      <c r="E910" s="85" t="s">
        <v>92</v>
      </c>
      <c r="F910" s="84">
        <f>INDEX(Definitions!$G$13:$G$17,MATCH(Table3[[#This Row],[Propensity to buy/ buyer readiness]],Definitions!$A$13:$A$17,0))</f>
        <v>10000</v>
      </c>
      <c r="G910" s="86">
        <v>3</v>
      </c>
      <c r="H910" s="86">
        <v>3</v>
      </c>
      <c r="I910" s="86">
        <v>4</v>
      </c>
      <c r="J910" s="86">
        <v>4</v>
      </c>
      <c r="K910" s="86">
        <v>2</v>
      </c>
      <c r="L910" s="86">
        <f>SUM(Table3[[#This Row],[Strategic priority segment]:[Propensity to buy/ buyer readiness]])</f>
        <v>16</v>
      </c>
      <c r="M910" s="86" t="s">
        <v>59</v>
      </c>
      <c r="N910" s="84" t="s">
        <v>265</v>
      </c>
      <c r="O910" s="84"/>
      <c r="P910" s="87"/>
      <c r="Q910" s="87"/>
      <c r="R910" s="84"/>
      <c r="S910" s="87"/>
      <c r="T910" s="87"/>
      <c r="U910" s="84">
        <v>1</v>
      </c>
      <c r="V910" s="84">
        <v>1</v>
      </c>
      <c r="W910" s="84">
        <v>1</v>
      </c>
      <c r="X910" s="84">
        <v>1</v>
      </c>
      <c r="Y910" s="84">
        <v>0</v>
      </c>
      <c r="Z910" s="84">
        <v>0</v>
      </c>
      <c r="AA910" s="84">
        <v>0</v>
      </c>
      <c r="AB910" s="84">
        <v>0</v>
      </c>
      <c r="AC910" s="84">
        <v>0</v>
      </c>
      <c r="AD910" s="84">
        <v>0</v>
      </c>
      <c r="AE910" s="84">
        <v>0</v>
      </c>
      <c r="AF910" s="84">
        <v>0</v>
      </c>
      <c r="AG910" s="84">
        <v>0</v>
      </c>
      <c r="AH910" s="84">
        <v>0</v>
      </c>
      <c r="AI910" s="84">
        <v>1</v>
      </c>
      <c r="AJ910" s="84">
        <v>0</v>
      </c>
      <c r="AK910" s="84">
        <v>0</v>
      </c>
      <c r="AL910" s="84" cm="1">
        <f t="array" ref="AL9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10" s="84" cm="1">
        <f t="array" ref="AM9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10" s="84" cm="1">
        <f t="array" ref="AN9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10" s="84" cm="1">
        <f t="array" ref="AO9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10" s="84" cm="1">
        <f t="array" ref="AP9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0" s="84" cm="1">
        <f t="array" ref="AQ9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0" s="84" cm="1">
        <f t="array" ref="AR9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0" s="84" cm="1">
        <f t="array" ref="AS9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0" s="84" cm="1">
        <f t="array" ref="AT9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0" s="84" cm="1">
        <f t="array" ref="AU9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0" s="84" cm="1">
        <f t="array" ref="AV9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0" s="84" cm="1">
        <f t="array" ref="AW9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0" s="84" cm="1">
        <f t="array" ref="AX9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0" s="84" cm="1">
        <f t="array" ref="AY9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0" s="84" cm="1">
        <f t="array" ref="AZ9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10" s="84" cm="1">
        <f t="array" ref="BA9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0" s="84" cm="1">
        <f t="array" ref="BB9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0" s="84">
        <f>IF(SUM(Table3[[#This Row],[Column2]:[Column18]])&gt;Table3[[#This Row],[Column19]],Table3[[#This Row],[Column19]],SUM(Table3[[#This Row],[Column2]:[Column18]]))</f>
        <v>10000</v>
      </c>
      <c r="BD910" s="2">
        <f>Table3[[#This Row],[Total Spend]]/SUM(Table3[[#This Row],[Column2]:[Column18]])</f>
        <v>7.2859744990892539E-2</v>
      </c>
    </row>
    <row r="911" spans="1:56">
      <c r="A911" s="84" t="s">
        <v>985</v>
      </c>
      <c r="B911" s="84" t="s">
        <v>57</v>
      </c>
      <c r="C911" s="84"/>
      <c r="D911" s="85">
        <v>45566</v>
      </c>
      <c r="E911" s="85" t="s">
        <v>58</v>
      </c>
      <c r="F911" s="84">
        <f>INDEX(Definitions!$G$13:$G$17,MATCH(Table3[[#This Row],[Propensity to buy/ buyer readiness]],Definitions!$A$13:$A$17,0))</f>
        <v>50000</v>
      </c>
      <c r="G911" s="86">
        <v>3</v>
      </c>
      <c r="H911" s="86">
        <v>3</v>
      </c>
      <c r="I911" s="86">
        <v>4</v>
      </c>
      <c r="J911" s="86">
        <v>3</v>
      </c>
      <c r="K911" s="86">
        <v>3</v>
      </c>
      <c r="L911" s="86">
        <f>SUM(Table3[[#This Row],[Strategic priority segment]:[Propensity to buy/ buyer readiness]])</f>
        <v>16</v>
      </c>
      <c r="M911" s="86" t="s">
        <v>152</v>
      </c>
      <c r="N911" s="84" t="s">
        <v>264</v>
      </c>
      <c r="O911" s="84"/>
      <c r="P911" s="87"/>
      <c r="Q911" s="87"/>
      <c r="R911" s="84"/>
      <c r="S911" s="87"/>
      <c r="T911" s="87"/>
      <c r="U911" s="84">
        <v>1</v>
      </c>
      <c r="V911" s="84">
        <v>0</v>
      </c>
      <c r="W911" s="84">
        <v>0</v>
      </c>
      <c r="X911" s="84">
        <v>0</v>
      </c>
      <c r="Y911" s="84">
        <v>0</v>
      </c>
      <c r="Z911" s="84">
        <v>0</v>
      </c>
      <c r="AA911" s="84">
        <v>0</v>
      </c>
      <c r="AB911" s="84">
        <v>0</v>
      </c>
      <c r="AC911" s="84">
        <v>0</v>
      </c>
      <c r="AD911" s="84">
        <v>0</v>
      </c>
      <c r="AE911" s="84">
        <v>0</v>
      </c>
      <c r="AF911" s="84">
        <v>0</v>
      </c>
      <c r="AG911" s="84">
        <v>0</v>
      </c>
      <c r="AH911" s="84">
        <v>0</v>
      </c>
      <c r="AI911" s="84">
        <v>0</v>
      </c>
      <c r="AJ911" s="84">
        <v>0</v>
      </c>
      <c r="AK911" s="84">
        <v>0</v>
      </c>
      <c r="AL911" s="84" cm="1">
        <f t="array" ref="AL9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11" s="84" cm="1">
        <f t="array" ref="AM9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1" s="84" cm="1">
        <f t="array" ref="AN9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11" s="84" cm="1">
        <f t="array" ref="AO9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1" s="84" cm="1">
        <f t="array" ref="AP9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1" s="84" cm="1">
        <f t="array" ref="AQ9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1" s="84" cm="1">
        <f t="array" ref="AR9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1" s="84" cm="1">
        <f t="array" ref="AS9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1" s="84" cm="1">
        <f t="array" ref="AT9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1" s="84" cm="1">
        <f t="array" ref="AU9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1" s="84" cm="1">
        <f t="array" ref="AV9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1" s="84" cm="1">
        <f t="array" ref="AW9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1" s="84" cm="1">
        <f t="array" ref="AX9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1" s="84" cm="1">
        <f t="array" ref="AY9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1" s="84" cm="1">
        <f t="array" ref="AZ9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11" s="84" cm="1">
        <f t="array" ref="BA9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1" s="84" cm="1">
        <f t="array" ref="BB9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1" s="84">
        <f>IF(SUM(Table3[[#This Row],[Column2]:[Column18]])&gt;Table3[[#This Row],[Column19]],Table3[[#This Row],[Column19]],SUM(Table3[[#This Row],[Column2]:[Column18]]))</f>
        <v>10800</v>
      </c>
      <c r="BD911" s="2">
        <f>Table3[[#This Row],[Total Spend]]/SUM(Table3[[#This Row],[Column2]:[Column18]])</f>
        <v>1</v>
      </c>
    </row>
    <row r="912" spans="1:56">
      <c r="A912" s="84" t="s">
        <v>986</v>
      </c>
      <c r="B912" s="84" t="s">
        <v>57</v>
      </c>
      <c r="C912" s="84"/>
      <c r="D912" s="85">
        <v>45566</v>
      </c>
      <c r="E912" s="85" t="s">
        <v>92</v>
      </c>
      <c r="F912" s="84">
        <f>INDEX(Definitions!$G$13:$G$17,MATCH(Table3[[#This Row],[Propensity to buy/ buyer readiness]],Definitions!$A$13:$A$17,0))</f>
        <v>10000</v>
      </c>
      <c r="G912" s="86">
        <v>3</v>
      </c>
      <c r="H912" s="86">
        <v>3</v>
      </c>
      <c r="I912" s="86">
        <v>4</v>
      </c>
      <c r="J912" s="86">
        <v>4</v>
      </c>
      <c r="K912" s="86">
        <v>2</v>
      </c>
      <c r="L912" s="86">
        <f>SUM(Table3[[#This Row],[Strategic priority segment]:[Propensity to buy/ buyer readiness]])</f>
        <v>16</v>
      </c>
      <c r="M912" s="86" t="s">
        <v>59</v>
      </c>
      <c r="N912" s="84" t="s">
        <v>265</v>
      </c>
      <c r="O912" s="84"/>
      <c r="P912" s="87"/>
      <c r="Q912" s="87"/>
      <c r="R912" s="84"/>
      <c r="S912" s="87"/>
      <c r="T912" s="87"/>
      <c r="U912" s="84">
        <v>1</v>
      </c>
      <c r="V912" s="84">
        <v>1</v>
      </c>
      <c r="W912" s="84">
        <v>1</v>
      </c>
      <c r="X912" s="84">
        <v>1</v>
      </c>
      <c r="Y912" s="84">
        <v>0</v>
      </c>
      <c r="Z912" s="84">
        <v>0</v>
      </c>
      <c r="AA912" s="84">
        <v>0</v>
      </c>
      <c r="AB912" s="84">
        <v>0</v>
      </c>
      <c r="AC912" s="84">
        <v>0</v>
      </c>
      <c r="AD912" s="84">
        <v>0</v>
      </c>
      <c r="AE912" s="84">
        <v>0</v>
      </c>
      <c r="AF912" s="84">
        <v>0</v>
      </c>
      <c r="AG912" s="84">
        <v>0</v>
      </c>
      <c r="AH912" s="84">
        <v>0</v>
      </c>
      <c r="AI912" s="84">
        <v>1</v>
      </c>
      <c r="AJ912" s="84">
        <v>0</v>
      </c>
      <c r="AK912" s="84">
        <v>0</v>
      </c>
      <c r="AL912" s="84" cm="1">
        <f t="array" ref="AL9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12" s="84" cm="1">
        <f t="array" ref="AM9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12" s="84" cm="1">
        <f t="array" ref="AN9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12" s="84" cm="1">
        <f t="array" ref="AO9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12" s="84" cm="1">
        <f t="array" ref="AP9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2" s="84" cm="1">
        <f t="array" ref="AQ9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2" s="84" cm="1">
        <f t="array" ref="AR9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2" s="84" cm="1">
        <f t="array" ref="AS9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2" s="84" cm="1">
        <f t="array" ref="AT9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2" s="84" cm="1">
        <f t="array" ref="AU9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2" s="84" cm="1">
        <f t="array" ref="AV9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2" s="84" cm="1">
        <f t="array" ref="AW9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2" s="84" cm="1">
        <f t="array" ref="AX9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2" s="84" cm="1">
        <f t="array" ref="AY9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2" s="84" cm="1">
        <f t="array" ref="AZ9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12" s="84" cm="1">
        <f t="array" ref="BA9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2" s="84" cm="1">
        <f t="array" ref="BB9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2" s="84">
        <f>IF(SUM(Table3[[#This Row],[Column2]:[Column18]])&gt;Table3[[#This Row],[Column19]],Table3[[#This Row],[Column19]],SUM(Table3[[#This Row],[Column2]:[Column18]]))</f>
        <v>10000</v>
      </c>
      <c r="BD912" s="2">
        <f>Table3[[#This Row],[Total Spend]]/SUM(Table3[[#This Row],[Column2]:[Column18]])</f>
        <v>7.2859744990892539E-2</v>
      </c>
    </row>
    <row r="913" spans="1:56">
      <c r="A913" s="84" t="s">
        <v>987</v>
      </c>
      <c r="B913" s="84"/>
      <c r="C913" s="84"/>
      <c r="D913" s="85">
        <v>45566</v>
      </c>
      <c r="E913" s="85" t="s">
        <v>92</v>
      </c>
      <c r="F913" s="84">
        <f>INDEX(Definitions!$G$13:$G$17,MATCH(Table3[[#This Row],[Propensity to buy/ buyer readiness]],Definitions!$A$13:$A$17,0))</f>
        <v>50000</v>
      </c>
      <c r="G913" s="86">
        <v>4</v>
      </c>
      <c r="H913" s="86">
        <v>3</v>
      </c>
      <c r="I913" s="86">
        <v>3</v>
      </c>
      <c r="J913" s="86">
        <v>3</v>
      </c>
      <c r="K913" s="86">
        <v>3</v>
      </c>
      <c r="L913" s="86">
        <f>SUM(Table3[[#This Row],[Strategic priority segment]:[Propensity to buy/ buyer readiness]])</f>
        <v>16</v>
      </c>
      <c r="M913" s="86" t="s">
        <v>191</v>
      </c>
      <c r="N913" s="84" t="s">
        <v>76</v>
      </c>
      <c r="O913" s="84" t="s">
        <v>135</v>
      </c>
      <c r="P913" s="84"/>
      <c r="Q913" s="84"/>
      <c r="R913" s="84"/>
      <c r="S913" s="87"/>
      <c r="T913" s="87"/>
      <c r="U913" s="84">
        <v>0</v>
      </c>
      <c r="V913" s="84">
        <v>0</v>
      </c>
      <c r="W913" s="84">
        <v>0</v>
      </c>
      <c r="X913" s="84">
        <v>0</v>
      </c>
      <c r="Y913" s="84">
        <v>0</v>
      </c>
      <c r="Z913" s="84">
        <v>0</v>
      </c>
      <c r="AA913" s="84">
        <v>0</v>
      </c>
      <c r="AB913" s="84">
        <v>0</v>
      </c>
      <c r="AC913" s="84">
        <v>0</v>
      </c>
      <c r="AD913" s="84">
        <v>0</v>
      </c>
      <c r="AE913" s="84">
        <v>0</v>
      </c>
      <c r="AF913" s="84">
        <v>0</v>
      </c>
      <c r="AG913" s="84">
        <v>0</v>
      </c>
      <c r="AH913" s="84">
        <v>1</v>
      </c>
      <c r="AI913" s="84">
        <v>1</v>
      </c>
      <c r="AJ913" s="84">
        <v>1</v>
      </c>
      <c r="AK913" s="84">
        <v>1</v>
      </c>
      <c r="AL913" s="84" cm="1">
        <f t="array" ref="AL9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13" s="84" cm="1">
        <f t="array" ref="AM9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3" s="84" cm="1">
        <f t="array" ref="AN9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13" s="84" cm="1">
        <f t="array" ref="AO9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3" s="84" cm="1">
        <f t="array" ref="AP9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3" s="84" cm="1">
        <f t="array" ref="AQ9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3" s="84" cm="1">
        <f t="array" ref="AR9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3" s="84" cm="1">
        <f t="array" ref="AS9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3" s="84" cm="1">
        <f t="array" ref="AT9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3" s="84" cm="1">
        <f t="array" ref="AU9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3" s="84" cm="1">
        <f t="array" ref="AV9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3" s="84" cm="1">
        <f t="array" ref="AW9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3" s="84" cm="1">
        <f t="array" ref="AX9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3" s="84" cm="1">
        <f t="array" ref="AY9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13" s="84" cm="1">
        <f t="array" ref="AZ9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13" s="84" cm="1">
        <f t="array" ref="BA9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13" s="84" cm="1">
        <f t="array" ref="BB9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13" s="84">
        <f>IF(SUM(Table3[[#This Row],[Column2]:[Column18]])&gt;Table3[[#This Row],[Column19]],Table3[[#This Row],[Column19]],SUM(Table3[[#This Row],[Column2]:[Column18]]))</f>
        <v>46350</v>
      </c>
      <c r="BD913" s="2">
        <f>Table3[[#This Row],[Total Spend]]/SUM(Table3[[#This Row],[Column2]:[Column18]])</f>
        <v>1</v>
      </c>
    </row>
    <row r="914" spans="1:56">
      <c r="A914" s="84" t="s">
        <v>988</v>
      </c>
      <c r="B914" s="84" t="s">
        <v>57</v>
      </c>
      <c r="C914" s="84"/>
      <c r="D914" s="85">
        <v>45566</v>
      </c>
      <c r="E914" s="85" t="s">
        <v>92</v>
      </c>
      <c r="F914" s="84">
        <f>INDEX(Definitions!$G$13:$G$17,MATCH(Table3[[#This Row],[Propensity to buy/ buyer readiness]],Definitions!$A$13:$A$17,0))</f>
        <v>10000</v>
      </c>
      <c r="G914" s="86">
        <v>3</v>
      </c>
      <c r="H914" s="86">
        <v>3</v>
      </c>
      <c r="I914" s="86">
        <v>4</v>
      </c>
      <c r="J914" s="86">
        <v>4</v>
      </c>
      <c r="K914" s="86">
        <v>2</v>
      </c>
      <c r="L914" s="86">
        <f>SUM(Table3[[#This Row],[Strategic priority segment]:[Propensity to buy/ buyer readiness]])</f>
        <v>16</v>
      </c>
      <c r="M914" s="86" t="s">
        <v>59</v>
      </c>
      <c r="N914" s="84" t="s">
        <v>265</v>
      </c>
      <c r="O914" s="84"/>
      <c r="P914" s="87"/>
      <c r="Q914" s="87"/>
      <c r="R914" s="84"/>
      <c r="S914" s="87"/>
      <c r="T914" s="87"/>
      <c r="U914" s="84">
        <v>1</v>
      </c>
      <c r="V914" s="84">
        <v>1</v>
      </c>
      <c r="W914" s="84">
        <v>1</v>
      </c>
      <c r="X914" s="84">
        <v>1</v>
      </c>
      <c r="Y914" s="84">
        <v>0</v>
      </c>
      <c r="Z914" s="84">
        <v>0</v>
      </c>
      <c r="AA914" s="84">
        <v>0</v>
      </c>
      <c r="AB914" s="84">
        <v>0</v>
      </c>
      <c r="AC914" s="84">
        <v>0</v>
      </c>
      <c r="AD914" s="84">
        <v>0</v>
      </c>
      <c r="AE914" s="84">
        <v>0</v>
      </c>
      <c r="AF914" s="84">
        <v>0</v>
      </c>
      <c r="AG914" s="84">
        <v>0</v>
      </c>
      <c r="AH914" s="84">
        <v>0</v>
      </c>
      <c r="AI914" s="84">
        <v>1</v>
      </c>
      <c r="AJ914" s="84">
        <v>0</v>
      </c>
      <c r="AK914" s="84">
        <v>0</v>
      </c>
      <c r="AL914" s="84" cm="1">
        <f t="array" ref="AL9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14" s="84" cm="1">
        <f t="array" ref="AM9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14" s="84" cm="1">
        <f t="array" ref="AN9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14" s="84" cm="1">
        <f t="array" ref="AO9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14" s="84" cm="1">
        <f t="array" ref="AP9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4" s="84" cm="1">
        <f t="array" ref="AQ9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4" s="84" cm="1">
        <f t="array" ref="AR9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4" s="84" cm="1">
        <f t="array" ref="AS9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4" s="84" cm="1">
        <f t="array" ref="AT9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4" s="84" cm="1">
        <f t="array" ref="AU9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4" s="84" cm="1">
        <f t="array" ref="AV9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4" s="84" cm="1">
        <f t="array" ref="AW9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4" s="84" cm="1">
        <f t="array" ref="AX9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4" s="84" cm="1">
        <f t="array" ref="AY9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4" s="84" cm="1">
        <f t="array" ref="AZ9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14" s="84" cm="1">
        <f t="array" ref="BA9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4" s="84" cm="1">
        <f t="array" ref="BB9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4" s="84">
        <f>IF(SUM(Table3[[#This Row],[Column2]:[Column18]])&gt;Table3[[#This Row],[Column19]],Table3[[#This Row],[Column19]],SUM(Table3[[#This Row],[Column2]:[Column18]]))</f>
        <v>10000</v>
      </c>
      <c r="BD914" s="2">
        <f>Table3[[#This Row],[Total Spend]]/SUM(Table3[[#This Row],[Column2]:[Column18]])</f>
        <v>7.2859744990892539E-2</v>
      </c>
    </row>
    <row r="915" spans="1:56">
      <c r="A915" s="84" t="s">
        <v>989</v>
      </c>
      <c r="B915" s="84" t="s">
        <v>57</v>
      </c>
      <c r="C915" s="84"/>
      <c r="D915" s="85">
        <v>45566</v>
      </c>
      <c r="E915" s="85" t="s">
        <v>92</v>
      </c>
      <c r="F915" s="84">
        <f>INDEX(Definitions!$G$13:$G$17,MATCH(Table3[[#This Row],[Propensity to buy/ buyer readiness]],Definitions!$A$13:$A$17,0))</f>
        <v>10000</v>
      </c>
      <c r="G915" s="86">
        <v>3</v>
      </c>
      <c r="H915" s="86">
        <v>3</v>
      </c>
      <c r="I915" s="86">
        <v>4</v>
      </c>
      <c r="J915" s="86">
        <v>4</v>
      </c>
      <c r="K915" s="86">
        <v>2</v>
      </c>
      <c r="L915" s="86">
        <f>SUM(Table3[[#This Row],[Strategic priority segment]:[Propensity to buy/ buyer readiness]])</f>
        <v>16</v>
      </c>
      <c r="M915" s="86" t="s">
        <v>59</v>
      </c>
      <c r="N915" s="84" t="s">
        <v>265</v>
      </c>
      <c r="O915" s="84"/>
      <c r="P915" s="87"/>
      <c r="Q915" s="87"/>
      <c r="R915" s="84"/>
      <c r="S915" s="87"/>
      <c r="T915" s="87"/>
      <c r="U915" s="84">
        <v>1</v>
      </c>
      <c r="V915" s="84">
        <v>1</v>
      </c>
      <c r="W915" s="84">
        <v>1</v>
      </c>
      <c r="X915" s="84">
        <v>1</v>
      </c>
      <c r="Y915" s="84">
        <v>0</v>
      </c>
      <c r="Z915" s="84">
        <v>0</v>
      </c>
      <c r="AA915" s="84">
        <v>0</v>
      </c>
      <c r="AB915" s="84">
        <v>0</v>
      </c>
      <c r="AC915" s="84">
        <v>0</v>
      </c>
      <c r="AD915" s="84">
        <v>0</v>
      </c>
      <c r="AE915" s="84">
        <v>0</v>
      </c>
      <c r="AF915" s="84">
        <v>0</v>
      </c>
      <c r="AG915" s="84">
        <v>0</v>
      </c>
      <c r="AH915" s="84">
        <v>0</v>
      </c>
      <c r="AI915" s="84">
        <v>1</v>
      </c>
      <c r="AJ915" s="84">
        <v>0</v>
      </c>
      <c r="AK915" s="84">
        <v>0</v>
      </c>
      <c r="AL915" s="84" cm="1">
        <f t="array" ref="AL9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15" s="84" cm="1">
        <f t="array" ref="AM9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15" s="84" cm="1">
        <f t="array" ref="AN9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15" s="84" cm="1">
        <f t="array" ref="AO9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15" s="84" cm="1">
        <f t="array" ref="AP9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5" s="84" cm="1">
        <f t="array" ref="AQ9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5" s="84" cm="1">
        <f t="array" ref="AR9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5" s="84" cm="1">
        <f t="array" ref="AS9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5" s="84" cm="1">
        <f t="array" ref="AT9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5" s="84" cm="1">
        <f t="array" ref="AU9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5" s="84" cm="1">
        <f t="array" ref="AV9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5" s="84" cm="1">
        <f t="array" ref="AW9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5" s="84" cm="1">
        <f t="array" ref="AX9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5" s="84" cm="1">
        <f t="array" ref="AY9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5" s="84" cm="1">
        <f t="array" ref="AZ9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15" s="84" cm="1">
        <f t="array" ref="BA9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5" s="84" cm="1">
        <f t="array" ref="BB9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5" s="84">
        <f>IF(SUM(Table3[[#This Row],[Column2]:[Column18]])&gt;Table3[[#This Row],[Column19]],Table3[[#This Row],[Column19]],SUM(Table3[[#This Row],[Column2]:[Column18]]))</f>
        <v>10000</v>
      </c>
      <c r="BD915" s="2">
        <f>Table3[[#This Row],[Total Spend]]/SUM(Table3[[#This Row],[Column2]:[Column18]])</f>
        <v>7.2859744990892539E-2</v>
      </c>
    </row>
    <row r="916" spans="1:56">
      <c r="A916" s="84" t="s">
        <v>990</v>
      </c>
      <c r="B916" s="84"/>
      <c r="C916" s="84"/>
      <c r="D916" s="85">
        <v>45566</v>
      </c>
      <c r="E916" s="85" t="s">
        <v>92</v>
      </c>
      <c r="F916" s="84">
        <f>INDEX(Definitions!$G$13:$G$17,MATCH(Table3[[#This Row],[Propensity to buy/ buyer readiness]],Definitions!$A$13:$A$17,0))</f>
        <v>50000</v>
      </c>
      <c r="G916" s="86">
        <v>4</v>
      </c>
      <c r="H916" s="86">
        <v>3</v>
      </c>
      <c r="I916" s="86">
        <v>3</v>
      </c>
      <c r="J916" s="86">
        <v>3</v>
      </c>
      <c r="K916" s="86">
        <v>3</v>
      </c>
      <c r="L916" s="86">
        <f>SUM(Table3[[#This Row],[Strategic priority segment]:[Propensity to buy/ buyer readiness]])</f>
        <v>16</v>
      </c>
      <c r="M916" s="86" t="s">
        <v>191</v>
      </c>
      <c r="N916" s="84" t="s">
        <v>76</v>
      </c>
      <c r="O916" s="84" t="s">
        <v>135</v>
      </c>
      <c r="P916" s="84"/>
      <c r="Q916" s="84"/>
      <c r="R916" s="84"/>
      <c r="S916" s="87"/>
      <c r="T916" s="87"/>
      <c r="U916" s="84">
        <v>0</v>
      </c>
      <c r="V916" s="84">
        <v>0</v>
      </c>
      <c r="W916" s="84">
        <v>0</v>
      </c>
      <c r="X916" s="84">
        <v>0</v>
      </c>
      <c r="Y916" s="84">
        <v>0</v>
      </c>
      <c r="Z916" s="84">
        <v>0</v>
      </c>
      <c r="AA916" s="84">
        <v>0</v>
      </c>
      <c r="AB916" s="84">
        <v>0</v>
      </c>
      <c r="AC916" s="84">
        <v>0</v>
      </c>
      <c r="AD916" s="84">
        <v>0</v>
      </c>
      <c r="AE916" s="84">
        <v>0</v>
      </c>
      <c r="AF916" s="84">
        <v>0</v>
      </c>
      <c r="AG916" s="84">
        <v>0</v>
      </c>
      <c r="AH916" s="84">
        <v>1</v>
      </c>
      <c r="AI916" s="84">
        <v>1</v>
      </c>
      <c r="AJ916" s="84">
        <v>1</v>
      </c>
      <c r="AK916" s="84">
        <v>1</v>
      </c>
      <c r="AL916" s="84" cm="1">
        <f t="array" ref="AL9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16" s="84" cm="1">
        <f t="array" ref="AM9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6" s="84" cm="1">
        <f t="array" ref="AN9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16" s="84" cm="1">
        <f t="array" ref="AO9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6" s="84" cm="1">
        <f t="array" ref="AP9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6" s="84" cm="1">
        <f t="array" ref="AQ9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6" s="84" cm="1">
        <f t="array" ref="AR9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6" s="84" cm="1">
        <f t="array" ref="AS9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6" s="84" cm="1">
        <f t="array" ref="AT9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6" s="84" cm="1">
        <f t="array" ref="AU9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6" s="84" cm="1">
        <f t="array" ref="AV9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6" s="84" cm="1">
        <f t="array" ref="AW9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6" s="84" cm="1">
        <f t="array" ref="AX9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6" s="84" cm="1">
        <f t="array" ref="AY9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16" s="84" cm="1">
        <f t="array" ref="AZ9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16" s="84" cm="1">
        <f t="array" ref="BA9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16" s="84" cm="1">
        <f t="array" ref="BB9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16" s="84">
        <f>IF(SUM(Table3[[#This Row],[Column2]:[Column18]])&gt;Table3[[#This Row],[Column19]],Table3[[#This Row],[Column19]],SUM(Table3[[#This Row],[Column2]:[Column18]]))</f>
        <v>46350</v>
      </c>
      <c r="BD916" s="2">
        <f>Table3[[#This Row],[Total Spend]]/SUM(Table3[[#This Row],[Column2]:[Column18]])</f>
        <v>1</v>
      </c>
    </row>
    <row r="917" spans="1:56">
      <c r="A917" s="84" t="s">
        <v>991</v>
      </c>
      <c r="B917" s="84"/>
      <c r="C917" s="84" t="s">
        <v>57</v>
      </c>
      <c r="D917" s="85">
        <v>45566</v>
      </c>
      <c r="E917" s="85" t="s">
        <v>58</v>
      </c>
      <c r="F917" s="84">
        <f>INDEX(Definitions!$G$13:$G$17,MATCH(Table3[[#This Row],[Propensity to buy/ buyer readiness]],Definitions!$A$13:$A$17,0))</f>
        <v>50000</v>
      </c>
      <c r="G917" s="86">
        <v>3</v>
      </c>
      <c r="H917" s="86">
        <v>3</v>
      </c>
      <c r="I917" s="86">
        <v>4</v>
      </c>
      <c r="J917" s="86">
        <v>3</v>
      </c>
      <c r="K917" s="86">
        <v>3</v>
      </c>
      <c r="L917" s="86">
        <f>SUM(Table3[[#This Row],[Strategic priority segment]:[Propensity to buy/ buyer readiness]])</f>
        <v>16</v>
      </c>
      <c r="M917" s="86" t="s">
        <v>152</v>
      </c>
      <c r="N917" s="84" t="s">
        <v>264</v>
      </c>
      <c r="O917" s="84"/>
      <c r="P917" s="84"/>
      <c r="Q917" s="84"/>
      <c r="R917" s="84"/>
      <c r="S917" s="87"/>
      <c r="T917" s="87"/>
      <c r="U917" s="84">
        <v>1</v>
      </c>
      <c r="V917" s="84">
        <v>0</v>
      </c>
      <c r="W917" s="84">
        <v>0</v>
      </c>
      <c r="X917" s="84">
        <v>0</v>
      </c>
      <c r="Y917" s="84">
        <v>0</v>
      </c>
      <c r="Z917" s="84">
        <v>0</v>
      </c>
      <c r="AA917" s="84">
        <v>0</v>
      </c>
      <c r="AB917" s="84">
        <v>0</v>
      </c>
      <c r="AC917" s="84">
        <v>0</v>
      </c>
      <c r="AD917" s="84">
        <v>0</v>
      </c>
      <c r="AE917" s="84">
        <v>0</v>
      </c>
      <c r="AF917" s="84">
        <v>0</v>
      </c>
      <c r="AG917" s="84">
        <v>0</v>
      </c>
      <c r="AH917" s="84">
        <v>0</v>
      </c>
      <c r="AI917" s="84">
        <v>0</v>
      </c>
      <c r="AJ917" s="84">
        <v>0</v>
      </c>
      <c r="AK917" s="84">
        <v>0</v>
      </c>
      <c r="AL917" s="84" cm="1">
        <f t="array" ref="AL9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17" s="84" cm="1">
        <f t="array" ref="AM9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7" s="84" cm="1">
        <f t="array" ref="AN9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17" s="84" cm="1">
        <f t="array" ref="AO9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7" s="84" cm="1">
        <f t="array" ref="AP9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7" s="84" cm="1">
        <f t="array" ref="AQ9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7" s="84" cm="1">
        <f t="array" ref="AR9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7" s="84" cm="1">
        <f t="array" ref="AS9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7" s="84" cm="1">
        <f t="array" ref="AT9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7" s="84" cm="1">
        <f t="array" ref="AU9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7" s="84" cm="1">
        <f t="array" ref="AV9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7" s="84" cm="1">
        <f t="array" ref="AW9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7" s="84" cm="1">
        <f t="array" ref="AX9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7" s="84" cm="1">
        <f t="array" ref="AY9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7" s="84" cm="1">
        <f t="array" ref="AZ9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17" s="84" cm="1">
        <f t="array" ref="BA9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7" s="84" cm="1">
        <f t="array" ref="BB9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7" s="84">
        <f>IF(SUM(Table3[[#This Row],[Column2]:[Column18]])&gt;Table3[[#This Row],[Column19]],Table3[[#This Row],[Column19]],SUM(Table3[[#This Row],[Column2]:[Column18]]))</f>
        <v>10800</v>
      </c>
      <c r="BD917" s="2">
        <f>Table3[[#This Row],[Total Spend]]/SUM(Table3[[#This Row],[Column2]:[Column18]])</f>
        <v>1</v>
      </c>
    </row>
    <row r="918" spans="1:56">
      <c r="A918" s="84" t="s">
        <v>992</v>
      </c>
      <c r="B918" s="84"/>
      <c r="C918" s="84"/>
      <c r="D918" s="85">
        <v>45566</v>
      </c>
      <c r="E918" s="85" t="s">
        <v>92</v>
      </c>
      <c r="F918" s="84">
        <f>INDEX(Definitions!$G$13:$G$17,MATCH(Table3[[#This Row],[Propensity to buy/ buyer readiness]],Definitions!$A$13:$A$17,0))</f>
        <v>50000</v>
      </c>
      <c r="G918" s="86">
        <v>4</v>
      </c>
      <c r="H918" s="86">
        <v>3</v>
      </c>
      <c r="I918" s="86">
        <v>3</v>
      </c>
      <c r="J918" s="86">
        <v>3</v>
      </c>
      <c r="K918" s="86">
        <v>3</v>
      </c>
      <c r="L918" s="86">
        <f>SUM(Table3[[#This Row],[Strategic priority segment]:[Propensity to buy/ buyer readiness]])</f>
        <v>16</v>
      </c>
      <c r="M918" s="86" t="s">
        <v>59</v>
      </c>
      <c r="N918" s="84" t="s">
        <v>63</v>
      </c>
      <c r="O918" s="87"/>
      <c r="P918" s="87"/>
      <c r="Q918" s="87"/>
      <c r="R918" s="87"/>
      <c r="S918" s="87"/>
      <c r="T918" s="87"/>
      <c r="U918" s="84">
        <v>1</v>
      </c>
      <c r="V918" s="84">
        <v>0</v>
      </c>
      <c r="W918" s="84">
        <v>1</v>
      </c>
      <c r="X918" s="84">
        <v>0</v>
      </c>
      <c r="Y918" s="84">
        <v>0</v>
      </c>
      <c r="Z918" s="84">
        <v>0</v>
      </c>
      <c r="AA918" s="84">
        <v>1</v>
      </c>
      <c r="AB918" s="84">
        <v>0</v>
      </c>
      <c r="AC918" s="84">
        <v>0</v>
      </c>
      <c r="AD918" s="84">
        <v>1</v>
      </c>
      <c r="AE918" s="84">
        <v>1</v>
      </c>
      <c r="AF918" s="84">
        <v>1</v>
      </c>
      <c r="AG918" s="84">
        <v>0</v>
      </c>
      <c r="AH918" s="84">
        <v>0</v>
      </c>
      <c r="AI918" s="84">
        <v>0</v>
      </c>
      <c r="AJ918" s="84">
        <v>0</v>
      </c>
      <c r="AK918" s="84">
        <v>0</v>
      </c>
      <c r="AL918" s="84" cm="1">
        <f t="array" ref="AL9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18" s="84" cm="1">
        <f t="array" ref="AM9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8" s="84" cm="1">
        <f t="array" ref="AN9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18" s="84" cm="1">
        <f t="array" ref="AO9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8" s="84" cm="1">
        <f t="array" ref="AP9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8" s="84" cm="1">
        <f t="array" ref="AQ9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8" s="84" cm="1">
        <f t="array" ref="AR9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918" s="84" cm="1">
        <f t="array" ref="AS9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8" s="84" cm="1">
        <f t="array" ref="AT9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8" s="84" cm="1">
        <f t="array" ref="AU9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18" s="84" cm="1">
        <f t="array" ref="AV9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918" s="84" cm="1">
        <f t="array" ref="AW9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18" s="84" cm="1">
        <f t="array" ref="AX9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8" s="84" cm="1">
        <f t="array" ref="AY9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8" s="84" cm="1">
        <f t="array" ref="AZ9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18" s="84" cm="1">
        <f t="array" ref="BA9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8" s="84" cm="1">
        <f t="array" ref="BB9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8" s="84">
        <f>IF(SUM(Table3[[#This Row],[Column2]:[Column18]])&gt;Table3[[#This Row],[Column19]],Table3[[#This Row],[Column19]],SUM(Table3[[#This Row],[Column2]:[Column18]]))</f>
        <v>50000</v>
      </c>
      <c r="BD918" s="2">
        <f>Table3[[#This Row],[Total Spend]]/SUM(Table3[[#This Row],[Column2]:[Column18]])</f>
        <v>0.36429872495446264</v>
      </c>
    </row>
    <row r="919" spans="1:56">
      <c r="A919" s="84" t="s">
        <v>993</v>
      </c>
      <c r="B919" s="84" t="s">
        <v>57</v>
      </c>
      <c r="C919" s="84"/>
      <c r="D919" s="85">
        <v>45566</v>
      </c>
      <c r="E919" s="85" t="s">
        <v>58</v>
      </c>
      <c r="F919" s="84">
        <f>INDEX(Definitions!$G$13:$G$17,MATCH(Table3[[#This Row],[Propensity to buy/ buyer readiness]],Definitions!$A$13:$A$17,0))</f>
        <v>50000</v>
      </c>
      <c r="G919" s="86">
        <v>3</v>
      </c>
      <c r="H919" s="86">
        <v>3</v>
      </c>
      <c r="I919" s="86">
        <v>4</v>
      </c>
      <c r="J919" s="86">
        <v>3</v>
      </c>
      <c r="K919" s="86">
        <v>3</v>
      </c>
      <c r="L919" s="86">
        <f>SUM(Table3[[#This Row],[Strategic priority segment]:[Propensity to buy/ buyer readiness]])</f>
        <v>16</v>
      </c>
      <c r="M919" s="86" t="s">
        <v>152</v>
      </c>
      <c r="N919" s="84" t="s">
        <v>264</v>
      </c>
      <c r="O919" s="84"/>
      <c r="P919" s="87"/>
      <c r="Q919" s="87"/>
      <c r="R919" s="84"/>
      <c r="S919" s="87"/>
      <c r="T919" s="87"/>
      <c r="U919" s="84">
        <v>1</v>
      </c>
      <c r="V919" s="84">
        <v>0</v>
      </c>
      <c r="W919" s="84">
        <v>0</v>
      </c>
      <c r="X919" s="84">
        <v>0</v>
      </c>
      <c r="Y919" s="84">
        <v>0</v>
      </c>
      <c r="Z919" s="84">
        <v>0</v>
      </c>
      <c r="AA919" s="84">
        <v>0</v>
      </c>
      <c r="AB919" s="84">
        <v>0</v>
      </c>
      <c r="AC919" s="84">
        <v>0</v>
      </c>
      <c r="AD919" s="84">
        <v>0</v>
      </c>
      <c r="AE919" s="84">
        <v>0</v>
      </c>
      <c r="AF919" s="84">
        <v>0</v>
      </c>
      <c r="AG919" s="84">
        <v>0</v>
      </c>
      <c r="AH919" s="84">
        <v>0</v>
      </c>
      <c r="AI919" s="84">
        <v>0</v>
      </c>
      <c r="AJ919" s="84">
        <v>0</v>
      </c>
      <c r="AK919" s="84">
        <v>0</v>
      </c>
      <c r="AL919" s="84" cm="1">
        <f t="array" ref="AL9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19" s="84" cm="1">
        <f t="array" ref="AM9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19" s="84" cm="1">
        <f t="array" ref="AN9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19" s="84" cm="1">
        <f t="array" ref="AO9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19" s="84" cm="1">
        <f t="array" ref="AP9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19" s="84" cm="1">
        <f t="array" ref="AQ9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19" s="84" cm="1">
        <f t="array" ref="AR9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19" s="84" cm="1">
        <f t="array" ref="AS9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19" s="84" cm="1">
        <f t="array" ref="AT9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19" s="84" cm="1">
        <f t="array" ref="AU9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19" s="84" cm="1">
        <f t="array" ref="AV9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19" s="84" cm="1">
        <f t="array" ref="AW9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19" s="84" cm="1">
        <f t="array" ref="AX9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19" s="84" cm="1">
        <f t="array" ref="AY9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19" s="84" cm="1">
        <f t="array" ref="AZ9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19" s="84" cm="1">
        <f t="array" ref="BA9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19" s="84" cm="1">
        <f t="array" ref="BB9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19" s="84">
        <f>IF(SUM(Table3[[#This Row],[Column2]:[Column18]])&gt;Table3[[#This Row],[Column19]],Table3[[#This Row],[Column19]],SUM(Table3[[#This Row],[Column2]:[Column18]]))</f>
        <v>10800</v>
      </c>
      <c r="BD919" s="2">
        <f>Table3[[#This Row],[Total Spend]]/SUM(Table3[[#This Row],[Column2]:[Column18]])</f>
        <v>1</v>
      </c>
    </row>
    <row r="920" spans="1:56">
      <c r="A920" s="84" t="s">
        <v>994</v>
      </c>
      <c r="B920" s="84"/>
      <c r="C920" s="84"/>
      <c r="D920" s="85">
        <v>45566</v>
      </c>
      <c r="E920" s="85" t="s">
        <v>58</v>
      </c>
      <c r="F920" s="84">
        <f>INDEX(Definitions!$G$13:$G$17,MATCH(Table3[[#This Row],[Propensity to buy/ buyer readiness]],Definitions!$A$13:$A$17,0))</f>
        <v>50000</v>
      </c>
      <c r="G920" s="86">
        <v>3</v>
      </c>
      <c r="H920" s="86">
        <v>3</v>
      </c>
      <c r="I920" s="86">
        <v>3</v>
      </c>
      <c r="J920" s="86">
        <v>4</v>
      </c>
      <c r="K920" s="86">
        <v>3</v>
      </c>
      <c r="L920" s="86">
        <f>SUM(Table3[[#This Row],[Strategic priority segment]:[Propensity to buy/ buyer readiness]])</f>
        <v>16</v>
      </c>
      <c r="M920" s="86" t="s">
        <v>59</v>
      </c>
      <c r="N920" s="84" t="s">
        <v>265</v>
      </c>
      <c r="O920" s="84"/>
      <c r="P920" s="87"/>
      <c r="Q920" s="87"/>
      <c r="R920" s="84"/>
      <c r="S920" s="87"/>
      <c r="T920" s="87"/>
      <c r="U920" s="84">
        <v>1</v>
      </c>
      <c r="V920" s="84">
        <v>1</v>
      </c>
      <c r="W920" s="84">
        <v>1</v>
      </c>
      <c r="X920" s="84">
        <v>1</v>
      </c>
      <c r="Y920" s="84">
        <v>0</v>
      </c>
      <c r="Z920" s="84">
        <v>0</v>
      </c>
      <c r="AA920" s="84">
        <v>0</v>
      </c>
      <c r="AB920" s="84">
        <v>0</v>
      </c>
      <c r="AC920" s="84">
        <v>0</v>
      </c>
      <c r="AD920" s="84">
        <v>0</v>
      </c>
      <c r="AE920" s="84">
        <v>0</v>
      </c>
      <c r="AF920" s="84">
        <v>0</v>
      </c>
      <c r="AG920" s="84">
        <v>0</v>
      </c>
      <c r="AH920" s="84">
        <v>0</v>
      </c>
      <c r="AI920" s="84">
        <v>1</v>
      </c>
      <c r="AJ920" s="84">
        <v>0</v>
      </c>
      <c r="AK920" s="84">
        <v>0</v>
      </c>
      <c r="AL920" s="84" cm="1">
        <f t="array" ref="AL9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20" s="84" cm="1">
        <f t="array" ref="AM9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920" s="84" cm="1">
        <f t="array" ref="AN9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920" s="84" cm="1">
        <f t="array" ref="AO9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920" s="84" cm="1">
        <f t="array" ref="AP9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0" s="84" cm="1">
        <f t="array" ref="AQ9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20" s="84" cm="1">
        <f t="array" ref="AR9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0" s="84" cm="1">
        <f t="array" ref="AS9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20" s="84" cm="1">
        <f t="array" ref="AT9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0" s="84" cm="1">
        <f t="array" ref="AU9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20" s="84" cm="1">
        <f t="array" ref="AV9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0" s="84" cm="1">
        <f t="array" ref="AW9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20" s="84" cm="1">
        <f t="array" ref="AX9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0" s="84" cm="1">
        <f t="array" ref="AY9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0" s="84" cm="1">
        <f t="array" ref="AZ9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920" s="84" cm="1">
        <f t="array" ref="BA9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0" s="84" cm="1">
        <f t="array" ref="BB9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0" s="84">
        <f>IF(SUM(Table3[[#This Row],[Column2]:[Column18]])&gt;Table3[[#This Row],[Column19]],Table3[[#This Row],[Column19]],SUM(Table3[[#This Row],[Column2]:[Column18]]))</f>
        <v>50000</v>
      </c>
      <c r="BD920" s="2">
        <f>Table3[[#This Row],[Total Spend]]/SUM(Table3[[#This Row],[Column2]:[Column18]])</f>
        <v>0.26021337496747332</v>
      </c>
    </row>
    <row r="921" spans="1:56">
      <c r="A921" s="84" t="s">
        <v>995</v>
      </c>
      <c r="B921" s="84"/>
      <c r="C921" s="84"/>
      <c r="D921" s="85">
        <v>45566</v>
      </c>
      <c r="E921" s="85" t="s">
        <v>92</v>
      </c>
      <c r="F921" s="84">
        <f>INDEX(Definitions!$G$13:$G$17,MATCH(Table3[[#This Row],[Propensity to buy/ buyer readiness]],Definitions!$A$13:$A$17,0))</f>
        <v>50000</v>
      </c>
      <c r="G921" s="86">
        <v>4</v>
      </c>
      <c r="H921" s="86">
        <v>3</v>
      </c>
      <c r="I921" s="86">
        <v>3</v>
      </c>
      <c r="J921" s="86">
        <v>3</v>
      </c>
      <c r="K921" s="86">
        <v>3</v>
      </c>
      <c r="L921" s="86">
        <f>SUM(Table3[[#This Row],[Strategic priority segment]:[Propensity to buy/ buyer readiness]])</f>
        <v>16</v>
      </c>
      <c r="M921" s="86" t="s">
        <v>191</v>
      </c>
      <c r="N921" s="84" t="s">
        <v>76</v>
      </c>
      <c r="O921" s="84" t="s">
        <v>135</v>
      </c>
      <c r="P921" s="84"/>
      <c r="Q921" s="84"/>
      <c r="R921" s="84"/>
      <c r="S921" s="87"/>
      <c r="T921" s="87"/>
      <c r="U921" s="84">
        <v>0</v>
      </c>
      <c r="V921" s="84">
        <v>0</v>
      </c>
      <c r="W921" s="84">
        <v>0</v>
      </c>
      <c r="X921" s="84">
        <v>0</v>
      </c>
      <c r="Y921" s="84">
        <v>0</v>
      </c>
      <c r="Z921" s="84">
        <v>0</v>
      </c>
      <c r="AA921" s="84">
        <v>0</v>
      </c>
      <c r="AB921" s="84">
        <v>0</v>
      </c>
      <c r="AC921" s="84">
        <v>0</v>
      </c>
      <c r="AD921" s="84">
        <v>0</v>
      </c>
      <c r="AE921" s="84">
        <v>0</v>
      </c>
      <c r="AF921" s="84">
        <v>0</v>
      </c>
      <c r="AG921" s="84">
        <v>0</v>
      </c>
      <c r="AH921" s="84">
        <v>1</v>
      </c>
      <c r="AI921" s="84">
        <v>1</v>
      </c>
      <c r="AJ921" s="84">
        <v>1</v>
      </c>
      <c r="AK921" s="84">
        <v>1</v>
      </c>
      <c r="AL921" s="84" cm="1">
        <f t="array" ref="AL9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21" s="84" cm="1">
        <f t="array" ref="AM9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1" s="84" cm="1">
        <f t="array" ref="AN9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1" s="84" cm="1">
        <f t="array" ref="AO9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1" s="84" cm="1">
        <f t="array" ref="AP9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1" s="84" cm="1">
        <f t="array" ref="AQ9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21" s="84" cm="1">
        <f t="array" ref="AR9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1" s="84" cm="1">
        <f t="array" ref="AS9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21" s="84" cm="1">
        <f t="array" ref="AT9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1" s="84" cm="1">
        <f t="array" ref="AU9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21" s="84" cm="1">
        <f t="array" ref="AV9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1" s="84" cm="1">
        <f t="array" ref="AW9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21" s="84" cm="1">
        <f t="array" ref="AX9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1" s="84" cm="1">
        <f t="array" ref="AY9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21" s="84" cm="1">
        <f t="array" ref="AZ9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21" s="84" cm="1">
        <f t="array" ref="BA9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21" s="84" cm="1">
        <f t="array" ref="BB9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21" s="84">
        <f>IF(SUM(Table3[[#This Row],[Column2]:[Column18]])&gt;Table3[[#This Row],[Column19]],Table3[[#This Row],[Column19]],SUM(Table3[[#This Row],[Column2]:[Column18]]))</f>
        <v>46350</v>
      </c>
      <c r="BD921" s="2">
        <f>Table3[[#This Row],[Total Spend]]/SUM(Table3[[#This Row],[Column2]:[Column18]])</f>
        <v>1</v>
      </c>
    </row>
    <row r="922" spans="1:56">
      <c r="A922" s="84" t="s">
        <v>996</v>
      </c>
      <c r="B922" s="84"/>
      <c r="C922" s="84" t="s">
        <v>57</v>
      </c>
      <c r="D922" s="85">
        <v>45566</v>
      </c>
      <c r="E922" s="85" t="s">
        <v>92</v>
      </c>
      <c r="F922" s="84">
        <f>INDEX(Definitions!$G$13:$G$17,MATCH(Table3[[#This Row],[Propensity to buy/ buyer readiness]],Definitions!$A$13:$A$17,0))</f>
        <v>50000</v>
      </c>
      <c r="G922" s="86">
        <v>3</v>
      </c>
      <c r="H922" s="86">
        <v>3</v>
      </c>
      <c r="I922" s="86">
        <v>4</v>
      </c>
      <c r="J922" s="86">
        <v>3</v>
      </c>
      <c r="K922" s="86">
        <v>3</v>
      </c>
      <c r="L922" s="86">
        <f>SUM(Table3[[#This Row],[Strategic priority segment]:[Propensity to buy/ buyer readiness]])</f>
        <v>16</v>
      </c>
      <c r="M922" s="86" t="s">
        <v>152</v>
      </c>
      <c r="N922" s="84" t="s">
        <v>130</v>
      </c>
      <c r="O922" s="84"/>
      <c r="P922" s="87"/>
      <c r="Q922" s="87"/>
      <c r="R922" s="84"/>
      <c r="S922" s="87"/>
      <c r="T922" s="87"/>
      <c r="U922" s="84">
        <v>1</v>
      </c>
      <c r="V922" s="84">
        <v>0</v>
      </c>
      <c r="W922" s="84">
        <v>0</v>
      </c>
      <c r="X922" s="84">
        <v>0</v>
      </c>
      <c r="Y922" s="84">
        <v>0</v>
      </c>
      <c r="Z922" s="84">
        <v>0</v>
      </c>
      <c r="AA922" s="84">
        <v>0</v>
      </c>
      <c r="AB922" s="84">
        <v>0</v>
      </c>
      <c r="AC922" s="84">
        <v>0</v>
      </c>
      <c r="AD922" s="84">
        <v>0</v>
      </c>
      <c r="AE922" s="84">
        <v>0</v>
      </c>
      <c r="AF922" s="84">
        <v>0</v>
      </c>
      <c r="AG922" s="84">
        <v>0</v>
      </c>
      <c r="AH922" s="84">
        <v>0</v>
      </c>
      <c r="AI922" s="84">
        <v>0</v>
      </c>
      <c r="AJ922" s="84">
        <v>0</v>
      </c>
      <c r="AK922" s="84">
        <v>0</v>
      </c>
      <c r="AL922" s="84" cm="1">
        <f t="array" ref="AL9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22" s="84" cm="1">
        <f t="array" ref="AM9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2" s="84" cm="1">
        <f t="array" ref="AN9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2" s="84" cm="1">
        <f t="array" ref="AO9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2" s="84" cm="1">
        <f t="array" ref="AP9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2" s="84" cm="1">
        <f t="array" ref="AQ9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22" s="84" cm="1">
        <f t="array" ref="AR9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2" s="84" cm="1">
        <f t="array" ref="AS9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22" s="84" cm="1">
        <f t="array" ref="AT9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2" s="84" cm="1">
        <f t="array" ref="AU9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22" s="84" cm="1">
        <f t="array" ref="AV9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2" s="84" cm="1">
        <f t="array" ref="AW9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22" s="84" cm="1">
        <f t="array" ref="AX9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2" s="84" cm="1">
        <f t="array" ref="AY9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2" s="84" cm="1">
        <f t="array" ref="AZ9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2" s="84" cm="1">
        <f t="array" ref="BA9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2" s="84" cm="1">
        <f t="array" ref="BB9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2" s="84">
        <f>IF(SUM(Table3[[#This Row],[Column2]:[Column18]])&gt;Table3[[#This Row],[Column19]],Table3[[#This Row],[Column19]],SUM(Table3[[#This Row],[Column2]:[Column18]]))</f>
        <v>8100</v>
      </c>
      <c r="BD922" s="2">
        <f>Table3[[#This Row],[Total Spend]]/SUM(Table3[[#This Row],[Column2]:[Column18]])</f>
        <v>1</v>
      </c>
    </row>
    <row r="923" spans="1:56">
      <c r="A923" s="84" t="s">
        <v>997</v>
      </c>
      <c r="B923" s="84" t="s">
        <v>57</v>
      </c>
      <c r="C923" s="84"/>
      <c r="D923" s="85">
        <v>45566</v>
      </c>
      <c r="E923" s="85" t="s">
        <v>92</v>
      </c>
      <c r="F923" s="84">
        <f>INDEX(Definitions!$G$13:$G$17,MATCH(Table3[[#This Row],[Propensity to buy/ buyer readiness]],Definitions!$A$13:$A$17,0))</f>
        <v>10000</v>
      </c>
      <c r="G923" s="86">
        <v>3</v>
      </c>
      <c r="H923" s="86">
        <v>3</v>
      </c>
      <c r="I923" s="86">
        <v>4</v>
      </c>
      <c r="J923" s="86">
        <v>4</v>
      </c>
      <c r="K923" s="86">
        <v>2</v>
      </c>
      <c r="L923" s="86">
        <f>SUM(Table3[[#This Row],[Strategic priority segment]:[Propensity to buy/ buyer readiness]])</f>
        <v>16</v>
      </c>
      <c r="M923" s="86" t="s">
        <v>59</v>
      </c>
      <c r="N923" s="84" t="s">
        <v>265</v>
      </c>
      <c r="O923" s="84"/>
      <c r="P923" s="87"/>
      <c r="Q923" s="87"/>
      <c r="R923" s="84"/>
      <c r="S923" s="87"/>
      <c r="T923" s="87"/>
      <c r="U923" s="84">
        <v>1</v>
      </c>
      <c r="V923" s="84">
        <v>1</v>
      </c>
      <c r="W923" s="84">
        <v>1</v>
      </c>
      <c r="X923" s="84">
        <v>1</v>
      </c>
      <c r="Y923" s="84">
        <v>0</v>
      </c>
      <c r="Z923" s="84">
        <v>0</v>
      </c>
      <c r="AA923" s="84">
        <v>0</v>
      </c>
      <c r="AB923" s="84">
        <v>0</v>
      </c>
      <c r="AC923" s="84">
        <v>0</v>
      </c>
      <c r="AD923" s="84">
        <v>0</v>
      </c>
      <c r="AE923" s="84">
        <v>0</v>
      </c>
      <c r="AF923" s="84">
        <v>0</v>
      </c>
      <c r="AG923" s="84">
        <v>0</v>
      </c>
      <c r="AH923" s="84">
        <v>0</v>
      </c>
      <c r="AI923" s="84">
        <v>1</v>
      </c>
      <c r="AJ923" s="84">
        <v>0</v>
      </c>
      <c r="AK923" s="84">
        <v>0</v>
      </c>
      <c r="AL923" s="84" cm="1">
        <f t="array" ref="AL9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23" s="84" cm="1">
        <f t="array" ref="AM9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23" s="84" cm="1">
        <f t="array" ref="AN9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23" s="84" cm="1">
        <f t="array" ref="AO9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23" s="84" cm="1">
        <f t="array" ref="AP9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3" s="84" cm="1">
        <f t="array" ref="AQ9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23" s="84" cm="1">
        <f t="array" ref="AR9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3" s="84" cm="1">
        <f t="array" ref="AS9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23" s="84" cm="1">
        <f t="array" ref="AT9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3" s="84" cm="1">
        <f t="array" ref="AU9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23" s="84" cm="1">
        <f t="array" ref="AV9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3" s="84" cm="1">
        <f t="array" ref="AW9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23" s="84" cm="1">
        <f t="array" ref="AX9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3" s="84" cm="1">
        <f t="array" ref="AY9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3" s="84" cm="1">
        <f t="array" ref="AZ9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23" s="84" cm="1">
        <f t="array" ref="BA9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3" s="84" cm="1">
        <f t="array" ref="BB9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3" s="84">
        <f>IF(SUM(Table3[[#This Row],[Column2]:[Column18]])&gt;Table3[[#This Row],[Column19]],Table3[[#This Row],[Column19]],SUM(Table3[[#This Row],[Column2]:[Column18]]))</f>
        <v>10000</v>
      </c>
      <c r="BD923" s="2">
        <f>Table3[[#This Row],[Total Spend]]/SUM(Table3[[#This Row],[Column2]:[Column18]])</f>
        <v>7.2859744990892539E-2</v>
      </c>
    </row>
    <row r="924" spans="1:56">
      <c r="A924" s="84" t="s">
        <v>998</v>
      </c>
      <c r="B924" s="84"/>
      <c r="C924" s="84"/>
      <c r="D924" s="85">
        <v>45566</v>
      </c>
      <c r="E924" s="85" t="s">
        <v>58</v>
      </c>
      <c r="F924" s="84">
        <f>INDEX(Definitions!$G$13:$G$17,MATCH(Table3[[#This Row],[Propensity to buy/ buyer readiness]],Definitions!$A$13:$A$17,0))</f>
        <v>150000</v>
      </c>
      <c r="G924" s="86">
        <v>3</v>
      </c>
      <c r="H924" s="86">
        <v>3</v>
      </c>
      <c r="I924" s="86">
        <v>3</v>
      </c>
      <c r="J924" s="86">
        <v>3</v>
      </c>
      <c r="K924" s="86">
        <v>4</v>
      </c>
      <c r="L924" s="86">
        <f>SUM(Table3[[#This Row],[Strategic priority segment]:[Propensity to buy/ buyer readiness]])</f>
        <v>16</v>
      </c>
      <c r="M924" s="86" t="s">
        <v>152</v>
      </c>
      <c r="N924" s="84" t="s">
        <v>122</v>
      </c>
      <c r="O924" s="84"/>
      <c r="P924" s="87"/>
      <c r="Q924" s="87"/>
      <c r="R924" s="84"/>
      <c r="S924" s="87"/>
      <c r="T924" s="87"/>
      <c r="U924" s="84">
        <v>1</v>
      </c>
      <c r="V924" s="84">
        <v>0</v>
      </c>
      <c r="W924" s="84">
        <v>0</v>
      </c>
      <c r="X924" s="84">
        <v>0</v>
      </c>
      <c r="Y924" s="84">
        <v>0</v>
      </c>
      <c r="Z924" s="84">
        <v>1</v>
      </c>
      <c r="AA924" s="84">
        <v>0</v>
      </c>
      <c r="AB924" s="84">
        <v>1</v>
      </c>
      <c r="AC924" s="84">
        <v>0</v>
      </c>
      <c r="AD924" s="84">
        <v>1</v>
      </c>
      <c r="AE924" s="84">
        <v>0</v>
      </c>
      <c r="AF924" s="84">
        <v>1</v>
      </c>
      <c r="AG924" s="84">
        <v>0</v>
      </c>
      <c r="AH924" s="84">
        <v>0</v>
      </c>
      <c r="AI924" s="84">
        <v>0</v>
      </c>
      <c r="AJ924" s="84">
        <v>0</v>
      </c>
      <c r="AK924" s="84">
        <v>0</v>
      </c>
      <c r="AL924" s="84" cm="1">
        <f t="array" ref="AL9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24" s="84" cm="1">
        <f t="array" ref="AM9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4" s="84" cm="1">
        <f t="array" ref="AN9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4" s="84" cm="1">
        <f t="array" ref="AO9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4" s="84" cm="1">
        <f t="array" ref="AP9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4" s="84" cm="1">
        <f t="array" ref="AQ9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24" s="84" cm="1">
        <f t="array" ref="AR9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4" s="84" cm="1">
        <f t="array" ref="AS9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24" s="84" cm="1">
        <f t="array" ref="AT9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4" s="84" cm="1">
        <f t="array" ref="AU9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24" s="84" cm="1">
        <f t="array" ref="AV9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4" s="84" cm="1">
        <f t="array" ref="AW9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24" s="84" cm="1">
        <f t="array" ref="AX9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4" s="84" cm="1">
        <f t="array" ref="AY9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4" s="84" cm="1">
        <f t="array" ref="AZ9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4" s="84" cm="1">
        <f t="array" ref="BA9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4" s="84" cm="1">
        <f t="array" ref="BB9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4" s="84">
        <f>IF(SUM(Table3[[#This Row],[Column2]:[Column18]])&gt;Table3[[#This Row],[Column19]],Table3[[#This Row],[Column19]],SUM(Table3[[#This Row],[Column2]:[Column18]]))</f>
        <v>150000</v>
      </c>
      <c r="BD924" s="2">
        <f>Table3[[#This Row],[Total Spend]]/SUM(Table3[[#This Row],[Column2]:[Column18]])</f>
        <v>0.89605734767025091</v>
      </c>
    </row>
    <row r="925" spans="1:56">
      <c r="A925" s="84" t="s">
        <v>999</v>
      </c>
      <c r="B925" s="84" t="s">
        <v>57</v>
      </c>
      <c r="C925" s="84"/>
      <c r="D925" s="85">
        <v>45566</v>
      </c>
      <c r="E925" s="85" t="s">
        <v>58</v>
      </c>
      <c r="F925" s="84">
        <f>INDEX(Definitions!$G$13:$G$17,MATCH(Table3[[#This Row],[Propensity to buy/ buyer readiness]],Definitions!$A$13:$A$17,0))</f>
        <v>50000</v>
      </c>
      <c r="G925" s="86">
        <v>3</v>
      </c>
      <c r="H925" s="86">
        <v>3</v>
      </c>
      <c r="I925" s="86">
        <v>4</v>
      </c>
      <c r="J925" s="86">
        <v>3</v>
      </c>
      <c r="K925" s="86">
        <v>3</v>
      </c>
      <c r="L925" s="86">
        <f>SUM(Table3[[#This Row],[Strategic priority segment]:[Propensity to buy/ buyer readiness]])</f>
        <v>16</v>
      </c>
      <c r="M925" s="86" t="s">
        <v>152</v>
      </c>
      <c r="N925" s="84" t="s">
        <v>264</v>
      </c>
      <c r="O925" s="84"/>
      <c r="P925" s="87"/>
      <c r="Q925" s="87"/>
      <c r="R925" s="84"/>
      <c r="S925" s="87"/>
      <c r="T925" s="87"/>
      <c r="U925" s="84">
        <v>1</v>
      </c>
      <c r="V925" s="84">
        <v>0</v>
      </c>
      <c r="W925" s="84">
        <v>0</v>
      </c>
      <c r="X925" s="84">
        <v>0</v>
      </c>
      <c r="Y925" s="84">
        <v>0</v>
      </c>
      <c r="Z925" s="84">
        <v>0</v>
      </c>
      <c r="AA925" s="84">
        <v>0</v>
      </c>
      <c r="AB925" s="84">
        <v>0</v>
      </c>
      <c r="AC925" s="84">
        <v>0</v>
      </c>
      <c r="AD925" s="84">
        <v>0</v>
      </c>
      <c r="AE925" s="84">
        <v>0</v>
      </c>
      <c r="AF925" s="84">
        <v>0</v>
      </c>
      <c r="AG925" s="84">
        <v>0</v>
      </c>
      <c r="AH925" s="84">
        <v>0</v>
      </c>
      <c r="AI925" s="84">
        <v>0</v>
      </c>
      <c r="AJ925" s="84">
        <v>0</v>
      </c>
      <c r="AK925" s="84">
        <v>0</v>
      </c>
      <c r="AL925" s="84" cm="1">
        <f t="array" ref="AL9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25" s="84" cm="1">
        <f t="array" ref="AM9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5" s="84" cm="1">
        <f t="array" ref="AN9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5" s="84" cm="1">
        <f t="array" ref="AO9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5" s="84" cm="1">
        <f t="array" ref="AP9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5" s="84" cm="1">
        <f t="array" ref="AQ9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25" s="84" cm="1">
        <f t="array" ref="AR9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5" s="84" cm="1">
        <f t="array" ref="AS9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25" s="84" cm="1">
        <f t="array" ref="AT9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5" s="84" cm="1">
        <f t="array" ref="AU9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25" s="84" cm="1">
        <f t="array" ref="AV9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5" s="84" cm="1">
        <f t="array" ref="AW9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25" s="84" cm="1">
        <f t="array" ref="AX9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5" s="84" cm="1">
        <f t="array" ref="AY9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5" s="84" cm="1">
        <f t="array" ref="AZ9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5" s="84" cm="1">
        <f t="array" ref="BA9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5" s="84" cm="1">
        <f t="array" ref="BB9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5" s="84">
        <f>IF(SUM(Table3[[#This Row],[Column2]:[Column18]])&gt;Table3[[#This Row],[Column19]],Table3[[#This Row],[Column19]],SUM(Table3[[#This Row],[Column2]:[Column18]]))</f>
        <v>10800</v>
      </c>
      <c r="BD925" s="2">
        <f>Table3[[#This Row],[Total Spend]]/SUM(Table3[[#This Row],[Column2]:[Column18]])</f>
        <v>1</v>
      </c>
    </row>
    <row r="926" spans="1:56">
      <c r="A926" s="84" t="s">
        <v>1000</v>
      </c>
      <c r="B926" s="84" t="s">
        <v>57</v>
      </c>
      <c r="C926" s="84"/>
      <c r="D926" s="85">
        <v>45566</v>
      </c>
      <c r="E926" s="85" t="s">
        <v>92</v>
      </c>
      <c r="F926" s="84">
        <f>INDEX(Definitions!$G$13:$G$17,MATCH(Table3[[#This Row],[Propensity to buy/ buyer readiness]],Definitions!$A$13:$A$17,0))</f>
        <v>50000</v>
      </c>
      <c r="G926" s="86">
        <v>3</v>
      </c>
      <c r="H926" s="86">
        <v>3</v>
      </c>
      <c r="I926" s="86">
        <v>4</v>
      </c>
      <c r="J926" s="86">
        <v>3</v>
      </c>
      <c r="K926" s="86">
        <v>3</v>
      </c>
      <c r="L926" s="86">
        <f>SUM(Table3[[#This Row],[Strategic priority segment]:[Propensity to buy/ buyer readiness]])</f>
        <v>16</v>
      </c>
      <c r="M926" s="86" t="s">
        <v>152</v>
      </c>
      <c r="N926" s="84" t="s">
        <v>122</v>
      </c>
      <c r="O926" s="84" t="s">
        <v>264</v>
      </c>
      <c r="P926" s="87"/>
      <c r="Q926" s="87"/>
      <c r="R926" s="84"/>
      <c r="S926" s="87"/>
      <c r="T926" s="87"/>
      <c r="U926" s="84">
        <v>1</v>
      </c>
      <c r="V926" s="84">
        <v>0</v>
      </c>
      <c r="W926" s="84">
        <v>0</v>
      </c>
      <c r="X926" s="84">
        <v>0</v>
      </c>
      <c r="Y926" s="84">
        <v>0</v>
      </c>
      <c r="Z926" s="84">
        <v>1</v>
      </c>
      <c r="AA926" s="84">
        <v>0</v>
      </c>
      <c r="AB926" s="84">
        <v>1</v>
      </c>
      <c r="AC926" s="84">
        <v>0</v>
      </c>
      <c r="AD926" s="84">
        <v>1</v>
      </c>
      <c r="AE926" s="84">
        <v>0</v>
      </c>
      <c r="AF926" s="84">
        <v>1</v>
      </c>
      <c r="AG926" s="84">
        <v>0</v>
      </c>
      <c r="AH926" s="84">
        <v>0</v>
      </c>
      <c r="AI926" s="84">
        <v>0</v>
      </c>
      <c r="AJ926" s="84">
        <v>0</v>
      </c>
      <c r="AK926" s="84">
        <v>0</v>
      </c>
      <c r="AL926" s="84" cm="1">
        <f t="array" ref="AL9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26" s="84" cm="1">
        <f t="array" ref="AM9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6" s="84" cm="1">
        <f t="array" ref="AN9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6" s="84" cm="1">
        <f t="array" ref="AO9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6" s="84" cm="1">
        <f t="array" ref="AP9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6" s="84" cm="1">
        <f t="array" ref="AQ9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26" s="84" cm="1">
        <f t="array" ref="AR9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6" s="84" cm="1">
        <f t="array" ref="AS9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26" s="84" cm="1">
        <f t="array" ref="AT9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6" s="84" cm="1">
        <f t="array" ref="AU9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26" s="84" cm="1">
        <f t="array" ref="AV9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6" s="84" cm="1">
        <f t="array" ref="AW9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26" s="84" cm="1">
        <f t="array" ref="AX9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6" s="84" cm="1">
        <f t="array" ref="AY9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6" s="84" cm="1">
        <f t="array" ref="AZ9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6" s="84" cm="1">
        <f t="array" ref="BA9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6" s="84" cm="1">
        <f t="array" ref="BB9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6" s="84">
        <f>IF(SUM(Table3[[#This Row],[Column2]:[Column18]])&gt;Table3[[#This Row],[Column19]],Table3[[#This Row],[Column19]],SUM(Table3[[#This Row],[Column2]:[Column18]]))</f>
        <v>50000</v>
      </c>
      <c r="BD926" s="2">
        <f>Table3[[#This Row],[Total Spend]]/SUM(Table3[[#This Row],[Column2]:[Column18]])</f>
        <v>0.41459369817578773</v>
      </c>
    </row>
    <row r="927" spans="1:56">
      <c r="A927" s="84" t="s">
        <v>1001</v>
      </c>
      <c r="B927" s="84"/>
      <c r="C927" s="84" t="s">
        <v>57</v>
      </c>
      <c r="D927" s="85">
        <v>45566</v>
      </c>
      <c r="E927" s="85" t="s">
        <v>92</v>
      </c>
      <c r="F927" s="84">
        <f>INDEX(Definitions!$G$13:$G$17,MATCH(Table3[[#This Row],[Propensity to buy/ buyer readiness]],Definitions!$A$13:$A$17,0))</f>
        <v>50000</v>
      </c>
      <c r="G927" s="86">
        <v>3</v>
      </c>
      <c r="H927" s="86">
        <v>3</v>
      </c>
      <c r="I927" s="86">
        <v>4</v>
      </c>
      <c r="J927" s="86">
        <v>3</v>
      </c>
      <c r="K927" s="86">
        <v>3</v>
      </c>
      <c r="L927" s="86">
        <f>SUM(Table3[[#This Row],[Strategic priority segment]:[Propensity to buy/ buyer readiness]])</f>
        <v>16</v>
      </c>
      <c r="M927" s="86" t="s">
        <v>152</v>
      </c>
      <c r="N927" s="84" t="s">
        <v>122</v>
      </c>
      <c r="O927" s="84"/>
      <c r="P927" s="87"/>
      <c r="Q927" s="87"/>
      <c r="R927" s="84"/>
      <c r="S927" s="87"/>
      <c r="T927" s="87"/>
      <c r="U927" s="84">
        <v>1</v>
      </c>
      <c r="V927" s="84">
        <v>0</v>
      </c>
      <c r="W927" s="84">
        <v>0</v>
      </c>
      <c r="X927" s="84">
        <v>0</v>
      </c>
      <c r="Y927" s="84">
        <v>0</v>
      </c>
      <c r="Z927" s="84">
        <v>1</v>
      </c>
      <c r="AA927" s="84">
        <v>0</v>
      </c>
      <c r="AB927" s="84">
        <v>1</v>
      </c>
      <c r="AC927" s="84">
        <v>0</v>
      </c>
      <c r="AD927" s="84">
        <v>1</v>
      </c>
      <c r="AE927" s="84">
        <v>0</v>
      </c>
      <c r="AF927" s="84">
        <v>1</v>
      </c>
      <c r="AG927" s="84">
        <v>0</v>
      </c>
      <c r="AH927" s="84">
        <v>0</v>
      </c>
      <c r="AI927" s="84">
        <v>0</v>
      </c>
      <c r="AJ927" s="84">
        <v>0</v>
      </c>
      <c r="AK927" s="84">
        <v>0</v>
      </c>
      <c r="AL927" s="84" cm="1">
        <f t="array" ref="AL9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27" s="84" cm="1">
        <f t="array" ref="AM9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7" s="84" cm="1">
        <f t="array" ref="AN9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7" s="84" cm="1">
        <f t="array" ref="AO9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7" s="84" cm="1">
        <f t="array" ref="AP9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7" s="84" cm="1">
        <f t="array" ref="AQ9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27" s="84" cm="1">
        <f t="array" ref="AR9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7" s="84" cm="1">
        <f t="array" ref="AS9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27" s="84" cm="1">
        <f t="array" ref="AT9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7" s="84" cm="1">
        <f t="array" ref="AU9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27" s="84" cm="1">
        <f t="array" ref="AV9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7" s="84" cm="1">
        <f t="array" ref="AW9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27" s="84" cm="1">
        <f t="array" ref="AX9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7" s="84" cm="1">
        <f t="array" ref="AY9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7" s="84" cm="1">
        <f t="array" ref="AZ9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7" s="84" cm="1">
        <f t="array" ref="BA9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7" s="84" cm="1">
        <f t="array" ref="BB9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7" s="84">
        <f>IF(SUM(Table3[[#This Row],[Column2]:[Column18]])&gt;Table3[[#This Row],[Column19]],Table3[[#This Row],[Column19]],SUM(Table3[[#This Row],[Column2]:[Column18]]))</f>
        <v>50000</v>
      </c>
      <c r="BD927" s="2">
        <f>Table3[[#This Row],[Total Spend]]/SUM(Table3[[#This Row],[Column2]:[Column18]])</f>
        <v>0.41459369817578773</v>
      </c>
    </row>
    <row r="928" spans="1:56">
      <c r="A928" s="84" t="s">
        <v>1002</v>
      </c>
      <c r="B928" s="84"/>
      <c r="C928" s="84"/>
      <c r="D928" s="85">
        <v>45566</v>
      </c>
      <c r="E928" s="85" t="s">
        <v>58</v>
      </c>
      <c r="F928" s="84">
        <f>INDEX(Definitions!$G$13:$G$17,MATCH(Table3[[#This Row],[Propensity to buy/ buyer readiness]],Definitions!$A$13:$A$17,0))</f>
        <v>150000</v>
      </c>
      <c r="G928" s="86">
        <v>3</v>
      </c>
      <c r="H928" s="86">
        <v>3</v>
      </c>
      <c r="I928" s="86">
        <v>3</v>
      </c>
      <c r="J928" s="86">
        <v>3</v>
      </c>
      <c r="K928" s="86">
        <v>4</v>
      </c>
      <c r="L928" s="86">
        <f>SUM(Table3[[#This Row],[Strategic priority segment]:[Propensity to buy/ buyer readiness]])</f>
        <v>16</v>
      </c>
      <c r="M928" s="86" t="s">
        <v>152</v>
      </c>
      <c r="N928" s="84" t="s">
        <v>122</v>
      </c>
      <c r="O928" s="84"/>
      <c r="P928" s="87"/>
      <c r="Q928" s="87"/>
      <c r="R928" s="84"/>
      <c r="S928" s="87"/>
      <c r="T928" s="87"/>
      <c r="U928" s="84">
        <v>1</v>
      </c>
      <c r="V928" s="84">
        <v>0</v>
      </c>
      <c r="W928" s="84">
        <v>0</v>
      </c>
      <c r="X928" s="84">
        <v>0</v>
      </c>
      <c r="Y928" s="84">
        <v>0</v>
      </c>
      <c r="Z928" s="84">
        <v>1</v>
      </c>
      <c r="AA928" s="84">
        <v>0</v>
      </c>
      <c r="AB928" s="84">
        <v>1</v>
      </c>
      <c r="AC928" s="84">
        <v>0</v>
      </c>
      <c r="AD928" s="84">
        <v>1</v>
      </c>
      <c r="AE928" s="84">
        <v>0</v>
      </c>
      <c r="AF928" s="84">
        <v>1</v>
      </c>
      <c r="AG928" s="84">
        <v>0</v>
      </c>
      <c r="AH928" s="84">
        <v>0</v>
      </c>
      <c r="AI928" s="84">
        <v>0</v>
      </c>
      <c r="AJ928" s="84">
        <v>0</v>
      </c>
      <c r="AK928" s="84">
        <v>0</v>
      </c>
      <c r="AL928" s="84" cm="1">
        <f t="array" ref="AL9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28" s="84" cm="1">
        <f t="array" ref="AM9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8" s="84" cm="1">
        <f t="array" ref="AN9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8" s="84" cm="1">
        <f t="array" ref="AO9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8" s="84" cm="1">
        <f t="array" ref="AP9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28" s="84" cm="1">
        <f t="array" ref="AQ9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28" s="84" cm="1">
        <f t="array" ref="AR9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8" s="84" cm="1">
        <f t="array" ref="AS9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28" s="84" cm="1">
        <f t="array" ref="AT9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8" s="84" cm="1">
        <f t="array" ref="AU9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28" s="84" cm="1">
        <f t="array" ref="AV9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8" s="84" cm="1">
        <f t="array" ref="AW9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28" s="84" cm="1">
        <f t="array" ref="AX9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8" s="84" cm="1">
        <f t="array" ref="AY9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8" s="84" cm="1">
        <f t="array" ref="AZ9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8" s="84" cm="1">
        <f t="array" ref="BA9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8" s="84" cm="1">
        <f t="array" ref="BB9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8" s="84">
        <f>IF(SUM(Table3[[#This Row],[Column2]:[Column18]])&gt;Table3[[#This Row],[Column19]],Table3[[#This Row],[Column19]],SUM(Table3[[#This Row],[Column2]:[Column18]]))</f>
        <v>150000</v>
      </c>
      <c r="BD928" s="2">
        <f>Table3[[#This Row],[Total Spend]]/SUM(Table3[[#This Row],[Column2]:[Column18]])</f>
        <v>0.89605734767025091</v>
      </c>
    </row>
    <row r="929" spans="1:56">
      <c r="A929" s="84" t="s">
        <v>1003</v>
      </c>
      <c r="B929" s="84" t="s">
        <v>57</v>
      </c>
      <c r="C929" s="84"/>
      <c r="D929" s="85">
        <v>45566</v>
      </c>
      <c r="E929" s="85" t="s">
        <v>92</v>
      </c>
      <c r="F929" s="84">
        <f>INDEX(Definitions!$G$13:$G$17,MATCH(Table3[[#This Row],[Propensity to buy/ buyer readiness]],Definitions!$A$13:$A$17,0))</f>
        <v>10000</v>
      </c>
      <c r="G929" s="86">
        <v>4</v>
      </c>
      <c r="H929" s="86">
        <v>3</v>
      </c>
      <c r="I929" s="86">
        <v>4</v>
      </c>
      <c r="J929" s="86">
        <v>3</v>
      </c>
      <c r="K929" s="86">
        <v>2</v>
      </c>
      <c r="L929" s="86">
        <f>SUM(Table3[[#This Row],[Strategic priority segment]:[Propensity to buy/ buyer readiness]])</f>
        <v>16</v>
      </c>
      <c r="M929" s="86" t="s">
        <v>59</v>
      </c>
      <c r="N929" s="84" t="s">
        <v>85</v>
      </c>
      <c r="O929" s="84" t="s">
        <v>122</v>
      </c>
      <c r="P929" s="87"/>
      <c r="Q929" s="87"/>
      <c r="R929" s="84"/>
      <c r="S929" s="87"/>
      <c r="T929" s="87"/>
      <c r="U929" s="84">
        <v>1</v>
      </c>
      <c r="V929" s="84">
        <v>0</v>
      </c>
      <c r="W929" s="84">
        <v>0</v>
      </c>
      <c r="X929" s="84">
        <v>0</v>
      </c>
      <c r="Y929" s="84">
        <v>1</v>
      </c>
      <c r="Z929" s="84">
        <v>1</v>
      </c>
      <c r="AA929" s="84">
        <v>0</v>
      </c>
      <c r="AB929" s="84">
        <v>1</v>
      </c>
      <c r="AC929" s="84">
        <v>0</v>
      </c>
      <c r="AD929" s="84">
        <v>1</v>
      </c>
      <c r="AE929" s="84">
        <v>0</v>
      </c>
      <c r="AF929" s="84">
        <v>1</v>
      </c>
      <c r="AG929" s="84">
        <v>0</v>
      </c>
      <c r="AH929" s="84">
        <v>0</v>
      </c>
      <c r="AI929" s="84">
        <v>0</v>
      </c>
      <c r="AJ929" s="84">
        <v>0</v>
      </c>
      <c r="AK929" s="84">
        <v>0</v>
      </c>
      <c r="AL929" s="84" cm="1">
        <f t="array" ref="AL9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29" s="84" cm="1">
        <f t="array" ref="AM9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29" s="84" cm="1">
        <f t="array" ref="AN9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29" s="84" cm="1">
        <f t="array" ref="AO9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29" s="84" cm="1">
        <f t="array" ref="AP9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929" s="84" cm="1">
        <f t="array" ref="AQ9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29" s="84" cm="1">
        <f t="array" ref="AR9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29" s="84" cm="1">
        <f t="array" ref="AS9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29" s="84" cm="1">
        <f t="array" ref="AT9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29" s="84" cm="1">
        <f t="array" ref="AU9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29" s="84" cm="1">
        <f t="array" ref="AV9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29" s="84" cm="1">
        <f t="array" ref="AW9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29" s="84" cm="1">
        <f t="array" ref="AX9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29" s="84" cm="1">
        <f t="array" ref="AY9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29" s="84" cm="1">
        <f t="array" ref="AZ9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29" s="84" cm="1">
        <f t="array" ref="BA9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29" s="84" cm="1">
        <f t="array" ref="BB9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29" s="84">
        <f>IF(SUM(Table3[[#This Row],[Column2]:[Column18]])&gt;Table3[[#This Row],[Column19]],Table3[[#This Row],[Column19]],SUM(Table3[[#This Row],[Column2]:[Column18]]))</f>
        <v>10000</v>
      </c>
      <c r="BD929" s="2">
        <f>Table3[[#This Row],[Total Spend]]/SUM(Table3[[#This Row],[Column2]:[Column18]])</f>
        <v>6.2421972534332085E-2</v>
      </c>
    </row>
    <row r="930" spans="1:56">
      <c r="A930" s="84" t="s">
        <v>1004</v>
      </c>
      <c r="B930" s="84"/>
      <c r="C930" s="84"/>
      <c r="D930" s="85">
        <v>45566</v>
      </c>
      <c r="E930" s="85" t="s">
        <v>92</v>
      </c>
      <c r="F930" s="84">
        <f>INDEX(Definitions!$G$13:$G$17,MATCH(Table3[[#This Row],[Propensity to buy/ buyer readiness]],Definitions!$A$13:$A$17,0))</f>
        <v>10000</v>
      </c>
      <c r="G930" s="86">
        <v>4</v>
      </c>
      <c r="H930" s="86">
        <v>3</v>
      </c>
      <c r="I930" s="86">
        <v>4</v>
      </c>
      <c r="J930" s="86">
        <v>3</v>
      </c>
      <c r="K930" s="86">
        <v>2</v>
      </c>
      <c r="L930" s="86">
        <f>SUM(Table3[[#This Row],[Strategic priority segment]:[Propensity to buy/ buyer readiness]])</f>
        <v>16</v>
      </c>
      <c r="M930" s="86" t="s">
        <v>59</v>
      </c>
      <c r="N930" s="84" t="s">
        <v>85</v>
      </c>
      <c r="O930" s="84" t="s">
        <v>76</v>
      </c>
      <c r="P930" s="84"/>
      <c r="Q930" s="84"/>
      <c r="R930" s="84"/>
      <c r="S930" s="87"/>
      <c r="T930" s="87"/>
      <c r="U930" s="84">
        <v>1</v>
      </c>
      <c r="V930" s="84">
        <v>0</v>
      </c>
      <c r="W930" s="84">
        <v>0</v>
      </c>
      <c r="X930" s="84">
        <v>0</v>
      </c>
      <c r="Y930" s="84">
        <v>1</v>
      </c>
      <c r="Z930" s="84">
        <v>0</v>
      </c>
      <c r="AA930" s="84">
        <v>0</v>
      </c>
      <c r="AB930" s="84">
        <v>0</v>
      </c>
      <c r="AC930" s="84">
        <v>0</v>
      </c>
      <c r="AD930" s="84">
        <v>0</v>
      </c>
      <c r="AE930" s="84">
        <v>0</v>
      </c>
      <c r="AF930" s="84">
        <v>0</v>
      </c>
      <c r="AG930" s="84">
        <v>0</v>
      </c>
      <c r="AH930" s="84">
        <v>1</v>
      </c>
      <c r="AI930" s="84">
        <v>0</v>
      </c>
      <c r="AJ930" s="84">
        <v>1</v>
      </c>
      <c r="AK930" s="84">
        <v>0</v>
      </c>
      <c r="AL930" s="84" cm="1">
        <f t="array" ref="AL9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0" s="84" cm="1">
        <f t="array" ref="AM9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0" s="84" cm="1">
        <f t="array" ref="AN9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0" s="84" cm="1">
        <f t="array" ref="AO9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0" s="84" cm="1">
        <f t="array" ref="AP9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930" s="84" cm="1">
        <f t="array" ref="AQ9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0" s="84" cm="1">
        <f t="array" ref="AR9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0" s="84" cm="1">
        <f t="array" ref="AS9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0" s="84" cm="1">
        <f t="array" ref="AT9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0" s="84" cm="1">
        <f t="array" ref="AU9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0" s="84" cm="1">
        <f t="array" ref="AV9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0" s="84" cm="1">
        <f t="array" ref="AW9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0" s="84" cm="1">
        <f t="array" ref="AX9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0" s="84" cm="1">
        <f t="array" ref="AY9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30" s="84" cm="1">
        <f t="array" ref="AZ9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0" s="84" cm="1">
        <f t="array" ref="BA9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30" s="84" cm="1">
        <f t="array" ref="BB9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0" s="84">
        <f>IF(SUM(Table3[[#This Row],[Column2]:[Column18]])&gt;Table3[[#This Row],[Column19]],Table3[[#This Row],[Column19]],SUM(Table3[[#This Row],[Column2]:[Column18]]))</f>
        <v>10000</v>
      </c>
      <c r="BD930" s="2">
        <f>Table3[[#This Row],[Total Spend]]/SUM(Table3[[#This Row],[Column2]:[Column18]])</f>
        <v>0.1277139208173691</v>
      </c>
    </row>
    <row r="931" spans="1:56">
      <c r="A931" s="84" t="s">
        <v>1005</v>
      </c>
      <c r="B931" s="84"/>
      <c r="C931" s="84"/>
      <c r="D931" s="85">
        <v>45566</v>
      </c>
      <c r="E931" s="85" t="s">
        <v>58</v>
      </c>
      <c r="F931" s="84">
        <f>INDEX(Definitions!$G$13:$G$17,MATCH(Table3[[#This Row],[Propensity to buy/ buyer readiness]],Definitions!$A$13:$A$17,0))</f>
        <v>150000</v>
      </c>
      <c r="G931" s="86">
        <v>3</v>
      </c>
      <c r="H931" s="86">
        <v>3</v>
      </c>
      <c r="I931" s="86">
        <v>3</v>
      </c>
      <c r="J931" s="86">
        <v>3</v>
      </c>
      <c r="K931" s="86">
        <v>4</v>
      </c>
      <c r="L931" s="86">
        <f>SUM(Table3[[#This Row],[Strategic priority segment]:[Propensity to buy/ buyer readiness]])</f>
        <v>16</v>
      </c>
      <c r="M931" s="86" t="s">
        <v>191</v>
      </c>
      <c r="N931" s="84" t="s">
        <v>76</v>
      </c>
      <c r="O931" s="84"/>
      <c r="P931" s="84"/>
      <c r="Q931" s="84"/>
      <c r="R931" s="84"/>
      <c r="S931" s="87"/>
      <c r="T931" s="87"/>
      <c r="U931" s="84">
        <v>0</v>
      </c>
      <c r="V931" s="84">
        <v>0</v>
      </c>
      <c r="W931" s="84">
        <v>0</v>
      </c>
      <c r="X931" s="84">
        <v>0</v>
      </c>
      <c r="Y931" s="84">
        <v>0</v>
      </c>
      <c r="Z931" s="84">
        <v>0</v>
      </c>
      <c r="AA931" s="84">
        <v>0</v>
      </c>
      <c r="AB931" s="84">
        <v>0</v>
      </c>
      <c r="AC931" s="84">
        <v>0</v>
      </c>
      <c r="AD931" s="84">
        <v>0</v>
      </c>
      <c r="AE931" s="84">
        <v>0</v>
      </c>
      <c r="AF931" s="84">
        <v>0</v>
      </c>
      <c r="AG931" s="84">
        <v>0</v>
      </c>
      <c r="AH931" s="84">
        <v>1</v>
      </c>
      <c r="AI931" s="84">
        <v>0</v>
      </c>
      <c r="AJ931" s="84">
        <v>1</v>
      </c>
      <c r="AK931" s="84">
        <v>0</v>
      </c>
      <c r="AL931" s="84" cm="1">
        <f t="array" ref="AL9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31" s="84" cm="1">
        <f t="array" ref="AM9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1" s="84" cm="1">
        <f t="array" ref="AN9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1" s="84" cm="1">
        <f t="array" ref="AO9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1" s="84" cm="1">
        <f t="array" ref="AP9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1" s="84" cm="1">
        <f t="array" ref="AQ9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1" s="84" cm="1">
        <f t="array" ref="AR9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1" s="84" cm="1">
        <f t="array" ref="AS9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1" s="84" cm="1">
        <f t="array" ref="AT9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1" s="84" cm="1">
        <f t="array" ref="AU9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1" s="84" cm="1">
        <f t="array" ref="AV9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1" s="84" cm="1">
        <f t="array" ref="AW9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1" s="84" cm="1">
        <f t="array" ref="AX9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1" s="84" cm="1">
        <f t="array" ref="AY9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931" s="84" cm="1">
        <f t="array" ref="AZ9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1" s="84" cm="1">
        <f t="array" ref="BA9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931" s="84" cm="1">
        <f t="array" ref="BB9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1" s="84">
        <f>IF(SUM(Table3[[#This Row],[Column2]:[Column18]])&gt;Table3[[#This Row],[Column19]],Table3[[#This Row],[Column19]],SUM(Table3[[#This Row],[Column2]:[Column18]]))</f>
        <v>42300</v>
      </c>
      <c r="BD931" s="2">
        <f>Table3[[#This Row],[Total Spend]]/SUM(Table3[[#This Row],[Column2]:[Column18]])</f>
        <v>1</v>
      </c>
    </row>
    <row r="932" spans="1:56">
      <c r="A932" s="84" t="s">
        <v>1006</v>
      </c>
      <c r="B932" s="84" t="s">
        <v>57</v>
      </c>
      <c r="C932" s="84"/>
      <c r="D932" s="85">
        <v>45566</v>
      </c>
      <c r="E932" s="85" t="s">
        <v>92</v>
      </c>
      <c r="F932" s="84">
        <f>INDEX(Definitions!$G$13:$G$17,MATCH(Table3[[#This Row],[Propensity to buy/ buyer readiness]],Definitions!$A$13:$A$17,0))</f>
        <v>10000</v>
      </c>
      <c r="G932" s="86">
        <v>3</v>
      </c>
      <c r="H932" s="86">
        <v>3</v>
      </c>
      <c r="I932" s="86">
        <v>4</v>
      </c>
      <c r="J932" s="86">
        <v>4</v>
      </c>
      <c r="K932" s="86">
        <v>2</v>
      </c>
      <c r="L932" s="86">
        <f>SUM(Table3[[#This Row],[Strategic priority segment]:[Propensity to buy/ buyer readiness]])</f>
        <v>16</v>
      </c>
      <c r="M932" s="86" t="s">
        <v>59</v>
      </c>
      <c r="N932" s="84" t="s">
        <v>265</v>
      </c>
      <c r="O932" s="84"/>
      <c r="P932" s="87"/>
      <c r="Q932" s="87"/>
      <c r="R932" s="84"/>
      <c r="S932" s="84"/>
      <c r="T932" s="87"/>
      <c r="U932" s="84">
        <v>1</v>
      </c>
      <c r="V932" s="84">
        <v>1</v>
      </c>
      <c r="W932" s="84">
        <v>1</v>
      </c>
      <c r="X932" s="84">
        <v>1</v>
      </c>
      <c r="Y932" s="84">
        <v>0</v>
      </c>
      <c r="Z932" s="84">
        <v>0</v>
      </c>
      <c r="AA932" s="84">
        <v>0</v>
      </c>
      <c r="AB932" s="84">
        <v>0</v>
      </c>
      <c r="AC932" s="84">
        <v>0</v>
      </c>
      <c r="AD932" s="84">
        <v>0</v>
      </c>
      <c r="AE932" s="84">
        <v>0</v>
      </c>
      <c r="AF932" s="84">
        <v>0</v>
      </c>
      <c r="AG932" s="84">
        <v>0</v>
      </c>
      <c r="AH932" s="84">
        <v>0</v>
      </c>
      <c r="AI932" s="84">
        <v>1</v>
      </c>
      <c r="AJ932" s="84">
        <v>0</v>
      </c>
      <c r="AK932" s="84">
        <v>0</v>
      </c>
      <c r="AL932" s="84" cm="1">
        <f t="array" ref="AL9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2" s="84" cm="1">
        <f t="array" ref="AM9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32" s="84" cm="1">
        <f t="array" ref="AN9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32" s="84" cm="1">
        <f t="array" ref="AO9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32" s="84" cm="1">
        <f t="array" ref="AP9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2" s="84" cm="1">
        <f t="array" ref="AQ9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2" s="84" cm="1">
        <f t="array" ref="AR9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2" s="84" cm="1">
        <f t="array" ref="AS9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2" s="84" cm="1">
        <f t="array" ref="AT9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2" s="84" cm="1">
        <f t="array" ref="AU9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2" s="84" cm="1">
        <f t="array" ref="AV9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2" s="84" cm="1">
        <f t="array" ref="AW9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2" s="84" cm="1">
        <f t="array" ref="AX9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2" s="84" cm="1">
        <f t="array" ref="AY9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2" s="84" cm="1">
        <f t="array" ref="AZ9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32" s="84" cm="1">
        <f t="array" ref="BA9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2" s="84" cm="1">
        <f t="array" ref="BB9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2" s="84">
        <f>IF(SUM(Table3[[#This Row],[Column2]:[Column18]])&gt;Table3[[#This Row],[Column19]],Table3[[#This Row],[Column19]],SUM(Table3[[#This Row],[Column2]:[Column18]]))</f>
        <v>10000</v>
      </c>
      <c r="BD932" s="2">
        <f>Table3[[#This Row],[Total Spend]]/SUM(Table3[[#This Row],[Column2]:[Column18]])</f>
        <v>7.2859744990892539E-2</v>
      </c>
    </row>
    <row r="933" spans="1:56">
      <c r="A933" s="84" t="s">
        <v>1007</v>
      </c>
      <c r="B933" s="84"/>
      <c r="C933" s="84"/>
      <c r="D933" s="85">
        <v>45566</v>
      </c>
      <c r="E933" s="85" t="s">
        <v>58</v>
      </c>
      <c r="F933" s="84">
        <f>INDEX(Definitions!$G$13:$G$17,MATCH(Table3[[#This Row],[Propensity to buy/ buyer readiness]],Definitions!$A$13:$A$17,0))</f>
        <v>150000</v>
      </c>
      <c r="G933" s="86">
        <v>3</v>
      </c>
      <c r="H933" s="86">
        <v>4</v>
      </c>
      <c r="I933" s="86">
        <v>2</v>
      </c>
      <c r="J933" s="86">
        <v>3</v>
      </c>
      <c r="K933" s="86">
        <v>4</v>
      </c>
      <c r="L933" s="86">
        <f>SUM(Table3[[#This Row],[Strategic priority segment]:[Propensity to buy/ buyer readiness]])</f>
        <v>16</v>
      </c>
      <c r="M933" s="86" t="s">
        <v>152</v>
      </c>
      <c r="N933" s="84" t="s">
        <v>122</v>
      </c>
      <c r="O933" s="84"/>
      <c r="P933" s="87"/>
      <c r="Q933" s="87"/>
      <c r="R933" s="84"/>
      <c r="S933" s="87"/>
      <c r="T933" s="87"/>
      <c r="U933" s="84">
        <v>1</v>
      </c>
      <c r="V933" s="84">
        <v>0</v>
      </c>
      <c r="W933" s="84">
        <v>0</v>
      </c>
      <c r="X933" s="84">
        <v>0</v>
      </c>
      <c r="Y933" s="84">
        <v>0</v>
      </c>
      <c r="Z933" s="84">
        <v>1</v>
      </c>
      <c r="AA933" s="84">
        <v>0</v>
      </c>
      <c r="AB933" s="84">
        <v>1</v>
      </c>
      <c r="AC933" s="84">
        <v>0</v>
      </c>
      <c r="AD933" s="84">
        <v>1</v>
      </c>
      <c r="AE933" s="84">
        <v>0</v>
      </c>
      <c r="AF933" s="84">
        <v>1</v>
      </c>
      <c r="AG933" s="84">
        <v>0</v>
      </c>
      <c r="AH933" s="84">
        <v>0</v>
      </c>
      <c r="AI933" s="84">
        <v>0</v>
      </c>
      <c r="AJ933" s="84">
        <v>0</v>
      </c>
      <c r="AK933" s="84">
        <v>0</v>
      </c>
      <c r="AL933" s="84" cm="1">
        <f t="array" ref="AL9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33" s="84" cm="1">
        <f t="array" ref="AM9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3" s="84" cm="1">
        <f t="array" ref="AN9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3" s="84" cm="1">
        <f t="array" ref="AO9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3" s="84" cm="1">
        <f t="array" ref="AP9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3" s="84" cm="1">
        <f t="array" ref="AQ9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33" s="84" cm="1">
        <f t="array" ref="AR9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3" s="84" cm="1">
        <f t="array" ref="AS9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33" s="84" cm="1">
        <f t="array" ref="AT9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3" s="84" cm="1">
        <f t="array" ref="AU9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33" s="84" cm="1">
        <f t="array" ref="AV9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3" s="84" cm="1">
        <f t="array" ref="AW9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33" s="84" cm="1">
        <f t="array" ref="AX9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3" s="84" cm="1">
        <f t="array" ref="AY9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3" s="84" cm="1">
        <f t="array" ref="AZ9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3" s="84" cm="1">
        <f t="array" ref="BA9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3" s="84" cm="1">
        <f t="array" ref="BB9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3" s="84">
        <f>IF(SUM(Table3[[#This Row],[Column2]:[Column18]])&gt;Table3[[#This Row],[Column19]],Table3[[#This Row],[Column19]],SUM(Table3[[#This Row],[Column2]:[Column18]]))</f>
        <v>150000</v>
      </c>
      <c r="BD933" s="2">
        <f>Table3[[#This Row],[Total Spend]]/SUM(Table3[[#This Row],[Column2]:[Column18]])</f>
        <v>0.89605734767025091</v>
      </c>
    </row>
    <row r="934" spans="1:56">
      <c r="A934" s="84" t="s">
        <v>1008</v>
      </c>
      <c r="B934" s="84"/>
      <c r="C934" s="84"/>
      <c r="D934" s="85">
        <v>45566</v>
      </c>
      <c r="E934" s="85" t="s">
        <v>92</v>
      </c>
      <c r="F934" s="84">
        <f>INDEX(Definitions!$G$13:$G$17,MATCH(Table3[[#This Row],[Propensity to buy/ buyer readiness]],Definitions!$A$13:$A$17,0))</f>
        <v>50000</v>
      </c>
      <c r="G934" s="86">
        <v>3</v>
      </c>
      <c r="H934" s="86">
        <v>4</v>
      </c>
      <c r="I934" s="86">
        <v>3</v>
      </c>
      <c r="J934" s="86">
        <v>3</v>
      </c>
      <c r="K934" s="86">
        <v>3</v>
      </c>
      <c r="L934" s="86">
        <f>SUM(Table3[[#This Row],[Strategic priority segment]:[Propensity to buy/ buyer readiness]])</f>
        <v>16</v>
      </c>
      <c r="M934" s="86" t="s">
        <v>152</v>
      </c>
      <c r="N934" s="84" t="s">
        <v>122</v>
      </c>
      <c r="O934" s="84"/>
      <c r="P934" s="87"/>
      <c r="Q934" s="87"/>
      <c r="R934" s="84"/>
      <c r="S934" s="87"/>
      <c r="T934" s="87"/>
      <c r="U934" s="84">
        <v>1</v>
      </c>
      <c r="V934" s="84">
        <v>0</v>
      </c>
      <c r="W934" s="84">
        <v>0</v>
      </c>
      <c r="X934" s="84">
        <v>0</v>
      </c>
      <c r="Y934" s="84">
        <v>0</v>
      </c>
      <c r="Z934" s="84">
        <v>1</v>
      </c>
      <c r="AA934" s="84">
        <v>0</v>
      </c>
      <c r="AB934" s="84">
        <v>1</v>
      </c>
      <c r="AC934" s="84">
        <v>0</v>
      </c>
      <c r="AD934" s="84">
        <v>1</v>
      </c>
      <c r="AE934" s="84">
        <v>0</v>
      </c>
      <c r="AF934" s="84">
        <v>1</v>
      </c>
      <c r="AG934" s="84">
        <v>0</v>
      </c>
      <c r="AH934" s="84">
        <v>0</v>
      </c>
      <c r="AI934" s="84">
        <v>0</v>
      </c>
      <c r="AJ934" s="84">
        <v>0</v>
      </c>
      <c r="AK934" s="84">
        <v>0</v>
      </c>
      <c r="AL934" s="84" cm="1">
        <f t="array" ref="AL9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4" s="84" cm="1">
        <f t="array" ref="AM9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4" s="84" cm="1">
        <f t="array" ref="AN9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4" s="84" cm="1">
        <f t="array" ref="AO9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4" s="84" cm="1">
        <f t="array" ref="AP9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4" s="84" cm="1">
        <f t="array" ref="AQ9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34" s="84" cm="1">
        <f t="array" ref="AR9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4" s="84" cm="1">
        <f t="array" ref="AS9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34" s="84" cm="1">
        <f t="array" ref="AT9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4" s="84" cm="1">
        <f t="array" ref="AU9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34" s="84" cm="1">
        <f t="array" ref="AV9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4" s="84" cm="1">
        <f t="array" ref="AW9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34" s="84" cm="1">
        <f t="array" ref="AX9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4" s="84" cm="1">
        <f t="array" ref="AY9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4" s="84" cm="1">
        <f t="array" ref="AZ9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4" s="84" cm="1">
        <f t="array" ref="BA9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4" s="84" cm="1">
        <f t="array" ref="BB9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4" s="84">
        <f>IF(SUM(Table3[[#This Row],[Column2]:[Column18]])&gt;Table3[[#This Row],[Column19]],Table3[[#This Row],[Column19]],SUM(Table3[[#This Row],[Column2]:[Column18]]))</f>
        <v>50000</v>
      </c>
      <c r="BD934" s="2">
        <f>Table3[[#This Row],[Total Spend]]/SUM(Table3[[#This Row],[Column2]:[Column18]])</f>
        <v>0.41459369817578773</v>
      </c>
    </row>
    <row r="935" spans="1:56">
      <c r="A935" s="84" t="s">
        <v>1009</v>
      </c>
      <c r="B935" s="84" t="s">
        <v>57</v>
      </c>
      <c r="C935" s="84"/>
      <c r="D935" s="85">
        <v>45566</v>
      </c>
      <c r="E935" s="85" t="s">
        <v>92</v>
      </c>
      <c r="F935" s="84">
        <f>INDEX(Definitions!$G$13:$G$17,MATCH(Table3[[#This Row],[Propensity to buy/ buyer readiness]],Definitions!$A$13:$A$17,0))</f>
        <v>10000</v>
      </c>
      <c r="G935" s="86">
        <v>3</v>
      </c>
      <c r="H935" s="86">
        <v>3</v>
      </c>
      <c r="I935" s="86">
        <v>4</v>
      </c>
      <c r="J935" s="86">
        <v>4</v>
      </c>
      <c r="K935" s="86">
        <v>2</v>
      </c>
      <c r="L935" s="86">
        <f>SUM(Table3[[#This Row],[Strategic priority segment]:[Propensity to buy/ buyer readiness]])</f>
        <v>16</v>
      </c>
      <c r="M935" s="86" t="s">
        <v>59</v>
      </c>
      <c r="N935" s="84" t="s">
        <v>265</v>
      </c>
      <c r="O935" s="84"/>
      <c r="P935" s="87"/>
      <c r="Q935" s="87"/>
      <c r="R935" s="84"/>
      <c r="S935" s="84"/>
      <c r="T935" s="87"/>
      <c r="U935" s="84">
        <v>1</v>
      </c>
      <c r="V935" s="84">
        <v>1</v>
      </c>
      <c r="W935" s="84">
        <v>1</v>
      </c>
      <c r="X935" s="84">
        <v>1</v>
      </c>
      <c r="Y935" s="84">
        <v>0</v>
      </c>
      <c r="Z935" s="84">
        <v>0</v>
      </c>
      <c r="AA935" s="84">
        <v>0</v>
      </c>
      <c r="AB935" s="84">
        <v>0</v>
      </c>
      <c r="AC935" s="84">
        <v>0</v>
      </c>
      <c r="AD935" s="84">
        <v>0</v>
      </c>
      <c r="AE935" s="84">
        <v>0</v>
      </c>
      <c r="AF935" s="84">
        <v>0</v>
      </c>
      <c r="AG935" s="84">
        <v>0</v>
      </c>
      <c r="AH935" s="84">
        <v>0</v>
      </c>
      <c r="AI935" s="84">
        <v>1</v>
      </c>
      <c r="AJ935" s="84">
        <v>0</v>
      </c>
      <c r="AK935" s="84">
        <v>0</v>
      </c>
      <c r="AL935" s="84" cm="1">
        <f t="array" ref="AL9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5" s="84" cm="1">
        <f t="array" ref="AM9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35" s="84" cm="1">
        <f t="array" ref="AN9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35" s="84" cm="1">
        <f t="array" ref="AO9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35" s="84" cm="1">
        <f t="array" ref="AP9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5" s="84" cm="1">
        <f t="array" ref="AQ9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5" s="84" cm="1">
        <f t="array" ref="AR9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5" s="84" cm="1">
        <f t="array" ref="AS9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5" s="84" cm="1">
        <f t="array" ref="AT9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5" s="84" cm="1">
        <f t="array" ref="AU9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5" s="84" cm="1">
        <f t="array" ref="AV9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5" s="84" cm="1">
        <f t="array" ref="AW9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5" s="84" cm="1">
        <f t="array" ref="AX9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5" s="84" cm="1">
        <f t="array" ref="AY9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5" s="84" cm="1">
        <f t="array" ref="AZ9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35" s="84" cm="1">
        <f t="array" ref="BA9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5" s="84" cm="1">
        <f t="array" ref="BB9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5" s="84">
        <f>IF(SUM(Table3[[#This Row],[Column2]:[Column18]])&gt;Table3[[#This Row],[Column19]],Table3[[#This Row],[Column19]],SUM(Table3[[#This Row],[Column2]:[Column18]]))</f>
        <v>10000</v>
      </c>
      <c r="BD935" s="2">
        <f>Table3[[#This Row],[Total Spend]]/SUM(Table3[[#This Row],[Column2]:[Column18]])</f>
        <v>7.2859744990892539E-2</v>
      </c>
    </row>
    <row r="936" spans="1:56">
      <c r="A936" s="84" t="s">
        <v>1010</v>
      </c>
      <c r="B936" s="84"/>
      <c r="C936" s="84"/>
      <c r="D936" s="85">
        <v>45566</v>
      </c>
      <c r="E936" s="85" t="s">
        <v>92</v>
      </c>
      <c r="F936" s="84">
        <f>INDEX(Definitions!$G$13:$G$17,MATCH(Table3[[#This Row],[Propensity to buy/ buyer readiness]],Definitions!$A$13:$A$17,0))</f>
        <v>10000</v>
      </c>
      <c r="G936" s="86">
        <v>3</v>
      </c>
      <c r="H936" s="86">
        <v>3</v>
      </c>
      <c r="I936" s="86">
        <v>4</v>
      </c>
      <c r="J936" s="86">
        <v>4</v>
      </c>
      <c r="K936" s="86">
        <v>2</v>
      </c>
      <c r="L936" s="86">
        <f>SUM(Table3[[#This Row],[Strategic priority segment]:[Propensity to buy/ buyer readiness]])</f>
        <v>16</v>
      </c>
      <c r="M936" s="86" t="s">
        <v>59</v>
      </c>
      <c r="N936" s="84" t="s">
        <v>265</v>
      </c>
      <c r="O936" s="84"/>
      <c r="P936" s="87"/>
      <c r="Q936" s="87"/>
      <c r="R936" s="84"/>
      <c r="S936" s="87"/>
      <c r="T936" s="87"/>
      <c r="U936" s="84">
        <v>1</v>
      </c>
      <c r="V936" s="84">
        <v>1</v>
      </c>
      <c r="W936" s="84">
        <v>1</v>
      </c>
      <c r="X936" s="84">
        <v>1</v>
      </c>
      <c r="Y936" s="84">
        <v>0</v>
      </c>
      <c r="Z936" s="84">
        <v>0</v>
      </c>
      <c r="AA936" s="84">
        <v>0</v>
      </c>
      <c r="AB936" s="84">
        <v>0</v>
      </c>
      <c r="AC936" s="84">
        <v>0</v>
      </c>
      <c r="AD936" s="84">
        <v>0</v>
      </c>
      <c r="AE936" s="84">
        <v>0</v>
      </c>
      <c r="AF936" s="84">
        <v>0</v>
      </c>
      <c r="AG936" s="84">
        <v>0</v>
      </c>
      <c r="AH936" s="84">
        <v>0</v>
      </c>
      <c r="AI936" s="84">
        <v>1</v>
      </c>
      <c r="AJ936" s="84">
        <v>0</v>
      </c>
      <c r="AK936" s="84">
        <v>0</v>
      </c>
      <c r="AL936" s="84" cm="1">
        <f t="array" ref="AL9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6" s="84" cm="1">
        <f t="array" ref="AM9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36" s="84" cm="1">
        <f t="array" ref="AN9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36" s="84" cm="1">
        <f t="array" ref="AO9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36" s="84" cm="1">
        <f t="array" ref="AP9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6" s="84" cm="1">
        <f t="array" ref="AQ9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6" s="84" cm="1">
        <f t="array" ref="AR9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6" s="84" cm="1">
        <f t="array" ref="AS9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6" s="84" cm="1">
        <f t="array" ref="AT9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6" s="84" cm="1">
        <f t="array" ref="AU9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6" s="84" cm="1">
        <f t="array" ref="AV9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6" s="84" cm="1">
        <f t="array" ref="AW9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6" s="84" cm="1">
        <f t="array" ref="AX9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6" s="84" cm="1">
        <f t="array" ref="AY9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6" s="84" cm="1">
        <f t="array" ref="AZ9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36" s="84" cm="1">
        <f t="array" ref="BA9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6" s="84" cm="1">
        <f t="array" ref="BB9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6" s="84">
        <f>IF(SUM(Table3[[#This Row],[Column2]:[Column18]])&gt;Table3[[#This Row],[Column19]],Table3[[#This Row],[Column19]],SUM(Table3[[#This Row],[Column2]:[Column18]]))</f>
        <v>10000</v>
      </c>
      <c r="BD936" s="2">
        <f>Table3[[#This Row],[Total Spend]]/SUM(Table3[[#This Row],[Column2]:[Column18]])</f>
        <v>7.2859744990892539E-2</v>
      </c>
    </row>
    <row r="937" spans="1:56">
      <c r="A937" s="84" t="s">
        <v>1011</v>
      </c>
      <c r="B937" s="84" t="s">
        <v>57</v>
      </c>
      <c r="C937" s="84"/>
      <c r="D937" s="85">
        <v>45566</v>
      </c>
      <c r="E937" s="85" t="s">
        <v>92</v>
      </c>
      <c r="F937" s="84">
        <f>INDEX(Definitions!$G$13:$G$17,MATCH(Table3[[#This Row],[Propensity to buy/ buyer readiness]],Definitions!$A$13:$A$17,0))</f>
        <v>50000</v>
      </c>
      <c r="G937" s="86">
        <v>3</v>
      </c>
      <c r="H937" s="86">
        <v>3</v>
      </c>
      <c r="I937" s="86">
        <v>4</v>
      </c>
      <c r="J937" s="86">
        <v>3</v>
      </c>
      <c r="K937" s="86">
        <v>3</v>
      </c>
      <c r="L937" s="86">
        <f>SUM(Table3[[#This Row],[Strategic priority segment]:[Propensity to buy/ buyer readiness]])</f>
        <v>16</v>
      </c>
      <c r="M937" s="86" t="s">
        <v>152</v>
      </c>
      <c r="N937" s="84" t="s">
        <v>130</v>
      </c>
      <c r="O937" s="84"/>
      <c r="P937" s="87"/>
      <c r="Q937" s="87"/>
      <c r="R937" s="84"/>
      <c r="S937" s="84"/>
      <c r="T937" s="87"/>
      <c r="U937" s="84">
        <v>1</v>
      </c>
      <c r="V937" s="84">
        <v>0</v>
      </c>
      <c r="W937" s="84">
        <v>0</v>
      </c>
      <c r="X937" s="84">
        <v>0</v>
      </c>
      <c r="Y937" s="84">
        <v>0</v>
      </c>
      <c r="Z937" s="84">
        <v>0</v>
      </c>
      <c r="AA937" s="84">
        <v>0</v>
      </c>
      <c r="AB937" s="84">
        <v>0</v>
      </c>
      <c r="AC937" s="84">
        <v>0</v>
      </c>
      <c r="AD937" s="84">
        <v>0</v>
      </c>
      <c r="AE937" s="84">
        <v>0</v>
      </c>
      <c r="AF937" s="84">
        <v>0</v>
      </c>
      <c r="AG937" s="84">
        <v>0</v>
      </c>
      <c r="AH937" s="84">
        <v>0</v>
      </c>
      <c r="AI937" s="84">
        <v>0</v>
      </c>
      <c r="AJ937" s="84">
        <v>0</v>
      </c>
      <c r="AK937" s="84">
        <v>0</v>
      </c>
      <c r="AL937" s="84" cm="1">
        <f t="array" ref="AL9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7" s="84" cm="1">
        <f t="array" ref="AM9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7" s="84" cm="1">
        <f t="array" ref="AN9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7" s="84" cm="1">
        <f t="array" ref="AO9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7" s="84" cm="1">
        <f t="array" ref="AP9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7" s="84" cm="1">
        <f t="array" ref="AQ9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7" s="84" cm="1">
        <f t="array" ref="AR9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7" s="84" cm="1">
        <f t="array" ref="AS9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7" s="84" cm="1">
        <f t="array" ref="AT9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7" s="84" cm="1">
        <f t="array" ref="AU9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7" s="84" cm="1">
        <f t="array" ref="AV9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7" s="84" cm="1">
        <f t="array" ref="AW9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7" s="84" cm="1">
        <f t="array" ref="AX9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7" s="84" cm="1">
        <f t="array" ref="AY9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7" s="84" cm="1">
        <f t="array" ref="AZ9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7" s="84" cm="1">
        <f t="array" ref="BA9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7" s="84" cm="1">
        <f t="array" ref="BB9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7" s="84">
        <f>IF(SUM(Table3[[#This Row],[Column2]:[Column18]])&gt;Table3[[#This Row],[Column19]],Table3[[#This Row],[Column19]],SUM(Table3[[#This Row],[Column2]:[Column18]]))</f>
        <v>8100</v>
      </c>
      <c r="BD937" s="2">
        <f>Table3[[#This Row],[Total Spend]]/SUM(Table3[[#This Row],[Column2]:[Column18]])</f>
        <v>1</v>
      </c>
    </row>
    <row r="938" spans="1:56">
      <c r="A938" s="84" t="s">
        <v>1012</v>
      </c>
      <c r="B938" s="84"/>
      <c r="C938" s="84"/>
      <c r="D938" s="85">
        <v>45566</v>
      </c>
      <c r="E938" s="85" t="s">
        <v>92</v>
      </c>
      <c r="F938" s="84">
        <f>INDEX(Definitions!$G$13:$G$17,MATCH(Table3[[#This Row],[Propensity to buy/ buyer readiness]],Definitions!$A$13:$A$17,0))</f>
        <v>50000</v>
      </c>
      <c r="G938" s="86">
        <v>4</v>
      </c>
      <c r="H938" s="86">
        <v>3</v>
      </c>
      <c r="I938" s="86">
        <v>3</v>
      </c>
      <c r="J938" s="86">
        <v>3</v>
      </c>
      <c r="K938" s="86">
        <v>3</v>
      </c>
      <c r="L938" s="86">
        <f>SUM(Table3[[#This Row],[Strategic priority segment]:[Propensity to buy/ buyer readiness]])</f>
        <v>16</v>
      </c>
      <c r="M938" s="86" t="s">
        <v>191</v>
      </c>
      <c r="N938" s="84" t="s">
        <v>76</v>
      </c>
      <c r="O938" s="84" t="s">
        <v>135</v>
      </c>
      <c r="P938" s="84"/>
      <c r="Q938" s="84"/>
      <c r="R938" s="84"/>
      <c r="S938" s="87"/>
      <c r="T938" s="87"/>
      <c r="U938" s="84">
        <v>0</v>
      </c>
      <c r="V938" s="84">
        <v>0</v>
      </c>
      <c r="W938" s="84">
        <v>0</v>
      </c>
      <c r="X938" s="84">
        <v>0</v>
      </c>
      <c r="Y938" s="84">
        <v>0</v>
      </c>
      <c r="Z938" s="84">
        <v>0</v>
      </c>
      <c r="AA938" s="84">
        <v>0</v>
      </c>
      <c r="AB938" s="84">
        <v>0</v>
      </c>
      <c r="AC938" s="84">
        <v>0</v>
      </c>
      <c r="AD938" s="84">
        <v>0</v>
      </c>
      <c r="AE938" s="84">
        <v>0</v>
      </c>
      <c r="AF938" s="84">
        <v>0</v>
      </c>
      <c r="AG938" s="84">
        <v>0</v>
      </c>
      <c r="AH938" s="84">
        <v>1</v>
      </c>
      <c r="AI938" s="84">
        <v>1</v>
      </c>
      <c r="AJ938" s="84">
        <v>1</v>
      </c>
      <c r="AK938" s="84">
        <v>1</v>
      </c>
      <c r="AL938" s="84" cm="1">
        <f t="array" ref="AL9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38" s="84" cm="1">
        <f t="array" ref="AM9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8" s="84" cm="1">
        <f t="array" ref="AN9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8" s="84" cm="1">
        <f t="array" ref="AO9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8" s="84" cm="1">
        <f t="array" ref="AP9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8" s="84" cm="1">
        <f t="array" ref="AQ9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8" s="84" cm="1">
        <f t="array" ref="AR9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8" s="84" cm="1">
        <f t="array" ref="AS9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8" s="84" cm="1">
        <f t="array" ref="AT9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8" s="84" cm="1">
        <f t="array" ref="AU9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8" s="84" cm="1">
        <f t="array" ref="AV9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8" s="84" cm="1">
        <f t="array" ref="AW9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8" s="84" cm="1">
        <f t="array" ref="AX9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8" s="84" cm="1">
        <f t="array" ref="AY9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38" s="84" cm="1">
        <f t="array" ref="AZ9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38" s="84" cm="1">
        <f t="array" ref="BA9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38" s="84" cm="1">
        <f t="array" ref="BB9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38" s="84">
        <f>IF(SUM(Table3[[#This Row],[Column2]:[Column18]])&gt;Table3[[#This Row],[Column19]],Table3[[#This Row],[Column19]],SUM(Table3[[#This Row],[Column2]:[Column18]]))</f>
        <v>46350</v>
      </c>
      <c r="BD938" s="2">
        <f>Table3[[#This Row],[Total Spend]]/SUM(Table3[[#This Row],[Column2]:[Column18]])</f>
        <v>1</v>
      </c>
    </row>
    <row r="939" spans="1:56">
      <c r="A939" s="84" t="s">
        <v>1013</v>
      </c>
      <c r="B939" s="84" t="s">
        <v>57</v>
      </c>
      <c r="C939" s="84"/>
      <c r="D939" s="85">
        <v>45566</v>
      </c>
      <c r="E939" s="85" t="s">
        <v>92</v>
      </c>
      <c r="F939" s="84">
        <f>INDEX(Definitions!$G$13:$G$17,MATCH(Table3[[#This Row],[Propensity to buy/ buyer readiness]],Definitions!$A$13:$A$17,0))</f>
        <v>50000</v>
      </c>
      <c r="G939" s="86">
        <v>3</v>
      </c>
      <c r="H939" s="86">
        <v>3</v>
      </c>
      <c r="I939" s="86">
        <v>4</v>
      </c>
      <c r="J939" s="86">
        <v>3</v>
      </c>
      <c r="K939" s="86">
        <v>3</v>
      </c>
      <c r="L939" s="86">
        <f>SUM(Table3[[#This Row],[Strategic priority segment]:[Propensity to buy/ buyer readiness]])</f>
        <v>16</v>
      </c>
      <c r="M939" s="86" t="s">
        <v>152</v>
      </c>
      <c r="N939" s="84" t="s">
        <v>130</v>
      </c>
      <c r="O939" s="84"/>
      <c r="P939" s="87"/>
      <c r="Q939" s="87"/>
      <c r="R939" s="84"/>
      <c r="S939" s="84"/>
      <c r="T939" s="87"/>
      <c r="U939" s="84">
        <v>1</v>
      </c>
      <c r="V939" s="84">
        <v>0</v>
      </c>
      <c r="W939" s="84">
        <v>0</v>
      </c>
      <c r="X939" s="84">
        <v>0</v>
      </c>
      <c r="Y939" s="84">
        <v>0</v>
      </c>
      <c r="Z939" s="84">
        <v>0</v>
      </c>
      <c r="AA939" s="84">
        <v>0</v>
      </c>
      <c r="AB939" s="84">
        <v>0</v>
      </c>
      <c r="AC939" s="84">
        <v>0</v>
      </c>
      <c r="AD939" s="84">
        <v>0</v>
      </c>
      <c r="AE939" s="84">
        <v>0</v>
      </c>
      <c r="AF939" s="84">
        <v>0</v>
      </c>
      <c r="AG939" s="84">
        <v>0</v>
      </c>
      <c r="AH939" s="84">
        <v>0</v>
      </c>
      <c r="AI939" s="84">
        <v>0</v>
      </c>
      <c r="AJ939" s="84">
        <v>0</v>
      </c>
      <c r="AK939" s="84">
        <v>0</v>
      </c>
      <c r="AL939" s="84" cm="1">
        <f t="array" ref="AL9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39" s="84" cm="1">
        <f t="array" ref="AM9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39" s="84" cm="1">
        <f t="array" ref="AN9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39" s="84" cm="1">
        <f t="array" ref="AO9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39" s="84" cm="1">
        <f t="array" ref="AP9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39" s="84" cm="1">
        <f t="array" ref="AQ9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39" s="84" cm="1">
        <f t="array" ref="AR9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39" s="84" cm="1">
        <f t="array" ref="AS9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39" s="84" cm="1">
        <f t="array" ref="AT9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39" s="84" cm="1">
        <f t="array" ref="AU9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39" s="84" cm="1">
        <f t="array" ref="AV9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39" s="84" cm="1">
        <f t="array" ref="AW9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39" s="84" cm="1">
        <f t="array" ref="AX9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39" s="84" cm="1">
        <f t="array" ref="AY9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39" s="84" cm="1">
        <f t="array" ref="AZ9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39" s="84" cm="1">
        <f t="array" ref="BA9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39" s="84" cm="1">
        <f t="array" ref="BB9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39" s="84">
        <f>IF(SUM(Table3[[#This Row],[Column2]:[Column18]])&gt;Table3[[#This Row],[Column19]],Table3[[#This Row],[Column19]],SUM(Table3[[#This Row],[Column2]:[Column18]]))</f>
        <v>8100</v>
      </c>
      <c r="BD939" s="2">
        <f>Table3[[#This Row],[Total Spend]]/SUM(Table3[[#This Row],[Column2]:[Column18]])</f>
        <v>1</v>
      </c>
    </row>
    <row r="940" spans="1:56">
      <c r="A940" s="84" t="s">
        <v>1014</v>
      </c>
      <c r="B940" s="84" t="s">
        <v>57</v>
      </c>
      <c r="C940" s="84"/>
      <c r="D940" s="85">
        <v>45566</v>
      </c>
      <c r="E940" s="85" t="s">
        <v>58</v>
      </c>
      <c r="F940" s="84">
        <f>INDEX(Definitions!$G$13:$G$17,MATCH(Table3[[#This Row],[Propensity to buy/ buyer readiness]],Definitions!$A$13:$A$17,0))</f>
        <v>50000</v>
      </c>
      <c r="G940" s="86">
        <v>3</v>
      </c>
      <c r="H940" s="86">
        <v>3</v>
      </c>
      <c r="I940" s="86">
        <v>4</v>
      </c>
      <c r="J940" s="86">
        <v>3</v>
      </c>
      <c r="K940" s="86">
        <v>3</v>
      </c>
      <c r="L940" s="86">
        <f>SUM(Table3[[#This Row],[Strategic priority segment]:[Propensity to buy/ buyer readiness]])</f>
        <v>16</v>
      </c>
      <c r="M940" s="86" t="s">
        <v>152</v>
      </c>
      <c r="N940" s="84" t="s">
        <v>264</v>
      </c>
      <c r="O940" s="84"/>
      <c r="P940" s="87"/>
      <c r="Q940" s="87"/>
      <c r="R940" s="84"/>
      <c r="S940" s="84"/>
      <c r="T940" s="84"/>
      <c r="U940" s="84">
        <v>1</v>
      </c>
      <c r="V940" s="84">
        <v>0</v>
      </c>
      <c r="W940" s="84">
        <v>0</v>
      </c>
      <c r="X940" s="84">
        <v>0</v>
      </c>
      <c r="Y940" s="84">
        <v>0</v>
      </c>
      <c r="Z940" s="84">
        <v>0</v>
      </c>
      <c r="AA940" s="84">
        <v>0</v>
      </c>
      <c r="AB940" s="84">
        <v>0</v>
      </c>
      <c r="AC940" s="84">
        <v>0</v>
      </c>
      <c r="AD940" s="84">
        <v>0</v>
      </c>
      <c r="AE940" s="84">
        <v>0</v>
      </c>
      <c r="AF940" s="84">
        <v>0</v>
      </c>
      <c r="AG940" s="84">
        <v>0</v>
      </c>
      <c r="AH940" s="84">
        <v>0</v>
      </c>
      <c r="AI940" s="84">
        <v>0</v>
      </c>
      <c r="AJ940" s="84">
        <v>0</v>
      </c>
      <c r="AK940" s="84">
        <v>0</v>
      </c>
      <c r="AL940" s="84" cm="1">
        <f t="array" ref="AL9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40" s="84" cm="1">
        <f t="array" ref="AM9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40" s="84" cm="1">
        <f t="array" ref="AN9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40" s="84" cm="1">
        <f t="array" ref="AO9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40" s="84" cm="1">
        <f t="array" ref="AP9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0" s="84" cm="1">
        <f t="array" ref="AQ9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0" s="84" cm="1">
        <f t="array" ref="AR9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0" s="84" cm="1">
        <f t="array" ref="AS9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0" s="84" cm="1">
        <f t="array" ref="AT9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0" s="84" cm="1">
        <f t="array" ref="AU9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0" s="84" cm="1">
        <f t="array" ref="AV9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0" s="84" cm="1">
        <f t="array" ref="AW9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0" s="84" cm="1">
        <f t="array" ref="AX9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0" s="84" cm="1">
        <f t="array" ref="AY9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0" s="84" cm="1">
        <f t="array" ref="AZ9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40" s="84" cm="1">
        <f t="array" ref="BA9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0" s="84" cm="1">
        <f t="array" ref="BB9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0" s="84">
        <f>IF(SUM(Table3[[#This Row],[Column2]:[Column18]])&gt;Table3[[#This Row],[Column19]],Table3[[#This Row],[Column19]],SUM(Table3[[#This Row],[Column2]:[Column18]]))</f>
        <v>10800</v>
      </c>
      <c r="BD940" s="2">
        <f>Table3[[#This Row],[Total Spend]]/SUM(Table3[[#This Row],[Column2]:[Column18]])</f>
        <v>1</v>
      </c>
    </row>
    <row r="941" spans="1:56">
      <c r="A941" s="84" t="s">
        <v>1015</v>
      </c>
      <c r="B941" s="84" t="s">
        <v>57</v>
      </c>
      <c r="C941" s="84"/>
      <c r="D941" s="85">
        <v>45566</v>
      </c>
      <c r="E941" s="85" t="s">
        <v>92</v>
      </c>
      <c r="F941" s="84">
        <f>INDEX(Definitions!$G$13:$G$17,MATCH(Table3[[#This Row],[Propensity to buy/ buyer readiness]],Definitions!$A$13:$A$17,0))</f>
        <v>10000</v>
      </c>
      <c r="G941" s="86">
        <v>3</v>
      </c>
      <c r="H941" s="86">
        <v>3</v>
      </c>
      <c r="I941" s="86">
        <v>4</v>
      </c>
      <c r="J941" s="86">
        <v>4</v>
      </c>
      <c r="K941" s="86">
        <v>2</v>
      </c>
      <c r="L941" s="86">
        <f>SUM(Table3[[#This Row],[Strategic priority segment]:[Propensity to buy/ buyer readiness]])</f>
        <v>16</v>
      </c>
      <c r="M941" s="86" t="s">
        <v>59</v>
      </c>
      <c r="N941" s="84" t="s">
        <v>265</v>
      </c>
      <c r="O941" s="84"/>
      <c r="P941" s="87"/>
      <c r="Q941" s="87"/>
      <c r="R941" s="84"/>
      <c r="S941" s="84"/>
      <c r="T941" s="87"/>
      <c r="U941" s="84">
        <v>1</v>
      </c>
      <c r="V941" s="84">
        <v>1</v>
      </c>
      <c r="W941" s="84">
        <v>1</v>
      </c>
      <c r="X941" s="84">
        <v>1</v>
      </c>
      <c r="Y941" s="84">
        <v>0</v>
      </c>
      <c r="Z941" s="84">
        <v>0</v>
      </c>
      <c r="AA941" s="84">
        <v>0</v>
      </c>
      <c r="AB941" s="84">
        <v>0</v>
      </c>
      <c r="AC941" s="84">
        <v>0</v>
      </c>
      <c r="AD941" s="84">
        <v>0</v>
      </c>
      <c r="AE941" s="84">
        <v>0</v>
      </c>
      <c r="AF941" s="84">
        <v>0</v>
      </c>
      <c r="AG941" s="84">
        <v>0</v>
      </c>
      <c r="AH941" s="84">
        <v>0</v>
      </c>
      <c r="AI941" s="84">
        <v>1</v>
      </c>
      <c r="AJ941" s="84">
        <v>0</v>
      </c>
      <c r="AK941" s="84">
        <v>0</v>
      </c>
      <c r="AL941" s="84" cm="1">
        <f t="array" ref="AL9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41" s="84" cm="1">
        <f t="array" ref="AM9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41" s="84" cm="1">
        <f t="array" ref="AN9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41" s="84" cm="1">
        <f t="array" ref="AO9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41" s="84" cm="1">
        <f t="array" ref="AP9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1" s="84" cm="1">
        <f t="array" ref="AQ9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1" s="84" cm="1">
        <f t="array" ref="AR9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1" s="84" cm="1">
        <f t="array" ref="AS9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1" s="84" cm="1">
        <f t="array" ref="AT9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1" s="84" cm="1">
        <f t="array" ref="AU9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1" s="84" cm="1">
        <f t="array" ref="AV9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1" s="84" cm="1">
        <f t="array" ref="AW9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1" s="84" cm="1">
        <f t="array" ref="AX9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1" s="84" cm="1">
        <f t="array" ref="AY9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1" s="84" cm="1">
        <f t="array" ref="AZ9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41" s="84" cm="1">
        <f t="array" ref="BA9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1" s="84" cm="1">
        <f t="array" ref="BB9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1" s="84">
        <f>IF(SUM(Table3[[#This Row],[Column2]:[Column18]])&gt;Table3[[#This Row],[Column19]],Table3[[#This Row],[Column19]],SUM(Table3[[#This Row],[Column2]:[Column18]]))</f>
        <v>10000</v>
      </c>
      <c r="BD941" s="2">
        <f>Table3[[#This Row],[Total Spend]]/SUM(Table3[[#This Row],[Column2]:[Column18]])</f>
        <v>7.2859744990892539E-2</v>
      </c>
    </row>
    <row r="942" spans="1:56">
      <c r="A942" s="84" t="s">
        <v>1016</v>
      </c>
      <c r="B942" s="84"/>
      <c r="C942" s="84" t="s">
        <v>57</v>
      </c>
      <c r="D942" s="85">
        <v>45566</v>
      </c>
      <c r="E942" s="85" t="s">
        <v>92</v>
      </c>
      <c r="F942" s="84">
        <f>INDEX(Definitions!$G$13:$G$17,MATCH(Table3[[#This Row],[Propensity to buy/ buyer readiness]],Definitions!$A$13:$A$17,0))</f>
        <v>50000</v>
      </c>
      <c r="G942" s="86">
        <v>3</v>
      </c>
      <c r="H942" s="86">
        <v>3</v>
      </c>
      <c r="I942" s="86">
        <v>4</v>
      </c>
      <c r="J942" s="86">
        <v>3</v>
      </c>
      <c r="K942" s="86">
        <v>3</v>
      </c>
      <c r="L942" s="86">
        <f>SUM(Table3[[#This Row],[Strategic priority segment]:[Propensity to buy/ buyer readiness]])</f>
        <v>16</v>
      </c>
      <c r="M942" s="86" t="s">
        <v>152</v>
      </c>
      <c r="N942" s="84" t="s">
        <v>130</v>
      </c>
      <c r="O942" s="84"/>
      <c r="P942" s="87"/>
      <c r="Q942" s="87"/>
      <c r="R942" s="84"/>
      <c r="S942" s="87"/>
      <c r="T942" s="87"/>
      <c r="U942" s="84">
        <v>1</v>
      </c>
      <c r="V942" s="84">
        <v>0</v>
      </c>
      <c r="W942" s="84">
        <v>0</v>
      </c>
      <c r="X942" s="84">
        <v>0</v>
      </c>
      <c r="Y942" s="84">
        <v>0</v>
      </c>
      <c r="Z942" s="84">
        <v>0</v>
      </c>
      <c r="AA942" s="84">
        <v>0</v>
      </c>
      <c r="AB942" s="84">
        <v>0</v>
      </c>
      <c r="AC942" s="84">
        <v>0</v>
      </c>
      <c r="AD942" s="84">
        <v>0</v>
      </c>
      <c r="AE942" s="84">
        <v>0</v>
      </c>
      <c r="AF942" s="84">
        <v>0</v>
      </c>
      <c r="AG942" s="84">
        <v>0</v>
      </c>
      <c r="AH942" s="84">
        <v>0</v>
      </c>
      <c r="AI942" s="84">
        <v>0</v>
      </c>
      <c r="AJ942" s="84">
        <v>0</v>
      </c>
      <c r="AK942" s="84">
        <v>0</v>
      </c>
      <c r="AL942" s="84" cm="1">
        <f t="array" ref="AL9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42" s="84" cm="1">
        <f t="array" ref="AM9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42" s="84" cm="1">
        <f t="array" ref="AN9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42" s="84" cm="1">
        <f t="array" ref="AO9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42" s="84" cm="1">
        <f t="array" ref="AP9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2" s="84" cm="1">
        <f t="array" ref="AQ9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2" s="84" cm="1">
        <f t="array" ref="AR9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2" s="84" cm="1">
        <f t="array" ref="AS9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2" s="84" cm="1">
        <f t="array" ref="AT9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2" s="84" cm="1">
        <f t="array" ref="AU9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2" s="84" cm="1">
        <f t="array" ref="AV9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2" s="84" cm="1">
        <f t="array" ref="AW9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2" s="84" cm="1">
        <f t="array" ref="AX9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2" s="84" cm="1">
        <f t="array" ref="AY9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2" s="84" cm="1">
        <f t="array" ref="AZ9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42" s="84" cm="1">
        <f t="array" ref="BA9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2" s="84" cm="1">
        <f t="array" ref="BB9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2" s="84">
        <f>IF(SUM(Table3[[#This Row],[Column2]:[Column18]])&gt;Table3[[#This Row],[Column19]],Table3[[#This Row],[Column19]],SUM(Table3[[#This Row],[Column2]:[Column18]]))</f>
        <v>8100</v>
      </c>
      <c r="BD942" s="2">
        <f>Table3[[#This Row],[Total Spend]]/SUM(Table3[[#This Row],[Column2]:[Column18]])</f>
        <v>1</v>
      </c>
    </row>
    <row r="943" spans="1:56">
      <c r="A943" s="84" t="s">
        <v>1017</v>
      </c>
      <c r="B943" s="84"/>
      <c r="C943" s="84"/>
      <c r="D943" s="85">
        <v>45566</v>
      </c>
      <c r="E943" s="85" t="s">
        <v>58</v>
      </c>
      <c r="F943" s="84">
        <f>INDEX(Definitions!$G$13:$G$17,MATCH(Table3[[#This Row],[Propensity to buy/ buyer readiness]],Definitions!$A$13:$A$17,0))</f>
        <v>150000</v>
      </c>
      <c r="G943" s="86">
        <v>3</v>
      </c>
      <c r="H943" s="86">
        <v>3</v>
      </c>
      <c r="I943" s="86">
        <v>3</v>
      </c>
      <c r="J943" s="86">
        <v>3</v>
      </c>
      <c r="K943" s="86">
        <v>4</v>
      </c>
      <c r="L943" s="86">
        <f>SUM(Table3[[#This Row],[Strategic priority segment]:[Propensity to buy/ buyer readiness]])</f>
        <v>16</v>
      </c>
      <c r="M943" s="86" t="s">
        <v>191</v>
      </c>
      <c r="N943" s="84" t="s">
        <v>76</v>
      </c>
      <c r="O943" s="84"/>
      <c r="P943" s="84"/>
      <c r="Q943" s="84"/>
      <c r="R943" s="84"/>
      <c r="S943" s="87"/>
      <c r="T943" s="84"/>
      <c r="U943" s="84">
        <v>0</v>
      </c>
      <c r="V943" s="84">
        <v>0</v>
      </c>
      <c r="W943" s="84">
        <v>0</v>
      </c>
      <c r="X943" s="84">
        <v>0</v>
      </c>
      <c r="Y943" s="84">
        <v>0</v>
      </c>
      <c r="Z943" s="84">
        <v>0</v>
      </c>
      <c r="AA943" s="84">
        <v>0</v>
      </c>
      <c r="AB943" s="84">
        <v>0</v>
      </c>
      <c r="AC943" s="84">
        <v>0</v>
      </c>
      <c r="AD943" s="84">
        <v>0</v>
      </c>
      <c r="AE943" s="84">
        <v>0</v>
      </c>
      <c r="AF943" s="84">
        <v>0</v>
      </c>
      <c r="AG943" s="84">
        <v>0</v>
      </c>
      <c r="AH943" s="84">
        <v>1</v>
      </c>
      <c r="AI943" s="84">
        <v>0</v>
      </c>
      <c r="AJ943" s="84">
        <v>1</v>
      </c>
      <c r="AK943" s="84">
        <v>0</v>
      </c>
      <c r="AL943" s="84" cm="1">
        <f t="array" ref="AL9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43" s="84" cm="1">
        <f t="array" ref="AM9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43" s="84" cm="1">
        <f t="array" ref="AN9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43" s="84" cm="1">
        <f t="array" ref="AO9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43" s="84" cm="1">
        <f t="array" ref="AP9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3" s="84" cm="1">
        <f t="array" ref="AQ9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3" s="84" cm="1">
        <f t="array" ref="AR9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3" s="84" cm="1">
        <f t="array" ref="AS9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3" s="84" cm="1">
        <f t="array" ref="AT9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3" s="84" cm="1">
        <f t="array" ref="AU9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3" s="84" cm="1">
        <f t="array" ref="AV9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3" s="84" cm="1">
        <f t="array" ref="AW9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3" s="84" cm="1">
        <f t="array" ref="AX9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3" s="84" cm="1">
        <f t="array" ref="AY9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943" s="84" cm="1">
        <f t="array" ref="AZ9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43" s="84" cm="1">
        <f t="array" ref="BA9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943" s="84" cm="1">
        <f t="array" ref="BB9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3" s="84">
        <f>IF(SUM(Table3[[#This Row],[Column2]:[Column18]])&gt;Table3[[#This Row],[Column19]],Table3[[#This Row],[Column19]],SUM(Table3[[#This Row],[Column2]:[Column18]]))</f>
        <v>42300</v>
      </c>
      <c r="BD943" s="2">
        <f>Table3[[#This Row],[Total Spend]]/SUM(Table3[[#This Row],[Column2]:[Column18]])</f>
        <v>1</v>
      </c>
    </row>
    <row r="944" spans="1:56">
      <c r="A944" s="84" t="s">
        <v>1018</v>
      </c>
      <c r="B944" s="84" t="s">
        <v>57</v>
      </c>
      <c r="C944" s="84"/>
      <c r="D944" s="85">
        <v>45566</v>
      </c>
      <c r="E944" s="85" t="s">
        <v>92</v>
      </c>
      <c r="F944" s="84">
        <f>INDEX(Definitions!$G$13:$G$17,MATCH(Table3[[#This Row],[Propensity to buy/ buyer readiness]],Definitions!$A$13:$A$17,0))</f>
        <v>10000</v>
      </c>
      <c r="G944" s="86">
        <v>3</v>
      </c>
      <c r="H944" s="86">
        <v>3</v>
      </c>
      <c r="I944" s="86">
        <v>4</v>
      </c>
      <c r="J944" s="86">
        <v>4</v>
      </c>
      <c r="K944" s="86">
        <v>2</v>
      </c>
      <c r="L944" s="86">
        <f>SUM(Table3[[#This Row],[Strategic priority segment]:[Propensity to buy/ buyer readiness]])</f>
        <v>16</v>
      </c>
      <c r="M944" s="86" t="s">
        <v>59</v>
      </c>
      <c r="N944" s="84" t="s">
        <v>265</v>
      </c>
      <c r="O944" s="84"/>
      <c r="P944" s="87"/>
      <c r="Q944" s="87"/>
      <c r="R944" s="84"/>
      <c r="S944" s="84"/>
      <c r="T944" s="84"/>
      <c r="U944" s="84">
        <v>1</v>
      </c>
      <c r="V944" s="84">
        <v>1</v>
      </c>
      <c r="W944" s="84">
        <v>1</v>
      </c>
      <c r="X944" s="84">
        <v>1</v>
      </c>
      <c r="Y944" s="84">
        <v>0</v>
      </c>
      <c r="Z944" s="84">
        <v>0</v>
      </c>
      <c r="AA944" s="84">
        <v>0</v>
      </c>
      <c r="AB944" s="84">
        <v>0</v>
      </c>
      <c r="AC944" s="84">
        <v>0</v>
      </c>
      <c r="AD944" s="84">
        <v>0</v>
      </c>
      <c r="AE944" s="84">
        <v>0</v>
      </c>
      <c r="AF944" s="84">
        <v>0</v>
      </c>
      <c r="AG944" s="84">
        <v>0</v>
      </c>
      <c r="AH944" s="84">
        <v>0</v>
      </c>
      <c r="AI944" s="84">
        <v>1</v>
      </c>
      <c r="AJ944" s="84">
        <v>0</v>
      </c>
      <c r="AK944" s="84">
        <v>0</v>
      </c>
      <c r="AL944" s="84" cm="1">
        <f t="array" ref="AL9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44" s="84" cm="1">
        <f t="array" ref="AM9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44" s="84" cm="1">
        <f t="array" ref="AN9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44" s="84" cm="1">
        <f t="array" ref="AO9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44" s="84" cm="1">
        <f t="array" ref="AP9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4" s="84" cm="1">
        <f t="array" ref="AQ9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4" s="84" cm="1">
        <f t="array" ref="AR9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4" s="84" cm="1">
        <f t="array" ref="AS9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4" s="84" cm="1">
        <f t="array" ref="AT9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4" s="84" cm="1">
        <f t="array" ref="AU9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4" s="84" cm="1">
        <f t="array" ref="AV9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4" s="84" cm="1">
        <f t="array" ref="AW9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4" s="84" cm="1">
        <f t="array" ref="AX9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4" s="84" cm="1">
        <f t="array" ref="AY9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4" s="84" cm="1">
        <f t="array" ref="AZ9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44" s="84" cm="1">
        <f t="array" ref="BA9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4" s="84" cm="1">
        <f t="array" ref="BB9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4" s="84">
        <f>IF(SUM(Table3[[#This Row],[Column2]:[Column18]])&gt;Table3[[#This Row],[Column19]],Table3[[#This Row],[Column19]],SUM(Table3[[#This Row],[Column2]:[Column18]]))</f>
        <v>10000</v>
      </c>
      <c r="BD944" s="2">
        <f>Table3[[#This Row],[Total Spend]]/SUM(Table3[[#This Row],[Column2]:[Column18]])</f>
        <v>7.2859744990892539E-2</v>
      </c>
    </row>
    <row r="945" spans="1:56">
      <c r="A945" s="84" t="s">
        <v>1019</v>
      </c>
      <c r="B945" s="84" t="s">
        <v>57</v>
      </c>
      <c r="C945" s="84"/>
      <c r="D945" s="85">
        <v>45566</v>
      </c>
      <c r="E945" s="85" t="s">
        <v>92</v>
      </c>
      <c r="F945" s="84">
        <f>INDEX(Definitions!$G$13:$G$17,MATCH(Table3[[#This Row],[Propensity to buy/ buyer readiness]],Definitions!$A$13:$A$17,0))</f>
        <v>10000</v>
      </c>
      <c r="G945" s="86">
        <v>3</v>
      </c>
      <c r="H945" s="86">
        <v>3</v>
      </c>
      <c r="I945" s="86">
        <v>4</v>
      </c>
      <c r="J945" s="86">
        <v>4</v>
      </c>
      <c r="K945" s="86">
        <v>2</v>
      </c>
      <c r="L945" s="86">
        <f>SUM(Table3[[#This Row],[Strategic priority segment]:[Propensity to buy/ buyer readiness]])</f>
        <v>16</v>
      </c>
      <c r="M945" s="86" t="s">
        <v>59</v>
      </c>
      <c r="N945" s="84" t="s">
        <v>265</v>
      </c>
      <c r="O945" s="84"/>
      <c r="P945" s="87"/>
      <c r="Q945" s="87"/>
      <c r="R945" s="84"/>
      <c r="S945" s="84"/>
      <c r="T945" s="84"/>
      <c r="U945" s="84">
        <v>1</v>
      </c>
      <c r="V945" s="84">
        <v>1</v>
      </c>
      <c r="W945" s="84">
        <v>1</v>
      </c>
      <c r="X945" s="84">
        <v>1</v>
      </c>
      <c r="Y945" s="84">
        <v>0</v>
      </c>
      <c r="Z945" s="84">
        <v>0</v>
      </c>
      <c r="AA945" s="84">
        <v>0</v>
      </c>
      <c r="AB945" s="84">
        <v>0</v>
      </c>
      <c r="AC945" s="84">
        <v>0</v>
      </c>
      <c r="AD945" s="84">
        <v>0</v>
      </c>
      <c r="AE945" s="84">
        <v>0</v>
      </c>
      <c r="AF945" s="84">
        <v>0</v>
      </c>
      <c r="AG945" s="84">
        <v>0</v>
      </c>
      <c r="AH945" s="84">
        <v>0</v>
      </c>
      <c r="AI945" s="84">
        <v>1</v>
      </c>
      <c r="AJ945" s="84">
        <v>0</v>
      </c>
      <c r="AK945" s="84">
        <v>0</v>
      </c>
      <c r="AL945" s="84" cm="1">
        <f t="array" ref="AL9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45" s="84" cm="1">
        <f t="array" ref="AM9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45" s="84" cm="1">
        <f t="array" ref="AN9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45" s="84" cm="1">
        <f t="array" ref="AO9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45" s="84" cm="1">
        <f t="array" ref="AP9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5" s="84" cm="1">
        <f t="array" ref="AQ9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5" s="84" cm="1">
        <f t="array" ref="AR9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5" s="84" cm="1">
        <f t="array" ref="AS9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5" s="84" cm="1">
        <f t="array" ref="AT9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5" s="84" cm="1">
        <f t="array" ref="AU9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5" s="84" cm="1">
        <f t="array" ref="AV9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5" s="84" cm="1">
        <f t="array" ref="AW9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5" s="84" cm="1">
        <f t="array" ref="AX9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5" s="84" cm="1">
        <f t="array" ref="AY9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5" s="84" cm="1">
        <f t="array" ref="AZ9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45" s="84" cm="1">
        <f t="array" ref="BA9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5" s="84" cm="1">
        <f t="array" ref="BB9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5" s="84">
        <f>IF(SUM(Table3[[#This Row],[Column2]:[Column18]])&gt;Table3[[#This Row],[Column19]],Table3[[#This Row],[Column19]],SUM(Table3[[#This Row],[Column2]:[Column18]]))</f>
        <v>10000</v>
      </c>
      <c r="BD945" s="2">
        <f>Table3[[#This Row],[Total Spend]]/SUM(Table3[[#This Row],[Column2]:[Column18]])</f>
        <v>7.2859744990892539E-2</v>
      </c>
    </row>
    <row r="946" spans="1:56">
      <c r="A946" s="84" t="s">
        <v>1020</v>
      </c>
      <c r="B946" s="84" t="s">
        <v>57</v>
      </c>
      <c r="C946" s="84"/>
      <c r="D946" s="85">
        <v>45566</v>
      </c>
      <c r="E946" s="85" t="s">
        <v>92</v>
      </c>
      <c r="F946" s="84">
        <f>INDEX(Definitions!$G$13:$G$17,MATCH(Table3[[#This Row],[Propensity to buy/ buyer readiness]],Definitions!$A$13:$A$17,0))</f>
        <v>50000</v>
      </c>
      <c r="G946" s="86">
        <v>3</v>
      </c>
      <c r="H946" s="86">
        <v>3</v>
      </c>
      <c r="I946" s="86">
        <v>4</v>
      </c>
      <c r="J946" s="86">
        <v>3</v>
      </c>
      <c r="K946" s="86">
        <v>3</v>
      </c>
      <c r="L946" s="86">
        <f>SUM(Table3[[#This Row],[Strategic priority segment]:[Propensity to buy/ buyer readiness]])</f>
        <v>16</v>
      </c>
      <c r="M946" s="86" t="s">
        <v>152</v>
      </c>
      <c r="N946" s="84" t="s">
        <v>130</v>
      </c>
      <c r="O946" s="84"/>
      <c r="P946" s="87"/>
      <c r="Q946" s="87"/>
      <c r="R946" s="84"/>
      <c r="S946" s="84"/>
      <c r="T946" s="87"/>
      <c r="U946" s="84">
        <v>1</v>
      </c>
      <c r="V946" s="84">
        <v>0</v>
      </c>
      <c r="W946" s="84">
        <v>0</v>
      </c>
      <c r="X946" s="84">
        <v>0</v>
      </c>
      <c r="Y946" s="84">
        <v>0</v>
      </c>
      <c r="Z946" s="84">
        <v>0</v>
      </c>
      <c r="AA946" s="84">
        <v>0</v>
      </c>
      <c r="AB946" s="84">
        <v>0</v>
      </c>
      <c r="AC946" s="84">
        <v>0</v>
      </c>
      <c r="AD946" s="84">
        <v>0</v>
      </c>
      <c r="AE946" s="84">
        <v>0</v>
      </c>
      <c r="AF946" s="84">
        <v>0</v>
      </c>
      <c r="AG946" s="84">
        <v>0</v>
      </c>
      <c r="AH946" s="84">
        <v>0</v>
      </c>
      <c r="AI946" s="84">
        <v>0</v>
      </c>
      <c r="AJ946" s="84">
        <v>0</v>
      </c>
      <c r="AK946" s="84">
        <v>0</v>
      </c>
      <c r="AL946" s="84" cm="1">
        <f t="array" ref="AL9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46" s="84" cm="1">
        <f t="array" ref="AM9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46" s="84" cm="1">
        <f t="array" ref="AN9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46" s="84" cm="1">
        <f t="array" ref="AO9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46" s="84" cm="1">
        <f t="array" ref="AP9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6" s="84" cm="1">
        <f t="array" ref="AQ9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6" s="84" cm="1">
        <f t="array" ref="AR9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6" s="84" cm="1">
        <f t="array" ref="AS9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6" s="84" cm="1">
        <f t="array" ref="AT9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6" s="84" cm="1">
        <f t="array" ref="AU9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6" s="84" cm="1">
        <f t="array" ref="AV9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6" s="84" cm="1">
        <f t="array" ref="AW9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6" s="84" cm="1">
        <f t="array" ref="AX9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6" s="84" cm="1">
        <f t="array" ref="AY9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6" s="84" cm="1">
        <f t="array" ref="AZ9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46" s="84" cm="1">
        <f t="array" ref="BA9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6" s="84" cm="1">
        <f t="array" ref="BB9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6" s="84">
        <f>IF(SUM(Table3[[#This Row],[Column2]:[Column18]])&gt;Table3[[#This Row],[Column19]],Table3[[#This Row],[Column19]],SUM(Table3[[#This Row],[Column2]:[Column18]]))</f>
        <v>8100</v>
      </c>
      <c r="BD946" s="2">
        <f>Table3[[#This Row],[Total Spend]]/SUM(Table3[[#This Row],[Column2]:[Column18]])</f>
        <v>1</v>
      </c>
    </row>
    <row r="947" spans="1:56">
      <c r="A947" s="84" t="s">
        <v>1021</v>
      </c>
      <c r="B947" s="84"/>
      <c r="C947" s="84"/>
      <c r="D947" s="85">
        <v>45566</v>
      </c>
      <c r="E947" s="85" t="s">
        <v>58</v>
      </c>
      <c r="F947" s="84">
        <f>INDEX(Definitions!$G$13:$G$17,MATCH(Table3[[#This Row],[Propensity to buy/ buyer readiness]],Definitions!$A$13:$A$17,0))</f>
        <v>50000</v>
      </c>
      <c r="G947" s="86">
        <v>3</v>
      </c>
      <c r="H947" s="86">
        <v>3</v>
      </c>
      <c r="I947" s="86">
        <v>3</v>
      </c>
      <c r="J947" s="86">
        <v>4</v>
      </c>
      <c r="K947" s="86">
        <v>3</v>
      </c>
      <c r="L947" s="86">
        <f>SUM(Table3[[#This Row],[Strategic priority segment]:[Propensity to buy/ buyer readiness]])</f>
        <v>16</v>
      </c>
      <c r="M947" s="86" t="s">
        <v>59</v>
      </c>
      <c r="N947" s="84" t="s">
        <v>265</v>
      </c>
      <c r="O947" s="84"/>
      <c r="P947" s="87"/>
      <c r="Q947" s="87"/>
      <c r="R947" s="84"/>
      <c r="S947" s="87"/>
      <c r="T947" s="87"/>
      <c r="U947" s="84">
        <v>1</v>
      </c>
      <c r="V947" s="84">
        <v>1</v>
      </c>
      <c r="W947" s="84">
        <v>1</v>
      </c>
      <c r="X947" s="84">
        <v>1</v>
      </c>
      <c r="Y947" s="84">
        <v>0</v>
      </c>
      <c r="Z947" s="84">
        <v>0</v>
      </c>
      <c r="AA947" s="84">
        <v>0</v>
      </c>
      <c r="AB947" s="84">
        <v>0</v>
      </c>
      <c r="AC947" s="84">
        <v>0</v>
      </c>
      <c r="AD947" s="84">
        <v>0</v>
      </c>
      <c r="AE947" s="84">
        <v>0</v>
      </c>
      <c r="AF947" s="84">
        <v>0</v>
      </c>
      <c r="AG947" s="84">
        <v>0</v>
      </c>
      <c r="AH947" s="84">
        <v>0</v>
      </c>
      <c r="AI947" s="84">
        <v>1</v>
      </c>
      <c r="AJ947" s="84">
        <v>0</v>
      </c>
      <c r="AK947" s="84">
        <v>0</v>
      </c>
      <c r="AL947" s="84" cm="1">
        <f t="array" ref="AL9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47" s="84" cm="1">
        <f t="array" ref="AM9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947" s="84" cm="1">
        <f t="array" ref="AN9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947" s="84" cm="1">
        <f t="array" ref="AO9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947" s="84" cm="1">
        <f t="array" ref="AP9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7" s="84" cm="1">
        <f t="array" ref="AQ9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7" s="84" cm="1">
        <f t="array" ref="AR9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7" s="84" cm="1">
        <f t="array" ref="AS9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7" s="84" cm="1">
        <f t="array" ref="AT9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7" s="84" cm="1">
        <f t="array" ref="AU9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7" s="84" cm="1">
        <f t="array" ref="AV9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7" s="84" cm="1">
        <f t="array" ref="AW9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7" s="84" cm="1">
        <f t="array" ref="AX9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7" s="84" cm="1">
        <f t="array" ref="AY9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7" s="84" cm="1">
        <f t="array" ref="AZ9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947" s="84" cm="1">
        <f t="array" ref="BA9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7" s="84" cm="1">
        <f t="array" ref="BB9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7" s="84">
        <f>IF(SUM(Table3[[#This Row],[Column2]:[Column18]])&gt;Table3[[#This Row],[Column19]],Table3[[#This Row],[Column19]],SUM(Table3[[#This Row],[Column2]:[Column18]]))</f>
        <v>50000</v>
      </c>
      <c r="BD947" s="2">
        <f>Table3[[#This Row],[Total Spend]]/SUM(Table3[[#This Row],[Column2]:[Column18]])</f>
        <v>0.26021337496747332</v>
      </c>
    </row>
    <row r="948" spans="1:56">
      <c r="A948" s="84" t="s">
        <v>1022</v>
      </c>
      <c r="B948" s="84"/>
      <c r="C948" s="84"/>
      <c r="D948" s="85">
        <v>45566</v>
      </c>
      <c r="E948" s="85" t="s">
        <v>92</v>
      </c>
      <c r="F948" s="84">
        <f>INDEX(Definitions!$G$13:$G$17,MATCH(Table3[[#This Row],[Propensity to buy/ buyer readiness]],Definitions!$A$13:$A$17,0))</f>
        <v>50000</v>
      </c>
      <c r="G948" s="86">
        <v>3</v>
      </c>
      <c r="H948" s="86">
        <v>3</v>
      </c>
      <c r="I948" s="86">
        <v>4</v>
      </c>
      <c r="J948" s="86">
        <v>3</v>
      </c>
      <c r="K948" s="86">
        <v>3</v>
      </c>
      <c r="L948" s="86">
        <f>SUM(Table3[[#This Row],[Strategic priority segment]:[Propensity to buy/ buyer readiness]])</f>
        <v>16</v>
      </c>
      <c r="M948" s="86" t="s">
        <v>152</v>
      </c>
      <c r="N948" s="84" t="s">
        <v>122</v>
      </c>
      <c r="O948" s="84"/>
      <c r="P948" s="87"/>
      <c r="Q948" s="87"/>
      <c r="R948" s="84"/>
      <c r="S948" s="87"/>
      <c r="T948" s="84"/>
      <c r="U948" s="84">
        <v>1</v>
      </c>
      <c r="V948" s="84">
        <v>0</v>
      </c>
      <c r="W948" s="84">
        <v>0</v>
      </c>
      <c r="X948" s="84">
        <v>0</v>
      </c>
      <c r="Y948" s="84">
        <v>0</v>
      </c>
      <c r="Z948" s="84">
        <v>1</v>
      </c>
      <c r="AA948" s="84">
        <v>0</v>
      </c>
      <c r="AB948" s="84">
        <v>1</v>
      </c>
      <c r="AC948" s="84">
        <v>0</v>
      </c>
      <c r="AD948" s="84">
        <v>1</v>
      </c>
      <c r="AE948" s="84">
        <v>0</v>
      </c>
      <c r="AF948" s="84">
        <v>1</v>
      </c>
      <c r="AG948" s="84">
        <v>0</v>
      </c>
      <c r="AH948" s="84">
        <v>0</v>
      </c>
      <c r="AI948" s="84">
        <v>0</v>
      </c>
      <c r="AJ948" s="84">
        <v>0</v>
      </c>
      <c r="AK948" s="84">
        <v>0</v>
      </c>
      <c r="AL948" s="84" cm="1">
        <f t="array" ref="AL9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48" s="84" cm="1">
        <f t="array" ref="AM9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48" s="84" cm="1">
        <f t="array" ref="AN9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48" s="84" cm="1">
        <f t="array" ref="AO9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48" s="84" cm="1">
        <f t="array" ref="AP9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8" s="84" cm="1">
        <f t="array" ref="AQ9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48" s="84" cm="1">
        <f t="array" ref="AR9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8" s="84" cm="1">
        <f t="array" ref="AS9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48" s="84" cm="1">
        <f t="array" ref="AT9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8" s="84" cm="1">
        <f t="array" ref="AU9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48" s="84" cm="1">
        <f t="array" ref="AV9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8" s="84" cm="1">
        <f t="array" ref="AW9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48" s="84" cm="1">
        <f t="array" ref="AX9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8" s="84" cm="1">
        <f t="array" ref="AY9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8" s="84" cm="1">
        <f t="array" ref="AZ9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48" s="84" cm="1">
        <f t="array" ref="BA9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8" s="84" cm="1">
        <f t="array" ref="BB9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8" s="84">
        <f>IF(SUM(Table3[[#This Row],[Column2]:[Column18]])&gt;Table3[[#This Row],[Column19]],Table3[[#This Row],[Column19]],SUM(Table3[[#This Row],[Column2]:[Column18]]))</f>
        <v>50000</v>
      </c>
      <c r="BD948" s="2">
        <f>Table3[[#This Row],[Total Spend]]/SUM(Table3[[#This Row],[Column2]:[Column18]])</f>
        <v>0.41459369817578773</v>
      </c>
    </row>
    <row r="949" spans="1:56">
      <c r="A949" s="84" t="s">
        <v>1023</v>
      </c>
      <c r="B949" s="84"/>
      <c r="C949" s="84"/>
      <c r="D949" s="85">
        <v>45566</v>
      </c>
      <c r="E949" s="85" t="s">
        <v>58</v>
      </c>
      <c r="F949" s="84">
        <f>INDEX(Definitions!$G$13:$G$17,MATCH(Table3[[#This Row],[Propensity to buy/ buyer readiness]],Definitions!$A$13:$A$17,0))</f>
        <v>50000</v>
      </c>
      <c r="G949" s="86">
        <v>3</v>
      </c>
      <c r="H949" s="86">
        <v>3</v>
      </c>
      <c r="I949" s="86">
        <v>3</v>
      </c>
      <c r="J949" s="86">
        <v>4</v>
      </c>
      <c r="K949" s="86">
        <v>3</v>
      </c>
      <c r="L949" s="86">
        <f>SUM(Table3[[#This Row],[Strategic priority segment]:[Propensity to buy/ buyer readiness]])</f>
        <v>16</v>
      </c>
      <c r="M949" s="86" t="s">
        <v>59</v>
      </c>
      <c r="N949" s="84" t="s">
        <v>265</v>
      </c>
      <c r="O949" s="84"/>
      <c r="P949" s="87"/>
      <c r="Q949" s="87"/>
      <c r="R949" s="84"/>
      <c r="S949" s="87"/>
      <c r="T949" s="87"/>
      <c r="U949" s="84">
        <v>1</v>
      </c>
      <c r="V949" s="84">
        <v>1</v>
      </c>
      <c r="W949" s="84">
        <v>1</v>
      </c>
      <c r="X949" s="84">
        <v>1</v>
      </c>
      <c r="Y949" s="84">
        <v>0</v>
      </c>
      <c r="Z949" s="84">
        <v>0</v>
      </c>
      <c r="AA949" s="84">
        <v>0</v>
      </c>
      <c r="AB949" s="84">
        <v>0</v>
      </c>
      <c r="AC949" s="84">
        <v>0</v>
      </c>
      <c r="AD949" s="84">
        <v>0</v>
      </c>
      <c r="AE949" s="84">
        <v>0</v>
      </c>
      <c r="AF949" s="84">
        <v>0</v>
      </c>
      <c r="AG949" s="84">
        <v>0</v>
      </c>
      <c r="AH949" s="84">
        <v>0</v>
      </c>
      <c r="AI949" s="84">
        <v>1</v>
      </c>
      <c r="AJ949" s="84">
        <v>0</v>
      </c>
      <c r="AK949" s="84">
        <v>0</v>
      </c>
      <c r="AL949" s="84" cm="1">
        <f t="array" ref="AL9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49" s="84" cm="1">
        <f t="array" ref="AM9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949" s="84" cm="1">
        <f t="array" ref="AN9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949" s="84" cm="1">
        <f t="array" ref="AO9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949" s="84" cm="1">
        <f t="array" ref="AP9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49" s="84" cm="1">
        <f t="array" ref="AQ9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49" s="84" cm="1">
        <f t="array" ref="AR9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49" s="84" cm="1">
        <f t="array" ref="AS9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49" s="84" cm="1">
        <f t="array" ref="AT9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49" s="84" cm="1">
        <f t="array" ref="AU9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49" s="84" cm="1">
        <f t="array" ref="AV9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49" s="84" cm="1">
        <f t="array" ref="AW9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49" s="84" cm="1">
        <f t="array" ref="AX9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49" s="84" cm="1">
        <f t="array" ref="AY9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49" s="84" cm="1">
        <f t="array" ref="AZ9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949" s="84" cm="1">
        <f t="array" ref="BA9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49" s="84" cm="1">
        <f t="array" ref="BB9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49" s="84">
        <f>IF(SUM(Table3[[#This Row],[Column2]:[Column18]])&gt;Table3[[#This Row],[Column19]],Table3[[#This Row],[Column19]],SUM(Table3[[#This Row],[Column2]:[Column18]]))</f>
        <v>50000</v>
      </c>
      <c r="BD949" s="2">
        <f>Table3[[#This Row],[Total Spend]]/SUM(Table3[[#This Row],[Column2]:[Column18]])</f>
        <v>0.26021337496747332</v>
      </c>
    </row>
    <row r="950" spans="1:56">
      <c r="A950" s="87" t="s">
        <v>1024</v>
      </c>
      <c r="B950" s="87"/>
      <c r="C950" s="87" t="s">
        <v>57</v>
      </c>
      <c r="D950" s="85">
        <v>45566</v>
      </c>
      <c r="E950" s="85" t="s">
        <v>92</v>
      </c>
      <c r="F950" s="84">
        <f>INDEX(Definitions!$G$13:$G$17,MATCH(Table3[[#This Row],[Propensity to buy/ buyer readiness]],Definitions!$A$13:$A$17,0))</f>
        <v>50000</v>
      </c>
      <c r="G950" s="86">
        <v>3</v>
      </c>
      <c r="H950" s="86">
        <v>3</v>
      </c>
      <c r="I950" s="86">
        <v>4</v>
      </c>
      <c r="J950" s="86">
        <v>3</v>
      </c>
      <c r="K950" s="86">
        <v>3</v>
      </c>
      <c r="L950" s="86">
        <f>SUM(Table3[[#This Row],[Strategic priority segment]:[Propensity to buy/ buyer readiness]])</f>
        <v>16</v>
      </c>
      <c r="M950" s="86" t="s">
        <v>152</v>
      </c>
      <c r="N950" s="84" t="s">
        <v>122</v>
      </c>
      <c r="O950" s="87"/>
      <c r="P950" s="87"/>
      <c r="Q950" s="87"/>
      <c r="R950" s="84"/>
      <c r="S950" s="87"/>
      <c r="T950" s="87"/>
      <c r="U950" s="84">
        <v>1</v>
      </c>
      <c r="V950" s="84">
        <v>0</v>
      </c>
      <c r="W950" s="84">
        <v>0</v>
      </c>
      <c r="X950" s="84">
        <v>0</v>
      </c>
      <c r="Y950" s="84">
        <v>0</v>
      </c>
      <c r="Z950" s="84">
        <v>1</v>
      </c>
      <c r="AA950" s="84">
        <v>0</v>
      </c>
      <c r="AB950" s="84">
        <v>1</v>
      </c>
      <c r="AC950" s="84">
        <v>0</v>
      </c>
      <c r="AD950" s="84">
        <v>1</v>
      </c>
      <c r="AE950" s="84">
        <v>0</v>
      </c>
      <c r="AF950" s="84">
        <v>1</v>
      </c>
      <c r="AG950" s="84">
        <v>0</v>
      </c>
      <c r="AH950" s="84">
        <v>0</v>
      </c>
      <c r="AI950" s="84">
        <v>0</v>
      </c>
      <c r="AJ950" s="84">
        <v>0</v>
      </c>
      <c r="AK950" s="84">
        <v>0</v>
      </c>
      <c r="AL950" s="84" cm="1">
        <f t="array" ref="AL9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50" s="84" cm="1">
        <f t="array" ref="AM9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0" s="84" cm="1">
        <f t="array" ref="AN9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0" s="84" cm="1">
        <f t="array" ref="AO9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0" s="84" cm="1">
        <f t="array" ref="AP9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0" s="84" cm="1">
        <f t="array" ref="AQ9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50" s="84" cm="1">
        <f t="array" ref="AR9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0" s="84" cm="1">
        <f t="array" ref="AS9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50" s="84" cm="1">
        <f t="array" ref="AT9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0" s="84" cm="1">
        <f t="array" ref="AU9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50" s="84" cm="1">
        <f t="array" ref="AV9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0" s="84" cm="1">
        <f t="array" ref="AW9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50" s="84" cm="1">
        <f t="array" ref="AX9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0" s="84" cm="1">
        <f t="array" ref="AY9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0" s="84" cm="1">
        <f t="array" ref="AZ9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0" s="84" cm="1">
        <f t="array" ref="BA9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0" s="84" cm="1">
        <f t="array" ref="BB9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0" s="84">
        <f>IF(SUM(Table3[[#This Row],[Column2]:[Column18]])&gt;Table3[[#This Row],[Column19]],Table3[[#This Row],[Column19]],SUM(Table3[[#This Row],[Column2]:[Column18]]))</f>
        <v>50000</v>
      </c>
      <c r="BD950" s="2">
        <f>Table3[[#This Row],[Total Spend]]/SUM(Table3[[#This Row],[Column2]:[Column18]])</f>
        <v>0.41459369817578773</v>
      </c>
    </row>
    <row r="951" spans="1:56">
      <c r="A951" s="84" t="s">
        <v>1025</v>
      </c>
      <c r="B951" s="84"/>
      <c r="C951" s="84"/>
      <c r="D951" s="85">
        <v>45566</v>
      </c>
      <c r="E951" s="85" t="s">
        <v>92</v>
      </c>
      <c r="F951" s="84">
        <f>INDEX(Definitions!$G$13:$G$17,MATCH(Table3[[#This Row],[Propensity to buy/ buyer readiness]],Definitions!$A$13:$A$17,0))</f>
        <v>50000</v>
      </c>
      <c r="G951" s="86">
        <v>4</v>
      </c>
      <c r="H951" s="86">
        <v>3</v>
      </c>
      <c r="I951" s="86">
        <v>3</v>
      </c>
      <c r="J951" s="86">
        <v>3</v>
      </c>
      <c r="K951" s="86">
        <v>3</v>
      </c>
      <c r="L951" s="86">
        <f>SUM(Table3[[#This Row],[Strategic priority segment]:[Propensity to buy/ buyer readiness]])</f>
        <v>16</v>
      </c>
      <c r="M951" s="86" t="s">
        <v>191</v>
      </c>
      <c r="N951" s="84" t="s">
        <v>76</v>
      </c>
      <c r="O951" s="84" t="s">
        <v>135</v>
      </c>
      <c r="P951" s="84"/>
      <c r="Q951" s="84"/>
      <c r="R951" s="84"/>
      <c r="S951" s="87"/>
      <c r="T951" s="84"/>
      <c r="U951" s="84">
        <v>0</v>
      </c>
      <c r="V951" s="84">
        <v>0</v>
      </c>
      <c r="W951" s="84">
        <v>0</v>
      </c>
      <c r="X951" s="84">
        <v>0</v>
      </c>
      <c r="Y951" s="84">
        <v>0</v>
      </c>
      <c r="Z951" s="84">
        <v>0</v>
      </c>
      <c r="AA951" s="84">
        <v>0</v>
      </c>
      <c r="AB951" s="84">
        <v>0</v>
      </c>
      <c r="AC951" s="84">
        <v>0</v>
      </c>
      <c r="AD951" s="84">
        <v>0</v>
      </c>
      <c r="AE951" s="84">
        <v>0</v>
      </c>
      <c r="AF951" s="84">
        <v>0</v>
      </c>
      <c r="AG951" s="84">
        <v>0</v>
      </c>
      <c r="AH951" s="84">
        <v>1</v>
      </c>
      <c r="AI951" s="84">
        <v>1</v>
      </c>
      <c r="AJ951" s="84">
        <v>1</v>
      </c>
      <c r="AK951" s="84">
        <v>1</v>
      </c>
      <c r="AL951" s="84" cm="1">
        <f t="array" ref="AL9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51" s="84" cm="1">
        <f t="array" ref="AM9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1" s="84" cm="1">
        <f t="array" ref="AN9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1" s="84" cm="1">
        <f t="array" ref="AO9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1" s="84" cm="1">
        <f t="array" ref="AP9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1" s="84" cm="1">
        <f t="array" ref="AQ9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51" s="84" cm="1">
        <f t="array" ref="AR9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1" s="84" cm="1">
        <f t="array" ref="AS9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51" s="84" cm="1">
        <f t="array" ref="AT9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1" s="84" cm="1">
        <f t="array" ref="AU9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51" s="84" cm="1">
        <f t="array" ref="AV9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1" s="84" cm="1">
        <f t="array" ref="AW9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51" s="84" cm="1">
        <f t="array" ref="AX9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1" s="84" cm="1">
        <f t="array" ref="AY9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51" s="84" cm="1">
        <f t="array" ref="AZ9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51" s="84" cm="1">
        <f t="array" ref="BA9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51" s="84" cm="1">
        <f t="array" ref="BB9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51" s="84">
        <f>IF(SUM(Table3[[#This Row],[Column2]:[Column18]])&gt;Table3[[#This Row],[Column19]],Table3[[#This Row],[Column19]],SUM(Table3[[#This Row],[Column2]:[Column18]]))</f>
        <v>46350</v>
      </c>
      <c r="BD951" s="2">
        <f>Table3[[#This Row],[Total Spend]]/SUM(Table3[[#This Row],[Column2]:[Column18]])</f>
        <v>1</v>
      </c>
    </row>
    <row r="952" spans="1:56">
      <c r="A952" s="84" t="s">
        <v>1026</v>
      </c>
      <c r="B952" s="84" t="s">
        <v>57</v>
      </c>
      <c r="C952" s="84"/>
      <c r="D952" s="85">
        <v>45566</v>
      </c>
      <c r="E952" s="85" t="s">
        <v>92</v>
      </c>
      <c r="F952" s="84">
        <f>INDEX(Definitions!$G$13:$G$17,MATCH(Table3[[#This Row],[Propensity to buy/ buyer readiness]],Definitions!$A$13:$A$17,0))</f>
        <v>10000</v>
      </c>
      <c r="G952" s="86">
        <v>3</v>
      </c>
      <c r="H952" s="86">
        <v>3</v>
      </c>
      <c r="I952" s="86">
        <v>4</v>
      </c>
      <c r="J952" s="86">
        <v>4</v>
      </c>
      <c r="K952" s="86">
        <v>2</v>
      </c>
      <c r="L952" s="86">
        <f>SUM(Table3[[#This Row],[Strategic priority segment]:[Propensity to buy/ buyer readiness]])</f>
        <v>16</v>
      </c>
      <c r="M952" s="86" t="s">
        <v>59</v>
      </c>
      <c r="N952" s="84" t="s">
        <v>265</v>
      </c>
      <c r="O952" s="84"/>
      <c r="P952" s="87"/>
      <c r="Q952" s="87"/>
      <c r="R952" s="84"/>
      <c r="S952" s="84"/>
      <c r="T952" s="87"/>
      <c r="U952" s="84">
        <v>1</v>
      </c>
      <c r="V952" s="84">
        <v>1</v>
      </c>
      <c r="W952" s="84">
        <v>1</v>
      </c>
      <c r="X952" s="84">
        <v>1</v>
      </c>
      <c r="Y952" s="84">
        <v>0</v>
      </c>
      <c r="Z952" s="84">
        <v>0</v>
      </c>
      <c r="AA952" s="84">
        <v>0</v>
      </c>
      <c r="AB952" s="84">
        <v>0</v>
      </c>
      <c r="AC952" s="84">
        <v>0</v>
      </c>
      <c r="AD952" s="84">
        <v>0</v>
      </c>
      <c r="AE952" s="84">
        <v>0</v>
      </c>
      <c r="AF952" s="84">
        <v>0</v>
      </c>
      <c r="AG952" s="84">
        <v>0</v>
      </c>
      <c r="AH952" s="84">
        <v>0</v>
      </c>
      <c r="AI952" s="84">
        <v>1</v>
      </c>
      <c r="AJ952" s="84">
        <v>0</v>
      </c>
      <c r="AK952" s="84">
        <v>0</v>
      </c>
      <c r="AL952" s="84" cm="1">
        <f t="array" ref="AL9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52" s="84" cm="1">
        <f t="array" ref="AM9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52" s="84" cm="1">
        <f t="array" ref="AN9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52" s="84" cm="1">
        <f t="array" ref="AO9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52" s="84" cm="1">
        <f t="array" ref="AP9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2" s="84" cm="1">
        <f t="array" ref="AQ9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52" s="84" cm="1">
        <f t="array" ref="AR9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2" s="84" cm="1">
        <f t="array" ref="AS9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52" s="84" cm="1">
        <f t="array" ref="AT9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2" s="84" cm="1">
        <f t="array" ref="AU9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52" s="84" cm="1">
        <f t="array" ref="AV9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2" s="84" cm="1">
        <f t="array" ref="AW9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52" s="84" cm="1">
        <f t="array" ref="AX9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2" s="84" cm="1">
        <f t="array" ref="AY9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2" s="84" cm="1">
        <f t="array" ref="AZ9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52" s="84" cm="1">
        <f t="array" ref="BA9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2" s="84" cm="1">
        <f t="array" ref="BB9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2" s="84">
        <f>IF(SUM(Table3[[#This Row],[Column2]:[Column18]])&gt;Table3[[#This Row],[Column19]],Table3[[#This Row],[Column19]],SUM(Table3[[#This Row],[Column2]:[Column18]]))</f>
        <v>10000</v>
      </c>
      <c r="BD952" s="2">
        <f>Table3[[#This Row],[Total Spend]]/SUM(Table3[[#This Row],[Column2]:[Column18]])</f>
        <v>7.2859744990892539E-2</v>
      </c>
    </row>
    <row r="953" spans="1:56">
      <c r="A953" s="84" t="s">
        <v>1027</v>
      </c>
      <c r="B953" s="84"/>
      <c r="C953" s="84"/>
      <c r="D953" s="85">
        <v>45566</v>
      </c>
      <c r="E953" s="85" t="s">
        <v>58</v>
      </c>
      <c r="F953" s="84">
        <f>INDEX(Definitions!$G$13:$G$17,MATCH(Table3[[#This Row],[Propensity to buy/ buyer readiness]],Definitions!$A$13:$A$17,0))</f>
        <v>50000</v>
      </c>
      <c r="G953" s="86">
        <v>4</v>
      </c>
      <c r="H953" s="86">
        <v>3</v>
      </c>
      <c r="I953" s="86">
        <v>3</v>
      </c>
      <c r="J953" s="86">
        <v>3</v>
      </c>
      <c r="K953" s="86">
        <v>3</v>
      </c>
      <c r="L953" s="86">
        <f>SUM(Table3[[#This Row],[Strategic priority segment]:[Propensity to buy/ buyer readiness]])</f>
        <v>16</v>
      </c>
      <c r="M953" s="86" t="s">
        <v>59</v>
      </c>
      <c r="N953" s="84" t="s">
        <v>85</v>
      </c>
      <c r="O953" s="84" t="s">
        <v>76</v>
      </c>
      <c r="P953" s="84"/>
      <c r="Q953" s="84"/>
      <c r="R953" s="84"/>
      <c r="S953" s="87"/>
      <c r="T953" s="84"/>
      <c r="U953" s="84">
        <v>1</v>
      </c>
      <c r="V953" s="84">
        <v>0</v>
      </c>
      <c r="W953" s="84">
        <v>0</v>
      </c>
      <c r="X953" s="84">
        <v>0</v>
      </c>
      <c r="Y953" s="84">
        <v>1</v>
      </c>
      <c r="Z953" s="84">
        <v>0</v>
      </c>
      <c r="AA953" s="84">
        <v>0</v>
      </c>
      <c r="AB953" s="84">
        <v>0</v>
      </c>
      <c r="AC953" s="84">
        <v>0</v>
      </c>
      <c r="AD953" s="84">
        <v>0</v>
      </c>
      <c r="AE953" s="84">
        <v>0</v>
      </c>
      <c r="AF953" s="84">
        <v>0</v>
      </c>
      <c r="AG953" s="84">
        <v>0</v>
      </c>
      <c r="AH953" s="84">
        <v>1</v>
      </c>
      <c r="AI953" s="84">
        <v>0</v>
      </c>
      <c r="AJ953" s="84">
        <v>1</v>
      </c>
      <c r="AK953" s="84">
        <v>0</v>
      </c>
      <c r="AL953" s="84" cm="1">
        <f t="array" ref="AL9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53" s="84" cm="1">
        <f t="array" ref="AM9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3" s="84" cm="1">
        <f t="array" ref="AN9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3" s="84" cm="1">
        <f t="array" ref="AO9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3" s="84" cm="1">
        <f t="array" ref="AP9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953" s="84" cm="1">
        <f t="array" ref="AQ9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53" s="84" cm="1">
        <f t="array" ref="AR9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3" s="84" cm="1">
        <f t="array" ref="AS9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53" s="84" cm="1">
        <f t="array" ref="AT9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3" s="84" cm="1">
        <f t="array" ref="AU9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53" s="84" cm="1">
        <f t="array" ref="AV9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3" s="84" cm="1">
        <f t="array" ref="AW9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53" s="84" cm="1">
        <f t="array" ref="AX9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3" s="84" cm="1">
        <f t="array" ref="AY9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953" s="84" cm="1">
        <f t="array" ref="AZ9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3" s="84" cm="1">
        <f t="array" ref="BA9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953" s="84" cm="1">
        <f t="array" ref="BB9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3" s="84">
        <f>IF(SUM(Table3[[#This Row],[Column2]:[Column18]])&gt;Table3[[#This Row],[Column19]],Table3[[#This Row],[Column19]],SUM(Table3[[#This Row],[Column2]:[Column18]]))</f>
        <v>50000</v>
      </c>
      <c r="BD953" s="2">
        <f>Table3[[#This Row],[Total Spend]]/SUM(Table3[[#This Row],[Column2]:[Column18]])</f>
        <v>0.4591368227731864</v>
      </c>
    </row>
    <row r="954" spans="1:56">
      <c r="A954" s="84" t="s">
        <v>1028</v>
      </c>
      <c r="B954" s="84" t="s">
        <v>57</v>
      </c>
      <c r="C954" s="84"/>
      <c r="D954" s="85">
        <v>45566</v>
      </c>
      <c r="E954" s="85" t="s">
        <v>58</v>
      </c>
      <c r="F954" s="84">
        <f>INDEX(Definitions!$G$13:$G$17,MATCH(Table3[[#This Row],[Propensity to buy/ buyer readiness]],Definitions!$A$13:$A$17,0))</f>
        <v>50000</v>
      </c>
      <c r="G954" s="86">
        <v>3</v>
      </c>
      <c r="H954" s="86">
        <v>3</v>
      </c>
      <c r="I954" s="86">
        <v>4</v>
      </c>
      <c r="J954" s="86">
        <v>3</v>
      </c>
      <c r="K954" s="86">
        <v>3</v>
      </c>
      <c r="L954" s="86">
        <f>SUM(Table3[[#This Row],[Strategic priority segment]:[Propensity to buy/ buyer readiness]])</f>
        <v>16</v>
      </c>
      <c r="M954" s="86" t="s">
        <v>152</v>
      </c>
      <c r="N954" s="84" t="s">
        <v>264</v>
      </c>
      <c r="O954" s="84"/>
      <c r="P954" s="87"/>
      <c r="Q954" s="87"/>
      <c r="R954" s="84"/>
      <c r="S954" s="84"/>
      <c r="T954" s="87"/>
      <c r="U954" s="84">
        <v>1</v>
      </c>
      <c r="V954" s="84">
        <v>0</v>
      </c>
      <c r="W954" s="84">
        <v>0</v>
      </c>
      <c r="X954" s="84">
        <v>0</v>
      </c>
      <c r="Y954" s="84">
        <v>0</v>
      </c>
      <c r="Z954" s="84">
        <v>0</v>
      </c>
      <c r="AA954" s="84">
        <v>0</v>
      </c>
      <c r="AB954" s="84">
        <v>0</v>
      </c>
      <c r="AC954" s="84">
        <v>0</v>
      </c>
      <c r="AD954" s="84">
        <v>0</v>
      </c>
      <c r="AE954" s="84">
        <v>0</v>
      </c>
      <c r="AF954" s="84">
        <v>0</v>
      </c>
      <c r="AG954" s="84">
        <v>0</v>
      </c>
      <c r="AH954" s="84">
        <v>0</v>
      </c>
      <c r="AI954" s="84">
        <v>0</v>
      </c>
      <c r="AJ954" s="84">
        <v>0</v>
      </c>
      <c r="AK954" s="84">
        <v>0</v>
      </c>
      <c r="AL954" s="84" cm="1">
        <f t="array" ref="AL9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54" s="84" cm="1">
        <f t="array" ref="AM9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4" s="84" cm="1">
        <f t="array" ref="AN9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4" s="84" cm="1">
        <f t="array" ref="AO9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4" s="84" cm="1">
        <f t="array" ref="AP9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4" s="84" cm="1">
        <f t="array" ref="AQ9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54" s="84" cm="1">
        <f t="array" ref="AR9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4" s="84" cm="1">
        <f t="array" ref="AS9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54" s="84" cm="1">
        <f t="array" ref="AT9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4" s="84" cm="1">
        <f t="array" ref="AU9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54" s="84" cm="1">
        <f t="array" ref="AV9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4" s="84" cm="1">
        <f t="array" ref="AW9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54" s="84" cm="1">
        <f t="array" ref="AX9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4" s="84" cm="1">
        <f t="array" ref="AY9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4" s="84" cm="1">
        <f t="array" ref="AZ9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4" s="84" cm="1">
        <f t="array" ref="BA9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4" s="84" cm="1">
        <f t="array" ref="BB9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4" s="84">
        <f>IF(SUM(Table3[[#This Row],[Column2]:[Column18]])&gt;Table3[[#This Row],[Column19]],Table3[[#This Row],[Column19]],SUM(Table3[[#This Row],[Column2]:[Column18]]))</f>
        <v>10800</v>
      </c>
      <c r="BD954" s="2">
        <f>Table3[[#This Row],[Total Spend]]/SUM(Table3[[#This Row],[Column2]:[Column18]])</f>
        <v>1</v>
      </c>
    </row>
    <row r="955" spans="1:56">
      <c r="A955" s="84" t="s">
        <v>1029</v>
      </c>
      <c r="B955" s="84"/>
      <c r="C955" s="84"/>
      <c r="D955" s="85">
        <v>45566</v>
      </c>
      <c r="E955" s="85" t="s">
        <v>58</v>
      </c>
      <c r="F955" s="84">
        <f>INDEX(Definitions!$G$13:$G$17,MATCH(Table3[[#This Row],[Propensity to buy/ buyer readiness]],Definitions!$A$13:$A$17,0))</f>
        <v>150000</v>
      </c>
      <c r="G955" s="86">
        <v>3</v>
      </c>
      <c r="H955" s="86">
        <v>3</v>
      </c>
      <c r="I955" s="86">
        <v>3</v>
      </c>
      <c r="J955" s="86">
        <v>3</v>
      </c>
      <c r="K955" s="86">
        <v>4</v>
      </c>
      <c r="L955" s="86">
        <f>SUM(Table3[[#This Row],[Strategic priority segment]:[Propensity to buy/ buyer readiness]])</f>
        <v>16</v>
      </c>
      <c r="M955" s="86" t="s">
        <v>152</v>
      </c>
      <c r="N955" s="84" t="s">
        <v>122</v>
      </c>
      <c r="O955" s="87"/>
      <c r="P955" s="87"/>
      <c r="Q955" s="87"/>
      <c r="R955" s="87"/>
      <c r="S955" s="87"/>
      <c r="T955" s="87"/>
      <c r="U955" s="84">
        <v>1</v>
      </c>
      <c r="V955" s="84">
        <v>0</v>
      </c>
      <c r="W955" s="84">
        <v>0</v>
      </c>
      <c r="X955" s="84">
        <v>0</v>
      </c>
      <c r="Y955" s="84">
        <v>0</v>
      </c>
      <c r="Z955" s="84">
        <v>1</v>
      </c>
      <c r="AA955" s="84">
        <v>0</v>
      </c>
      <c r="AB955" s="84">
        <v>1</v>
      </c>
      <c r="AC955" s="84">
        <v>0</v>
      </c>
      <c r="AD955" s="84">
        <v>1</v>
      </c>
      <c r="AE955" s="84">
        <v>0</v>
      </c>
      <c r="AF955" s="84">
        <v>1</v>
      </c>
      <c r="AG955" s="84">
        <v>0</v>
      </c>
      <c r="AH955" s="84">
        <v>0</v>
      </c>
      <c r="AI955" s="84">
        <v>0</v>
      </c>
      <c r="AJ955" s="84">
        <v>0</v>
      </c>
      <c r="AK955" s="84">
        <v>0</v>
      </c>
      <c r="AL955" s="84" cm="1">
        <f t="array" ref="AL9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55" s="84" cm="1">
        <f t="array" ref="AM9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5" s="84" cm="1">
        <f t="array" ref="AN9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5" s="84" cm="1">
        <f t="array" ref="AO9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5" s="84" cm="1">
        <f t="array" ref="AP9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5" s="84" cm="1">
        <f t="array" ref="AQ9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55" s="84" cm="1">
        <f t="array" ref="AR9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5" s="84" cm="1">
        <f t="array" ref="AS9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55" s="84" cm="1">
        <f t="array" ref="AT9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5" s="84" cm="1">
        <f t="array" ref="AU9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55" s="84" cm="1">
        <f t="array" ref="AV9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5" s="84" cm="1">
        <f t="array" ref="AW9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55" s="84" cm="1">
        <f t="array" ref="AX9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5" s="84" cm="1">
        <f t="array" ref="AY9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5" s="84" cm="1">
        <f t="array" ref="AZ9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5" s="84" cm="1">
        <f t="array" ref="BA9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5" s="84" cm="1">
        <f t="array" ref="BB9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5" s="84">
        <f>IF(SUM(Table3[[#This Row],[Column2]:[Column18]])&gt;Table3[[#This Row],[Column19]],Table3[[#This Row],[Column19]],SUM(Table3[[#This Row],[Column2]:[Column18]]))</f>
        <v>150000</v>
      </c>
      <c r="BD955" s="2">
        <f>Table3[[#This Row],[Total Spend]]/SUM(Table3[[#This Row],[Column2]:[Column18]])</f>
        <v>0.89605734767025091</v>
      </c>
    </row>
    <row r="956" spans="1:56">
      <c r="A956" s="84" t="s">
        <v>1030</v>
      </c>
      <c r="B956" s="84" t="s">
        <v>57</v>
      </c>
      <c r="C956" s="84"/>
      <c r="D956" s="85">
        <v>45566</v>
      </c>
      <c r="E956" s="85" t="s">
        <v>58</v>
      </c>
      <c r="F956" s="84">
        <f>INDEX(Definitions!$G$13:$G$17,MATCH(Table3[[#This Row],[Propensity to buy/ buyer readiness]],Definitions!$A$13:$A$17,0))</f>
        <v>50000</v>
      </c>
      <c r="G956" s="86">
        <v>3</v>
      </c>
      <c r="H956" s="86">
        <v>3</v>
      </c>
      <c r="I956" s="86">
        <v>4</v>
      </c>
      <c r="J956" s="86">
        <v>3</v>
      </c>
      <c r="K956" s="86">
        <v>3</v>
      </c>
      <c r="L956" s="86">
        <f>SUM(Table3[[#This Row],[Strategic priority segment]:[Propensity to buy/ buyer readiness]])</f>
        <v>16</v>
      </c>
      <c r="M956" s="86" t="s">
        <v>59</v>
      </c>
      <c r="N956" s="84" t="s">
        <v>85</v>
      </c>
      <c r="O956" s="84"/>
      <c r="P956" s="87"/>
      <c r="Q956" s="87"/>
      <c r="R956" s="84"/>
      <c r="S956" s="84"/>
      <c r="T956" s="87"/>
      <c r="U956" s="84">
        <v>1</v>
      </c>
      <c r="V956" s="84">
        <v>0</v>
      </c>
      <c r="W956" s="84">
        <v>0</v>
      </c>
      <c r="X956" s="84">
        <v>0</v>
      </c>
      <c r="Y956" s="84">
        <v>1</v>
      </c>
      <c r="Z956" s="84">
        <v>0</v>
      </c>
      <c r="AA956" s="84">
        <v>0</v>
      </c>
      <c r="AB956" s="84">
        <v>0</v>
      </c>
      <c r="AC956" s="84">
        <v>0</v>
      </c>
      <c r="AD956" s="84">
        <v>0</v>
      </c>
      <c r="AE956" s="84">
        <v>0</v>
      </c>
      <c r="AF956" s="84">
        <v>0</v>
      </c>
      <c r="AG956" s="84">
        <v>0</v>
      </c>
      <c r="AH956" s="84">
        <v>0</v>
      </c>
      <c r="AI956" s="84">
        <v>0</v>
      </c>
      <c r="AJ956" s="84">
        <v>0</v>
      </c>
      <c r="AK956" s="84">
        <v>0</v>
      </c>
      <c r="AL956" s="84" cm="1">
        <f t="array" ref="AL9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56" s="84" cm="1">
        <f t="array" ref="AM9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6" s="84" cm="1">
        <f t="array" ref="AN9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6" s="84" cm="1">
        <f t="array" ref="AO9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6" s="84" cm="1">
        <f t="array" ref="AP9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956" s="84" cm="1">
        <f t="array" ref="AQ9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56" s="84" cm="1">
        <f t="array" ref="AR9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6" s="84" cm="1">
        <f t="array" ref="AS9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56" s="84" cm="1">
        <f t="array" ref="AT9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6" s="84" cm="1">
        <f t="array" ref="AU9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56" s="84" cm="1">
        <f t="array" ref="AV9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6" s="84" cm="1">
        <f t="array" ref="AW9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56" s="84" cm="1">
        <f t="array" ref="AX9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6" s="84" cm="1">
        <f t="array" ref="AY9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6" s="84" cm="1">
        <f t="array" ref="AZ9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6" s="84" cm="1">
        <f t="array" ref="BA9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6" s="84" cm="1">
        <f t="array" ref="BB9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6" s="84">
        <f>IF(SUM(Table3[[#This Row],[Column2]:[Column18]])&gt;Table3[[#This Row],[Column19]],Table3[[#This Row],[Column19]],SUM(Table3[[#This Row],[Column2]:[Column18]]))</f>
        <v>50000</v>
      </c>
      <c r="BD956" s="2">
        <f>Table3[[#This Row],[Total Spend]]/SUM(Table3[[#This Row],[Column2]:[Column18]])</f>
        <v>0.75075075075075071</v>
      </c>
    </row>
    <row r="957" spans="1:56">
      <c r="A957" s="84" t="s">
        <v>1031</v>
      </c>
      <c r="B957" s="84" t="s">
        <v>57</v>
      </c>
      <c r="C957" s="84"/>
      <c r="D957" s="85">
        <v>45566</v>
      </c>
      <c r="E957" s="85" t="s">
        <v>58</v>
      </c>
      <c r="F957" s="84">
        <f>INDEX(Definitions!$G$13:$G$17,MATCH(Table3[[#This Row],[Propensity to buy/ buyer readiness]],Definitions!$A$13:$A$17,0))</f>
        <v>50000</v>
      </c>
      <c r="G957" s="86">
        <v>3</v>
      </c>
      <c r="H957" s="86">
        <v>3</v>
      </c>
      <c r="I957" s="86">
        <v>4</v>
      </c>
      <c r="J957" s="86">
        <v>3</v>
      </c>
      <c r="K957" s="86">
        <v>3</v>
      </c>
      <c r="L957" s="86">
        <f>SUM(Table3[[#This Row],[Strategic priority segment]:[Propensity to buy/ buyer readiness]])</f>
        <v>16</v>
      </c>
      <c r="M957" s="86" t="s">
        <v>152</v>
      </c>
      <c r="N957" s="84" t="s">
        <v>130</v>
      </c>
      <c r="O957" s="84"/>
      <c r="P957" s="87"/>
      <c r="Q957" s="87"/>
      <c r="R957" s="84"/>
      <c r="S957" s="84"/>
      <c r="T957" s="87"/>
      <c r="U957" s="84">
        <v>1</v>
      </c>
      <c r="V957" s="84">
        <v>0</v>
      </c>
      <c r="W957" s="84">
        <v>0</v>
      </c>
      <c r="X957" s="84">
        <v>0</v>
      </c>
      <c r="Y957" s="84">
        <v>0</v>
      </c>
      <c r="Z957" s="84">
        <v>0</v>
      </c>
      <c r="AA957" s="84">
        <v>0</v>
      </c>
      <c r="AB957" s="84">
        <v>0</v>
      </c>
      <c r="AC957" s="84">
        <v>0</v>
      </c>
      <c r="AD957" s="84">
        <v>0</v>
      </c>
      <c r="AE957" s="84">
        <v>0</v>
      </c>
      <c r="AF957" s="84">
        <v>0</v>
      </c>
      <c r="AG957" s="84">
        <v>0</v>
      </c>
      <c r="AH957" s="84">
        <v>0</v>
      </c>
      <c r="AI957" s="84">
        <v>0</v>
      </c>
      <c r="AJ957" s="84">
        <v>0</v>
      </c>
      <c r="AK957" s="84">
        <v>0</v>
      </c>
      <c r="AL957" s="84" cm="1">
        <f t="array" ref="AL9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57" s="84" cm="1">
        <f t="array" ref="AM9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7" s="84" cm="1">
        <f t="array" ref="AN9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7" s="84" cm="1">
        <f t="array" ref="AO9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7" s="84" cm="1">
        <f t="array" ref="AP9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7" s="84" cm="1">
        <f t="array" ref="AQ9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57" s="84" cm="1">
        <f t="array" ref="AR9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7" s="84" cm="1">
        <f t="array" ref="AS9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57" s="84" cm="1">
        <f t="array" ref="AT9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7" s="84" cm="1">
        <f t="array" ref="AU9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57" s="84" cm="1">
        <f t="array" ref="AV9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7" s="84" cm="1">
        <f t="array" ref="AW9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57" s="84" cm="1">
        <f t="array" ref="AX9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7" s="84" cm="1">
        <f t="array" ref="AY9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7" s="84" cm="1">
        <f t="array" ref="AZ9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7" s="84" cm="1">
        <f t="array" ref="BA9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7" s="84" cm="1">
        <f t="array" ref="BB9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7" s="84">
        <f>IF(SUM(Table3[[#This Row],[Column2]:[Column18]])&gt;Table3[[#This Row],[Column19]],Table3[[#This Row],[Column19]],SUM(Table3[[#This Row],[Column2]:[Column18]]))</f>
        <v>10800</v>
      </c>
      <c r="BD957" s="2">
        <f>Table3[[#This Row],[Total Spend]]/SUM(Table3[[#This Row],[Column2]:[Column18]])</f>
        <v>1</v>
      </c>
    </row>
    <row r="958" spans="1:56">
      <c r="A958" s="84" t="s">
        <v>1032</v>
      </c>
      <c r="B958" s="84"/>
      <c r="C958" s="84" t="s">
        <v>57</v>
      </c>
      <c r="D958" s="85">
        <v>45566</v>
      </c>
      <c r="E958" s="85" t="s">
        <v>92</v>
      </c>
      <c r="F958" s="84">
        <f>INDEX(Definitions!$G$13:$G$17,MATCH(Table3[[#This Row],[Propensity to buy/ buyer readiness]],Definitions!$A$13:$A$17,0))</f>
        <v>50000</v>
      </c>
      <c r="G958" s="86">
        <v>3</v>
      </c>
      <c r="H958" s="86">
        <v>3</v>
      </c>
      <c r="I958" s="86">
        <v>4</v>
      </c>
      <c r="J958" s="86">
        <v>3</v>
      </c>
      <c r="K958" s="86">
        <v>3</v>
      </c>
      <c r="L958" s="86">
        <f>SUM(Table3[[#This Row],[Strategic priority segment]:[Propensity to buy/ buyer readiness]])</f>
        <v>16</v>
      </c>
      <c r="M958" s="86" t="s">
        <v>152</v>
      </c>
      <c r="N958" s="84" t="s">
        <v>122</v>
      </c>
      <c r="O958" s="84"/>
      <c r="P958" s="87"/>
      <c r="Q958" s="87"/>
      <c r="R958" s="84"/>
      <c r="S958" s="87"/>
      <c r="T958" s="87"/>
      <c r="U958" s="84">
        <v>1</v>
      </c>
      <c r="V958" s="84">
        <v>0</v>
      </c>
      <c r="W958" s="84">
        <v>0</v>
      </c>
      <c r="X958" s="84">
        <v>0</v>
      </c>
      <c r="Y958" s="84">
        <v>0</v>
      </c>
      <c r="Z958" s="84">
        <v>1</v>
      </c>
      <c r="AA958" s="84">
        <v>0</v>
      </c>
      <c r="AB958" s="84">
        <v>1</v>
      </c>
      <c r="AC958" s="84">
        <v>0</v>
      </c>
      <c r="AD958" s="84">
        <v>1</v>
      </c>
      <c r="AE958" s="84">
        <v>0</v>
      </c>
      <c r="AF958" s="84">
        <v>1</v>
      </c>
      <c r="AG958" s="84">
        <v>0</v>
      </c>
      <c r="AH958" s="84">
        <v>0</v>
      </c>
      <c r="AI958" s="84">
        <v>0</v>
      </c>
      <c r="AJ958" s="84">
        <v>0</v>
      </c>
      <c r="AK958" s="84">
        <v>0</v>
      </c>
      <c r="AL958" s="84" cm="1">
        <f t="array" ref="AL9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58" s="84" cm="1">
        <f t="array" ref="AM9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8" s="84" cm="1">
        <f t="array" ref="AN9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8" s="84" cm="1">
        <f t="array" ref="AO9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8" s="84" cm="1">
        <f t="array" ref="AP9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8" s="84" cm="1">
        <f t="array" ref="AQ9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58" s="84" cm="1">
        <f t="array" ref="AR9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8" s="84" cm="1">
        <f t="array" ref="AS9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58" s="84" cm="1">
        <f t="array" ref="AT9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8" s="84" cm="1">
        <f t="array" ref="AU9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58" s="84" cm="1">
        <f t="array" ref="AV9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8" s="84" cm="1">
        <f t="array" ref="AW9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58" s="84" cm="1">
        <f t="array" ref="AX9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8" s="84" cm="1">
        <f t="array" ref="AY9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8" s="84" cm="1">
        <f t="array" ref="AZ9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8" s="84" cm="1">
        <f t="array" ref="BA9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8" s="84" cm="1">
        <f t="array" ref="BB9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8" s="84">
        <f>IF(SUM(Table3[[#This Row],[Column2]:[Column18]])&gt;Table3[[#This Row],[Column19]],Table3[[#This Row],[Column19]],SUM(Table3[[#This Row],[Column2]:[Column18]]))</f>
        <v>50000</v>
      </c>
      <c r="BD958" s="2">
        <f>Table3[[#This Row],[Total Spend]]/SUM(Table3[[#This Row],[Column2]:[Column18]])</f>
        <v>0.41459369817578773</v>
      </c>
    </row>
    <row r="959" spans="1:56">
      <c r="A959" s="84" t="s">
        <v>1033</v>
      </c>
      <c r="B959" s="84"/>
      <c r="C959" s="84" t="s">
        <v>57</v>
      </c>
      <c r="D959" s="85">
        <v>45566</v>
      </c>
      <c r="E959" s="85" t="s">
        <v>92</v>
      </c>
      <c r="F959" s="84">
        <f>INDEX(Definitions!$G$13:$G$17,MATCH(Table3[[#This Row],[Propensity to buy/ buyer readiness]],Definitions!$A$13:$A$17,0))</f>
        <v>50000</v>
      </c>
      <c r="G959" s="86">
        <v>3</v>
      </c>
      <c r="H959" s="86">
        <v>3</v>
      </c>
      <c r="I959" s="86">
        <v>4</v>
      </c>
      <c r="J959" s="86">
        <v>3</v>
      </c>
      <c r="K959" s="86">
        <v>3</v>
      </c>
      <c r="L959" s="86">
        <f>SUM(Table3[[#This Row],[Strategic priority segment]:[Propensity to buy/ buyer readiness]])</f>
        <v>16</v>
      </c>
      <c r="M959" s="86" t="s">
        <v>152</v>
      </c>
      <c r="N959" s="84" t="s">
        <v>122</v>
      </c>
      <c r="O959" s="84"/>
      <c r="P959" s="84"/>
      <c r="Q959" s="84"/>
      <c r="R959" s="84"/>
      <c r="S959" s="84"/>
      <c r="T959" s="84"/>
      <c r="U959" s="84">
        <v>1</v>
      </c>
      <c r="V959" s="84">
        <v>0</v>
      </c>
      <c r="W959" s="84">
        <v>0</v>
      </c>
      <c r="X959" s="84">
        <v>0</v>
      </c>
      <c r="Y959" s="84">
        <v>0</v>
      </c>
      <c r="Z959" s="84">
        <v>1</v>
      </c>
      <c r="AA959" s="84">
        <v>0</v>
      </c>
      <c r="AB959" s="84">
        <v>1</v>
      </c>
      <c r="AC959" s="84">
        <v>0</v>
      </c>
      <c r="AD959" s="84">
        <v>1</v>
      </c>
      <c r="AE959" s="84">
        <v>0</v>
      </c>
      <c r="AF959" s="84">
        <v>1</v>
      </c>
      <c r="AG959" s="84">
        <v>0</v>
      </c>
      <c r="AH959" s="84">
        <v>0</v>
      </c>
      <c r="AI959" s="84">
        <v>0</v>
      </c>
      <c r="AJ959" s="84">
        <v>0</v>
      </c>
      <c r="AK959" s="84">
        <v>0</v>
      </c>
      <c r="AL959" s="84" cm="1">
        <f t="array" ref="AL9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59" s="84" cm="1">
        <f t="array" ref="AM9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59" s="84" cm="1">
        <f t="array" ref="AN9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59" s="84" cm="1">
        <f t="array" ref="AO9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59" s="84" cm="1">
        <f t="array" ref="AP9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59" s="84" cm="1">
        <f t="array" ref="AQ9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59" s="84" cm="1">
        <f t="array" ref="AR9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59" s="84" cm="1">
        <f t="array" ref="AS9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59" s="84" cm="1">
        <f t="array" ref="AT9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59" s="84" cm="1">
        <f t="array" ref="AU9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59" s="84" cm="1">
        <f t="array" ref="AV9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59" s="84" cm="1">
        <f t="array" ref="AW9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59" s="84" cm="1">
        <f t="array" ref="AX9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59" s="84" cm="1">
        <f t="array" ref="AY9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59" s="84" cm="1">
        <f t="array" ref="AZ9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59" s="84" cm="1">
        <f t="array" ref="BA9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59" s="84" cm="1">
        <f t="array" ref="BB9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59" s="84">
        <f>IF(SUM(Table3[[#This Row],[Column2]:[Column18]])&gt;Table3[[#This Row],[Column19]],Table3[[#This Row],[Column19]],SUM(Table3[[#This Row],[Column2]:[Column18]]))</f>
        <v>50000</v>
      </c>
      <c r="BD959" s="2">
        <f>Table3[[#This Row],[Total Spend]]/SUM(Table3[[#This Row],[Column2]:[Column18]])</f>
        <v>0.41459369817578773</v>
      </c>
    </row>
    <row r="960" spans="1:56">
      <c r="A960" s="84" t="s">
        <v>1034</v>
      </c>
      <c r="B960" s="84" t="s">
        <v>57</v>
      </c>
      <c r="C960" s="84"/>
      <c r="D960" s="85">
        <v>45566</v>
      </c>
      <c r="E960" s="85" t="s">
        <v>92</v>
      </c>
      <c r="F960" s="84">
        <f>INDEX(Definitions!$G$13:$G$17,MATCH(Table3[[#This Row],[Propensity to buy/ buyer readiness]],Definitions!$A$13:$A$17,0))</f>
        <v>10000</v>
      </c>
      <c r="G960" s="86">
        <v>3</v>
      </c>
      <c r="H960" s="86">
        <v>3</v>
      </c>
      <c r="I960" s="86">
        <v>4</v>
      </c>
      <c r="J960" s="86">
        <v>4</v>
      </c>
      <c r="K960" s="86">
        <v>2</v>
      </c>
      <c r="L960" s="86">
        <f>SUM(Table3[[#This Row],[Strategic priority segment]:[Propensity to buy/ buyer readiness]])</f>
        <v>16</v>
      </c>
      <c r="M960" s="86" t="s">
        <v>102</v>
      </c>
      <c r="N960" s="84" t="s">
        <v>265</v>
      </c>
      <c r="O960" s="84"/>
      <c r="P960" s="87"/>
      <c r="Q960" s="87"/>
      <c r="R960" s="84"/>
      <c r="S960" s="84"/>
      <c r="T960" s="87"/>
      <c r="U960" s="84">
        <v>1</v>
      </c>
      <c r="V960" s="84">
        <v>1</v>
      </c>
      <c r="W960" s="84">
        <v>1</v>
      </c>
      <c r="X960" s="84">
        <v>1</v>
      </c>
      <c r="Y960" s="84">
        <v>0</v>
      </c>
      <c r="Z960" s="84">
        <v>0</v>
      </c>
      <c r="AA960" s="84">
        <v>0</v>
      </c>
      <c r="AB960" s="84">
        <v>0</v>
      </c>
      <c r="AC960" s="84">
        <v>0</v>
      </c>
      <c r="AD960" s="84">
        <v>0</v>
      </c>
      <c r="AE960" s="84">
        <v>0</v>
      </c>
      <c r="AF960" s="84">
        <v>0</v>
      </c>
      <c r="AG960" s="84">
        <v>0</v>
      </c>
      <c r="AH960" s="84">
        <v>0</v>
      </c>
      <c r="AI960" s="84">
        <v>1</v>
      </c>
      <c r="AJ960" s="84">
        <v>0</v>
      </c>
      <c r="AK960" s="84">
        <v>0</v>
      </c>
      <c r="AL960" s="84" cm="1">
        <f t="array" ref="AL9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60" s="84" cm="1">
        <f t="array" ref="AM9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60" s="84" cm="1">
        <f t="array" ref="AN9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60" s="84" cm="1">
        <f t="array" ref="AO9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60" s="84" cm="1">
        <f t="array" ref="AP9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0" s="84" cm="1">
        <f t="array" ref="AQ9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0" s="84" cm="1">
        <f t="array" ref="AR9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0" s="84" cm="1">
        <f t="array" ref="AS9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0" s="84" cm="1">
        <f t="array" ref="AT9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0" s="84" cm="1">
        <f t="array" ref="AU9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0" s="84" cm="1">
        <f t="array" ref="AV9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0" s="84" cm="1">
        <f t="array" ref="AW9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0" s="84" cm="1">
        <f t="array" ref="AX9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0" s="84" cm="1">
        <f t="array" ref="AY9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0" s="84" cm="1">
        <f t="array" ref="AZ9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60" s="84" cm="1">
        <f t="array" ref="BA9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0" s="84" cm="1">
        <f t="array" ref="BB9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0" s="84">
        <f>IF(SUM(Table3[[#This Row],[Column2]:[Column18]])&gt;Table3[[#This Row],[Column19]],Table3[[#This Row],[Column19]],SUM(Table3[[#This Row],[Column2]:[Column18]]))</f>
        <v>10000</v>
      </c>
      <c r="BD960" s="2">
        <f>Table3[[#This Row],[Total Spend]]/SUM(Table3[[#This Row],[Column2]:[Column18]])</f>
        <v>7.2859744990892539E-2</v>
      </c>
    </row>
    <row r="961" spans="1:56">
      <c r="A961" s="84" t="s">
        <v>1035</v>
      </c>
      <c r="B961" s="84" t="s">
        <v>57</v>
      </c>
      <c r="C961" s="84"/>
      <c r="D961" s="85">
        <v>45566</v>
      </c>
      <c r="E961" s="85" t="s">
        <v>92</v>
      </c>
      <c r="F961" s="84">
        <f>INDEX(Definitions!$G$13:$G$17,MATCH(Table3[[#This Row],[Propensity to buy/ buyer readiness]],Definitions!$A$13:$A$17,0))</f>
        <v>10000</v>
      </c>
      <c r="G961" s="86">
        <v>3</v>
      </c>
      <c r="H961" s="86">
        <v>3</v>
      </c>
      <c r="I961" s="86">
        <v>4</v>
      </c>
      <c r="J961" s="86">
        <v>4</v>
      </c>
      <c r="K961" s="86">
        <v>2</v>
      </c>
      <c r="L961" s="86">
        <f>SUM(Table3[[#This Row],[Strategic priority segment]:[Propensity to buy/ buyer readiness]])</f>
        <v>16</v>
      </c>
      <c r="M961" s="86" t="s">
        <v>59</v>
      </c>
      <c r="N961" s="84" t="s">
        <v>265</v>
      </c>
      <c r="O961" s="84"/>
      <c r="P961" s="87"/>
      <c r="Q961" s="87"/>
      <c r="R961" s="84"/>
      <c r="S961" s="84"/>
      <c r="T961" s="84"/>
      <c r="U961" s="84">
        <v>1</v>
      </c>
      <c r="V961" s="84">
        <v>1</v>
      </c>
      <c r="W961" s="84">
        <v>1</v>
      </c>
      <c r="X961" s="84">
        <v>1</v>
      </c>
      <c r="Y961" s="84">
        <v>0</v>
      </c>
      <c r="Z961" s="84">
        <v>0</v>
      </c>
      <c r="AA961" s="84">
        <v>0</v>
      </c>
      <c r="AB961" s="84">
        <v>0</v>
      </c>
      <c r="AC961" s="84">
        <v>0</v>
      </c>
      <c r="AD961" s="84">
        <v>0</v>
      </c>
      <c r="AE961" s="84">
        <v>0</v>
      </c>
      <c r="AF961" s="84">
        <v>0</v>
      </c>
      <c r="AG961" s="84">
        <v>0</v>
      </c>
      <c r="AH961" s="84">
        <v>0</v>
      </c>
      <c r="AI961" s="84">
        <v>1</v>
      </c>
      <c r="AJ961" s="84">
        <v>0</v>
      </c>
      <c r="AK961" s="84">
        <v>0</v>
      </c>
      <c r="AL961" s="84" cm="1">
        <f t="array" ref="AL9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61" s="84" cm="1">
        <f t="array" ref="AM9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61" s="84" cm="1">
        <f t="array" ref="AN9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61" s="84" cm="1">
        <f t="array" ref="AO9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61" s="84" cm="1">
        <f t="array" ref="AP9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1" s="84" cm="1">
        <f t="array" ref="AQ9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1" s="84" cm="1">
        <f t="array" ref="AR9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1" s="84" cm="1">
        <f t="array" ref="AS9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1" s="84" cm="1">
        <f t="array" ref="AT9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1" s="84" cm="1">
        <f t="array" ref="AU9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1" s="84" cm="1">
        <f t="array" ref="AV9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1" s="84" cm="1">
        <f t="array" ref="AW9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1" s="84" cm="1">
        <f t="array" ref="AX9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1" s="84" cm="1">
        <f t="array" ref="AY9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1" s="84" cm="1">
        <f t="array" ref="AZ9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61" s="84" cm="1">
        <f t="array" ref="BA9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1" s="84" cm="1">
        <f t="array" ref="BB9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1" s="84">
        <f>IF(SUM(Table3[[#This Row],[Column2]:[Column18]])&gt;Table3[[#This Row],[Column19]],Table3[[#This Row],[Column19]],SUM(Table3[[#This Row],[Column2]:[Column18]]))</f>
        <v>10000</v>
      </c>
      <c r="BD961" s="2">
        <f>Table3[[#This Row],[Total Spend]]/SUM(Table3[[#This Row],[Column2]:[Column18]])</f>
        <v>7.2859744990892539E-2</v>
      </c>
    </row>
    <row r="962" spans="1:56">
      <c r="A962" s="84" t="s">
        <v>1036</v>
      </c>
      <c r="B962" s="84"/>
      <c r="C962" s="84"/>
      <c r="D962" s="85">
        <v>45566</v>
      </c>
      <c r="E962" s="85" t="s">
        <v>58</v>
      </c>
      <c r="F962" s="84">
        <f>INDEX(Definitions!$G$13:$G$17,MATCH(Table3[[#This Row],[Propensity to buy/ buyer readiness]],Definitions!$A$13:$A$17,0))</f>
        <v>150000</v>
      </c>
      <c r="G962" s="86">
        <v>3</v>
      </c>
      <c r="H962" s="86">
        <v>3</v>
      </c>
      <c r="I962" s="86">
        <v>3</v>
      </c>
      <c r="J962" s="86">
        <v>3</v>
      </c>
      <c r="K962" s="86">
        <v>4</v>
      </c>
      <c r="L962" s="86">
        <f>SUM(Table3[[#This Row],[Strategic priority segment]:[Propensity to buy/ buyer readiness]])</f>
        <v>16</v>
      </c>
      <c r="M962" s="86" t="s">
        <v>152</v>
      </c>
      <c r="N962" s="84" t="s">
        <v>122</v>
      </c>
      <c r="O962" s="84"/>
      <c r="P962" s="87"/>
      <c r="Q962" s="87"/>
      <c r="R962" s="84"/>
      <c r="S962" s="87"/>
      <c r="T962" s="87"/>
      <c r="U962" s="84">
        <v>1</v>
      </c>
      <c r="V962" s="84">
        <v>0</v>
      </c>
      <c r="W962" s="84">
        <v>0</v>
      </c>
      <c r="X962" s="84">
        <v>0</v>
      </c>
      <c r="Y962" s="84">
        <v>0</v>
      </c>
      <c r="Z962" s="84">
        <v>1</v>
      </c>
      <c r="AA962" s="84">
        <v>0</v>
      </c>
      <c r="AB962" s="84">
        <v>1</v>
      </c>
      <c r="AC962" s="84">
        <v>0</v>
      </c>
      <c r="AD962" s="84">
        <v>1</v>
      </c>
      <c r="AE962" s="84">
        <v>0</v>
      </c>
      <c r="AF962" s="84">
        <v>1</v>
      </c>
      <c r="AG962" s="84">
        <v>0</v>
      </c>
      <c r="AH962" s="84">
        <v>0</v>
      </c>
      <c r="AI962" s="84">
        <v>0</v>
      </c>
      <c r="AJ962" s="84">
        <v>0</v>
      </c>
      <c r="AK962" s="84">
        <v>0</v>
      </c>
      <c r="AL962" s="84" cm="1">
        <f t="array" ref="AL9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2" s="84" cm="1">
        <f t="array" ref="AM9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2" s="84" cm="1">
        <f t="array" ref="AN9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2" s="84" cm="1">
        <f t="array" ref="AO9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2" s="84" cm="1">
        <f t="array" ref="AP9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2" s="84" cm="1">
        <f t="array" ref="AQ9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62" s="84" cm="1">
        <f t="array" ref="AR9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2" s="84" cm="1">
        <f t="array" ref="AS9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62" s="84" cm="1">
        <f t="array" ref="AT9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2" s="84" cm="1">
        <f t="array" ref="AU9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62" s="84" cm="1">
        <f t="array" ref="AV9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2" s="84" cm="1">
        <f t="array" ref="AW9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62" s="84" cm="1">
        <f t="array" ref="AX9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2" s="84" cm="1">
        <f t="array" ref="AY9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2" s="84" cm="1">
        <f t="array" ref="AZ9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2" s="84" cm="1">
        <f t="array" ref="BA9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2" s="84" cm="1">
        <f t="array" ref="BB9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2" s="84">
        <f>IF(SUM(Table3[[#This Row],[Column2]:[Column18]])&gt;Table3[[#This Row],[Column19]],Table3[[#This Row],[Column19]],SUM(Table3[[#This Row],[Column2]:[Column18]]))</f>
        <v>150000</v>
      </c>
      <c r="BD962" s="2">
        <f>Table3[[#This Row],[Total Spend]]/SUM(Table3[[#This Row],[Column2]:[Column18]])</f>
        <v>0.89605734767025091</v>
      </c>
    </row>
    <row r="963" spans="1:56">
      <c r="A963" s="84" t="s">
        <v>1037</v>
      </c>
      <c r="B963" s="84"/>
      <c r="C963" s="84"/>
      <c r="D963" s="85">
        <v>45566</v>
      </c>
      <c r="E963" s="85" t="s">
        <v>92</v>
      </c>
      <c r="F963" s="84">
        <f>INDEX(Definitions!$G$13:$G$17,MATCH(Table3[[#This Row],[Propensity to buy/ buyer readiness]],Definitions!$A$13:$A$17,0))</f>
        <v>50000</v>
      </c>
      <c r="G963" s="86">
        <v>3</v>
      </c>
      <c r="H963" s="86">
        <v>3</v>
      </c>
      <c r="I963" s="86">
        <v>4</v>
      </c>
      <c r="J963" s="86">
        <v>3</v>
      </c>
      <c r="K963" s="86">
        <v>3</v>
      </c>
      <c r="L963" s="86">
        <f>SUM(Table3[[#This Row],[Strategic priority segment]:[Propensity to buy/ buyer readiness]])</f>
        <v>16</v>
      </c>
      <c r="M963" s="86" t="s">
        <v>152</v>
      </c>
      <c r="N963" s="84" t="s">
        <v>153</v>
      </c>
      <c r="O963" s="87" t="s">
        <v>135</v>
      </c>
      <c r="P963" s="87"/>
      <c r="Q963" s="87"/>
      <c r="R963" s="87"/>
      <c r="S963" s="87"/>
      <c r="T963" s="87"/>
      <c r="U963" s="84">
        <v>1</v>
      </c>
      <c r="V963" s="84">
        <v>0</v>
      </c>
      <c r="W963" s="84">
        <v>0</v>
      </c>
      <c r="X963" s="84">
        <v>0</v>
      </c>
      <c r="Y963" s="84">
        <v>0</v>
      </c>
      <c r="Z963" s="84">
        <v>0</v>
      </c>
      <c r="AA963" s="84">
        <v>0</v>
      </c>
      <c r="AB963" s="84">
        <v>0</v>
      </c>
      <c r="AC963" s="84">
        <v>0</v>
      </c>
      <c r="AD963" s="84">
        <v>0</v>
      </c>
      <c r="AE963" s="84">
        <v>0</v>
      </c>
      <c r="AF963" s="84">
        <v>0</v>
      </c>
      <c r="AG963" s="84">
        <v>0</v>
      </c>
      <c r="AH963" s="84">
        <v>1</v>
      </c>
      <c r="AI963" s="84">
        <v>1</v>
      </c>
      <c r="AJ963" s="84">
        <v>1</v>
      </c>
      <c r="AK963" s="84">
        <v>1</v>
      </c>
      <c r="AL963" s="84" cm="1">
        <f t="array" ref="AL9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63" s="84" cm="1">
        <f t="array" ref="AM9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3" s="84" cm="1">
        <f t="array" ref="AN9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3" s="84" cm="1">
        <f t="array" ref="AO9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3" s="84" cm="1">
        <f t="array" ref="AP9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3" s="84" cm="1">
        <f t="array" ref="AQ9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3" s="84" cm="1">
        <f t="array" ref="AR9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3" s="84" cm="1">
        <f t="array" ref="AS9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3" s="84" cm="1">
        <f t="array" ref="AT9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3" s="84" cm="1">
        <f t="array" ref="AU9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3" s="84" cm="1">
        <f t="array" ref="AV9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3" s="84" cm="1">
        <f t="array" ref="AW9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3" s="84" cm="1">
        <f t="array" ref="AX9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3" s="84" cm="1">
        <f t="array" ref="AY9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63" s="84" cm="1">
        <f t="array" ref="AZ9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63" s="84" cm="1">
        <f t="array" ref="BA9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63" s="84" cm="1">
        <f t="array" ref="BB9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63" s="84">
        <f>IF(SUM(Table3[[#This Row],[Column2]:[Column18]])&gt;Table3[[#This Row],[Column19]],Table3[[#This Row],[Column19]],SUM(Table3[[#This Row],[Column2]:[Column18]]))</f>
        <v>50000</v>
      </c>
      <c r="BD963" s="2">
        <f>Table3[[#This Row],[Total Spend]]/SUM(Table3[[#This Row],[Column2]:[Column18]])</f>
        <v>0.91827364554637281</v>
      </c>
    </row>
    <row r="964" spans="1:56">
      <c r="A964" s="84" t="s">
        <v>1038</v>
      </c>
      <c r="B964" s="84"/>
      <c r="C964" s="84"/>
      <c r="D964" s="85">
        <v>45566</v>
      </c>
      <c r="E964" s="85" t="s">
        <v>58</v>
      </c>
      <c r="F964" s="84">
        <f>INDEX(Definitions!$G$13:$G$17,MATCH(Table3[[#This Row],[Propensity to buy/ buyer readiness]],Definitions!$A$13:$A$17,0))</f>
        <v>50000</v>
      </c>
      <c r="G964" s="86">
        <v>3</v>
      </c>
      <c r="H964" s="86">
        <v>3</v>
      </c>
      <c r="I964" s="86">
        <v>3</v>
      </c>
      <c r="J964" s="86">
        <v>4</v>
      </c>
      <c r="K964" s="86">
        <v>3</v>
      </c>
      <c r="L964" s="86">
        <f>SUM(Table3[[#This Row],[Strategic priority segment]:[Propensity to buy/ buyer readiness]])</f>
        <v>16</v>
      </c>
      <c r="M964" s="86" t="s">
        <v>59</v>
      </c>
      <c r="N964" s="84" t="s">
        <v>265</v>
      </c>
      <c r="O964" s="84"/>
      <c r="P964" s="87"/>
      <c r="Q964" s="87"/>
      <c r="R964" s="84"/>
      <c r="S964" s="87"/>
      <c r="T964" s="87"/>
      <c r="U964" s="84">
        <v>1</v>
      </c>
      <c r="V964" s="84">
        <v>1</v>
      </c>
      <c r="W964" s="84">
        <v>1</v>
      </c>
      <c r="X964" s="84">
        <v>1</v>
      </c>
      <c r="Y964" s="84">
        <v>0</v>
      </c>
      <c r="Z964" s="84">
        <v>0</v>
      </c>
      <c r="AA964" s="84">
        <v>0</v>
      </c>
      <c r="AB964" s="84">
        <v>0</v>
      </c>
      <c r="AC964" s="84">
        <v>0</v>
      </c>
      <c r="AD964" s="84">
        <v>0</v>
      </c>
      <c r="AE964" s="84">
        <v>0</v>
      </c>
      <c r="AF964" s="84">
        <v>0</v>
      </c>
      <c r="AG964" s="84">
        <v>0</v>
      </c>
      <c r="AH964" s="84">
        <v>0</v>
      </c>
      <c r="AI964" s="84">
        <v>1</v>
      </c>
      <c r="AJ964" s="84">
        <v>0</v>
      </c>
      <c r="AK964" s="84">
        <v>0</v>
      </c>
      <c r="AL964" s="84" cm="1">
        <f t="array" ref="AL9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4" s="84" cm="1">
        <f t="array" ref="AM9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964" s="84" cm="1">
        <f t="array" ref="AN9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964" s="84" cm="1">
        <f t="array" ref="AO9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964" s="84" cm="1">
        <f t="array" ref="AP9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4" s="84" cm="1">
        <f t="array" ref="AQ9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4" s="84" cm="1">
        <f t="array" ref="AR9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4" s="84" cm="1">
        <f t="array" ref="AS9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4" s="84" cm="1">
        <f t="array" ref="AT9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4" s="84" cm="1">
        <f t="array" ref="AU9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4" s="84" cm="1">
        <f t="array" ref="AV9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4" s="84" cm="1">
        <f t="array" ref="AW9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4" s="84" cm="1">
        <f t="array" ref="AX9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4" s="84" cm="1">
        <f t="array" ref="AY9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4" s="84" cm="1">
        <f t="array" ref="AZ9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964" s="84" cm="1">
        <f t="array" ref="BA9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4" s="84" cm="1">
        <f t="array" ref="BB9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4" s="84">
        <f>IF(SUM(Table3[[#This Row],[Column2]:[Column18]])&gt;Table3[[#This Row],[Column19]],Table3[[#This Row],[Column19]],SUM(Table3[[#This Row],[Column2]:[Column18]]))</f>
        <v>50000</v>
      </c>
      <c r="BD964" s="2">
        <f>Table3[[#This Row],[Total Spend]]/SUM(Table3[[#This Row],[Column2]:[Column18]])</f>
        <v>0.26021337496747332</v>
      </c>
    </row>
    <row r="965" spans="1:56">
      <c r="A965" s="84" t="s">
        <v>1039</v>
      </c>
      <c r="B965" s="84" t="s">
        <v>57</v>
      </c>
      <c r="C965" s="84"/>
      <c r="D965" s="85">
        <v>45566</v>
      </c>
      <c r="E965" s="85" t="s">
        <v>58</v>
      </c>
      <c r="F965" s="84">
        <f>INDEX(Definitions!$G$13:$G$17,MATCH(Table3[[#This Row],[Propensity to buy/ buyer readiness]],Definitions!$A$13:$A$17,0))</f>
        <v>50000</v>
      </c>
      <c r="G965" s="86">
        <v>3</v>
      </c>
      <c r="H965" s="86">
        <v>3</v>
      </c>
      <c r="I965" s="86">
        <v>4</v>
      </c>
      <c r="J965" s="86">
        <v>3</v>
      </c>
      <c r="K965" s="86">
        <v>3</v>
      </c>
      <c r="L965" s="86">
        <f>SUM(Table3[[#This Row],[Strategic priority segment]:[Propensity to buy/ buyer readiness]])</f>
        <v>16</v>
      </c>
      <c r="M965" s="86" t="s">
        <v>152</v>
      </c>
      <c r="N965" s="84" t="s">
        <v>130</v>
      </c>
      <c r="O965" s="84"/>
      <c r="P965" s="87"/>
      <c r="Q965" s="87"/>
      <c r="R965" s="84"/>
      <c r="S965" s="84"/>
      <c r="T965" s="87"/>
      <c r="U965" s="84">
        <v>1</v>
      </c>
      <c r="V965" s="84">
        <v>0</v>
      </c>
      <c r="W965" s="84">
        <v>0</v>
      </c>
      <c r="X965" s="84">
        <v>0</v>
      </c>
      <c r="Y965" s="84">
        <v>0</v>
      </c>
      <c r="Z965" s="84">
        <v>0</v>
      </c>
      <c r="AA965" s="84">
        <v>0</v>
      </c>
      <c r="AB965" s="84">
        <v>0</v>
      </c>
      <c r="AC965" s="84">
        <v>0</v>
      </c>
      <c r="AD965" s="84">
        <v>0</v>
      </c>
      <c r="AE965" s="84">
        <v>0</v>
      </c>
      <c r="AF965" s="84">
        <v>0</v>
      </c>
      <c r="AG965" s="84">
        <v>0</v>
      </c>
      <c r="AH965" s="84">
        <v>0</v>
      </c>
      <c r="AI965" s="84">
        <v>0</v>
      </c>
      <c r="AJ965" s="84">
        <v>0</v>
      </c>
      <c r="AK965" s="84">
        <v>0</v>
      </c>
      <c r="AL965" s="84" cm="1">
        <f t="array" ref="AL9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5" s="84" cm="1">
        <f t="array" ref="AM9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5" s="84" cm="1">
        <f t="array" ref="AN9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5" s="84" cm="1">
        <f t="array" ref="AO9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5" s="84" cm="1">
        <f t="array" ref="AP9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5" s="84" cm="1">
        <f t="array" ref="AQ9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5" s="84" cm="1">
        <f t="array" ref="AR9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5" s="84" cm="1">
        <f t="array" ref="AS9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5" s="84" cm="1">
        <f t="array" ref="AT9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5" s="84" cm="1">
        <f t="array" ref="AU9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5" s="84" cm="1">
        <f t="array" ref="AV9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5" s="84" cm="1">
        <f t="array" ref="AW9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5" s="84" cm="1">
        <f t="array" ref="AX9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5" s="84" cm="1">
        <f t="array" ref="AY9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5" s="84" cm="1">
        <f t="array" ref="AZ9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5" s="84" cm="1">
        <f t="array" ref="BA9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5" s="84" cm="1">
        <f t="array" ref="BB9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5" s="84">
        <f>IF(SUM(Table3[[#This Row],[Column2]:[Column18]])&gt;Table3[[#This Row],[Column19]],Table3[[#This Row],[Column19]],SUM(Table3[[#This Row],[Column2]:[Column18]]))</f>
        <v>10800</v>
      </c>
      <c r="BD965" s="2">
        <f>Table3[[#This Row],[Total Spend]]/SUM(Table3[[#This Row],[Column2]:[Column18]])</f>
        <v>1</v>
      </c>
    </row>
    <row r="966" spans="1:56">
      <c r="A966" s="84" t="s">
        <v>1040</v>
      </c>
      <c r="B966" s="84" t="s">
        <v>57</v>
      </c>
      <c r="C966" s="84"/>
      <c r="D966" s="85">
        <v>45566</v>
      </c>
      <c r="E966" s="85" t="s">
        <v>58</v>
      </c>
      <c r="F966" s="84">
        <f>INDEX(Definitions!$G$13:$G$17,MATCH(Table3[[#This Row],[Propensity to buy/ buyer readiness]],Definitions!$A$13:$A$17,0))</f>
        <v>50000</v>
      </c>
      <c r="G966" s="86">
        <v>3</v>
      </c>
      <c r="H966" s="86">
        <v>3</v>
      </c>
      <c r="I966" s="86">
        <v>4</v>
      </c>
      <c r="J966" s="86">
        <v>3</v>
      </c>
      <c r="K966" s="86">
        <v>3</v>
      </c>
      <c r="L966" s="86">
        <f>SUM(Table3[[#This Row],[Strategic priority segment]:[Propensity to buy/ buyer readiness]])</f>
        <v>16</v>
      </c>
      <c r="M966" s="86" t="s">
        <v>152</v>
      </c>
      <c r="N966" s="84" t="s">
        <v>130</v>
      </c>
      <c r="O966" s="84"/>
      <c r="P966" s="87"/>
      <c r="Q966" s="87"/>
      <c r="R966" s="84"/>
      <c r="S966" s="84"/>
      <c r="T966" s="87"/>
      <c r="U966" s="84">
        <v>1</v>
      </c>
      <c r="V966" s="84">
        <v>0</v>
      </c>
      <c r="W966" s="84">
        <v>0</v>
      </c>
      <c r="X966" s="84">
        <v>0</v>
      </c>
      <c r="Y966" s="84">
        <v>0</v>
      </c>
      <c r="Z966" s="84">
        <v>0</v>
      </c>
      <c r="AA966" s="84">
        <v>0</v>
      </c>
      <c r="AB966" s="84">
        <v>0</v>
      </c>
      <c r="AC966" s="84">
        <v>0</v>
      </c>
      <c r="AD966" s="84">
        <v>0</v>
      </c>
      <c r="AE966" s="84">
        <v>0</v>
      </c>
      <c r="AF966" s="84">
        <v>0</v>
      </c>
      <c r="AG966" s="84">
        <v>0</v>
      </c>
      <c r="AH966" s="84">
        <v>0</v>
      </c>
      <c r="AI966" s="84">
        <v>0</v>
      </c>
      <c r="AJ966" s="84">
        <v>0</v>
      </c>
      <c r="AK966" s="84">
        <v>0</v>
      </c>
      <c r="AL966" s="84" cm="1">
        <f t="array" ref="AL9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6" s="84" cm="1">
        <f t="array" ref="AM9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6" s="84" cm="1">
        <f t="array" ref="AN9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6" s="84" cm="1">
        <f t="array" ref="AO9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6" s="84" cm="1">
        <f t="array" ref="AP9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6" s="84" cm="1">
        <f t="array" ref="AQ9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6" s="84" cm="1">
        <f t="array" ref="AR9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6" s="84" cm="1">
        <f t="array" ref="AS9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6" s="84" cm="1">
        <f t="array" ref="AT9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6" s="84" cm="1">
        <f t="array" ref="AU9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6" s="84" cm="1">
        <f t="array" ref="AV9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6" s="84" cm="1">
        <f t="array" ref="AW9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6" s="84" cm="1">
        <f t="array" ref="AX9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6" s="84" cm="1">
        <f t="array" ref="AY9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6" s="84" cm="1">
        <f t="array" ref="AZ9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6" s="84" cm="1">
        <f t="array" ref="BA9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6" s="84" cm="1">
        <f t="array" ref="BB9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6" s="84">
        <f>IF(SUM(Table3[[#This Row],[Column2]:[Column18]])&gt;Table3[[#This Row],[Column19]],Table3[[#This Row],[Column19]],SUM(Table3[[#This Row],[Column2]:[Column18]]))</f>
        <v>10800</v>
      </c>
      <c r="BD966" s="2">
        <f>Table3[[#This Row],[Total Spend]]/SUM(Table3[[#This Row],[Column2]:[Column18]])</f>
        <v>1</v>
      </c>
    </row>
    <row r="967" spans="1:56">
      <c r="A967" s="84" t="s">
        <v>1041</v>
      </c>
      <c r="B967" s="84"/>
      <c r="C967" s="84" t="s">
        <v>57</v>
      </c>
      <c r="D967" s="85">
        <v>45566</v>
      </c>
      <c r="E967" s="85" t="s">
        <v>92</v>
      </c>
      <c r="F967" s="84">
        <f>INDEX(Definitions!$G$13:$G$17,MATCH(Table3[[#This Row],[Propensity to buy/ buyer readiness]],Definitions!$A$13:$A$17,0))</f>
        <v>50000</v>
      </c>
      <c r="G967" s="86">
        <v>3</v>
      </c>
      <c r="H967" s="86">
        <v>3</v>
      </c>
      <c r="I967" s="86">
        <v>4</v>
      </c>
      <c r="J967" s="86">
        <v>3</v>
      </c>
      <c r="K967" s="86">
        <v>3</v>
      </c>
      <c r="L967" s="86">
        <f>SUM(Table3[[#This Row],[Strategic priority segment]:[Propensity to buy/ buyer readiness]])</f>
        <v>16</v>
      </c>
      <c r="M967" s="86" t="s">
        <v>152</v>
      </c>
      <c r="N967" s="84" t="s">
        <v>122</v>
      </c>
      <c r="O967" s="84"/>
      <c r="P967" s="87"/>
      <c r="Q967" s="87"/>
      <c r="R967" s="84"/>
      <c r="S967" s="87"/>
      <c r="T967" s="87"/>
      <c r="U967" s="84">
        <v>1</v>
      </c>
      <c r="V967" s="84">
        <v>0</v>
      </c>
      <c r="W967" s="84">
        <v>0</v>
      </c>
      <c r="X967" s="84">
        <v>0</v>
      </c>
      <c r="Y967" s="84">
        <v>0</v>
      </c>
      <c r="Z967" s="84">
        <v>1</v>
      </c>
      <c r="AA967" s="84">
        <v>0</v>
      </c>
      <c r="AB967" s="84">
        <v>1</v>
      </c>
      <c r="AC967" s="84">
        <v>0</v>
      </c>
      <c r="AD967" s="84">
        <v>1</v>
      </c>
      <c r="AE967" s="84">
        <v>0</v>
      </c>
      <c r="AF967" s="84">
        <v>1</v>
      </c>
      <c r="AG967" s="84">
        <v>0</v>
      </c>
      <c r="AH967" s="84">
        <v>0</v>
      </c>
      <c r="AI967" s="84">
        <v>0</v>
      </c>
      <c r="AJ967" s="84">
        <v>0</v>
      </c>
      <c r="AK967" s="84">
        <v>0</v>
      </c>
      <c r="AL967" s="84" cm="1">
        <f t="array" ref="AL9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67" s="84" cm="1">
        <f t="array" ref="AM9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7" s="84" cm="1">
        <f t="array" ref="AN9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7" s="84" cm="1">
        <f t="array" ref="AO9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7" s="84" cm="1">
        <f t="array" ref="AP9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7" s="84" cm="1">
        <f t="array" ref="AQ9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67" s="84" cm="1">
        <f t="array" ref="AR9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7" s="84" cm="1">
        <f t="array" ref="AS9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67" s="84" cm="1">
        <f t="array" ref="AT9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7" s="84" cm="1">
        <f t="array" ref="AU9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67" s="84" cm="1">
        <f t="array" ref="AV9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7" s="84" cm="1">
        <f t="array" ref="AW9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67" s="84" cm="1">
        <f t="array" ref="AX9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7" s="84" cm="1">
        <f t="array" ref="AY9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7" s="84" cm="1">
        <f t="array" ref="AZ9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7" s="84" cm="1">
        <f t="array" ref="BA9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7" s="84" cm="1">
        <f t="array" ref="BB9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7" s="84">
        <f>IF(SUM(Table3[[#This Row],[Column2]:[Column18]])&gt;Table3[[#This Row],[Column19]],Table3[[#This Row],[Column19]],SUM(Table3[[#This Row],[Column2]:[Column18]]))</f>
        <v>50000</v>
      </c>
      <c r="BD967" s="2">
        <f>Table3[[#This Row],[Total Spend]]/SUM(Table3[[#This Row],[Column2]:[Column18]])</f>
        <v>0.41459369817578773</v>
      </c>
    </row>
    <row r="968" spans="1:56">
      <c r="A968" s="84" t="s">
        <v>1042</v>
      </c>
      <c r="B968" s="84" t="s">
        <v>57</v>
      </c>
      <c r="C968" s="84"/>
      <c r="D968" s="85">
        <v>45566</v>
      </c>
      <c r="E968" s="85" t="s">
        <v>58</v>
      </c>
      <c r="F968" s="84">
        <f>INDEX(Definitions!$G$13:$G$17,MATCH(Table3[[#This Row],[Propensity to buy/ buyer readiness]],Definitions!$A$13:$A$17,0))</f>
        <v>50000</v>
      </c>
      <c r="G968" s="86">
        <v>3</v>
      </c>
      <c r="H968" s="86">
        <v>3</v>
      </c>
      <c r="I968" s="86">
        <v>4</v>
      </c>
      <c r="J968" s="86">
        <v>3</v>
      </c>
      <c r="K968" s="86">
        <v>3</v>
      </c>
      <c r="L968" s="86">
        <f>SUM(Table3[[#This Row],[Strategic priority segment]:[Propensity to buy/ buyer readiness]])</f>
        <v>16</v>
      </c>
      <c r="M968" s="86" t="s">
        <v>152</v>
      </c>
      <c r="N968" s="84" t="s">
        <v>264</v>
      </c>
      <c r="O968" s="84"/>
      <c r="P968" s="87"/>
      <c r="Q968" s="87"/>
      <c r="R968" s="84"/>
      <c r="S968" s="84"/>
      <c r="T968" s="87"/>
      <c r="U968" s="84">
        <v>1</v>
      </c>
      <c r="V968" s="84">
        <v>0</v>
      </c>
      <c r="W968" s="84">
        <v>0</v>
      </c>
      <c r="X968" s="84">
        <v>0</v>
      </c>
      <c r="Y968" s="84">
        <v>0</v>
      </c>
      <c r="Z968" s="84">
        <v>0</v>
      </c>
      <c r="AA968" s="84">
        <v>0</v>
      </c>
      <c r="AB968" s="84">
        <v>0</v>
      </c>
      <c r="AC968" s="84">
        <v>0</v>
      </c>
      <c r="AD968" s="84">
        <v>0</v>
      </c>
      <c r="AE968" s="84">
        <v>0</v>
      </c>
      <c r="AF968" s="84">
        <v>0</v>
      </c>
      <c r="AG968" s="84">
        <v>0</v>
      </c>
      <c r="AH968" s="84">
        <v>0</v>
      </c>
      <c r="AI968" s="84">
        <v>0</v>
      </c>
      <c r="AJ968" s="84">
        <v>0</v>
      </c>
      <c r="AK968" s="84">
        <v>0</v>
      </c>
      <c r="AL968" s="84" cm="1">
        <f t="array" ref="AL9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8" s="84" cm="1">
        <f t="array" ref="AM9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8" s="84" cm="1">
        <f t="array" ref="AN9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8" s="84" cm="1">
        <f t="array" ref="AO9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8" s="84" cm="1">
        <f t="array" ref="AP9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8" s="84" cm="1">
        <f t="array" ref="AQ9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8" s="84" cm="1">
        <f t="array" ref="AR9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8" s="84" cm="1">
        <f t="array" ref="AS9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8" s="84" cm="1">
        <f t="array" ref="AT9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8" s="84" cm="1">
        <f t="array" ref="AU9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8" s="84" cm="1">
        <f t="array" ref="AV9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8" s="84" cm="1">
        <f t="array" ref="AW9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8" s="84" cm="1">
        <f t="array" ref="AX9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8" s="84" cm="1">
        <f t="array" ref="AY9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68" s="84" cm="1">
        <f t="array" ref="AZ9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8" s="84" cm="1">
        <f t="array" ref="BA9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68" s="84" cm="1">
        <f t="array" ref="BB9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8" s="84">
        <f>IF(SUM(Table3[[#This Row],[Column2]:[Column18]])&gt;Table3[[#This Row],[Column19]],Table3[[#This Row],[Column19]],SUM(Table3[[#This Row],[Column2]:[Column18]]))</f>
        <v>10800</v>
      </c>
      <c r="BD968" s="2">
        <f>Table3[[#This Row],[Total Spend]]/SUM(Table3[[#This Row],[Column2]:[Column18]])</f>
        <v>1</v>
      </c>
    </row>
    <row r="969" spans="1:56">
      <c r="A969" s="84" t="s">
        <v>1043</v>
      </c>
      <c r="B969" s="84"/>
      <c r="C969" s="84"/>
      <c r="D969" s="85">
        <v>45809</v>
      </c>
      <c r="E969" s="85" t="s">
        <v>58</v>
      </c>
      <c r="F969" s="84">
        <f>INDEX(Definitions!$G$13:$G$17,MATCH(Table3[[#This Row],[Propensity to buy/ buyer readiness]],Definitions!$A$13:$A$17,0))</f>
        <v>150000</v>
      </c>
      <c r="G969" s="86">
        <v>3</v>
      </c>
      <c r="H969" s="86">
        <v>3</v>
      </c>
      <c r="I969" s="86">
        <v>3</v>
      </c>
      <c r="J969" s="86">
        <v>3</v>
      </c>
      <c r="K969" s="86">
        <v>4</v>
      </c>
      <c r="L969" s="86">
        <f>SUM(Table3[[#This Row],[Strategic priority segment]:[Propensity to buy/ buyer readiness]])</f>
        <v>16</v>
      </c>
      <c r="M969" s="86" t="s">
        <v>191</v>
      </c>
      <c r="N969" s="84" t="s">
        <v>76</v>
      </c>
      <c r="O969" s="84" t="s">
        <v>153</v>
      </c>
      <c r="P969" s="87"/>
      <c r="Q969" s="87"/>
      <c r="R969" s="84"/>
      <c r="S969" s="84"/>
      <c r="T969" s="84"/>
      <c r="U969" s="84">
        <v>1</v>
      </c>
      <c r="V969" s="84">
        <v>0</v>
      </c>
      <c r="W969" s="84">
        <v>0</v>
      </c>
      <c r="X969" s="84">
        <v>0</v>
      </c>
      <c r="Y969" s="84">
        <v>0</v>
      </c>
      <c r="Z969" s="84">
        <v>0</v>
      </c>
      <c r="AA969" s="84">
        <v>0</v>
      </c>
      <c r="AB969" s="84">
        <v>0</v>
      </c>
      <c r="AC969" s="84">
        <v>0</v>
      </c>
      <c r="AD969" s="84">
        <v>0</v>
      </c>
      <c r="AE969" s="84">
        <v>0</v>
      </c>
      <c r="AF969" s="84">
        <v>0</v>
      </c>
      <c r="AG969" s="84">
        <v>0</v>
      </c>
      <c r="AH969" s="84">
        <v>1</v>
      </c>
      <c r="AI969" s="84">
        <v>0</v>
      </c>
      <c r="AJ969" s="84">
        <v>1</v>
      </c>
      <c r="AK969" s="84">
        <v>0</v>
      </c>
      <c r="AL969" s="84" cm="1">
        <f t="array" ref="AL9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69" s="84" cm="1">
        <f t="array" ref="AM9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69" s="84" cm="1">
        <f t="array" ref="AN9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69" s="84" cm="1">
        <f t="array" ref="AO9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69" s="84" cm="1">
        <f t="array" ref="AP9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69" s="84" cm="1">
        <f t="array" ref="AQ9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69" s="84" cm="1">
        <f t="array" ref="AR9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69" s="84" cm="1">
        <f t="array" ref="AS9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69" s="84" cm="1">
        <f t="array" ref="AT9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69" s="84" cm="1">
        <f t="array" ref="AU9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69" s="84" cm="1">
        <f t="array" ref="AV9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69" s="84" cm="1">
        <f t="array" ref="AW9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69" s="84" cm="1">
        <f t="array" ref="AX9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69" s="84" cm="1">
        <f t="array" ref="AY9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969" s="84" cm="1">
        <f t="array" ref="AZ9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69" s="84" cm="1">
        <f t="array" ref="BA9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969" s="84" cm="1">
        <f t="array" ref="BB9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69" s="84">
        <f>IF(SUM(Table3[[#This Row],[Column2]:[Column18]])&gt;Table3[[#This Row],[Column19]],Table3[[#This Row],[Column19]],SUM(Table3[[#This Row],[Column2]:[Column18]]))</f>
        <v>53100</v>
      </c>
      <c r="BD969" s="2">
        <f>Table3[[#This Row],[Total Spend]]/SUM(Table3[[#This Row],[Column2]:[Column18]])</f>
        <v>1</v>
      </c>
    </row>
    <row r="970" spans="1:56">
      <c r="A970" s="84" t="s">
        <v>1044</v>
      </c>
      <c r="B970" s="84"/>
      <c r="C970" s="84"/>
      <c r="D970" s="85">
        <v>45566</v>
      </c>
      <c r="E970" s="85" t="s">
        <v>58</v>
      </c>
      <c r="F970" s="84">
        <f>INDEX(Definitions!$G$13:$G$17,MATCH(Table3[[#This Row],[Propensity to buy/ buyer readiness]],Definitions!$A$13:$A$17,0))</f>
        <v>150000</v>
      </c>
      <c r="G970" s="86">
        <v>3</v>
      </c>
      <c r="H970" s="86">
        <v>3</v>
      </c>
      <c r="I970" s="86">
        <v>3</v>
      </c>
      <c r="J970" s="86">
        <v>3</v>
      </c>
      <c r="K970" s="86">
        <v>4</v>
      </c>
      <c r="L970" s="86">
        <f>SUM(Table3[[#This Row],[Strategic priority segment]:[Propensity to buy/ buyer readiness]])</f>
        <v>16</v>
      </c>
      <c r="M970" s="86" t="s">
        <v>152</v>
      </c>
      <c r="N970" s="84" t="s">
        <v>122</v>
      </c>
      <c r="O970" s="84"/>
      <c r="P970" s="87"/>
      <c r="Q970" s="87"/>
      <c r="R970" s="84"/>
      <c r="S970" s="87"/>
      <c r="T970" s="84"/>
      <c r="U970" s="84">
        <v>1</v>
      </c>
      <c r="V970" s="84">
        <v>0</v>
      </c>
      <c r="W970" s="84">
        <v>0</v>
      </c>
      <c r="X970" s="84">
        <v>0</v>
      </c>
      <c r="Y970" s="84">
        <v>0</v>
      </c>
      <c r="Z970" s="84">
        <v>1</v>
      </c>
      <c r="AA970" s="84">
        <v>0</v>
      </c>
      <c r="AB970" s="84">
        <v>1</v>
      </c>
      <c r="AC970" s="84">
        <v>0</v>
      </c>
      <c r="AD970" s="84">
        <v>1</v>
      </c>
      <c r="AE970" s="84">
        <v>0</v>
      </c>
      <c r="AF970" s="84">
        <v>1</v>
      </c>
      <c r="AG970" s="84">
        <v>0</v>
      </c>
      <c r="AH970" s="84">
        <v>0</v>
      </c>
      <c r="AI970" s="84">
        <v>0</v>
      </c>
      <c r="AJ970" s="84">
        <v>0</v>
      </c>
      <c r="AK970" s="84">
        <v>0</v>
      </c>
      <c r="AL970" s="84" cm="1">
        <f t="array" ref="AL9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70" s="84" cm="1">
        <f t="array" ref="AM9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0" s="84" cm="1">
        <f t="array" ref="AN9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0" s="84" cm="1">
        <f t="array" ref="AO9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0" s="84" cm="1">
        <f t="array" ref="AP9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0" s="84" cm="1">
        <f t="array" ref="AQ9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70" s="84" cm="1">
        <f t="array" ref="AR9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0" s="84" cm="1">
        <f t="array" ref="AS9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70" s="84" cm="1">
        <f t="array" ref="AT9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0" s="84" cm="1">
        <f t="array" ref="AU9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70" s="84" cm="1">
        <f t="array" ref="AV9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0" s="84" cm="1">
        <f t="array" ref="AW9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70" s="84" cm="1">
        <f t="array" ref="AX9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0" s="84" cm="1">
        <f t="array" ref="AY9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0" s="84" cm="1">
        <f t="array" ref="AZ9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70" s="84" cm="1">
        <f t="array" ref="BA9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0" s="84" cm="1">
        <f t="array" ref="BB9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0" s="84">
        <f>IF(SUM(Table3[[#This Row],[Column2]:[Column18]])&gt;Table3[[#This Row],[Column19]],Table3[[#This Row],[Column19]],SUM(Table3[[#This Row],[Column2]:[Column18]]))</f>
        <v>150000</v>
      </c>
      <c r="BD970" s="2">
        <f>Table3[[#This Row],[Total Spend]]/SUM(Table3[[#This Row],[Column2]:[Column18]])</f>
        <v>0.89605734767025091</v>
      </c>
    </row>
    <row r="971" spans="1:56">
      <c r="A971" s="84" t="s">
        <v>1045</v>
      </c>
      <c r="B971" s="84"/>
      <c r="C971" s="84"/>
      <c r="D971" s="85">
        <v>45566</v>
      </c>
      <c r="E971" s="85" t="s">
        <v>58</v>
      </c>
      <c r="F971" s="84">
        <f>INDEX(Definitions!$G$13:$G$17,MATCH(Table3[[#This Row],[Propensity to buy/ buyer readiness]],Definitions!$A$13:$A$17,0))</f>
        <v>150000</v>
      </c>
      <c r="G971" s="86">
        <v>3</v>
      </c>
      <c r="H971" s="86">
        <v>3</v>
      </c>
      <c r="I971" s="86">
        <v>3</v>
      </c>
      <c r="J971" s="86">
        <v>3</v>
      </c>
      <c r="K971" s="86">
        <v>4</v>
      </c>
      <c r="L971" s="86">
        <f>SUM(Table3[[#This Row],[Strategic priority segment]:[Propensity to buy/ buyer readiness]])</f>
        <v>16</v>
      </c>
      <c r="M971" s="86" t="s">
        <v>152</v>
      </c>
      <c r="N971" s="84" t="s">
        <v>122</v>
      </c>
      <c r="O971" s="84"/>
      <c r="P971" s="87"/>
      <c r="Q971" s="87"/>
      <c r="R971" s="84"/>
      <c r="S971" s="87"/>
      <c r="T971" s="87"/>
      <c r="U971" s="84">
        <v>1</v>
      </c>
      <c r="V971" s="84">
        <v>0</v>
      </c>
      <c r="W971" s="84">
        <v>0</v>
      </c>
      <c r="X971" s="84">
        <v>0</v>
      </c>
      <c r="Y971" s="84">
        <v>0</v>
      </c>
      <c r="Z971" s="84">
        <v>1</v>
      </c>
      <c r="AA971" s="84">
        <v>0</v>
      </c>
      <c r="AB971" s="84">
        <v>1</v>
      </c>
      <c r="AC971" s="84">
        <v>0</v>
      </c>
      <c r="AD971" s="84">
        <v>1</v>
      </c>
      <c r="AE971" s="84">
        <v>0</v>
      </c>
      <c r="AF971" s="84">
        <v>1</v>
      </c>
      <c r="AG971" s="84">
        <v>0</v>
      </c>
      <c r="AH971" s="84">
        <v>0</v>
      </c>
      <c r="AI971" s="84">
        <v>0</v>
      </c>
      <c r="AJ971" s="84">
        <v>0</v>
      </c>
      <c r="AK971" s="84">
        <v>0</v>
      </c>
      <c r="AL971" s="84" cm="1">
        <f t="array" ref="AL9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71" s="84" cm="1">
        <f t="array" ref="AM9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1" s="84" cm="1">
        <f t="array" ref="AN9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1" s="84" cm="1">
        <f t="array" ref="AO9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1" s="84" cm="1">
        <f t="array" ref="AP9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1" s="84" cm="1">
        <f t="array" ref="AQ9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71" s="84" cm="1">
        <f t="array" ref="AR9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1" s="84" cm="1">
        <f t="array" ref="AS9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71" s="84" cm="1">
        <f t="array" ref="AT9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1" s="84" cm="1">
        <f t="array" ref="AU9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71" s="84" cm="1">
        <f t="array" ref="AV9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1" s="84" cm="1">
        <f t="array" ref="AW9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71" s="84" cm="1">
        <f t="array" ref="AX9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1" s="84" cm="1">
        <f t="array" ref="AY9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1" s="84" cm="1">
        <f t="array" ref="AZ9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71" s="84" cm="1">
        <f t="array" ref="BA9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1" s="84" cm="1">
        <f t="array" ref="BB9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1" s="84">
        <f>IF(SUM(Table3[[#This Row],[Column2]:[Column18]])&gt;Table3[[#This Row],[Column19]],Table3[[#This Row],[Column19]],SUM(Table3[[#This Row],[Column2]:[Column18]]))</f>
        <v>150000</v>
      </c>
      <c r="BD971" s="2">
        <f>Table3[[#This Row],[Total Spend]]/SUM(Table3[[#This Row],[Column2]:[Column18]])</f>
        <v>0.89605734767025091</v>
      </c>
    </row>
    <row r="972" spans="1:56">
      <c r="A972" s="84" t="s">
        <v>1046</v>
      </c>
      <c r="B972" s="84" t="s">
        <v>57</v>
      </c>
      <c r="C972" s="84"/>
      <c r="D972" s="85">
        <v>45566</v>
      </c>
      <c r="E972" s="85" t="s">
        <v>92</v>
      </c>
      <c r="F972" s="84">
        <f>INDEX(Definitions!$G$13:$G$17,MATCH(Table3[[#This Row],[Propensity to buy/ buyer readiness]],Definitions!$A$13:$A$17,0))</f>
        <v>10000</v>
      </c>
      <c r="G972" s="86">
        <v>3</v>
      </c>
      <c r="H972" s="86">
        <v>3</v>
      </c>
      <c r="I972" s="86">
        <v>4</v>
      </c>
      <c r="J972" s="86">
        <v>4</v>
      </c>
      <c r="K972" s="86">
        <v>2</v>
      </c>
      <c r="L972" s="86">
        <f>SUM(Table3[[#This Row],[Strategic priority segment]:[Propensity to buy/ buyer readiness]])</f>
        <v>16</v>
      </c>
      <c r="M972" s="86" t="s">
        <v>59</v>
      </c>
      <c r="N972" s="84" t="s">
        <v>265</v>
      </c>
      <c r="O972" s="84"/>
      <c r="P972" s="87"/>
      <c r="Q972" s="87"/>
      <c r="R972" s="84"/>
      <c r="S972" s="84"/>
      <c r="T972" s="87"/>
      <c r="U972" s="84">
        <v>1</v>
      </c>
      <c r="V972" s="84">
        <v>1</v>
      </c>
      <c r="W972" s="84">
        <v>1</v>
      </c>
      <c r="X972" s="84">
        <v>1</v>
      </c>
      <c r="Y972" s="84">
        <v>0</v>
      </c>
      <c r="Z972" s="84">
        <v>0</v>
      </c>
      <c r="AA972" s="84">
        <v>0</v>
      </c>
      <c r="AB972" s="84">
        <v>0</v>
      </c>
      <c r="AC972" s="84">
        <v>0</v>
      </c>
      <c r="AD972" s="84">
        <v>0</v>
      </c>
      <c r="AE972" s="84">
        <v>0</v>
      </c>
      <c r="AF972" s="84">
        <v>0</v>
      </c>
      <c r="AG972" s="84">
        <v>0</v>
      </c>
      <c r="AH972" s="84">
        <v>0</v>
      </c>
      <c r="AI972" s="84">
        <v>1</v>
      </c>
      <c r="AJ972" s="84">
        <v>0</v>
      </c>
      <c r="AK972" s="84">
        <v>0</v>
      </c>
      <c r="AL972" s="84" cm="1">
        <f t="array" ref="AL9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72" s="84" cm="1">
        <f t="array" ref="AM9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72" s="84" cm="1">
        <f t="array" ref="AN9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72" s="84" cm="1">
        <f t="array" ref="AO9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72" s="84" cm="1">
        <f t="array" ref="AP9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2" s="84" cm="1">
        <f t="array" ref="AQ9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2" s="84" cm="1">
        <f t="array" ref="AR9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2" s="84" cm="1">
        <f t="array" ref="AS9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2" s="84" cm="1">
        <f t="array" ref="AT9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2" s="84" cm="1">
        <f t="array" ref="AU9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2" s="84" cm="1">
        <f t="array" ref="AV9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2" s="84" cm="1">
        <f t="array" ref="AW9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2" s="84" cm="1">
        <f t="array" ref="AX9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2" s="84" cm="1">
        <f t="array" ref="AY9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2" s="84" cm="1">
        <f t="array" ref="AZ9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72" s="84" cm="1">
        <f t="array" ref="BA9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2" s="84" cm="1">
        <f t="array" ref="BB9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2" s="84">
        <f>IF(SUM(Table3[[#This Row],[Column2]:[Column18]])&gt;Table3[[#This Row],[Column19]],Table3[[#This Row],[Column19]],SUM(Table3[[#This Row],[Column2]:[Column18]]))</f>
        <v>10000</v>
      </c>
      <c r="BD972" s="2">
        <f>Table3[[#This Row],[Total Spend]]/SUM(Table3[[#This Row],[Column2]:[Column18]])</f>
        <v>7.2859744990892539E-2</v>
      </c>
    </row>
    <row r="973" spans="1:56">
      <c r="A973" s="84" t="s">
        <v>1047</v>
      </c>
      <c r="B973" s="84"/>
      <c r="C973" s="84" t="s">
        <v>57</v>
      </c>
      <c r="D973" s="85">
        <v>45566</v>
      </c>
      <c r="E973" s="85" t="s">
        <v>92</v>
      </c>
      <c r="F973" s="84">
        <f>INDEX(Definitions!$G$13:$G$17,MATCH(Table3[[#This Row],[Propensity to buy/ buyer readiness]],Definitions!$A$13:$A$17,0))</f>
        <v>50000</v>
      </c>
      <c r="G973" s="86">
        <v>3</v>
      </c>
      <c r="H973" s="86">
        <v>3</v>
      </c>
      <c r="I973" s="86">
        <v>4</v>
      </c>
      <c r="J973" s="86">
        <v>3</v>
      </c>
      <c r="K973" s="86">
        <v>3</v>
      </c>
      <c r="L973" s="86">
        <f>SUM(Table3[[#This Row],[Strategic priority segment]:[Propensity to buy/ buyer readiness]])</f>
        <v>16</v>
      </c>
      <c r="M973" s="86" t="s">
        <v>152</v>
      </c>
      <c r="N973" s="84" t="s">
        <v>130</v>
      </c>
      <c r="O973" s="84"/>
      <c r="P973" s="87"/>
      <c r="Q973" s="87"/>
      <c r="R973" s="84"/>
      <c r="S973" s="87"/>
      <c r="T973" s="87"/>
      <c r="U973" s="84">
        <v>1</v>
      </c>
      <c r="V973" s="84">
        <v>0</v>
      </c>
      <c r="W973" s="84">
        <v>0</v>
      </c>
      <c r="X973" s="84">
        <v>0</v>
      </c>
      <c r="Y973" s="84">
        <v>0</v>
      </c>
      <c r="Z973" s="84">
        <v>0</v>
      </c>
      <c r="AA973" s="84">
        <v>0</v>
      </c>
      <c r="AB973" s="84">
        <v>0</v>
      </c>
      <c r="AC973" s="84">
        <v>0</v>
      </c>
      <c r="AD973" s="84">
        <v>0</v>
      </c>
      <c r="AE973" s="84">
        <v>0</v>
      </c>
      <c r="AF973" s="84">
        <v>0</v>
      </c>
      <c r="AG973" s="84">
        <v>0</v>
      </c>
      <c r="AH973" s="84">
        <v>0</v>
      </c>
      <c r="AI973" s="84">
        <v>0</v>
      </c>
      <c r="AJ973" s="84">
        <v>0</v>
      </c>
      <c r="AK973" s="84">
        <v>0</v>
      </c>
      <c r="AL973" s="84" cm="1">
        <f t="array" ref="AL9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73" s="84" cm="1">
        <f t="array" ref="AM9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3" s="84" cm="1">
        <f t="array" ref="AN9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3" s="84" cm="1">
        <f t="array" ref="AO9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3" s="84" cm="1">
        <f t="array" ref="AP9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3" s="84" cm="1">
        <f t="array" ref="AQ9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3" s="84" cm="1">
        <f t="array" ref="AR9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3" s="84" cm="1">
        <f t="array" ref="AS9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3" s="84" cm="1">
        <f t="array" ref="AT9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3" s="84" cm="1">
        <f t="array" ref="AU9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3" s="84" cm="1">
        <f t="array" ref="AV9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3" s="84" cm="1">
        <f t="array" ref="AW9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3" s="84" cm="1">
        <f t="array" ref="AX9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3" s="84" cm="1">
        <f t="array" ref="AY9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3" s="84" cm="1">
        <f t="array" ref="AZ9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73" s="84" cm="1">
        <f t="array" ref="BA9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3" s="84" cm="1">
        <f t="array" ref="BB9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3" s="84">
        <f>IF(SUM(Table3[[#This Row],[Column2]:[Column18]])&gt;Table3[[#This Row],[Column19]],Table3[[#This Row],[Column19]],SUM(Table3[[#This Row],[Column2]:[Column18]]))</f>
        <v>8100</v>
      </c>
      <c r="BD973" s="2">
        <f>Table3[[#This Row],[Total Spend]]/SUM(Table3[[#This Row],[Column2]:[Column18]])</f>
        <v>1</v>
      </c>
    </row>
    <row r="974" spans="1:56">
      <c r="A974" s="84" t="s">
        <v>1048</v>
      </c>
      <c r="B974" s="84" t="s">
        <v>57</v>
      </c>
      <c r="C974" s="84"/>
      <c r="D974" s="85">
        <v>45566</v>
      </c>
      <c r="E974" s="85" t="s">
        <v>92</v>
      </c>
      <c r="F974" s="84">
        <f>INDEX(Definitions!$G$13:$G$17,MATCH(Table3[[#This Row],[Propensity to buy/ buyer readiness]],Definitions!$A$13:$A$17,0))</f>
        <v>10000</v>
      </c>
      <c r="G974" s="86">
        <v>3</v>
      </c>
      <c r="H974" s="86">
        <v>3</v>
      </c>
      <c r="I974" s="86">
        <v>4</v>
      </c>
      <c r="J974" s="86">
        <v>4</v>
      </c>
      <c r="K974" s="86">
        <v>2</v>
      </c>
      <c r="L974" s="86">
        <f>SUM(Table3[[#This Row],[Strategic priority segment]:[Propensity to buy/ buyer readiness]])</f>
        <v>16</v>
      </c>
      <c r="M974" s="86" t="s">
        <v>59</v>
      </c>
      <c r="N974" s="84" t="s">
        <v>265</v>
      </c>
      <c r="O974" s="84"/>
      <c r="P974" s="87"/>
      <c r="Q974" s="87"/>
      <c r="R974" s="84"/>
      <c r="S974" s="84"/>
      <c r="T974" s="84"/>
      <c r="U974" s="84">
        <v>1</v>
      </c>
      <c r="V974" s="84">
        <v>1</v>
      </c>
      <c r="W974" s="84">
        <v>1</v>
      </c>
      <c r="X974" s="84">
        <v>1</v>
      </c>
      <c r="Y974" s="84">
        <v>0</v>
      </c>
      <c r="Z974" s="84">
        <v>0</v>
      </c>
      <c r="AA974" s="84">
        <v>0</v>
      </c>
      <c r="AB974" s="84">
        <v>0</v>
      </c>
      <c r="AC974" s="84">
        <v>0</v>
      </c>
      <c r="AD974" s="84">
        <v>0</v>
      </c>
      <c r="AE974" s="84">
        <v>0</v>
      </c>
      <c r="AF974" s="84">
        <v>0</v>
      </c>
      <c r="AG974" s="84">
        <v>0</v>
      </c>
      <c r="AH974" s="84">
        <v>0</v>
      </c>
      <c r="AI974" s="84">
        <v>1</v>
      </c>
      <c r="AJ974" s="84">
        <v>0</v>
      </c>
      <c r="AK974" s="84">
        <v>0</v>
      </c>
      <c r="AL974" s="84" cm="1">
        <f t="array" ref="AL9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74" s="84" cm="1">
        <f t="array" ref="AM9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74" s="84" cm="1">
        <f t="array" ref="AN9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74" s="84" cm="1">
        <f t="array" ref="AO9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74" s="84" cm="1">
        <f t="array" ref="AP9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4" s="84" cm="1">
        <f t="array" ref="AQ9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4" s="84" cm="1">
        <f t="array" ref="AR9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4" s="84" cm="1">
        <f t="array" ref="AS9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4" s="84" cm="1">
        <f t="array" ref="AT9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4" s="84" cm="1">
        <f t="array" ref="AU9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4" s="84" cm="1">
        <f t="array" ref="AV9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4" s="84" cm="1">
        <f t="array" ref="AW9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4" s="84" cm="1">
        <f t="array" ref="AX9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4" s="84" cm="1">
        <f t="array" ref="AY9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4" s="84" cm="1">
        <f t="array" ref="AZ9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74" s="84" cm="1">
        <f t="array" ref="BA9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4" s="84" cm="1">
        <f t="array" ref="BB9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4" s="84">
        <f>IF(SUM(Table3[[#This Row],[Column2]:[Column18]])&gt;Table3[[#This Row],[Column19]],Table3[[#This Row],[Column19]],SUM(Table3[[#This Row],[Column2]:[Column18]]))</f>
        <v>10000</v>
      </c>
      <c r="BD974" s="2">
        <f>Table3[[#This Row],[Total Spend]]/SUM(Table3[[#This Row],[Column2]:[Column18]])</f>
        <v>7.2859744990892539E-2</v>
      </c>
    </row>
    <row r="975" spans="1:56">
      <c r="A975" s="84" t="s">
        <v>1049</v>
      </c>
      <c r="B975" s="84" t="s">
        <v>57</v>
      </c>
      <c r="C975" s="84"/>
      <c r="D975" s="85">
        <v>45566</v>
      </c>
      <c r="E975" s="85" t="s">
        <v>92</v>
      </c>
      <c r="F975" s="84">
        <f>INDEX(Definitions!$G$13:$G$17,MATCH(Table3[[#This Row],[Propensity to buy/ buyer readiness]],Definitions!$A$13:$A$17,0))</f>
        <v>10000</v>
      </c>
      <c r="G975" s="86">
        <v>3</v>
      </c>
      <c r="H975" s="86">
        <v>3</v>
      </c>
      <c r="I975" s="86">
        <v>4</v>
      </c>
      <c r="J975" s="86">
        <v>4</v>
      </c>
      <c r="K975" s="86">
        <v>2</v>
      </c>
      <c r="L975" s="86">
        <f>SUM(Table3[[#This Row],[Strategic priority segment]:[Propensity to buy/ buyer readiness]])</f>
        <v>16</v>
      </c>
      <c r="M975" s="86" t="s">
        <v>59</v>
      </c>
      <c r="N975" s="84" t="s">
        <v>265</v>
      </c>
      <c r="O975" s="84"/>
      <c r="P975" s="87"/>
      <c r="Q975" s="87"/>
      <c r="R975" s="84"/>
      <c r="S975" s="84"/>
      <c r="T975" s="87"/>
      <c r="U975" s="84">
        <v>1</v>
      </c>
      <c r="V975" s="84">
        <v>1</v>
      </c>
      <c r="W975" s="84">
        <v>1</v>
      </c>
      <c r="X975" s="84">
        <v>1</v>
      </c>
      <c r="Y975" s="84">
        <v>0</v>
      </c>
      <c r="Z975" s="84">
        <v>0</v>
      </c>
      <c r="AA975" s="84">
        <v>0</v>
      </c>
      <c r="AB975" s="84">
        <v>0</v>
      </c>
      <c r="AC975" s="84">
        <v>0</v>
      </c>
      <c r="AD975" s="84">
        <v>0</v>
      </c>
      <c r="AE975" s="84">
        <v>0</v>
      </c>
      <c r="AF975" s="84">
        <v>0</v>
      </c>
      <c r="AG975" s="84">
        <v>0</v>
      </c>
      <c r="AH975" s="84">
        <v>0</v>
      </c>
      <c r="AI975" s="84">
        <v>1</v>
      </c>
      <c r="AJ975" s="84">
        <v>0</v>
      </c>
      <c r="AK975" s="84">
        <v>0</v>
      </c>
      <c r="AL975" s="84" cm="1">
        <f t="array" ref="AL9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75" s="84" cm="1">
        <f t="array" ref="AM9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75" s="84" cm="1">
        <f t="array" ref="AN9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75" s="84" cm="1">
        <f t="array" ref="AO9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75" s="84" cm="1">
        <f t="array" ref="AP9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5" s="84" cm="1">
        <f t="array" ref="AQ9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5" s="84" cm="1">
        <f t="array" ref="AR9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5" s="84" cm="1">
        <f t="array" ref="AS9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5" s="84" cm="1">
        <f t="array" ref="AT9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5" s="84" cm="1">
        <f t="array" ref="AU9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5" s="84" cm="1">
        <f t="array" ref="AV9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5" s="84" cm="1">
        <f t="array" ref="AW9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5" s="84" cm="1">
        <f t="array" ref="AX9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5" s="84" cm="1">
        <f t="array" ref="AY9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5" s="84" cm="1">
        <f t="array" ref="AZ9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75" s="84" cm="1">
        <f t="array" ref="BA9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75" s="84" cm="1">
        <f t="array" ref="BB9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5" s="84">
        <f>IF(SUM(Table3[[#This Row],[Column2]:[Column18]])&gt;Table3[[#This Row],[Column19]],Table3[[#This Row],[Column19]],SUM(Table3[[#This Row],[Column2]:[Column18]]))</f>
        <v>10000</v>
      </c>
      <c r="BD975" s="2">
        <f>Table3[[#This Row],[Total Spend]]/SUM(Table3[[#This Row],[Column2]:[Column18]])</f>
        <v>7.2859744990892539E-2</v>
      </c>
    </row>
    <row r="976" spans="1:56">
      <c r="A976" s="84" t="s">
        <v>1050</v>
      </c>
      <c r="B976" s="84" t="s">
        <v>57</v>
      </c>
      <c r="C976" s="84"/>
      <c r="D976" s="85">
        <v>45566</v>
      </c>
      <c r="E976" s="85" t="s">
        <v>92</v>
      </c>
      <c r="F976" s="84">
        <f>INDEX(Definitions!$G$13:$G$17,MATCH(Table3[[#This Row],[Propensity to buy/ buyer readiness]],Definitions!$A$13:$A$17,0))</f>
        <v>50000</v>
      </c>
      <c r="G976" s="86">
        <v>3</v>
      </c>
      <c r="H976" s="86">
        <v>3</v>
      </c>
      <c r="I976" s="86">
        <v>4</v>
      </c>
      <c r="J976" s="86">
        <v>3</v>
      </c>
      <c r="K976" s="86">
        <v>3</v>
      </c>
      <c r="L976" s="86">
        <f>SUM(Table3[[#This Row],[Strategic priority segment]:[Propensity to buy/ buyer readiness]])</f>
        <v>16</v>
      </c>
      <c r="M976" s="86" t="s">
        <v>66</v>
      </c>
      <c r="N976" s="84" t="s">
        <v>144</v>
      </c>
      <c r="O976" s="84"/>
      <c r="P976" s="87"/>
      <c r="Q976" s="87"/>
      <c r="R976" s="84"/>
      <c r="S976" s="84"/>
      <c r="T976" s="87"/>
      <c r="U976" s="84">
        <v>1</v>
      </c>
      <c r="V976" s="84">
        <v>0</v>
      </c>
      <c r="W976" s="84">
        <v>0</v>
      </c>
      <c r="X976" s="84">
        <v>0</v>
      </c>
      <c r="Y976" s="84">
        <v>0</v>
      </c>
      <c r="Z976" s="84">
        <v>0</v>
      </c>
      <c r="AA976" s="84">
        <v>0</v>
      </c>
      <c r="AB976" s="84">
        <v>0</v>
      </c>
      <c r="AC976" s="84">
        <v>0</v>
      </c>
      <c r="AD976" s="84">
        <v>0</v>
      </c>
      <c r="AE976" s="84">
        <v>0</v>
      </c>
      <c r="AF976" s="84">
        <v>1</v>
      </c>
      <c r="AG976" s="84">
        <v>0</v>
      </c>
      <c r="AH976" s="84">
        <v>0</v>
      </c>
      <c r="AI976" s="84">
        <v>0</v>
      </c>
      <c r="AJ976" s="84">
        <v>1</v>
      </c>
      <c r="AK976" s="84">
        <v>0</v>
      </c>
      <c r="AL976" s="84" cm="1">
        <f t="array" ref="AL9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76" s="84" cm="1">
        <f t="array" ref="AM9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6" s="84" cm="1">
        <f t="array" ref="AN9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6" s="84" cm="1">
        <f t="array" ref="AO9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6" s="84" cm="1">
        <f t="array" ref="AP9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6" s="84" cm="1">
        <f t="array" ref="AQ9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6" s="84" cm="1">
        <f t="array" ref="AR9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6" s="84" cm="1">
        <f t="array" ref="AS9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6" s="84" cm="1">
        <f t="array" ref="AT9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6" s="84" cm="1">
        <f t="array" ref="AU9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6" s="84" cm="1">
        <f t="array" ref="AV9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6" s="84" cm="1">
        <f t="array" ref="AW9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76" s="84" cm="1">
        <f t="array" ref="AX9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6" s="84" cm="1">
        <f t="array" ref="AY9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76" s="84" cm="1">
        <f t="array" ref="AZ9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76" s="84" cm="1">
        <f t="array" ref="BA9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76" s="84" cm="1">
        <f t="array" ref="BB9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6" s="84">
        <f>IF(SUM(Table3[[#This Row],[Column2]:[Column18]])&gt;Table3[[#This Row],[Column19]],Table3[[#This Row],[Column19]],SUM(Table3[[#This Row],[Column2]:[Column18]]))</f>
        <v>50000</v>
      </c>
      <c r="BD976" s="2">
        <f>Table3[[#This Row],[Total Spend]]/SUM(Table3[[#This Row],[Column2]:[Column18]])</f>
        <v>0.84175084175084181</v>
      </c>
    </row>
    <row r="977" spans="1:56">
      <c r="A977" s="84" t="s">
        <v>1051</v>
      </c>
      <c r="B977" s="84"/>
      <c r="C977" s="84"/>
      <c r="D977" s="85">
        <v>45566</v>
      </c>
      <c r="E977" s="85" t="s">
        <v>92</v>
      </c>
      <c r="F977" s="84">
        <f>INDEX(Definitions!$G$13:$G$17,MATCH(Table3[[#This Row],[Propensity to buy/ buyer readiness]],Definitions!$A$13:$A$17,0))</f>
        <v>50000</v>
      </c>
      <c r="G977" s="86">
        <v>4</v>
      </c>
      <c r="H977" s="86">
        <v>3</v>
      </c>
      <c r="I977" s="86">
        <v>3</v>
      </c>
      <c r="J977" s="86">
        <v>3</v>
      </c>
      <c r="K977" s="86">
        <v>3</v>
      </c>
      <c r="L977" s="86">
        <f>SUM(Table3[[#This Row],[Strategic priority segment]:[Propensity to buy/ buyer readiness]])</f>
        <v>16</v>
      </c>
      <c r="M977" s="86" t="s">
        <v>191</v>
      </c>
      <c r="N977" s="84" t="s">
        <v>76</v>
      </c>
      <c r="O977" s="84" t="s">
        <v>135</v>
      </c>
      <c r="P977" s="84"/>
      <c r="Q977" s="84"/>
      <c r="R977" s="84"/>
      <c r="S977" s="87"/>
      <c r="T977" s="87"/>
      <c r="U977" s="84">
        <v>0</v>
      </c>
      <c r="V977" s="84">
        <v>0</v>
      </c>
      <c r="W977" s="84">
        <v>0</v>
      </c>
      <c r="X977" s="84">
        <v>0</v>
      </c>
      <c r="Y977" s="84">
        <v>0</v>
      </c>
      <c r="Z977" s="84">
        <v>0</v>
      </c>
      <c r="AA977" s="84">
        <v>0</v>
      </c>
      <c r="AB977" s="84">
        <v>0</v>
      </c>
      <c r="AC977" s="84">
        <v>0</v>
      </c>
      <c r="AD977" s="84">
        <v>0</v>
      </c>
      <c r="AE977" s="84">
        <v>0</v>
      </c>
      <c r="AF977" s="84">
        <v>0</v>
      </c>
      <c r="AG977" s="84">
        <v>0</v>
      </c>
      <c r="AH977" s="84">
        <v>1</v>
      </c>
      <c r="AI977" s="84">
        <v>1</v>
      </c>
      <c r="AJ977" s="84">
        <v>1</v>
      </c>
      <c r="AK977" s="84">
        <v>1</v>
      </c>
      <c r="AL977" s="84" cm="1">
        <f t="array" ref="AL9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77" s="84" cm="1">
        <f t="array" ref="AM9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7" s="84" cm="1">
        <f t="array" ref="AN9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7" s="84" cm="1">
        <f t="array" ref="AO9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7" s="84" cm="1">
        <f t="array" ref="AP9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7" s="84" cm="1">
        <f t="array" ref="AQ9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7" s="84" cm="1">
        <f t="array" ref="AR9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7" s="84" cm="1">
        <f t="array" ref="AS9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7" s="84" cm="1">
        <f t="array" ref="AT9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7" s="84" cm="1">
        <f t="array" ref="AU9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7" s="84" cm="1">
        <f t="array" ref="AV9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7" s="84" cm="1">
        <f t="array" ref="AW9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7" s="84" cm="1">
        <f t="array" ref="AX9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7" s="84" cm="1">
        <f t="array" ref="AY9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77" s="84" cm="1">
        <f t="array" ref="AZ9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77" s="84" cm="1">
        <f t="array" ref="BA9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77" s="84" cm="1">
        <f t="array" ref="BB9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77" s="84">
        <f>IF(SUM(Table3[[#This Row],[Column2]:[Column18]])&gt;Table3[[#This Row],[Column19]],Table3[[#This Row],[Column19]],SUM(Table3[[#This Row],[Column2]:[Column18]]))</f>
        <v>46350</v>
      </c>
      <c r="BD977" s="2">
        <f>Table3[[#This Row],[Total Spend]]/SUM(Table3[[#This Row],[Column2]:[Column18]])</f>
        <v>1</v>
      </c>
    </row>
    <row r="978" spans="1:56">
      <c r="A978" s="84" t="s">
        <v>1052</v>
      </c>
      <c r="B978" s="84"/>
      <c r="C978" s="84"/>
      <c r="D978" s="85">
        <v>45566</v>
      </c>
      <c r="E978" s="85" t="s">
        <v>92</v>
      </c>
      <c r="F978" s="84">
        <f>INDEX(Definitions!$G$13:$G$17,MATCH(Table3[[#This Row],[Propensity to buy/ buyer readiness]],Definitions!$A$13:$A$17,0))</f>
        <v>50000</v>
      </c>
      <c r="G978" s="86">
        <v>4</v>
      </c>
      <c r="H978" s="86">
        <v>3</v>
      </c>
      <c r="I978" s="86">
        <v>3</v>
      </c>
      <c r="J978" s="86">
        <v>3</v>
      </c>
      <c r="K978" s="86">
        <v>3</v>
      </c>
      <c r="L978" s="86">
        <f>SUM(Table3[[#This Row],[Strategic priority segment]:[Propensity to buy/ buyer readiness]])</f>
        <v>16</v>
      </c>
      <c r="M978" s="86" t="s">
        <v>191</v>
      </c>
      <c r="N978" s="84" t="s">
        <v>76</v>
      </c>
      <c r="O978" s="84" t="s">
        <v>135</v>
      </c>
      <c r="P978" s="84"/>
      <c r="Q978" s="84"/>
      <c r="R978" s="84"/>
      <c r="S978" s="87"/>
      <c r="T978" s="87"/>
      <c r="U978" s="84">
        <v>0</v>
      </c>
      <c r="V978" s="84">
        <v>0</v>
      </c>
      <c r="W978" s="84">
        <v>0</v>
      </c>
      <c r="X978" s="84">
        <v>0</v>
      </c>
      <c r="Y978" s="84">
        <v>0</v>
      </c>
      <c r="Z978" s="84">
        <v>0</v>
      </c>
      <c r="AA978" s="84">
        <v>0</v>
      </c>
      <c r="AB978" s="84">
        <v>0</v>
      </c>
      <c r="AC978" s="84">
        <v>0</v>
      </c>
      <c r="AD978" s="84">
        <v>0</v>
      </c>
      <c r="AE978" s="84">
        <v>0</v>
      </c>
      <c r="AF978" s="84">
        <v>0</v>
      </c>
      <c r="AG978" s="84">
        <v>0</v>
      </c>
      <c r="AH978" s="84">
        <v>1</v>
      </c>
      <c r="AI978" s="84">
        <v>1</v>
      </c>
      <c r="AJ978" s="84">
        <v>1</v>
      </c>
      <c r="AK978" s="84">
        <v>1</v>
      </c>
      <c r="AL978" s="84" cm="1">
        <f t="array" ref="AL9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78" s="84" cm="1">
        <f t="array" ref="AM9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8" s="84" cm="1">
        <f t="array" ref="AN9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8" s="84" cm="1">
        <f t="array" ref="AO9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8" s="84" cm="1">
        <f t="array" ref="AP9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8" s="84" cm="1">
        <f t="array" ref="AQ9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8" s="84" cm="1">
        <f t="array" ref="AR9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8" s="84" cm="1">
        <f t="array" ref="AS9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8" s="84" cm="1">
        <f t="array" ref="AT9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8" s="84" cm="1">
        <f t="array" ref="AU9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8" s="84" cm="1">
        <f t="array" ref="AV9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8" s="84" cm="1">
        <f t="array" ref="AW9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8" s="84" cm="1">
        <f t="array" ref="AX9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8" s="84" cm="1">
        <f t="array" ref="AY9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78" s="84" cm="1">
        <f t="array" ref="AZ9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78" s="84" cm="1">
        <f t="array" ref="BA9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78" s="84" cm="1">
        <f t="array" ref="BB9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78" s="84">
        <f>IF(SUM(Table3[[#This Row],[Column2]:[Column18]])&gt;Table3[[#This Row],[Column19]],Table3[[#This Row],[Column19]],SUM(Table3[[#This Row],[Column2]:[Column18]]))</f>
        <v>46350</v>
      </c>
      <c r="BD978" s="2">
        <f>Table3[[#This Row],[Total Spend]]/SUM(Table3[[#This Row],[Column2]:[Column18]])</f>
        <v>1</v>
      </c>
    </row>
    <row r="979" spans="1:56">
      <c r="A979" s="84" t="s">
        <v>1053</v>
      </c>
      <c r="B979" s="84"/>
      <c r="C979" s="84"/>
      <c r="D979" s="85">
        <v>45566</v>
      </c>
      <c r="E979" s="85" t="s">
        <v>58</v>
      </c>
      <c r="F979" s="84">
        <f>INDEX(Definitions!$G$13:$G$17,MATCH(Table3[[#This Row],[Propensity to buy/ buyer readiness]],Definitions!$A$13:$A$17,0))</f>
        <v>150000</v>
      </c>
      <c r="G979" s="86">
        <v>3</v>
      </c>
      <c r="H979" s="86">
        <v>3</v>
      </c>
      <c r="I979" s="86">
        <v>3</v>
      </c>
      <c r="J979" s="86">
        <v>3</v>
      </c>
      <c r="K979" s="86">
        <v>4</v>
      </c>
      <c r="L979" s="86">
        <f>SUM(Table3[[#This Row],[Strategic priority segment]:[Propensity to buy/ buyer readiness]])</f>
        <v>16</v>
      </c>
      <c r="M979" s="86" t="s">
        <v>191</v>
      </c>
      <c r="N979" s="84" t="s">
        <v>76</v>
      </c>
      <c r="O979" s="84"/>
      <c r="P979" s="84"/>
      <c r="Q979" s="84"/>
      <c r="R979" s="84"/>
      <c r="S979" s="87"/>
      <c r="T979" s="87"/>
      <c r="U979" s="84">
        <v>0</v>
      </c>
      <c r="V979" s="84">
        <v>0</v>
      </c>
      <c r="W979" s="84">
        <v>0</v>
      </c>
      <c r="X979" s="84">
        <v>0</v>
      </c>
      <c r="Y979" s="84">
        <v>0</v>
      </c>
      <c r="Z979" s="84">
        <v>0</v>
      </c>
      <c r="AA979" s="84">
        <v>0</v>
      </c>
      <c r="AB979" s="84">
        <v>0</v>
      </c>
      <c r="AC979" s="84">
        <v>0</v>
      </c>
      <c r="AD979" s="84">
        <v>0</v>
      </c>
      <c r="AE979" s="84">
        <v>0</v>
      </c>
      <c r="AF979" s="84">
        <v>0</v>
      </c>
      <c r="AG979" s="84">
        <v>0</v>
      </c>
      <c r="AH979" s="84">
        <v>1</v>
      </c>
      <c r="AI979" s="84">
        <v>0</v>
      </c>
      <c r="AJ979" s="84">
        <v>1</v>
      </c>
      <c r="AK979" s="84">
        <v>0</v>
      </c>
      <c r="AL979" s="84" cm="1">
        <f t="array" ref="AL9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79" s="84" cm="1">
        <f t="array" ref="AM9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79" s="84" cm="1">
        <f t="array" ref="AN9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79" s="84" cm="1">
        <f t="array" ref="AO9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79" s="84" cm="1">
        <f t="array" ref="AP9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79" s="84" cm="1">
        <f t="array" ref="AQ9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79" s="84" cm="1">
        <f t="array" ref="AR9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79" s="84" cm="1">
        <f t="array" ref="AS9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79" s="84" cm="1">
        <f t="array" ref="AT9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79" s="84" cm="1">
        <f t="array" ref="AU9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79" s="84" cm="1">
        <f t="array" ref="AV9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79" s="84" cm="1">
        <f t="array" ref="AW9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79" s="84" cm="1">
        <f t="array" ref="AX9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79" s="84" cm="1">
        <f t="array" ref="AY9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979" s="84" cm="1">
        <f t="array" ref="AZ9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79" s="84" cm="1">
        <f t="array" ref="BA9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979" s="84" cm="1">
        <f t="array" ref="BB9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79" s="84">
        <f>IF(SUM(Table3[[#This Row],[Column2]:[Column18]])&gt;Table3[[#This Row],[Column19]],Table3[[#This Row],[Column19]],SUM(Table3[[#This Row],[Column2]:[Column18]]))</f>
        <v>42300</v>
      </c>
      <c r="BD979" s="2">
        <f>Table3[[#This Row],[Total Spend]]/SUM(Table3[[#This Row],[Column2]:[Column18]])</f>
        <v>1</v>
      </c>
    </row>
    <row r="980" spans="1:56">
      <c r="A980" s="84" t="s">
        <v>1054</v>
      </c>
      <c r="B980" s="84" t="s">
        <v>57</v>
      </c>
      <c r="C980" s="84"/>
      <c r="D980" s="85">
        <v>45566</v>
      </c>
      <c r="E980" s="85" t="s">
        <v>92</v>
      </c>
      <c r="F980" s="84">
        <f>INDEX(Definitions!$G$13:$G$17,MATCH(Table3[[#This Row],[Propensity to buy/ buyer readiness]],Definitions!$A$13:$A$17,0))</f>
        <v>10000</v>
      </c>
      <c r="G980" s="86">
        <v>3</v>
      </c>
      <c r="H980" s="86">
        <v>3</v>
      </c>
      <c r="I980" s="86">
        <v>4</v>
      </c>
      <c r="J980" s="86">
        <v>4</v>
      </c>
      <c r="K980" s="86">
        <v>2</v>
      </c>
      <c r="L980" s="86">
        <f>SUM(Table3[[#This Row],[Strategic priority segment]:[Propensity to buy/ buyer readiness]])</f>
        <v>16</v>
      </c>
      <c r="M980" s="86" t="s">
        <v>59</v>
      </c>
      <c r="N980" s="84" t="s">
        <v>265</v>
      </c>
      <c r="O980" s="84"/>
      <c r="P980" s="87"/>
      <c r="Q980" s="87"/>
      <c r="R980" s="84"/>
      <c r="S980" s="84"/>
      <c r="T980" s="84"/>
      <c r="U980" s="84">
        <v>1</v>
      </c>
      <c r="V980" s="84">
        <v>1</v>
      </c>
      <c r="W980" s="84">
        <v>1</v>
      </c>
      <c r="X980" s="84">
        <v>1</v>
      </c>
      <c r="Y980" s="84">
        <v>0</v>
      </c>
      <c r="Z980" s="84">
        <v>0</v>
      </c>
      <c r="AA980" s="84">
        <v>0</v>
      </c>
      <c r="AB980" s="84">
        <v>0</v>
      </c>
      <c r="AC980" s="84">
        <v>0</v>
      </c>
      <c r="AD980" s="84">
        <v>0</v>
      </c>
      <c r="AE980" s="84">
        <v>0</v>
      </c>
      <c r="AF980" s="84">
        <v>0</v>
      </c>
      <c r="AG980" s="84">
        <v>0</v>
      </c>
      <c r="AH980" s="84">
        <v>0</v>
      </c>
      <c r="AI980" s="84">
        <v>1</v>
      </c>
      <c r="AJ980" s="84">
        <v>0</v>
      </c>
      <c r="AK980" s="84">
        <v>0</v>
      </c>
      <c r="AL980" s="84" cm="1">
        <f t="array" ref="AL9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80" s="84" cm="1">
        <f t="array" ref="AM9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80" s="84" cm="1">
        <f t="array" ref="AN9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80" s="84" cm="1">
        <f t="array" ref="AO9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80" s="84" cm="1">
        <f t="array" ref="AP9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0" s="84" cm="1">
        <f t="array" ref="AQ9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0" s="84" cm="1">
        <f t="array" ref="AR9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0" s="84" cm="1">
        <f t="array" ref="AS9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0" s="84" cm="1">
        <f t="array" ref="AT9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0" s="84" cm="1">
        <f t="array" ref="AU9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0" s="84" cm="1">
        <f t="array" ref="AV9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0" s="84" cm="1">
        <f t="array" ref="AW9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0" s="84" cm="1">
        <f t="array" ref="AX9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0" s="84" cm="1">
        <f t="array" ref="AY9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0" s="84" cm="1">
        <f t="array" ref="AZ9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80" s="84" cm="1">
        <f t="array" ref="BA9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0" s="84" cm="1">
        <f t="array" ref="BB9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0" s="84">
        <f>IF(SUM(Table3[[#This Row],[Column2]:[Column18]])&gt;Table3[[#This Row],[Column19]],Table3[[#This Row],[Column19]],SUM(Table3[[#This Row],[Column2]:[Column18]]))</f>
        <v>10000</v>
      </c>
      <c r="BD980" s="2">
        <f>Table3[[#This Row],[Total Spend]]/SUM(Table3[[#This Row],[Column2]:[Column18]])</f>
        <v>7.2859744990892539E-2</v>
      </c>
    </row>
    <row r="981" spans="1:56">
      <c r="A981" s="84" t="s">
        <v>1055</v>
      </c>
      <c r="B981" s="84" t="s">
        <v>57</v>
      </c>
      <c r="C981" s="84"/>
      <c r="D981" s="85">
        <v>45566</v>
      </c>
      <c r="E981" s="85" t="s">
        <v>92</v>
      </c>
      <c r="F981" s="84">
        <f>INDEX(Definitions!$G$13:$G$17,MATCH(Table3[[#This Row],[Propensity to buy/ buyer readiness]],Definitions!$A$13:$A$17,0))</f>
        <v>10000</v>
      </c>
      <c r="G981" s="86">
        <v>3</v>
      </c>
      <c r="H981" s="86">
        <v>3</v>
      </c>
      <c r="I981" s="86">
        <v>4</v>
      </c>
      <c r="J981" s="86">
        <v>4</v>
      </c>
      <c r="K981" s="86">
        <v>2</v>
      </c>
      <c r="L981" s="86">
        <f>SUM(Table3[[#This Row],[Strategic priority segment]:[Propensity to buy/ buyer readiness]])</f>
        <v>16</v>
      </c>
      <c r="M981" s="86" t="s">
        <v>59</v>
      </c>
      <c r="N981" s="84" t="s">
        <v>265</v>
      </c>
      <c r="O981" s="84"/>
      <c r="P981" s="87"/>
      <c r="Q981" s="87"/>
      <c r="R981" s="84"/>
      <c r="S981" s="84"/>
      <c r="T981" s="87"/>
      <c r="U981" s="84">
        <v>1</v>
      </c>
      <c r="V981" s="84">
        <v>1</v>
      </c>
      <c r="W981" s="84">
        <v>1</v>
      </c>
      <c r="X981" s="84">
        <v>1</v>
      </c>
      <c r="Y981" s="84">
        <v>0</v>
      </c>
      <c r="Z981" s="84">
        <v>0</v>
      </c>
      <c r="AA981" s="84">
        <v>0</v>
      </c>
      <c r="AB981" s="84">
        <v>0</v>
      </c>
      <c r="AC981" s="84">
        <v>0</v>
      </c>
      <c r="AD981" s="84">
        <v>0</v>
      </c>
      <c r="AE981" s="84">
        <v>0</v>
      </c>
      <c r="AF981" s="84">
        <v>0</v>
      </c>
      <c r="AG981" s="84">
        <v>0</v>
      </c>
      <c r="AH981" s="84">
        <v>0</v>
      </c>
      <c r="AI981" s="84">
        <v>1</v>
      </c>
      <c r="AJ981" s="84">
        <v>0</v>
      </c>
      <c r="AK981" s="84">
        <v>0</v>
      </c>
      <c r="AL981" s="84" cm="1">
        <f t="array" ref="AL9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81" s="84" cm="1">
        <f t="array" ref="AM9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81" s="84" cm="1">
        <f t="array" ref="AN9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81" s="84" cm="1">
        <f t="array" ref="AO9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81" s="84" cm="1">
        <f t="array" ref="AP9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1" s="84" cm="1">
        <f t="array" ref="AQ9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1" s="84" cm="1">
        <f t="array" ref="AR9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1" s="84" cm="1">
        <f t="array" ref="AS9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1" s="84" cm="1">
        <f t="array" ref="AT9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1" s="84" cm="1">
        <f t="array" ref="AU9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1" s="84" cm="1">
        <f t="array" ref="AV9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1" s="84" cm="1">
        <f t="array" ref="AW9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1" s="84" cm="1">
        <f t="array" ref="AX9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1" s="84" cm="1">
        <f t="array" ref="AY9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1" s="84" cm="1">
        <f t="array" ref="AZ9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81" s="84" cm="1">
        <f t="array" ref="BA9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1" s="84" cm="1">
        <f t="array" ref="BB9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1" s="84">
        <f>IF(SUM(Table3[[#This Row],[Column2]:[Column18]])&gt;Table3[[#This Row],[Column19]],Table3[[#This Row],[Column19]],SUM(Table3[[#This Row],[Column2]:[Column18]]))</f>
        <v>10000</v>
      </c>
      <c r="BD981" s="2">
        <f>Table3[[#This Row],[Total Spend]]/SUM(Table3[[#This Row],[Column2]:[Column18]])</f>
        <v>7.2859744990892539E-2</v>
      </c>
    </row>
    <row r="982" spans="1:56">
      <c r="A982" s="84" t="s">
        <v>1056</v>
      </c>
      <c r="B982" s="84"/>
      <c r="C982" s="84"/>
      <c r="D982" s="85">
        <v>45566</v>
      </c>
      <c r="E982" s="85" t="s">
        <v>92</v>
      </c>
      <c r="F982" s="84">
        <f>INDEX(Definitions!$G$13:$G$17,MATCH(Table3[[#This Row],[Propensity to buy/ buyer readiness]],Definitions!$A$13:$A$17,0))</f>
        <v>50000</v>
      </c>
      <c r="G982" s="86">
        <v>4</v>
      </c>
      <c r="H982" s="86">
        <v>3</v>
      </c>
      <c r="I982" s="86">
        <v>3</v>
      </c>
      <c r="J982" s="86">
        <v>3</v>
      </c>
      <c r="K982" s="86">
        <v>3</v>
      </c>
      <c r="L982" s="86">
        <f>SUM(Table3[[#This Row],[Strategic priority segment]:[Propensity to buy/ buyer readiness]])</f>
        <v>16</v>
      </c>
      <c r="M982" s="86" t="s">
        <v>191</v>
      </c>
      <c r="N982" s="84" t="s">
        <v>76</v>
      </c>
      <c r="O982" s="84" t="s">
        <v>135</v>
      </c>
      <c r="P982" s="84"/>
      <c r="Q982" s="84"/>
      <c r="R982" s="84"/>
      <c r="S982" s="87"/>
      <c r="T982" s="87"/>
      <c r="U982" s="84">
        <v>0</v>
      </c>
      <c r="V982" s="84">
        <v>0</v>
      </c>
      <c r="W982" s="84">
        <v>0</v>
      </c>
      <c r="X982" s="84">
        <v>0</v>
      </c>
      <c r="Y982" s="84">
        <v>0</v>
      </c>
      <c r="Z982" s="84">
        <v>0</v>
      </c>
      <c r="AA982" s="84">
        <v>0</v>
      </c>
      <c r="AB982" s="84">
        <v>0</v>
      </c>
      <c r="AC982" s="84">
        <v>0</v>
      </c>
      <c r="AD982" s="84">
        <v>0</v>
      </c>
      <c r="AE982" s="84">
        <v>0</v>
      </c>
      <c r="AF982" s="84">
        <v>0</v>
      </c>
      <c r="AG982" s="84">
        <v>0</v>
      </c>
      <c r="AH982" s="84">
        <v>1</v>
      </c>
      <c r="AI982" s="84">
        <v>1</v>
      </c>
      <c r="AJ982" s="84">
        <v>1</v>
      </c>
      <c r="AK982" s="84">
        <v>1</v>
      </c>
      <c r="AL982" s="84" cm="1">
        <f t="array" ref="AL9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82" s="84" cm="1">
        <f t="array" ref="AM9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2" s="84" cm="1">
        <f t="array" ref="AN9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2" s="84" cm="1">
        <f t="array" ref="AO9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2" s="84" cm="1">
        <f t="array" ref="AP9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2" s="84" cm="1">
        <f t="array" ref="AQ9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2" s="84" cm="1">
        <f t="array" ref="AR9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2" s="84" cm="1">
        <f t="array" ref="AS9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2" s="84" cm="1">
        <f t="array" ref="AT9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2" s="84" cm="1">
        <f t="array" ref="AU9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2" s="84" cm="1">
        <f t="array" ref="AV9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2" s="84" cm="1">
        <f t="array" ref="AW9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2" s="84" cm="1">
        <f t="array" ref="AX9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2" s="84" cm="1">
        <f t="array" ref="AY9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82" s="84" cm="1">
        <f t="array" ref="AZ9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82" s="84" cm="1">
        <f t="array" ref="BA9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82" s="84" cm="1">
        <f t="array" ref="BB9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82" s="84">
        <f>IF(SUM(Table3[[#This Row],[Column2]:[Column18]])&gt;Table3[[#This Row],[Column19]],Table3[[#This Row],[Column19]],SUM(Table3[[#This Row],[Column2]:[Column18]]))</f>
        <v>46350</v>
      </c>
      <c r="BD982" s="2">
        <f>Table3[[#This Row],[Total Spend]]/SUM(Table3[[#This Row],[Column2]:[Column18]])</f>
        <v>1</v>
      </c>
    </row>
    <row r="983" spans="1:56">
      <c r="A983" s="84" t="s">
        <v>1057</v>
      </c>
      <c r="B983" s="84" t="s">
        <v>57</v>
      </c>
      <c r="C983" s="84" t="s">
        <v>57</v>
      </c>
      <c r="D983" s="85">
        <v>45566</v>
      </c>
      <c r="E983" s="85" t="s">
        <v>58</v>
      </c>
      <c r="F983" s="84">
        <f>INDEX(Definitions!$G$13:$G$17,MATCH(Table3[[#This Row],[Propensity to buy/ buyer readiness]],Definitions!$A$13:$A$17,0))</f>
        <v>50000</v>
      </c>
      <c r="G983" s="86">
        <v>3</v>
      </c>
      <c r="H983" s="86">
        <v>3</v>
      </c>
      <c r="I983" s="86">
        <v>4</v>
      </c>
      <c r="J983" s="86">
        <v>3</v>
      </c>
      <c r="K983" s="86">
        <v>3</v>
      </c>
      <c r="L983" s="86">
        <f>SUM(Table3[[#This Row],[Strategic priority segment]:[Propensity to buy/ buyer readiness]])</f>
        <v>16</v>
      </c>
      <c r="M983" s="86" t="s">
        <v>152</v>
      </c>
      <c r="N983" s="84" t="s">
        <v>264</v>
      </c>
      <c r="O983" s="84"/>
      <c r="P983" s="87"/>
      <c r="Q983" s="87"/>
      <c r="R983" s="84"/>
      <c r="S983" s="84"/>
      <c r="T983" s="84"/>
      <c r="U983" s="84">
        <v>1</v>
      </c>
      <c r="V983" s="84">
        <v>0</v>
      </c>
      <c r="W983" s="84">
        <v>0</v>
      </c>
      <c r="X983" s="84">
        <v>0</v>
      </c>
      <c r="Y983" s="84">
        <v>0</v>
      </c>
      <c r="Z983" s="84">
        <v>0</v>
      </c>
      <c r="AA983" s="84">
        <v>0</v>
      </c>
      <c r="AB983" s="84">
        <v>0</v>
      </c>
      <c r="AC983" s="84">
        <v>0</v>
      </c>
      <c r="AD983" s="84">
        <v>0</v>
      </c>
      <c r="AE983" s="84">
        <v>0</v>
      </c>
      <c r="AF983" s="84">
        <v>0</v>
      </c>
      <c r="AG983" s="84">
        <v>0</v>
      </c>
      <c r="AH983" s="84">
        <v>0</v>
      </c>
      <c r="AI983" s="84">
        <v>0</v>
      </c>
      <c r="AJ983" s="84">
        <v>0</v>
      </c>
      <c r="AK983" s="84">
        <v>0</v>
      </c>
      <c r="AL983" s="84" cm="1">
        <f t="array" ref="AL9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83" s="84" cm="1">
        <f t="array" ref="AM9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3" s="84" cm="1">
        <f t="array" ref="AN9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3" s="84" cm="1">
        <f t="array" ref="AO9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3" s="84" cm="1">
        <f t="array" ref="AP9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3" s="84" cm="1">
        <f t="array" ref="AQ9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3" s="84" cm="1">
        <f t="array" ref="AR9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3" s="84" cm="1">
        <f t="array" ref="AS9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3" s="84" cm="1">
        <f t="array" ref="AT9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3" s="84" cm="1">
        <f t="array" ref="AU9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3" s="84" cm="1">
        <f t="array" ref="AV9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3" s="84" cm="1">
        <f t="array" ref="AW9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3" s="84" cm="1">
        <f t="array" ref="AX9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3" s="84" cm="1">
        <f t="array" ref="AY9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3" s="84" cm="1">
        <f t="array" ref="AZ9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83" s="84" cm="1">
        <f t="array" ref="BA9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3" s="84" cm="1">
        <f t="array" ref="BB9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3" s="84">
        <f>IF(SUM(Table3[[#This Row],[Column2]:[Column18]])&gt;Table3[[#This Row],[Column19]],Table3[[#This Row],[Column19]],SUM(Table3[[#This Row],[Column2]:[Column18]]))</f>
        <v>10800</v>
      </c>
      <c r="BD983" s="2">
        <f>Table3[[#This Row],[Total Spend]]/SUM(Table3[[#This Row],[Column2]:[Column18]])</f>
        <v>1</v>
      </c>
    </row>
    <row r="984" spans="1:56">
      <c r="A984" s="84" t="s">
        <v>1058</v>
      </c>
      <c r="B984" s="84" t="s">
        <v>57</v>
      </c>
      <c r="C984" s="84"/>
      <c r="D984" s="85">
        <v>45566</v>
      </c>
      <c r="E984" s="85" t="s">
        <v>92</v>
      </c>
      <c r="F984" s="84">
        <f>INDEX(Definitions!$G$13:$G$17,MATCH(Table3[[#This Row],[Propensity to buy/ buyer readiness]],Definitions!$A$13:$A$17,0))</f>
        <v>10000</v>
      </c>
      <c r="G984" s="86">
        <v>3</v>
      </c>
      <c r="H984" s="86">
        <v>3</v>
      </c>
      <c r="I984" s="86">
        <v>4</v>
      </c>
      <c r="J984" s="86">
        <v>4</v>
      </c>
      <c r="K984" s="86">
        <v>2</v>
      </c>
      <c r="L984" s="86">
        <f>SUM(Table3[[#This Row],[Strategic priority segment]:[Propensity to buy/ buyer readiness]])</f>
        <v>16</v>
      </c>
      <c r="M984" s="86" t="s">
        <v>59</v>
      </c>
      <c r="N984" s="84" t="s">
        <v>265</v>
      </c>
      <c r="O984" s="84"/>
      <c r="P984" s="87"/>
      <c r="Q984" s="87"/>
      <c r="R984" s="84"/>
      <c r="S984" s="84"/>
      <c r="T984" s="84"/>
      <c r="U984" s="84">
        <v>1</v>
      </c>
      <c r="V984" s="84">
        <v>1</v>
      </c>
      <c r="W984" s="84">
        <v>1</v>
      </c>
      <c r="X984" s="84">
        <v>1</v>
      </c>
      <c r="Y984" s="84">
        <v>0</v>
      </c>
      <c r="Z984" s="84">
        <v>0</v>
      </c>
      <c r="AA984" s="84">
        <v>0</v>
      </c>
      <c r="AB984" s="84">
        <v>0</v>
      </c>
      <c r="AC984" s="84">
        <v>0</v>
      </c>
      <c r="AD984" s="84">
        <v>0</v>
      </c>
      <c r="AE984" s="84">
        <v>0</v>
      </c>
      <c r="AF984" s="84">
        <v>0</v>
      </c>
      <c r="AG984" s="84">
        <v>0</v>
      </c>
      <c r="AH984" s="84">
        <v>0</v>
      </c>
      <c r="AI984" s="84">
        <v>1</v>
      </c>
      <c r="AJ984" s="84">
        <v>0</v>
      </c>
      <c r="AK984" s="84">
        <v>0</v>
      </c>
      <c r="AL984" s="84" cm="1">
        <f t="array" ref="AL9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84" s="84" cm="1">
        <f t="array" ref="AM9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84" s="84" cm="1">
        <f t="array" ref="AN9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84" s="84" cm="1">
        <f t="array" ref="AO9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84" s="84" cm="1">
        <f t="array" ref="AP9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4" s="84" cm="1">
        <f t="array" ref="AQ9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4" s="84" cm="1">
        <f t="array" ref="AR9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4" s="84" cm="1">
        <f t="array" ref="AS9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4" s="84" cm="1">
        <f t="array" ref="AT9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4" s="84" cm="1">
        <f t="array" ref="AU9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4" s="84" cm="1">
        <f t="array" ref="AV9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4" s="84" cm="1">
        <f t="array" ref="AW9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4" s="84" cm="1">
        <f t="array" ref="AX9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4" s="84" cm="1">
        <f t="array" ref="AY9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4" s="84" cm="1">
        <f t="array" ref="AZ9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84" s="84" cm="1">
        <f t="array" ref="BA9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4" s="84" cm="1">
        <f t="array" ref="BB9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4" s="84">
        <f>IF(SUM(Table3[[#This Row],[Column2]:[Column18]])&gt;Table3[[#This Row],[Column19]],Table3[[#This Row],[Column19]],SUM(Table3[[#This Row],[Column2]:[Column18]]))</f>
        <v>10000</v>
      </c>
      <c r="BD984" s="2">
        <f>Table3[[#This Row],[Total Spend]]/SUM(Table3[[#This Row],[Column2]:[Column18]])</f>
        <v>7.2859744990892539E-2</v>
      </c>
    </row>
    <row r="985" spans="1:56">
      <c r="A985" s="84" t="s">
        <v>1059</v>
      </c>
      <c r="B985" s="84" t="s">
        <v>57</v>
      </c>
      <c r="C985" s="84" t="s">
        <v>57</v>
      </c>
      <c r="D985" s="85">
        <v>45566</v>
      </c>
      <c r="E985" s="85" t="s">
        <v>92</v>
      </c>
      <c r="F985" s="84">
        <f>INDEX(Definitions!$G$13:$G$17,MATCH(Table3[[#This Row],[Propensity to buy/ buyer readiness]],Definitions!$A$13:$A$17,0))</f>
        <v>10000</v>
      </c>
      <c r="G985" s="86">
        <v>4</v>
      </c>
      <c r="H985" s="86">
        <v>3</v>
      </c>
      <c r="I985" s="86">
        <v>4</v>
      </c>
      <c r="J985" s="86">
        <v>3</v>
      </c>
      <c r="K985" s="86">
        <v>2</v>
      </c>
      <c r="L985" s="86">
        <f>SUM(Table3[[#This Row],[Strategic priority segment]:[Propensity to buy/ buyer readiness]])</f>
        <v>16</v>
      </c>
      <c r="M985" s="86" t="s">
        <v>152</v>
      </c>
      <c r="N985" s="84" t="s">
        <v>264</v>
      </c>
      <c r="O985" s="84" t="s">
        <v>85</v>
      </c>
      <c r="P985" s="87"/>
      <c r="Q985" s="87"/>
      <c r="R985" s="84"/>
      <c r="S985" s="84"/>
      <c r="T985" s="87"/>
      <c r="U985" s="84">
        <v>1</v>
      </c>
      <c r="V985" s="84">
        <v>0</v>
      </c>
      <c r="W985" s="84">
        <v>0</v>
      </c>
      <c r="X985" s="84">
        <v>0</v>
      </c>
      <c r="Y985" s="84">
        <v>1</v>
      </c>
      <c r="Z985" s="84">
        <v>0</v>
      </c>
      <c r="AA985" s="84">
        <v>0</v>
      </c>
      <c r="AB985" s="84">
        <v>0</v>
      </c>
      <c r="AC985" s="84">
        <v>0</v>
      </c>
      <c r="AD985" s="84">
        <v>0</v>
      </c>
      <c r="AE985" s="84">
        <v>0</v>
      </c>
      <c r="AF985" s="84">
        <v>0</v>
      </c>
      <c r="AG985" s="84">
        <v>0</v>
      </c>
      <c r="AH985" s="84">
        <v>0</v>
      </c>
      <c r="AI985" s="84">
        <v>0</v>
      </c>
      <c r="AJ985" s="84">
        <v>0</v>
      </c>
      <c r="AK985" s="84">
        <v>0</v>
      </c>
      <c r="AL985" s="84" cm="1">
        <f t="array" ref="AL9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85" s="84" cm="1">
        <f t="array" ref="AM9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5" s="84" cm="1">
        <f t="array" ref="AN9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5" s="84" cm="1">
        <f t="array" ref="AO9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5" s="84" cm="1">
        <f t="array" ref="AP9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985" s="84" cm="1">
        <f t="array" ref="AQ9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5" s="84" cm="1">
        <f t="array" ref="AR9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5" s="84" cm="1">
        <f t="array" ref="AS9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5" s="84" cm="1">
        <f t="array" ref="AT9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5" s="84" cm="1">
        <f t="array" ref="AU9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5" s="84" cm="1">
        <f t="array" ref="AV9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5" s="84" cm="1">
        <f t="array" ref="AW9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5" s="84" cm="1">
        <f t="array" ref="AX9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5" s="84" cm="1">
        <f t="array" ref="AY9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5" s="84" cm="1">
        <f t="array" ref="AZ9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85" s="84" cm="1">
        <f t="array" ref="BA9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5" s="84" cm="1">
        <f t="array" ref="BB9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5" s="84">
        <f>IF(SUM(Table3[[#This Row],[Column2]:[Column18]])&gt;Table3[[#This Row],[Column19]],Table3[[#This Row],[Column19]],SUM(Table3[[#This Row],[Column2]:[Column18]]))</f>
        <v>10000</v>
      </c>
      <c r="BD985" s="2">
        <f>Table3[[#This Row],[Total Spend]]/SUM(Table3[[#This Row],[Column2]:[Column18]])</f>
        <v>0.20964360587002095</v>
      </c>
    </row>
    <row r="986" spans="1:56">
      <c r="A986" s="84" t="s">
        <v>1060</v>
      </c>
      <c r="B986" s="84"/>
      <c r="C986" s="84"/>
      <c r="D986" s="85">
        <v>45566</v>
      </c>
      <c r="E986" s="85" t="s">
        <v>92</v>
      </c>
      <c r="F986" s="84">
        <f>INDEX(Definitions!$G$13:$G$17,MATCH(Table3[[#This Row],[Propensity to buy/ buyer readiness]],Definitions!$A$13:$A$17,0))</f>
        <v>50000</v>
      </c>
      <c r="G986" s="86">
        <v>4</v>
      </c>
      <c r="H986" s="86">
        <v>3</v>
      </c>
      <c r="I986" s="86">
        <v>3</v>
      </c>
      <c r="J986" s="86">
        <v>3</v>
      </c>
      <c r="K986" s="86">
        <v>3</v>
      </c>
      <c r="L986" s="86">
        <f>SUM(Table3[[#This Row],[Strategic priority segment]:[Propensity to buy/ buyer readiness]])</f>
        <v>16</v>
      </c>
      <c r="M986" s="86" t="s">
        <v>191</v>
      </c>
      <c r="N986" s="84" t="s">
        <v>76</v>
      </c>
      <c r="O986" s="84" t="s">
        <v>135</v>
      </c>
      <c r="P986" s="84"/>
      <c r="Q986" s="84"/>
      <c r="R986" s="84"/>
      <c r="S986" s="87"/>
      <c r="T986" s="87"/>
      <c r="U986" s="84">
        <v>0</v>
      </c>
      <c r="V986" s="84">
        <v>0</v>
      </c>
      <c r="W986" s="84">
        <v>0</v>
      </c>
      <c r="X986" s="84">
        <v>0</v>
      </c>
      <c r="Y986" s="84">
        <v>0</v>
      </c>
      <c r="Z986" s="84">
        <v>0</v>
      </c>
      <c r="AA986" s="84">
        <v>0</v>
      </c>
      <c r="AB986" s="84">
        <v>0</v>
      </c>
      <c r="AC986" s="84">
        <v>0</v>
      </c>
      <c r="AD986" s="84">
        <v>0</v>
      </c>
      <c r="AE986" s="84">
        <v>0</v>
      </c>
      <c r="AF986" s="84">
        <v>0</v>
      </c>
      <c r="AG986" s="84">
        <v>0</v>
      </c>
      <c r="AH986" s="84">
        <v>1</v>
      </c>
      <c r="AI986" s="84">
        <v>1</v>
      </c>
      <c r="AJ986" s="84">
        <v>1</v>
      </c>
      <c r="AK986" s="84">
        <v>1</v>
      </c>
      <c r="AL986" s="84" cm="1">
        <f t="array" ref="AL9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86" s="84" cm="1">
        <f t="array" ref="AM9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6" s="84" cm="1">
        <f t="array" ref="AN9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6" s="84" cm="1">
        <f t="array" ref="AO9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6" s="84" cm="1">
        <f t="array" ref="AP9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6" s="84" cm="1">
        <f t="array" ref="AQ9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6" s="84" cm="1">
        <f t="array" ref="AR9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6" s="84" cm="1">
        <f t="array" ref="AS9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6" s="84" cm="1">
        <f t="array" ref="AT9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6" s="84" cm="1">
        <f t="array" ref="AU9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6" s="84" cm="1">
        <f t="array" ref="AV9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6" s="84" cm="1">
        <f t="array" ref="AW9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6" s="84" cm="1">
        <f t="array" ref="AX9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6" s="84" cm="1">
        <f t="array" ref="AY9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86" s="84" cm="1">
        <f t="array" ref="AZ9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86" s="84" cm="1">
        <f t="array" ref="BA9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86" s="84" cm="1">
        <f t="array" ref="BB9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86" s="84">
        <f>IF(SUM(Table3[[#This Row],[Column2]:[Column18]])&gt;Table3[[#This Row],[Column19]],Table3[[#This Row],[Column19]],SUM(Table3[[#This Row],[Column2]:[Column18]]))</f>
        <v>46350</v>
      </c>
      <c r="BD986" s="2">
        <f>Table3[[#This Row],[Total Spend]]/SUM(Table3[[#This Row],[Column2]:[Column18]])</f>
        <v>1</v>
      </c>
    </row>
    <row r="987" spans="1:56">
      <c r="A987" s="84" t="s">
        <v>1061</v>
      </c>
      <c r="B987" s="84"/>
      <c r="C987" s="84" t="s">
        <v>57</v>
      </c>
      <c r="D987" s="85">
        <v>45566</v>
      </c>
      <c r="E987" s="85" t="s">
        <v>92</v>
      </c>
      <c r="F987" s="84">
        <f>INDEX(Definitions!$G$13:$G$17,MATCH(Table3[[#This Row],[Propensity to buy/ buyer readiness]],Definitions!$A$13:$A$17,0))</f>
        <v>50000</v>
      </c>
      <c r="G987" s="86">
        <v>4</v>
      </c>
      <c r="H987" s="86">
        <v>3</v>
      </c>
      <c r="I987" s="86">
        <v>3</v>
      </c>
      <c r="J987" s="86">
        <v>3</v>
      </c>
      <c r="K987" s="86">
        <v>3</v>
      </c>
      <c r="L987" s="86">
        <f>SUM(Table3[[#This Row],[Strategic priority segment]:[Propensity to buy/ buyer readiness]])</f>
        <v>16</v>
      </c>
      <c r="M987" s="86" t="s">
        <v>191</v>
      </c>
      <c r="N987" s="84" t="s">
        <v>76</v>
      </c>
      <c r="O987" s="84" t="s">
        <v>135</v>
      </c>
      <c r="P987" s="84"/>
      <c r="Q987" s="84"/>
      <c r="R987" s="84"/>
      <c r="S987" s="87"/>
      <c r="T987" s="84"/>
      <c r="U987" s="84">
        <v>0</v>
      </c>
      <c r="V987" s="84">
        <v>0</v>
      </c>
      <c r="W987" s="84">
        <v>0</v>
      </c>
      <c r="X987" s="84">
        <v>0</v>
      </c>
      <c r="Y987" s="84">
        <v>0</v>
      </c>
      <c r="Z987" s="84">
        <v>0</v>
      </c>
      <c r="AA987" s="84">
        <v>0</v>
      </c>
      <c r="AB987" s="84">
        <v>0</v>
      </c>
      <c r="AC987" s="84">
        <v>0</v>
      </c>
      <c r="AD987" s="84">
        <v>0</v>
      </c>
      <c r="AE987" s="84">
        <v>0</v>
      </c>
      <c r="AF987" s="84">
        <v>0</v>
      </c>
      <c r="AG987" s="84">
        <v>0</v>
      </c>
      <c r="AH987" s="84">
        <v>1</v>
      </c>
      <c r="AI987" s="84">
        <v>1</v>
      </c>
      <c r="AJ987" s="84">
        <v>1</v>
      </c>
      <c r="AK987" s="84">
        <v>1</v>
      </c>
      <c r="AL987" s="84" cm="1">
        <f t="array" ref="AL9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87" s="84" cm="1">
        <f t="array" ref="AM9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7" s="84" cm="1">
        <f t="array" ref="AN9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7" s="84" cm="1">
        <f t="array" ref="AO9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7" s="84" cm="1">
        <f t="array" ref="AP9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7" s="84" cm="1">
        <f t="array" ref="AQ9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87" s="84" cm="1">
        <f t="array" ref="AR9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7" s="84" cm="1">
        <f t="array" ref="AS9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87" s="84" cm="1">
        <f t="array" ref="AT9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7" s="84" cm="1">
        <f t="array" ref="AU9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87" s="84" cm="1">
        <f t="array" ref="AV9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7" s="84" cm="1">
        <f t="array" ref="AW9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87" s="84" cm="1">
        <f t="array" ref="AX9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7" s="84" cm="1">
        <f t="array" ref="AY9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87" s="84" cm="1">
        <f t="array" ref="AZ9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87" s="84" cm="1">
        <f t="array" ref="BA9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87" s="84" cm="1">
        <f t="array" ref="BB9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87" s="84">
        <f>IF(SUM(Table3[[#This Row],[Column2]:[Column18]])&gt;Table3[[#This Row],[Column19]],Table3[[#This Row],[Column19]],SUM(Table3[[#This Row],[Column2]:[Column18]]))</f>
        <v>46350</v>
      </c>
      <c r="BD987" s="2">
        <f>Table3[[#This Row],[Total Spend]]/SUM(Table3[[#This Row],[Column2]:[Column18]])</f>
        <v>1</v>
      </c>
    </row>
    <row r="988" spans="1:56">
      <c r="A988" s="84" t="s">
        <v>1062</v>
      </c>
      <c r="B988" s="84"/>
      <c r="C988" s="84" t="s">
        <v>57</v>
      </c>
      <c r="D988" s="85">
        <v>45566</v>
      </c>
      <c r="E988" s="85" t="s">
        <v>92</v>
      </c>
      <c r="F988" s="84">
        <f>INDEX(Definitions!$G$13:$G$17,MATCH(Table3[[#This Row],[Propensity to buy/ buyer readiness]],Definitions!$A$13:$A$17,0))</f>
        <v>50000</v>
      </c>
      <c r="G988" s="86">
        <v>3</v>
      </c>
      <c r="H988" s="86">
        <v>3</v>
      </c>
      <c r="I988" s="86">
        <v>4</v>
      </c>
      <c r="J988" s="86">
        <v>3</v>
      </c>
      <c r="K988" s="86">
        <v>3</v>
      </c>
      <c r="L988" s="86">
        <f>SUM(Table3[[#This Row],[Strategic priority segment]:[Propensity to buy/ buyer readiness]])</f>
        <v>16</v>
      </c>
      <c r="M988" s="86" t="s">
        <v>152</v>
      </c>
      <c r="N988" s="84" t="s">
        <v>122</v>
      </c>
      <c r="O988" s="87"/>
      <c r="P988" s="87"/>
      <c r="Q988" s="87"/>
      <c r="R988" s="84"/>
      <c r="S988" s="87"/>
      <c r="T988" s="87"/>
      <c r="U988" s="84">
        <v>1</v>
      </c>
      <c r="V988" s="84">
        <v>0</v>
      </c>
      <c r="W988" s="84">
        <v>0</v>
      </c>
      <c r="X988" s="84">
        <v>0</v>
      </c>
      <c r="Y988" s="84">
        <v>0</v>
      </c>
      <c r="Z988" s="84">
        <v>1</v>
      </c>
      <c r="AA988" s="84">
        <v>0</v>
      </c>
      <c r="AB988" s="84">
        <v>1</v>
      </c>
      <c r="AC988" s="84">
        <v>0</v>
      </c>
      <c r="AD988" s="84">
        <v>1</v>
      </c>
      <c r="AE988" s="84">
        <v>0</v>
      </c>
      <c r="AF988" s="84">
        <v>1</v>
      </c>
      <c r="AG988" s="84">
        <v>0</v>
      </c>
      <c r="AH988" s="84">
        <v>0</v>
      </c>
      <c r="AI988" s="84">
        <v>0</v>
      </c>
      <c r="AJ988" s="84">
        <v>0</v>
      </c>
      <c r="AK988" s="84">
        <v>0</v>
      </c>
      <c r="AL988" s="84" cm="1">
        <f t="array" ref="AL9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88" s="84" cm="1">
        <f t="array" ref="AM9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8" s="84" cm="1">
        <f t="array" ref="AN9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8" s="84" cm="1">
        <f t="array" ref="AO9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8" s="84" cm="1">
        <f t="array" ref="AP9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8" s="84" cm="1">
        <f t="array" ref="AQ9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88" s="84" cm="1">
        <f t="array" ref="AR9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8" s="84" cm="1">
        <f t="array" ref="AS9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88" s="84" cm="1">
        <f t="array" ref="AT9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8" s="84" cm="1">
        <f t="array" ref="AU9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88" s="84" cm="1">
        <f t="array" ref="AV9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8" s="84" cm="1">
        <f t="array" ref="AW9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88" s="84" cm="1">
        <f t="array" ref="AX9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8" s="84" cm="1">
        <f t="array" ref="AY9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8" s="84" cm="1">
        <f t="array" ref="AZ9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88" s="84" cm="1">
        <f t="array" ref="BA9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8" s="84" cm="1">
        <f t="array" ref="BB9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8" s="84">
        <f>IF(SUM(Table3[[#This Row],[Column2]:[Column18]])&gt;Table3[[#This Row],[Column19]],Table3[[#This Row],[Column19]],SUM(Table3[[#This Row],[Column2]:[Column18]]))</f>
        <v>50000</v>
      </c>
      <c r="BD988" s="2">
        <f>Table3[[#This Row],[Total Spend]]/SUM(Table3[[#This Row],[Column2]:[Column18]])</f>
        <v>0.41459369817578773</v>
      </c>
    </row>
    <row r="989" spans="1:56">
      <c r="A989" s="84" t="s">
        <v>1063</v>
      </c>
      <c r="B989" s="84"/>
      <c r="C989" s="84" t="s">
        <v>57</v>
      </c>
      <c r="D989" s="85">
        <v>45809</v>
      </c>
      <c r="E989" s="85" t="s">
        <v>92</v>
      </c>
      <c r="F989" s="84">
        <f>INDEX(Definitions!$G$13:$G$17,MATCH(Table3[[#This Row],[Propensity to buy/ buyer readiness]],Definitions!$A$13:$A$17,0))</f>
        <v>50000</v>
      </c>
      <c r="G989" s="86">
        <v>3</v>
      </c>
      <c r="H989" s="86">
        <v>3</v>
      </c>
      <c r="I989" s="86">
        <v>4</v>
      </c>
      <c r="J989" s="86">
        <v>3</v>
      </c>
      <c r="K989" s="86">
        <v>3</v>
      </c>
      <c r="L989" s="86">
        <f>SUM(Table3[[#This Row],[Strategic priority segment]:[Propensity to buy/ buyer readiness]])</f>
        <v>16</v>
      </c>
      <c r="M989" s="86" t="s">
        <v>152</v>
      </c>
      <c r="N989" s="84" t="s">
        <v>122</v>
      </c>
      <c r="O989" s="84"/>
      <c r="P989" s="84"/>
      <c r="Q989" s="84"/>
      <c r="R989" s="84"/>
      <c r="S989" s="84"/>
      <c r="T989" s="84"/>
      <c r="U989" s="84">
        <v>1</v>
      </c>
      <c r="V989" s="84">
        <v>0</v>
      </c>
      <c r="W989" s="84">
        <v>0</v>
      </c>
      <c r="X989" s="84">
        <v>0</v>
      </c>
      <c r="Y989" s="84">
        <v>0</v>
      </c>
      <c r="Z989" s="84">
        <v>1</v>
      </c>
      <c r="AA989" s="84">
        <v>0</v>
      </c>
      <c r="AB989" s="84">
        <v>1</v>
      </c>
      <c r="AC989" s="84">
        <v>0</v>
      </c>
      <c r="AD989" s="84">
        <v>1</v>
      </c>
      <c r="AE989" s="84">
        <v>0</v>
      </c>
      <c r="AF989" s="84">
        <v>1</v>
      </c>
      <c r="AG989" s="84">
        <v>0</v>
      </c>
      <c r="AH989" s="84">
        <v>0</v>
      </c>
      <c r="AI989" s="84">
        <v>0</v>
      </c>
      <c r="AJ989" s="84">
        <v>0</v>
      </c>
      <c r="AK989" s="84">
        <v>0</v>
      </c>
      <c r="AL989" s="84" cm="1">
        <f t="array" ref="AL9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89" s="84" cm="1">
        <f t="array" ref="AM9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89" s="84" cm="1">
        <f t="array" ref="AN9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89" s="84" cm="1">
        <f t="array" ref="AO9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89" s="84" cm="1">
        <f t="array" ref="AP9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89" s="84" cm="1">
        <f t="array" ref="AQ9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89" s="84" cm="1">
        <f t="array" ref="AR9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89" s="84" cm="1">
        <f t="array" ref="AS9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89" s="84" cm="1">
        <f t="array" ref="AT9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89" s="84" cm="1">
        <f t="array" ref="AU9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89" s="84" cm="1">
        <f t="array" ref="AV9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89" s="84" cm="1">
        <f t="array" ref="AW9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89" s="84" cm="1">
        <f t="array" ref="AX9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89" s="84" cm="1">
        <f t="array" ref="AY9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89" s="84" cm="1">
        <f t="array" ref="AZ9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89" s="84" cm="1">
        <f t="array" ref="BA9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89" s="84" cm="1">
        <f t="array" ref="BB9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89" s="84">
        <f>IF(SUM(Table3[[#This Row],[Column2]:[Column18]])&gt;Table3[[#This Row],[Column19]],Table3[[#This Row],[Column19]],SUM(Table3[[#This Row],[Column2]:[Column18]]))</f>
        <v>50000</v>
      </c>
      <c r="BD989" s="2">
        <f>Table3[[#This Row],[Total Spend]]/SUM(Table3[[#This Row],[Column2]:[Column18]])</f>
        <v>0.41459369817578773</v>
      </c>
    </row>
    <row r="990" spans="1:56">
      <c r="A990" s="84" t="s">
        <v>1064</v>
      </c>
      <c r="B990" s="84" t="s">
        <v>57</v>
      </c>
      <c r="C990" s="84"/>
      <c r="D990" s="85">
        <v>45566</v>
      </c>
      <c r="E990" s="85" t="s">
        <v>92</v>
      </c>
      <c r="F990" s="84">
        <f>INDEX(Definitions!$G$13:$G$17,MATCH(Table3[[#This Row],[Propensity to buy/ buyer readiness]],Definitions!$A$13:$A$17,0))</f>
        <v>10000</v>
      </c>
      <c r="G990" s="86">
        <v>3</v>
      </c>
      <c r="H990" s="86">
        <v>3</v>
      </c>
      <c r="I990" s="86">
        <v>4</v>
      </c>
      <c r="J990" s="86">
        <v>4</v>
      </c>
      <c r="K990" s="86">
        <v>2</v>
      </c>
      <c r="L990" s="86">
        <f>SUM(Table3[[#This Row],[Strategic priority segment]:[Propensity to buy/ buyer readiness]])</f>
        <v>16</v>
      </c>
      <c r="M990" s="86" t="s">
        <v>59</v>
      </c>
      <c r="N990" s="84" t="s">
        <v>265</v>
      </c>
      <c r="O990" s="84"/>
      <c r="P990" s="87"/>
      <c r="Q990" s="87"/>
      <c r="R990" s="84"/>
      <c r="S990" s="84"/>
      <c r="T990" s="84"/>
      <c r="U990" s="84">
        <v>1</v>
      </c>
      <c r="V990" s="84">
        <v>1</v>
      </c>
      <c r="W990" s="84">
        <v>1</v>
      </c>
      <c r="X990" s="84">
        <v>1</v>
      </c>
      <c r="Y990" s="84">
        <v>0</v>
      </c>
      <c r="Z990" s="84">
        <v>0</v>
      </c>
      <c r="AA990" s="84">
        <v>0</v>
      </c>
      <c r="AB990" s="84">
        <v>0</v>
      </c>
      <c r="AC990" s="84">
        <v>0</v>
      </c>
      <c r="AD990" s="84">
        <v>0</v>
      </c>
      <c r="AE990" s="84">
        <v>0</v>
      </c>
      <c r="AF990" s="84">
        <v>0</v>
      </c>
      <c r="AG990" s="84">
        <v>0</v>
      </c>
      <c r="AH990" s="84">
        <v>0</v>
      </c>
      <c r="AI990" s="84">
        <v>1</v>
      </c>
      <c r="AJ990" s="84">
        <v>0</v>
      </c>
      <c r="AK990" s="84">
        <v>0</v>
      </c>
      <c r="AL990" s="84" cm="1">
        <f t="array" ref="AL9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90" s="84" cm="1">
        <f t="array" ref="AM9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990" s="84" cm="1">
        <f t="array" ref="AN9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990" s="84" cm="1">
        <f t="array" ref="AO9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990" s="84" cm="1">
        <f t="array" ref="AP9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0" s="84" cm="1">
        <f t="array" ref="AQ9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0" s="84" cm="1">
        <f t="array" ref="AR9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0" s="84" cm="1">
        <f t="array" ref="AS9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0" s="84" cm="1">
        <f t="array" ref="AT9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0" s="84" cm="1">
        <f t="array" ref="AU9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0" s="84" cm="1">
        <f t="array" ref="AV9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0" s="84" cm="1">
        <f t="array" ref="AW9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0" s="84" cm="1">
        <f t="array" ref="AX9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0" s="84" cm="1">
        <f t="array" ref="AY9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0" s="84" cm="1">
        <f t="array" ref="AZ9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90" s="84" cm="1">
        <f t="array" ref="BA9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0" s="84" cm="1">
        <f t="array" ref="BB9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0" s="84">
        <f>IF(SUM(Table3[[#This Row],[Column2]:[Column18]])&gt;Table3[[#This Row],[Column19]],Table3[[#This Row],[Column19]],SUM(Table3[[#This Row],[Column2]:[Column18]]))</f>
        <v>10000</v>
      </c>
      <c r="BD990" s="2">
        <f>Table3[[#This Row],[Total Spend]]/SUM(Table3[[#This Row],[Column2]:[Column18]])</f>
        <v>7.2859744990892539E-2</v>
      </c>
    </row>
    <row r="991" spans="1:56">
      <c r="A991" s="84" t="s">
        <v>1065</v>
      </c>
      <c r="B991" s="84"/>
      <c r="C991" s="84" t="s">
        <v>57</v>
      </c>
      <c r="D991" s="85">
        <v>45809</v>
      </c>
      <c r="E991" s="85" t="s">
        <v>92</v>
      </c>
      <c r="F991" s="84">
        <f>INDEX(Definitions!$G$13:$G$17,MATCH(Table3[[#This Row],[Propensity to buy/ buyer readiness]],Definitions!$A$13:$A$17,0))</f>
        <v>50000</v>
      </c>
      <c r="G991" s="86">
        <v>3</v>
      </c>
      <c r="H991" s="86">
        <v>3</v>
      </c>
      <c r="I991" s="86">
        <v>4</v>
      </c>
      <c r="J991" s="86">
        <v>3</v>
      </c>
      <c r="K991" s="86">
        <v>3</v>
      </c>
      <c r="L991" s="86">
        <f>SUM(Table3[[#This Row],[Strategic priority segment]:[Propensity to buy/ buyer readiness]])</f>
        <v>16</v>
      </c>
      <c r="M991" s="86" t="s">
        <v>152</v>
      </c>
      <c r="N991" s="84" t="s">
        <v>122</v>
      </c>
      <c r="O991" s="84"/>
      <c r="P991" s="84"/>
      <c r="Q991" s="84"/>
      <c r="R991" s="84"/>
      <c r="S991" s="84"/>
      <c r="T991" s="84"/>
      <c r="U991" s="84">
        <v>1</v>
      </c>
      <c r="V991" s="84">
        <v>0</v>
      </c>
      <c r="W991" s="84">
        <v>0</v>
      </c>
      <c r="X991" s="84">
        <v>0</v>
      </c>
      <c r="Y991" s="84">
        <v>0</v>
      </c>
      <c r="Z991" s="84">
        <v>1</v>
      </c>
      <c r="AA991" s="84">
        <v>0</v>
      </c>
      <c r="AB991" s="84">
        <v>1</v>
      </c>
      <c r="AC991" s="84">
        <v>0</v>
      </c>
      <c r="AD991" s="84">
        <v>1</v>
      </c>
      <c r="AE991" s="84">
        <v>0</v>
      </c>
      <c r="AF991" s="84">
        <v>1</v>
      </c>
      <c r="AG991" s="84">
        <v>0</v>
      </c>
      <c r="AH991" s="84">
        <v>0</v>
      </c>
      <c r="AI991" s="84">
        <v>0</v>
      </c>
      <c r="AJ991" s="84">
        <v>0</v>
      </c>
      <c r="AK991" s="84">
        <v>0</v>
      </c>
      <c r="AL991" s="84" cm="1">
        <f t="array" ref="AL9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91" s="84" cm="1">
        <f t="array" ref="AM9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1" s="84" cm="1">
        <f t="array" ref="AN9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1" s="84" cm="1">
        <f t="array" ref="AO9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1" s="84" cm="1">
        <f t="array" ref="AP9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1" s="84" cm="1">
        <f t="array" ref="AQ9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991" s="84" cm="1">
        <f t="array" ref="AR9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1" s="84" cm="1">
        <f t="array" ref="AS9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991" s="84" cm="1">
        <f t="array" ref="AT9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1" s="84" cm="1">
        <f t="array" ref="AU9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991" s="84" cm="1">
        <f t="array" ref="AV9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1" s="84" cm="1">
        <f t="array" ref="AW9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991" s="84" cm="1">
        <f t="array" ref="AX9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1" s="84" cm="1">
        <f t="array" ref="AY9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1" s="84" cm="1">
        <f t="array" ref="AZ9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1" s="84" cm="1">
        <f t="array" ref="BA9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1" s="84" cm="1">
        <f t="array" ref="BB9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1" s="84">
        <f>IF(SUM(Table3[[#This Row],[Column2]:[Column18]])&gt;Table3[[#This Row],[Column19]],Table3[[#This Row],[Column19]],SUM(Table3[[#This Row],[Column2]:[Column18]]))</f>
        <v>50000</v>
      </c>
      <c r="BD991" s="2">
        <f>Table3[[#This Row],[Total Spend]]/SUM(Table3[[#This Row],[Column2]:[Column18]])</f>
        <v>0.41459369817578773</v>
      </c>
    </row>
    <row r="992" spans="1:56">
      <c r="A992" s="84" t="s">
        <v>1066</v>
      </c>
      <c r="B992" s="84" t="s">
        <v>57</v>
      </c>
      <c r="C992" s="84"/>
      <c r="D992" s="85">
        <v>45566</v>
      </c>
      <c r="E992" s="85" t="s">
        <v>58</v>
      </c>
      <c r="F992" s="84">
        <f>INDEX(Definitions!$G$13:$G$17,MATCH(Table3[[#This Row],[Propensity to buy/ buyer readiness]],Definitions!$A$13:$A$17,0))</f>
        <v>50000</v>
      </c>
      <c r="G992" s="86">
        <v>3</v>
      </c>
      <c r="H992" s="86">
        <v>3</v>
      </c>
      <c r="I992" s="86">
        <v>4</v>
      </c>
      <c r="J992" s="86">
        <v>3</v>
      </c>
      <c r="K992" s="86">
        <v>3</v>
      </c>
      <c r="L992" s="86">
        <f>SUM(Table3[[#This Row],[Strategic priority segment]:[Propensity to buy/ buyer readiness]])</f>
        <v>16</v>
      </c>
      <c r="M992" s="86" t="s">
        <v>152</v>
      </c>
      <c r="N992" s="84" t="s">
        <v>264</v>
      </c>
      <c r="O992" s="84"/>
      <c r="P992" s="87"/>
      <c r="Q992" s="87"/>
      <c r="R992" s="84"/>
      <c r="S992" s="84"/>
      <c r="T992" s="87"/>
      <c r="U992" s="84">
        <v>1</v>
      </c>
      <c r="V992" s="84">
        <v>0</v>
      </c>
      <c r="W992" s="84">
        <v>0</v>
      </c>
      <c r="X992" s="84">
        <v>0</v>
      </c>
      <c r="Y992" s="84">
        <v>0</v>
      </c>
      <c r="Z992" s="84">
        <v>0</v>
      </c>
      <c r="AA992" s="84">
        <v>0</v>
      </c>
      <c r="AB992" s="84">
        <v>0</v>
      </c>
      <c r="AC992" s="84">
        <v>0</v>
      </c>
      <c r="AD992" s="84">
        <v>0</v>
      </c>
      <c r="AE992" s="84">
        <v>0</v>
      </c>
      <c r="AF992" s="84">
        <v>0</v>
      </c>
      <c r="AG992" s="84">
        <v>0</v>
      </c>
      <c r="AH992" s="84">
        <v>0</v>
      </c>
      <c r="AI992" s="84">
        <v>0</v>
      </c>
      <c r="AJ992" s="84">
        <v>0</v>
      </c>
      <c r="AK992" s="84">
        <v>0</v>
      </c>
      <c r="AL992" s="84" cm="1">
        <f t="array" ref="AL9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2" s="84" cm="1">
        <f t="array" ref="AM9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2" s="84" cm="1">
        <f t="array" ref="AN9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2" s="84" cm="1">
        <f t="array" ref="AO9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2" s="84" cm="1">
        <f t="array" ref="AP9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2" s="84" cm="1">
        <f t="array" ref="AQ9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2" s="84" cm="1">
        <f t="array" ref="AR9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2" s="84" cm="1">
        <f t="array" ref="AS9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2" s="84" cm="1">
        <f t="array" ref="AT9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2" s="84" cm="1">
        <f t="array" ref="AU9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2" s="84" cm="1">
        <f t="array" ref="AV9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2" s="84" cm="1">
        <f t="array" ref="AW9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2" s="84" cm="1">
        <f t="array" ref="AX9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2" s="84" cm="1">
        <f t="array" ref="AY9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2" s="84" cm="1">
        <f t="array" ref="AZ9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2" s="84" cm="1">
        <f t="array" ref="BA9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2" s="84" cm="1">
        <f t="array" ref="BB9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2" s="84">
        <f>IF(SUM(Table3[[#This Row],[Column2]:[Column18]])&gt;Table3[[#This Row],[Column19]],Table3[[#This Row],[Column19]],SUM(Table3[[#This Row],[Column2]:[Column18]]))</f>
        <v>10800</v>
      </c>
      <c r="BD992" s="2">
        <f>Table3[[#This Row],[Total Spend]]/SUM(Table3[[#This Row],[Column2]:[Column18]])</f>
        <v>1</v>
      </c>
    </row>
    <row r="993" spans="1:56">
      <c r="A993" s="84" t="s">
        <v>1067</v>
      </c>
      <c r="B993" s="84"/>
      <c r="C993" s="84"/>
      <c r="D993" s="85">
        <v>45566</v>
      </c>
      <c r="E993" s="85" t="s">
        <v>92</v>
      </c>
      <c r="F993" s="84">
        <f>INDEX(Definitions!$G$13:$G$17,MATCH(Table3[[#This Row],[Propensity to buy/ buyer readiness]],Definitions!$A$13:$A$17,0))</f>
        <v>50000</v>
      </c>
      <c r="G993" s="86">
        <v>4</v>
      </c>
      <c r="H993" s="86">
        <v>3</v>
      </c>
      <c r="I993" s="86">
        <v>3</v>
      </c>
      <c r="J993" s="86">
        <v>3</v>
      </c>
      <c r="K993" s="86">
        <v>3</v>
      </c>
      <c r="L993" s="86">
        <f>SUM(Table3[[#This Row],[Strategic priority segment]:[Propensity to buy/ buyer readiness]])</f>
        <v>16</v>
      </c>
      <c r="M993" s="86" t="s">
        <v>191</v>
      </c>
      <c r="N993" s="84" t="s">
        <v>76</v>
      </c>
      <c r="O993" s="84" t="s">
        <v>135</v>
      </c>
      <c r="P993" s="84"/>
      <c r="Q993" s="84"/>
      <c r="R993" s="84"/>
      <c r="S993" s="87"/>
      <c r="T993" s="87"/>
      <c r="U993" s="84">
        <v>0</v>
      </c>
      <c r="V993" s="84">
        <v>0</v>
      </c>
      <c r="W993" s="84">
        <v>0</v>
      </c>
      <c r="X993" s="84">
        <v>0</v>
      </c>
      <c r="Y993" s="84">
        <v>0</v>
      </c>
      <c r="Z993" s="84">
        <v>0</v>
      </c>
      <c r="AA993" s="84">
        <v>0</v>
      </c>
      <c r="AB993" s="84">
        <v>0</v>
      </c>
      <c r="AC993" s="84">
        <v>0</v>
      </c>
      <c r="AD993" s="84">
        <v>0</v>
      </c>
      <c r="AE993" s="84">
        <v>0</v>
      </c>
      <c r="AF993" s="84">
        <v>0</v>
      </c>
      <c r="AG993" s="84">
        <v>0</v>
      </c>
      <c r="AH993" s="84">
        <v>1</v>
      </c>
      <c r="AI993" s="84">
        <v>1</v>
      </c>
      <c r="AJ993" s="84">
        <v>1</v>
      </c>
      <c r="AK993" s="84">
        <v>1</v>
      </c>
      <c r="AL993" s="84" cm="1">
        <f t="array" ref="AL9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993" s="84" cm="1">
        <f t="array" ref="AM9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3" s="84" cm="1">
        <f t="array" ref="AN9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3" s="84" cm="1">
        <f t="array" ref="AO9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3" s="84" cm="1">
        <f t="array" ref="AP9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3" s="84" cm="1">
        <f t="array" ref="AQ9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3" s="84" cm="1">
        <f t="array" ref="AR9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3" s="84" cm="1">
        <f t="array" ref="AS9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3" s="84" cm="1">
        <f t="array" ref="AT9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3" s="84" cm="1">
        <f t="array" ref="AU9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3" s="84" cm="1">
        <f t="array" ref="AV9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3" s="84" cm="1">
        <f t="array" ref="AW9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3" s="84" cm="1">
        <f t="array" ref="AX9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3" s="84" cm="1">
        <f t="array" ref="AY9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993" s="84" cm="1">
        <f t="array" ref="AZ9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993" s="84" cm="1">
        <f t="array" ref="BA9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993" s="84" cm="1">
        <f t="array" ref="BB9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993" s="84">
        <f>IF(SUM(Table3[[#This Row],[Column2]:[Column18]])&gt;Table3[[#This Row],[Column19]],Table3[[#This Row],[Column19]],SUM(Table3[[#This Row],[Column2]:[Column18]]))</f>
        <v>46350</v>
      </c>
      <c r="BD993" s="2">
        <f>Table3[[#This Row],[Total Spend]]/SUM(Table3[[#This Row],[Column2]:[Column18]])</f>
        <v>1</v>
      </c>
    </row>
    <row r="994" spans="1:56">
      <c r="A994" s="84" t="s">
        <v>1068</v>
      </c>
      <c r="B994" s="84"/>
      <c r="C994" s="84"/>
      <c r="D994" s="85">
        <v>45566</v>
      </c>
      <c r="E994" s="85" t="s">
        <v>58</v>
      </c>
      <c r="F994" s="84">
        <f>INDEX(Definitions!$G$13:$G$17,MATCH(Table3[[#This Row],[Propensity to buy/ buyer readiness]],Definitions!$A$13:$A$17,0))</f>
        <v>50000</v>
      </c>
      <c r="G994" s="86">
        <v>3</v>
      </c>
      <c r="H994" s="86">
        <v>3</v>
      </c>
      <c r="I994" s="86">
        <v>3</v>
      </c>
      <c r="J994" s="86">
        <v>4</v>
      </c>
      <c r="K994" s="86">
        <v>3</v>
      </c>
      <c r="L994" s="86">
        <f>SUM(Table3[[#This Row],[Strategic priority segment]:[Propensity to buy/ buyer readiness]])</f>
        <v>16</v>
      </c>
      <c r="M994" s="86" t="s">
        <v>59</v>
      </c>
      <c r="N994" s="84" t="s">
        <v>265</v>
      </c>
      <c r="O994" s="84"/>
      <c r="P994" s="87"/>
      <c r="Q994" s="87"/>
      <c r="R994" s="84"/>
      <c r="S994" s="87"/>
      <c r="T994" s="87"/>
      <c r="U994" s="84">
        <v>1</v>
      </c>
      <c r="V994" s="84">
        <v>1</v>
      </c>
      <c r="W994" s="84">
        <v>1</v>
      </c>
      <c r="X994" s="84">
        <v>1</v>
      </c>
      <c r="Y994" s="84">
        <v>0</v>
      </c>
      <c r="Z994" s="84">
        <v>0</v>
      </c>
      <c r="AA994" s="84">
        <v>0</v>
      </c>
      <c r="AB994" s="84">
        <v>0</v>
      </c>
      <c r="AC994" s="84">
        <v>0</v>
      </c>
      <c r="AD994" s="84">
        <v>0</v>
      </c>
      <c r="AE994" s="84">
        <v>0</v>
      </c>
      <c r="AF994" s="84">
        <v>0</v>
      </c>
      <c r="AG994" s="84">
        <v>0</v>
      </c>
      <c r="AH994" s="84">
        <v>0</v>
      </c>
      <c r="AI994" s="84">
        <v>1</v>
      </c>
      <c r="AJ994" s="84">
        <v>0</v>
      </c>
      <c r="AK994" s="84">
        <v>0</v>
      </c>
      <c r="AL994" s="84" cm="1">
        <f t="array" ref="AL9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4" s="84" cm="1">
        <f t="array" ref="AM9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994" s="84" cm="1">
        <f t="array" ref="AN9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994" s="84" cm="1">
        <f t="array" ref="AO9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994" s="84" cm="1">
        <f t="array" ref="AP9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4" s="84" cm="1">
        <f t="array" ref="AQ9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4" s="84" cm="1">
        <f t="array" ref="AR9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4" s="84" cm="1">
        <f t="array" ref="AS9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4" s="84" cm="1">
        <f t="array" ref="AT9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4" s="84" cm="1">
        <f t="array" ref="AU9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4" s="84" cm="1">
        <f t="array" ref="AV9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4" s="84" cm="1">
        <f t="array" ref="AW9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4" s="84" cm="1">
        <f t="array" ref="AX9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4" s="84" cm="1">
        <f t="array" ref="AY9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4" s="84" cm="1">
        <f t="array" ref="AZ9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994" s="84" cm="1">
        <f t="array" ref="BA9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4" s="84" cm="1">
        <f t="array" ref="BB9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4" s="84">
        <f>IF(SUM(Table3[[#This Row],[Column2]:[Column18]])&gt;Table3[[#This Row],[Column19]],Table3[[#This Row],[Column19]],SUM(Table3[[#This Row],[Column2]:[Column18]]))</f>
        <v>50000</v>
      </c>
      <c r="BD994" s="2">
        <f>Table3[[#This Row],[Total Spend]]/SUM(Table3[[#This Row],[Column2]:[Column18]])</f>
        <v>0.26021337496747332</v>
      </c>
    </row>
    <row r="995" spans="1:56">
      <c r="A995" s="84" t="s">
        <v>1069</v>
      </c>
      <c r="B995" s="84" t="s">
        <v>57</v>
      </c>
      <c r="C995" s="84" t="s">
        <v>57</v>
      </c>
      <c r="D995" s="85">
        <v>45566</v>
      </c>
      <c r="E995" s="85" t="s">
        <v>92</v>
      </c>
      <c r="F995" s="84">
        <f>INDEX(Definitions!$G$13:$G$17,MATCH(Table3[[#This Row],[Propensity to buy/ buyer readiness]],Definitions!$A$13:$A$17,0))</f>
        <v>50000</v>
      </c>
      <c r="G995" s="86">
        <v>3</v>
      </c>
      <c r="H995" s="86">
        <v>3</v>
      </c>
      <c r="I995" s="86">
        <v>4</v>
      </c>
      <c r="J995" s="86">
        <v>3</v>
      </c>
      <c r="K995" s="86">
        <v>3</v>
      </c>
      <c r="L995" s="86">
        <f>SUM(Table3[[#This Row],[Strategic priority segment]:[Propensity to buy/ buyer readiness]])</f>
        <v>16</v>
      </c>
      <c r="M995" s="86" t="s">
        <v>152</v>
      </c>
      <c r="N995" s="84" t="s">
        <v>130</v>
      </c>
      <c r="O995" s="84"/>
      <c r="P995" s="87"/>
      <c r="Q995" s="87"/>
      <c r="R995" s="84"/>
      <c r="S995" s="84"/>
      <c r="T995" s="87"/>
      <c r="U995" s="84">
        <v>1</v>
      </c>
      <c r="V995" s="84">
        <v>0</v>
      </c>
      <c r="W995" s="84">
        <v>0</v>
      </c>
      <c r="X995" s="84">
        <v>0</v>
      </c>
      <c r="Y995" s="84">
        <v>0</v>
      </c>
      <c r="Z995" s="84">
        <v>0</v>
      </c>
      <c r="AA995" s="84">
        <v>0</v>
      </c>
      <c r="AB995" s="84">
        <v>0</v>
      </c>
      <c r="AC995" s="84">
        <v>0</v>
      </c>
      <c r="AD995" s="84">
        <v>0</v>
      </c>
      <c r="AE995" s="84">
        <v>0</v>
      </c>
      <c r="AF995" s="84">
        <v>0</v>
      </c>
      <c r="AG995" s="84">
        <v>0</v>
      </c>
      <c r="AH995" s="84">
        <v>0</v>
      </c>
      <c r="AI995" s="84">
        <v>0</v>
      </c>
      <c r="AJ995" s="84">
        <v>0</v>
      </c>
      <c r="AK995" s="84">
        <v>0</v>
      </c>
      <c r="AL995" s="84" cm="1">
        <f t="array" ref="AL9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995" s="84" cm="1">
        <f t="array" ref="AM9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5" s="84" cm="1">
        <f t="array" ref="AN9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5" s="84" cm="1">
        <f t="array" ref="AO9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5" s="84" cm="1">
        <f t="array" ref="AP9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5" s="84" cm="1">
        <f t="array" ref="AQ9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5" s="84" cm="1">
        <f t="array" ref="AR9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5" s="84" cm="1">
        <f t="array" ref="AS9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5" s="84" cm="1">
        <f t="array" ref="AT9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5" s="84" cm="1">
        <f t="array" ref="AU9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5" s="84" cm="1">
        <f t="array" ref="AV9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5" s="84" cm="1">
        <f t="array" ref="AW9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5" s="84" cm="1">
        <f t="array" ref="AX9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5" s="84" cm="1">
        <f t="array" ref="AY9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5" s="84" cm="1">
        <f t="array" ref="AZ9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5" s="84" cm="1">
        <f t="array" ref="BA9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5" s="84" cm="1">
        <f t="array" ref="BB9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5" s="84">
        <f>IF(SUM(Table3[[#This Row],[Column2]:[Column18]])&gt;Table3[[#This Row],[Column19]],Table3[[#This Row],[Column19]],SUM(Table3[[#This Row],[Column2]:[Column18]]))</f>
        <v>8100</v>
      </c>
      <c r="BD995" s="2">
        <f>Table3[[#This Row],[Total Spend]]/SUM(Table3[[#This Row],[Column2]:[Column18]])</f>
        <v>1</v>
      </c>
    </row>
    <row r="996" spans="1:56">
      <c r="A996" s="84" t="s">
        <v>1070</v>
      </c>
      <c r="B996" s="84" t="s">
        <v>57</v>
      </c>
      <c r="C996" s="84"/>
      <c r="D996" s="85">
        <v>45566</v>
      </c>
      <c r="E996" s="85" t="s">
        <v>58</v>
      </c>
      <c r="F996" s="84">
        <f>INDEX(Definitions!$G$13:$G$17,MATCH(Table3[[#This Row],[Propensity to buy/ buyer readiness]],Definitions!$A$13:$A$17,0))</f>
        <v>50000</v>
      </c>
      <c r="G996" s="86">
        <v>3</v>
      </c>
      <c r="H996" s="86">
        <v>3</v>
      </c>
      <c r="I996" s="86">
        <v>4</v>
      </c>
      <c r="J996" s="86">
        <v>3</v>
      </c>
      <c r="K996" s="86">
        <v>3</v>
      </c>
      <c r="L996" s="86">
        <f>SUM(Table3[[#This Row],[Strategic priority segment]:[Propensity to buy/ buyer readiness]])</f>
        <v>16</v>
      </c>
      <c r="M996" s="86" t="s">
        <v>152</v>
      </c>
      <c r="N996" s="84" t="s">
        <v>130</v>
      </c>
      <c r="O996" s="84"/>
      <c r="P996" s="87"/>
      <c r="Q996" s="87"/>
      <c r="R996" s="84"/>
      <c r="S996" s="84"/>
      <c r="T996" s="84"/>
      <c r="U996" s="84">
        <v>1</v>
      </c>
      <c r="V996" s="84">
        <v>0</v>
      </c>
      <c r="W996" s="84">
        <v>0</v>
      </c>
      <c r="X996" s="84">
        <v>0</v>
      </c>
      <c r="Y996" s="84">
        <v>0</v>
      </c>
      <c r="Z996" s="84">
        <v>0</v>
      </c>
      <c r="AA996" s="84">
        <v>0</v>
      </c>
      <c r="AB996" s="84">
        <v>0</v>
      </c>
      <c r="AC996" s="84">
        <v>0</v>
      </c>
      <c r="AD996" s="84">
        <v>0</v>
      </c>
      <c r="AE996" s="84">
        <v>0</v>
      </c>
      <c r="AF996" s="84">
        <v>0</v>
      </c>
      <c r="AG996" s="84">
        <v>0</v>
      </c>
      <c r="AH996" s="84">
        <v>0</v>
      </c>
      <c r="AI996" s="84">
        <v>0</v>
      </c>
      <c r="AJ996" s="84">
        <v>0</v>
      </c>
      <c r="AK996" s="84">
        <v>0</v>
      </c>
      <c r="AL996" s="84" cm="1">
        <f t="array" ref="AL9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6" s="84" cm="1">
        <f t="array" ref="AM9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6" s="84" cm="1">
        <f t="array" ref="AN9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6" s="84" cm="1">
        <f t="array" ref="AO9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6" s="84" cm="1">
        <f t="array" ref="AP9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6" s="84" cm="1">
        <f t="array" ref="AQ9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6" s="84" cm="1">
        <f t="array" ref="AR9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6" s="84" cm="1">
        <f t="array" ref="AS9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6" s="84" cm="1">
        <f t="array" ref="AT9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6" s="84" cm="1">
        <f t="array" ref="AU9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6" s="84" cm="1">
        <f t="array" ref="AV9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6" s="84" cm="1">
        <f t="array" ref="AW9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6" s="84" cm="1">
        <f t="array" ref="AX9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6" s="84" cm="1">
        <f t="array" ref="AY9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6" s="84" cm="1">
        <f t="array" ref="AZ9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6" s="84" cm="1">
        <f t="array" ref="BA9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6" s="84" cm="1">
        <f t="array" ref="BB9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6" s="84">
        <f>IF(SUM(Table3[[#This Row],[Column2]:[Column18]])&gt;Table3[[#This Row],[Column19]],Table3[[#This Row],[Column19]],SUM(Table3[[#This Row],[Column2]:[Column18]]))</f>
        <v>10800</v>
      </c>
      <c r="BD996" s="2">
        <f>Table3[[#This Row],[Total Spend]]/SUM(Table3[[#This Row],[Column2]:[Column18]])</f>
        <v>1</v>
      </c>
    </row>
    <row r="997" spans="1:56">
      <c r="A997" s="84" t="s">
        <v>1071</v>
      </c>
      <c r="B997" s="84" t="s">
        <v>57</v>
      </c>
      <c r="C997" s="84"/>
      <c r="D997" s="85">
        <v>45566</v>
      </c>
      <c r="E997" s="85" t="s">
        <v>58</v>
      </c>
      <c r="F997" s="84">
        <f>INDEX(Definitions!$G$13:$G$17,MATCH(Table3[[#This Row],[Propensity to buy/ buyer readiness]],Definitions!$A$13:$A$17,0))</f>
        <v>50000</v>
      </c>
      <c r="G997" s="86">
        <v>3</v>
      </c>
      <c r="H997" s="86">
        <v>3</v>
      </c>
      <c r="I997" s="86">
        <v>4</v>
      </c>
      <c r="J997" s="86">
        <v>3</v>
      </c>
      <c r="K997" s="86">
        <v>3</v>
      </c>
      <c r="L997" s="86">
        <f>SUM(Table3[[#This Row],[Strategic priority segment]:[Propensity to buy/ buyer readiness]])</f>
        <v>16</v>
      </c>
      <c r="M997" s="86" t="s">
        <v>152</v>
      </c>
      <c r="N997" s="84" t="s">
        <v>264</v>
      </c>
      <c r="O997" s="84"/>
      <c r="P997" s="87"/>
      <c r="Q997" s="87"/>
      <c r="R997" s="84"/>
      <c r="S997" s="84"/>
      <c r="T997" s="87"/>
      <c r="U997" s="84">
        <v>1</v>
      </c>
      <c r="V997" s="84">
        <v>0</v>
      </c>
      <c r="W997" s="84">
        <v>0</v>
      </c>
      <c r="X997" s="84">
        <v>0</v>
      </c>
      <c r="Y997" s="84">
        <v>0</v>
      </c>
      <c r="Z997" s="84">
        <v>0</v>
      </c>
      <c r="AA997" s="84">
        <v>0</v>
      </c>
      <c r="AB997" s="84">
        <v>0</v>
      </c>
      <c r="AC997" s="84">
        <v>0</v>
      </c>
      <c r="AD997" s="84">
        <v>0</v>
      </c>
      <c r="AE997" s="84">
        <v>0</v>
      </c>
      <c r="AF997" s="84">
        <v>0</v>
      </c>
      <c r="AG997" s="84">
        <v>0</v>
      </c>
      <c r="AH997" s="84">
        <v>0</v>
      </c>
      <c r="AI997" s="84">
        <v>0</v>
      </c>
      <c r="AJ997" s="84">
        <v>0</v>
      </c>
      <c r="AK997" s="84">
        <v>0</v>
      </c>
      <c r="AL997" s="84" cm="1">
        <f t="array" ref="AL9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7" s="84" cm="1">
        <f t="array" ref="AM9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7" s="84" cm="1">
        <f t="array" ref="AN9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7" s="84" cm="1">
        <f t="array" ref="AO9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7" s="84" cm="1">
        <f t="array" ref="AP9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7" s="84" cm="1">
        <f t="array" ref="AQ9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7" s="84" cm="1">
        <f t="array" ref="AR9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7" s="84" cm="1">
        <f t="array" ref="AS9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7" s="84" cm="1">
        <f t="array" ref="AT9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7" s="84" cm="1">
        <f t="array" ref="AU9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7" s="84" cm="1">
        <f t="array" ref="AV9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7" s="84" cm="1">
        <f t="array" ref="AW9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7" s="84" cm="1">
        <f t="array" ref="AX9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7" s="84" cm="1">
        <f t="array" ref="AY9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7" s="84" cm="1">
        <f t="array" ref="AZ9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7" s="84" cm="1">
        <f t="array" ref="BA9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7" s="84" cm="1">
        <f t="array" ref="BB9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7" s="84">
        <f>IF(SUM(Table3[[#This Row],[Column2]:[Column18]])&gt;Table3[[#This Row],[Column19]],Table3[[#This Row],[Column19]],SUM(Table3[[#This Row],[Column2]:[Column18]]))</f>
        <v>10800</v>
      </c>
      <c r="BD997" s="2">
        <f>Table3[[#This Row],[Total Spend]]/SUM(Table3[[#This Row],[Column2]:[Column18]])</f>
        <v>1</v>
      </c>
    </row>
    <row r="998" spans="1:56">
      <c r="A998" s="84" t="s">
        <v>1072</v>
      </c>
      <c r="B998" s="84" t="s">
        <v>57</v>
      </c>
      <c r="C998" s="84"/>
      <c r="D998" s="85">
        <v>45566</v>
      </c>
      <c r="E998" s="85" t="s">
        <v>58</v>
      </c>
      <c r="F998" s="84">
        <f>INDEX(Definitions!$G$13:$G$17,MATCH(Table3[[#This Row],[Propensity to buy/ buyer readiness]],Definitions!$A$13:$A$17,0))</f>
        <v>50000</v>
      </c>
      <c r="G998" s="86">
        <v>3</v>
      </c>
      <c r="H998" s="86">
        <v>3</v>
      </c>
      <c r="I998" s="86">
        <v>4</v>
      </c>
      <c r="J998" s="86">
        <v>3</v>
      </c>
      <c r="K998" s="86">
        <v>3</v>
      </c>
      <c r="L998" s="86">
        <f>SUM(Table3[[#This Row],[Strategic priority segment]:[Propensity to buy/ buyer readiness]])</f>
        <v>16</v>
      </c>
      <c r="M998" s="86" t="s">
        <v>152</v>
      </c>
      <c r="N998" s="84" t="s">
        <v>264</v>
      </c>
      <c r="O998" s="84"/>
      <c r="P998" s="87"/>
      <c r="Q998" s="87"/>
      <c r="R998" s="84"/>
      <c r="S998" s="84"/>
      <c r="T998" s="87"/>
      <c r="U998" s="84">
        <v>1</v>
      </c>
      <c r="V998" s="84">
        <v>0</v>
      </c>
      <c r="W998" s="84">
        <v>0</v>
      </c>
      <c r="X998" s="84">
        <v>0</v>
      </c>
      <c r="Y998" s="84">
        <v>0</v>
      </c>
      <c r="Z998" s="84">
        <v>0</v>
      </c>
      <c r="AA998" s="84">
        <v>0</v>
      </c>
      <c r="AB998" s="84">
        <v>0</v>
      </c>
      <c r="AC998" s="84">
        <v>0</v>
      </c>
      <c r="AD998" s="84">
        <v>0</v>
      </c>
      <c r="AE998" s="84">
        <v>0</v>
      </c>
      <c r="AF998" s="84">
        <v>0</v>
      </c>
      <c r="AG998" s="84">
        <v>0</v>
      </c>
      <c r="AH998" s="84">
        <v>0</v>
      </c>
      <c r="AI998" s="84">
        <v>0</v>
      </c>
      <c r="AJ998" s="84">
        <v>0</v>
      </c>
      <c r="AK998" s="84">
        <v>0</v>
      </c>
      <c r="AL998" s="84" cm="1">
        <f t="array" ref="AL9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8" s="84" cm="1">
        <f t="array" ref="AM9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8" s="84" cm="1">
        <f t="array" ref="AN9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8" s="84" cm="1">
        <f t="array" ref="AO9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8" s="84" cm="1">
        <f t="array" ref="AP9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8" s="84" cm="1">
        <f t="array" ref="AQ9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998" s="84" cm="1">
        <f t="array" ref="AR9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8" s="84" cm="1">
        <f t="array" ref="AS9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998" s="84" cm="1">
        <f t="array" ref="AT9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8" s="84" cm="1">
        <f t="array" ref="AU9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998" s="84" cm="1">
        <f t="array" ref="AV9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8" s="84" cm="1">
        <f t="array" ref="AW9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998" s="84" cm="1">
        <f t="array" ref="AX9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8" s="84" cm="1">
        <f t="array" ref="AY9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8" s="84" cm="1">
        <f t="array" ref="AZ9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8" s="84" cm="1">
        <f t="array" ref="BA9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8" s="84" cm="1">
        <f t="array" ref="BB9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8" s="84">
        <f>IF(SUM(Table3[[#This Row],[Column2]:[Column18]])&gt;Table3[[#This Row],[Column19]],Table3[[#This Row],[Column19]],SUM(Table3[[#This Row],[Column2]:[Column18]]))</f>
        <v>10800</v>
      </c>
      <c r="BD998" s="2">
        <f>Table3[[#This Row],[Total Spend]]/SUM(Table3[[#This Row],[Column2]:[Column18]])</f>
        <v>1</v>
      </c>
    </row>
    <row r="999" spans="1:56">
      <c r="A999" s="84" t="s">
        <v>1073</v>
      </c>
      <c r="B999" s="84"/>
      <c r="C999" s="84"/>
      <c r="D999" s="85">
        <v>45566</v>
      </c>
      <c r="E999" s="85" t="s">
        <v>58</v>
      </c>
      <c r="F999" s="84">
        <f>INDEX(Definitions!$G$13:$G$17,MATCH(Table3[[#This Row],[Propensity to buy/ buyer readiness]],Definitions!$A$13:$A$17,0))</f>
        <v>150000</v>
      </c>
      <c r="G999" s="86">
        <v>3</v>
      </c>
      <c r="H999" s="86">
        <v>3</v>
      </c>
      <c r="I999" s="86">
        <v>3</v>
      </c>
      <c r="J999" s="86">
        <v>3</v>
      </c>
      <c r="K999" s="86">
        <v>4</v>
      </c>
      <c r="L999" s="86">
        <f>SUM(Table3[[#This Row],[Strategic priority segment]:[Propensity to buy/ buyer readiness]])</f>
        <v>16</v>
      </c>
      <c r="M999" s="86" t="s">
        <v>152</v>
      </c>
      <c r="N999" s="84" t="s">
        <v>122</v>
      </c>
      <c r="O999" s="87"/>
      <c r="P999" s="87"/>
      <c r="Q999" s="87"/>
      <c r="R999" s="87"/>
      <c r="S999" s="87"/>
      <c r="T999" s="87"/>
      <c r="U999" s="84">
        <v>1</v>
      </c>
      <c r="V999" s="84">
        <v>0</v>
      </c>
      <c r="W999" s="84">
        <v>0</v>
      </c>
      <c r="X999" s="84">
        <v>0</v>
      </c>
      <c r="Y999" s="84">
        <v>0</v>
      </c>
      <c r="Z999" s="84">
        <v>1</v>
      </c>
      <c r="AA999" s="84">
        <v>0</v>
      </c>
      <c r="AB999" s="84">
        <v>1</v>
      </c>
      <c r="AC999" s="84">
        <v>0</v>
      </c>
      <c r="AD999" s="84">
        <v>1</v>
      </c>
      <c r="AE999" s="84">
        <v>0</v>
      </c>
      <c r="AF999" s="84">
        <v>1</v>
      </c>
      <c r="AG999" s="84">
        <v>0</v>
      </c>
      <c r="AH999" s="84">
        <v>0</v>
      </c>
      <c r="AI999" s="84">
        <v>0</v>
      </c>
      <c r="AJ999" s="84">
        <v>0</v>
      </c>
      <c r="AK999" s="84">
        <v>0</v>
      </c>
      <c r="AL999" s="84" cm="1">
        <f t="array" ref="AL9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999" s="84" cm="1">
        <f t="array" ref="AM9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999" s="84" cm="1">
        <f t="array" ref="AN9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999" s="84" cm="1">
        <f t="array" ref="AO9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999" s="84" cm="1">
        <f t="array" ref="AP9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999" s="84" cm="1">
        <f t="array" ref="AQ9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999" s="84" cm="1">
        <f t="array" ref="AR9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999" s="84" cm="1">
        <f t="array" ref="AS9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999" s="84" cm="1">
        <f t="array" ref="AT9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999" s="84" cm="1">
        <f t="array" ref="AU9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999" s="84" cm="1">
        <f t="array" ref="AV9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999" s="84" cm="1">
        <f t="array" ref="AW9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999" s="84" cm="1">
        <f t="array" ref="AX9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999" s="84" cm="1">
        <f t="array" ref="AY9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999" s="84" cm="1">
        <f t="array" ref="AZ9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999" s="84" cm="1">
        <f t="array" ref="BA9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999" s="84" cm="1">
        <f t="array" ref="BB9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999" s="84">
        <f>IF(SUM(Table3[[#This Row],[Column2]:[Column18]])&gt;Table3[[#This Row],[Column19]],Table3[[#This Row],[Column19]],SUM(Table3[[#This Row],[Column2]:[Column18]]))</f>
        <v>150000</v>
      </c>
      <c r="BD999" s="2">
        <f>Table3[[#This Row],[Total Spend]]/SUM(Table3[[#This Row],[Column2]:[Column18]])</f>
        <v>0.89605734767025091</v>
      </c>
    </row>
    <row r="1000" spans="1:56">
      <c r="A1000" s="84" t="s">
        <v>1074</v>
      </c>
      <c r="B1000" s="84" t="s">
        <v>57</v>
      </c>
      <c r="C1000" s="84"/>
      <c r="D1000" s="85">
        <v>45566</v>
      </c>
      <c r="E1000" s="85" t="s">
        <v>58</v>
      </c>
      <c r="F1000" s="84">
        <f>INDEX(Definitions!$G$13:$G$17,MATCH(Table3[[#This Row],[Propensity to buy/ buyer readiness]],Definitions!$A$13:$A$17,0))</f>
        <v>50000</v>
      </c>
      <c r="G1000" s="86">
        <v>3</v>
      </c>
      <c r="H1000" s="86">
        <v>3</v>
      </c>
      <c r="I1000" s="86">
        <v>4</v>
      </c>
      <c r="J1000" s="86">
        <v>3</v>
      </c>
      <c r="K1000" s="86">
        <v>3</v>
      </c>
      <c r="L1000" s="86">
        <f>SUM(Table3[[#This Row],[Strategic priority segment]:[Propensity to buy/ buyer readiness]])</f>
        <v>16</v>
      </c>
      <c r="M1000" s="86" t="s">
        <v>152</v>
      </c>
      <c r="N1000" s="84" t="s">
        <v>264</v>
      </c>
      <c r="O1000" s="84"/>
      <c r="P1000" s="87"/>
      <c r="Q1000" s="87"/>
      <c r="R1000" s="84"/>
      <c r="S1000" s="84"/>
      <c r="T1000" s="84"/>
      <c r="U1000" s="84">
        <v>1</v>
      </c>
      <c r="V1000" s="84">
        <v>0</v>
      </c>
      <c r="W1000" s="84">
        <v>0</v>
      </c>
      <c r="X1000" s="84">
        <v>0</v>
      </c>
      <c r="Y1000" s="84">
        <v>0</v>
      </c>
      <c r="Z1000" s="84">
        <v>0</v>
      </c>
      <c r="AA1000" s="84">
        <v>0</v>
      </c>
      <c r="AB1000" s="84">
        <v>0</v>
      </c>
      <c r="AC1000" s="84">
        <v>0</v>
      </c>
      <c r="AD1000" s="84">
        <v>0</v>
      </c>
      <c r="AE1000" s="84">
        <v>0</v>
      </c>
      <c r="AF1000" s="84">
        <v>0</v>
      </c>
      <c r="AG1000" s="84">
        <v>0</v>
      </c>
      <c r="AH1000" s="84">
        <v>0</v>
      </c>
      <c r="AI1000" s="84">
        <v>0</v>
      </c>
      <c r="AJ1000" s="84">
        <v>0</v>
      </c>
      <c r="AK1000" s="84">
        <v>0</v>
      </c>
      <c r="AL1000" s="84" cm="1">
        <f t="array" ref="AL10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00" s="84" cm="1">
        <f t="array" ref="AM10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00" s="84" cm="1">
        <f t="array" ref="AN10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00" s="84" cm="1">
        <f t="array" ref="AO10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00" s="84" cm="1">
        <f t="array" ref="AP10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0" s="84" cm="1">
        <f t="array" ref="AQ10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0" s="84" cm="1">
        <f t="array" ref="AR10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0" s="84" cm="1">
        <f t="array" ref="AS10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0" s="84" cm="1">
        <f t="array" ref="AT10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0" s="84" cm="1">
        <f t="array" ref="AU10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0" s="84" cm="1">
        <f t="array" ref="AV10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0" s="84" cm="1">
        <f t="array" ref="AW10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0" s="84" cm="1">
        <f t="array" ref="AX10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0" s="84" cm="1">
        <f t="array" ref="AY10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0" s="84" cm="1">
        <f t="array" ref="AZ10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00" s="84" cm="1">
        <f t="array" ref="BA10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0" s="84" cm="1">
        <f t="array" ref="BB10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0" s="84">
        <f>IF(SUM(Table3[[#This Row],[Column2]:[Column18]])&gt;Table3[[#This Row],[Column19]],Table3[[#This Row],[Column19]],SUM(Table3[[#This Row],[Column2]:[Column18]]))</f>
        <v>10800</v>
      </c>
      <c r="BD1000" s="2">
        <f>Table3[[#This Row],[Total Spend]]/SUM(Table3[[#This Row],[Column2]:[Column18]])</f>
        <v>1</v>
      </c>
    </row>
    <row r="1001" spans="1:56">
      <c r="A1001" s="84" t="s">
        <v>1075</v>
      </c>
      <c r="B1001" s="84"/>
      <c r="C1001" s="84"/>
      <c r="D1001" s="85">
        <v>45566</v>
      </c>
      <c r="E1001" s="85" t="s">
        <v>92</v>
      </c>
      <c r="F1001" s="84">
        <f>INDEX(Definitions!$G$13:$G$17,MATCH(Table3[[#This Row],[Propensity to buy/ buyer readiness]],Definitions!$A$13:$A$17,0))</f>
        <v>50000</v>
      </c>
      <c r="G1001" s="86">
        <v>4</v>
      </c>
      <c r="H1001" s="86">
        <v>3</v>
      </c>
      <c r="I1001" s="86">
        <v>3</v>
      </c>
      <c r="J1001" s="86">
        <v>3</v>
      </c>
      <c r="K1001" s="86">
        <v>3</v>
      </c>
      <c r="L1001" s="86">
        <f>SUM(Table3[[#This Row],[Strategic priority segment]:[Propensity to buy/ buyer readiness]])</f>
        <v>16</v>
      </c>
      <c r="M1001" s="86" t="s">
        <v>191</v>
      </c>
      <c r="N1001" s="84" t="s">
        <v>76</v>
      </c>
      <c r="O1001" s="84" t="s">
        <v>135</v>
      </c>
      <c r="P1001" s="84"/>
      <c r="Q1001" s="84"/>
      <c r="R1001" s="84"/>
      <c r="S1001" s="87"/>
      <c r="T1001" s="84"/>
      <c r="U1001" s="84">
        <v>0</v>
      </c>
      <c r="V1001" s="84">
        <v>0</v>
      </c>
      <c r="W1001" s="84">
        <v>0</v>
      </c>
      <c r="X1001" s="84">
        <v>0</v>
      </c>
      <c r="Y1001" s="84">
        <v>0</v>
      </c>
      <c r="Z1001" s="84">
        <v>0</v>
      </c>
      <c r="AA1001" s="84">
        <v>0</v>
      </c>
      <c r="AB1001" s="84">
        <v>0</v>
      </c>
      <c r="AC1001" s="84">
        <v>0</v>
      </c>
      <c r="AD1001" s="84">
        <v>0</v>
      </c>
      <c r="AE1001" s="84">
        <v>0</v>
      </c>
      <c r="AF1001" s="84">
        <v>0</v>
      </c>
      <c r="AG1001" s="84">
        <v>0</v>
      </c>
      <c r="AH1001" s="84">
        <v>1</v>
      </c>
      <c r="AI1001" s="84">
        <v>1</v>
      </c>
      <c r="AJ1001" s="84">
        <v>1</v>
      </c>
      <c r="AK1001" s="84">
        <v>1</v>
      </c>
      <c r="AL1001" s="84" cm="1">
        <f t="array" ref="AL10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01" s="84" cm="1">
        <f t="array" ref="AM10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01" s="84" cm="1">
        <f t="array" ref="AN10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01" s="84" cm="1">
        <f t="array" ref="AO10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01" s="84" cm="1">
        <f t="array" ref="AP10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1" s="84" cm="1">
        <f t="array" ref="AQ10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1" s="84" cm="1">
        <f t="array" ref="AR10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1" s="84" cm="1">
        <f t="array" ref="AS10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1" s="84" cm="1">
        <f t="array" ref="AT10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1" s="84" cm="1">
        <f t="array" ref="AU10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1" s="84" cm="1">
        <f t="array" ref="AV10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1" s="84" cm="1">
        <f t="array" ref="AW10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1" s="84" cm="1">
        <f t="array" ref="AX10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1" s="84" cm="1">
        <f t="array" ref="AY10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01" s="84" cm="1">
        <f t="array" ref="AZ10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1" s="84" cm="1">
        <f t="array" ref="BA10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01" s="84" cm="1">
        <f t="array" ref="BB10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01" s="84">
        <f>IF(SUM(Table3[[#This Row],[Column2]:[Column18]])&gt;Table3[[#This Row],[Column19]],Table3[[#This Row],[Column19]],SUM(Table3[[#This Row],[Column2]:[Column18]]))</f>
        <v>46350</v>
      </c>
      <c r="BD1001" s="2">
        <f>Table3[[#This Row],[Total Spend]]/SUM(Table3[[#This Row],[Column2]:[Column18]])</f>
        <v>1</v>
      </c>
    </row>
    <row r="1002" spans="1:56">
      <c r="A1002" s="84" t="s">
        <v>1076</v>
      </c>
      <c r="B1002" s="84" t="s">
        <v>57</v>
      </c>
      <c r="C1002" s="84"/>
      <c r="D1002" s="85">
        <v>45566</v>
      </c>
      <c r="E1002" s="85" t="s">
        <v>58</v>
      </c>
      <c r="F1002" s="84">
        <f>INDEX(Definitions!$G$13:$G$17,MATCH(Table3[[#This Row],[Propensity to buy/ buyer readiness]],Definitions!$A$13:$A$17,0))</f>
        <v>50000</v>
      </c>
      <c r="G1002" s="86">
        <v>3</v>
      </c>
      <c r="H1002" s="86">
        <v>3</v>
      </c>
      <c r="I1002" s="86">
        <v>4</v>
      </c>
      <c r="J1002" s="86">
        <v>3</v>
      </c>
      <c r="K1002" s="86">
        <v>3</v>
      </c>
      <c r="L1002" s="86">
        <f>SUM(Table3[[#This Row],[Strategic priority segment]:[Propensity to buy/ buyer readiness]])</f>
        <v>16</v>
      </c>
      <c r="M1002" s="86" t="s">
        <v>152</v>
      </c>
      <c r="N1002" s="84" t="s">
        <v>264</v>
      </c>
      <c r="O1002" s="84"/>
      <c r="P1002" s="87"/>
      <c r="Q1002" s="87"/>
      <c r="R1002" s="84"/>
      <c r="S1002" s="84"/>
      <c r="T1002" s="87"/>
      <c r="U1002" s="84">
        <v>1</v>
      </c>
      <c r="V1002" s="84">
        <v>0</v>
      </c>
      <c r="W1002" s="84">
        <v>0</v>
      </c>
      <c r="X1002" s="84">
        <v>0</v>
      </c>
      <c r="Y1002" s="84">
        <v>0</v>
      </c>
      <c r="Z1002" s="84">
        <v>0</v>
      </c>
      <c r="AA1002" s="84">
        <v>0</v>
      </c>
      <c r="AB1002" s="84">
        <v>0</v>
      </c>
      <c r="AC1002" s="84">
        <v>0</v>
      </c>
      <c r="AD1002" s="84">
        <v>0</v>
      </c>
      <c r="AE1002" s="84">
        <v>0</v>
      </c>
      <c r="AF1002" s="84">
        <v>0</v>
      </c>
      <c r="AG1002" s="84">
        <v>0</v>
      </c>
      <c r="AH1002" s="84">
        <v>0</v>
      </c>
      <c r="AI1002" s="84">
        <v>0</v>
      </c>
      <c r="AJ1002" s="84">
        <v>0</v>
      </c>
      <c r="AK1002" s="84">
        <v>0</v>
      </c>
      <c r="AL1002" s="84" cm="1">
        <f t="array" ref="AL10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02" s="84" cm="1">
        <f t="array" ref="AM10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02" s="84" cm="1">
        <f t="array" ref="AN10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02" s="84" cm="1">
        <f t="array" ref="AO10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02" s="84" cm="1">
        <f t="array" ref="AP10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2" s="84" cm="1">
        <f t="array" ref="AQ10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2" s="84" cm="1">
        <f t="array" ref="AR10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2" s="84" cm="1">
        <f t="array" ref="AS10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2" s="84" cm="1">
        <f t="array" ref="AT10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2" s="84" cm="1">
        <f t="array" ref="AU10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2" s="84" cm="1">
        <f t="array" ref="AV10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2" s="84" cm="1">
        <f t="array" ref="AW10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2" s="84" cm="1">
        <f t="array" ref="AX10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2" s="84" cm="1">
        <f t="array" ref="AY10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2" s="84" cm="1">
        <f t="array" ref="AZ10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02" s="84" cm="1">
        <f t="array" ref="BA10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2" s="84" cm="1">
        <f t="array" ref="BB10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2" s="84">
        <f>IF(SUM(Table3[[#This Row],[Column2]:[Column18]])&gt;Table3[[#This Row],[Column19]],Table3[[#This Row],[Column19]],SUM(Table3[[#This Row],[Column2]:[Column18]]))</f>
        <v>10800</v>
      </c>
      <c r="BD1002" s="2">
        <f>Table3[[#This Row],[Total Spend]]/SUM(Table3[[#This Row],[Column2]:[Column18]])</f>
        <v>1</v>
      </c>
    </row>
    <row r="1003" spans="1:56">
      <c r="A1003" s="84" t="s">
        <v>1077</v>
      </c>
      <c r="B1003" s="84" t="s">
        <v>57</v>
      </c>
      <c r="C1003" s="84"/>
      <c r="D1003" s="85">
        <v>45566</v>
      </c>
      <c r="E1003" s="85" t="s">
        <v>92</v>
      </c>
      <c r="F1003" s="84">
        <f>INDEX(Definitions!$G$13:$G$17,MATCH(Table3[[#This Row],[Propensity to buy/ buyer readiness]],Definitions!$A$13:$A$17,0))</f>
        <v>10000</v>
      </c>
      <c r="G1003" s="86">
        <v>3</v>
      </c>
      <c r="H1003" s="86">
        <v>3</v>
      </c>
      <c r="I1003" s="86">
        <v>4</v>
      </c>
      <c r="J1003" s="86">
        <v>4</v>
      </c>
      <c r="K1003" s="86">
        <v>2</v>
      </c>
      <c r="L1003" s="86">
        <f>SUM(Table3[[#This Row],[Strategic priority segment]:[Propensity to buy/ buyer readiness]])</f>
        <v>16</v>
      </c>
      <c r="M1003" s="86" t="s">
        <v>59</v>
      </c>
      <c r="N1003" s="84" t="s">
        <v>265</v>
      </c>
      <c r="O1003" s="84"/>
      <c r="P1003" s="87"/>
      <c r="Q1003" s="87"/>
      <c r="R1003" s="84"/>
      <c r="S1003" s="84"/>
      <c r="T1003" s="84"/>
      <c r="U1003" s="84">
        <v>1</v>
      </c>
      <c r="V1003" s="84">
        <v>1</v>
      </c>
      <c r="W1003" s="84">
        <v>1</v>
      </c>
      <c r="X1003" s="84">
        <v>1</v>
      </c>
      <c r="Y1003" s="84">
        <v>0</v>
      </c>
      <c r="Z1003" s="84">
        <v>0</v>
      </c>
      <c r="AA1003" s="84">
        <v>0</v>
      </c>
      <c r="AB1003" s="84">
        <v>0</v>
      </c>
      <c r="AC1003" s="84">
        <v>0</v>
      </c>
      <c r="AD1003" s="84">
        <v>0</v>
      </c>
      <c r="AE1003" s="84">
        <v>0</v>
      </c>
      <c r="AF1003" s="84">
        <v>0</v>
      </c>
      <c r="AG1003" s="84">
        <v>0</v>
      </c>
      <c r="AH1003" s="84">
        <v>0</v>
      </c>
      <c r="AI1003" s="84">
        <v>1</v>
      </c>
      <c r="AJ1003" s="84">
        <v>0</v>
      </c>
      <c r="AK1003" s="84">
        <v>0</v>
      </c>
      <c r="AL1003" s="84" cm="1">
        <f t="array" ref="AL10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03" s="84" cm="1">
        <f t="array" ref="AM10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03" s="84" cm="1">
        <f t="array" ref="AN10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03" s="84" cm="1">
        <f t="array" ref="AO10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03" s="84" cm="1">
        <f t="array" ref="AP10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3" s="84" cm="1">
        <f t="array" ref="AQ10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3" s="84" cm="1">
        <f t="array" ref="AR10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3" s="84" cm="1">
        <f t="array" ref="AS10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3" s="84" cm="1">
        <f t="array" ref="AT10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3" s="84" cm="1">
        <f t="array" ref="AU10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3" s="84" cm="1">
        <f t="array" ref="AV10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3" s="84" cm="1">
        <f t="array" ref="AW10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3" s="84" cm="1">
        <f t="array" ref="AX10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3" s="84" cm="1">
        <f t="array" ref="AY10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3" s="84" cm="1">
        <f t="array" ref="AZ10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3" s="84" cm="1">
        <f t="array" ref="BA10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3" s="84" cm="1">
        <f t="array" ref="BB10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3" s="84">
        <f>IF(SUM(Table3[[#This Row],[Column2]:[Column18]])&gt;Table3[[#This Row],[Column19]],Table3[[#This Row],[Column19]],SUM(Table3[[#This Row],[Column2]:[Column18]]))</f>
        <v>10000</v>
      </c>
      <c r="BD1003" s="2">
        <f>Table3[[#This Row],[Total Spend]]/SUM(Table3[[#This Row],[Column2]:[Column18]])</f>
        <v>7.2859744990892539E-2</v>
      </c>
    </row>
    <row r="1004" spans="1:56">
      <c r="A1004" s="84" t="s">
        <v>1078</v>
      </c>
      <c r="B1004" s="84"/>
      <c r="C1004" s="84"/>
      <c r="D1004" s="85">
        <v>45566</v>
      </c>
      <c r="E1004" s="85" t="s">
        <v>92</v>
      </c>
      <c r="F1004" s="84">
        <f>INDEX(Definitions!$G$13:$G$17,MATCH(Table3[[#This Row],[Propensity to buy/ buyer readiness]],Definitions!$A$13:$A$17,0))</f>
        <v>50000</v>
      </c>
      <c r="G1004" s="86">
        <v>4</v>
      </c>
      <c r="H1004" s="86">
        <v>3</v>
      </c>
      <c r="I1004" s="86">
        <v>3</v>
      </c>
      <c r="J1004" s="86">
        <v>3</v>
      </c>
      <c r="K1004" s="86">
        <v>3</v>
      </c>
      <c r="L1004" s="86">
        <f>SUM(Table3[[#This Row],[Strategic priority segment]:[Propensity to buy/ buyer readiness]])</f>
        <v>16</v>
      </c>
      <c r="M1004" s="86" t="s">
        <v>191</v>
      </c>
      <c r="N1004" s="84" t="s">
        <v>76</v>
      </c>
      <c r="O1004" s="84" t="s">
        <v>135</v>
      </c>
      <c r="P1004" s="84"/>
      <c r="Q1004" s="84"/>
      <c r="R1004" s="84"/>
      <c r="S1004" s="87"/>
      <c r="T1004" s="87"/>
      <c r="U1004" s="84">
        <v>0</v>
      </c>
      <c r="V1004" s="84">
        <v>0</v>
      </c>
      <c r="W1004" s="84">
        <v>0</v>
      </c>
      <c r="X1004" s="84">
        <v>0</v>
      </c>
      <c r="Y1004" s="84">
        <v>0</v>
      </c>
      <c r="Z1004" s="84">
        <v>0</v>
      </c>
      <c r="AA1004" s="84">
        <v>0</v>
      </c>
      <c r="AB1004" s="84">
        <v>0</v>
      </c>
      <c r="AC1004" s="84">
        <v>0</v>
      </c>
      <c r="AD1004" s="84">
        <v>0</v>
      </c>
      <c r="AE1004" s="84">
        <v>0</v>
      </c>
      <c r="AF1004" s="84">
        <v>0</v>
      </c>
      <c r="AG1004" s="84">
        <v>0</v>
      </c>
      <c r="AH1004" s="84">
        <v>1</v>
      </c>
      <c r="AI1004" s="84">
        <v>1</v>
      </c>
      <c r="AJ1004" s="84">
        <v>1</v>
      </c>
      <c r="AK1004" s="84">
        <v>1</v>
      </c>
      <c r="AL1004" s="84" cm="1">
        <f t="array" ref="AL10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04" s="84" cm="1">
        <f t="array" ref="AM10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04" s="84" cm="1">
        <f t="array" ref="AN10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04" s="84" cm="1">
        <f t="array" ref="AO10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04" s="84" cm="1">
        <f t="array" ref="AP10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4" s="84" cm="1">
        <f t="array" ref="AQ10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4" s="84" cm="1">
        <f t="array" ref="AR10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4" s="84" cm="1">
        <f t="array" ref="AS10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4" s="84" cm="1">
        <f t="array" ref="AT10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4" s="84" cm="1">
        <f t="array" ref="AU10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4" s="84" cm="1">
        <f t="array" ref="AV10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4" s="84" cm="1">
        <f t="array" ref="AW10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4" s="84" cm="1">
        <f t="array" ref="AX10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4" s="84" cm="1">
        <f t="array" ref="AY10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04" s="84" cm="1">
        <f t="array" ref="AZ10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4" s="84" cm="1">
        <f t="array" ref="BA10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04" s="84" cm="1">
        <f t="array" ref="BB10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04" s="84">
        <f>IF(SUM(Table3[[#This Row],[Column2]:[Column18]])&gt;Table3[[#This Row],[Column19]],Table3[[#This Row],[Column19]],SUM(Table3[[#This Row],[Column2]:[Column18]]))</f>
        <v>46350</v>
      </c>
      <c r="BD1004" s="2">
        <f>Table3[[#This Row],[Total Spend]]/SUM(Table3[[#This Row],[Column2]:[Column18]])</f>
        <v>1</v>
      </c>
    </row>
    <row r="1005" spans="1:56">
      <c r="A1005" s="84" t="s">
        <v>1079</v>
      </c>
      <c r="B1005" s="84"/>
      <c r="C1005" s="84"/>
      <c r="D1005" s="85">
        <v>45566</v>
      </c>
      <c r="E1005" s="85" t="s">
        <v>58</v>
      </c>
      <c r="F1005" s="84">
        <f>INDEX(Definitions!$G$13:$G$17,MATCH(Table3[[#This Row],[Propensity to buy/ buyer readiness]],Definitions!$A$13:$A$17,0))</f>
        <v>50000</v>
      </c>
      <c r="G1005" s="86">
        <v>3</v>
      </c>
      <c r="H1005" s="86">
        <v>3</v>
      </c>
      <c r="I1005" s="86">
        <v>3</v>
      </c>
      <c r="J1005" s="86">
        <v>4</v>
      </c>
      <c r="K1005" s="86">
        <v>3</v>
      </c>
      <c r="L1005" s="86">
        <f>SUM(Table3[[#This Row],[Strategic priority segment]:[Propensity to buy/ buyer readiness]])</f>
        <v>16</v>
      </c>
      <c r="M1005" s="86" t="s">
        <v>59</v>
      </c>
      <c r="N1005" s="84" t="s">
        <v>265</v>
      </c>
      <c r="O1005" s="84"/>
      <c r="P1005" s="87"/>
      <c r="Q1005" s="87"/>
      <c r="R1005" s="84"/>
      <c r="S1005" s="87"/>
      <c r="T1005" s="84"/>
      <c r="U1005" s="84">
        <v>1</v>
      </c>
      <c r="V1005" s="84">
        <v>1</v>
      </c>
      <c r="W1005" s="84">
        <v>1</v>
      </c>
      <c r="X1005" s="84">
        <v>1</v>
      </c>
      <c r="Y1005" s="84">
        <v>0</v>
      </c>
      <c r="Z1005" s="84">
        <v>0</v>
      </c>
      <c r="AA1005" s="84">
        <v>0</v>
      </c>
      <c r="AB1005" s="84">
        <v>0</v>
      </c>
      <c r="AC1005" s="84">
        <v>0</v>
      </c>
      <c r="AD1005" s="84">
        <v>0</v>
      </c>
      <c r="AE1005" s="84">
        <v>0</v>
      </c>
      <c r="AF1005" s="84">
        <v>0</v>
      </c>
      <c r="AG1005" s="84">
        <v>0</v>
      </c>
      <c r="AH1005" s="84">
        <v>0</v>
      </c>
      <c r="AI1005" s="84">
        <v>1</v>
      </c>
      <c r="AJ1005" s="84">
        <v>0</v>
      </c>
      <c r="AK1005" s="84">
        <v>0</v>
      </c>
      <c r="AL1005" s="84" cm="1">
        <f t="array" ref="AL10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05" s="84" cm="1">
        <f t="array" ref="AM10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005" s="84" cm="1">
        <f t="array" ref="AN10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005" s="84" cm="1">
        <f t="array" ref="AO10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005" s="84" cm="1">
        <f t="array" ref="AP10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5" s="84" cm="1">
        <f t="array" ref="AQ10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5" s="84" cm="1">
        <f t="array" ref="AR10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5" s="84" cm="1">
        <f t="array" ref="AS10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5" s="84" cm="1">
        <f t="array" ref="AT10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5" s="84" cm="1">
        <f t="array" ref="AU10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5" s="84" cm="1">
        <f t="array" ref="AV10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5" s="84" cm="1">
        <f t="array" ref="AW10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5" s="84" cm="1">
        <f t="array" ref="AX10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5" s="84" cm="1">
        <f t="array" ref="AY10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5" s="84" cm="1">
        <f t="array" ref="AZ10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005" s="84" cm="1">
        <f t="array" ref="BA10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5" s="84" cm="1">
        <f t="array" ref="BB10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5" s="84">
        <f>IF(SUM(Table3[[#This Row],[Column2]:[Column18]])&gt;Table3[[#This Row],[Column19]],Table3[[#This Row],[Column19]],SUM(Table3[[#This Row],[Column2]:[Column18]]))</f>
        <v>50000</v>
      </c>
      <c r="BD1005" s="2">
        <f>Table3[[#This Row],[Total Spend]]/SUM(Table3[[#This Row],[Column2]:[Column18]])</f>
        <v>0.26021337496747332</v>
      </c>
    </row>
    <row r="1006" spans="1:56">
      <c r="A1006" s="84" t="s">
        <v>1080</v>
      </c>
      <c r="B1006" s="84" t="s">
        <v>57</v>
      </c>
      <c r="C1006" s="84"/>
      <c r="D1006" s="85">
        <v>45566</v>
      </c>
      <c r="E1006" s="85" t="s">
        <v>92</v>
      </c>
      <c r="F1006" s="84">
        <f>INDEX(Definitions!$G$13:$G$17,MATCH(Table3[[#This Row],[Propensity to buy/ buyer readiness]],Definitions!$A$13:$A$17,0))</f>
        <v>10000</v>
      </c>
      <c r="G1006" s="86">
        <v>3</v>
      </c>
      <c r="H1006" s="86">
        <v>3</v>
      </c>
      <c r="I1006" s="86">
        <v>4</v>
      </c>
      <c r="J1006" s="86">
        <v>4</v>
      </c>
      <c r="K1006" s="86">
        <v>2</v>
      </c>
      <c r="L1006" s="86">
        <f>SUM(Table3[[#This Row],[Strategic priority segment]:[Propensity to buy/ buyer readiness]])</f>
        <v>16</v>
      </c>
      <c r="M1006" s="86" t="s">
        <v>59</v>
      </c>
      <c r="N1006" s="84" t="s">
        <v>265</v>
      </c>
      <c r="O1006" s="84"/>
      <c r="P1006" s="87"/>
      <c r="Q1006" s="87"/>
      <c r="R1006" s="84"/>
      <c r="S1006" s="84"/>
      <c r="T1006" s="87"/>
      <c r="U1006" s="84">
        <v>1</v>
      </c>
      <c r="V1006" s="84">
        <v>1</v>
      </c>
      <c r="W1006" s="84">
        <v>1</v>
      </c>
      <c r="X1006" s="84">
        <v>1</v>
      </c>
      <c r="Y1006" s="84">
        <v>0</v>
      </c>
      <c r="Z1006" s="84">
        <v>0</v>
      </c>
      <c r="AA1006" s="84">
        <v>0</v>
      </c>
      <c r="AB1006" s="84">
        <v>0</v>
      </c>
      <c r="AC1006" s="84">
        <v>0</v>
      </c>
      <c r="AD1006" s="84">
        <v>0</v>
      </c>
      <c r="AE1006" s="84">
        <v>0</v>
      </c>
      <c r="AF1006" s="84">
        <v>0</v>
      </c>
      <c r="AG1006" s="84">
        <v>0</v>
      </c>
      <c r="AH1006" s="84">
        <v>0</v>
      </c>
      <c r="AI1006" s="84">
        <v>1</v>
      </c>
      <c r="AJ1006" s="84">
        <v>0</v>
      </c>
      <c r="AK1006" s="84">
        <v>0</v>
      </c>
      <c r="AL1006" s="84" cm="1">
        <f t="array" ref="AL10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06" s="84" cm="1">
        <f t="array" ref="AM10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06" s="84" cm="1">
        <f t="array" ref="AN10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06" s="84" cm="1">
        <f t="array" ref="AO10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06" s="84" cm="1">
        <f t="array" ref="AP10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6" s="84" cm="1">
        <f t="array" ref="AQ10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6" s="84" cm="1">
        <f t="array" ref="AR10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6" s="84" cm="1">
        <f t="array" ref="AS10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6" s="84" cm="1">
        <f t="array" ref="AT10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6" s="84" cm="1">
        <f t="array" ref="AU10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6" s="84" cm="1">
        <f t="array" ref="AV10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6" s="84" cm="1">
        <f t="array" ref="AW10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6" s="84" cm="1">
        <f t="array" ref="AX10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6" s="84" cm="1">
        <f t="array" ref="AY10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6" s="84" cm="1">
        <f t="array" ref="AZ10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6" s="84" cm="1">
        <f t="array" ref="BA10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6" s="84" cm="1">
        <f t="array" ref="BB10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6" s="84">
        <f>IF(SUM(Table3[[#This Row],[Column2]:[Column18]])&gt;Table3[[#This Row],[Column19]],Table3[[#This Row],[Column19]],SUM(Table3[[#This Row],[Column2]:[Column18]]))</f>
        <v>10000</v>
      </c>
      <c r="BD1006" s="2">
        <f>Table3[[#This Row],[Total Spend]]/SUM(Table3[[#This Row],[Column2]:[Column18]])</f>
        <v>7.2859744990892539E-2</v>
      </c>
    </row>
    <row r="1007" spans="1:56">
      <c r="A1007" s="84" t="s">
        <v>1081</v>
      </c>
      <c r="B1007" s="84" t="s">
        <v>57</v>
      </c>
      <c r="C1007" s="84"/>
      <c r="D1007" s="85">
        <v>45566</v>
      </c>
      <c r="E1007" s="85" t="s">
        <v>92</v>
      </c>
      <c r="F1007" s="84">
        <f>INDEX(Definitions!$G$13:$G$17,MATCH(Table3[[#This Row],[Propensity to buy/ buyer readiness]],Definitions!$A$13:$A$17,0))</f>
        <v>10000</v>
      </c>
      <c r="G1007" s="86">
        <v>3</v>
      </c>
      <c r="H1007" s="86">
        <v>3</v>
      </c>
      <c r="I1007" s="86">
        <v>4</v>
      </c>
      <c r="J1007" s="86">
        <v>4</v>
      </c>
      <c r="K1007" s="86">
        <v>2</v>
      </c>
      <c r="L1007" s="86">
        <f>SUM(Table3[[#This Row],[Strategic priority segment]:[Propensity to buy/ buyer readiness]])</f>
        <v>16</v>
      </c>
      <c r="M1007" s="86" t="s">
        <v>59</v>
      </c>
      <c r="N1007" s="84" t="s">
        <v>265</v>
      </c>
      <c r="O1007" s="84"/>
      <c r="P1007" s="87"/>
      <c r="Q1007" s="87"/>
      <c r="R1007" s="84"/>
      <c r="S1007" s="84"/>
      <c r="T1007" s="87"/>
      <c r="U1007" s="84">
        <v>1</v>
      </c>
      <c r="V1007" s="84">
        <v>1</v>
      </c>
      <c r="W1007" s="84">
        <v>1</v>
      </c>
      <c r="X1007" s="84">
        <v>1</v>
      </c>
      <c r="Y1007" s="84">
        <v>0</v>
      </c>
      <c r="Z1007" s="84">
        <v>0</v>
      </c>
      <c r="AA1007" s="84">
        <v>0</v>
      </c>
      <c r="AB1007" s="84">
        <v>0</v>
      </c>
      <c r="AC1007" s="84">
        <v>0</v>
      </c>
      <c r="AD1007" s="84">
        <v>0</v>
      </c>
      <c r="AE1007" s="84">
        <v>0</v>
      </c>
      <c r="AF1007" s="84">
        <v>0</v>
      </c>
      <c r="AG1007" s="84">
        <v>0</v>
      </c>
      <c r="AH1007" s="84">
        <v>0</v>
      </c>
      <c r="AI1007" s="84">
        <v>1</v>
      </c>
      <c r="AJ1007" s="84">
        <v>0</v>
      </c>
      <c r="AK1007" s="84">
        <v>0</v>
      </c>
      <c r="AL1007" s="84" cm="1">
        <f t="array" ref="AL10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07" s="84" cm="1">
        <f t="array" ref="AM10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07" s="84" cm="1">
        <f t="array" ref="AN10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07" s="84" cm="1">
        <f t="array" ref="AO10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07" s="84" cm="1">
        <f t="array" ref="AP10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7" s="84" cm="1">
        <f t="array" ref="AQ10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7" s="84" cm="1">
        <f t="array" ref="AR10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7" s="84" cm="1">
        <f t="array" ref="AS10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7" s="84" cm="1">
        <f t="array" ref="AT10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7" s="84" cm="1">
        <f t="array" ref="AU10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7" s="84" cm="1">
        <f t="array" ref="AV10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7" s="84" cm="1">
        <f t="array" ref="AW10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7" s="84" cm="1">
        <f t="array" ref="AX10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7" s="84" cm="1">
        <f t="array" ref="AY10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7" s="84" cm="1">
        <f t="array" ref="AZ10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7" s="84" cm="1">
        <f t="array" ref="BA10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7" s="84" cm="1">
        <f t="array" ref="BB10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7" s="84">
        <f>IF(SUM(Table3[[#This Row],[Column2]:[Column18]])&gt;Table3[[#This Row],[Column19]],Table3[[#This Row],[Column19]],SUM(Table3[[#This Row],[Column2]:[Column18]]))</f>
        <v>10000</v>
      </c>
      <c r="BD1007" s="2">
        <f>Table3[[#This Row],[Total Spend]]/SUM(Table3[[#This Row],[Column2]:[Column18]])</f>
        <v>7.2859744990892539E-2</v>
      </c>
    </row>
    <row r="1008" spans="1:56">
      <c r="A1008" s="84" t="s">
        <v>1082</v>
      </c>
      <c r="B1008" s="84" t="s">
        <v>57</v>
      </c>
      <c r="C1008" s="84"/>
      <c r="D1008" s="85">
        <v>45566</v>
      </c>
      <c r="E1008" s="85" t="s">
        <v>92</v>
      </c>
      <c r="F1008" s="84">
        <f>INDEX(Definitions!$G$13:$G$17,MATCH(Table3[[#This Row],[Propensity to buy/ buyer readiness]],Definitions!$A$13:$A$17,0))</f>
        <v>10000</v>
      </c>
      <c r="G1008" s="86">
        <v>3</v>
      </c>
      <c r="H1008" s="86">
        <v>3</v>
      </c>
      <c r="I1008" s="86">
        <v>4</v>
      </c>
      <c r="J1008" s="86">
        <v>4</v>
      </c>
      <c r="K1008" s="86">
        <v>2</v>
      </c>
      <c r="L1008" s="86">
        <f>SUM(Table3[[#This Row],[Strategic priority segment]:[Propensity to buy/ buyer readiness]])</f>
        <v>16</v>
      </c>
      <c r="M1008" s="86" t="s">
        <v>59</v>
      </c>
      <c r="N1008" s="84" t="s">
        <v>265</v>
      </c>
      <c r="O1008" s="84"/>
      <c r="P1008" s="87"/>
      <c r="Q1008" s="87"/>
      <c r="R1008" s="84"/>
      <c r="S1008" s="84"/>
      <c r="T1008" s="84"/>
      <c r="U1008" s="84">
        <v>1</v>
      </c>
      <c r="V1008" s="84">
        <v>1</v>
      </c>
      <c r="W1008" s="84">
        <v>1</v>
      </c>
      <c r="X1008" s="84">
        <v>1</v>
      </c>
      <c r="Y1008" s="84">
        <v>0</v>
      </c>
      <c r="Z1008" s="84">
        <v>0</v>
      </c>
      <c r="AA1008" s="84">
        <v>0</v>
      </c>
      <c r="AB1008" s="84">
        <v>0</v>
      </c>
      <c r="AC1008" s="84">
        <v>0</v>
      </c>
      <c r="AD1008" s="84">
        <v>0</v>
      </c>
      <c r="AE1008" s="84">
        <v>0</v>
      </c>
      <c r="AF1008" s="84">
        <v>0</v>
      </c>
      <c r="AG1008" s="84">
        <v>0</v>
      </c>
      <c r="AH1008" s="84">
        <v>0</v>
      </c>
      <c r="AI1008" s="84">
        <v>1</v>
      </c>
      <c r="AJ1008" s="84">
        <v>0</v>
      </c>
      <c r="AK1008" s="84">
        <v>0</v>
      </c>
      <c r="AL1008" s="84" cm="1">
        <f t="array" ref="AL10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08" s="84" cm="1">
        <f t="array" ref="AM10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08" s="84" cm="1">
        <f t="array" ref="AN10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08" s="84" cm="1">
        <f t="array" ref="AO10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08" s="84" cm="1">
        <f t="array" ref="AP10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8" s="84" cm="1">
        <f t="array" ref="AQ10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8" s="84" cm="1">
        <f t="array" ref="AR10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8" s="84" cm="1">
        <f t="array" ref="AS10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8" s="84" cm="1">
        <f t="array" ref="AT10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8" s="84" cm="1">
        <f t="array" ref="AU10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8" s="84" cm="1">
        <f t="array" ref="AV10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8" s="84" cm="1">
        <f t="array" ref="AW10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8" s="84" cm="1">
        <f t="array" ref="AX10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8" s="84" cm="1">
        <f t="array" ref="AY10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8" s="84" cm="1">
        <f t="array" ref="AZ10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8" s="84" cm="1">
        <f t="array" ref="BA10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8" s="84" cm="1">
        <f t="array" ref="BB10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8" s="84">
        <f>IF(SUM(Table3[[#This Row],[Column2]:[Column18]])&gt;Table3[[#This Row],[Column19]],Table3[[#This Row],[Column19]],SUM(Table3[[#This Row],[Column2]:[Column18]]))</f>
        <v>10000</v>
      </c>
      <c r="BD1008" s="2">
        <f>Table3[[#This Row],[Total Spend]]/SUM(Table3[[#This Row],[Column2]:[Column18]])</f>
        <v>7.2859744990892539E-2</v>
      </c>
    </row>
    <row r="1009" spans="1:56">
      <c r="A1009" s="84" t="s">
        <v>1083</v>
      </c>
      <c r="B1009" s="84" t="s">
        <v>57</v>
      </c>
      <c r="C1009" s="84"/>
      <c r="D1009" s="85">
        <v>45566</v>
      </c>
      <c r="E1009" s="85" t="s">
        <v>92</v>
      </c>
      <c r="F1009" s="84">
        <f>INDEX(Definitions!$G$13:$G$17,MATCH(Table3[[#This Row],[Propensity to buy/ buyer readiness]],Definitions!$A$13:$A$17,0))</f>
        <v>10000</v>
      </c>
      <c r="G1009" s="86">
        <v>3</v>
      </c>
      <c r="H1009" s="86">
        <v>3</v>
      </c>
      <c r="I1009" s="86">
        <v>4</v>
      </c>
      <c r="J1009" s="86">
        <v>4</v>
      </c>
      <c r="K1009" s="86">
        <v>2</v>
      </c>
      <c r="L1009" s="86">
        <f>SUM(Table3[[#This Row],[Strategic priority segment]:[Propensity to buy/ buyer readiness]])</f>
        <v>16</v>
      </c>
      <c r="M1009" s="86" t="s">
        <v>102</v>
      </c>
      <c r="N1009" s="84" t="s">
        <v>265</v>
      </c>
      <c r="O1009" s="84"/>
      <c r="P1009" s="87"/>
      <c r="Q1009" s="87"/>
      <c r="R1009" s="84"/>
      <c r="S1009" s="84"/>
      <c r="T1009" s="84"/>
      <c r="U1009" s="84">
        <v>1</v>
      </c>
      <c r="V1009" s="84">
        <v>1</v>
      </c>
      <c r="W1009" s="84">
        <v>1</v>
      </c>
      <c r="X1009" s="84">
        <v>1</v>
      </c>
      <c r="Y1009" s="84">
        <v>0</v>
      </c>
      <c r="Z1009" s="84">
        <v>0</v>
      </c>
      <c r="AA1009" s="84">
        <v>0</v>
      </c>
      <c r="AB1009" s="84">
        <v>0</v>
      </c>
      <c r="AC1009" s="84">
        <v>0</v>
      </c>
      <c r="AD1009" s="84">
        <v>0</v>
      </c>
      <c r="AE1009" s="84">
        <v>0</v>
      </c>
      <c r="AF1009" s="84">
        <v>0</v>
      </c>
      <c r="AG1009" s="84">
        <v>0</v>
      </c>
      <c r="AH1009" s="84">
        <v>0</v>
      </c>
      <c r="AI1009" s="84">
        <v>1</v>
      </c>
      <c r="AJ1009" s="84">
        <v>0</v>
      </c>
      <c r="AK1009" s="84">
        <v>0</v>
      </c>
      <c r="AL1009" s="84" cm="1">
        <f t="array" ref="AL10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09" s="84" cm="1">
        <f t="array" ref="AM10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09" s="84" cm="1">
        <f t="array" ref="AN10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09" s="84" cm="1">
        <f t="array" ref="AO10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09" s="84" cm="1">
        <f t="array" ref="AP10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09" s="84" cm="1">
        <f t="array" ref="AQ10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09" s="84" cm="1">
        <f t="array" ref="AR10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09" s="84" cm="1">
        <f t="array" ref="AS10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09" s="84" cm="1">
        <f t="array" ref="AT10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09" s="84" cm="1">
        <f t="array" ref="AU10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09" s="84" cm="1">
        <f t="array" ref="AV10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09" s="84" cm="1">
        <f t="array" ref="AW10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09" s="84" cm="1">
        <f t="array" ref="AX10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09" s="84" cm="1">
        <f t="array" ref="AY10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09" s="84" cm="1">
        <f t="array" ref="AZ10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09" s="84" cm="1">
        <f t="array" ref="BA10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09" s="84" cm="1">
        <f t="array" ref="BB10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09" s="84">
        <f>IF(SUM(Table3[[#This Row],[Column2]:[Column18]])&gt;Table3[[#This Row],[Column19]],Table3[[#This Row],[Column19]],SUM(Table3[[#This Row],[Column2]:[Column18]]))</f>
        <v>10000</v>
      </c>
      <c r="BD1009" s="2">
        <f>Table3[[#This Row],[Total Spend]]/SUM(Table3[[#This Row],[Column2]:[Column18]])</f>
        <v>7.2859744990892539E-2</v>
      </c>
    </row>
    <row r="1010" spans="1:56">
      <c r="A1010" s="84" t="s">
        <v>1084</v>
      </c>
      <c r="B1010" s="84"/>
      <c r="C1010" s="84"/>
      <c r="D1010" s="85">
        <v>45566</v>
      </c>
      <c r="E1010" s="85" t="s">
        <v>58</v>
      </c>
      <c r="F1010" s="84">
        <f>INDEX(Definitions!$G$13:$G$17,MATCH(Table3[[#This Row],[Propensity to buy/ buyer readiness]],Definitions!$A$13:$A$17,0))</f>
        <v>150000</v>
      </c>
      <c r="G1010" s="86">
        <v>3</v>
      </c>
      <c r="H1010" s="86">
        <v>3</v>
      </c>
      <c r="I1010" s="86">
        <v>3</v>
      </c>
      <c r="J1010" s="86">
        <v>3</v>
      </c>
      <c r="K1010" s="86">
        <v>4</v>
      </c>
      <c r="L1010" s="86">
        <f>SUM(Table3[[#This Row],[Strategic priority segment]:[Propensity to buy/ buyer readiness]])</f>
        <v>16</v>
      </c>
      <c r="M1010" s="86" t="s">
        <v>152</v>
      </c>
      <c r="N1010" s="84" t="s">
        <v>122</v>
      </c>
      <c r="O1010" s="87"/>
      <c r="P1010" s="87"/>
      <c r="Q1010" s="87"/>
      <c r="R1010" s="87"/>
      <c r="S1010" s="87"/>
      <c r="T1010" s="87"/>
      <c r="U1010" s="84">
        <v>1</v>
      </c>
      <c r="V1010" s="84">
        <v>0</v>
      </c>
      <c r="W1010" s="84">
        <v>0</v>
      </c>
      <c r="X1010" s="84">
        <v>0</v>
      </c>
      <c r="Y1010" s="84">
        <v>0</v>
      </c>
      <c r="Z1010" s="84">
        <v>1</v>
      </c>
      <c r="AA1010" s="84">
        <v>0</v>
      </c>
      <c r="AB1010" s="84">
        <v>1</v>
      </c>
      <c r="AC1010" s="84">
        <v>0</v>
      </c>
      <c r="AD1010" s="84">
        <v>1</v>
      </c>
      <c r="AE1010" s="84">
        <v>0</v>
      </c>
      <c r="AF1010" s="84">
        <v>1</v>
      </c>
      <c r="AG1010" s="84">
        <v>0</v>
      </c>
      <c r="AH1010" s="84">
        <v>0</v>
      </c>
      <c r="AI1010" s="84">
        <v>0</v>
      </c>
      <c r="AJ1010" s="84">
        <v>0</v>
      </c>
      <c r="AK1010" s="84">
        <v>0</v>
      </c>
      <c r="AL1010" s="84" cm="1">
        <f t="array" ref="AL10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10" s="84" cm="1">
        <f t="array" ref="AM10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0" s="84" cm="1">
        <f t="array" ref="AN10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0" s="84" cm="1">
        <f t="array" ref="AO10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0" s="84" cm="1">
        <f t="array" ref="AP10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0" s="84" cm="1">
        <f t="array" ref="AQ10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10" s="84" cm="1">
        <f t="array" ref="AR10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0" s="84" cm="1">
        <f t="array" ref="AS10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10" s="84" cm="1">
        <f t="array" ref="AT10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0" s="84" cm="1">
        <f t="array" ref="AU10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10" s="84" cm="1">
        <f t="array" ref="AV10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0" s="84" cm="1">
        <f t="array" ref="AW10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10" s="84" cm="1">
        <f t="array" ref="AX10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0" s="84" cm="1">
        <f t="array" ref="AY10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0" s="84" cm="1">
        <f t="array" ref="AZ10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0" s="84" cm="1">
        <f t="array" ref="BA10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0" s="84" cm="1">
        <f t="array" ref="BB10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0" s="84">
        <f>IF(SUM(Table3[[#This Row],[Column2]:[Column18]])&gt;Table3[[#This Row],[Column19]],Table3[[#This Row],[Column19]],SUM(Table3[[#This Row],[Column2]:[Column18]]))</f>
        <v>150000</v>
      </c>
      <c r="BD1010" s="2">
        <f>Table3[[#This Row],[Total Spend]]/SUM(Table3[[#This Row],[Column2]:[Column18]])</f>
        <v>0.89605734767025091</v>
      </c>
    </row>
    <row r="1011" spans="1:56">
      <c r="A1011" s="84" t="s">
        <v>1085</v>
      </c>
      <c r="B1011" s="84" t="s">
        <v>57</v>
      </c>
      <c r="C1011" s="84" t="s">
        <v>57</v>
      </c>
      <c r="D1011" s="85">
        <v>45566</v>
      </c>
      <c r="E1011" s="85" t="s">
        <v>58</v>
      </c>
      <c r="F1011" s="84">
        <f>INDEX(Definitions!$G$13:$G$17,MATCH(Table3[[#This Row],[Propensity to buy/ buyer readiness]],Definitions!$A$13:$A$17,0))</f>
        <v>50000</v>
      </c>
      <c r="G1011" s="86">
        <v>3</v>
      </c>
      <c r="H1011" s="86">
        <v>3</v>
      </c>
      <c r="I1011" s="86">
        <v>4</v>
      </c>
      <c r="J1011" s="86">
        <v>3</v>
      </c>
      <c r="K1011" s="86">
        <v>3</v>
      </c>
      <c r="L1011" s="86">
        <f>SUM(Table3[[#This Row],[Strategic priority segment]:[Propensity to buy/ buyer readiness]])</f>
        <v>16</v>
      </c>
      <c r="M1011" s="86" t="s">
        <v>152</v>
      </c>
      <c r="N1011" s="84" t="s">
        <v>264</v>
      </c>
      <c r="O1011" s="84"/>
      <c r="P1011" s="87"/>
      <c r="Q1011" s="87"/>
      <c r="R1011" s="84"/>
      <c r="S1011" s="84"/>
      <c r="T1011" s="84"/>
      <c r="U1011" s="84">
        <v>1</v>
      </c>
      <c r="V1011" s="84">
        <v>0</v>
      </c>
      <c r="W1011" s="84">
        <v>0</v>
      </c>
      <c r="X1011" s="84">
        <v>0</v>
      </c>
      <c r="Y1011" s="84">
        <v>0</v>
      </c>
      <c r="Z1011" s="84">
        <v>0</v>
      </c>
      <c r="AA1011" s="84">
        <v>0</v>
      </c>
      <c r="AB1011" s="84">
        <v>0</v>
      </c>
      <c r="AC1011" s="84">
        <v>0</v>
      </c>
      <c r="AD1011" s="84">
        <v>0</v>
      </c>
      <c r="AE1011" s="84">
        <v>0</v>
      </c>
      <c r="AF1011" s="84">
        <v>0</v>
      </c>
      <c r="AG1011" s="84">
        <v>0</v>
      </c>
      <c r="AH1011" s="84">
        <v>0</v>
      </c>
      <c r="AI1011" s="84">
        <v>0</v>
      </c>
      <c r="AJ1011" s="84">
        <v>0</v>
      </c>
      <c r="AK1011" s="84">
        <v>0</v>
      </c>
      <c r="AL1011" s="84" cm="1">
        <f t="array" ref="AL10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11" s="84" cm="1">
        <f t="array" ref="AM10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1" s="84" cm="1">
        <f t="array" ref="AN10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1" s="84" cm="1">
        <f t="array" ref="AO10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1" s="84" cm="1">
        <f t="array" ref="AP10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1" s="84" cm="1">
        <f t="array" ref="AQ10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1" s="84" cm="1">
        <f t="array" ref="AR10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1" s="84" cm="1">
        <f t="array" ref="AS10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1" s="84" cm="1">
        <f t="array" ref="AT10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1" s="84" cm="1">
        <f t="array" ref="AU10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1" s="84" cm="1">
        <f t="array" ref="AV10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1" s="84" cm="1">
        <f t="array" ref="AW10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1" s="84" cm="1">
        <f t="array" ref="AX10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1" s="84" cm="1">
        <f t="array" ref="AY10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1" s="84" cm="1">
        <f t="array" ref="AZ10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1" s="84" cm="1">
        <f t="array" ref="BA10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1" s="84" cm="1">
        <f t="array" ref="BB10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1" s="84">
        <f>IF(SUM(Table3[[#This Row],[Column2]:[Column18]])&gt;Table3[[#This Row],[Column19]],Table3[[#This Row],[Column19]],SUM(Table3[[#This Row],[Column2]:[Column18]]))</f>
        <v>10800</v>
      </c>
      <c r="BD1011" s="2">
        <f>Table3[[#This Row],[Total Spend]]/SUM(Table3[[#This Row],[Column2]:[Column18]])</f>
        <v>1</v>
      </c>
    </row>
    <row r="1012" spans="1:56">
      <c r="A1012" s="84" t="s">
        <v>1086</v>
      </c>
      <c r="B1012" s="84" t="s">
        <v>57</v>
      </c>
      <c r="C1012" s="84"/>
      <c r="D1012" s="85">
        <v>45566</v>
      </c>
      <c r="E1012" s="85" t="s">
        <v>92</v>
      </c>
      <c r="F1012" s="84">
        <f>INDEX(Definitions!$G$13:$G$17,MATCH(Table3[[#This Row],[Propensity to buy/ buyer readiness]],Definitions!$A$13:$A$17,0))</f>
        <v>10000</v>
      </c>
      <c r="G1012" s="86">
        <v>4</v>
      </c>
      <c r="H1012" s="86">
        <v>3</v>
      </c>
      <c r="I1012" s="86">
        <v>4</v>
      </c>
      <c r="J1012" s="86">
        <v>3</v>
      </c>
      <c r="K1012" s="86">
        <v>2</v>
      </c>
      <c r="L1012" s="86">
        <f>SUM(Table3[[#This Row],[Strategic priority segment]:[Propensity to buy/ buyer readiness]])</f>
        <v>16</v>
      </c>
      <c r="M1012" s="86" t="s">
        <v>59</v>
      </c>
      <c r="N1012" s="84" t="s">
        <v>85</v>
      </c>
      <c r="O1012" s="84"/>
      <c r="P1012" s="87"/>
      <c r="Q1012" s="87"/>
      <c r="R1012" s="84"/>
      <c r="S1012" s="84"/>
      <c r="T1012" s="84"/>
      <c r="U1012" s="84">
        <v>1</v>
      </c>
      <c r="V1012" s="84">
        <v>0</v>
      </c>
      <c r="W1012" s="84">
        <v>0</v>
      </c>
      <c r="X1012" s="84">
        <v>0</v>
      </c>
      <c r="Y1012" s="84">
        <v>1</v>
      </c>
      <c r="Z1012" s="84">
        <v>0</v>
      </c>
      <c r="AA1012" s="84">
        <v>0</v>
      </c>
      <c r="AB1012" s="84">
        <v>0</v>
      </c>
      <c r="AC1012" s="84">
        <v>0</v>
      </c>
      <c r="AD1012" s="84">
        <v>0</v>
      </c>
      <c r="AE1012" s="84">
        <v>0</v>
      </c>
      <c r="AF1012" s="84">
        <v>0</v>
      </c>
      <c r="AG1012" s="84">
        <v>0</v>
      </c>
      <c r="AH1012" s="84">
        <v>0</v>
      </c>
      <c r="AI1012" s="84">
        <v>0</v>
      </c>
      <c r="AJ1012" s="84">
        <v>0</v>
      </c>
      <c r="AK1012" s="84">
        <v>0</v>
      </c>
      <c r="AL1012" s="84" cm="1">
        <f t="array" ref="AL10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12" s="84" cm="1">
        <f t="array" ref="AM10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2" s="84" cm="1">
        <f t="array" ref="AN10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2" s="84" cm="1">
        <f t="array" ref="AO10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2" s="84" cm="1">
        <f t="array" ref="AP10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012" s="84" cm="1">
        <f t="array" ref="AQ10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2" s="84" cm="1">
        <f t="array" ref="AR10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2" s="84" cm="1">
        <f t="array" ref="AS10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2" s="84" cm="1">
        <f t="array" ref="AT10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2" s="84" cm="1">
        <f t="array" ref="AU10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2" s="84" cm="1">
        <f t="array" ref="AV10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2" s="84" cm="1">
        <f t="array" ref="AW10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2" s="84" cm="1">
        <f t="array" ref="AX10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2" s="84" cm="1">
        <f t="array" ref="AY10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2" s="84" cm="1">
        <f t="array" ref="AZ10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2" s="84" cm="1">
        <f t="array" ref="BA10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2" s="84" cm="1">
        <f t="array" ref="BB10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2" s="84">
        <f>IF(SUM(Table3[[#This Row],[Column2]:[Column18]])&gt;Table3[[#This Row],[Column19]],Table3[[#This Row],[Column19]],SUM(Table3[[#This Row],[Column2]:[Column18]]))</f>
        <v>10000</v>
      </c>
      <c r="BD1012" s="2">
        <f>Table3[[#This Row],[Total Spend]]/SUM(Table3[[#This Row],[Column2]:[Column18]])</f>
        <v>0.20964360587002095</v>
      </c>
    </row>
    <row r="1013" spans="1:56">
      <c r="A1013" s="84" t="s">
        <v>1087</v>
      </c>
      <c r="B1013" s="84"/>
      <c r="C1013" s="84"/>
      <c r="D1013" s="85">
        <v>45566</v>
      </c>
      <c r="E1013" s="85" t="s">
        <v>58</v>
      </c>
      <c r="F1013" s="84">
        <f>INDEX(Definitions!$G$13:$G$17,MATCH(Table3[[#This Row],[Propensity to buy/ buyer readiness]],Definitions!$A$13:$A$17,0))</f>
        <v>150000</v>
      </c>
      <c r="G1013" s="86">
        <v>3</v>
      </c>
      <c r="H1013" s="86">
        <v>3</v>
      </c>
      <c r="I1013" s="86">
        <v>3</v>
      </c>
      <c r="J1013" s="86">
        <v>3</v>
      </c>
      <c r="K1013" s="86">
        <v>4</v>
      </c>
      <c r="L1013" s="86">
        <f>SUM(Table3[[#This Row],[Strategic priority segment]:[Propensity to buy/ buyer readiness]])</f>
        <v>16</v>
      </c>
      <c r="M1013" s="86" t="s">
        <v>191</v>
      </c>
      <c r="N1013" s="84" t="s">
        <v>76</v>
      </c>
      <c r="O1013" s="84"/>
      <c r="P1013" s="84"/>
      <c r="Q1013" s="84"/>
      <c r="R1013" s="84"/>
      <c r="S1013" s="87"/>
      <c r="T1013" s="84"/>
      <c r="U1013" s="84">
        <v>0</v>
      </c>
      <c r="V1013" s="84">
        <v>0</v>
      </c>
      <c r="W1013" s="84">
        <v>0</v>
      </c>
      <c r="X1013" s="84">
        <v>0</v>
      </c>
      <c r="Y1013" s="84">
        <v>0</v>
      </c>
      <c r="Z1013" s="84">
        <v>0</v>
      </c>
      <c r="AA1013" s="84">
        <v>0</v>
      </c>
      <c r="AB1013" s="84">
        <v>0</v>
      </c>
      <c r="AC1013" s="84">
        <v>0</v>
      </c>
      <c r="AD1013" s="84">
        <v>0</v>
      </c>
      <c r="AE1013" s="84">
        <v>0</v>
      </c>
      <c r="AF1013" s="84">
        <v>0</v>
      </c>
      <c r="AG1013" s="84">
        <v>0</v>
      </c>
      <c r="AH1013" s="84">
        <v>1</v>
      </c>
      <c r="AI1013" s="84">
        <v>0</v>
      </c>
      <c r="AJ1013" s="84">
        <v>1</v>
      </c>
      <c r="AK1013" s="84">
        <v>0</v>
      </c>
      <c r="AL1013" s="84" cm="1">
        <f t="array" ref="AL10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13" s="84" cm="1">
        <f t="array" ref="AM10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3" s="84" cm="1">
        <f t="array" ref="AN10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3" s="84" cm="1">
        <f t="array" ref="AO10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3" s="84" cm="1">
        <f t="array" ref="AP10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3" s="84" cm="1">
        <f t="array" ref="AQ10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3" s="84" cm="1">
        <f t="array" ref="AR10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3" s="84" cm="1">
        <f t="array" ref="AS10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3" s="84" cm="1">
        <f t="array" ref="AT10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3" s="84" cm="1">
        <f t="array" ref="AU10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3" s="84" cm="1">
        <f t="array" ref="AV10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3" s="84" cm="1">
        <f t="array" ref="AW10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3" s="84" cm="1">
        <f t="array" ref="AX10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3" s="84" cm="1">
        <f t="array" ref="AY10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013" s="84" cm="1">
        <f t="array" ref="AZ10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3" s="84" cm="1">
        <f t="array" ref="BA10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013" s="84" cm="1">
        <f t="array" ref="BB10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3" s="84">
        <f>IF(SUM(Table3[[#This Row],[Column2]:[Column18]])&gt;Table3[[#This Row],[Column19]],Table3[[#This Row],[Column19]],SUM(Table3[[#This Row],[Column2]:[Column18]]))</f>
        <v>42300</v>
      </c>
      <c r="BD1013" s="2">
        <f>Table3[[#This Row],[Total Spend]]/SUM(Table3[[#This Row],[Column2]:[Column18]])</f>
        <v>1</v>
      </c>
    </row>
    <row r="1014" spans="1:56">
      <c r="A1014" s="84" t="s">
        <v>1088</v>
      </c>
      <c r="B1014" s="84" t="s">
        <v>57</v>
      </c>
      <c r="C1014" s="84"/>
      <c r="D1014" s="85">
        <v>45566</v>
      </c>
      <c r="E1014" s="85" t="s">
        <v>92</v>
      </c>
      <c r="F1014" s="84">
        <f>INDEX(Definitions!$G$13:$G$17,MATCH(Table3[[#This Row],[Propensity to buy/ buyer readiness]],Definitions!$A$13:$A$17,0))</f>
        <v>10000</v>
      </c>
      <c r="G1014" s="86">
        <v>3</v>
      </c>
      <c r="H1014" s="86">
        <v>3</v>
      </c>
      <c r="I1014" s="86">
        <v>4</v>
      </c>
      <c r="J1014" s="86">
        <v>4</v>
      </c>
      <c r="K1014" s="86">
        <v>2</v>
      </c>
      <c r="L1014" s="86">
        <f>SUM(Table3[[#This Row],[Strategic priority segment]:[Propensity to buy/ buyer readiness]])</f>
        <v>16</v>
      </c>
      <c r="M1014" s="86" t="s">
        <v>59</v>
      </c>
      <c r="N1014" s="84" t="s">
        <v>265</v>
      </c>
      <c r="O1014" s="84"/>
      <c r="P1014" s="87"/>
      <c r="Q1014" s="87"/>
      <c r="R1014" s="84"/>
      <c r="S1014" s="84"/>
      <c r="T1014" s="87"/>
      <c r="U1014" s="84">
        <v>1</v>
      </c>
      <c r="V1014" s="84">
        <v>1</v>
      </c>
      <c r="W1014" s="84">
        <v>1</v>
      </c>
      <c r="X1014" s="84">
        <v>1</v>
      </c>
      <c r="Y1014" s="84">
        <v>0</v>
      </c>
      <c r="Z1014" s="84">
        <v>0</v>
      </c>
      <c r="AA1014" s="84">
        <v>0</v>
      </c>
      <c r="AB1014" s="84">
        <v>0</v>
      </c>
      <c r="AC1014" s="84">
        <v>0</v>
      </c>
      <c r="AD1014" s="84">
        <v>0</v>
      </c>
      <c r="AE1014" s="84">
        <v>0</v>
      </c>
      <c r="AF1014" s="84">
        <v>0</v>
      </c>
      <c r="AG1014" s="84">
        <v>0</v>
      </c>
      <c r="AH1014" s="84">
        <v>0</v>
      </c>
      <c r="AI1014" s="84">
        <v>1</v>
      </c>
      <c r="AJ1014" s="84">
        <v>0</v>
      </c>
      <c r="AK1014" s="84">
        <v>0</v>
      </c>
      <c r="AL1014" s="84" cm="1">
        <f t="array" ref="AL10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14" s="84" cm="1">
        <f t="array" ref="AM10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14" s="84" cm="1">
        <f t="array" ref="AN10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14" s="84" cm="1">
        <f t="array" ref="AO10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14" s="84" cm="1">
        <f t="array" ref="AP10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4" s="84" cm="1">
        <f t="array" ref="AQ10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4" s="84" cm="1">
        <f t="array" ref="AR10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4" s="84" cm="1">
        <f t="array" ref="AS10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4" s="84" cm="1">
        <f t="array" ref="AT10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4" s="84" cm="1">
        <f t="array" ref="AU10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4" s="84" cm="1">
        <f t="array" ref="AV10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4" s="84" cm="1">
        <f t="array" ref="AW10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4" s="84" cm="1">
        <f t="array" ref="AX10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4" s="84" cm="1">
        <f t="array" ref="AY10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4" s="84" cm="1">
        <f t="array" ref="AZ10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14" s="84" cm="1">
        <f t="array" ref="BA10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4" s="84" cm="1">
        <f t="array" ref="BB10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4" s="84">
        <f>IF(SUM(Table3[[#This Row],[Column2]:[Column18]])&gt;Table3[[#This Row],[Column19]],Table3[[#This Row],[Column19]],SUM(Table3[[#This Row],[Column2]:[Column18]]))</f>
        <v>10000</v>
      </c>
      <c r="BD1014" s="2">
        <f>Table3[[#This Row],[Total Spend]]/SUM(Table3[[#This Row],[Column2]:[Column18]])</f>
        <v>7.2859744990892539E-2</v>
      </c>
    </row>
    <row r="1015" spans="1:56">
      <c r="A1015" s="84" t="s">
        <v>1089</v>
      </c>
      <c r="B1015" s="84"/>
      <c r="C1015" s="84" t="s">
        <v>57</v>
      </c>
      <c r="D1015" s="85">
        <v>45566</v>
      </c>
      <c r="E1015" s="85" t="s">
        <v>92</v>
      </c>
      <c r="F1015" s="84">
        <f>INDEX(Definitions!$G$13:$G$17,MATCH(Table3[[#This Row],[Propensity to buy/ buyer readiness]],Definitions!$A$13:$A$17,0))</f>
        <v>50000</v>
      </c>
      <c r="G1015" s="86">
        <v>3</v>
      </c>
      <c r="H1015" s="86">
        <v>3</v>
      </c>
      <c r="I1015" s="86">
        <v>4</v>
      </c>
      <c r="J1015" s="86">
        <v>3</v>
      </c>
      <c r="K1015" s="86">
        <v>3</v>
      </c>
      <c r="L1015" s="86">
        <f>SUM(Table3[[#This Row],[Strategic priority segment]:[Propensity to buy/ buyer readiness]])</f>
        <v>16</v>
      </c>
      <c r="M1015" s="86" t="s">
        <v>152</v>
      </c>
      <c r="N1015" s="84" t="s">
        <v>122</v>
      </c>
      <c r="O1015" s="84"/>
      <c r="P1015" s="87"/>
      <c r="Q1015" s="87"/>
      <c r="R1015" s="84"/>
      <c r="S1015" s="87"/>
      <c r="T1015" s="87"/>
      <c r="U1015" s="84">
        <v>1</v>
      </c>
      <c r="V1015" s="84">
        <v>0</v>
      </c>
      <c r="W1015" s="84">
        <v>0</v>
      </c>
      <c r="X1015" s="84">
        <v>0</v>
      </c>
      <c r="Y1015" s="84">
        <v>0</v>
      </c>
      <c r="Z1015" s="84">
        <v>1</v>
      </c>
      <c r="AA1015" s="84">
        <v>0</v>
      </c>
      <c r="AB1015" s="84">
        <v>1</v>
      </c>
      <c r="AC1015" s="84">
        <v>0</v>
      </c>
      <c r="AD1015" s="84">
        <v>1</v>
      </c>
      <c r="AE1015" s="84">
        <v>0</v>
      </c>
      <c r="AF1015" s="84">
        <v>1</v>
      </c>
      <c r="AG1015" s="84">
        <v>0</v>
      </c>
      <c r="AH1015" s="84">
        <v>0</v>
      </c>
      <c r="AI1015" s="84">
        <v>0</v>
      </c>
      <c r="AJ1015" s="84">
        <v>0</v>
      </c>
      <c r="AK1015" s="84">
        <v>0</v>
      </c>
      <c r="AL1015" s="84" cm="1">
        <f t="array" ref="AL10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15" s="84" cm="1">
        <f t="array" ref="AM10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5" s="84" cm="1">
        <f t="array" ref="AN10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5" s="84" cm="1">
        <f t="array" ref="AO10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5" s="84" cm="1">
        <f t="array" ref="AP10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5" s="84" cm="1">
        <f t="array" ref="AQ10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15" s="84" cm="1">
        <f t="array" ref="AR10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5" s="84" cm="1">
        <f t="array" ref="AS10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15" s="84" cm="1">
        <f t="array" ref="AT10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5" s="84" cm="1">
        <f t="array" ref="AU10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15" s="84" cm="1">
        <f t="array" ref="AV10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5" s="84" cm="1">
        <f t="array" ref="AW10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15" s="84" cm="1">
        <f t="array" ref="AX10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5" s="84" cm="1">
        <f t="array" ref="AY10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5" s="84" cm="1">
        <f t="array" ref="AZ10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5" s="84" cm="1">
        <f t="array" ref="BA10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5" s="84" cm="1">
        <f t="array" ref="BB10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5" s="84">
        <f>IF(SUM(Table3[[#This Row],[Column2]:[Column18]])&gt;Table3[[#This Row],[Column19]],Table3[[#This Row],[Column19]],SUM(Table3[[#This Row],[Column2]:[Column18]]))</f>
        <v>50000</v>
      </c>
      <c r="BD1015" s="2">
        <f>Table3[[#This Row],[Total Spend]]/SUM(Table3[[#This Row],[Column2]:[Column18]])</f>
        <v>0.41459369817578773</v>
      </c>
    </row>
    <row r="1016" spans="1:56">
      <c r="A1016" s="84" t="s">
        <v>1090</v>
      </c>
      <c r="B1016" s="84" t="s">
        <v>57</v>
      </c>
      <c r="C1016" s="84"/>
      <c r="D1016" s="85">
        <v>45566</v>
      </c>
      <c r="E1016" s="85" t="s">
        <v>92</v>
      </c>
      <c r="F1016" s="84">
        <f>INDEX(Definitions!$G$13:$G$17,MATCH(Table3[[#This Row],[Propensity to buy/ buyer readiness]],Definitions!$A$13:$A$17,0))</f>
        <v>10000</v>
      </c>
      <c r="G1016" s="86">
        <v>3</v>
      </c>
      <c r="H1016" s="86">
        <v>3</v>
      </c>
      <c r="I1016" s="86">
        <v>4</v>
      </c>
      <c r="J1016" s="86">
        <v>4</v>
      </c>
      <c r="K1016" s="86">
        <v>2</v>
      </c>
      <c r="L1016" s="86">
        <f>SUM(Table3[[#This Row],[Strategic priority segment]:[Propensity to buy/ buyer readiness]])</f>
        <v>16</v>
      </c>
      <c r="M1016" s="86" t="s">
        <v>59</v>
      </c>
      <c r="N1016" s="84" t="s">
        <v>265</v>
      </c>
      <c r="O1016" s="84"/>
      <c r="P1016" s="87"/>
      <c r="Q1016" s="87"/>
      <c r="R1016" s="84"/>
      <c r="S1016" s="84"/>
      <c r="T1016" s="87"/>
      <c r="U1016" s="84">
        <v>1</v>
      </c>
      <c r="V1016" s="84">
        <v>1</v>
      </c>
      <c r="W1016" s="84">
        <v>1</v>
      </c>
      <c r="X1016" s="84">
        <v>1</v>
      </c>
      <c r="Y1016" s="84">
        <v>0</v>
      </c>
      <c r="Z1016" s="84">
        <v>0</v>
      </c>
      <c r="AA1016" s="84">
        <v>0</v>
      </c>
      <c r="AB1016" s="84">
        <v>0</v>
      </c>
      <c r="AC1016" s="84">
        <v>0</v>
      </c>
      <c r="AD1016" s="84">
        <v>0</v>
      </c>
      <c r="AE1016" s="84">
        <v>0</v>
      </c>
      <c r="AF1016" s="84">
        <v>0</v>
      </c>
      <c r="AG1016" s="84">
        <v>0</v>
      </c>
      <c r="AH1016" s="84">
        <v>0</v>
      </c>
      <c r="AI1016" s="84">
        <v>1</v>
      </c>
      <c r="AJ1016" s="84">
        <v>0</v>
      </c>
      <c r="AK1016" s="84">
        <v>0</v>
      </c>
      <c r="AL1016" s="84" cm="1">
        <f t="array" ref="AL10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16" s="84" cm="1">
        <f t="array" ref="AM10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16" s="84" cm="1">
        <f t="array" ref="AN10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16" s="84" cm="1">
        <f t="array" ref="AO10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16" s="84" cm="1">
        <f t="array" ref="AP10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6" s="84" cm="1">
        <f t="array" ref="AQ10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6" s="84" cm="1">
        <f t="array" ref="AR10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6" s="84" cm="1">
        <f t="array" ref="AS10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6" s="84" cm="1">
        <f t="array" ref="AT10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6" s="84" cm="1">
        <f t="array" ref="AU10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6" s="84" cm="1">
        <f t="array" ref="AV10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6" s="84" cm="1">
        <f t="array" ref="AW10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6" s="84" cm="1">
        <f t="array" ref="AX10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6" s="84" cm="1">
        <f t="array" ref="AY10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6" s="84" cm="1">
        <f t="array" ref="AZ10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16" s="84" cm="1">
        <f t="array" ref="BA10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6" s="84" cm="1">
        <f t="array" ref="BB10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6" s="84">
        <f>IF(SUM(Table3[[#This Row],[Column2]:[Column18]])&gt;Table3[[#This Row],[Column19]],Table3[[#This Row],[Column19]],SUM(Table3[[#This Row],[Column2]:[Column18]]))</f>
        <v>10000</v>
      </c>
      <c r="BD1016" s="2">
        <f>Table3[[#This Row],[Total Spend]]/SUM(Table3[[#This Row],[Column2]:[Column18]])</f>
        <v>7.2859744990892539E-2</v>
      </c>
    </row>
    <row r="1017" spans="1:56">
      <c r="A1017" s="84" t="s">
        <v>1091</v>
      </c>
      <c r="B1017" s="84" t="s">
        <v>57</v>
      </c>
      <c r="C1017" s="84"/>
      <c r="D1017" s="85">
        <v>45566</v>
      </c>
      <c r="E1017" s="85" t="s">
        <v>58</v>
      </c>
      <c r="F1017" s="84">
        <f>INDEX(Definitions!$G$13:$G$17,MATCH(Table3[[#This Row],[Propensity to buy/ buyer readiness]],Definitions!$A$13:$A$17,0))</f>
        <v>50000</v>
      </c>
      <c r="G1017" s="86">
        <v>3</v>
      </c>
      <c r="H1017" s="86">
        <v>3</v>
      </c>
      <c r="I1017" s="86">
        <v>4</v>
      </c>
      <c r="J1017" s="86">
        <v>3</v>
      </c>
      <c r="K1017" s="86">
        <v>3</v>
      </c>
      <c r="L1017" s="86">
        <f>SUM(Table3[[#This Row],[Strategic priority segment]:[Propensity to buy/ buyer readiness]])</f>
        <v>16</v>
      </c>
      <c r="M1017" s="86" t="s">
        <v>152</v>
      </c>
      <c r="N1017" s="84" t="s">
        <v>130</v>
      </c>
      <c r="O1017" s="84"/>
      <c r="P1017" s="87"/>
      <c r="Q1017" s="87"/>
      <c r="R1017" s="84"/>
      <c r="S1017" s="84"/>
      <c r="T1017" s="84"/>
      <c r="U1017" s="84">
        <v>1</v>
      </c>
      <c r="V1017" s="84">
        <v>0</v>
      </c>
      <c r="W1017" s="84">
        <v>0</v>
      </c>
      <c r="X1017" s="84">
        <v>0</v>
      </c>
      <c r="Y1017" s="84">
        <v>0</v>
      </c>
      <c r="Z1017" s="84">
        <v>0</v>
      </c>
      <c r="AA1017" s="84">
        <v>0</v>
      </c>
      <c r="AB1017" s="84">
        <v>0</v>
      </c>
      <c r="AC1017" s="84">
        <v>0</v>
      </c>
      <c r="AD1017" s="84">
        <v>0</v>
      </c>
      <c r="AE1017" s="84">
        <v>0</v>
      </c>
      <c r="AF1017" s="84">
        <v>0</v>
      </c>
      <c r="AG1017" s="84">
        <v>0</v>
      </c>
      <c r="AH1017" s="84">
        <v>0</v>
      </c>
      <c r="AI1017" s="84">
        <v>0</v>
      </c>
      <c r="AJ1017" s="84">
        <v>0</v>
      </c>
      <c r="AK1017" s="84">
        <v>0</v>
      </c>
      <c r="AL1017" s="84" cm="1">
        <f t="array" ref="AL10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17" s="84" cm="1">
        <f t="array" ref="AM10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7" s="84" cm="1">
        <f t="array" ref="AN10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7" s="84" cm="1">
        <f t="array" ref="AO10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7" s="84" cm="1">
        <f t="array" ref="AP10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7" s="84" cm="1">
        <f t="array" ref="AQ10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7" s="84" cm="1">
        <f t="array" ref="AR10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7" s="84" cm="1">
        <f t="array" ref="AS10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7" s="84" cm="1">
        <f t="array" ref="AT10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7" s="84" cm="1">
        <f t="array" ref="AU10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7" s="84" cm="1">
        <f t="array" ref="AV10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7" s="84" cm="1">
        <f t="array" ref="AW10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7" s="84" cm="1">
        <f t="array" ref="AX10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7" s="84" cm="1">
        <f t="array" ref="AY10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7" s="84" cm="1">
        <f t="array" ref="AZ10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7" s="84" cm="1">
        <f t="array" ref="BA10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7" s="84" cm="1">
        <f t="array" ref="BB10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7" s="84">
        <f>IF(SUM(Table3[[#This Row],[Column2]:[Column18]])&gt;Table3[[#This Row],[Column19]],Table3[[#This Row],[Column19]],SUM(Table3[[#This Row],[Column2]:[Column18]]))</f>
        <v>10800</v>
      </c>
      <c r="BD1017" s="2">
        <f>Table3[[#This Row],[Total Spend]]/SUM(Table3[[#This Row],[Column2]:[Column18]])</f>
        <v>1</v>
      </c>
    </row>
    <row r="1018" spans="1:56">
      <c r="A1018" s="84" t="s">
        <v>1092</v>
      </c>
      <c r="B1018" s="84" t="s">
        <v>57</v>
      </c>
      <c r="C1018" s="84"/>
      <c r="D1018" s="85">
        <v>45566</v>
      </c>
      <c r="E1018" s="85" t="s">
        <v>92</v>
      </c>
      <c r="F1018" s="84">
        <f>INDEX(Definitions!$G$13:$G$17,MATCH(Table3[[#This Row],[Propensity to buy/ buyer readiness]],Definitions!$A$13:$A$17,0))</f>
        <v>50000</v>
      </c>
      <c r="G1018" s="86">
        <v>3</v>
      </c>
      <c r="H1018" s="86">
        <v>3</v>
      </c>
      <c r="I1018" s="86">
        <v>4</v>
      </c>
      <c r="J1018" s="86">
        <v>3</v>
      </c>
      <c r="K1018" s="86">
        <v>3</v>
      </c>
      <c r="L1018" s="86">
        <f>SUM(Table3[[#This Row],[Strategic priority segment]:[Propensity to buy/ buyer readiness]])</f>
        <v>16</v>
      </c>
      <c r="M1018" s="86" t="s">
        <v>152</v>
      </c>
      <c r="N1018" s="84" t="s">
        <v>130</v>
      </c>
      <c r="O1018" s="84"/>
      <c r="P1018" s="87"/>
      <c r="Q1018" s="87"/>
      <c r="R1018" s="84"/>
      <c r="S1018" s="84"/>
      <c r="T1018" s="87"/>
      <c r="U1018" s="84">
        <v>1</v>
      </c>
      <c r="V1018" s="84">
        <v>0</v>
      </c>
      <c r="W1018" s="84">
        <v>0</v>
      </c>
      <c r="X1018" s="84">
        <v>0</v>
      </c>
      <c r="Y1018" s="84">
        <v>0</v>
      </c>
      <c r="Z1018" s="84">
        <v>0</v>
      </c>
      <c r="AA1018" s="84">
        <v>0</v>
      </c>
      <c r="AB1018" s="84">
        <v>0</v>
      </c>
      <c r="AC1018" s="84">
        <v>0</v>
      </c>
      <c r="AD1018" s="84">
        <v>0</v>
      </c>
      <c r="AE1018" s="84">
        <v>0</v>
      </c>
      <c r="AF1018" s="84">
        <v>0</v>
      </c>
      <c r="AG1018" s="84">
        <v>0</v>
      </c>
      <c r="AH1018" s="84">
        <v>0</v>
      </c>
      <c r="AI1018" s="84">
        <v>0</v>
      </c>
      <c r="AJ1018" s="84">
        <v>0</v>
      </c>
      <c r="AK1018" s="84">
        <v>0</v>
      </c>
      <c r="AL1018" s="84" cm="1">
        <f t="array" ref="AL10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18" s="84" cm="1">
        <f t="array" ref="AM10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8" s="84" cm="1">
        <f t="array" ref="AN10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8" s="84" cm="1">
        <f t="array" ref="AO10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8" s="84" cm="1">
        <f t="array" ref="AP10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8" s="84" cm="1">
        <f t="array" ref="AQ10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8" s="84" cm="1">
        <f t="array" ref="AR10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8" s="84" cm="1">
        <f t="array" ref="AS10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8" s="84" cm="1">
        <f t="array" ref="AT10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8" s="84" cm="1">
        <f t="array" ref="AU10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8" s="84" cm="1">
        <f t="array" ref="AV10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8" s="84" cm="1">
        <f t="array" ref="AW10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8" s="84" cm="1">
        <f t="array" ref="AX10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8" s="84" cm="1">
        <f t="array" ref="AY10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18" s="84" cm="1">
        <f t="array" ref="AZ10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18" s="84" cm="1">
        <f t="array" ref="BA10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18" s="84" cm="1">
        <f t="array" ref="BB10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18" s="84">
        <f>IF(SUM(Table3[[#This Row],[Column2]:[Column18]])&gt;Table3[[#This Row],[Column19]],Table3[[#This Row],[Column19]],SUM(Table3[[#This Row],[Column2]:[Column18]]))</f>
        <v>8100</v>
      </c>
      <c r="BD1018" s="2">
        <f>Table3[[#This Row],[Total Spend]]/SUM(Table3[[#This Row],[Column2]:[Column18]])</f>
        <v>1</v>
      </c>
    </row>
    <row r="1019" spans="1:56">
      <c r="A1019" s="84" t="s">
        <v>1093</v>
      </c>
      <c r="B1019" s="84"/>
      <c r="C1019" s="84"/>
      <c r="D1019" s="85">
        <v>45566</v>
      </c>
      <c r="E1019" s="85" t="s">
        <v>92</v>
      </c>
      <c r="F1019" s="84">
        <f>INDEX(Definitions!$G$13:$G$17,MATCH(Table3[[#This Row],[Propensity to buy/ buyer readiness]],Definitions!$A$13:$A$17,0))</f>
        <v>50000</v>
      </c>
      <c r="G1019" s="86">
        <v>4</v>
      </c>
      <c r="H1019" s="86">
        <v>3</v>
      </c>
      <c r="I1019" s="86">
        <v>3</v>
      </c>
      <c r="J1019" s="86">
        <v>3</v>
      </c>
      <c r="K1019" s="86">
        <v>3</v>
      </c>
      <c r="L1019" s="86">
        <f>SUM(Table3[[#This Row],[Strategic priority segment]:[Propensity to buy/ buyer readiness]])</f>
        <v>16</v>
      </c>
      <c r="M1019" s="86" t="s">
        <v>191</v>
      </c>
      <c r="N1019" s="84" t="s">
        <v>76</v>
      </c>
      <c r="O1019" s="84" t="s">
        <v>135</v>
      </c>
      <c r="P1019" s="84"/>
      <c r="Q1019" s="84"/>
      <c r="R1019" s="84"/>
      <c r="S1019" s="87"/>
      <c r="T1019" s="84"/>
      <c r="U1019" s="84">
        <v>0</v>
      </c>
      <c r="V1019" s="84">
        <v>0</v>
      </c>
      <c r="W1019" s="84">
        <v>0</v>
      </c>
      <c r="X1019" s="84">
        <v>0</v>
      </c>
      <c r="Y1019" s="84">
        <v>0</v>
      </c>
      <c r="Z1019" s="84">
        <v>0</v>
      </c>
      <c r="AA1019" s="84">
        <v>0</v>
      </c>
      <c r="AB1019" s="84">
        <v>0</v>
      </c>
      <c r="AC1019" s="84">
        <v>0</v>
      </c>
      <c r="AD1019" s="84">
        <v>0</v>
      </c>
      <c r="AE1019" s="84">
        <v>0</v>
      </c>
      <c r="AF1019" s="84">
        <v>0</v>
      </c>
      <c r="AG1019" s="84">
        <v>0</v>
      </c>
      <c r="AH1019" s="84">
        <v>1</v>
      </c>
      <c r="AI1019" s="84">
        <v>1</v>
      </c>
      <c r="AJ1019" s="84">
        <v>1</v>
      </c>
      <c r="AK1019" s="84">
        <v>1</v>
      </c>
      <c r="AL1019" s="84" cm="1">
        <f t="array" ref="AL10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19" s="84" cm="1">
        <f t="array" ref="AM10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19" s="84" cm="1">
        <f t="array" ref="AN10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19" s="84" cm="1">
        <f t="array" ref="AO10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19" s="84" cm="1">
        <f t="array" ref="AP10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19" s="84" cm="1">
        <f t="array" ref="AQ10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19" s="84" cm="1">
        <f t="array" ref="AR10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19" s="84" cm="1">
        <f t="array" ref="AS10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19" s="84" cm="1">
        <f t="array" ref="AT10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19" s="84" cm="1">
        <f t="array" ref="AU10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19" s="84" cm="1">
        <f t="array" ref="AV10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19" s="84" cm="1">
        <f t="array" ref="AW10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19" s="84" cm="1">
        <f t="array" ref="AX10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19" s="84" cm="1">
        <f t="array" ref="AY10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19" s="84" cm="1">
        <f t="array" ref="AZ10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19" s="84" cm="1">
        <f t="array" ref="BA10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19" s="84" cm="1">
        <f t="array" ref="BB10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19" s="84">
        <f>IF(SUM(Table3[[#This Row],[Column2]:[Column18]])&gt;Table3[[#This Row],[Column19]],Table3[[#This Row],[Column19]],SUM(Table3[[#This Row],[Column2]:[Column18]]))</f>
        <v>46350</v>
      </c>
      <c r="BD1019" s="2">
        <f>Table3[[#This Row],[Total Spend]]/SUM(Table3[[#This Row],[Column2]:[Column18]])</f>
        <v>1</v>
      </c>
    </row>
    <row r="1020" spans="1:56">
      <c r="A1020" s="84" t="s">
        <v>1094</v>
      </c>
      <c r="B1020" s="84" t="s">
        <v>57</v>
      </c>
      <c r="C1020" s="84" t="s">
        <v>57</v>
      </c>
      <c r="D1020" s="85">
        <v>45566</v>
      </c>
      <c r="E1020" s="85" t="s">
        <v>92</v>
      </c>
      <c r="F1020" s="84">
        <f>INDEX(Definitions!$G$13:$G$17,MATCH(Table3[[#This Row],[Propensity to buy/ buyer readiness]],Definitions!$A$13:$A$17,0))</f>
        <v>10000</v>
      </c>
      <c r="G1020" s="86">
        <v>3</v>
      </c>
      <c r="H1020" s="86">
        <v>3</v>
      </c>
      <c r="I1020" s="86">
        <v>4</v>
      </c>
      <c r="J1020" s="86">
        <v>4</v>
      </c>
      <c r="K1020" s="86">
        <v>2</v>
      </c>
      <c r="L1020" s="86">
        <f>SUM(Table3[[#This Row],[Strategic priority segment]:[Propensity to buy/ buyer readiness]])</f>
        <v>16</v>
      </c>
      <c r="M1020" s="86" t="s">
        <v>59</v>
      </c>
      <c r="N1020" s="84" t="s">
        <v>265</v>
      </c>
      <c r="O1020" s="84"/>
      <c r="P1020" s="87"/>
      <c r="Q1020" s="87"/>
      <c r="R1020" s="84"/>
      <c r="S1020" s="84"/>
      <c r="T1020" s="87"/>
      <c r="U1020" s="84">
        <v>1</v>
      </c>
      <c r="V1020" s="84">
        <v>1</v>
      </c>
      <c r="W1020" s="84">
        <v>1</v>
      </c>
      <c r="X1020" s="84">
        <v>1</v>
      </c>
      <c r="Y1020" s="84">
        <v>0</v>
      </c>
      <c r="Z1020" s="84">
        <v>0</v>
      </c>
      <c r="AA1020" s="84">
        <v>0</v>
      </c>
      <c r="AB1020" s="84">
        <v>0</v>
      </c>
      <c r="AC1020" s="84">
        <v>0</v>
      </c>
      <c r="AD1020" s="84">
        <v>0</v>
      </c>
      <c r="AE1020" s="84">
        <v>0</v>
      </c>
      <c r="AF1020" s="84">
        <v>0</v>
      </c>
      <c r="AG1020" s="84">
        <v>0</v>
      </c>
      <c r="AH1020" s="84">
        <v>0</v>
      </c>
      <c r="AI1020" s="84">
        <v>1</v>
      </c>
      <c r="AJ1020" s="84">
        <v>0</v>
      </c>
      <c r="AK1020" s="84">
        <v>0</v>
      </c>
      <c r="AL1020" s="84" cm="1">
        <f t="array" ref="AL10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20" s="84" cm="1">
        <f t="array" ref="AM10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20" s="84" cm="1">
        <f t="array" ref="AN10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20" s="84" cm="1">
        <f t="array" ref="AO10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20" s="84" cm="1">
        <f t="array" ref="AP10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0" s="84" cm="1">
        <f t="array" ref="AQ10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0" s="84" cm="1">
        <f t="array" ref="AR10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0" s="84" cm="1">
        <f t="array" ref="AS10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0" s="84" cm="1">
        <f t="array" ref="AT10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0" s="84" cm="1">
        <f t="array" ref="AU10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0" s="84" cm="1">
        <f t="array" ref="AV10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0" s="84" cm="1">
        <f t="array" ref="AW10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0" s="84" cm="1">
        <f t="array" ref="AX10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0" s="84" cm="1">
        <f t="array" ref="AY10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0" s="84" cm="1">
        <f t="array" ref="AZ10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20" s="84" cm="1">
        <f t="array" ref="BA10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0" s="84" cm="1">
        <f t="array" ref="BB10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0" s="84">
        <f>IF(SUM(Table3[[#This Row],[Column2]:[Column18]])&gt;Table3[[#This Row],[Column19]],Table3[[#This Row],[Column19]],SUM(Table3[[#This Row],[Column2]:[Column18]]))</f>
        <v>10000</v>
      </c>
      <c r="BD1020" s="2">
        <f>Table3[[#This Row],[Total Spend]]/SUM(Table3[[#This Row],[Column2]:[Column18]])</f>
        <v>7.2859744990892539E-2</v>
      </c>
    </row>
    <row r="1021" spans="1:56">
      <c r="A1021" s="84" t="s">
        <v>1095</v>
      </c>
      <c r="B1021" s="84"/>
      <c r="C1021" s="84"/>
      <c r="D1021" s="85">
        <v>45566</v>
      </c>
      <c r="E1021" s="85" t="s">
        <v>58</v>
      </c>
      <c r="F1021" s="84">
        <f>INDEX(Definitions!$G$13:$G$17,MATCH(Table3[[#This Row],[Propensity to buy/ buyer readiness]],Definitions!$A$13:$A$17,0))</f>
        <v>50000</v>
      </c>
      <c r="G1021" s="86">
        <v>3</v>
      </c>
      <c r="H1021" s="86">
        <v>3</v>
      </c>
      <c r="I1021" s="86">
        <v>3</v>
      </c>
      <c r="J1021" s="86">
        <v>4</v>
      </c>
      <c r="K1021" s="86">
        <v>3</v>
      </c>
      <c r="L1021" s="86">
        <f>SUM(Table3[[#This Row],[Strategic priority segment]:[Propensity to buy/ buyer readiness]])</f>
        <v>16</v>
      </c>
      <c r="M1021" s="86" t="s">
        <v>59</v>
      </c>
      <c r="N1021" s="84" t="s">
        <v>265</v>
      </c>
      <c r="O1021" s="84"/>
      <c r="P1021" s="87"/>
      <c r="Q1021" s="87"/>
      <c r="R1021" s="84"/>
      <c r="S1021" s="87"/>
      <c r="T1021" s="87"/>
      <c r="U1021" s="84">
        <v>1</v>
      </c>
      <c r="V1021" s="84">
        <v>1</v>
      </c>
      <c r="W1021" s="84">
        <v>1</v>
      </c>
      <c r="X1021" s="84">
        <v>1</v>
      </c>
      <c r="Y1021" s="84">
        <v>0</v>
      </c>
      <c r="Z1021" s="84">
        <v>0</v>
      </c>
      <c r="AA1021" s="84">
        <v>0</v>
      </c>
      <c r="AB1021" s="84">
        <v>0</v>
      </c>
      <c r="AC1021" s="84">
        <v>0</v>
      </c>
      <c r="AD1021" s="84">
        <v>0</v>
      </c>
      <c r="AE1021" s="84">
        <v>0</v>
      </c>
      <c r="AF1021" s="84">
        <v>0</v>
      </c>
      <c r="AG1021" s="84">
        <v>0</v>
      </c>
      <c r="AH1021" s="84">
        <v>0</v>
      </c>
      <c r="AI1021" s="84">
        <v>1</v>
      </c>
      <c r="AJ1021" s="84">
        <v>0</v>
      </c>
      <c r="AK1021" s="84">
        <v>0</v>
      </c>
      <c r="AL1021" s="84" cm="1">
        <f t="array" ref="AL10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21" s="84" cm="1">
        <f t="array" ref="AM10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021" s="84" cm="1">
        <f t="array" ref="AN10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021" s="84" cm="1">
        <f t="array" ref="AO10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021" s="84" cm="1">
        <f t="array" ref="AP10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1" s="84" cm="1">
        <f t="array" ref="AQ10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1" s="84" cm="1">
        <f t="array" ref="AR10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1" s="84" cm="1">
        <f t="array" ref="AS10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1" s="84" cm="1">
        <f t="array" ref="AT10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1" s="84" cm="1">
        <f t="array" ref="AU10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1" s="84" cm="1">
        <f t="array" ref="AV10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1" s="84" cm="1">
        <f t="array" ref="AW10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1" s="84" cm="1">
        <f t="array" ref="AX10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1" s="84" cm="1">
        <f t="array" ref="AY10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1" s="84" cm="1">
        <f t="array" ref="AZ10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021" s="84" cm="1">
        <f t="array" ref="BA10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1" s="84" cm="1">
        <f t="array" ref="BB10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1" s="84">
        <f>IF(SUM(Table3[[#This Row],[Column2]:[Column18]])&gt;Table3[[#This Row],[Column19]],Table3[[#This Row],[Column19]],SUM(Table3[[#This Row],[Column2]:[Column18]]))</f>
        <v>50000</v>
      </c>
      <c r="BD1021" s="2">
        <f>Table3[[#This Row],[Total Spend]]/SUM(Table3[[#This Row],[Column2]:[Column18]])</f>
        <v>0.26021337496747332</v>
      </c>
    </row>
    <row r="1022" spans="1:56">
      <c r="A1022" s="84" t="s">
        <v>1096</v>
      </c>
      <c r="B1022" s="84" t="s">
        <v>57</v>
      </c>
      <c r="C1022" s="84"/>
      <c r="D1022" s="85">
        <v>45566</v>
      </c>
      <c r="E1022" s="85" t="s">
        <v>92</v>
      </c>
      <c r="F1022" s="84">
        <f>INDEX(Definitions!$G$13:$G$17,MATCH(Table3[[#This Row],[Propensity to buy/ buyer readiness]],Definitions!$A$13:$A$17,0))</f>
        <v>10000</v>
      </c>
      <c r="G1022" s="86">
        <v>3</v>
      </c>
      <c r="H1022" s="86">
        <v>3</v>
      </c>
      <c r="I1022" s="86">
        <v>4</v>
      </c>
      <c r="J1022" s="86">
        <v>4</v>
      </c>
      <c r="K1022" s="86">
        <v>2</v>
      </c>
      <c r="L1022" s="86">
        <f>SUM(Table3[[#This Row],[Strategic priority segment]:[Propensity to buy/ buyer readiness]])</f>
        <v>16</v>
      </c>
      <c r="M1022" s="86" t="s">
        <v>59</v>
      </c>
      <c r="N1022" s="84" t="s">
        <v>265</v>
      </c>
      <c r="O1022" s="84"/>
      <c r="P1022" s="87"/>
      <c r="Q1022" s="87"/>
      <c r="R1022" s="84"/>
      <c r="S1022" s="84"/>
      <c r="T1022" s="87"/>
      <c r="U1022" s="84">
        <v>1</v>
      </c>
      <c r="V1022" s="84">
        <v>1</v>
      </c>
      <c r="W1022" s="84">
        <v>1</v>
      </c>
      <c r="X1022" s="84">
        <v>1</v>
      </c>
      <c r="Y1022" s="84">
        <v>0</v>
      </c>
      <c r="Z1022" s="84">
        <v>0</v>
      </c>
      <c r="AA1022" s="84">
        <v>0</v>
      </c>
      <c r="AB1022" s="84">
        <v>0</v>
      </c>
      <c r="AC1022" s="84">
        <v>0</v>
      </c>
      <c r="AD1022" s="84">
        <v>0</v>
      </c>
      <c r="AE1022" s="84">
        <v>0</v>
      </c>
      <c r="AF1022" s="84">
        <v>0</v>
      </c>
      <c r="AG1022" s="84">
        <v>0</v>
      </c>
      <c r="AH1022" s="84">
        <v>0</v>
      </c>
      <c r="AI1022" s="84">
        <v>1</v>
      </c>
      <c r="AJ1022" s="84">
        <v>0</v>
      </c>
      <c r="AK1022" s="84">
        <v>0</v>
      </c>
      <c r="AL1022" s="84" cm="1">
        <f t="array" ref="AL10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22" s="84" cm="1">
        <f t="array" ref="AM10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22" s="84" cm="1">
        <f t="array" ref="AN10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22" s="84" cm="1">
        <f t="array" ref="AO10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22" s="84" cm="1">
        <f t="array" ref="AP10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2" s="84" cm="1">
        <f t="array" ref="AQ10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2" s="84" cm="1">
        <f t="array" ref="AR10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2" s="84" cm="1">
        <f t="array" ref="AS10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2" s="84" cm="1">
        <f t="array" ref="AT10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2" s="84" cm="1">
        <f t="array" ref="AU10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2" s="84" cm="1">
        <f t="array" ref="AV10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2" s="84" cm="1">
        <f t="array" ref="AW10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2" s="84" cm="1">
        <f t="array" ref="AX10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2" s="84" cm="1">
        <f t="array" ref="AY10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2" s="84" cm="1">
        <f t="array" ref="AZ10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22" s="84" cm="1">
        <f t="array" ref="BA10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2" s="84" cm="1">
        <f t="array" ref="BB10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2" s="84">
        <f>IF(SUM(Table3[[#This Row],[Column2]:[Column18]])&gt;Table3[[#This Row],[Column19]],Table3[[#This Row],[Column19]],SUM(Table3[[#This Row],[Column2]:[Column18]]))</f>
        <v>10000</v>
      </c>
      <c r="BD1022" s="2">
        <f>Table3[[#This Row],[Total Spend]]/SUM(Table3[[#This Row],[Column2]:[Column18]])</f>
        <v>7.2859744990892539E-2</v>
      </c>
    </row>
    <row r="1023" spans="1:56">
      <c r="A1023" s="84" t="s">
        <v>1097</v>
      </c>
      <c r="B1023" s="84"/>
      <c r="C1023" s="84"/>
      <c r="D1023" s="85">
        <v>45566</v>
      </c>
      <c r="E1023" s="85" t="s">
        <v>92</v>
      </c>
      <c r="F1023" s="84">
        <f>INDEX(Definitions!$G$13:$G$17,MATCH(Table3[[#This Row],[Propensity to buy/ buyer readiness]],Definitions!$A$13:$A$17,0))</f>
        <v>50000</v>
      </c>
      <c r="G1023" s="86">
        <v>4</v>
      </c>
      <c r="H1023" s="86">
        <v>3</v>
      </c>
      <c r="I1023" s="86">
        <v>3</v>
      </c>
      <c r="J1023" s="86">
        <v>3</v>
      </c>
      <c r="K1023" s="86">
        <v>3</v>
      </c>
      <c r="L1023" s="86">
        <f>SUM(Table3[[#This Row],[Strategic priority segment]:[Propensity to buy/ buyer readiness]])</f>
        <v>16</v>
      </c>
      <c r="M1023" s="86" t="s">
        <v>191</v>
      </c>
      <c r="N1023" s="84" t="s">
        <v>76</v>
      </c>
      <c r="O1023" s="84" t="s">
        <v>135</v>
      </c>
      <c r="P1023" s="84"/>
      <c r="Q1023" s="84"/>
      <c r="R1023" s="84"/>
      <c r="S1023" s="87"/>
      <c r="T1023" s="87"/>
      <c r="U1023" s="84">
        <v>0</v>
      </c>
      <c r="V1023" s="84">
        <v>0</v>
      </c>
      <c r="W1023" s="84">
        <v>0</v>
      </c>
      <c r="X1023" s="84">
        <v>0</v>
      </c>
      <c r="Y1023" s="84">
        <v>0</v>
      </c>
      <c r="Z1023" s="84">
        <v>0</v>
      </c>
      <c r="AA1023" s="84">
        <v>0</v>
      </c>
      <c r="AB1023" s="84">
        <v>0</v>
      </c>
      <c r="AC1023" s="84">
        <v>0</v>
      </c>
      <c r="AD1023" s="84">
        <v>0</v>
      </c>
      <c r="AE1023" s="84">
        <v>0</v>
      </c>
      <c r="AF1023" s="84">
        <v>0</v>
      </c>
      <c r="AG1023" s="84">
        <v>0</v>
      </c>
      <c r="AH1023" s="84">
        <v>1</v>
      </c>
      <c r="AI1023" s="84">
        <v>1</v>
      </c>
      <c r="AJ1023" s="84">
        <v>1</v>
      </c>
      <c r="AK1023" s="84">
        <v>1</v>
      </c>
      <c r="AL1023" s="84" cm="1">
        <f t="array" ref="AL10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23" s="84" cm="1">
        <f t="array" ref="AM10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23" s="84" cm="1">
        <f t="array" ref="AN10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23" s="84" cm="1">
        <f t="array" ref="AO10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23" s="84" cm="1">
        <f t="array" ref="AP10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3" s="84" cm="1">
        <f t="array" ref="AQ10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3" s="84" cm="1">
        <f t="array" ref="AR10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3" s="84" cm="1">
        <f t="array" ref="AS10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3" s="84" cm="1">
        <f t="array" ref="AT10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3" s="84" cm="1">
        <f t="array" ref="AU10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3" s="84" cm="1">
        <f t="array" ref="AV10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3" s="84" cm="1">
        <f t="array" ref="AW10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3" s="84" cm="1">
        <f t="array" ref="AX10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3" s="84" cm="1">
        <f t="array" ref="AY10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23" s="84" cm="1">
        <f t="array" ref="AZ10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23" s="84" cm="1">
        <f t="array" ref="BA10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23" s="84" cm="1">
        <f t="array" ref="BB10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23" s="84">
        <f>IF(SUM(Table3[[#This Row],[Column2]:[Column18]])&gt;Table3[[#This Row],[Column19]],Table3[[#This Row],[Column19]],SUM(Table3[[#This Row],[Column2]:[Column18]]))</f>
        <v>46350</v>
      </c>
      <c r="BD1023" s="2">
        <f>Table3[[#This Row],[Total Spend]]/SUM(Table3[[#This Row],[Column2]:[Column18]])</f>
        <v>1</v>
      </c>
    </row>
    <row r="1024" spans="1:56">
      <c r="A1024" s="84" t="s">
        <v>1098</v>
      </c>
      <c r="B1024" s="84"/>
      <c r="C1024" s="84"/>
      <c r="D1024" s="85">
        <v>45566</v>
      </c>
      <c r="E1024" s="85" t="s">
        <v>58</v>
      </c>
      <c r="F1024" s="84">
        <f>INDEX(Definitions!$G$13:$G$17,MATCH(Table3[[#This Row],[Propensity to buy/ buyer readiness]],Definitions!$A$13:$A$17,0))</f>
        <v>150000</v>
      </c>
      <c r="G1024" s="86">
        <v>3</v>
      </c>
      <c r="H1024" s="86">
        <v>3</v>
      </c>
      <c r="I1024" s="86">
        <v>3</v>
      </c>
      <c r="J1024" s="86">
        <v>3</v>
      </c>
      <c r="K1024" s="86">
        <v>4</v>
      </c>
      <c r="L1024" s="86">
        <f>SUM(Table3[[#This Row],[Strategic priority segment]:[Propensity to buy/ buyer readiness]])</f>
        <v>16</v>
      </c>
      <c r="M1024" s="86" t="s">
        <v>191</v>
      </c>
      <c r="N1024" s="84" t="s">
        <v>76</v>
      </c>
      <c r="O1024" s="84"/>
      <c r="P1024" s="84"/>
      <c r="Q1024" s="84"/>
      <c r="R1024" s="84"/>
      <c r="S1024" s="87"/>
      <c r="T1024" s="87"/>
      <c r="U1024" s="84">
        <v>0</v>
      </c>
      <c r="V1024" s="84">
        <v>0</v>
      </c>
      <c r="W1024" s="84">
        <v>0</v>
      </c>
      <c r="X1024" s="84">
        <v>0</v>
      </c>
      <c r="Y1024" s="84">
        <v>0</v>
      </c>
      <c r="Z1024" s="84">
        <v>0</v>
      </c>
      <c r="AA1024" s="84">
        <v>0</v>
      </c>
      <c r="AB1024" s="84">
        <v>0</v>
      </c>
      <c r="AC1024" s="84">
        <v>0</v>
      </c>
      <c r="AD1024" s="84">
        <v>0</v>
      </c>
      <c r="AE1024" s="84">
        <v>0</v>
      </c>
      <c r="AF1024" s="84">
        <v>0</v>
      </c>
      <c r="AG1024" s="84">
        <v>0</v>
      </c>
      <c r="AH1024" s="84">
        <v>1</v>
      </c>
      <c r="AI1024" s="84">
        <v>0</v>
      </c>
      <c r="AJ1024" s="84">
        <v>1</v>
      </c>
      <c r="AK1024" s="84">
        <v>0</v>
      </c>
      <c r="AL1024" s="84" cm="1">
        <f t="array" ref="AL10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24" s="84" cm="1">
        <f t="array" ref="AM10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24" s="84" cm="1">
        <f t="array" ref="AN10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24" s="84" cm="1">
        <f t="array" ref="AO10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24" s="84" cm="1">
        <f t="array" ref="AP10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4" s="84" cm="1">
        <f t="array" ref="AQ10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4" s="84" cm="1">
        <f t="array" ref="AR10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4" s="84" cm="1">
        <f t="array" ref="AS10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4" s="84" cm="1">
        <f t="array" ref="AT10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4" s="84" cm="1">
        <f t="array" ref="AU10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4" s="84" cm="1">
        <f t="array" ref="AV10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4" s="84" cm="1">
        <f t="array" ref="AW10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4" s="84" cm="1">
        <f t="array" ref="AX10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4" s="84" cm="1">
        <f t="array" ref="AY10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024" s="84" cm="1">
        <f t="array" ref="AZ10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24" s="84" cm="1">
        <f t="array" ref="BA10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024" s="84" cm="1">
        <f t="array" ref="BB10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4" s="84">
        <f>IF(SUM(Table3[[#This Row],[Column2]:[Column18]])&gt;Table3[[#This Row],[Column19]],Table3[[#This Row],[Column19]],SUM(Table3[[#This Row],[Column2]:[Column18]]))</f>
        <v>42300</v>
      </c>
      <c r="BD1024" s="2">
        <f>Table3[[#This Row],[Total Spend]]/SUM(Table3[[#This Row],[Column2]:[Column18]])</f>
        <v>1</v>
      </c>
    </row>
    <row r="1025" spans="1:56">
      <c r="A1025" s="84" t="s">
        <v>1099</v>
      </c>
      <c r="B1025" s="84" t="s">
        <v>57</v>
      </c>
      <c r="C1025" s="84"/>
      <c r="D1025" s="85">
        <v>45566</v>
      </c>
      <c r="E1025" s="85" t="s">
        <v>58</v>
      </c>
      <c r="F1025" s="84">
        <f>INDEX(Definitions!$G$13:$G$17,MATCH(Table3[[#This Row],[Propensity to buy/ buyer readiness]],Definitions!$A$13:$A$17,0))</f>
        <v>50000</v>
      </c>
      <c r="G1025" s="86">
        <v>3</v>
      </c>
      <c r="H1025" s="86">
        <v>3</v>
      </c>
      <c r="I1025" s="86">
        <v>4</v>
      </c>
      <c r="J1025" s="86">
        <v>3</v>
      </c>
      <c r="K1025" s="86">
        <v>3</v>
      </c>
      <c r="L1025" s="86">
        <f>SUM(Table3[[#This Row],[Strategic priority segment]:[Propensity to buy/ buyer readiness]])</f>
        <v>16</v>
      </c>
      <c r="M1025" s="86" t="s">
        <v>152</v>
      </c>
      <c r="N1025" s="84" t="s">
        <v>130</v>
      </c>
      <c r="O1025" s="84"/>
      <c r="P1025" s="87"/>
      <c r="Q1025" s="87"/>
      <c r="R1025" s="84"/>
      <c r="S1025" s="84"/>
      <c r="T1025" s="87"/>
      <c r="U1025" s="84">
        <v>1</v>
      </c>
      <c r="V1025" s="84">
        <v>0</v>
      </c>
      <c r="W1025" s="84">
        <v>0</v>
      </c>
      <c r="X1025" s="84">
        <v>0</v>
      </c>
      <c r="Y1025" s="84">
        <v>0</v>
      </c>
      <c r="Z1025" s="84">
        <v>0</v>
      </c>
      <c r="AA1025" s="84">
        <v>0</v>
      </c>
      <c r="AB1025" s="84">
        <v>0</v>
      </c>
      <c r="AC1025" s="84">
        <v>0</v>
      </c>
      <c r="AD1025" s="84">
        <v>0</v>
      </c>
      <c r="AE1025" s="84">
        <v>0</v>
      </c>
      <c r="AF1025" s="84">
        <v>0</v>
      </c>
      <c r="AG1025" s="84">
        <v>0</v>
      </c>
      <c r="AH1025" s="84">
        <v>0</v>
      </c>
      <c r="AI1025" s="84">
        <v>0</v>
      </c>
      <c r="AJ1025" s="84">
        <v>0</v>
      </c>
      <c r="AK1025" s="84">
        <v>0</v>
      </c>
      <c r="AL1025" s="84" cm="1">
        <f t="array" ref="AL10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25" s="84" cm="1">
        <f t="array" ref="AM10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25" s="84" cm="1">
        <f t="array" ref="AN10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25" s="84" cm="1">
        <f t="array" ref="AO10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25" s="84" cm="1">
        <f t="array" ref="AP10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5" s="84" cm="1">
        <f t="array" ref="AQ10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5" s="84" cm="1">
        <f t="array" ref="AR10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5" s="84" cm="1">
        <f t="array" ref="AS10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5" s="84" cm="1">
        <f t="array" ref="AT10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5" s="84" cm="1">
        <f t="array" ref="AU10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5" s="84" cm="1">
        <f t="array" ref="AV10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5" s="84" cm="1">
        <f t="array" ref="AW10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5" s="84" cm="1">
        <f t="array" ref="AX10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5" s="84" cm="1">
        <f t="array" ref="AY10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5" s="84" cm="1">
        <f t="array" ref="AZ10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25" s="84" cm="1">
        <f t="array" ref="BA10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5" s="84" cm="1">
        <f t="array" ref="BB10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5" s="84">
        <f>IF(SUM(Table3[[#This Row],[Column2]:[Column18]])&gt;Table3[[#This Row],[Column19]],Table3[[#This Row],[Column19]],SUM(Table3[[#This Row],[Column2]:[Column18]]))</f>
        <v>10800</v>
      </c>
      <c r="BD1025" s="2">
        <f>Table3[[#This Row],[Total Spend]]/SUM(Table3[[#This Row],[Column2]:[Column18]])</f>
        <v>1</v>
      </c>
    </row>
    <row r="1026" spans="1:56">
      <c r="A1026" s="84" t="s">
        <v>1100</v>
      </c>
      <c r="B1026" s="84" t="s">
        <v>57</v>
      </c>
      <c r="C1026" s="84"/>
      <c r="D1026" s="85">
        <v>45566</v>
      </c>
      <c r="E1026" s="85" t="s">
        <v>58</v>
      </c>
      <c r="F1026" s="84">
        <f>INDEX(Definitions!$G$13:$G$17,MATCH(Table3[[#This Row],[Propensity to buy/ buyer readiness]],Definitions!$A$13:$A$17,0))</f>
        <v>50000</v>
      </c>
      <c r="G1026" s="86">
        <v>3</v>
      </c>
      <c r="H1026" s="86">
        <v>3</v>
      </c>
      <c r="I1026" s="86">
        <v>4</v>
      </c>
      <c r="J1026" s="86">
        <v>3</v>
      </c>
      <c r="K1026" s="86">
        <v>3</v>
      </c>
      <c r="L1026" s="86">
        <f>SUM(Table3[[#This Row],[Strategic priority segment]:[Propensity to buy/ buyer readiness]])</f>
        <v>16</v>
      </c>
      <c r="M1026" s="86" t="s">
        <v>152</v>
      </c>
      <c r="N1026" s="84" t="s">
        <v>264</v>
      </c>
      <c r="O1026" s="84"/>
      <c r="P1026" s="87"/>
      <c r="Q1026" s="87"/>
      <c r="R1026" s="84"/>
      <c r="S1026" s="84"/>
      <c r="T1026" s="87"/>
      <c r="U1026" s="84">
        <v>1</v>
      </c>
      <c r="V1026" s="84">
        <v>0</v>
      </c>
      <c r="W1026" s="84">
        <v>0</v>
      </c>
      <c r="X1026" s="84">
        <v>0</v>
      </c>
      <c r="Y1026" s="84">
        <v>0</v>
      </c>
      <c r="Z1026" s="84">
        <v>0</v>
      </c>
      <c r="AA1026" s="84">
        <v>0</v>
      </c>
      <c r="AB1026" s="84">
        <v>0</v>
      </c>
      <c r="AC1026" s="84">
        <v>0</v>
      </c>
      <c r="AD1026" s="84">
        <v>0</v>
      </c>
      <c r="AE1026" s="84">
        <v>0</v>
      </c>
      <c r="AF1026" s="84">
        <v>0</v>
      </c>
      <c r="AG1026" s="84">
        <v>0</v>
      </c>
      <c r="AH1026" s="84">
        <v>0</v>
      </c>
      <c r="AI1026" s="84">
        <v>0</v>
      </c>
      <c r="AJ1026" s="84">
        <v>0</v>
      </c>
      <c r="AK1026" s="84">
        <v>0</v>
      </c>
      <c r="AL1026" s="84" cm="1">
        <f t="array" ref="AL10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26" s="84" cm="1">
        <f t="array" ref="AM10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26" s="84" cm="1">
        <f t="array" ref="AN10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26" s="84" cm="1">
        <f t="array" ref="AO10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26" s="84" cm="1">
        <f t="array" ref="AP10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6" s="84" cm="1">
        <f t="array" ref="AQ10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6" s="84" cm="1">
        <f t="array" ref="AR10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6" s="84" cm="1">
        <f t="array" ref="AS10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6" s="84" cm="1">
        <f t="array" ref="AT10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6" s="84" cm="1">
        <f t="array" ref="AU10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6" s="84" cm="1">
        <f t="array" ref="AV10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6" s="84" cm="1">
        <f t="array" ref="AW10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6" s="84" cm="1">
        <f t="array" ref="AX10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6" s="84" cm="1">
        <f t="array" ref="AY10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6" s="84" cm="1">
        <f t="array" ref="AZ10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26" s="84" cm="1">
        <f t="array" ref="BA10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6" s="84" cm="1">
        <f t="array" ref="BB10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6" s="84">
        <f>IF(SUM(Table3[[#This Row],[Column2]:[Column18]])&gt;Table3[[#This Row],[Column19]],Table3[[#This Row],[Column19]],SUM(Table3[[#This Row],[Column2]:[Column18]]))</f>
        <v>10800</v>
      </c>
      <c r="BD1026" s="2">
        <f>Table3[[#This Row],[Total Spend]]/SUM(Table3[[#This Row],[Column2]:[Column18]])</f>
        <v>1</v>
      </c>
    </row>
    <row r="1027" spans="1:56">
      <c r="A1027" s="84" t="s">
        <v>1101</v>
      </c>
      <c r="B1027" s="84"/>
      <c r="C1027" s="84"/>
      <c r="D1027" s="85">
        <v>45566</v>
      </c>
      <c r="E1027" s="85" t="s">
        <v>92</v>
      </c>
      <c r="F1027" s="84">
        <f>INDEX(Definitions!$G$13:$G$17,MATCH(Table3[[#This Row],[Propensity to buy/ buyer readiness]],Definitions!$A$13:$A$17,0))</f>
        <v>50000</v>
      </c>
      <c r="G1027" s="86">
        <v>4</v>
      </c>
      <c r="H1027" s="86">
        <v>3</v>
      </c>
      <c r="I1027" s="86">
        <v>3</v>
      </c>
      <c r="J1027" s="86">
        <v>3</v>
      </c>
      <c r="K1027" s="86">
        <v>3</v>
      </c>
      <c r="L1027" s="86">
        <f>SUM(Table3[[#This Row],[Strategic priority segment]:[Propensity to buy/ buyer readiness]])</f>
        <v>16</v>
      </c>
      <c r="M1027" s="86" t="s">
        <v>191</v>
      </c>
      <c r="N1027" s="84" t="s">
        <v>76</v>
      </c>
      <c r="O1027" s="84" t="s">
        <v>135</v>
      </c>
      <c r="P1027" s="84"/>
      <c r="Q1027" s="84"/>
      <c r="R1027" s="84"/>
      <c r="S1027" s="87"/>
      <c r="T1027" s="87"/>
      <c r="U1027" s="84">
        <v>0</v>
      </c>
      <c r="V1027" s="84">
        <v>0</v>
      </c>
      <c r="W1027" s="84">
        <v>0</v>
      </c>
      <c r="X1027" s="84">
        <v>0</v>
      </c>
      <c r="Y1027" s="84">
        <v>0</v>
      </c>
      <c r="Z1027" s="84">
        <v>0</v>
      </c>
      <c r="AA1027" s="84">
        <v>0</v>
      </c>
      <c r="AB1027" s="84">
        <v>0</v>
      </c>
      <c r="AC1027" s="84">
        <v>0</v>
      </c>
      <c r="AD1027" s="84">
        <v>0</v>
      </c>
      <c r="AE1027" s="84">
        <v>0</v>
      </c>
      <c r="AF1027" s="84">
        <v>0</v>
      </c>
      <c r="AG1027" s="84">
        <v>0</v>
      </c>
      <c r="AH1027" s="84">
        <v>1</v>
      </c>
      <c r="AI1027" s="84">
        <v>1</v>
      </c>
      <c r="AJ1027" s="84">
        <v>1</v>
      </c>
      <c r="AK1027" s="84">
        <v>1</v>
      </c>
      <c r="AL1027" s="84" cm="1">
        <f t="array" ref="AL10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27" s="84" cm="1">
        <f t="array" ref="AM10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27" s="84" cm="1">
        <f t="array" ref="AN10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27" s="84" cm="1">
        <f t="array" ref="AO10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27" s="84" cm="1">
        <f t="array" ref="AP10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7" s="84" cm="1">
        <f t="array" ref="AQ10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7" s="84" cm="1">
        <f t="array" ref="AR10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7" s="84" cm="1">
        <f t="array" ref="AS10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7" s="84" cm="1">
        <f t="array" ref="AT10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7" s="84" cm="1">
        <f t="array" ref="AU10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7" s="84" cm="1">
        <f t="array" ref="AV10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7" s="84" cm="1">
        <f t="array" ref="AW10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7" s="84" cm="1">
        <f t="array" ref="AX10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7" s="84" cm="1">
        <f t="array" ref="AY10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27" s="84" cm="1">
        <f t="array" ref="AZ10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27" s="84" cm="1">
        <f t="array" ref="BA10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27" s="84" cm="1">
        <f t="array" ref="BB10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27" s="84">
        <f>IF(SUM(Table3[[#This Row],[Column2]:[Column18]])&gt;Table3[[#This Row],[Column19]],Table3[[#This Row],[Column19]],SUM(Table3[[#This Row],[Column2]:[Column18]]))</f>
        <v>46350</v>
      </c>
      <c r="BD1027" s="2">
        <f>Table3[[#This Row],[Total Spend]]/SUM(Table3[[#This Row],[Column2]:[Column18]])</f>
        <v>1</v>
      </c>
    </row>
    <row r="1028" spans="1:56">
      <c r="A1028" s="84" t="s">
        <v>1102</v>
      </c>
      <c r="B1028" s="84" t="s">
        <v>57</v>
      </c>
      <c r="C1028" s="84"/>
      <c r="D1028" s="85">
        <v>45566</v>
      </c>
      <c r="E1028" s="85" t="s">
        <v>92</v>
      </c>
      <c r="F1028" s="84">
        <f>INDEX(Definitions!$G$13:$G$17,MATCH(Table3[[#This Row],[Propensity to buy/ buyer readiness]],Definitions!$A$13:$A$17,0))</f>
        <v>10000</v>
      </c>
      <c r="G1028" s="86">
        <v>3</v>
      </c>
      <c r="H1028" s="86">
        <v>3</v>
      </c>
      <c r="I1028" s="86">
        <v>4</v>
      </c>
      <c r="J1028" s="86">
        <v>4</v>
      </c>
      <c r="K1028" s="86">
        <v>2</v>
      </c>
      <c r="L1028" s="86">
        <f>SUM(Table3[[#This Row],[Strategic priority segment]:[Propensity to buy/ buyer readiness]])</f>
        <v>16</v>
      </c>
      <c r="M1028" s="86" t="s">
        <v>59</v>
      </c>
      <c r="N1028" s="84" t="s">
        <v>265</v>
      </c>
      <c r="O1028" s="84"/>
      <c r="P1028" s="87"/>
      <c r="Q1028" s="87"/>
      <c r="R1028" s="84"/>
      <c r="S1028" s="84"/>
      <c r="T1028" s="84"/>
      <c r="U1028" s="84">
        <v>1</v>
      </c>
      <c r="V1028" s="84">
        <v>1</v>
      </c>
      <c r="W1028" s="84">
        <v>1</v>
      </c>
      <c r="X1028" s="84">
        <v>1</v>
      </c>
      <c r="Y1028" s="84">
        <v>0</v>
      </c>
      <c r="Z1028" s="84">
        <v>0</v>
      </c>
      <c r="AA1028" s="84">
        <v>0</v>
      </c>
      <c r="AB1028" s="84">
        <v>0</v>
      </c>
      <c r="AC1028" s="84">
        <v>0</v>
      </c>
      <c r="AD1028" s="84">
        <v>0</v>
      </c>
      <c r="AE1028" s="84">
        <v>0</v>
      </c>
      <c r="AF1028" s="84">
        <v>0</v>
      </c>
      <c r="AG1028" s="84">
        <v>0</v>
      </c>
      <c r="AH1028" s="84">
        <v>0</v>
      </c>
      <c r="AI1028" s="84">
        <v>1</v>
      </c>
      <c r="AJ1028" s="84">
        <v>0</v>
      </c>
      <c r="AK1028" s="84">
        <v>0</v>
      </c>
      <c r="AL1028" s="84" cm="1">
        <f t="array" ref="AL10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28" s="84" cm="1">
        <f t="array" ref="AM10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28" s="84" cm="1">
        <f t="array" ref="AN10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28" s="84" cm="1">
        <f t="array" ref="AO10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28" s="84" cm="1">
        <f t="array" ref="AP10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8" s="84" cm="1">
        <f t="array" ref="AQ10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8" s="84" cm="1">
        <f t="array" ref="AR10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8" s="84" cm="1">
        <f t="array" ref="AS10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8" s="84" cm="1">
        <f t="array" ref="AT10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8" s="84" cm="1">
        <f t="array" ref="AU10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8" s="84" cm="1">
        <f t="array" ref="AV10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8" s="84" cm="1">
        <f t="array" ref="AW10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8" s="84" cm="1">
        <f t="array" ref="AX10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8" s="84" cm="1">
        <f t="array" ref="AY10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8" s="84" cm="1">
        <f t="array" ref="AZ10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28" s="84" cm="1">
        <f t="array" ref="BA10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8" s="84" cm="1">
        <f t="array" ref="BB10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8" s="84">
        <f>IF(SUM(Table3[[#This Row],[Column2]:[Column18]])&gt;Table3[[#This Row],[Column19]],Table3[[#This Row],[Column19]],SUM(Table3[[#This Row],[Column2]:[Column18]]))</f>
        <v>10000</v>
      </c>
      <c r="BD1028" s="2">
        <f>Table3[[#This Row],[Total Spend]]/SUM(Table3[[#This Row],[Column2]:[Column18]])</f>
        <v>7.2859744990892539E-2</v>
      </c>
    </row>
    <row r="1029" spans="1:56">
      <c r="A1029" s="84" t="s">
        <v>1103</v>
      </c>
      <c r="B1029" s="84" t="s">
        <v>57</v>
      </c>
      <c r="C1029" s="84"/>
      <c r="D1029" s="85">
        <v>45566</v>
      </c>
      <c r="E1029" s="85" t="s">
        <v>92</v>
      </c>
      <c r="F1029" s="84">
        <f>INDEX(Definitions!$G$13:$G$17,MATCH(Table3[[#This Row],[Propensity to buy/ buyer readiness]],Definitions!$A$13:$A$17,0))</f>
        <v>10000</v>
      </c>
      <c r="G1029" s="86">
        <v>3</v>
      </c>
      <c r="H1029" s="86">
        <v>3</v>
      </c>
      <c r="I1029" s="86">
        <v>4</v>
      </c>
      <c r="J1029" s="86">
        <v>4</v>
      </c>
      <c r="K1029" s="86">
        <v>2</v>
      </c>
      <c r="L1029" s="86">
        <f>SUM(Table3[[#This Row],[Strategic priority segment]:[Propensity to buy/ buyer readiness]])</f>
        <v>16</v>
      </c>
      <c r="M1029" s="86" t="s">
        <v>59</v>
      </c>
      <c r="N1029" s="84" t="s">
        <v>265</v>
      </c>
      <c r="O1029" s="84"/>
      <c r="P1029" s="87"/>
      <c r="Q1029" s="87"/>
      <c r="R1029" s="84"/>
      <c r="S1029" s="84"/>
      <c r="T1029" s="87"/>
      <c r="U1029" s="84">
        <v>1</v>
      </c>
      <c r="V1029" s="84">
        <v>1</v>
      </c>
      <c r="W1029" s="84">
        <v>1</v>
      </c>
      <c r="X1029" s="84">
        <v>1</v>
      </c>
      <c r="Y1029" s="84">
        <v>0</v>
      </c>
      <c r="Z1029" s="84">
        <v>0</v>
      </c>
      <c r="AA1029" s="84">
        <v>0</v>
      </c>
      <c r="AB1029" s="84">
        <v>0</v>
      </c>
      <c r="AC1029" s="84">
        <v>0</v>
      </c>
      <c r="AD1029" s="84">
        <v>0</v>
      </c>
      <c r="AE1029" s="84">
        <v>0</v>
      </c>
      <c r="AF1029" s="84">
        <v>0</v>
      </c>
      <c r="AG1029" s="84">
        <v>0</v>
      </c>
      <c r="AH1029" s="84">
        <v>0</v>
      </c>
      <c r="AI1029" s="84">
        <v>1</v>
      </c>
      <c r="AJ1029" s="84">
        <v>0</v>
      </c>
      <c r="AK1029" s="84">
        <v>0</v>
      </c>
      <c r="AL1029" s="84" cm="1">
        <f t="array" ref="AL10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29" s="84" cm="1">
        <f t="array" ref="AM10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29" s="84" cm="1">
        <f t="array" ref="AN10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29" s="84" cm="1">
        <f t="array" ref="AO10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29" s="84" cm="1">
        <f t="array" ref="AP10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29" s="84" cm="1">
        <f t="array" ref="AQ10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29" s="84" cm="1">
        <f t="array" ref="AR10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29" s="84" cm="1">
        <f t="array" ref="AS10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29" s="84" cm="1">
        <f t="array" ref="AT10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29" s="84" cm="1">
        <f t="array" ref="AU10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29" s="84" cm="1">
        <f t="array" ref="AV10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29" s="84" cm="1">
        <f t="array" ref="AW10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29" s="84" cm="1">
        <f t="array" ref="AX10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29" s="84" cm="1">
        <f t="array" ref="AY10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29" s="84" cm="1">
        <f t="array" ref="AZ10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29" s="84" cm="1">
        <f t="array" ref="BA10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29" s="84" cm="1">
        <f t="array" ref="BB10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29" s="84">
        <f>IF(SUM(Table3[[#This Row],[Column2]:[Column18]])&gt;Table3[[#This Row],[Column19]],Table3[[#This Row],[Column19]],SUM(Table3[[#This Row],[Column2]:[Column18]]))</f>
        <v>10000</v>
      </c>
      <c r="BD1029" s="2">
        <f>Table3[[#This Row],[Total Spend]]/SUM(Table3[[#This Row],[Column2]:[Column18]])</f>
        <v>7.2859744990892539E-2</v>
      </c>
    </row>
    <row r="1030" spans="1:56">
      <c r="A1030" s="84" t="s">
        <v>1104</v>
      </c>
      <c r="B1030" s="84" t="s">
        <v>57</v>
      </c>
      <c r="C1030" s="84"/>
      <c r="D1030" s="85">
        <v>45566</v>
      </c>
      <c r="E1030" s="85" t="s">
        <v>92</v>
      </c>
      <c r="F1030" s="84">
        <f>INDEX(Definitions!$G$13:$G$17,MATCH(Table3[[#This Row],[Propensity to buy/ buyer readiness]],Definitions!$A$13:$A$17,0))</f>
        <v>10000</v>
      </c>
      <c r="G1030" s="86">
        <v>4</v>
      </c>
      <c r="H1030" s="86">
        <v>3</v>
      </c>
      <c r="I1030" s="86">
        <v>4</v>
      </c>
      <c r="J1030" s="86">
        <v>3</v>
      </c>
      <c r="K1030" s="86">
        <v>2</v>
      </c>
      <c r="L1030" s="86">
        <f>SUM(Table3[[#This Row],[Strategic priority segment]:[Propensity to buy/ buyer readiness]])</f>
        <v>16</v>
      </c>
      <c r="M1030" s="86" t="s">
        <v>191</v>
      </c>
      <c r="N1030" s="84" t="s">
        <v>135</v>
      </c>
      <c r="O1030" s="84"/>
      <c r="P1030" s="87"/>
      <c r="Q1030" s="87"/>
      <c r="R1030" s="84"/>
      <c r="S1030" s="84"/>
      <c r="T1030" s="87"/>
      <c r="U1030" s="84">
        <v>0</v>
      </c>
      <c r="V1030" s="84">
        <v>0</v>
      </c>
      <c r="W1030" s="84">
        <v>0</v>
      </c>
      <c r="X1030" s="84">
        <v>0</v>
      </c>
      <c r="Y1030" s="84">
        <v>0</v>
      </c>
      <c r="Z1030" s="84">
        <v>0</v>
      </c>
      <c r="AA1030" s="84">
        <v>0</v>
      </c>
      <c r="AB1030" s="84">
        <v>0</v>
      </c>
      <c r="AC1030" s="84">
        <v>0</v>
      </c>
      <c r="AD1030" s="84">
        <v>0</v>
      </c>
      <c r="AE1030" s="84">
        <v>0</v>
      </c>
      <c r="AF1030" s="84">
        <v>0</v>
      </c>
      <c r="AG1030" s="84">
        <v>0</v>
      </c>
      <c r="AH1030" s="84">
        <v>1</v>
      </c>
      <c r="AI1030" s="84">
        <v>1</v>
      </c>
      <c r="AJ1030" s="84">
        <v>1</v>
      </c>
      <c r="AK1030" s="84">
        <v>1</v>
      </c>
      <c r="AL1030" s="84" cm="1">
        <f t="array" ref="AL10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30" s="84" cm="1">
        <f t="array" ref="AM10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0" s="84" cm="1">
        <f t="array" ref="AN10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0" s="84" cm="1">
        <f t="array" ref="AO10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0" s="84" cm="1">
        <f t="array" ref="AP10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0" s="84" cm="1">
        <f t="array" ref="AQ10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0" s="84" cm="1">
        <f t="array" ref="AR10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0" s="84" cm="1">
        <f t="array" ref="AS10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0" s="84" cm="1">
        <f t="array" ref="AT10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0" s="84" cm="1">
        <f t="array" ref="AU10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0" s="84" cm="1">
        <f t="array" ref="AV10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0" s="84" cm="1">
        <f t="array" ref="AW10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0" s="84" cm="1">
        <f t="array" ref="AX10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0" s="84" cm="1">
        <f t="array" ref="AY10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30" s="84" cm="1">
        <f t="array" ref="AZ10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30" s="84" cm="1">
        <f t="array" ref="BA10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30" s="84" cm="1">
        <f t="array" ref="BB10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30" s="84">
        <f>IF(SUM(Table3[[#This Row],[Column2]:[Column18]])&gt;Table3[[#This Row],[Column19]],Table3[[#This Row],[Column19]],SUM(Table3[[#This Row],[Column2]:[Column18]]))</f>
        <v>10000</v>
      </c>
      <c r="BD1030" s="2">
        <f>Table3[[#This Row],[Total Spend]]/SUM(Table3[[#This Row],[Column2]:[Column18]])</f>
        <v>0.21574973031283712</v>
      </c>
    </row>
    <row r="1031" spans="1:56">
      <c r="A1031" s="84" t="s">
        <v>1105</v>
      </c>
      <c r="B1031" s="84"/>
      <c r="C1031" s="84"/>
      <c r="D1031" s="85">
        <v>45566</v>
      </c>
      <c r="E1031" s="85" t="s">
        <v>58</v>
      </c>
      <c r="F1031" s="84">
        <f>INDEX(Definitions!$G$13:$G$17,MATCH(Table3[[#This Row],[Propensity to buy/ buyer readiness]],Definitions!$A$13:$A$17,0))</f>
        <v>50000</v>
      </c>
      <c r="G1031" s="86">
        <v>3</v>
      </c>
      <c r="H1031" s="86">
        <v>3</v>
      </c>
      <c r="I1031" s="86">
        <v>3</v>
      </c>
      <c r="J1031" s="86">
        <v>4</v>
      </c>
      <c r="K1031" s="86">
        <v>3</v>
      </c>
      <c r="L1031" s="86">
        <f>SUM(Table3[[#This Row],[Strategic priority segment]:[Propensity to buy/ buyer readiness]])</f>
        <v>16</v>
      </c>
      <c r="M1031" s="86" t="s">
        <v>59</v>
      </c>
      <c r="N1031" s="84" t="s">
        <v>265</v>
      </c>
      <c r="O1031" s="84"/>
      <c r="P1031" s="87"/>
      <c r="Q1031" s="87"/>
      <c r="R1031" s="84"/>
      <c r="S1031" s="87"/>
      <c r="T1031" s="84"/>
      <c r="U1031" s="84">
        <v>1</v>
      </c>
      <c r="V1031" s="84">
        <v>1</v>
      </c>
      <c r="W1031" s="84">
        <v>1</v>
      </c>
      <c r="X1031" s="84">
        <v>1</v>
      </c>
      <c r="Y1031" s="84">
        <v>0</v>
      </c>
      <c r="Z1031" s="84">
        <v>0</v>
      </c>
      <c r="AA1031" s="84">
        <v>0</v>
      </c>
      <c r="AB1031" s="84">
        <v>0</v>
      </c>
      <c r="AC1031" s="84">
        <v>0</v>
      </c>
      <c r="AD1031" s="84">
        <v>0</v>
      </c>
      <c r="AE1031" s="84">
        <v>0</v>
      </c>
      <c r="AF1031" s="84">
        <v>0</v>
      </c>
      <c r="AG1031" s="84">
        <v>0</v>
      </c>
      <c r="AH1031" s="84">
        <v>0</v>
      </c>
      <c r="AI1031" s="84">
        <v>1</v>
      </c>
      <c r="AJ1031" s="84">
        <v>0</v>
      </c>
      <c r="AK1031" s="84">
        <v>0</v>
      </c>
      <c r="AL1031" s="84" cm="1">
        <f t="array" ref="AL10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31" s="84" cm="1">
        <f t="array" ref="AM10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43200</v>
      </c>
      <c r="AN1031" s="84" cm="1">
        <f t="array" ref="AN10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73800</v>
      </c>
      <c r="AO1031" s="84" cm="1">
        <f t="array" ref="AO10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48600</v>
      </c>
      <c r="AP1031" s="84" cm="1">
        <f t="array" ref="AP10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1" s="84" cm="1">
        <f t="array" ref="AQ10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1" s="84" cm="1">
        <f t="array" ref="AR10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1" s="84" cm="1">
        <f t="array" ref="AS10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1" s="84" cm="1">
        <f t="array" ref="AT10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1" s="84" cm="1">
        <f t="array" ref="AU10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1" s="84" cm="1">
        <f t="array" ref="AV10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1" s="84" cm="1">
        <f t="array" ref="AW10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1" s="84" cm="1">
        <f t="array" ref="AX10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1" s="84" cm="1">
        <f t="array" ref="AY10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1" s="84" cm="1">
        <f t="array" ref="AZ10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031" s="84" cm="1">
        <f t="array" ref="BA10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1" s="84" cm="1">
        <f t="array" ref="BB10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1" s="84">
        <f>IF(SUM(Table3[[#This Row],[Column2]:[Column18]])&gt;Table3[[#This Row],[Column19]],Table3[[#This Row],[Column19]],SUM(Table3[[#This Row],[Column2]:[Column18]]))</f>
        <v>50000</v>
      </c>
      <c r="BD1031" s="2">
        <f>Table3[[#This Row],[Total Spend]]/SUM(Table3[[#This Row],[Column2]:[Column18]])</f>
        <v>0.26021337496747332</v>
      </c>
    </row>
    <row r="1032" spans="1:56">
      <c r="A1032" s="84" t="s">
        <v>1106</v>
      </c>
      <c r="B1032" s="84" t="s">
        <v>57</v>
      </c>
      <c r="C1032" s="84"/>
      <c r="D1032" s="85">
        <v>45566</v>
      </c>
      <c r="E1032" s="85" t="s">
        <v>92</v>
      </c>
      <c r="F1032" s="84">
        <f>INDEX(Definitions!$G$13:$G$17,MATCH(Table3[[#This Row],[Propensity to buy/ buyer readiness]],Definitions!$A$13:$A$17,0))</f>
        <v>10000</v>
      </c>
      <c r="G1032" s="86">
        <v>3</v>
      </c>
      <c r="H1032" s="86">
        <v>3</v>
      </c>
      <c r="I1032" s="86">
        <v>4</v>
      </c>
      <c r="J1032" s="86">
        <v>4</v>
      </c>
      <c r="K1032" s="86">
        <v>2</v>
      </c>
      <c r="L1032" s="86">
        <f>SUM(Table3[[#This Row],[Strategic priority segment]:[Propensity to buy/ buyer readiness]])</f>
        <v>16</v>
      </c>
      <c r="M1032" s="86" t="s">
        <v>59</v>
      </c>
      <c r="N1032" s="84" t="s">
        <v>265</v>
      </c>
      <c r="O1032" s="84"/>
      <c r="P1032" s="87"/>
      <c r="Q1032" s="87"/>
      <c r="R1032" s="84"/>
      <c r="S1032" s="84"/>
      <c r="T1032" s="87"/>
      <c r="U1032" s="84">
        <v>1</v>
      </c>
      <c r="V1032" s="84">
        <v>1</v>
      </c>
      <c r="W1032" s="84">
        <v>1</v>
      </c>
      <c r="X1032" s="84">
        <v>1</v>
      </c>
      <c r="Y1032" s="84">
        <v>0</v>
      </c>
      <c r="Z1032" s="84">
        <v>0</v>
      </c>
      <c r="AA1032" s="84">
        <v>0</v>
      </c>
      <c r="AB1032" s="84">
        <v>0</v>
      </c>
      <c r="AC1032" s="84">
        <v>0</v>
      </c>
      <c r="AD1032" s="84">
        <v>0</v>
      </c>
      <c r="AE1032" s="84">
        <v>0</v>
      </c>
      <c r="AF1032" s="84">
        <v>0</v>
      </c>
      <c r="AG1032" s="84">
        <v>0</v>
      </c>
      <c r="AH1032" s="84">
        <v>0</v>
      </c>
      <c r="AI1032" s="84">
        <v>1</v>
      </c>
      <c r="AJ1032" s="84">
        <v>0</v>
      </c>
      <c r="AK1032" s="84">
        <v>0</v>
      </c>
      <c r="AL1032" s="84" cm="1">
        <f t="array" ref="AL10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32" s="84" cm="1">
        <f t="array" ref="AM10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32" s="84" cm="1">
        <f t="array" ref="AN10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32" s="84" cm="1">
        <f t="array" ref="AO10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32" s="84" cm="1">
        <f t="array" ref="AP10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2" s="84" cm="1">
        <f t="array" ref="AQ10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2" s="84" cm="1">
        <f t="array" ref="AR10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2" s="84" cm="1">
        <f t="array" ref="AS10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2" s="84" cm="1">
        <f t="array" ref="AT10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2" s="84" cm="1">
        <f t="array" ref="AU10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2" s="84" cm="1">
        <f t="array" ref="AV10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2" s="84" cm="1">
        <f t="array" ref="AW10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2" s="84" cm="1">
        <f t="array" ref="AX10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2" s="84" cm="1">
        <f t="array" ref="AY10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2" s="84" cm="1">
        <f t="array" ref="AZ10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32" s="84" cm="1">
        <f t="array" ref="BA10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2" s="84" cm="1">
        <f t="array" ref="BB10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2" s="84">
        <f>IF(SUM(Table3[[#This Row],[Column2]:[Column18]])&gt;Table3[[#This Row],[Column19]],Table3[[#This Row],[Column19]],SUM(Table3[[#This Row],[Column2]:[Column18]]))</f>
        <v>10000</v>
      </c>
      <c r="BD1032" s="2">
        <f>Table3[[#This Row],[Total Spend]]/SUM(Table3[[#This Row],[Column2]:[Column18]])</f>
        <v>7.2859744990892539E-2</v>
      </c>
    </row>
    <row r="1033" spans="1:56" ht="16.5" customHeight="1">
      <c r="A1033" s="84" t="s">
        <v>1107</v>
      </c>
      <c r="B1033" s="84"/>
      <c r="C1033" s="84"/>
      <c r="D1033" s="85">
        <v>45566</v>
      </c>
      <c r="E1033" s="85" t="s">
        <v>92</v>
      </c>
      <c r="F1033" s="84">
        <f>INDEX(Definitions!$G$13:$G$17,MATCH(Table3[[#This Row],[Propensity to buy/ buyer readiness]],Definitions!$A$13:$A$17,0))</f>
        <v>50000</v>
      </c>
      <c r="G1033" s="86">
        <v>4</v>
      </c>
      <c r="H1033" s="86">
        <v>3</v>
      </c>
      <c r="I1033" s="86">
        <v>3</v>
      </c>
      <c r="J1033" s="86">
        <v>3</v>
      </c>
      <c r="K1033" s="86">
        <v>3</v>
      </c>
      <c r="L1033" s="86">
        <f>SUM(Table3[[#This Row],[Strategic priority segment]:[Propensity to buy/ buyer readiness]])</f>
        <v>16</v>
      </c>
      <c r="M1033" s="86" t="s">
        <v>191</v>
      </c>
      <c r="N1033" s="84" t="s">
        <v>76</v>
      </c>
      <c r="O1033" s="84" t="s">
        <v>135</v>
      </c>
      <c r="P1033" s="87"/>
      <c r="Q1033" s="87"/>
      <c r="R1033" s="84"/>
      <c r="S1033" s="87"/>
      <c r="T1033" s="84"/>
      <c r="U1033" s="84">
        <v>0</v>
      </c>
      <c r="V1033" s="84">
        <v>0</v>
      </c>
      <c r="W1033" s="84">
        <v>0</v>
      </c>
      <c r="X1033" s="84">
        <v>0</v>
      </c>
      <c r="Y1033" s="84">
        <v>0</v>
      </c>
      <c r="Z1033" s="84">
        <v>0</v>
      </c>
      <c r="AA1033" s="84">
        <v>0</v>
      </c>
      <c r="AB1033" s="84">
        <v>0</v>
      </c>
      <c r="AC1033" s="84">
        <v>0</v>
      </c>
      <c r="AD1033" s="84">
        <v>0</v>
      </c>
      <c r="AE1033" s="84">
        <v>0</v>
      </c>
      <c r="AF1033" s="84">
        <v>0</v>
      </c>
      <c r="AG1033" s="84">
        <v>0</v>
      </c>
      <c r="AH1033" s="84">
        <v>1</v>
      </c>
      <c r="AI1033" s="84">
        <v>1</v>
      </c>
      <c r="AJ1033" s="84">
        <v>1</v>
      </c>
      <c r="AK1033" s="84">
        <v>1</v>
      </c>
      <c r="AL1033" s="84" cm="1">
        <f t="array" ref="AL10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33" s="84" cm="1">
        <f t="array" ref="AM10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3" s="84" cm="1">
        <f t="array" ref="AN10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3" s="84" cm="1">
        <f t="array" ref="AO10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3" s="84" cm="1">
        <f t="array" ref="AP10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3" s="84" cm="1">
        <f t="array" ref="AQ10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3" s="84" cm="1">
        <f t="array" ref="AR10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3" s="84" cm="1">
        <f t="array" ref="AS10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3" s="84" cm="1">
        <f t="array" ref="AT10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3" s="84" cm="1">
        <f t="array" ref="AU10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3" s="84" cm="1">
        <f t="array" ref="AV10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3" s="84" cm="1">
        <f t="array" ref="AW10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3" s="84" cm="1">
        <f t="array" ref="AX10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3" s="84" cm="1">
        <f t="array" ref="AY10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33" s="84" cm="1">
        <f t="array" ref="AZ10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33" s="84" cm="1">
        <f t="array" ref="BA10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33" s="84" cm="1">
        <f t="array" ref="BB10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33" s="84">
        <f>IF(SUM(Table3[[#This Row],[Column2]:[Column18]])&gt;Table3[[#This Row],[Column19]],Table3[[#This Row],[Column19]],SUM(Table3[[#This Row],[Column2]:[Column18]]))</f>
        <v>46350</v>
      </c>
      <c r="BD1033" s="2">
        <f>Table3[[#This Row],[Total Spend]]/SUM(Table3[[#This Row],[Column2]:[Column18]])</f>
        <v>1</v>
      </c>
    </row>
    <row r="1034" spans="1:56">
      <c r="A1034" s="84" t="s">
        <v>1108</v>
      </c>
      <c r="B1034" s="84"/>
      <c r="C1034" s="84"/>
      <c r="D1034" s="85">
        <v>45566</v>
      </c>
      <c r="E1034" s="85" t="s">
        <v>92</v>
      </c>
      <c r="F1034" s="84">
        <f>INDEX(Definitions!$G$13:$G$17,MATCH(Table3[[#This Row],[Propensity to buy/ buyer readiness]],Definitions!$A$13:$A$17,0))</f>
        <v>50000</v>
      </c>
      <c r="G1034" s="86">
        <v>4</v>
      </c>
      <c r="H1034" s="86">
        <v>3</v>
      </c>
      <c r="I1034" s="86">
        <v>3</v>
      </c>
      <c r="J1034" s="86">
        <v>3</v>
      </c>
      <c r="K1034" s="86">
        <v>3</v>
      </c>
      <c r="L1034" s="86">
        <f>SUM(Table3[[#This Row],[Strategic priority segment]:[Propensity to buy/ buyer readiness]])</f>
        <v>16</v>
      </c>
      <c r="M1034" s="86" t="s">
        <v>191</v>
      </c>
      <c r="N1034" s="84" t="s">
        <v>76</v>
      </c>
      <c r="O1034" s="84" t="s">
        <v>135</v>
      </c>
      <c r="P1034" s="87"/>
      <c r="Q1034" s="87"/>
      <c r="R1034" s="84"/>
      <c r="S1034" s="87"/>
      <c r="T1034" s="84"/>
      <c r="U1034" s="84">
        <v>0</v>
      </c>
      <c r="V1034" s="84">
        <v>0</v>
      </c>
      <c r="W1034" s="84">
        <v>0</v>
      </c>
      <c r="X1034" s="84">
        <v>0</v>
      </c>
      <c r="Y1034" s="84">
        <v>0</v>
      </c>
      <c r="Z1034" s="84">
        <v>0</v>
      </c>
      <c r="AA1034" s="84">
        <v>0</v>
      </c>
      <c r="AB1034" s="84">
        <v>0</v>
      </c>
      <c r="AC1034" s="84">
        <v>0</v>
      </c>
      <c r="AD1034" s="84">
        <v>0</v>
      </c>
      <c r="AE1034" s="84">
        <v>0</v>
      </c>
      <c r="AF1034" s="84">
        <v>0</v>
      </c>
      <c r="AG1034" s="84">
        <v>0</v>
      </c>
      <c r="AH1034" s="84">
        <v>1</v>
      </c>
      <c r="AI1034" s="84">
        <v>1</v>
      </c>
      <c r="AJ1034" s="84">
        <v>1</v>
      </c>
      <c r="AK1034" s="84">
        <v>1</v>
      </c>
      <c r="AL1034" s="84" cm="1">
        <f t="array" ref="AL10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34" s="84" cm="1">
        <f t="array" ref="AM10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4" s="84" cm="1">
        <f t="array" ref="AN10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4" s="84" cm="1">
        <f t="array" ref="AO10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4" s="84" cm="1">
        <f t="array" ref="AP10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4" s="84" cm="1">
        <f t="array" ref="AQ10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4" s="84" cm="1">
        <f t="array" ref="AR10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4" s="84" cm="1">
        <f t="array" ref="AS10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4" s="84" cm="1">
        <f t="array" ref="AT10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4" s="84" cm="1">
        <f t="array" ref="AU10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4" s="84" cm="1">
        <f t="array" ref="AV10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4" s="84" cm="1">
        <f t="array" ref="AW10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4" s="84" cm="1">
        <f t="array" ref="AX10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4" s="84" cm="1">
        <f t="array" ref="AY10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34" s="84" cm="1">
        <f t="array" ref="AZ10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34" s="84" cm="1">
        <f t="array" ref="BA10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34" s="84" cm="1">
        <f t="array" ref="BB10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34" s="84">
        <f>IF(SUM(Table3[[#This Row],[Column2]:[Column18]])&gt;Table3[[#This Row],[Column19]],Table3[[#This Row],[Column19]],SUM(Table3[[#This Row],[Column2]:[Column18]]))</f>
        <v>46350</v>
      </c>
      <c r="BD1034" s="2">
        <f>Table3[[#This Row],[Total Spend]]/SUM(Table3[[#This Row],[Column2]:[Column18]])</f>
        <v>1</v>
      </c>
    </row>
    <row r="1035" spans="1:56">
      <c r="A1035" s="84" t="s">
        <v>1109</v>
      </c>
      <c r="B1035" s="84"/>
      <c r="C1035" s="84"/>
      <c r="D1035" s="85">
        <v>45566</v>
      </c>
      <c r="E1035" s="85" t="s">
        <v>92</v>
      </c>
      <c r="F1035" s="84">
        <f>INDEX(Definitions!$G$13:$G$17,MATCH(Table3[[#This Row],[Propensity to buy/ buyer readiness]],Definitions!$A$13:$A$17,0))</f>
        <v>10000</v>
      </c>
      <c r="G1035" s="86">
        <v>3</v>
      </c>
      <c r="H1035" s="86">
        <v>3</v>
      </c>
      <c r="I1035" s="86">
        <v>3</v>
      </c>
      <c r="J1035" s="86">
        <v>4</v>
      </c>
      <c r="K1035" s="86">
        <v>2</v>
      </c>
      <c r="L1035" s="86">
        <f>SUM(Table3[[#This Row],[Strategic priority segment]:[Propensity to buy/ buyer readiness]])</f>
        <v>15</v>
      </c>
      <c r="M1035" s="86" t="s">
        <v>59</v>
      </c>
      <c r="N1035" s="84" t="s">
        <v>265</v>
      </c>
      <c r="O1035" s="84"/>
      <c r="P1035" s="87"/>
      <c r="Q1035" s="87"/>
      <c r="R1035" s="84"/>
      <c r="S1035" s="87"/>
      <c r="T1035" s="87"/>
      <c r="U1035" s="84">
        <v>1</v>
      </c>
      <c r="V1035" s="84">
        <v>1</v>
      </c>
      <c r="W1035" s="84">
        <v>1</v>
      </c>
      <c r="X1035" s="84">
        <v>1</v>
      </c>
      <c r="Y1035" s="84">
        <v>0</v>
      </c>
      <c r="Z1035" s="84">
        <v>0</v>
      </c>
      <c r="AA1035" s="84">
        <v>0</v>
      </c>
      <c r="AB1035" s="84">
        <v>0</v>
      </c>
      <c r="AC1035" s="84">
        <v>0</v>
      </c>
      <c r="AD1035" s="84">
        <v>0</v>
      </c>
      <c r="AE1035" s="84">
        <v>0</v>
      </c>
      <c r="AF1035" s="84">
        <v>0</v>
      </c>
      <c r="AG1035" s="84">
        <v>0</v>
      </c>
      <c r="AH1035" s="84">
        <v>0</v>
      </c>
      <c r="AI1035" s="84">
        <v>1</v>
      </c>
      <c r="AJ1035" s="84">
        <v>0</v>
      </c>
      <c r="AK1035" s="84">
        <v>0</v>
      </c>
      <c r="AL1035" s="84" cm="1">
        <f t="array" ref="AL10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35" s="84" cm="1">
        <f t="array" ref="AM10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35" s="84" cm="1">
        <f t="array" ref="AN10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35" s="84" cm="1">
        <f t="array" ref="AO10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35" s="84" cm="1">
        <f t="array" ref="AP10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5" s="84" cm="1">
        <f t="array" ref="AQ10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5" s="84" cm="1">
        <f t="array" ref="AR10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5" s="84" cm="1">
        <f t="array" ref="AS10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5" s="84" cm="1">
        <f t="array" ref="AT10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5" s="84" cm="1">
        <f t="array" ref="AU10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5" s="84" cm="1">
        <f t="array" ref="AV10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5" s="84" cm="1">
        <f t="array" ref="AW10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5" s="84" cm="1">
        <f t="array" ref="AX10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5" s="84" cm="1">
        <f t="array" ref="AY10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5" s="84" cm="1">
        <f t="array" ref="AZ10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35" s="84" cm="1">
        <f t="array" ref="BA10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5" s="84" cm="1">
        <f t="array" ref="BB10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5" s="84">
        <f>IF(SUM(Table3[[#This Row],[Column2]:[Column18]])&gt;Table3[[#This Row],[Column19]],Table3[[#This Row],[Column19]],SUM(Table3[[#This Row],[Column2]:[Column18]]))</f>
        <v>10000</v>
      </c>
      <c r="BD1035" s="2">
        <f>Table3[[#This Row],[Total Spend]]/SUM(Table3[[#This Row],[Column2]:[Column18]])</f>
        <v>7.2859744990892539E-2</v>
      </c>
    </row>
    <row r="1036" spans="1:56">
      <c r="A1036" s="84" t="s">
        <v>1110</v>
      </c>
      <c r="B1036" s="84" t="s">
        <v>57</v>
      </c>
      <c r="C1036" s="84"/>
      <c r="D1036" s="85">
        <v>45566</v>
      </c>
      <c r="E1036" s="85" t="s">
        <v>92</v>
      </c>
      <c r="F1036" s="84">
        <f>INDEX(Definitions!$G$13:$G$17,MATCH(Table3[[#This Row],[Propensity to buy/ buyer readiness]],Definitions!$A$13:$A$17,0))</f>
        <v>10000</v>
      </c>
      <c r="G1036" s="86">
        <v>3</v>
      </c>
      <c r="H1036" s="86">
        <v>3</v>
      </c>
      <c r="I1036" s="86">
        <v>4</v>
      </c>
      <c r="J1036" s="86">
        <v>3</v>
      </c>
      <c r="K1036" s="86">
        <v>2</v>
      </c>
      <c r="L1036" s="86">
        <f>SUM(Table3[[#This Row],[Strategic priority segment]:[Propensity to buy/ buyer readiness]])</f>
        <v>15</v>
      </c>
      <c r="M1036" s="86" t="s">
        <v>152</v>
      </c>
      <c r="N1036" s="84" t="s">
        <v>264</v>
      </c>
      <c r="O1036" s="84"/>
      <c r="P1036" s="87"/>
      <c r="Q1036" s="87"/>
      <c r="R1036" s="84"/>
      <c r="S1036" s="87"/>
      <c r="T1036" s="87"/>
      <c r="U1036" s="84">
        <v>1</v>
      </c>
      <c r="V1036" s="84">
        <v>0</v>
      </c>
      <c r="W1036" s="84">
        <v>0</v>
      </c>
      <c r="X1036" s="84">
        <v>0</v>
      </c>
      <c r="Y1036" s="84">
        <v>0</v>
      </c>
      <c r="Z1036" s="84">
        <v>0</v>
      </c>
      <c r="AA1036" s="84">
        <v>0</v>
      </c>
      <c r="AB1036" s="84">
        <v>0</v>
      </c>
      <c r="AC1036" s="84">
        <v>0</v>
      </c>
      <c r="AD1036" s="84">
        <v>0</v>
      </c>
      <c r="AE1036" s="84">
        <v>0</v>
      </c>
      <c r="AF1036" s="84">
        <v>0</v>
      </c>
      <c r="AG1036" s="84">
        <v>0</v>
      </c>
      <c r="AH1036" s="84">
        <v>0</v>
      </c>
      <c r="AI1036" s="84">
        <v>0</v>
      </c>
      <c r="AJ1036" s="84">
        <v>0</v>
      </c>
      <c r="AK1036" s="84">
        <v>0</v>
      </c>
      <c r="AL1036" s="84" cm="1">
        <f t="array" ref="AL10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36" s="84" cm="1">
        <f t="array" ref="AM10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6" s="84" cm="1">
        <f t="array" ref="AN10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6" s="84" cm="1">
        <f t="array" ref="AO10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6" s="84" cm="1">
        <f t="array" ref="AP10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6" s="84" cm="1">
        <f t="array" ref="AQ10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6" s="84" cm="1">
        <f t="array" ref="AR10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6" s="84" cm="1">
        <f t="array" ref="AS10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6" s="84" cm="1">
        <f t="array" ref="AT10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6" s="84" cm="1">
        <f t="array" ref="AU10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6" s="84" cm="1">
        <f t="array" ref="AV10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6" s="84" cm="1">
        <f t="array" ref="AW10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6" s="84" cm="1">
        <f t="array" ref="AX10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6" s="84" cm="1">
        <f t="array" ref="AY10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6" s="84" cm="1">
        <f t="array" ref="AZ10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36" s="84" cm="1">
        <f t="array" ref="BA10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6" s="84" cm="1">
        <f t="array" ref="BB10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6" s="84">
        <f>IF(SUM(Table3[[#This Row],[Column2]:[Column18]])&gt;Table3[[#This Row],[Column19]],Table3[[#This Row],[Column19]],SUM(Table3[[#This Row],[Column2]:[Column18]]))</f>
        <v>8100</v>
      </c>
      <c r="BD1036" s="2">
        <f>Table3[[#This Row],[Total Spend]]/SUM(Table3[[#This Row],[Column2]:[Column18]])</f>
        <v>1</v>
      </c>
    </row>
    <row r="1037" spans="1:56">
      <c r="A1037" s="84" t="s">
        <v>1111</v>
      </c>
      <c r="B1037" s="84" t="s">
        <v>57</v>
      </c>
      <c r="C1037" s="84" t="s">
        <v>57</v>
      </c>
      <c r="D1037" s="85">
        <v>45566</v>
      </c>
      <c r="E1037" s="85" t="s">
        <v>92</v>
      </c>
      <c r="F1037" s="84">
        <f>INDEX(Definitions!$G$13:$G$17,MATCH(Table3[[#This Row],[Propensity to buy/ buyer readiness]],Definitions!$A$13:$A$17,0))</f>
        <v>10000</v>
      </c>
      <c r="G1037" s="86">
        <v>3</v>
      </c>
      <c r="H1037" s="86">
        <v>3</v>
      </c>
      <c r="I1037" s="86">
        <v>4</v>
      </c>
      <c r="J1037" s="86">
        <v>3</v>
      </c>
      <c r="K1037" s="86">
        <v>2</v>
      </c>
      <c r="L1037" s="86">
        <f>SUM(Table3[[#This Row],[Strategic priority segment]:[Propensity to buy/ buyer readiness]])</f>
        <v>15</v>
      </c>
      <c r="M1037" s="86" t="s">
        <v>152</v>
      </c>
      <c r="N1037" s="84" t="s">
        <v>264</v>
      </c>
      <c r="O1037" s="84"/>
      <c r="P1037" s="87"/>
      <c r="Q1037" s="87"/>
      <c r="R1037" s="84"/>
      <c r="S1037" s="87"/>
      <c r="T1037" s="87"/>
      <c r="U1037" s="84">
        <v>1</v>
      </c>
      <c r="V1037" s="84">
        <v>0</v>
      </c>
      <c r="W1037" s="84">
        <v>0</v>
      </c>
      <c r="X1037" s="84">
        <v>0</v>
      </c>
      <c r="Y1037" s="84">
        <v>0</v>
      </c>
      <c r="Z1037" s="84">
        <v>0</v>
      </c>
      <c r="AA1037" s="84">
        <v>0</v>
      </c>
      <c r="AB1037" s="84">
        <v>0</v>
      </c>
      <c r="AC1037" s="84">
        <v>0</v>
      </c>
      <c r="AD1037" s="84">
        <v>0</v>
      </c>
      <c r="AE1037" s="84">
        <v>0</v>
      </c>
      <c r="AF1037" s="84">
        <v>0</v>
      </c>
      <c r="AG1037" s="84">
        <v>0</v>
      </c>
      <c r="AH1037" s="84">
        <v>0</v>
      </c>
      <c r="AI1037" s="84">
        <v>0</v>
      </c>
      <c r="AJ1037" s="84">
        <v>0</v>
      </c>
      <c r="AK1037" s="84">
        <v>0</v>
      </c>
      <c r="AL1037" s="84" cm="1">
        <f t="array" ref="AL10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37" s="84" cm="1">
        <f t="array" ref="AM10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7" s="84" cm="1">
        <f t="array" ref="AN10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7" s="84" cm="1">
        <f t="array" ref="AO10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7" s="84" cm="1">
        <f t="array" ref="AP10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7" s="84" cm="1">
        <f t="array" ref="AQ10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7" s="84" cm="1">
        <f t="array" ref="AR10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7" s="84" cm="1">
        <f t="array" ref="AS10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7" s="84" cm="1">
        <f t="array" ref="AT10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7" s="84" cm="1">
        <f t="array" ref="AU10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7" s="84" cm="1">
        <f t="array" ref="AV10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7" s="84" cm="1">
        <f t="array" ref="AW10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7" s="84" cm="1">
        <f t="array" ref="AX10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7" s="84" cm="1">
        <f t="array" ref="AY10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7" s="84" cm="1">
        <f t="array" ref="AZ10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37" s="84" cm="1">
        <f t="array" ref="BA10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7" s="84" cm="1">
        <f t="array" ref="BB10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7" s="84">
        <f>IF(SUM(Table3[[#This Row],[Column2]:[Column18]])&gt;Table3[[#This Row],[Column19]],Table3[[#This Row],[Column19]],SUM(Table3[[#This Row],[Column2]:[Column18]]))</f>
        <v>8100</v>
      </c>
      <c r="BD1037" s="2">
        <f>Table3[[#This Row],[Total Spend]]/SUM(Table3[[#This Row],[Column2]:[Column18]])</f>
        <v>1</v>
      </c>
    </row>
    <row r="1038" spans="1:56">
      <c r="A1038" s="84" t="s">
        <v>1112</v>
      </c>
      <c r="B1038" s="84"/>
      <c r="C1038" s="84"/>
      <c r="D1038" s="85">
        <v>45566</v>
      </c>
      <c r="E1038" s="85" t="s">
        <v>92</v>
      </c>
      <c r="F1038" s="84">
        <f>INDEX(Definitions!$G$13:$G$17,MATCH(Table3[[#This Row],[Propensity to buy/ buyer readiness]],Definitions!$A$13:$A$17,0))</f>
        <v>50000</v>
      </c>
      <c r="G1038" s="86">
        <v>3</v>
      </c>
      <c r="H1038" s="86">
        <v>3</v>
      </c>
      <c r="I1038" s="86">
        <v>3</v>
      </c>
      <c r="J1038" s="86">
        <v>3</v>
      </c>
      <c r="K1038" s="86">
        <v>3</v>
      </c>
      <c r="L1038" s="86">
        <f>SUM(Table3[[#This Row],[Strategic priority segment]:[Propensity to buy/ buyer readiness]])</f>
        <v>15</v>
      </c>
      <c r="M1038" s="86" t="s">
        <v>191</v>
      </c>
      <c r="N1038" s="84" t="s">
        <v>76</v>
      </c>
      <c r="O1038" s="84"/>
      <c r="P1038" s="84"/>
      <c r="Q1038" s="84"/>
      <c r="R1038" s="84"/>
      <c r="S1038" s="87"/>
      <c r="T1038" s="87"/>
      <c r="U1038" s="84">
        <v>0</v>
      </c>
      <c r="V1038" s="84">
        <v>0</v>
      </c>
      <c r="W1038" s="84">
        <v>0</v>
      </c>
      <c r="X1038" s="84">
        <v>0</v>
      </c>
      <c r="Y1038" s="84">
        <v>0</v>
      </c>
      <c r="Z1038" s="84">
        <v>0</v>
      </c>
      <c r="AA1038" s="84">
        <v>0</v>
      </c>
      <c r="AB1038" s="84">
        <v>0</v>
      </c>
      <c r="AC1038" s="84">
        <v>0</v>
      </c>
      <c r="AD1038" s="84">
        <v>0</v>
      </c>
      <c r="AE1038" s="84">
        <v>0</v>
      </c>
      <c r="AF1038" s="84">
        <v>0</v>
      </c>
      <c r="AG1038" s="84">
        <v>0</v>
      </c>
      <c r="AH1038" s="84">
        <v>1</v>
      </c>
      <c r="AI1038" s="84">
        <v>0</v>
      </c>
      <c r="AJ1038" s="84">
        <v>1</v>
      </c>
      <c r="AK1038" s="84">
        <v>0</v>
      </c>
      <c r="AL1038" s="84" cm="1">
        <f t="array" ref="AL10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38" s="84" cm="1">
        <f t="array" ref="AM10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8" s="84" cm="1">
        <f t="array" ref="AN10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8" s="84" cm="1">
        <f t="array" ref="AO10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8" s="84" cm="1">
        <f t="array" ref="AP10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8" s="84" cm="1">
        <f t="array" ref="AQ10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38" s="84" cm="1">
        <f t="array" ref="AR10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8" s="84" cm="1">
        <f t="array" ref="AS10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38" s="84" cm="1">
        <f t="array" ref="AT10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8" s="84" cm="1">
        <f t="array" ref="AU10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38" s="84" cm="1">
        <f t="array" ref="AV10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8" s="84" cm="1">
        <f t="array" ref="AW10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38" s="84" cm="1">
        <f t="array" ref="AX10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8" s="84" cm="1">
        <f t="array" ref="AY10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38" s="84" cm="1">
        <f t="array" ref="AZ10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38" s="84" cm="1">
        <f t="array" ref="BA10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38" s="84" cm="1">
        <f t="array" ref="BB10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8" s="84">
        <f>IF(SUM(Table3[[#This Row],[Column2]:[Column18]])&gt;Table3[[#This Row],[Column19]],Table3[[#This Row],[Column19]],SUM(Table3[[#This Row],[Column2]:[Column18]]))</f>
        <v>30600</v>
      </c>
      <c r="BD1038" s="2">
        <f>Table3[[#This Row],[Total Spend]]/SUM(Table3[[#This Row],[Column2]:[Column18]])</f>
        <v>1</v>
      </c>
    </row>
    <row r="1039" spans="1:56">
      <c r="A1039" s="84" t="s">
        <v>1113</v>
      </c>
      <c r="B1039" s="84"/>
      <c r="C1039" s="84"/>
      <c r="D1039" s="85">
        <v>45566</v>
      </c>
      <c r="E1039" s="85" t="s">
        <v>92</v>
      </c>
      <c r="F1039" s="84">
        <f>INDEX(Definitions!$G$13:$G$17,MATCH(Table3[[#This Row],[Propensity to buy/ buyer readiness]],Definitions!$A$13:$A$17,0))</f>
        <v>50000</v>
      </c>
      <c r="G1039" s="86">
        <v>3</v>
      </c>
      <c r="H1039" s="86">
        <v>3</v>
      </c>
      <c r="I1039" s="86">
        <v>3</v>
      </c>
      <c r="J1039" s="86">
        <v>3</v>
      </c>
      <c r="K1039" s="86">
        <v>3</v>
      </c>
      <c r="L1039" s="86">
        <f>SUM(Table3[[#This Row],[Strategic priority segment]:[Propensity to buy/ buyer readiness]])</f>
        <v>15</v>
      </c>
      <c r="M1039" s="86" t="s">
        <v>152</v>
      </c>
      <c r="N1039" s="84" t="s">
        <v>122</v>
      </c>
      <c r="O1039" s="84"/>
      <c r="P1039" s="87"/>
      <c r="Q1039" s="87"/>
      <c r="R1039" s="84"/>
      <c r="S1039" s="87"/>
      <c r="T1039" s="87"/>
      <c r="U1039" s="84">
        <v>1</v>
      </c>
      <c r="V1039" s="84">
        <v>0</v>
      </c>
      <c r="W1039" s="84">
        <v>0</v>
      </c>
      <c r="X1039" s="84">
        <v>0</v>
      </c>
      <c r="Y1039" s="84">
        <v>0</v>
      </c>
      <c r="Z1039" s="84">
        <v>1</v>
      </c>
      <c r="AA1039" s="84">
        <v>0</v>
      </c>
      <c r="AB1039" s="84">
        <v>1</v>
      </c>
      <c r="AC1039" s="84">
        <v>0</v>
      </c>
      <c r="AD1039" s="84">
        <v>1</v>
      </c>
      <c r="AE1039" s="84">
        <v>0</v>
      </c>
      <c r="AF1039" s="84">
        <v>1</v>
      </c>
      <c r="AG1039" s="84">
        <v>0</v>
      </c>
      <c r="AH1039" s="84">
        <v>0</v>
      </c>
      <c r="AI1039" s="84">
        <v>0</v>
      </c>
      <c r="AJ1039" s="84">
        <v>0</v>
      </c>
      <c r="AK1039" s="84">
        <v>0</v>
      </c>
      <c r="AL1039" s="84" cm="1">
        <f t="array" ref="AL10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39" s="84" cm="1">
        <f t="array" ref="AM10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39" s="84" cm="1">
        <f t="array" ref="AN10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39" s="84" cm="1">
        <f t="array" ref="AO10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39" s="84" cm="1">
        <f t="array" ref="AP10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39" s="84" cm="1">
        <f t="array" ref="AQ10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39" s="84" cm="1">
        <f t="array" ref="AR10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39" s="84" cm="1">
        <f t="array" ref="AS10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39" s="84" cm="1">
        <f t="array" ref="AT10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39" s="84" cm="1">
        <f t="array" ref="AU10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39" s="84" cm="1">
        <f t="array" ref="AV10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39" s="84" cm="1">
        <f t="array" ref="AW10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39" s="84" cm="1">
        <f t="array" ref="AX10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39" s="84" cm="1">
        <f t="array" ref="AY10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39" s="84" cm="1">
        <f t="array" ref="AZ10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39" s="84" cm="1">
        <f t="array" ref="BA10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39" s="84" cm="1">
        <f t="array" ref="BB10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39" s="84">
        <f>IF(SUM(Table3[[#This Row],[Column2]:[Column18]])&gt;Table3[[#This Row],[Column19]],Table3[[#This Row],[Column19]],SUM(Table3[[#This Row],[Column2]:[Column18]]))</f>
        <v>50000</v>
      </c>
      <c r="BD1039" s="2">
        <f>Table3[[#This Row],[Total Spend]]/SUM(Table3[[#This Row],[Column2]:[Column18]])</f>
        <v>0.41459369817578773</v>
      </c>
    </row>
    <row r="1040" spans="1:56">
      <c r="A1040" s="84" t="s">
        <v>1114</v>
      </c>
      <c r="B1040" s="84" t="s">
        <v>57</v>
      </c>
      <c r="C1040" s="84"/>
      <c r="D1040" s="85">
        <v>45566</v>
      </c>
      <c r="E1040" s="85" t="s">
        <v>92</v>
      </c>
      <c r="F1040" s="84">
        <f>INDEX(Definitions!$G$13:$G$17,MATCH(Table3[[#This Row],[Propensity to buy/ buyer readiness]],Definitions!$A$13:$A$17,0))</f>
        <v>10000</v>
      </c>
      <c r="G1040" s="86">
        <v>3</v>
      </c>
      <c r="H1040" s="86">
        <v>3</v>
      </c>
      <c r="I1040" s="86">
        <v>3</v>
      </c>
      <c r="J1040" s="86">
        <v>4</v>
      </c>
      <c r="K1040" s="86">
        <v>2</v>
      </c>
      <c r="L1040" s="86">
        <f>SUM(Table3[[#This Row],[Strategic priority segment]:[Propensity to buy/ buyer readiness]])</f>
        <v>15</v>
      </c>
      <c r="M1040" s="86" t="s">
        <v>102</v>
      </c>
      <c r="N1040" s="84" t="s">
        <v>265</v>
      </c>
      <c r="O1040" s="84"/>
      <c r="P1040" s="87"/>
      <c r="Q1040" s="87"/>
      <c r="R1040" s="84"/>
      <c r="S1040" s="87"/>
      <c r="T1040" s="87"/>
      <c r="U1040" s="84">
        <v>1</v>
      </c>
      <c r="V1040" s="84">
        <v>1</v>
      </c>
      <c r="W1040" s="84">
        <v>1</v>
      </c>
      <c r="X1040" s="84">
        <v>1</v>
      </c>
      <c r="Y1040" s="84">
        <v>0</v>
      </c>
      <c r="Z1040" s="84">
        <v>0</v>
      </c>
      <c r="AA1040" s="84">
        <v>0</v>
      </c>
      <c r="AB1040" s="84">
        <v>0</v>
      </c>
      <c r="AC1040" s="84">
        <v>0</v>
      </c>
      <c r="AD1040" s="84">
        <v>0</v>
      </c>
      <c r="AE1040" s="84">
        <v>0</v>
      </c>
      <c r="AF1040" s="84">
        <v>0</v>
      </c>
      <c r="AG1040" s="84">
        <v>0</v>
      </c>
      <c r="AH1040" s="84">
        <v>0</v>
      </c>
      <c r="AI1040" s="84">
        <v>1</v>
      </c>
      <c r="AJ1040" s="84">
        <v>0</v>
      </c>
      <c r="AK1040" s="84">
        <v>0</v>
      </c>
      <c r="AL1040" s="84" cm="1">
        <f t="array" ref="AL10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0" s="84" cm="1">
        <f t="array" ref="AM10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40" s="84" cm="1">
        <f t="array" ref="AN10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40" s="84" cm="1">
        <f t="array" ref="AO10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40" s="84" cm="1">
        <f t="array" ref="AP10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0" s="84" cm="1">
        <f t="array" ref="AQ10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0" s="84" cm="1">
        <f t="array" ref="AR10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0" s="84" cm="1">
        <f t="array" ref="AS10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0" s="84" cm="1">
        <f t="array" ref="AT10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0" s="84" cm="1">
        <f t="array" ref="AU10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0" s="84" cm="1">
        <f t="array" ref="AV10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0" s="84" cm="1">
        <f t="array" ref="AW10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0" s="84" cm="1">
        <f t="array" ref="AX10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0" s="84" cm="1">
        <f t="array" ref="AY10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0" s="84" cm="1">
        <f t="array" ref="AZ10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40" s="84" cm="1">
        <f t="array" ref="BA10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0" s="84" cm="1">
        <f t="array" ref="BB10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0" s="84">
        <f>IF(SUM(Table3[[#This Row],[Column2]:[Column18]])&gt;Table3[[#This Row],[Column19]],Table3[[#This Row],[Column19]],SUM(Table3[[#This Row],[Column2]:[Column18]]))</f>
        <v>10000</v>
      </c>
      <c r="BD1040" s="2">
        <f>Table3[[#This Row],[Total Spend]]/SUM(Table3[[#This Row],[Column2]:[Column18]])</f>
        <v>7.2859744990892539E-2</v>
      </c>
    </row>
    <row r="1041" spans="1:56">
      <c r="A1041" s="84" t="s">
        <v>1115</v>
      </c>
      <c r="B1041" s="84" t="s">
        <v>57</v>
      </c>
      <c r="C1041" s="84"/>
      <c r="D1041" s="85">
        <v>45566</v>
      </c>
      <c r="E1041" s="85" t="s">
        <v>92</v>
      </c>
      <c r="F1041" s="84">
        <f>INDEX(Definitions!$G$13:$G$17,MATCH(Table3[[#This Row],[Propensity to buy/ buyer readiness]],Definitions!$A$13:$A$17,0))</f>
        <v>10000</v>
      </c>
      <c r="G1041" s="86">
        <v>3</v>
      </c>
      <c r="H1041" s="86">
        <v>3</v>
      </c>
      <c r="I1041" s="86">
        <v>3</v>
      </c>
      <c r="J1041" s="86">
        <v>4</v>
      </c>
      <c r="K1041" s="86">
        <v>2</v>
      </c>
      <c r="L1041" s="86">
        <f>SUM(Table3[[#This Row],[Strategic priority segment]:[Propensity to buy/ buyer readiness]])</f>
        <v>15</v>
      </c>
      <c r="M1041" s="86" t="s">
        <v>102</v>
      </c>
      <c r="N1041" s="84" t="s">
        <v>265</v>
      </c>
      <c r="O1041" s="84"/>
      <c r="P1041" s="87"/>
      <c r="Q1041" s="87"/>
      <c r="R1041" s="84"/>
      <c r="S1041" s="87"/>
      <c r="T1041" s="87"/>
      <c r="U1041" s="84">
        <v>1</v>
      </c>
      <c r="V1041" s="84">
        <v>1</v>
      </c>
      <c r="W1041" s="84">
        <v>1</v>
      </c>
      <c r="X1041" s="84">
        <v>1</v>
      </c>
      <c r="Y1041" s="84">
        <v>0</v>
      </c>
      <c r="Z1041" s="84">
        <v>0</v>
      </c>
      <c r="AA1041" s="84">
        <v>0</v>
      </c>
      <c r="AB1041" s="84">
        <v>0</v>
      </c>
      <c r="AC1041" s="84">
        <v>0</v>
      </c>
      <c r="AD1041" s="84">
        <v>0</v>
      </c>
      <c r="AE1041" s="84">
        <v>0</v>
      </c>
      <c r="AF1041" s="84">
        <v>0</v>
      </c>
      <c r="AG1041" s="84">
        <v>0</v>
      </c>
      <c r="AH1041" s="84">
        <v>0</v>
      </c>
      <c r="AI1041" s="84">
        <v>1</v>
      </c>
      <c r="AJ1041" s="84">
        <v>0</v>
      </c>
      <c r="AK1041" s="84">
        <v>0</v>
      </c>
      <c r="AL1041" s="84" cm="1">
        <f t="array" ref="AL10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1" s="84" cm="1">
        <f t="array" ref="AM10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41" s="84" cm="1">
        <f t="array" ref="AN10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41" s="84" cm="1">
        <f t="array" ref="AO10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41" s="84" cm="1">
        <f t="array" ref="AP10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1" s="84" cm="1">
        <f t="array" ref="AQ10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1" s="84" cm="1">
        <f t="array" ref="AR10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1" s="84" cm="1">
        <f t="array" ref="AS10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1" s="84" cm="1">
        <f t="array" ref="AT10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1" s="84" cm="1">
        <f t="array" ref="AU10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1" s="84" cm="1">
        <f t="array" ref="AV10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1" s="84" cm="1">
        <f t="array" ref="AW10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1" s="84" cm="1">
        <f t="array" ref="AX10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1" s="84" cm="1">
        <f t="array" ref="AY10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1" s="84" cm="1">
        <f t="array" ref="AZ10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41" s="84" cm="1">
        <f t="array" ref="BA10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1" s="84" cm="1">
        <f t="array" ref="BB10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1" s="84">
        <f>IF(SUM(Table3[[#This Row],[Column2]:[Column18]])&gt;Table3[[#This Row],[Column19]],Table3[[#This Row],[Column19]],SUM(Table3[[#This Row],[Column2]:[Column18]]))</f>
        <v>10000</v>
      </c>
      <c r="BD1041" s="2">
        <f>Table3[[#This Row],[Total Spend]]/SUM(Table3[[#This Row],[Column2]:[Column18]])</f>
        <v>7.2859744990892539E-2</v>
      </c>
    </row>
    <row r="1042" spans="1:56">
      <c r="A1042" s="84" t="s">
        <v>1116</v>
      </c>
      <c r="B1042" s="84"/>
      <c r="C1042" s="84"/>
      <c r="D1042" s="85">
        <v>45566</v>
      </c>
      <c r="E1042" s="85" t="s">
        <v>92</v>
      </c>
      <c r="F1042" s="84">
        <f>INDEX(Definitions!$G$13:$G$17,MATCH(Table3[[#This Row],[Propensity to buy/ buyer readiness]],Definitions!$A$13:$A$17,0))</f>
        <v>10000</v>
      </c>
      <c r="G1042" s="86">
        <v>3</v>
      </c>
      <c r="H1042" s="86">
        <v>3</v>
      </c>
      <c r="I1042" s="86">
        <v>3</v>
      </c>
      <c r="J1042" s="86">
        <v>4</v>
      </c>
      <c r="K1042" s="86">
        <v>2</v>
      </c>
      <c r="L1042" s="86">
        <f>SUM(Table3[[#This Row],[Strategic priority segment]:[Propensity to buy/ buyer readiness]])</f>
        <v>15</v>
      </c>
      <c r="M1042" s="86" t="s">
        <v>59</v>
      </c>
      <c r="N1042" s="84" t="s">
        <v>265</v>
      </c>
      <c r="O1042" s="84"/>
      <c r="P1042" s="87"/>
      <c r="Q1042" s="87"/>
      <c r="R1042" s="84"/>
      <c r="S1042" s="87"/>
      <c r="T1042" s="87"/>
      <c r="U1042" s="84">
        <v>1</v>
      </c>
      <c r="V1042" s="84">
        <v>1</v>
      </c>
      <c r="W1042" s="84">
        <v>1</v>
      </c>
      <c r="X1042" s="84">
        <v>1</v>
      </c>
      <c r="Y1042" s="84">
        <v>0</v>
      </c>
      <c r="Z1042" s="84">
        <v>0</v>
      </c>
      <c r="AA1042" s="84">
        <v>0</v>
      </c>
      <c r="AB1042" s="84">
        <v>0</v>
      </c>
      <c r="AC1042" s="84">
        <v>0</v>
      </c>
      <c r="AD1042" s="84">
        <v>0</v>
      </c>
      <c r="AE1042" s="84">
        <v>0</v>
      </c>
      <c r="AF1042" s="84">
        <v>0</v>
      </c>
      <c r="AG1042" s="84">
        <v>0</v>
      </c>
      <c r="AH1042" s="84">
        <v>0</v>
      </c>
      <c r="AI1042" s="84">
        <v>1</v>
      </c>
      <c r="AJ1042" s="84">
        <v>0</v>
      </c>
      <c r="AK1042" s="84">
        <v>0</v>
      </c>
      <c r="AL1042" s="84" cm="1">
        <f t="array" ref="AL10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2" s="84" cm="1">
        <f t="array" ref="AM10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42" s="84" cm="1">
        <f t="array" ref="AN10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42" s="84" cm="1">
        <f t="array" ref="AO10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42" s="84" cm="1">
        <f t="array" ref="AP10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2" s="84" cm="1">
        <f t="array" ref="AQ10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2" s="84" cm="1">
        <f t="array" ref="AR10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2" s="84" cm="1">
        <f t="array" ref="AS10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2" s="84" cm="1">
        <f t="array" ref="AT10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2" s="84" cm="1">
        <f t="array" ref="AU10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2" s="84" cm="1">
        <f t="array" ref="AV10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2" s="84" cm="1">
        <f t="array" ref="AW10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2" s="84" cm="1">
        <f t="array" ref="AX10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2" s="84" cm="1">
        <f t="array" ref="AY10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2" s="84" cm="1">
        <f t="array" ref="AZ10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42" s="84" cm="1">
        <f t="array" ref="BA10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2" s="84" cm="1">
        <f t="array" ref="BB10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2" s="84">
        <f>IF(SUM(Table3[[#This Row],[Column2]:[Column18]])&gt;Table3[[#This Row],[Column19]],Table3[[#This Row],[Column19]],SUM(Table3[[#This Row],[Column2]:[Column18]]))</f>
        <v>10000</v>
      </c>
      <c r="BD1042" s="2">
        <f>Table3[[#This Row],[Total Spend]]/SUM(Table3[[#This Row],[Column2]:[Column18]])</f>
        <v>7.2859744990892539E-2</v>
      </c>
    </row>
    <row r="1043" spans="1:56">
      <c r="A1043" s="84" t="s">
        <v>1117</v>
      </c>
      <c r="B1043" s="84"/>
      <c r="C1043" s="84"/>
      <c r="D1043" s="85">
        <v>45566</v>
      </c>
      <c r="E1043" s="85" t="s">
        <v>92</v>
      </c>
      <c r="F1043" s="84">
        <f>INDEX(Definitions!$G$13:$G$17,MATCH(Table3[[#This Row],[Propensity to buy/ buyer readiness]],Definitions!$A$13:$A$17,0))</f>
        <v>50000</v>
      </c>
      <c r="G1043" s="86">
        <v>3</v>
      </c>
      <c r="H1043" s="86">
        <v>3</v>
      </c>
      <c r="I1043" s="86">
        <v>3</v>
      </c>
      <c r="J1043" s="86">
        <v>3</v>
      </c>
      <c r="K1043" s="86">
        <v>3</v>
      </c>
      <c r="L1043" s="86">
        <f>SUM(Table3[[#This Row],[Strategic priority segment]:[Propensity to buy/ buyer readiness]])</f>
        <v>15</v>
      </c>
      <c r="M1043" s="86" t="s">
        <v>152</v>
      </c>
      <c r="N1043" s="84" t="s">
        <v>122</v>
      </c>
      <c r="O1043" s="87"/>
      <c r="P1043" s="87"/>
      <c r="Q1043" s="87"/>
      <c r="R1043" s="87"/>
      <c r="S1043" s="87"/>
      <c r="T1043" s="87"/>
      <c r="U1043" s="84">
        <v>1</v>
      </c>
      <c r="V1043" s="84">
        <v>0</v>
      </c>
      <c r="W1043" s="84">
        <v>0</v>
      </c>
      <c r="X1043" s="84">
        <v>0</v>
      </c>
      <c r="Y1043" s="84">
        <v>0</v>
      </c>
      <c r="Z1043" s="84">
        <v>1</v>
      </c>
      <c r="AA1043" s="84">
        <v>0</v>
      </c>
      <c r="AB1043" s="84">
        <v>1</v>
      </c>
      <c r="AC1043" s="84">
        <v>0</v>
      </c>
      <c r="AD1043" s="84">
        <v>1</v>
      </c>
      <c r="AE1043" s="84">
        <v>0</v>
      </c>
      <c r="AF1043" s="84">
        <v>1</v>
      </c>
      <c r="AG1043" s="84">
        <v>0</v>
      </c>
      <c r="AH1043" s="84">
        <v>0</v>
      </c>
      <c r="AI1043" s="84">
        <v>0</v>
      </c>
      <c r="AJ1043" s="84">
        <v>0</v>
      </c>
      <c r="AK1043" s="84">
        <v>0</v>
      </c>
      <c r="AL1043" s="84" cm="1">
        <f t="array" ref="AL10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3" s="84" cm="1">
        <f t="array" ref="AM10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43" s="84" cm="1">
        <f t="array" ref="AN10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43" s="84" cm="1">
        <f t="array" ref="AO10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43" s="84" cm="1">
        <f t="array" ref="AP10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3" s="84" cm="1">
        <f t="array" ref="AQ10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43" s="84" cm="1">
        <f t="array" ref="AR10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3" s="84" cm="1">
        <f t="array" ref="AS10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43" s="84" cm="1">
        <f t="array" ref="AT10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3" s="84" cm="1">
        <f t="array" ref="AU10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43" s="84" cm="1">
        <f t="array" ref="AV10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3" s="84" cm="1">
        <f t="array" ref="AW10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43" s="84" cm="1">
        <f t="array" ref="AX10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3" s="84" cm="1">
        <f t="array" ref="AY10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3" s="84" cm="1">
        <f t="array" ref="AZ10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43" s="84" cm="1">
        <f t="array" ref="BA10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3" s="84" cm="1">
        <f t="array" ref="BB10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3" s="84">
        <f>IF(SUM(Table3[[#This Row],[Column2]:[Column18]])&gt;Table3[[#This Row],[Column19]],Table3[[#This Row],[Column19]],SUM(Table3[[#This Row],[Column2]:[Column18]]))</f>
        <v>50000</v>
      </c>
      <c r="BD1043" s="2">
        <f>Table3[[#This Row],[Total Spend]]/SUM(Table3[[#This Row],[Column2]:[Column18]])</f>
        <v>0.41459369817578773</v>
      </c>
    </row>
    <row r="1044" spans="1:56">
      <c r="A1044" s="84" t="s">
        <v>1118</v>
      </c>
      <c r="B1044" s="84"/>
      <c r="C1044" s="84"/>
      <c r="D1044" s="85">
        <v>45566</v>
      </c>
      <c r="E1044" s="85" t="s">
        <v>92</v>
      </c>
      <c r="F1044" s="84">
        <f>INDEX(Definitions!$G$13:$G$17,MATCH(Table3[[#This Row],[Propensity to buy/ buyer readiness]],Definitions!$A$13:$A$17,0))</f>
        <v>50000</v>
      </c>
      <c r="G1044" s="86">
        <v>3</v>
      </c>
      <c r="H1044" s="86">
        <v>3</v>
      </c>
      <c r="I1044" s="86">
        <v>3</v>
      </c>
      <c r="J1044" s="86">
        <v>3</v>
      </c>
      <c r="K1044" s="86">
        <v>3</v>
      </c>
      <c r="L1044" s="86">
        <f>SUM(Table3[[#This Row],[Strategic priority segment]:[Propensity to buy/ buyer readiness]])</f>
        <v>15</v>
      </c>
      <c r="M1044" s="86" t="s">
        <v>152</v>
      </c>
      <c r="N1044" s="84" t="s">
        <v>122</v>
      </c>
      <c r="O1044" s="84"/>
      <c r="P1044" s="87"/>
      <c r="Q1044" s="87"/>
      <c r="R1044" s="84"/>
      <c r="S1044" s="87"/>
      <c r="T1044" s="87"/>
      <c r="U1044" s="84">
        <v>1</v>
      </c>
      <c r="V1044" s="84">
        <v>0</v>
      </c>
      <c r="W1044" s="84">
        <v>0</v>
      </c>
      <c r="X1044" s="84">
        <v>0</v>
      </c>
      <c r="Y1044" s="84">
        <v>0</v>
      </c>
      <c r="Z1044" s="84">
        <v>1</v>
      </c>
      <c r="AA1044" s="84">
        <v>0</v>
      </c>
      <c r="AB1044" s="84">
        <v>1</v>
      </c>
      <c r="AC1044" s="84">
        <v>0</v>
      </c>
      <c r="AD1044" s="84">
        <v>1</v>
      </c>
      <c r="AE1044" s="84">
        <v>0</v>
      </c>
      <c r="AF1044" s="84">
        <v>1</v>
      </c>
      <c r="AG1044" s="84">
        <v>0</v>
      </c>
      <c r="AH1044" s="84">
        <v>0</v>
      </c>
      <c r="AI1044" s="84">
        <v>0</v>
      </c>
      <c r="AJ1044" s="84">
        <v>0</v>
      </c>
      <c r="AK1044" s="84">
        <v>0</v>
      </c>
      <c r="AL1044" s="84" cm="1">
        <f t="array" ref="AL10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4" s="84" cm="1">
        <f t="array" ref="AM10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44" s="84" cm="1">
        <f t="array" ref="AN10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44" s="84" cm="1">
        <f t="array" ref="AO10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44" s="84" cm="1">
        <f t="array" ref="AP10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4" s="84" cm="1">
        <f t="array" ref="AQ10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44" s="84" cm="1">
        <f t="array" ref="AR10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4" s="84" cm="1">
        <f t="array" ref="AS10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44" s="84" cm="1">
        <f t="array" ref="AT10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4" s="84" cm="1">
        <f t="array" ref="AU10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44" s="84" cm="1">
        <f t="array" ref="AV10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4" s="84" cm="1">
        <f t="array" ref="AW10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44" s="84" cm="1">
        <f t="array" ref="AX10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4" s="84" cm="1">
        <f t="array" ref="AY10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4" s="84" cm="1">
        <f t="array" ref="AZ10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44" s="84" cm="1">
        <f t="array" ref="BA10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4" s="84" cm="1">
        <f t="array" ref="BB10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4" s="84">
        <f>IF(SUM(Table3[[#This Row],[Column2]:[Column18]])&gt;Table3[[#This Row],[Column19]],Table3[[#This Row],[Column19]],SUM(Table3[[#This Row],[Column2]:[Column18]]))</f>
        <v>50000</v>
      </c>
      <c r="BD1044" s="2">
        <f>Table3[[#This Row],[Total Spend]]/SUM(Table3[[#This Row],[Column2]:[Column18]])</f>
        <v>0.41459369817578773</v>
      </c>
    </row>
    <row r="1045" spans="1:56">
      <c r="A1045" s="84" t="s">
        <v>1119</v>
      </c>
      <c r="B1045" s="84"/>
      <c r="C1045" s="84"/>
      <c r="D1045" s="85">
        <v>45566</v>
      </c>
      <c r="E1045" s="85" t="s">
        <v>92</v>
      </c>
      <c r="F1045" s="84">
        <f>INDEX(Definitions!$G$13:$G$17,MATCH(Table3[[#This Row],[Propensity to buy/ buyer readiness]],Definitions!$A$13:$A$17,0))</f>
        <v>10000</v>
      </c>
      <c r="G1045" s="86">
        <v>4</v>
      </c>
      <c r="H1045" s="86">
        <v>3</v>
      </c>
      <c r="I1045" s="86">
        <v>3</v>
      </c>
      <c r="J1045" s="86">
        <v>3</v>
      </c>
      <c r="K1045" s="86">
        <v>2</v>
      </c>
      <c r="L1045" s="86">
        <f>SUM(Table3[[#This Row],[Strategic priority segment]:[Propensity to buy/ buyer readiness]])</f>
        <v>15</v>
      </c>
      <c r="M1045" s="86" t="s">
        <v>152</v>
      </c>
      <c r="N1045" s="84" t="s">
        <v>264</v>
      </c>
      <c r="O1045" s="84" t="s">
        <v>122</v>
      </c>
      <c r="P1045" s="87"/>
      <c r="Q1045" s="87"/>
      <c r="R1045" s="84"/>
      <c r="S1045" s="87"/>
      <c r="T1045" s="87"/>
      <c r="U1045" s="84">
        <v>1</v>
      </c>
      <c r="V1045" s="84">
        <v>0</v>
      </c>
      <c r="W1045" s="84">
        <v>0</v>
      </c>
      <c r="X1045" s="84">
        <v>0</v>
      </c>
      <c r="Y1045" s="84">
        <v>0</v>
      </c>
      <c r="Z1045" s="84">
        <v>1</v>
      </c>
      <c r="AA1045" s="84">
        <v>0</v>
      </c>
      <c r="AB1045" s="84">
        <v>1</v>
      </c>
      <c r="AC1045" s="84">
        <v>0</v>
      </c>
      <c r="AD1045" s="84">
        <v>1</v>
      </c>
      <c r="AE1045" s="84">
        <v>0</v>
      </c>
      <c r="AF1045" s="84">
        <v>1</v>
      </c>
      <c r="AG1045" s="84">
        <v>0</v>
      </c>
      <c r="AH1045" s="84">
        <v>0</v>
      </c>
      <c r="AI1045" s="84">
        <v>0</v>
      </c>
      <c r="AJ1045" s="84">
        <v>0</v>
      </c>
      <c r="AK1045" s="84">
        <v>0</v>
      </c>
      <c r="AL1045" s="84" cm="1">
        <f t="array" ref="AL10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5" s="84" cm="1">
        <f t="array" ref="AM10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45" s="84" cm="1">
        <f t="array" ref="AN10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45" s="84" cm="1">
        <f t="array" ref="AO10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45" s="84" cm="1">
        <f t="array" ref="AP10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5" s="84" cm="1">
        <f t="array" ref="AQ10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45" s="84" cm="1">
        <f t="array" ref="AR10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5" s="84" cm="1">
        <f t="array" ref="AS10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45" s="84" cm="1">
        <f t="array" ref="AT10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5" s="84" cm="1">
        <f t="array" ref="AU10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45" s="84" cm="1">
        <f t="array" ref="AV10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5" s="84" cm="1">
        <f t="array" ref="AW10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45" s="84" cm="1">
        <f t="array" ref="AX10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5" s="84" cm="1">
        <f t="array" ref="AY10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5" s="84" cm="1">
        <f t="array" ref="AZ10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45" s="84" cm="1">
        <f t="array" ref="BA10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5" s="84" cm="1">
        <f t="array" ref="BB10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5" s="84">
        <f>IF(SUM(Table3[[#This Row],[Column2]:[Column18]])&gt;Table3[[#This Row],[Column19]],Table3[[#This Row],[Column19]],SUM(Table3[[#This Row],[Column2]:[Column18]]))</f>
        <v>10000</v>
      </c>
      <c r="BD1045" s="2">
        <f>Table3[[#This Row],[Total Spend]]/SUM(Table3[[#This Row],[Column2]:[Column18]])</f>
        <v>8.2918739635157543E-2</v>
      </c>
    </row>
    <row r="1046" spans="1:56">
      <c r="A1046" s="84" t="s">
        <v>1120</v>
      </c>
      <c r="B1046" s="84"/>
      <c r="C1046" s="84"/>
      <c r="D1046" s="85">
        <v>45566</v>
      </c>
      <c r="E1046" s="85" t="s">
        <v>92</v>
      </c>
      <c r="F1046" s="84">
        <f>INDEX(Definitions!$G$13:$G$17,MATCH(Table3[[#This Row],[Propensity to buy/ buyer readiness]],Definitions!$A$13:$A$17,0))</f>
        <v>10000</v>
      </c>
      <c r="G1046" s="86">
        <v>3</v>
      </c>
      <c r="H1046" s="86">
        <v>3</v>
      </c>
      <c r="I1046" s="86">
        <v>3</v>
      </c>
      <c r="J1046" s="86">
        <v>4</v>
      </c>
      <c r="K1046" s="86">
        <v>2</v>
      </c>
      <c r="L1046" s="86">
        <f>SUM(Table3[[#This Row],[Strategic priority segment]:[Propensity to buy/ buyer readiness]])</f>
        <v>15</v>
      </c>
      <c r="M1046" s="86" t="s">
        <v>59</v>
      </c>
      <c r="N1046" s="84" t="s">
        <v>265</v>
      </c>
      <c r="O1046" s="84"/>
      <c r="P1046" s="87"/>
      <c r="Q1046" s="87"/>
      <c r="R1046" s="84"/>
      <c r="S1046" s="87"/>
      <c r="T1046" s="87"/>
      <c r="U1046" s="84">
        <v>1</v>
      </c>
      <c r="V1046" s="84">
        <v>1</v>
      </c>
      <c r="W1046" s="84">
        <v>1</v>
      </c>
      <c r="X1046" s="84">
        <v>1</v>
      </c>
      <c r="Y1046" s="84">
        <v>0</v>
      </c>
      <c r="Z1046" s="84">
        <v>0</v>
      </c>
      <c r="AA1046" s="84">
        <v>0</v>
      </c>
      <c r="AB1046" s="84">
        <v>0</v>
      </c>
      <c r="AC1046" s="84">
        <v>0</v>
      </c>
      <c r="AD1046" s="84">
        <v>0</v>
      </c>
      <c r="AE1046" s="84">
        <v>0</v>
      </c>
      <c r="AF1046" s="84">
        <v>0</v>
      </c>
      <c r="AG1046" s="84">
        <v>0</v>
      </c>
      <c r="AH1046" s="84">
        <v>0</v>
      </c>
      <c r="AI1046" s="84">
        <v>1</v>
      </c>
      <c r="AJ1046" s="84">
        <v>0</v>
      </c>
      <c r="AK1046" s="84">
        <v>0</v>
      </c>
      <c r="AL1046" s="84" cm="1">
        <f t="array" ref="AL10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6" s="84" cm="1">
        <f t="array" ref="AM10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46" s="84" cm="1">
        <f t="array" ref="AN10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46" s="84" cm="1">
        <f t="array" ref="AO10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46" s="84" cm="1">
        <f t="array" ref="AP10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6" s="84" cm="1">
        <f t="array" ref="AQ10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6" s="84" cm="1">
        <f t="array" ref="AR10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6" s="84" cm="1">
        <f t="array" ref="AS10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6" s="84" cm="1">
        <f t="array" ref="AT10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6" s="84" cm="1">
        <f t="array" ref="AU10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6" s="84" cm="1">
        <f t="array" ref="AV10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6" s="84" cm="1">
        <f t="array" ref="AW10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6" s="84" cm="1">
        <f t="array" ref="AX10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6" s="84" cm="1">
        <f t="array" ref="AY10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6" s="84" cm="1">
        <f t="array" ref="AZ10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46" s="84" cm="1">
        <f t="array" ref="BA10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6" s="84" cm="1">
        <f t="array" ref="BB10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6" s="84">
        <f>IF(SUM(Table3[[#This Row],[Column2]:[Column18]])&gt;Table3[[#This Row],[Column19]],Table3[[#This Row],[Column19]],SUM(Table3[[#This Row],[Column2]:[Column18]]))</f>
        <v>10000</v>
      </c>
      <c r="BD1046" s="2">
        <f>Table3[[#This Row],[Total Spend]]/SUM(Table3[[#This Row],[Column2]:[Column18]])</f>
        <v>7.2859744990892539E-2</v>
      </c>
    </row>
    <row r="1047" spans="1:56">
      <c r="A1047" s="84" t="s">
        <v>1121</v>
      </c>
      <c r="B1047" s="84"/>
      <c r="C1047" s="84"/>
      <c r="D1047" s="85">
        <v>45566</v>
      </c>
      <c r="E1047" s="85" t="s">
        <v>92</v>
      </c>
      <c r="F1047" s="84">
        <f>INDEX(Definitions!$G$13:$G$17,MATCH(Table3[[#This Row],[Propensity to buy/ buyer readiness]],Definitions!$A$13:$A$17,0))</f>
        <v>50000</v>
      </c>
      <c r="G1047" s="86">
        <v>3</v>
      </c>
      <c r="H1047" s="86">
        <v>3</v>
      </c>
      <c r="I1047" s="86">
        <v>3</v>
      </c>
      <c r="J1047" s="86">
        <v>3</v>
      </c>
      <c r="K1047" s="86">
        <v>3</v>
      </c>
      <c r="L1047" s="86">
        <f>SUM(Table3[[#This Row],[Strategic priority segment]:[Propensity to buy/ buyer readiness]])</f>
        <v>15</v>
      </c>
      <c r="M1047" s="86" t="s">
        <v>191</v>
      </c>
      <c r="N1047" s="84" t="s">
        <v>76</v>
      </c>
      <c r="O1047" s="84"/>
      <c r="P1047" s="84"/>
      <c r="Q1047" s="84"/>
      <c r="R1047" s="84"/>
      <c r="S1047" s="87"/>
      <c r="T1047" s="87"/>
      <c r="U1047" s="84">
        <v>0</v>
      </c>
      <c r="V1047" s="84">
        <v>0</v>
      </c>
      <c r="W1047" s="84">
        <v>0</v>
      </c>
      <c r="X1047" s="84">
        <v>0</v>
      </c>
      <c r="Y1047" s="84">
        <v>0</v>
      </c>
      <c r="Z1047" s="84">
        <v>0</v>
      </c>
      <c r="AA1047" s="84">
        <v>0</v>
      </c>
      <c r="AB1047" s="84">
        <v>0</v>
      </c>
      <c r="AC1047" s="84">
        <v>0</v>
      </c>
      <c r="AD1047" s="84">
        <v>0</v>
      </c>
      <c r="AE1047" s="84">
        <v>0</v>
      </c>
      <c r="AF1047" s="84">
        <v>0</v>
      </c>
      <c r="AG1047" s="84">
        <v>0</v>
      </c>
      <c r="AH1047" s="84">
        <v>1</v>
      </c>
      <c r="AI1047" s="84">
        <v>0</v>
      </c>
      <c r="AJ1047" s="84">
        <v>1</v>
      </c>
      <c r="AK1047" s="84">
        <v>0</v>
      </c>
      <c r="AL1047" s="84" cm="1">
        <f t="array" ref="AL10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47" s="84" cm="1">
        <f t="array" ref="AM10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47" s="84" cm="1">
        <f t="array" ref="AN10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47" s="84" cm="1">
        <f t="array" ref="AO10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47" s="84" cm="1">
        <f t="array" ref="AP10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7" s="84" cm="1">
        <f t="array" ref="AQ10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7" s="84" cm="1">
        <f t="array" ref="AR10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7" s="84" cm="1">
        <f t="array" ref="AS10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7" s="84" cm="1">
        <f t="array" ref="AT10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7" s="84" cm="1">
        <f t="array" ref="AU10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7" s="84" cm="1">
        <f t="array" ref="AV10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7" s="84" cm="1">
        <f t="array" ref="AW10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7" s="84" cm="1">
        <f t="array" ref="AX10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7" s="84" cm="1">
        <f t="array" ref="AY10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47" s="84" cm="1">
        <f t="array" ref="AZ10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47" s="84" cm="1">
        <f t="array" ref="BA10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47" s="84" cm="1">
        <f t="array" ref="BB10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7" s="84">
        <f>IF(SUM(Table3[[#This Row],[Column2]:[Column18]])&gt;Table3[[#This Row],[Column19]],Table3[[#This Row],[Column19]],SUM(Table3[[#This Row],[Column2]:[Column18]]))</f>
        <v>30600</v>
      </c>
      <c r="BD1047" s="2">
        <f>Table3[[#This Row],[Total Spend]]/SUM(Table3[[#This Row],[Column2]:[Column18]])</f>
        <v>1</v>
      </c>
    </row>
    <row r="1048" spans="1:56">
      <c r="A1048" s="84" t="s">
        <v>1122</v>
      </c>
      <c r="B1048" s="84"/>
      <c r="C1048" s="84"/>
      <c r="D1048" s="85">
        <v>45566</v>
      </c>
      <c r="E1048" s="85" t="s">
        <v>92</v>
      </c>
      <c r="F1048" s="84">
        <f>INDEX(Definitions!$G$13:$G$17,MATCH(Table3[[#This Row],[Propensity to buy/ buyer readiness]],Definitions!$A$13:$A$17,0))</f>
        <v>10000</v>
      </c>
      <c r="G1048" s="86">
        <v>3</v>
      </c>
      <c r="H1048" s="86">
        <v>3</v>
      </c>
      <c r="I1048" s="86">
        <v>3</v>
      </c>
      <c r="J1048" s="86">
        <v>4</v>
      </c>
      <c r="K1048" s="86">
        <v>2</v>
      </c>
      <c r="L1048" s="86">
        <f>SUM(Table3[[#This Row],[Strategic priority segment]:[Propensity to buy/ buyer readiness]])</f>
        <v>15</v>
      </c>
      <c r="M1048" s="86" t="s">
        <v>59</v>
      </c>
      <c r="N1048" s="84" t="s">
        <v>265</v>
      </c>
      <c r="O1048" s="84"/>
      <c r="P1048" s="87"/>
      <c r="Q1048" s="87"/>
      <c r="R1048" s="84"/>
      <c r="S1048" s="87"/>
      <c r="T1048" s="87"/>
      <c r="U1048" s="84">
        <v>1</v>
      </c>
      <c r="V1048" s="84">
        <v>1</v>
      </c>
      <c r="W1048" s="84">
        <v>1</v>
      </c>
      <c r="X1048" s="84">
        <v>1</v>
      </c>
      <c r="Y1048" s="84">
        <v>0</v>
      </c>
      <c r="Z1048" s="84">
        <v>0</v>
      </c>
      <c r="AA1048" s="84">
        <v>0</v>
      </c>
      <c r="AB1048" s="84">
        <v>0</v>
      </c>
      <c r="AC1048" s="84">
        <v>0</v>
      </c>
      <c r="AD1048" s="84">
        <v>0</v>
      </c>
      <c r="AE1048" s="84">
        <v>0</v>
      </c>
      <c r="AF1048" s="84">
        <v>0</v>
      </c>
      <c r="AG1048" s="84">
        <v>0</v>
      </c>
      <c r="AH1048" s="84">
        <v>0</v>
      </c>
      <c r="AI1048" s="84">
        <v>1</v>
      </c>
      <c r="AJ1048" s="84">
        <v>0</v>
      </c>
      <c r="AK1048" s="84">
        <v>0</v>
      </c>
      <c r="AL1048" s="84" cm="1">
        <f t="array" ref="AL10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8" s="84" cm="1">
        <f t="array" ref="AM10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48" s="84" cm="1">
        <f t="array" ref="AN10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48" s="84" cm="1">
        <f t="array" ref="AO10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48" s="84" cm="1">
        <f t="array" ref="AP10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8" s="84" cm="1">
        <f t="array" ref="AQ10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8" s="84" cm="1">
        <f t="array" ref="AR10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8" s="84" cm="1">
        <f t="array" ref="AS10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8" s="84" cm="1">
        <f t="array" ref="AT10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8" s="84" cm="1">
        <f t="array" ref="AU10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8" s="84" cm="1">
        <f t="array" ref="AV10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8" s="84" cm="1">
        <f t="array" ref="AW10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8" s="84" cm="1">
        <f t="array" ref="AX10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8" s="84" cm="1">
        <f t="array" ref="AY10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8" s="84" cm="1">
        <f t="array" ref="AZ10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48" s="84" cm="1">
        <f t="array" ref="BA10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8" s="84" cm="1">
        <f t="array" ref="BB10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8" s="84">
        <f>IF(SUM(Table3[[#This Row],[Column2]:[Column18]])&gt;Table3[[#This Row],[Column19]],Table3[[#This Row],[Column19]],SUM(Table3[[#This Row],[Column2]:[Column18]]))</f>
        <v>10000</v>
      </c>
      <c r="BD1048" s="2">
        <f>Table3[[#This Row],[Total Spend]]/SUM(Table3[[#This Row],[Column2]:[Column18]])</f>
        <v>7.2859744990892539E-2</v>
      </c>
    </row>
    <row r="1049" spans="1:56">
      <c r="A1049" s="84" t="s">
        <v>1123</v>
      </c>
      <c r="B1049" s="84" t="s">
        <v>57</v>
      </c>
      <c r="C1049" s="84"/>
      <c r="D1049" s="85">
        <v>45566</v>
      </c>
      <c r="E1049" s="85" t="s">
        <v>92</v>
      </c>
      <c r="F1049" s="84">
        <f>INDEX(Definitions!$G$13:$G$17,MATCH(Table3[[#This Row],[Propensity to buy/ buyer readiness]],Definitions!$A$13:$A$17,0))</f>
        <v>10000</v>
      </c>
      <c r="G1049" s="86">
        <v>3</v>
      </c>
      <c r="H1049" s="86">
        <v>3</v>
      </c>
      <c r="I1049" s="86">
        <v>4</v>
      </c>
      <c r="J1049" s="86">
        <v>3</v>
      </c>
      <c r="K1049" s="86">
        <v>2</v>
      </c>
      <c r="L1049" s="86">
        <f>SUM(Table3[[#This Row],[Strategic priority segment]:[Propensity to buy/ buyer readiness]])</f>
        <v>15</v>
      </c>
      <c r="M1049" s="86" t="s">
        <v>152</v>
      </c>
      <c r="N1049" s="84" t="s">
        <v>264</v>
      </c>
      <c r="O1049" s="84"/>
      <c r="P1049" s="87"/>
      <c r="Q1049" s="87"/>
      <c r="R1049" s="84"/>
      <c r="S1049" s="87"/>
      <c r="T1049" s="87"/>
      <c r="U1049" s="84">
        <v>1</v>
      </c>
      <c r="V1049" s="84">
        <v>0</v>
      </c>
      <c r="W1049" s="84">
        <v>0</v>
      </c>
      <c r="X1049" s="84">
        <v>0</v>
      </c>
      <c r="Y1049" s="84">
        <v>0</v>
      </c>
      <c r="Z1049" s="84">
        <v>0</v>
      </c>
      <c r="AA1049" s="84">
        <v>0</v>
      </c>
      <c r="AB1049" s="84">
        <v>0</v>
      </c>
      <c r="AC1049" s="84">
        <v>0</v>
      </c>
      <c r="AD1049" s="84">
        <v>0</v>
      </c>
      <c r="AE1049" s="84">
        <v>0</v>
      </c>
      <c r="AF1049" s="84">
        <v>0</v>
      </c>
      <c r="AG1049" s="84">
        <v>0</v>
      </c>
      <c r="AH1049" s="84">
        <v>0</v>
      </c>
      <c r="AI1049" s="84">
        <v>0</v>
      </c>
      <c r="AJ1049" s="84">
        <v>0</v>
      </c>
      <c r="AK1049" s="84">
        <v>0</v>
      </c>
      <c r="AL1049" s="84" cm="1">
        <f t="array" ref="AL10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49" s="84" cm="1">
        <f t="array" ref="AM10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49" s="84" cm="1">
        <f t="array" ref="AN10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49" s="84" cm="1">
        <f t="array" ref="AO10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49" s="84" cm="1">
        <f t="array" ref="AP10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49" s="84" cm="1">
        <f t="array" ref="AQ10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49" s="84" cm="1">
        <f t="array" ref="AR10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49" s="84" cm="1">
        <f t="array" ref="AS10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49" s="84" cm="1">
        <f t="array" ref="AT10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49" s="84" cm="1">
        <f t="array" ref="AU10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49" s="84" cm="1">
        <f t="array" ref="AV10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49" s="84" cm="1">
        <f t="array" ref="AW10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49" s="84" cm="1">
        <f t="array" ref="AX10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49" s="84" cm="1">
        <f t="array" ref="AY10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49" s="84" cm="1">
        <f t="array" ref="AZ10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49" s="84" cm="1">
        <f t="array" ref="BA10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49" s="84" cm="1">
        <f t="array" ref="BB10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49" s="84">
        <f>IF(SUM(Table3[[#This Row],[Column2]:[Column18]])&gt;Table3[[#This Row],[Column19]],Table3[[#This Row],[Column19]],SUM(Table3[[#This Row],[Column2]:[Column18]]))</f>
        <v>8100</v>
      </c>
      <c r="BD1049" s="2">
        <f>Table3[[#This Row],[Total Spend]]/SUM(Table3[[#This Row],[Column2]:[Column18]])</f>
        <v>1</v>
      </c>
    </row>
    <row r="1050" spans="1:56">
      <c r="A1050" s="84" t="s">
        <v>1124</v>
      </c>
      <c r="B1050" s="84"/>
      <c r="C1050" s="84" t="s">
        <v>57</v>
      </c>
      <c r="D1050" s="85">
        <v>45566</v>
      </c>
      <c r="E1050" s="85" t="s">
        <v>92</v>
      </c>
      <c r="F1050" s="84">
        <f>INDEX(Definitions!$G$13:$G$17,MATCH(Table3[[#This Row],[Propensity to buy/ buyer readiness]],Definitions!$A$13:$A$17,0))</f>
        <v>50000</v>
      </c>
      <c r="G1050" s="86">
        <v>3</v>
      </c>
      <c r="H1050" s="86">
        <v>3</v>
      </c>
      <c r="I1050" s="86">
        <v>3</v>
      </c>
      <c r="J1050" s="86">
        <v>3</v>
      </c>
      <c r="K1050" s="86">
        <v>3</v>
      </c>
      <c r="L1050" s="86">
        <f>SUM(Table3[[#This Row],[Strategic priority segment]:[Propensity to buy/ buyer readiness]])</f>
        <v>15</v>
      </c>
      <c r="M1050" s="86" t="s">
        <v>66</v>
      </c>
      <c r="N1050" s="84" t="s">
        <v>144</v>
      </c>
      <c r="O1050" s="84"/>
      <c r="P1050" s="87"/>
      <c r="Q1050" s="87"/>
      <c r="R1050" s="84"/>
      <c r="S1050" s="87"/>
      <c r="T1050" s="87"/>
      <c r="U1050" s="84">
        <v>1</v>
      </c>
      <c r="V1050" s="84">
        <v>0</v>
      </c>
      <c r="W1050" s="84">
        <v>0</v>
      </c>
      <c r="X1050" s="84">
        <v>0</v>
      </c>
      <c r="Y1050" s="84">
        <v>0</v>
      </c>
      <c r="Z1050" s="84">
        <v>0</v>
      </c>
      <c r="AA1050" s="84">
        <v>0</v>
      </c>
      <c r="AB1050" s="84">
        <v>0</v>
      </c>
      <c r="AC1050" s="84">
        <v>0</v>
      </c>
      <c r="AD1050" s="84">
        <v>0</v>
      </c>
      <c r="AE1050" s="84">
        <v>0</v>
      </c>
      <c r="AF1050" s="84">
        <v>1</v>
      </c>
      <c r="AG1050" s="84">
        <v>0</v>
      </c>
      <c r="AH1050" s="84">
        <v>0</v>
      </c>
      <c r="AI1050" s="84">
        <v>0</v>
      </c>
      <c r="AJ1050" s="84">
        <v>1</v>
      </c>
      <c r="AK1050" s="84">
        <v>0</v>
      </c>
      <c r="AL1050" s="84" cm="1">
        <f t="array" ref="AL10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0" s="84" cm="1">
        <f t="array" ref="AM10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0" s="84" cm="1">
        <f t="array" ref="AN10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0" s="84" cm="1">
        <f t="array" ref="AO10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0" s="84" cm="1">
        <f t="array" ref="AP10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0" s="84" cm="1">
        <f t="array" ref="AQ10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0" s="84" cm="1">
        <f t="array" ref="AR10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0" s="84" cm="1">
        <f t="array" ref="AS10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0" s="84" cm="1">
        <f t="array" ref="AT10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0" s="84" cm="1">
        <f t="array" ref="AU10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0" s="84" cm="1">
        <f t="array" ref="AV10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0" s="84" cm="1">
        <f t="array" ref="AW10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50" s="84" cm="1">
        <f t="array" ref="AX10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0" s="84" cm="1">
        <f t="array" ref="AY10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0" s="84" cm="1">
        <f t="array" ref="AZ10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0" s="84" cm="1">
        <f t="array" ref="BA10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50" s="84" cm="1">
        <f t="array" ref="BB10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0" s="84">
        <f>IF(SUM(Table3[[#This Row],[Column2]:[Column18]])&gt;Table3[[#This Row],[Column19]],Table3[[#This Row],[Column19]],SUM(Table3[[#This Row],[Column2]:[Column18]]))</f>
        <v>50000</v>
      </c>
      <c r="BD1050" s="2">
        <f>Table3[[#This Row],[Total Spend]]/SUM(Table3[[#This Row],[Column2]:[Column18]])</f>
        <v>0.84175084175084181</v>
      </c>
    </row>
    <row r="1051" spans="1:56">
      <c r="A1051" s="84" t="s">
        <v>1125</v>
      </c>
      <c r="B1051" s="84"/>
      <c r="C1051" s="84"/>
      <c r="D1051" s="85">
        <v>45566</v>
      </c>
      <c r="E1051" s="85" t="s">
        <v>92</v>
      </c>
      <c r="F1051" s="84">
        <f>INDEX(Definitions!$G$13:$G$17,MATCH(Table3[[#This Row],[Propensity to buy/ buyer readiness]],Definitions!$A$13:$A$17,0))</f>
        <v>50000</v>
      </c>
      <c r="G1051" s="86">
        <v>3</v>
      </c>
      <c r="H1051" s="86">
        <v>3</v>
      </c>
      <c r="I1051" s="86">
        <v>3</v>
      </c>
      <c r="J1051" s="86">
        <v>3</v>
      </c>
      <c r="K1051" s="86">
        <v>3</v>
      </c>
      <c r="L1051" s="86">
        <f>SUM(Table3[[#This Row],[Strategic priority segment]:[Propensity to buy/ buyer readiness]])</f>
        <v>15</v>
      </c>
      <c r="M1051" s="86" t="s">
        <v>191</v>
      </c>
      <c r="N1051" s="84" t="s">
        <v>76</v>
      </c>
      <c r="O1051" s="84"/>
      <c r="P1051" s="84"/>
      <c r="Q1051" s="84"/>
      <c r="R1051" s="84"/>
      <c r="S1051" s="87"/>
      <c r="T1051" s="87"/>
      <c r="U1051" s="84">
        <v>0</v>
      </c>
      <c r="V1051" s="84">
        <v>0</v>
      </c>
      <c r="W1051" s="84">
        <v>0</v>
      </c>
      <c r="X1051" s="84">
        <v>0</v>
      </c>
      <c r="Y1051" s="84">
        <v>0</v>
      </c>
      <c r="Z1051" s="84">
        <v>0</v>
      </c>
      <c r="AA1051" s="84">
        <v>0</v>
      </c>
      <c r="AB1051" s="84">
        <v>0</v>
      </c>
      <c r="AC1051" s="84">
        <v>0</v>
      </c>
      <c r="AD1051" s="84">
        <v>0</v>
      </c>
      <c r="AE1051" s="84">
        <v>0</v>
      </c>
      <c r="AF1051" s="84">
        <v>0</v>
      </c>
      <c r="AG1051" s="84">
        <v>0</v>
      </c>
      <c r="AH1051" s="84">
        <v>1</v>
      </c>
      <c r="AI1051" s="84">
        <v>0</v>
      </c>
      <c r="AJ1051" s="84">
        <v>1</v>
      </c>
      <c r="AK1051" s="84">
        <v>0</v>
      </c>
      <c r="AL1051" s="84" cm="1">
        <f t="array" ref="AL10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51" s="84" cm="1">
        <f t="array" ref="AM10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1" s="84" cm="1">
        <f t="array" ref="AN10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1" s="84" cm="1">
        <f t="array" ref="AO10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1" s="84" cm="1">
        <f t="array" ref="AP10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1" s="84" cm="1">
        <f t="array" ref="AQ10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1" s="84" cm="1">
        <f t="array" ref="AR10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1" s="84" cm="1">
        <f t="array" ref="AS10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1" s="84" cm="1">
        <f t="array" ref="AT10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1" s="84" cm="1">
        <f t="array" ref="AU10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1" s="84" cm="1">
        <f t="array" ref="AV10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1" s="84" cm="1">
        <f t="array" ref="AW10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1" s="84" cm="1">
        <f t="array" ref="AX10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1" s="84" cm="1">
        <f t="array" ref="AY10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51" s="84" cm="1">
        <f t="array" ref="AZ10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1" s="84" cm="1">
        <f t="array" ref="BA10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51" s="84" cm="1">
        <f t="array" ref="BB10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1" s="84">
        <f>IF(SUM(Table3[[#This Row],[Column2]:[Column18]])&gt;Table3[[#This Row],[Column19]],Table3[[#This Row],[Column19]],SUM(Table3[[#This Row],[Column2]:[Column18]]))</f>
        <v>30600</v>
      </c>
      <c r="BD1051" s="2">
        <f>Table3[[#This Row],[Total Spend]]/SUM(Table3[[#This Row],[Column2]:[Column18]])</f>
        <v>1</v>
      </c>
    </row>
    <row r="1052" spans="1:56">
      <c r="A1052" s="84" t="s">
        <v>1126</v>
      </c>
      <c r="B1052" s="84" t="s">
        <v>57</v>
      </c>
      <c r="C1052" s="84"/>
      <c r="D1052" s="85">
        <v>45566</v>
      </c>
      <c r="E1052" s="85" t="s">
        <v>92</v>
      </c>
      <c r="F1052" s="84">
        <f>INDEX(Definitions!$G$13:$G$17,MATCH(Table3[[#This Row],[Propensity to buy/ buyer readiness]],Definitions!$A$13:$A$17,0))</f>
        <v>10000</v>
      </c>
      <c r="G1052" s="86">
        <v>3</v>
      </c>
      <c r="H1052" s="86">
        <v>3</v>
      </c>
      <c r="I1052" s="86">
        <v>4</v>
      </c>
      <c r="J1052" s="86">
        <v>3</v>
      </c>
      <c r="K1052" s="86">
        <v>2</v>
      </c>
      <c r="L1052" s="86">
        <f>SUM(Table3[[#This Row],[Strategic priority segment]:[Propensity to buy/ buyer readiness]])</f>
        <v>15</v>
      </c>
      <c r="M1052" s="86" t="s">
        <v>152</v>
      </c>
      <c r="N1052" s="84" t="s">
        <v>264</v>
      </c>
      <c r="O1052" s="84"/>
      <c r="P1052" s="87"/>
      <c r="Q1052" s="87"/>
      <c r="R1052" s="84"/>
      <c r="S1052" s="87"/>
      <c r="T1052" s="87"/>
      <c r="U1052" s="84">
        <v>1</v>
      </c>
      <c r="V1052" s="84">
        <v>0</v>
      </c>
      <c r="W1052" s="84">
        <v>0</v>
      </c>
      <c r="X1052" s="84">
        <v>0</v>
      </c>
      <c r="Y1052" s="84">
        <v>0</v>
      </c>
      <c r="Z1052" s="84">
        <v>0</v>
      </c>
      <c r="AA1052" s="84">
        <v>0</v>
      </c>
      <c r="AB1052" s="84">
        <v>0</v>
      </c>
      <c r="AC1052" s="84">
        <v>0</v>
      </c>
      <c r="AD1052" s="84">
        <v>0</v>
      </c>
      <c r="AE1052" s="84">
        <v>0</v>
      </c>
      <c r="AF1052" s="84">
        <v>0</v>
      </c>
      <c r="AG1052" s="84">
        <v>0</v>
      </c>
      <c r="AH1052" s="84">
        <v>0</v>
      </c>
      <c r="AI1052" s="84">
        <v>0</v>
      </c>
      <c r="AJ1052" s="84">
        <v>0</v>
      </c>
      <c r="AK1052" s="84">
        <v>0</v>
      </c>
      <c r="AL1052" s="84" cm="1">
        <f t="array" ref="AL10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2" s="84" cm="1">
        <f t="array" ref="AM10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2" s="84" cm="1">
        <f t="array" ref="AN10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2" s="84" cm="1">
        <f t="array" ref="AO10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2" s="84" cm="1">
        <f t="array" ref="AP10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2" s="84" cm="1">
        <f t="array" ref="AQ10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2" s="84" cm="1">
        <f t="array" ref="AR10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2" s="84" cm="1">
        <f t="array" ref="AS10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2" s="84" cm="1">
        <f t="array" ref="AT10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2" s="84" cm="1">
        <f t="array" ref="AU10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2" s="84" cm="1">
        <f t="array" ref="AV10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2" s="84" cm="1">
        <f t="array" ref="AW10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2" s="84" cm="1">
        <f t="array" ref="AX10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2" s="84" cm="1">
        <f t="array" ref="AY10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2" s="84" cm="1">
        <f t="array" ref="AZ10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2" s="84" cm="1">
        <f t="array" ref="BA10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2" s="84" cm="1">
        <f t="array" ref="BB10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2" s="84">
        <f>IF(SUM(Table3[[#This Row],[Column2]:[Column18]])&gt;Table3[[#This Row],[Column19]],Table3[[#This Row],[Column19]],SUM(Table3[[#This Row],[Column2]:[Column18]]))</f>
        <v>8100</v>
      </c>
      <c r="BD1052" s="2">
        <f>Table3[[#This Row],[Total Spend]]/SUM(Table3[[#This Row],[Column2]:[Column18]])</f>
        <v>1</v>
      </c>
    </row>
    <row r="1053" spans="1:56">
      <c r="A1053" s="84" t="s">
        <v>1127</v>
      </c>
      <c r="B1053" s="84"/>
      <c r="C1053" s="84"/>
      <c r="D1053" s="85">
        <v>45566</v>
      </c>
      <c r="E1053" s="85" t="s">
        <v>92</v>
      </c>
      <c r="F1053" s="84">
        <f>INDEX(Definitions!$G$13:$G$17,MATCH(Table3[[#This Row],[Propensity to buy/ buyer readiness]],Definitions!$A$13:$A$17,0))</f>
        <v>10000</v>
      </c>
      <c r="G1053" s="86">
        <v>3</v>
      </c>
      <c r="H1053" s="86">
        <v>3</v>
      </c>
      <c r="I1053" s="86">
        <v>3</v>
      </c>
      <c r="J1053" s="86">
        <v>4</v>
      </c>
      <c r="K1053" s="86">
        <v>2</v>
      </c>
      <c r="L1053" s="86">
        <f>SUM(Table3[[#This Row],[Strategic priority segment]:[Propensity to buy/ buyer readiness]])</f>
        <v>15</v>
      </c>
      <c r="M1053" s="86" t="s">
        <v>59</v>
      </c>
      <c r="N1053" s="84" t="s">
        <v>265</v>
      </c>
      <c r="O1053" s="84"/>
      <c r="P1053" s="87"/>
      <c r="Q1053" s="87"/>
      <c r="R1053" s="84"/>
      <c r="S1053" s="87"/>
      <c r="T1053" s="87"/>
      <c r="U1053" s="84">
        <v>1</v>
      </c>
      <c r="V1053" s="84">
        <v>1</v>
      </c>
      <c r="W1053" s="84">
        <v>1</v>
      </c>
      <c r="X1053" s="84">
        <v>1</v>
      </c>
      <c r="Y1053" s="84">
        <v>0</v>
      </c>
      <c r="Z1053" s="84">
        <v>0</v>
      </c>
      <c r="AA1053" s="84">
        <v>0</v>
      </c>
      <c r="AB1053" s="84">
        <v>0</v>
      </c>
      <c r="AC1053" s="84">
        <v>0</v>
      </c>
      <c r="AD1053" s="84">
        <v>0</v>
      </c>
      <c r="AE1053" s="84">
        <v>0</v>
      </c>
      <c r="AF1053" s="84">
        <v>0</v>
      </c>
      <c r="AG1053" s="84">
        <v>0</v>
      </c>
      <c r="AH1053" s="84">
        <v>0</v>
      </c>
      <c r="AI1053" s="84">
        <v>1</v>
      </c>
      <c r="AJ1053" s="84">
        <v>0</v>
      </c>
      <c r="AK1053" s="84">
        <v>0</v>
      </c>
      <c r="AL1053" s="84" cm="1">
        <f t="array" ref="AL10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3" s="84" cm="1">
        <f t="array" ref="AM10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53" s="84" cm="1">
        <f t="array" ref="AN10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53" s="84" cm="1">
        <f t="array" ref="AO10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53" s="84" cm="1">
        <f t="array" ref="AP10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3" s="84" cm="1">
        <f t="array" ref="AQ10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3" s="84" cm="1">
        <f t="array" ref="AR10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3" s="84" cm="1">
        <f t="array" ref="AS10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3" s="84" cm="1">
        <f t="array" ref="AT10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3" s="84" cm="1">
        <f t="array" ref="AU10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3" s="84" cm="1">
        <f t="array" ref="AV10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3" s="84" cm="1">
        <f t="array" ref="AW10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3" s="84" cm="1">
        <f t="array" ref="AX10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3" s="84" cm="1">
        <f t="array" ref="AY10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3" s="84" cm="1">
        <f t="array" ref="AZ10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53" s="84" cm="1">
        <f t="array" ref="BA10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3" s="84" cm="1">
        <f t="array" ref="BB10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3" s="84">
        <f>IF(SUM(Table3[[#This Row],[Column2]:[Column18]])&gt;Table3[[#This Row],[Column19]],Table3[[#This Row],[Column19]],SUM(Table3[[#This Row],[Column2]:[Column18]]))</f>
        <v>10000</v>
      </c>
      <c r="BD1053" s="2">
        <f>Table3[[#This Row],[Total Spend]]/SUM(Table3[[#This Row],[Column2]:[Column18]])</f>
        <v>7.2859744990892539E-2</v>
      </c>
    </row>
    <row r="1054" spans="1:56">
      <c r="A1054" s="84" t="s">
        <v>1128</v>
      </c>
      <c r="B1054" s="84"/>
      <c r="C1054" s="84"/>
      <c r="D1054" s="85">
        <v>45566</v>
      </c>
      <c r="E1054" s="85" t="s">
        <v>58</v>
      </c>
      <c r="F1054" s="84">
        <f>INDEX(Definitions!$G$13:$G$17,MATCH(Table3[[#This Row],[Propensity to buy/ buyer readiness]],Definitions!$A$13:$A$17,0))</f>
        <v>150000</v>
      </c>
      <c r="G1054" s="86">
        <v>3</v>
      </c>
      <c r="H1054" s="86">
        <v>3</v>
      </c>
      <c r="I1054" s="86">
        <v>2</v>
      </c>
      <c r="J1054" s="86">
        <v>3</v>
      </c>
      <c r="K1054" s="86">
        <v>4</v>
      </c>
      <c r="L1054" s="86">
        <f>SUM(Table3[[#This Row],[Strategic priority segment]:[Propensity to buy/ buyer readiness]])</f>
        <v>15</v>
      </c>
      <c r="M1054" s="86" t="s">
        <v>152</v>
      </c>
      <c r="N1054" s="84" t="s">
        <v>122</v>
      </c>
      <c r="O1054" s="84"/>
      <c r="P1054" s="87"/>
      <c r="Q1054" s="87"/>
      <c r="R1054" s="84"/>
      <c r="S1054" s="87"/>
      <c r="T1054" s="87"/>
      <c r="U1054" s="84">
        <v>1</v>
      </c>
      <c r="V1054" s="84">
        <v>0</v>
      </c>
      <c r="W1054" s="84">
        <v>0</v>
      </c>
      <c r="X1054" s="84">
        <v>0</v>
      </c>
      <c r="Y1054" s="84">
        <v>0</v>
      </c>
      <c r="Z1054" s="84">
        <v>1</v>
      </c>
      <c r="AA1054" s="84">
        <v>0</v>
      </c>
      <c r="AB1054" s="84">
        <v>1</v>
      </c>
      <c r="AC1054" s="84">
        <v>0</v>
      </c>
      <c r="AD1054" s="84">
        <v>1</v>
      </c>
      <c r="AE1054" s="84">
        <v>0</v>
      </c>
      <c r="AF1054" s="84">
        <v>1</v>
      </c>
      <c r="AG1054" s="84">
        <v>0</v>
      </c>
      <c r="AH1054" s="84">
        <v>0</v>
      </c>
      <c r="AI1054" s="84">
        <v>0</v>
      </c>
      <c r="AJ1054" s="84">
        <v>0</v>
      </c>
      <c r="AK1054" s="84">
        <v>0</v>
      </c>
      <c r="AL1054" s="84" cm="1">
        <f t="array" ref="AL10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54" s="84" cm="1">
        <f t="array" ref="AM10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4" s="84" cm="1">
        <f t="array" ref="AN10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4" s="84" cm="1">
        <f t="array" ref="AO10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4" s="84" cm="1">
        <f t="array" ref="AP10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4" s="84" cm="1">
        <f t="array" ref="AQ10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54" s="84" cm="1">
        <f t="array" ref="AR10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4" s="84" cm="1">
        <f t="array" ref="AS10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54" s="84" cm="1">
        <f t="array" ref="AT10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4" s="84" cm="1">
        <f t="array" ref="AU10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54" s="84" cm="1">
        <f t="array" ref="AV10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4" s="84" cm="1">
        <f t="array" ref="AW10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54" s="84" cm="1">
        <f t="array" ref="AX10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4" s="84" cm="1">
        <f t="array" ref="AY10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4" s="84" cm="1">
        <f t="array" ref="AZ10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4" s="84" cm="1">
        <f t="array" ref="BA10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4" s="84" cm="1">
        <f t="array" ref="BB10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4" s="84">
        <f>IF(SUM(Table3[[#This Row],[Column2]:[Column18]])&gt;Table3[[#This Row],[Column19]],Table3[[#This Row],[Column19]],SUM(Table3[[#This Row],[Column2]:[Column18]]))</f>
        <v>150000</v>
      </c>
      <c r="BD1054" s="2">
        <f>Table3[[#This Row],[Total Spend]]/SUM(Table3[[#This Row],[Column2]:[Column18]])</f>
        <v>0.89605734767025091</v>
      </c>
    </row>
    <row r="1055" spans="1:56">
      <c r="A1055" s="84" t="s">
        <v>1129</v>
      </c>
      <c r="B1055" s="84"/>
      <c r="C1055" s="84"/>
      <c r="D1055" s="85">
        <v>45566</v>
      </c>
      <c r="E1055" s="85" t="s">
        <v>92</v>
      </c>
      <c r="F1055" s="84">
        <f>INDEX(Definitions!$G$13:$G$17,MATCH(Table3[[#This Row],[Propensity to buy/ buyer readiness]],Definitions!$A$13:$A$17,0))</f>
        <v>50000</v>
      </c>
      <c r="G1055" s="86">
        <v>3</v>
      </c>
      <c r="H1055" s="86">
        <v>3</v>
      </c>
      <c r="I1055" s="86">
        <v>3</v>
      </c>
      <c r="J1055" s="86">
        <v>3</v>
      </c>
      <c r="K1055" s="86">
        <v>3</v>
      </c>
      <c r="L1055" s="86">
        <f>SUM(Table3[[#This Row],[Strategic priority segment]:[Propensity to buy/ buyer readiness]])</f>
        <v>15</v>
      </c>
      <c r="M1055" s="86" t="s">
        <v>152</v>
      </c>
      <c r="N1055" s="84" t="s">
        <v>122</v>
      </c>
      <c r="O1055" s="87"/>
      <c r="P1055" s="87"/>
      <c r="Q1055" s="87"/>
      <c r="R1055" s="87"/>
      <c r="S1055" s="87"/>
      <c r="T1055" s="87"/>
      <c r="U1055" s="84">
        <v>1</v>
      </c>
      <c r="V1055" s="84">
        <v>0</v>
      </c>
      <c r="W1055" s="84">
        <v>0</v>
      </c>
      <c r="X1055" s="84">
        <v>0</v>
      </c>
      <c r="Y1055" s="84">
        <v>0</v>
      </c>
      <c r="Z1055" s="84">
        <v>1</v>
      </c>
      <c r="AA1055" s="84">
        <v>0</v>
      </c>
      <c r="AB1055" s="84">
        <v>1</v>
      </c>
      <c r="AC1055" s="84">
        <v>0</v>
      </c>
      <c r="AD1055" s="84">
        <v>1</v>
      </c>
      <c r="AE1055" s="84">
        <v>0</v>
      </c>
      <c r="AF1055" s="84">
        <v>1</v>
      </c>
      <c r="AG1055" s="84">
        <v>0</v>
      </c>
      <c r="AH1055" s="84">
        <v>0</v>
      </c>
      <c r="AI1055" s="84">
        <v>0</v>
      </c>
      <c r="AJ1055" s="84">
        <v>0</v>
      </c>
      <c r="AK1055" s="84">
        <v>0</v>
      </c>
      <c r="AL1055" s="84" cm="1">
        <f t="array" ref="AL10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5" s="84" cm="1">
        <f t="array" ref="AM10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5" s="84" cm="1">
        <f t="array" ref="AN10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5" s="84" cm="1">
        <f t="array" ref="AO10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5" s="84" cm="1">
        <f t="array" ref="AP10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5" s="84" cm="1">
        <f t="array" ref="AQ10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55" s="84" cm="1">
        <f t="array" ref="AR10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5" s="84" cm="1">
        <f t="array" ref="AS10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55" s="84" cm="1">
        <f t="array" ref="AT10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5" s="84" cm="1">
        <f t="array" ref="AU10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55" s="84" cm="1">
        <f t="array" ref="AV10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5" s="84" cm="1">
        <f t="array" ref="AW10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55" s="84" cm="1">
        <f t="array" ref="AX10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5" s="84" cm="1">
        <f t="array" ref="AY10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5" s="84" cm="1">
        <f t="array" ref="AZ10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5" s="84" cm="1">
        <f t="array" ref="BA10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5" s="84" cm="1">
        <f t="array" ref="BB10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5" s="84">
        <f>IF(SUM(Table3[[#This Row],[Column2]:[Column18]])&gt;Table3[[#This Row],[Column19]],Table3[[#This Row],[Column19]],SUM(Table3[[#This Row],[Column2]:[Column18]]))</f>
        <v>50000</v>
      </c>
      <c r="BD1055" s="2">
        <f>Table3[[#This Row],[Total Spend]]/SUM(Table3[[#This Row],[Column2]:[Column18]])</f>
        <v>0.41459369817578773</v>
      </c>
    </row>
    <row r="1056" spans="1:56">
      <c r="A1056" s="84" t="s">
        <v>1130</v>
      </c>
      <c r="B1056" s="84"/>
      <c r="C1056" s="84"/>
      <c r="D1056" s="85">
        <v>45566</v>
      </c>
      <c r="E1056" s="85" t="s">
        <v>92</v>
      </c>
      <c r="F1056" s="84">
        <f>INDEX(Definitions!$G$13:$G$17,MATCH(Table3[[#This Row],[Propensity to buy/ buyer readiness]],Definitions!$A$13:$A$17,0))</f>
        <v>10000</v>
      </c>
      <c r="G1056" s="86">
        <v>3</v>
      </c>
      <c r="H1056" s="86">
        <v>3</v>
      </c>
      <c r="I1056" s="86">
        <v>3</v>
      </c>
      <c r="J1056" s="86">
        <v>4</v>
      </c>
      <c r="K1056" s="86">
        <v>2</v>
      </c>
      <c r="L1056" s="86">
        <f>SUM(Table3[[#This Row],[Strategic priority segment]:[Propensity to buy/ buyer readiness]])</f>
        <v>15</v>
      </c>
      <c r="M1056" s="86" t="s">
        <v>59</v>
      </c>
      <c r="N1056" s="84" t="s">
        <v>265</v>
      </c>
      <c r="O1056" s="84"/>
      <c r="P1056" s="87"/>
      <c r="Q1056" s="87"/>
      <c r="R1056" s="84"/>
      <c r="S1056" s="87"/>
      <c r="T1056" s="87"/>
      <c r="U1056" s="84">
        <v>1</v>
      </c>
      <c r="V1056" s="84">
        <v>1</v>
      </c>
      <c r="W1056" s="84">
        <v>1</v>
      </c>
      <c r="X1056" s="84">
        <v>1</v>
      </c>
      <c r="Y1056" s="84">
        <v>0</v>
      </c>
      <c r="Z1056" s="84">
        <v>0</v>
      </c>
      <c r="AA1056" s="84">
        <v>0</v>
      </c>
      <c r="AB1056" s="84">
        <v>0</v>
      </c>
      <c r="AC1056" s="84">
        <v>0</v>
      </c>
      <c r="AD1056" s="84">
        <v>0</v>
      </c>
      <c r="AE1056" s="84">
        <v>0</v>
      </c>
      <c r="AF1056" s="84">
        <v>0</v>
      </c>
      <c r="AG1056" s="84">
        <v>0</v>
      </c>
      <c r="AH1056" s="84">
        <v>0</v>
      </c>
      <c r="AI1056" s="84">
        <v>1</v>
      </c>
      <c r="AJ1056" s="84">
        <v>0</v>
      </c>
      <c r="AK1056" s="84">
        <v>0</v>
      </c>
      <c r="AL1056" s="84" cm="1">
        <f t="array" ref="AL10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6" s="84" cm="1">
        <f t="array" ref="AM10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56" s="84" cm="1">
        <f t="array" ref="AN10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56" s="84" cm="1">
        <f t="array" ref="AO10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56" s="84" cm="1">
        <f t="array" ref="AP10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6" s="84" cm="1">
        <f t="array" ref="AQ10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6" s="84" cm="1">
        <f t="array" ref="AR10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6" s="84" cm="1">
        <f t="array" ref="AS10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6" s="84" cm="1">
        <f t="array" ref="AT10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6" s="84" cm="1">
        <f t="array" ref="AU10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6" s="84" cm="1">
        <f t="array" ref="AV10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6" s="84" cm="1">
        <f t="array" ref="AW10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6" s="84" cm="1">
        <f t="array" ref="AX10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6" s="84" cm="1">
        <f t="array" ref="AY10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6" s="84" cm="1">
        <f t="array" ref="AZ10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56" s="84" cm="1">
        <f t="array" ref="BA10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6" s="84" cm="1">
        <f t="array" ref="BB10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6" s="84">
        <f>IF(SUM(Table3[[#This Row],[Column2]:[Column18]])&gt;Table3[[#This Row],[Column19]],Table3[[#This Row],[Column19]],SUM(Table3[[#This Row],[Column2]:[Column18]]))</f>
        <v>10000</v>
      </c>
      <c r="BD1056" s="2">
        <f>Table3[[#This Row],[Total Spend]]/SUM(Table3[[#This Row],[Column2]:[Column18]])</f>
        <v>7.2859744990892539E-2</v>
      </c>
    </row>
    <row r="1057" spans="1:56">
      <c r="A1057" s="84" t="s">
        <v>1131</v>
      </c>
      <c r="B1057" s="84"/>
      <c r="C1057" s="84"/>
      <c r="D1057" s="85">
        <v>45566</v>
      </c>
      <c r="E1057" s="85" t="s">
        <v>58</v>
      </c>
      <c r="F1057" s="84">
        <f>INDEX(Definitions!$G$13:$G$17,MATCH(Table3[[#This Row],[Propensity to buy/ buyer readiness]],Definitions!$A$13:$A$17,0))</f>
        <v>50000</v>
      </c>
      <c r="G1057" s="86">
        <v>3</v>
      </c>
      <c r="H1057" s="86">
        <v>3</v>
      </c>
      <c r="I1057" s="86">
        <v>3</v>
      </c>
      <c r="J1057" s="86">
        <v>3</v>
      </c>
      <c r="K1057" s="86">
        <v>3</v>
      </c>
      <c r="L1057" s="86">
        <f>SUM(Table3[[#This Row],[Strategic priority segment]:[Propensity to buy/ buyer readiness]])</f>
        <v>15</v>
      </c>
      <c r="M1057" s="86" t="s">
        <v>152</v>
      </c>
      <c r="N1057" s="84" t="s">
        <v>264</v>
      </c>
      <c r="O1057" s="84"/>
      <c r="P1057" s="84"/>
      <c r="Q1057" s="84"/>
      <c r="R1057" s="84"/>
      <c r="S1057" s="87"/>
      <c r="T1057" s="87"/>
      <c r="U1057" s="84">
        <v>1</v>
      </c>
      <c r="V1057" s="84">
        <v>0</v>
      </c>
      <c r="W1057" s="84">
        <v>0</v>
      </c>
      <c r="X1057" s="84">
        <v>0</v>
      </c>
      <c r="Y1057" s="84">
        <v>0</v>
      </c>
      <c r="Z1057" s="84">
        <v>0</v>
      </c>
      <c r="AA1057" s="84">
        <v>0</v>
      </c>
      <c r="AB1057" s="84">
        <v>0</v>
      </c>
      <c r="AC1057" s="84">
        <v>0</v>
      </c>
      <c r="AD1057" s="84">
        <v>0</v>
      </c>
      <c r="AE1057" s="84">
        <v>0</v>
      </c>
      <c r="AF1057" s="84">
        <v>0</v>
      </c>
      <c r="AG1057" s="84">
        <v>0</v>
      </c>
      <c r="AH1057" s="84">
        <v>0</v>
      </c>
      <c r="AI1057" s="84">
        <v>0</v>
      </c>
      <c r="AJ1057" s="84">
        <v>0</v>
      </c>
      <c r="AK1057" s="84">
        <v>0</v>
      </c>
      <c r="AL1057" s="84" cm="1">
        <f t="array" ref="AL10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57" s="84" cm="1">
        <f t="array" ref="AM10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7" s="84" cm="1">
        <f t="array" ref="AN10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7" s="84" cm="1">
        <f t="array" ref="AO10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7" s="84" cm="1">
        <f t="array" ref="AP10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7" s="84" cm="1">
        <f t="array" ref="AQ10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7" s="84" cm="1">
        <f t="array" ref="AR10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7" s="84" cm="1">
        <f t="array" ref="AS10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7" s="84" cm="1">
        <f t="array" ref="AT10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7" s="84" cm="1">
        <f t="array" ref="AU10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7" s="84" cm="1">
        <f t="array" ref="AV10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7" s="84" cm="1">
        <f t="array" ref="AW10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7" s="84" cm="1">
        <f t="array" ref="AX10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7" s="84" cm="1">
        <f t="array" ref="AY10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7" s="84" cm="1">
        <f t="array" ref="AZ10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7" s="84" cm="1">
        <f t="array" ref="BA10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7" s="84" cm="1">
        <f t="array" ref="BB10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7" s="84">
        <f>IF(SUM(Table3[[#This Row],[Column2]:[Column18]])&gt;Table3[[#This Row],[Column19]],Table3[[#This Row],[Column19]],SUM(Table3[[#This Row],[Column2]:[Column18]]))</f>
        <v>10800</v>
      </c>
      <c r="BD1057" s="2">
        <f>Table3[[#This Row],[Total Spend]]/SUM(Table3[[#This Row],[Column2]:[Column18]])</f>
        <v>1</v>
      </c>
    </row>
    <row r="1058" spans="1:56">
      <c r="A1058" s="84" t="s">
        <v>1132</v>
      </c>
      <c r="B1058" s="84" t="s">
        <v>57</v>
      </c>
      <c r="C1058" s="84"/>
      <c r="D1058" s="85">
        <v>45566</v>
      </c>
      <c r="E1058" s="85" t="s">
        <v>92</v>
      </c>
      <c r="F1058" s="84">
        <f>INDEX(Definitions!$G$13:$G$17,MATCH(Table3[[#This Row],[Propensity to buy/ buyer readiness]],Definitions!$A$13:$A$17,0))</f>
        <v>10000</v>
      </c>
      <c r="G1058" s="86">
        <v>3</v>
      </c>
      <c r="H1058" s="86">
        <v>3</v>
      </c>
      <c r="I1058" s="86">
        <v>4</v>
      </c>
      <c r="J1058" s="86">
        <v>3</v>
      </c>
      <c r="K1058" s="86">
        <v>2</v>
      </c>
      <c r="L1058" s="86">
        <f>SUM(Table3[[#This Row],[Strategic priority segment]:[Propensity to buy/ buyer readiness]])</f>
        <v>15</v>
      </c>
      <c r="M1058" s="86" t="s">
        <v>66</v>
      </c>
      <c r="N1058" s="84" t="s">
        <v>1133</v>
      </c>
      <c r="O1058" s="84"/>
      <c r="P1058" s="87"/>
      <c r="Q1058" s="87"/>
      <c r="R1058" s="84"/>
      <c r="S1058" s="87"/>
      <c r="T1058" s="87"/>
      <c r="U1058" s="84">
        <v>1</v>
      </c>
      <c r="V1058" s="84">
        <v>0</v>
      </c>
      <c r="W1058" s="84">
        <v>0</v>
      </c>
      <c r="X1058" s="84">
        <v>0</v>
      </c>
      <c r="Y1058" s="84">
        <v>0</v>
      </c>
      <c r="Z1058" s="84">
        <v>0</v>
      </c>
      <c r="AA1058" s="84">
        <v>0</v>
      </c>
      <c r="AB1058" s="84">
        <v>0</v>
      </c>
      <c r="AC1058" s="84">
        <v>0</v>
      </c>
      <c r="AD1058" s="84">
        <v>0</v>
      </c>
      <c r="AE1058" s="84">
        <v>0</v>
      </c>
      <c r="AF1058" s="84">
        <v>0</v>
      </c>
      <c r="AG1058" s="84">
        <v>0</v>
      </c>
      <c r="AH1058" s="84">
        <v>0</v>
      </c>
      <c r="AI1058" s="84">
        <v>0</v>
      </c>
      <c r="AJ1058" s="84">
        <v>0</v>
      </c>
      <c r="AK1058" s="84">
        <v>0</v>
      </c>
      <c r="AL1058" s="84" cm="1">
        <f t="array" ref="AL10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8" s="84" cm="1">
        <f t="array" ref="AM10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58" s="84" cm="1">
        <f t="array" ref="AN10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58" s="84" cm="1">
        <f t="array" ref="AO10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58" s="84" cm="1">
        <f t="array" ref="AP10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8" s="84" cm="1">
        <f t="array" ref="AQ10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8" s="84" cm="1">
        <f t="array" ref="AR10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8" s="84" cm="1">
        <f t="array" ref="AS10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8" s="84" cm="1">
        <f t="array" ref="AT10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8" s="84" cm="1">
        <f t="array" ref="AU10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8" s="84" cm="1">
        <f t="array" ref="AV10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8" s="84" cm="1">
        <f t="array" ref="AW10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8" s="84" cm="1">
        <f t="array" ref="AX10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8" s="84" cm="1">
        <f t="array" ref="AY10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8" s="84" cm="1">
        <f t="array" ref="AZ10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58" s="84" cm="1">
        <f t="array" ref="BA10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8" s="84" cm="1">
        <f t="array" ref="BB10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8" s="84">
        <f>IF(SUM(Table3[[#This Row],[Column2]:[Column18]])&gt;Table3[[#This Row],[Column19]],Table3[[#This Row],[Column19]],SUM(Table3[[#This Row],[Column2]:[Column18]]))</f>
        <v>8100</v>
      </c>
      <c r="BD1058" s="2">
        <f>Table3[[#This Row],[Total Spend]]/SUM(Table3[[#This Row],[Column2]:[Column18]])</f>
        <v>1</v>
      </c>
    </row>
    <row r="1059" spans="1:56">
      <c r="A1059" s="84" t="s">
        <v>1134</v>
      </c>
      <c r="B1059" s="84"/>
      <c r="C1059" s="84"/>
      <c r="D1059" s="85">
        <v>45566</v>
      </c>
      <c r="E1059" s="85" t="s">
        <v>92</v>
      </c>
      <c r="F1059" s="84">
        <f>INDEX(Definitions!$G$13:$G$17,MATCH(Table3[[#This Row],[Propensity to buy/ buyer readiness]],Definitions!$A$13:$A$17,0))</f>
        <v>10000</v>
      </c>
      <c r="G1059" s="86">
        <v>3</v>
      </c>
      <c r="H1059" s="86">
        <v>3</v>
      </c>
      <c r="I1059" s="86">
        <v>3</v>
      </c>
      <c r="J1059" s="86">
        <v>4</v>
      </c>
      <c r="K1059" s="86">
        <v>2</v>
      </c>
      <c r="L1059" s="86">
        <f>SUM(Table3[[#This Row],[Strategic priority segment]:[Propensity to buy/ buyer readiness]])</f>
        <v>15</v>
      </c>
      <c r="M1059" s="86" t="s">
        <v>59</v>
      </c>
      <c r="N1059" s="84" t="s">
        <v>265</v>
      </c>
      <c r="O1059" s="84"/>
      <c r="P1059" s="87"/>
      <c r="Q1059" s="87"/>
      <c r="R1059" s="84"/>
      <c r="S1059" s="87"/>
      <c r="T1059" s="87"/>
      <c r="U1059" s="84">
        <v>1</v>
      </c>
      <c r="V1059" s="84">
        <v>1</v>
      </c>
      <c r="W1059" s="84">
        <v>1</v>
      </c>
      <c r="X1059" s="84">
        <v>1</v>
      </c>
      <c r="Y1059" s="84">
        <v>0</v>
      </c>
      <c r="Z1059" s="84">
        <v>0</v>
      </c>
      <c r="AA1059" s="84">
        <v>0</v>
      </c>
      <c r="AB1059" s="84">
        <v>0</v>
      </c>
      <c r="AC1059" s="84">
        <v>0</v>
      </c>
      <c r="AD1059" s="84">
        <v>0</v>
      </c>
      <c r="AE1059" s="84">
        <v>0</v>
      </c>
      <c r="AF1059" s="84">
        <v>0</v>
      </c>
      <c r="AG1059" s="84">
        <v>0</v>
      </c>
      <c r="AH1059" s="84">
        <v>0</v>
      </c>
      <c r="AI1059" s="84">
        <v>1</v>
      </c>
      <c r="AJ1059" s="84">
        <v>0</v>
      </c>
      <c r="AK1059" s="84">
        <v>0</v>
      </c>
      <c r="AL1059" s="84" cm="1">
        <f t="array" ref="AL10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59" s="84" cm="1">
        <f t="array" ref="AM10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59" s="84" cm="1">
        <f t="array" ref="AN10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59" s="84" cm="1">
        <f t="array" ref="AO10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59" s="84" cm="1">
        <f t="array" ref="AP10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59" s="84" cm="1">
        <f t="array" ref="AQ10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59" s="84" cm="1">
        <f t="array" ref="AR10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59" s="84" cm="1">
        <f t="array" ref="AS10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59" s="84" cm="1">
        <f t="array" ref="AT10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59" s="84" cm="1">
        <f t="array" ref="AU10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59" s="84" cm="1">
        <f t="array" ref="AV10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59" s="84" cm="1">
        <f t="array" ref="AW10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59" s="84" cm="1">
        <f t="array" ref="AX10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59" s="84" cm="1">
        <f t="array" ref="AY10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59" s="84" cm="1">
        <f t="array" ref="AZ10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59" s="84" cm="1">
        <f t="array" ref="BA10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59" s="84" cm="1">
        <f t="array" ref="BB10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59" s="84">
        <f>IF(SUM(Table3[[#This Row],[Column2]:[Column18]])&gt;Table3[[#This Row],[Column19]],Table3[[#This Row],[Column19]],SUM(Table3[[#This Row],[Column2]:[Column18]]))</f>
        <v>10000</v>
      </c>
      <c r="BD1059" s="2">
        <f>Table3[[#This Row],[Total Spend]]/SUM(Table3[[#This Row],[Column2]:[Column18]])</f>
        <v>7.2859744990892539E-2</v>
      </c>
    </row>
    <row r="1060" spans="1:56">
      <c r="A1060" s="84" t="s">
        <v>1135</v>
      </c>
      <c r="B1060" s="84"/>
      <c r="C1060" s="84"/>
      <c r="D1060" s="85">
        <v>45566</v>
      </c>
      <c r="E1060" s="85" t="s">
        <v>58</v>
      </c>
      <c r="F1060" s="84">
        <f>INDEX(Definitions!$G$13:$G$17,MATCH(Table3[[#This Row],[Propensity to buy/ buyer readiness]],Definitions!$A$13:$A$17,0))</f>
        <v>150000</v>
      </c>
      <c r="G1060" s="86">
        <v>3</v>
      </c>
      <c r="H1060" s="86">
        <v>3</v>
      </c>
      <c r="I1060" s="86">
        <v>2</v>
      </c>
      <c r="J1060" s="86">
        <v>3</v>
      </c>
      <c r="K1060" s="86">
        <v>4</v>
      </c>
      <c r="L1060" s="86">
        <f>SUM(Table3[[#This Row],[Strategic priority segment]:[Propensity to buy/ buyer readiness]])</f>
        <v>15</v>
      </c>
      <c r="M1060" s="86" t="s">
        <v>152</v>
      </c>
      <c r="N1060" s="84" t="s">
        <v>122</v>
      </c>
      <c r="O1060" s="87"/>
      <c r="P1060" s="87"/>
      <c r="Q1060" s="87"/>
      <c r="R1060" s="87"/>
      <c r="S1060" s="87"/>
      <c r="T1060" s="87"/>
      <c r="U1060" s="84">
        <v>1</v>
      </c>
      <c r="V1060" s="84">
        <v>0</v>
      </c>
      <c r="W1060" s="84">
        <v>0</v>
      </c>
      <c r="X1060" s="84">
        <v>0</v>
      </c>
      <c r="Y1060" s="84">
        <v>0</v>
      </c>
      <c r="Z1060" s="84">
        <v>1</v>
      </c>
      <c r="AA1060" s="84">
        <v>0</v>
      </c>
      <c r="AB1060" s="84">
        <v>1</v>
      </c>
      <c r="AC1060" s="84">
        <v>0</v>
      </c>
      <c r="AD1060" s="84">
        <v>1</v>
      </c>
      <c r="AE1060" s="84">
        <v>0</v>
      </c>
      <c r="AF1060" s="84">
        <v>1</v>
      </c>
      <c r="AG1060" s="84">
        <v>0</v>
      </c>
      <c r="AH1060" s="84">
        <v>0</v>
      </c>
      <c r="AI1060" s="84">
        <v>0</v>
      </c>
      <c r="AJ1060" s="84">
        <v>0</v>
      </c>
      <c r="AK1060" s="84">
        <v>0</v>
      </c>
      <c r="AL1060" s="84" cm="1">
        <f t="array" ref="AL10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60" s="84" cm="1">
        <f t="array" ref="AM10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0" s="84" cm="1">
        <f t="array" ref="AN10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0" s="84" cm="1">
        <f t="array" ref="AO10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0" s="84" cm="1">
        <f t="array" ref="AP10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0" s="84" cm="1">
        <f t="array" ref="AQ10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60" s="84" cm="1">
        <f t="array" ref="AR10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0" s="84" cm="1">
        <f t="array" ref="AS10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60" s="84" cm="1">
        <f t="array" ref="AT10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0" s="84" cm="1">
        <f t="array" ref="AU10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60" s="84" cm="1">
        <f t="array" ref="AV10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0" s="84" cm="1">
        <f t="array" ref="AW10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60" s="84" cm="1">
        <f t="array" ref="AX10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0" s="84" cm="1">
        <f t="array" ref="AY10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0" s="84" cm="1">
        <f t="array" ref="AZ10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0" s="84" cm="1">
        <f t="array" ref="BA10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0" s="84" cm="1">
        <f t="array" ref="BB10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0" s="84">
        <f>IF(SUM(Table3[[#This Row],[Column2]:[Column18]])&gt;Table3[[#This Row],[Column19]],Table3[[#This Row],[Column19]],SUM(Table3[[#This Row],[Column2]:[Column18]]))</f>
        <v>150000</v>
      </c>
      <c r="BD1060" s="2">
        <f>Table3[[#This Row],[Total Spend]]/SUM(Table3[[#This Row],[Column2]:[Column18]])</f>
        <v>0.89605734767025091</v>
      </c>
    </row>
    <row r="1061" spans="1:56">
      <c r="A1061" s="84" t="s">
        <v>1136</v>
      </c>
      <c r="B1061" s="84"/>
      <c r="C1061" s="84"/>
      <c r="D1061" s="85">
        <v>45566</v>
      </c>
      <c r="E1061" s="85" t="s">
        <v>92</v>
      </c>
      <c r="F1061" s="84">
        <f>INDEX(Definitions!$G$13:$G$17,MATCH(Table3[[#This Row],[Propensity to buy/ buyer readiness]],Definitions!$A$13:$A$17,0))</f>
        <v>10000</v>
      </c>
      <c r="G1061" s="86">
        <v>3</v>
      </c>
      <c r="H1061" s="86">
        <v>3</v>
      </c>
      <c r="I1061" s="86">
        <v>3</v>
      </c>
      <c r="J1061" s="86">
        <v>4</v>
      </c>
      <c r="K1061" s="86">
        <v>2</v>
      </c>
      <c r="L1061" s="86">
        <f>SUM(Table3[[#This Row],[Strategic priority segment]:[Propensity to buy/ buyer readiness]])</f>
        <v>15</v>
      </c>
      <c r="M1061" s="86" t="s">
        <v>59</v>
      </c>
      <c r="N1061" s="84" t="s">
        <v>265</v>
      </c>
      <c r="O1061" s="84"/>
      <c r="P1061" s="87"/>
      <c r="Q1061" s="87"/>
      <c r="R1061" s="84"/>
      <c r="S1061" s="87"/>
      <c r="T1061" s="87"/>
      <c r="U1061" s="84">
        <v>1</v>
      </c>
      <c r="V1061" s="84">
        <v>1</v>
      </c>
      <c r="W1061" s="84">
        <v>1</v>
      </c>
      <c r="X1061" s="84">
        <v>1</v>
      </c>
      <c r="Y1061" s="84">
        <v>0</v>
      </c>
      <c r="Z1061" s="84">
        <v>0</v>
      </c>
      <c r="AA1061" s="84">
        <v>0</v>
      </c>
      <c r="AB1061" s="84">
        <v>0</v>
      </c>
      <c r="AC1061" s="84">
        <v>0</v>
      </c>
      <c r="AD1061" s="84">
        <v>0</v>
      </c>
      <c r="AE1061" s="84">
        <v>0</v>
      </c>
      <c r="AF1061" s="84">
        <v>0</v>
      </c>
      <c r="AG1061" s="84">
        <v>0</v>
      </c>
      <c r="AH1061" s="84">
        <v>0</v>
      </c>
      <c r="AI1061" s="84">
        <v>1</v>
      </c>
      <c r="AJ1061" s="84">
        <v>0</v>
      </c>
      <c r="AK1061" s="84">
        <v>0</v>
      </c>
      <c r="AL1061" s="84" cm="1">
        <f t="array" ref="AL10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61" s="84" cm="1">
        <f t="array" ref="AM10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61" s="84" cm="1">
        <f t="array" ref="AN10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61" s="84" cm="1">
        <f t="array" ref="AO10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61" s="84" cm="1">
        <f t="array" ref="AP10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1" s="84" cm="1">
        <f t="array" ref="AQ10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61" s="84" cm="1">
        <f t="array" ref="AR10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1" s="84" cm="1">
        <f t="array" ref="AS10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61" s="84" cm="1">
        <f t="array" ref="AT10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1" s="84" cm="1">
        <f t="array" ref="AU10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61" s="84" cm="1">
        <f t="array" ref="AV10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1" s="84" cm="1">
        <f t="array" ref="AW10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61" s="84" cm="1">
        <f t="array" ref="AX10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1" s="84" cm="1">
        <f t="array" ref="AY10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1" s="84" cm="1">
        <f t="array" ref="AZ10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61" s="84" cm="1">
        <f t="array" ref="BA10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1" s="84" cm="1">
        <f t="array" ref="BB10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1" s="84">
        <f>IF(SUM(Table3[[#This Row],[Column2]:[Column18]])&gt;Table3[[#This Row],[Column19]],Table3[[#This Row],[Column19]],SUM(Table3[[#This Row],[Column2]:[Column18]]))</f>
        <v>10000</v>
      </c>
      <c r="BD1061" s="2">
        <f>Table3[[#This Row],[Total Spend]]/SUM(Table3[[#This Row],[Column2]:[Column18]])</f>
        <v>7.2859744990892539E-2</v>
      </c>
    </row>
    <row r="1062" spans="1:56">
      <c r="A1062" s="84" t="s">
        <v>1137</v>
      </c>
      <c r="B1062" s="84"/>
      <c r="C1062" s="84"/>
      <c r="D1062" s="85">
        <v>45566</v>
      </c>
      <c r="E1062" s="85" t="s">
        <v>58</v>
      </c>
      <c r="F1062" s="84">
        <f>INDEX(Definitions!$G$13:$G$17,MATCH(Table3[[#This Row],[Propensity to buy/ buyer readiness]],Definitions!$A$13:$A$17,0))</f>
        <v>150000</v>
      </c>
      <c r="G1062" s="86">
        <v>3</v>
      </c>
      <c r="H1062" s="86">
        <v>3</v>
      </c>
      <c r="I1062" s="86">
        <v>2</v>
      </c>
      <c r="J1062" s="86">
        <v>3</v>
      </c>
      <c r="K1062" s="86">
        <v>4</v>
      </c>
      <c r="L1062" s="86">
        <f>SUM(Table3[[#This Row],[Strategic priority segment]:[Propensity to buy/ buyer readiness]])</f>
        <v>15</v>
      </c>
      <c r="M1062" s="86" t="s">
        <v>152</v>
      </c>
      <c r="N1062" s="84" t="s">
        <v>122</v>
      </c>
      <c r="O1062" s="87"/>
      <c r="P1062" s="87"/>
      <c r="Q1062" s="87"/>
      <c r="R1062" s="87"/>
      <c r="S1062" s="87"/>
      <c r="T1062" s="87"/>
      <c r="U1062" s="84">
        <v>1</v>
      </c>
      <c r="V1062" s="84">
        <v>0</v>
      </c>
      <c r="W1062" s="84">
        <v>0</v>
      </c>
      <c r="X1062" s="84">
        <v>0</v>
      </c>
      <c r="Y1062" s="84">
        <v>0</v>
      </c>
      <c r="Z1062" s="84">
        <v>1</v>
      </c>
      <c r="AA1062" s="84">
        <v>0</v>
      </c>
      <c r="AB1062" s="84">
        <v>1</v>
      </c>
      <c r="AC1062" s="84">
        <v>0</v>
      </c>
      <c r="AD1062" s="84">
        <v>1</v>
      </c>
      <c r="AE1062" s="84">
        <v>0</v>
      </c>
      <c r="AF1062" s="84">
        <v>1</v>
      </c>
      <c r="AG1062" s="84">
        <v>0</v>
      </c>
      <c r="AH1062" s="84">
        <v>0</v>
      </c>
      <c r="AI1062" s="84">
        <v>0</v>
      </c>
      <c r="AJ1062" s="84">
        <v>0</v>
      </c>
      <c r="AK1062" s="84">
        <v>0</v>
      </c>
      <c r="AL1062" s="84" cm="1">
        <f t="array" ref="AL10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62" s="84" cm="1">
        <f t="array" ref="AM10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2" s="84" cm="1">
        <f t="array" ref="AN10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2" s="84" cm="1">
        <f t="array" ref="AO10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2" s="84" cm="1">
        <f t="array" ref="AP10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2" s="84" cm="1">
        <f t="array" ref="AQ10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62" s="84" cm="1">
        <f t="array" ref="AR10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2" s="84" cm="1">
        <f t="array" ref="AS10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62" s="84" cm="1">
        <f t="array" ref="AT10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2" s="84" cm="1">
        <f t="array" ref="AU10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62" s="84" cm="1">
        <f t="array" ref="AV10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2" s="84" cm="1">
        <f t="array" ref="AW10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62" s="84" cm="1">
        <f t="array" ref="AX10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2" s="84" cm="1">
        <f t="array" ref="AY10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2" s="84" cm="1">
        <f t="array" ref="AZ10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2" s="84" cm="1">
        <f t="array" ref="BA10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2" s="84" cm="1">
        <f t="array" ref="BB10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2" s="84">
        <f>IF(SUM(Table3[[#This Row],[Column2]:[Column18]])&gt;Table3[[#This Row],[Column19]],Table3[[#This Row],[Column19]],SUM(Table3[[#This Row],[Column2]:[Column18]]))</f>
        <v>150000</v>
      </c>
      <c r="BD1062" s="2">
        <f>Table3[[#This Row],[Total Spend]]/SUM(Table3[[#This Row],[Column2]:[Column18]])</f>
        <v>0.89605734767025091</v>
      </c>
    </row>
    <row r="1063" spans="1:56">
      <c r="A1063" s="84" t="s">
        <v>1138</v>
      </c>
      <c r="B1063" s="84"/>
      <c r="C1063" s="84"/>
      <c r="D1063" s="85">
        <v>45566</v>
      </c>
      <c r="E1063" s="85" t="s">
        <v>92</v>
      </c>
      <c r="F1063" s="84">
        <f>INDEX(Definitions!$G$13:$G$17,MATCH(Table3[[#This Row],[Propensity to buy/ buyer readiness]],Definitions!$A$13:$A$17,0))</f>
        <v>50000</v>
      </c>
      <c r="G1063" s="86">
        <v>3</v>
      </c>
      <c r="H1063" s="86">
        <v>3</v>
      </c>
      <c r="I1063" s="86">
        <v>3</v>
      </c>
      <c r="J1063" s="86">
        <v>3</v>
      </c>
      <c r="K1063" s="86">
        <v>3</v>
      </c>
      <c r="L1063" s="86">
        <f>SUM(Table3[[#This Row],[Strategic priority segment]:[Propensity to buy/ buyer readiness]])</f>
        <v>15</v>
      </c>
      <c r="M1063" s="86" t="s">
        <v>152</v>
      </c>
      <c r="N1063" s="84" t="s">
        <v>122</v>
      </c>
      <c r="O1063" s="84"/>
      <c r="P1063" s="87"/>
      <c r="Q1063" s="87"/>
      <c r="R1063" s="84"/>
      <c r="S1063" s="87"/>
      <c r="T1063" s="87"/>
      <c r="U1063" s="84">
        <v>1</v>
      </c>
      <c r="V1063" s="84">
        <v>0</v>
      </c>
      <c r="W1063" s="84">
        <v>0</v>
      </c>
      <c r="X1063" s="84">
        <v>0</v>
      </c>
      <c r="Y1063" s="84">
        <v>0</v>
      </c>
      <c r="Z1063" s="84">
        <v>1</v>
      </c>
      <c r="AA1063" s="84">
        <v>0</v>
      </c>
      <c r="AB1063" s="84">
        <v>1</v>
      </c>
      <c r="AC1063" s="84">
        <v>0</v>
      </c>
      <c r="AD1063" s="84">
        <v>1</v>
      </c>
      <c r="AE1063" s="84">
        <v>0</v>
      </c>
      <c r="AF1063" s="84">
        <v>1</v>
      </c>
      <c r="AG1063" s="84">
        <v>0</v>
      </c>
      <c r="AH1063" s="84">
        <v>0</v>
      </c>
      <c r="AI1063" s="84">
        <v>0</v>
      </c>
      <c r="AJ1063" s="84">
        <v>0</v>
      </c>
      <c r="AK1063" s="84">
        <v>0</v>
      </c>
      <c r="AL1063" s="84" cm="1">
        <f t="array" ref="AL10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63" s="84" cm="1">
        <f t="array" ref="AM10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3" s="84" cm="1">
        <f t="array" ref="AN10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3" s="84" cm="1">
        <f t="array" ref="AO10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3" s="84" cm="1">
        <f t="array" ref="AP10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3" s="84" cm="1">
        <f t="array" ref="AQ10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63" s="84" cm="1">
        <f t="array" ref="AR10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3" s="84" cm="1">
        <f t="array" ref="AS10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63" s="84" cm="1">
        <f t="array" ref="AT10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3" s="84" cm="1">
        <f t="array" ref="AU10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63" s="84" cm="1">
        <f t="array" ref="AV10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3" s="84" cm="1">
        <f t="array" ref="AW10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63" s="84" cm="1">
        <f t="array" ref="AX10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3" s="84" cm="1">
        <f t="array" ref="AY10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3" s="84" cm="1">
        <f t="array" ref="AZ10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3" s="84" cm="1">
        <f t="array" ref="BA10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3" s="84" cm="1">
        <f t="array" ref="BB10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3" s="84">
        <f>IF(SUM(Table3[[#This Row],[Column2]:[Column18]])&gt;Table3[[#This Row],[Column19]],Table3[[#This Row],[Column19]],SUM(Table3[[#This Row],[Column2]:[Column18]]))</f>
        <v>50000</v>
      </c>
      <c r="BD1063" s="2">
        <f>Table3[[#This Row],[Total Spend]]/SUM(Table3[[#This Row],[Column2]:[Column18]])</f>
        <v>0.41459369817578773</v>
      </c>
    </row>
    <row r="1064" spans="1:56">
      <c r="A1064" s="84" t="s">
        <v>1139</v>
      </c>
      <c r="B1064" s="84"/>
      <c r="C1064" s="84"/>
      <c r="D1064" s="85">
        <v>45566</v>
      </c>
      <c r="E1064" s="85" t="s">
        <v>92</v>
      </c>
      <c r="F1064" s="84">
        <f>INDEX(Definitions!$G$13:$G$17,MATCH(Table3[[#This Row],[Propensity to buy/ buyer readiness]],Definitions!$A$13:$A$17,0))</f>
        <v>50000</v>
      </c>
      <c r="G1064" s="86">
        <v>3</v>
      </c>
      <c r="H1064" s="86">
        <v>3</v>
      </c>
      <c r="I1064" s="86">
        <v>3</v>
      </c>
      <c r="J1064" s="86">
        <v>3</v>
      </c>
      <c r="K1064" s="86">
        <v>3</v>
      </c>
      <c r="L1064" s="86">
        <f>SUM(Table3[[#This Row],[Strategic priority segment]:[Propensity to buy/ buyer readiness]])</f>
        <v>15</v>
      </c>
      <c r="M1064" s="86" t="s">
        <v>152</v>
      </c>
      <c r="N1064" s="84" t="s">
        <v>122</v>
      </c>
      <c r="O1064" s="87"/>
      <c r="P1064" s="87"/>
      <c r="Q1064" s="87"/>
      <c r="R1064" s="87"/>
      <c r="S1064" s="87"/>
      <c r="T1064" s="87"/>
      <c r="U1064" s="84">
        <v>1</v>
      </c>
      <c r="V1064" s="84">
        <v>0</v>
      </c>
      <c r="W1064" s="84">
        <v>0</v>
      </c>
      <c r="X1064" s="84">
        <v>0</v>
      </c>
      <c r="Y1064" s="84">
        <v>0</v>
      </c>
      <c r="Z1064" s="84">
        <v>1</v>
      </c>
      <c r="AA1064" s="84">
        <v>0</v>
      </c>
      <c r="AB1064" s="84">
        <v>1</v>
      </c>
      <c r="AC1064" s="84">
        <v>0</v>
      </c>
      <c r="AD1064" s="84">
        <v>1</v>
      </c>
      <c r="AE1064" s="84">
        <v>0</v>
      </c>
      <c r="AF1064" s="84">
        <v>1</v>
      </c>
      <c r="AG1064" s="84">
        <v>0</v>
      </c>
      <c r="AH1064" s="84">
        <v>0</v>
      </c>
      <c r="AI1064" s="84">
        <v>0</v>
      </c>
      <c r="AJ1064" s="84">
        <v>0</v>
      </c>
      <c r="AK1064" s="84">
        <v>0</v>
      </c>
      <c r="AL1064" s="84" cm="1">
        <f t="array" ref="AL10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64" s="84" cm="1">
        <f t="array" ref="AM10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4" s="84" cm="1">
        <f t="array" ref="AN10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4" s="84" cm="1">
        <f t="array" ref="AO10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4" s="84" cm="1">
        <f t="array" ref="AP10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4" s="84" cm="1">
        <f t="array" ref="AQ10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64" s="84" cm="1">
        <f t="array" ref="AR10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4" s="84" cm="1">
        <f t="array" ref="AS10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64" s="84" cm="1">
        <f t="array" ref="AT10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4" s="84" cm="1">
        <f t="array" ref="AU10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064" s="84" cm="1">
        <f t="array" ref="AV10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4" s="84" cm="1">
        <f t="array" ref="AW10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064" s="84" cm="1">
        <f t="array" ref="AX10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4" s="84" cm="1">
        <f t="array" ref="AY10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4" s="84" cm="1">
        <f t="array" ref="AZ10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4" s="84" cm="1">
        <f t="array" ref="BA10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4" s="84" cm="1">
        <f t="array" ref="BB10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4" s="84">
        <f>IF(SUM(Table3[[#This Row],[Column2]:[Column18]])&gt;Table3[[#This Row],[Column19]],Table3[[#This Row],[Column19]],SUM(Table3[[#This Row],[Column2]:[Column18]]))</f>
        <v>50000</v>
      </c>
      <c r="BD1064" s="2">
        <f>Table3[[#This Row],[Total Spend]]/SUM(Table3[[#This Row],[Column2]:[Column18]])</f>
        <v>0.41459369817578773</v>
      </c>
    </row>
    <row r="1065" spans="1:56">
      <c r="A1065" s="84" t="s">
        <v>1140</v>
      </c>
      <c r="B1065" s="84"/>
      <c r="C1065" s="84"/>
      <c r="D1065" s="85">
        <v>45566</v>
      </c>
      <c r="E1065" s="85" t="s">
        <v>92</v>
      </c>
      <c r="F1065" s="84">
        <f>INDEX(Definitions!$G$13:$G$17,MATCH(Table3[[#This Row],[Propensity to buy/ buyer readiness]],Definitions!$A$13:$A$17,0))</f>
        <v>50000</v>
      </c>
      <c r="G1065" s="86">
        <v>3</v>
      </c>
      <c r="H1065" s="86">
        <v>3</v>
      </c>
      <c r="I1065" s="86">
        <v>3</v>
      </c>
      <c r="J1065" s="86">
        <v>3</v>
      </c>
      <c r="K1065" s="86">
        <v>3</v>
      </c>
      <c r="L1065" s="86">
        <f>SUM(Table3[[#This Row],[Strategic priority segment]:[Propensity to buy/ buyer readiness]])</f>
        <v>15</v>
      </c>
      <c r="M1065" s="86" t="s">
        <v>191</v>
      </c>
      <c r="N1065" s="84" t="s">
        <v>76</v>
      </c>
      <c r="O1065" s="84"/>
      <c r="P1065" s="84"/>
      <c r="Q1065" s="84"/>
      <c r="R1065" s="84"/>
      <c r="S1065" s="87"/>
      <c r="T1065" s="87"/>
      <c r="U1065" s="84">
        <v>0</v>
      </c>
      <c r="V1065" s="84">
        <v>0</v>
      </c>
      <c r="W1065" s="84">
        <v>0</v>
      </c>
      <c r="X1065" s="84">
        <v>0</v>
      </c>
      <c r="Y1065" s="84">
        <v>0</v>
      </c>
      <c r="Z1065" s="84">
        <v>0</v>
      </c>
      <c r="AA1065" s="84">
        <v>0</v>
      </c>
      <c r="AB1065" s="84">
        <v>0</v>
      </c>
      <c r="AC1065" s="84">
        <v>0</v>
      </c>
      <c r="AD1065" s="84">
        <v>0</v>
      </c>
      <c r="AE1065" s="84">
        <v>0</v>
      </c>
      <c r="AF1065" s="84">
        <v>0</v>
      </c>
      <c r="AG1065" s="84">
        <v>0</v>
      </c>
      <c r="AH1065" s="84">
        <v>1</v>
      </c>
      <c r="AI1065" s="84">
        <v>0</v>
      </c>
      <c r="AJ1065" s="84">
        <v>1</v>
      </c>
      <c r="AK1065" s="84">
        <v>0</v>
      </c>
      <c r="AL1065" s="84" cm="1">
        <f t="array" ref="AL10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65" s="84" cm="1">
        <f t="array" ref="AM10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5" s="84" cm="1">
        <f t="array" ref="AN10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5" s="84" cm="1">
        <f t="array" ref="AO10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5" s="84" cm="1">
        <f t="array" ref="AP10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5" s="84" cm="1">
        <f t="array" ref="AQ10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65" s="84" cm="1">
        <f t="array" ref="AR10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5" s="84" cm="1">
        <f t="array" ref="AS10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65" s="84" cm="1">
        <f t="array" ref="AT10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5" s="84" cm="1">
        <f t="array" ref="AU10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65" s="84" cm="1">
        <f t="array" ref="AV10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5" s="84" cm="1">
        <f t="array" ref="AW10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65" s="84" cm="1">
        <f t="array" ref="AX10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5" s="84" cm="1">
        <f t="array" ref="AY10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65" s="84" cm="1">
        <f t="array" ref="AZ10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5" s="84" cm="1">
        <f t="array" ref="BA10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65" s="84" cm="1">
        <f t="array" ref="BB10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5" s="84">
        <f>IF(SUM(Table3[[#This Row],[Column2]:[Column18]])&gt;Table3[[#This Row],[Column19]],Table3[[#This Row],[Column19]],SUM(Table3[[#This Row],[Column2]:[Column18]]))</f>
        <v>30600</v>
      </c>
      <c r="BD1065" s="2">
        <f>Table3[[#This Row],[Total Spend]]/SUM(Table3[[#This Row],[Column2]:[Column18]])</f>
        <v>1</v>
      </c>
    </row>
    <row r="1066" spans="1:56">
      <c r="A1066" s="84" t="s">
        <v>1141</v>
      </c>
      <c r="B1066" s="84"/>
      <c r="C1066" s="84"/>
      <c r="D1066" s="85">
        <v>45566</v>
      </c>
      <c r="E1066" s="85" t="s">
        <v>92</v>
      </c>
      <c r="F1066" s="84">
        <f>INDEX(Definitions!$G$13:$G$17,MATCH(Table3[[#This Row],[Propensity to buy/ buyer readiness]],Definitions!$A$13:$A$17,0))</f>
        <v>10000</v>
      </c>
      <c r="G1066" s="86">
        <v>3</v>
      </c>
      <c r="H1066" s="86">
        <v>3</v>
      </c>
      <c r="I1066" s="86">
        <v>3</v>
      </c>
      <c r="J1066" s="86">
        <v>4</v>
      </c>
      <c r="K1066" s="86">
        <v>2</v>
      </c>
      <c r="L1066" s="86">
        <f>SUM(Table3[[#This Row],[Strategic priority segment]:[Propensity to buy/ buyer readiness]])</f>
        <v>15</v>
      </c>
      <c r="M1066" s="86" t="s">
        <v>59</v>
      </c>
      <c r="N1066" s="84" t="s">
        <v>265</v>
      </c>
      <c r="O1066" s="84"/>
      <c r="P1066" s="87"/>
      <c r="Q1066" s="87"/>
      <c r="R1066" s="84"/>
      <c r="S1066" s="87"/>
      <c r="T1066" s="87"/>
      <c r="U1066" s="84">
        <v>1</v>
      </c>
      <c r="V1066" s="84">
        <v>1</v>
      </c>
      <c r="W1066" s="84">
        <v>1</v>
      </c>
      <c r="X1066" s="84">
        <v>1</v>
      </c>
      <c r="Y1066" s="84">
        <v>0</v>
      </c>
      <c r="Z1066" s="84">
        <v>0</v>
      </c>
      <c r="AA1066" s="84">
        <v>0</v>
      </c>
      <c r="AB1066" s="84">
        <v>0</v>
      </c>
      <c r="AC1066" s="84">
        <v>0</v>
      </c>
      <c r="AD1066" s="84">
        <v>0</v>
      </c>
      <c r="AE1066" s="84">
        <v>0</v>
      </c>
      <c r="AF1066" s="84">
        <v>0</v>
      </c>
      <c r="AG1066" s="84">
        <v>0</v>
      </c>
      <c r="AH1066" s="84">
        <v>0</v>
      </c>
      <c r="AI1066" s="84">
        <v>1</v>
      </c>
      <c r="AJ1066" s="84">
        <v>0</v>
      </c>
      <c r="AK1066" s="84">
        <v>0</v>
      </c>
      <c r="AL1066" s="84" cm="1">
        <f t="array" ref="AL10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66" s="84" cm="1">
        <f t="array" ref="AM10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66" s="84" cm="1">
        <f t="array" ref="AN10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66" s="84" cm="1">
        <f t="array" ref="AO10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66" s="84" cm="1">
        <f t="array" ref="AP10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6" s="84" cm="1">
        <f t="array" ref="AQ10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66" s="84" cm="1">
        <f t="array" ref="AR10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6" s="84" cm="1">
        <f t="array" ref="AS10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66" s="84" cm="1">
        <f t="array" ref="AT10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6" s="84" cm="1">
        <f t="array" ref="AU10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66" s="84" cm="1">
        <f t="array" ref="AV10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6" s="84" cm="1">
        <f t="array" ref="AW10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66" s="84" cm="1">
        <f t="array" ref="AX10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6" s="84" cm="1">
        <f t="array" ref="AY10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6" s="84" cm="1">
        <f t="array" ref="AZ10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66" s="84" cm="1">
        <f t="array" ref="BA10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6" s="84" cm="1">
        <f t="array" ref="BB10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6" s="84">
        <f>IF(SUM(Table3[[#This Row],[Column2]:[Column18]])&gt;Table3[[#This Row],[Column19]],Table3[[#This Row],[Column19]],SUM(Table3[[#This Row],[Column2]:[Column18]]))</f>
        <v>10000</v>
      </c>
      <c r="BD1066" s="2">
        <f>Table3[[#This Row],[Total Spend]]/SUM(Table3[[#This Row],[Column2]:[Column18]])</f>
        <v>7.2859744990892539E-2</v>
      </c>
    </row>
    <row r="1067" spans="1:56">
      <c r="A1067" s="84" t="s">
        <v>1142</v>
      </c>
      <c r="B1067" s="84" t="s">
        <v>57</v>
      </c>
      <c r="C1067" s="84"/>
      <c r="D1067" s="85">
        <v>45566</v>
      </c>
      <c r="E1067" s="85" t="s">
        <v>58</v>
      </c>
      <c r="F1067" s="84">
        <f>INDEX(Definitions!$G$13:$G$17,MATCH(Table3[[#This Row],[Propensity to buy/ buyer readiness]],Definitions!$A$13:$A$17,0))</f>
        <v>50000</v>
      </c>
      <c r="G1067" s="86">
        <v>2</v>
      </c>
      <c r="H1067" s="86">
        <v>3</v>
      </c>
      <c r="I1067" s="86">
        <v>4</v>
      </c>
      <c r="J1067" s="86">
        <v>3</v>
      </c>
      <c r="K1067" s="86">
        <v>3</v>
      </c>
      <c r="L1067" s="86">
        <f>SUM(Table3[[#This Row],[Strategic priority segment]:[Propensity to buy/ buyer readiness]])</f>
        <v>15</v>
      </c>
      <c r="M1067" s="86" t="s">
        <v>152</v>
      </c>
      <c r="N1067" s="84" t="s">
        <v>264</v>
      </c>
      <c r="O1067" s="84"/>
      <c r="P1067" s="87"/>
      <c r="Q1067" s="87"/>
      <c r="R1067" s="84"/>
      <c r="S1067" s="87"/>
      <c r="T1067" s="87"/>
      <c r="U1067" s="84">
        <v>1</v>
      </c>
      <c r="V1067" s="84">
        <v>0</v>
      </c>
      <c r="W1067" s="84">
        <v>0</v>
      </c>
      <c r="X1067" s="84">
        <v>0</v>
      </c>
      <c r="Y1067" s="84">
        <v>0</v>
      </c>
      <c r="Z1067" s="84">
        <v>0</v>
      </c>
      <c r="AA1067" s="84">
        <v>0</v>
      </c>
      <c r="AB1067" s="84">
        <v>0</v>
      </c>
      <c r="AC1067" s="84">
        <v>0</v>
      </c>
      <c r="AD1067" s="84">
        <v>0</v>
      </c>
      <c r="AE1067" s="84">
        <v>0</v>
      </c>
      <c r="AF1067" s="84">
        <v>0</v>
      </c>
      <c r="AG1067" s="84">
        <v>0</v>
      </c>
      <c r="AH1067" s="84">
        <v>0</v>
      </c>
      <c r="AI1067" s="84">
        <v>0</v>
      </c>
      <c r="AJ1067" s="84">
        <v>0</v>
      </c>
      <c r="AK1067" s="84">
        <v>0</v>
      </c>
      <c r="AL1067" s="84" cm="1">
        <f t="array" ref="AL10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67" s="84" cm="1">
        <f t="array" ref="AM10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7" s="84" cm="1">
        <f t="array" ref="AN10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7" s="84" cm="1">
        <f t="array" ref="AO10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7" s="84" cm="1">
        <f t="array" ref="AP10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7" s="84" cm="1">
        <f t="array" ref="AQ10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67" s="84" cm="1">
        <f t="array" ref="AR10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7" s="84" cm="1">
        <f t="array" ref="AS10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67" s="84" cm="1">
        <f t="array" ref="AT10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7" s="84" cm="1">
        <f t="array" ref="AU10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67" s="84" cm="1">
        <f t="array" ref="AV10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7" s="84" cm="1">
        <f t="array" ref="AW10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67" s="84" cm="1">
        <f t="array" ref="AX10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7" s="84" cm="1">
        <f t="array" ref="AY10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7" s="84" cm="1">
        <f t="array" ref="AZ10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7" s="84" cm="1">
        <f t="array" ref="BA10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7" s="84" cm="1">
        <f t="array" ref="BB10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7" s="84">
        <f>IF(SUM(Table3[[#This Row],[Column2]:[Column18]])&gt;Table3[[#This Row],[Column19]],Table3[[#This Row],[Column19]],SUM(Table3[[#This Row],[Column2]:[Column18]]))</f>
        <v>10800</v>
      </c>
      <c r="BD1067" s="2">
        <f>Table3[[#This Row],[Total Spend]]/SUM(Table3[[#This Row],[Column2]:[Column18]])</f>
        <v>1</v>
      </c>
    </row>
    <row r="1068" spans="1:56">
      <c r="A1068" s="84" t="s">
        <v>1143</v>
      </c>
      <c r="B1068" s="84"/>
      <c r="C1068" s="84"/>
      <c r="D1068" s="85">
        <v>45566</v>
      </c>
      <c r="E1068" s="85" t="s">
        <v>58</v>
      </c>
      <c r="F1068" s="84">
        <f>INDEX(Definitions!$G$13:$G$17,MATCH(Table3[[#This Row],[Propensity to buy/ buyer readiness]],Definitions!$A$13:$A$17,0))</f>
        <v>150000</v>
      </c>
      <c r="G1068" s="86">
        <v>3</v>
      </c>
      <c r="H1068" s="86">
        <v>3</v>
      </c>
      <c r="I1068" s="86">
        <v>2</v>
      </c>
      <c r="J1068" s="86">
        <v>3</v>
      </c>
      <c r="K1068" s="86">
        <v>4</v>
      </c>
      <c r="L1068" s="86">
        <f>SUM(Table3[[#This Row],[Strategic priority segment]:[Propensity to buy/ buyer readiness]])</f>
        <v>15</v>
      </c>
      <c r="M1068" s="86" t="s">
        <v>152</v>
      </c>
      <c r="N1068" s="84" t="s">
        <v>122</v>
      </c>
      <c r="O1068" s="84"/>
      <c r="P1068" s="87"/>
      <c r="Q1068" s="87"/>
      <c r="R1068" s="84"/>
      <c r="S1068" s="87"/>
      <c r="T1068" s="87"/>
      <c r="U1068" s="84">
        <v>1</v>
      </c>
      <c r="V1068" s="84">
        <v>0</v>
      </c>
      <c r="W1068" s="84">
        <v>0</v>
      </c>
      <c r="X1068" s="84">
        <v>0</v>
      </c>
      <c r="Y1068" s="84">
        <v>0</v>
      </c>
      <c r="Z1068" s="84">
        <v>1</v>
      </c>
      <c r="AA1068" s="84">
        <v>0</v>
      </c>
      <c r="AB1068" s="84">
        <v>1</v>
      </c>
      <c r="AC1068" s="84">
        <v>0</v>
      </c>
      <c r="AD1068" s="84">
        <v>1</v>
      </c>
      <c r="AE1068" s="84">
        <v>0</v>
      </c>
      <c r="AF1068" s="84">
        <v>1</v>
      </c>
      <c r="AG1068" s="84">
        <v>0</v>
      </c>
      <c r="AH1068" s="84">
        <v>0</v>
      </c>
      <c r="AI1068" s="84">
        <v>0</v>
      </c>
      <c r="AJ1068" s="84">
        <v>0</v>
      </c>
      <c r="AK1068" s="84">
        <v>0</v>
      </c>
      <c r="AL1068" s="84" cm="1">
        <f t="array" ref="AL10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68" s="84" cm="1">
        <f t="array" ref="AM10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8" s="84" cm="1">
        <f t="array" ref="AN10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8" s="84" cm="1">
        <f t="array" ref="AO10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8" s="84" cm="1">
        <f t="array" ref="AP10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8" s="84" cm="1">
        <f t="array" ref="AQ10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68" s="84" cm="1">
        <f t="array" ref="AR10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8" s="84" cm="1">
        <f t="array" ref="AS10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68" s="84" cm="1">
        <f t="array" ref="AT10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8" s="84" cm="1">
        <f t="array" ref="AU10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68" s="84" cm="1">
        <f t="array" ref="AV10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8" s="84" cm="1">
        <f t="array" ref="AW10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68" s="84" cm="1">
        <f t="array" ref="AX10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8" s="84" cm="1">
        <f t="array" ref="AY10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8" s="84" cm="1">
        <f t="array" ref="AZ10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8" s="84" cm="1">
        <f t="array" ref="BA10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8" s="84" cm="1">
        <f t="array" ref="BB10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8" s="84">
        <f>IF(SUM(Table3[[#This Row],[Column2]:[Column18]])&gt;Table3[[#This Row],[Column19]],Table3[[#This Row],[Column19]],SUM(Table3[[#This Row],[Column2]:[Column18]]))</f>
        <v>150000</v>
      </c>
      <c r="BD1068" s="2">
        <f>Table3[[#This Row],[Total Spend]]/SUM(Table3[[#This Row],[Column2]:[Column18]])</f>
        <v>0.89605734767025091</v>
      </c>
    </row>
    <row r="1069" spans="1:56">
      <c r="A1069" s="84" t="s">
        <v>1144</v>
      </c>
      <c r="B1069" s="84"/>
      <c r="C1069" s="84"/>
      <c r="D1069" s="85">
        <v>45566</v>
      </c>
      <c r="E1069" s="85" t="s">
        <v>58</v>
      </c>
      <c r="F1069" s="84">
        <f>INDEX(Definitions!$G$13:$G$17,MATCH(Table3[[#This Row],[Propensity to buy/ buyer readiness]],Definitions!$A$13:$A$17,0))</f>
        <v>150000</v>
      </c>
      <c r="G1069" s="86">
        <v>3</v>
      </c>
      <c r="H1069" s="86">
        <v>3</v>
      </c>
      <c r="I1069" s="86">
        <v>2</v>
      </c>
      <c r="J1069" s="86">
        <v>3</v>
      </c>
      <c r="K1069" s="86">
        <v>4</v>
      </c>
      <c r="L1069" s="86">
        <f>SUM(Table3[[#This Row],[Strategic priority segment]:[Propensity to buy/ buyer readiness]])</f>
        <v>15</v>
      </c>
      <c r="M1069" s="86" t="s">
        <v>152</v>
      </c>
      <c r="N1069" s="84" t="s">
        <v>122</v>
      </c>
      <c r="O1069" s="84"/>
      <c r="P1069" s="87"/>
      <c r="Q1069" s="87"/>
      <c r="R1069" s="84"/>
      <c r="S1069" s="87"/>
      <c r="T1069" s="87"/>
      <c r="U1069" s="84">
        <v>1</v>
      </c>
      <c r="V1069" s="84">
        <v>0</v>
      </c>
      <c r="W1069" s="84">
        <v>0</v>
      </c>
      <c r="X1069" s="84">
        <v>0</v>
      </c>
      <c r="Y1069" s="84">
        <v>0</v>
      </c>
      <c r="Z1069" s="84">
        <v>1</v>
      </c>
      <c r="AA1069" s="84">
        <v>0</v>
      </c>
      <c r="AB1069" s="84">
        <v>1</v>
      </c>
      <c r="AC1069" s="84">
        <v>0</v>
      </c>
      <c r="AD1069" s="84">
        <v>1</v>
      </c>
      <c r="AE1069" s="84">
        <v>0</v>
      </c>
      <c r="AF1069" s="84">
        <v>1</v>
      </c>
      <c r="AG1069" s="84">
        <v>0</v>
      </c>
      <c r="AH1069" s="84">
        <v>0</v>
      </c>
      <c r="AI1069" s="84">
        <v>0</v>
      </c>
      <c r="AJ1069" s="84">
        <v>0</v>
      </c>
      <c r="AK1069" s="84">
        <v>0</v>
      </c>
      <c r="AL1069" s="84" cm="1">
        <f t="array" ref="AL10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69" s="84" cm="1">
        <f t="array" ref="AM10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69" s="84" cm="1">
        <f t="array" ref="AN10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69" s="84" cm="1">
        <f t="array" ref="AO10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69" s="84" cm="1">
        <f t="array" ref="AP10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69" s="84" cm="1">
        <f t="array" ref="AQ10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69" s="84" cm="1">
        <f t="array" ref="AR10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69" s="84" cm="1">
        <f t="array" ref="AS10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69" s="84" cm="1">
        <f t="array" ref="AT10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69" s="84" cm="1">
        <f t="array" ref="AU10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69" s="84" cm="1">
        <f t="array" ref="AV10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69" s="84" cm="1">
        <f t="array" ref="AW10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69" s="84" cm="1">
        <f t="array" ref="AX10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69" s="84" cm="1">
        <f t="array" ref="AY10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69" s="84" cm="1">
        <f t="array" ref="AZ10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69" s="84" cm="1">
        <f t="array" ref="BA10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69" s="84" cm="1">
        <f t="array" ref="BB10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69" s="84">
        <f>IF(SUM(Table3[[#This Row],[Column2]:[Column18]])&gt;Table3[[#This Row],[Column19]],Table3[[#This Row],[Column19]],SUM(Table3[[#This Row],[Column2]:[Column18]]))</f>
        <v>150000</v>
      </c>
      <c r="BD1069" s="2">
        <f>Table3[[#This Row],[Total Spend]]/SUM(Table3[[#This Row],[Column2]:[Column18]])</f>
        <v>0.89605734767025091</v>
      </c>
    </row>
    <row r="1070" spans="1:56">
      <c r="A1070" s="84" t="s">
        <v>1145</v>
      </c>
      <c r="B1070" s="84" t="s">
        <v>57</v>
      </c>
      <c r="C1070" s="84"/>
      <c r="D1070" s="85">
        <v>45566</v>
      </c>
      <c r="E1070" s="85" t="s">
        <v>58</v>
      </c>
      <c r="F1070" s="84">
        <f>INDEX(Definitions!$G$13:$G$17,MATCH(Table3[[#This Row],[Propensity to buy/ buyer readiness]],Definitions!$A$13:$A$17,0))</f>
        <v>50000</v>
      </c>
      <c r="G1070" s="86">
        <v>3</v>
      </c>
      <c r="H1070" s="86">
        <v>3</v>
      </c>
      <c r="I1070" s="86">
        <v>3</v>
      </c>
      <c r="J1070" s="86">
        <v>3</v>
      </c>
      <c r="K1070" s="86">
        <v>3</v>
      </c>
      <c r="L1070" s="86">
        <f>SUM(Table3[[#This Row],[Strategic priority segment]:[Propensity to buy/ buyer readiness]])</f>
        <v>15</v>
      </c>
      <c r="M1070" s="86" t="s">
        <v>152</v>
      </c>
      <c r="N1070" s="84" t="s">
        <v>153</v>
      </c>
      <c r="O1070" s="84"/>
      <c r="P1070" s="87"/>
      <c r="Q1070" s="87"/>
      <c r="R1070" s="84"/>
      <c r="S1070" s="87"/>
      <c r="T1070" s="87"/>
      <c r="U1070" s="84">
        <v>1</v>
      </c>
      <c r="V1070" s="84">
        <v>0</v>
      </c>
      <c r="W1070" s="84">
        <v>0</v>
      </c>
      <c r="X1070" s="84">
        <v>0</v>
      </c>
      <c r="Y1070" s="84">
        <v>0</v>
      </c>
      <c r="Z1070" s="84">
        <v>0</v>
      </c>
      <c r="AA1070" s="84">
        <v>0</v>
      </c>
      <c r="AB1070" s="84">
        <v>0</v>
      </c>
      <c r="AC1070" s="84">
        <v>0</v>
      </c>
      <c r="AD1070" s="84">
        <v>0</v>
      </c>
      <c r="AE1070" s="84">
        <v>0</v>
      </c>
      <c r="AF1070" s="84">
        <v>0</v>
      </c>
      <c r="AG1070" s="84">
        <v>0</v>
      </c>
      <c r="AH1070" s="84">
        <v>0</v>
      </c>
      <c r="AI1070" s="84">
        <v>0</v>
      </c>
      <c r="AJ1070" s="84">
        <v>0</v>
      </c>
      <c r="AK1070" s="84">
        <v>0</v>
      </c>
      <c r="AL1070" s="84" cm="1">
        <f t="array" ref="AL10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70" s="84" cm="1">
        <f t="array" ref="AM10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0" s="84" cm="1">
        <f t="array" ref="AN10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0" s="84" cm="1">
        <f t="array" ref="AO10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0" s="84" cm="1">
        <f t="array" ref="AP10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0" s="84" cm="1">
        <f t="array" ref="AQ10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0" s="84" cm="1">
        <f t="array" ref="AR10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0" s="84" cm="1">
        <f t="array" ref="AS10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0" s="84" cm="1">
        <f t="array" ref="AT10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0" s="84" cm="1">
        <f t="array" ref="AU10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0" s="84" cm="1">
        <f t="array" ref="AV10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0" s="84" cm="1">
        <f t="array" ref="AW10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0" s="84" cm="1">
        <f t="array" ref="AX10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0" s="84" cm="1">
        <f t="array" ref="AY10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0" s="84" cm="1">
        <f t="array" ref="AZ10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70" s="84" cm="1">
        <f t="array" ref="BA10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0" s="84" cm="1">
        <f t="array" ref="BB10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0" s="84">
        <f>IF(SUM(Table3[[#This Row],[Column2]:[Column18]])&gt;Table3[[#This Row],[Column19]],Table3[[#This Row],[Column19]],SUM(Table3[[#This Row],[Column2]:[Column18]]))</f>
        <v>10800</v>
      </c>
      <c r="BD1070" s="2">
        <f>Table3[[#This Row],[Total Spend]]/SUM(Table3[[#This Row],[Column2]:[Column18]])</f>
        <v>1</v>
      </c>
    </row>
    <row r="1071" spans="1:56">
      <c r="A1071" s="84" t="s">
        <v>1146</v>
      </c>
      <c r="B1071" s="84"/>
      <c r="C1071" s="84"/>
      <c r="D1071" s="85">
        <v>45566</v>
      </c>
      <c r="E1071" s="85" t="s">
        <v>58</v>
      </c>
      <c r="F1071" s="84">
        <f>INDEX(Definitions!$G$13:$G$17,MATCH(Table3[[#This Row],[Propensity to buy/ buyer readiness]],Definitions!$A$13:$A$17,0))</f>
        <v>150000</v>
      </c>
      <c r="G1071" s="86">
        <v>3</v>
      </c>
      <c r="H1071" s="86">
        <v>3</v>
      </c>
      <c r="I1071" s="86">
        <v>2</v>
      </c>
      <c r="J1071" s="86">
        <v>3</v>
      </c>
      <c r="K1071" s="86">
        <v>4</v>
      </c>
      <c r="L1071" s="86">
        <f>SUM(Table3[[#This Row],[Strategic priority segment]:[Propensity to buy/ buyer readiness]])</f>
        <v>15</v>
      </c>
      <c r="M1071" s="86" t="s">
        <v>152</v>
      </c>
      <c r="N1071" s="84" t="s">
        <v>122</v>
      </c>
      <c r="O1071" s="84"/>
      <c r="P1071" s="87"/>
      <c r="Q1071" s="87"/>
      <c r="R1071" s="84"/>
      <c r="S1071" s="87"/>
      <c r="T1071" s="87"/>
      <c r="U1071" s="84">
        <v>1</v>
      </c>
      <c r="V1071" s="84">
        <v>0</v>
      </c>
      <c r="W1071" s="84">
        <v>0</v>
      </c>
      <c r="X1071" s="84">
        <v>0</v>
      </c>
      <c r="Y1071" s="84">
        <v>0</v>
      </c>
      <c r="Z1071" s="84">
        <v>1</v>
      </c>
      <c r="AA1071" s="84">
        <v>0</v>
      </c>
      <c r="AB1071" s="84">
        <v>1</v>
      </c>
      <c r="AC1071" s="84">
        <v>0</v>
      </c>
      <c r="AD1071" s="84">
        <v>1</v>
      </c>
      <c r="AE1071" s="84">
        <v>0</v>
      </c>
      <c r="AF1071" s="84">
        <v>1</v>
      </c>
      <c r="AG1071" s="84">
        <v>0</v>
      </c>
      <c r="AH1071" s="84">
        <v>0</v>
      </c>
      <c r="AI1071" s="84">
        <v>0</v>
      </c>
      <c r="AJ1071" s="84">
        <v>0</v>
      </c>
      <c r="AK1071" s="84">
        <v>0</v>
      </c>
      <c r="AL1071" s="84" cm="1">
        <f t="array" ref="AL10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71" s="84" cm="1">
        <f t="array" ref="AM10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1" s="84" cm="1">
        <f t="array" ref="AN10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1" s="84" cm="1">
        <f t="array" ref="AO10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1" s="84" cm="1">
        <f t="array" ref="AP10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1" s="84" cm="1">
        <f t="array" ref="AQ10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71" s="84" cm="1">
        <f t="array" ref="AR10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1" s="84" cm="1">
        <f t="array" ref="AS10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71" s="84" cm="1">
        <f t="array" ref="AT10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1" s="84" cm="1">
        <f t="array" ref="AU10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71" s="84" cm="1">
        <f t="array" ref="AV10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1" s="84" cm="1">
        <f t="array" ref="AW10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71" s="84" cm="1">
        <f t="array" ref="AX10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1" s="84" cm="1">
        <f t="array" ref="AY10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1" s="84" cm="1">
        <f t="array" ref="AZ10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71" s="84" cm="1">
        <f t="array" ref="BA10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1" s="84" cm="1">
        <f t="array" ref="BB10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1" s="84">
        <f>IF(SUM(Table3[[#This Row],[Column2]:[Column18]])&gt;Table3[[#This Row],[Column19]],Table3[[#This Row],[Column19]],SUM(Table3[[#This Row],[Column2]:[Column18]]))</f>
        <v>150000</v>
      </c>
      <c r="BD1071" s="2">
        <f>Table3[[#This Row],[Total Spend]]/SUM(Table3[[#This Row],[Column2]:[Column18]])</f>
        <v>0.89605734767025091</v>
      </c>
    </row>
    <row r="1072" spans="1:56">
      <c r="A1072" s="84" t="s">
        <v>1147</v>
      </c>
      <c r="B1072" s="84" t="s">
        <v>57</v>
      </c>
      <c r="C1072" s="84"/>
      <c r="D1072" s="85">
        <v>45566</v>
      </c>
      <c r="E1072" s="85" t="s">
        <v>92</v>
      </c>
      <c r="F1072" s="84">
        <f>INDEX(Definitions!$G$13:$G$17,MATCH(Table3[[#This Row],[Propensity to buy/ buyer readiness]],Definitions!$A$13:$A$17,0))</f>
        <v>10000</v>
      </c>
      <c r="G1072" s="86">
        <v>3</v>
      </c>
      <c r="H1072" s="86">
        <v>3</v>
      </c>
      <c r="I1072" s="86">
        <v>4</v>
      </c>
      <c r="J1072" s="86">
        <v>3</v>
      </c>
      <c r="K1072" s="86">
        <v>2</v>
      </c>
      <c r="L1072" s="86">
        <f>SUM(Table3[[#This Row],[Strategic priority segment]:[Propensity to buy/ buyer readiness]])</f>
        <v>15</v>
      </c>
      <c r="M1072" s="86" t="s">
        <v>191</v>
      </c>
      <c r="N1072" s="84" t="s">
        <v>135</v>
      </c>
      <c r="O1072" s="84" t="s">
        <v>153</v>
      </c>
      <c r="P1072" s="87"/>
      <c r="Q1072" s="87"/>
      <c r="R1072" s="84"/>
      <c r="S1072" s="87"/>
      <c r="T1072" s="87"/>
      <c r="U1072" s="84">
        <v>1</v>
      </c>
      <c r="V1072" s="84">
        <v>0</v>
      </c>
      <c r="W1072" s="84">
        <v>0</v>
      </c>
      <c r="X1072" s="84">
        <v>0</v>
      </c>
      <c r="Y1072" s="84">
        <v>0</v>
      </c>
      <c r="Z1072" s="84">
        <v>0</v>
      </c>
      <c r="AA1072" s="84">
        <v>0</v>
      </c>
      <c r="AB1072" s="84">
        <v>0</v>
      </c>
      <c r="AC1072" s="84">
        <v>0</v>
      </c>
      <c r="AD1072" s="84">
        <v>0</v>
      </c>
      <c r="AE1072" s="84">
        <v>0</v>
      </c>
      <c r="AF1072" s="84">
        <v>0</v>
      </c>
      <c r="AG1072" s="84">
        <v>0</v>
      </c>
      <c r="AH1072" s="84">
        <v>1</v>
      </c>
      <c r="AI1072" s="84">
        <v>1</v>
      </c>
      <c r="AJ1072" s="84">
        <v>1</v>
      </c>
      <c r="AK1072" s="84">
        <v>1</v>
      </c>
      <c r="AL1072" s="84" cm="1">
        <f t="array" ref="AL10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72" s="84" cm="1">
        <f t="array" ref="AM10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2" s="84" cm="1">
        <f t="array" ref="AN10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2" s="84" cm="1">
        <f t="array" ref="AO10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2" s="84" cm="1">
        <f t="array" ref="AP10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2" s="84" cm="1">
        <f t="array" ref="AQ10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2" s="84" cm="1">
        <f t="array" ref="AR10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2" s="84" cm="1">
        <f t="array" ref="AS10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2" s="84" cm="1">
        <f t="array" ref="AT10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2" s="84" cm="1">
        <f t="array" ref="AU10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2" s="84" cm="1">
        <f t="array" ref="AV10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2" s="84" cm="1">
        <f t="array" ref="AW10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2" s="84" cm="1">
        <f t="array" ref="AX10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2" s="84" cm="1">
        <f t="array" ref="AY10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72" s="84" cm="1">
        <f t="array" ref="AZ10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72" s="84" cm="1">
        <f t="array" ref="BA10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72" s="84" cm="1">
        <f t="array" ref="BB10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72" s="84">
        <f>IF(SUM(Table3[[#This Row],[Column2]:[Column18]])&gt;Table3[[#This Row],[Column19]],Table3[[#This Row],[Column19]],SUM(Table3[[#This Row],[Column2]:[Column18]]))</f>
        <v>10000</v>
      </c>
      <c r="BD1072" s="2">
        <f>Table3[[#This Row],[Total Spend]]/SUM(Table3[[#This Row],[Column2]:[Column18]])</f>
        <v>0.18365472910927455</v>
      </c>
    </row>
    <row r="1073" spans="1:56">
      <c r="A1073" s="84" t="s">
        <v>1148</v>
      </c>
      <c r="B1073" s="84"/>
      <c r="C1073" s="84"/>
      <c r="D1073" s="85">
        <v>45566</v>
      </c>
      <c r="E1073" s="85" t="s">
        <v>92</v>
      </c>
      <c r="F1073" s="84">
        <f>INDEX(Definitions!$G$13:$G$17,MATCH(Table3[[#This Row],[Propensity to buy/ buyer readiness]],Definitions!$A$13:$A$17,0))</f>
        <v>10000</v>
      </c>
      <c r="G1073" s="86">
        <v>3</v>
      </c>
      <c r="H1073" s="86">
        <v>3</v>
      </c>
      <c r="I1073" s="86">
        <v>3</v>
      </c>
      <c r="J1073" s="86">
        <v>4</v>
      </c>
      <c r="K1073" s="86">
        <v>2</v>
      </c>
      <c r="L1073" s="86">
        <f>SUM(Table3[[#This Row],[Strategic priority segment]:[Propensity to buy/ buyer readiness]])</f>
        <v>15</v>
      </c>
      <c r="M1073" s="86" t="s">
        <v>59</v>
      </c>
      <c r="N1073" s="84" t="s">
        <v>265</v>
      </c>
      <c r="O1073" s="84"/>
      <c r="P1073" s="87"/>
      <c r="Q1073" s="87"/>
      <c r="R1073" s="84"/>
      <c r="S1073" s="87"/>
      <c r="T1073" s="87"/>
      <c r="U1073" s="84">
        <v>1</v>
      </c>
      <c r="V1073" s="84">
        <v>1</v>
      </c>
      <c r="W1073" s="84">
        <v>1</v>
      </c>
      <c r="X1073" s="84">
        <v>1</v>
      </c>
      <c r="Y1073" s="84">
        <v>0</v>
      </c>
      <c r="Z1073" s="84">
        <v>0</v>
      </c>
      <c r="AA1073" s="84">
        <v>0</v>
      </c>
      <c r="AB1073" s="84">
        <v>0</v>
      </c>
      <c r="AC1073" s="84">
        <v>0</v>
      </c>
      <c r="AD1073" s="84">
        <v>0</v>
      </c>
      <c r="AE1073" s="84">
        <v>0</v>
      </c>
      <c r="AF1073" s="84">
        <v>0</v>
      </c>
      <c r="AG1073" s="84">
        <v>0</v>
      </c>
      <c r="AH1073" s="84">
        <v>0</v>
      </c>
      <c r="AI1073" s="84">
        <v>1</v>
      </c>
      <c r="AJ1073" s="84">
        <v>0</v>
      </c>
      <c r="AK1073" s="84">
        <v>0</v>
      </c>
      <c r="AL1073" s="84" cm="1">
        <f t="array" ref="AL10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73" s="84" cm="1">
        <f t="array" ref="AM10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73" s="84" cm="1">
        <f t="array" ref="AN10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73" s="84" cm="1">
        <f t="array" ref="AO10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73" s="84" cm="1">
        <f t="array" ref="AP10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3" s="84" cm="1">
        <f t="array" ref="AQ10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3" s="84" cm="1">
        <f t="array" ref="AR10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3" s="84" cm="1">
        <f t="array" ref="AS10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3" s="84" cm="1">
        <f t="array" ref="AT10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3" s="84" cm="1">
        <f t="array" ref="AU10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3" s="84" cm="1">
        <f t="array" ref="AV10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3" s="84" cm="1">
        <f t="array" ref="AW10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3" s="84" cm="1">
        <f t="array" ref="AX10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3" s="84" cm="1">
        <f t="array" ref="AY10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3" s="84" cm="1">
        <f t="array" ref="AZ10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73" s="84" cm="1">
        <f t="array" ref="BA10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3" s="84" cm="1">
        <f t="array" ref="BB10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3" s="84">
        <f>IF(SUM(Table3[[#This Row],[Column2]:[Column18]])&gt;Table3[[#This Row],[Column19]],Table3[[#This Row],[Column19]],SUM(Table3[[#This Row],[Column2]:[Column18]]))</f>
        <v>10000</v>
      </c>
      <c r="BD1073" s="2">
        <f>Table3[[#This Row],[Total Spend]]/SUM(Table3[[#This Row],[Column2]:[Column18]])</f>
        <v>7.2859744990892539E-2</v>
      </c>
    </row>
    <row r="1074" spans="1:56">
      <c r="A1074" s="84" t="s">
        <v>1149</v>
      </c>
      <c r="B1074" s="84"/>
      <c r="C1074" s="84"/>
      <c r="D1074" s="85">
        <v>45566</v>
      </c>
      <c r="E1074" s="85" t="s">
        <v>92</v>
      </c>
      <c r="F1074" s="84">
        <f>INDEX(Definitions!$G$13:$G$17,MATCH(Table3[[#This Row],[Propensity to buy/ buyer readiness]],Definitions!$A$13:$A$17,0))</f>
        <v>10000</v>
      </c>
      <c r="G1074" s="86">
        <v>3</v>
      </c>
      <c r="H1074" s="86">
        <v>3</v>
      </c>
      <c r="I1074" s="86">
        <v>3</v>
      </c>
      <c r="J1074" s="86">
        <v>4</v>
      </c>
      <c r="K1074" s="86">
        <v>2</v>
      </c>
      <c r="L1074" s="86">
        <f>SUM(Table3[[#This Row],[Strategic priority segment]:[Propensity to buy/ buyer readiness]])</f>
        <v>15</v>
      </c>
      <c r="M1074" s="86" t="s">
        <v>59</v>
      </c>
      <c r="N1074" s="84" t="s">
        <v>265</v>
      </c>
      <c r="O1074" s="84"/>
      <c r="P1074" s="87"/>
      <c r="Q1074" s="87"/>
      <c r="R1074" s="84"/>
      <c r="S1074" s="87"/>
      <c r="T1074" s="87"/>
      <c r="U1074" s="84">
        <v>1</v>
      </c>
      <c r="V1074" s="84">
        <v>1</v>
      </c>
      <c r="W1074" s="84">
        <v>1</v>
      </c>
      <c r="X1074" s="84">
        <v>1</v>
      </c>
      <c r="Y1074" s="84">
        <v>0</v>
      </c>
      <c r="Z1074" s="84">
        <v>0</v>
      </c>
      <c r="AA1074" s="84">
        <v>0</v>
      </c>
      <c r="AB1074" s="84">
        <v>0</v>
      </c>
      <c r="AC1074" s="84">
        <v>0</v>
      </c>
      <c r="AD1074" s="84">
        <v>0</v>
      </c>
      <c r="AE1074" s="84">
        <v>0</v>
      </c>
      <c r="AF1074" s="84">
        <v>0</v>
      </c>
      <c r="AG1074" s="84">
        <v>0</v>
      </c>
      <c r="AH1074" s="84">
        <v>0</v>
      </c>
      <c r="AI1074" s="84">
        <v>1</v>
      </c>
      <c r="AJ1074" s="84">
        <v>0</v>
      </c>
      <c r="AK1074" s="84">
        <v>0</v>
      </c>
      <c r="AL1074" s="84" cm="1">
        <f t="array" ref="AL10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74" s="84" cm="1">
        <f t="array" ref="AM10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74" s="84" cm="1">
        <f t="array" ref="AN10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74" s="84" cm="1">
        <f t="array" ref="AO10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74" s="84" cm="1">
        <f t="array" ref="AP10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4" s="84" cm="1">
        <f t="array" ref="AQ10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4" s="84" cm="1">
        <f t="array" ref="AR10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4" s="84" cm="1">
        <f t="array" ref="AS10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4" s="84" cm="1">
        <f t="array" ref="AT10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4" s="84" cm="1">
        <f t="array" ref="AU10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4" s="84" cm="1">
        <f t="array" ref="AV10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4" s="84" cm="1">
        <f t="array" ref="AW10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4" s="84" cm="1">
        <f t="array" ref="AX10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4" s="84" cm="1">
        <f t="array" ref="AY10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4" s="84" cm="1">
        <f t="array" ref="AZ10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74" s="84" cm="1">
        <f t="array" ref="BA10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4" s="84" cm="1">
        <f t="array" ref="BB10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4" s="84">
        <f>IF(SUM(Table3[[#This Row],[Column2]:[Column18]])&gt;Table3[[#This Row],[Column19]],Table3[[#This Row],[Column19]],SUM(Table3[[#This Row],[Column2]:[Column18]]))</f>
        <v>10000</v>
      </c>
      <c r="BD1074" s="2">
        <f>Table3[[#This Row],[Total Spend]]/SUM(Table3[[#This Row],[Column2]:[Column18]])</f>
        <v>7.2859744990892539E-2</v>
      </c>
    </row>
    <row r="1075" spans="1:56">
      <c r="A1075" s="84" t="s">
        <v>1150</v>
      </c>
      <c r="B1075" s="84"/>
      <c r="C1075" s="84"/>
      <c r="D1075" s="85">
        <v>45566</v>
      </c>
      <c r="E1075" s="85" t="s">
        <v>92</v>
      </c>
      <c r="F1075" s="84">
        <f>INDEX(Definitions!$G$13:$G$17,MATCH(Table3[[#This Row],[Propensity to buy/ buyer readiness]],Definitions!$A$13:$A$17,0))</f>
        <v>10000</v>
      </c>
      <c r="G1075" s="86">
        <v>3</v>
      </c>
      <c r="H1075" s="86">
        <v>3</v>
      </c>
      <c r="I1075" s="86">
        <v>3</v>
      </c>
      <c r="J1075" s="86">
        <v>4</v>
      </c>
      <c r="K1075" s="86">
        <v>2</v>
      </c>
      <c r="L1075" s="86">
        <f>SUM(Table3[[#This Row],[Strategic priority segment]:[Propensity to buy/ buyer readiness]])</f>
        <v>15</v>
      </c>
      <c r="M1075" s="86" t="s">
        <v>59</v>
      </c>
      <c r="N1075" s="84" t="s">
        <v>265</v>
      </c>
      <c r="O1075" s="84"/>
      <c r="P1075" s="87"/>
      <c r="Q1075" s="87"/>
      <c r="R1075" s="84"/>
      <c r="S1075" s="87"/>
      <c r="T1075" s="87"/>
      <c r="U1075" s="84">
        <v>1</v>
      </c>
      <c r="V1075" s="84">
        <v>1</v>
      </c>
      <c r="W1075" s="84">
        <v>1</v>
      </c>
      <c r="X1075" s="84">
        <v>1</v>
      </c>
      <c r="Y1075" s="84">
        <v>0</v>
      </c>
      <c r="Z1075" s="84">
        <v>0</v>
      </c>
      <c r="AA1075" s="84">
        <v>0</v>
      </c>
      <c r="AB1075" s="84">
        <v>0</v>
      </c>
      <c r="AC1075" s="84">
        <v>0</v>
      </c>
      <c r="AD1075" s="84">
        <v>0</v>
      </c>
      <c r="AE1075" s="84">
        <v>0</v>
      </c>
      <c r="AF1075" s="84">
        <v>0</v>
      </c>
      <c r="AG1075" s="84">
        <v>0</v>
      </c>
      <c r="AH1075" s="84">
        <v>0</v>
      </c>
      <c r="AI1075" s="84">
        <v>1</v>
      </c>
      <c r="AJ1075" s="84">
        <v>0</v>
      </c>
      <c r="AK1075" s="84">
        <v>0</v>
      </c>
      <c r="AL1075" s="84" cm="1">
        <f t="array" ref="AL10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75" s="84" cm="1">
        <f t="array" ref="AM10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75" s="84" cm="1">
        <f t="array" ref="AN10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75" s="84" cm="1">
        <f t="array" ref="AO10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75" s="84" cm="1">
        <f t="array" ref="AP10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5" s="84" cm="1">
        <f t="array" ref="AQ10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5" s="84" cm="1">
        <f t="array" ref="AR10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5" s="84" cm="1">
        <f t="array" ref="AS10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5" s="84" cm="1">
        <f t="array" ref="AT10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5" s="84" cm="1">
        <f t="array" ref="AU10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5" s="84" cm="1">
        <f t="array" ref="AV10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5" s="84" cm="1">
        <f t="array" ref="AW10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5" s="84" cm="1">
        <f t="array" ref="AX10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5" s="84" cm="1">
        <f t="array" ref="AY10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5" s="84" cm="1">
        <f t="array" ref="AZ10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75" s="84" cm="1">
        <f t="array" ref="BA10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5" s="84" cm="1">
        <f t="array" ref="BB10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5" s="84">
        <f>IF(SUM(Table3[[#This Row],[Column2]:[Column18]])&gt;Table3[[#This Row],[Column19]],Table3[[#This Row],[Column19]],SUM(Table3[[#This Row],[Column2]:[Column18]]))</f>
        <v>10000</v>
      </c>
      <c r="BD1075" s="2">
        <f>Table3[[#This Row],[Total Spend]]/SUM(Table3[[#This Row],[Column2]:[Column18]])</f>
        <v>7.2859744990892539E-2</v>
      </c>
    </row>
    <row r="1076" spans="1:56">
      <c r="A1076" s="84" t="s">
        <v>1151</v>
      </c>
      <c r="B1076" s="84"/>
      <c r="C1076" s="84"/>
      <c r="D1076" s="85">
        <v>45566</v>
      </c>
      <c r="E1076" s="85" t="s">
        <v>92</v>
      </c>
      <c r="F1076" s="84">
        <f>INDEX(Definitions!$G$13:$G$17,MATCH(Table3[[#This Row],[Propensity to buy/ buyer readiness]],Definitions!$A$13:$A$17,0))</f>
        <v>10000</v>
      </c>
      <c r="G1076" s="86">
        <v>3</v>
      </c>
      <c r="H1076" s="86">
        <v>3</v>
      </c>
      <c r="I1076" s="86">
        <v>3</v>
      </c>
      <c r="J1076" s="86">
        <v>4</v>
      </c>
      <c r="K1076" s="86">
        <v>2</v>
      </c>
      <c r="L1076" s="86">
        <f>SUM(Table3[[#This Row],[Strategic priority segment]:[Propensity to buy/ buyer readiness]])</f>
        <v>15</v>
      </c>
      <c r="M1076" s="86" t="s">
        <v>59</v>
      </c>
      <c r="N1076" s="84" t="s">
        <v>265</v>
      </c>
      <c r="O1076" s="84"/>
      <c r="P1076" s="87"/>
      <c r="Q1076" s="87"/>
      <c r="R1076" s="84"/>
      <c r="S1076" s="87"/>
      <c r="T1076" s="87"/>
      <c r="U1076" s="84">
        <v>1</v>
      </c>
      <c r="V1076" s="84">
        <v>1</v>
      </c>
      <c r="W1076" s="84">
        <v>1</v>
      </c>
      <c r="X1076" s="84">
        <v>1</v>
      </c>
      <c r="Y1076" s="84">
        <v>0</v>
      </c>
      <c r="Z1076" s="84">
        <v>0</v>
      </c>
      <c r="AA1076" s="84">
        <v>0</v>
      </c>
      <c r="AB1076" s="84">
        <v>0</v>
      </c>
      <c r="AC1076" s="84">
        <v>0</v>
      </c>
      <c r="AD1076" s="84">
        <v>0</v>
      </c>
      <c r="AE1076" s="84">
        <v>0</v>
      </c>
      <c r="AF1076" s="84">
        <v>0</v>
      </c>
      <c r="AG1076" s="84">
        <v>0</v>
      </c>
      <c r="AH1076" s="84">
        <v>0</v>
      </c>
      <c r="AI1076" s="84">
        <v>1</v>
      </c>
      <c r="AJ1076" s="84">
        <v>0</v>
      </c>
      <c r="AK1076" s="84">
        <v>0</v>
      </c>
      <c r="AL1076" s="84" cm="1">
        <f t="array" ref="AL10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76" s="84" cm="1">
        <f t="array" ref="AM10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76" s="84" cm="1">
        <f t="array" ref="AN10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76" s="84" cm="1">
        <f t="array" ref="AO10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76" s="84" cm="1">
        <f t="array" ref="AP10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6" s="84" cm="1">
        <f t="array" ref="AQ10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6" s="84" cm="1">
        <f t="array" ref="AR10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6" s="84" cm="1">
        <f t="array" ref="AS10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6" s="84" cm="1">
        <f t="array" ref="AT10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6" s="84" cm="1">
        <f t="array" ref="AU10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6" s="84" cm="1">
        <f t="array" ref="AV10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6" s="84" cm="1">
        <f t="array" ref="AW10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6" s="84" cm="1">
        <f t="array" ref="AX10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6" s="84" cm="1">
        <f t="array" ref="AY10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6" s="84" cm="1">
        <f t="array" ref="AZ10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76" s="84" cm="1">
        <f t="array" ref="BA10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6" s="84" cm="1">
        <f t="array" ref="BB10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6" s="84">
        <f>IF(SUM(Table3[[#This Row],[Column2]:[Column18]])&gt;Table3[[#This Row],[Column19]],Table3[[#This Row],[Column19]],SUM(Table3[[#This Row],[Column2]:[Column18]]))</f>
        <v>10000</v>
      </c>
      <c r="BD1076" s="2">
        <f>Table3[[#This Row],[Total Spend]]/SUM(Table3[[#This Row],[Column2]:[Column18]])</f>
        <v>7.2859744990892539E-2</v>
      </c>
    </row>
    <row r="1077" spans="1:56">
      <c r="A1077" s="84" t="s">
        <v>1152</v>
      </c>
      <c r="B1077" s="84"/>
      <c r="C1077" s="84" t="s">
        <v>57</v>
      </c>
      <c r="D1077" s="85">
        <v>45566</v>
      </c>
      <c r="E1077" s="85" t="s">
        <v>92</v>
      </c>
      <c r="F1077" s="84">
        <f>INDEX(Definitions!$G$13:$G$17,MATCH(Table3[[#This Row],[Propensity to buy/ buyer readiness]],Definitions!$A$13:$A$17,0))</f>
        <v>50000</v>
      </c>
      <c r="G1077" s="86">
        <v>3</v>
      </c>
      <c r="H1077" s="86">
        <v>3</v>
      </c>
      <c r="I1077" s="86">
        <v>3</v>
      </c>
      <c r="J1077" s="86">
        <v>3</v>
      </c>
      <c r="K1077" s="86">
        <v>3</v>
      </c>
      <c r="L1077" s="86">
        <f>SUM(Table3[[#This Row],[Strategic priority segment]:[Propensity to buy/ buyer readiness]])</f>
        <v>15</v>
      </c>
      <c r="M1077" s="86" t="s">
        <v>191</v>
      </c>
      <c r="N1077" s="84" t="s">
        <v>135</v>
      </c>
      <c r="O1077" s="84"/>
      <c r="P1077" s="87"/>
      <c r="Q1077" s="87"/>
      <c r="R1077" s="84"/>
      <c r="S1077" s="87"/>
      <c r="T1077" s="87"/>
      <c r="U1077" s="84">
        <v>0</v>
      </c>
      <c r="V1077" s="84">
        <v>0</v>
      </c>
      <c r="W1077" s="84">
        <v>0</v>
      </c>
      <c r="X1077" s="84">
        <v>0</v>
      </c>
      <c r="Y1077" s="84">
        <v>0</v>
      </c>
      <c r="Z1077" s="84">
        <v>0</v>
      </c>
      <c r="AA1077" s="84">
        <v>0</v>
      </c>
      <c r="AB1077" s="84">
        <v>0</v>
      </c>
      <c r="AC1077" s="84">
        <v>0</v>
      </c>
      <c r="AD1077" s="84">
        <v>0</v>
      </c>
      <c r="AE1077" s="84">
        <v>0</v>
      </c>
      <c r="AF1077" s="84">
        <v>0</v>
      </c>
      <c r="AG1077" s="84">
        <v>0</v>
      </c>
      <c r="AH1077" s="84">
        <v>1</v>
      </c>
      <c r="AI1077" s="84">
        <v>1</v>
      </c>
      <c r="AJ1077" s="84">
        <v>1</v>
      </c>
      <c r="AK1077" s="84">
        <v>1</v>
      </c>
      <c r="AL1077" s="84" cm="1">
        <f t="array" ref="AL10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77" s="84" cm="1">
        <f t="array" ref="AM10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7" s="84" cm="1">
        <f t="array" ref="AN10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7" s="84" cm="1">
        <f t="array" ref="AO10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7" s="84" cm="1">
        <f t="array" ref="AP10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7" s="84" cm="1">
        <f t="array" ref="AQ10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7" s="84" cm="1">
        <f t="array" ref="AR10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7" s="84" cm="1">
        <f t="array" ref="AS10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7" s="84" cm="1">
        <f t="array" ref="AT10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7" s="84" cm="1">
        <f t="array" ref="AU10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7" s="84" cm="1">
        <f t="array" ref="AV10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7" s="84" cm="1">
        <f t="array" ref="AW10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7" s="84" cm="1">
        <f t="array" ref="AX10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7" s="84" cm="1">
        <f t="array" ref="AY10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77" s="84" cm="1">
        <f t="array" ref="AZ10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77" s="84" cm="1">
        <f t="array" ref="BA10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77" s="84" cm="1">
        <f t="array" ref="BB10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77" s="84">
        <f>IF(SUM(Table3[[#This Row],[Column2]:[Column18]])&gt;Table3[[#This Row],[Column19]],Table3[[#This Row],[Column19]],SUM(Table3[[#This Row],[Column2]:[Column18]]))</f>
        <v>46350</v>
      </c>
      <c r="BD1077" s="2">
        <f>Table3[[#This Row],[Total Spend]]/SUM(Table3[[#This Row],[Column2]:[Column18]])</f>
        <v>1</v>
      </c>
    </row>
    <row r="1078" spans="1:56">
      <c r="A1078" s="84" t="s">
        <v>1153</v>
      </c>
      <c r="B1078" s="84"/>
      <c r="C1078" s="84"/>
      <c r="D1078" s="85">
        <v>45566</v>
      </c>
      <c r="E1078" s="85" t="s">
        <v>92</v>
      </c>
      <c r="F1078" s="84">
        <f>INDEX(Definitions!$G$13:$G$17,MATCH(Table3[[#This Row],[Propensity to buy/ buyer readiness]],Definitions!$A$13:$A$17,0))</f>
        <v>50000</v>
      </c>
      <c r="G1078" s="86">
        <v>3</v>
      </c>
      <c r="H1078" s="86">
        <v>3</v>
      </c>
      <c r="I1078" s="86">
        <v>3</v>
      </c>
      <c r="J1078" s="86">
        <v>3</v>
      </c>
      <c r="K1078" s="86">
        <v>3</v>
      </c>
      <c r="L1078" s="86">
        <f>SUM(Table3[[#This Row],[Strategic priority segment]:[Propensity to buy/ buyer readiness]])</f>
        <v>15</v>
      </c>
      <c r="M1078" s="86" t="s">
        <v>191</v>
      </c>
      <c r="N1078" s="84" t="s">
        <v>76</v>
      </c>
      <c r="O1078" s="84"/>
      <c r="P1078" s="84"/>
      <c r="Q1078" s="84"/>
      <c r="R1078" s="84"/>
      <c r="S1078" s="87"/>
      <c r="T1078" s="87"/>
      <c r="U1078" s="84">
        <v>0</v>
      </c>
      <c r="V1078" s="84">
        <v>0</v>
      </c>
      <c r="W1078" s="84">
        <v>0</v>
      </c>
      <c r="X1078" s="84">
        <v>0</v>
      </c>
      <c r="Y1078" s="84">
        <v>0</v>
      </c>
      <c r="Z1078" s="84">
        <v>0</v>
      </c>
      <c r="AA1078" s="84">
        <v>0</v>
      </c>
      <c r="AB1078" s="84">
        <v>0</v>
      </c>
      <c r="AC1078" s="84">
        <v>0</v>
      </c>
      <c r="AD1078" s="84">
        <v>0</v>
      </c>
      <c r="AE1078" s="84">
        <v>0</v>
      </c>
      <c r="AF1078" s="84">
        <v>0</v>
      </c>
      <c r="AG1078" s="84">
        <v>0</v>
      </c>
      <c r="AH1078" s="84">
        <v>1</v>
      </c>
      <c r="AI1078" s="84">
        <v>0</v>
      </c>
      <c r="AJ1078" s="84">
        <v>1</v>
      </c>
      <c r="AK1078" s="84">
        <v>0</v>
      </c>
      <c r="AL1078" s="84" cm="1">
        <f t="array" ref="AL10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78" s="84" cm="1">
        <f t="array" ref="AM10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8" s="84" cm="1">
        <f t="array" ref="AN10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8" s="84" cm="1">
        <f t="array" ref="AO10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8" s="84" cm="1">
        <f t="array" ref="AP10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8" s="84" cm="1">
        <f t="array" ref="AQ10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8" s="84" cm="1">
        <f t="array" ref="AR10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8" s="84" cm="1">
        <f t="array" ref="AS10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8" s="84" cm="1">
        <f t="array" ref="AT10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8" s="84" cm="1">
        <f t="array" ref="AU10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8" s="84" cm="1">
        <f t="array" ref="AV10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8" s="84" cm="1">
        <f t="array" ref="AW10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8" s="84" cm="1">
        <f t="array" ref="AX10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8" s="84" cm="1">
        <f t="array" ref="AY10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78" s="84" cm="1">
        <f t="array" ref="AZ10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78" s="84" cm="1">
        <f t="array" ref="BA10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78" s="84" cm="1">
        <f t="array" ref="BB10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8" s="84">
        <f>IF(SUM(Table3[[#This Row],[Column2]:[Column18]])&gt;Table3[[#This Row],[Column19]],Table3[[#This Row],[Column19]],SUM(Table3[[#This Row],[Column2]:[Column18]]))</f>
        <v>30600</v>
      </c>
      <c r="BD1078" s="2">
        <f>Table3[[#This Row],[Total Spend]]/SUM(Table3[[#This Row],[Column2]:[Column18]])</f>
        <v>1</v>
      </c>
    </row>
    <row r="1079" spans="1:56">
      <c r="A1079" s="84" t="s">
        <v>1154</v>
      </c>
      <c r="B1079" s="84" t="s">
        <v>57</v>
      </c>
      <c r="C1079" s="84"/>
      <c r="D1079" s="85">
        <v>45566</v>
      </c>
      <c r="E1079" s="85" t="s">
        <v>58</v>
      </c>
      <c r="F1079" s="84">
        <f>INDEX(Definitions!$G$13:$G$17,MATCH(Table3[[#This Row],[Propensity to buy/ buyer readiness]],Definitions!$A$13:$A$17,0))</f>
        <v>50000</v>
      </c>
      <c r="G1079" s="86">
        <v>2</v>
      </c>
      <c r="H1079" s="86">
        <v>3</v>
      </c>
      <c r="I1079" s="86">
        <v>4</v>
      </c>
      <c r="J1079" s="86">
        <v>3</v>
      </c>
      <c r="K1079" s="86">
        <v>3</v>
      </c>
      <c r="L1079" s="86">
        <f>SUM(Table3[[#This Row],[Strategic priority segment]:[Propensity to buy/ buyer readiness]])</f>
        <v>15</v>
      </c>
      <c r="M1079" s="86" t="s">
        <v>152</v>
      </c>
      <c r="N1079" s="84" t="s">
        <v>264</v>
      </c>
      <c r="O1079" s="84"/>
      <c r="P1079" s="87"/>
      <c r="Q1079" s="87"/>
      <c r="R1079" s="84"/>
      <c r="S1079" s="87"/>
      <c r="T1079" s="87"/>
      <c r="U1079" s="84">
        <v>1</v>
      </c>
      <c r="V1079" s="84">
        <v>0</v>
      </c>
      <c r="W1079" s="84">
        <v>0</v>
      </c>
      <c r="X1079" s="84">
        <v>0</v>
      </c>
      <c r="Y1079" s="84">
        <v>0</v>
      </c>
      <c r="Z1079" s="84">
        <v>0</v>
      </c>
      <c r="AA1079" s="84">
        <v>0</v>
      </c>
      <c r="AB1079" s="84">
        <v>0</v>
      </c>
      <c r="AC1079" s="84">
        <v>0</v>
      </c>
      <c r="AD1079" s="84">
        <v>0</v>
      </c>
      <c r="AE1079" s="84">
        <v>0</v>
      </c>
      <c r="AF1079" s="84">
        <v>0</v>
      </c>
      <c r="AG1079" s="84">
        <v>0</v>
      </c>
      <c r="AH1079" s="84">
        <v>0</v>
      </c>
      <c r="AI1079" s="84">
        <v>0</v>
      </c>
      <c r="AJ1079" s="84">
        <v>0</v>
      </c>
      <c r="AK1079" s="84">
        <v>0</v>
      </c>
      <c r="AL1079" s="84" cm="1">
        <f t="array" ref="AL10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79" s="84" cm="1">
        <f t="array" ref="AM10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79" s="84" cm="1">
        <f t="array" ref="AN10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79" s="84" cm="1">
        <f t="array" ref="AO10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79" s="84" cm="1">
        <f t="array" ref="AP10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79" s="84" cm="1">
        <f t="array" ref="AQ10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79" s="84" cm="1">
        <f t="array" ref="AR10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79" s="84" cm="1">
        <f t="array" ref="AS10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79" s="84" cm="1">
        <f t="array" ref="AT10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79" s="84" cm="1">
        <f t="array" ref="AU10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79" s="84" cm="1">
        <f t="array" ref="AV10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79" s="84" cm="1">
        <f t="array" ref="AW10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79" s="84" cm="1">
        <f t="array" ref="AX10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79" s="84" cm="1">
        <f t="array" ref="AY10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79" s="84" cm="1">
        <f t="array" ref="AZ10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79" s="84" cm="1">
        <f t="array" ref="BA10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79" s="84" cm="1">
        <f t="array" ref="BB10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79" s="84">
        <f>IF(SUM(Table3[[#This Row],[Column2]:[Column18]])&gt;Table3[[#This Row],[Column19]],Table3[[#This Row],[Column19]],SUM(Table3[[#This Row],[Column2]:[Column18]]))</f>
        <v>10800</v>
      </c>
      <c r="BD1079" s="2">
        <f>Table3[[#This Row],[Total Spend]]/SUM(Table3[[#This Row],[Column2]:[Column18]])</f>
        <v>1</v>
      </c>
    </row>
    <row r="1080" spans="1:56">
      <c r="A1080" s="84" t="s">
        <v>1155</v>
      </c>
      <c r="B1080" s="84" t="s">
        <v>57</v>
      </c>
      <c r="C1080" s="84" t="s">
        <v>57</v>
      </c>
      <c r="D1080" s="85">
        <v>45566</v>
      </c>
      <c r="E1080" s="85" t="s">
        <v>92</v>
      </c>
      <c r="F1080" s="84">
        <f>INDEX(Definitions!$G$13:$G$17,MATCH(Table3[[#This Row],[Propensity to buy/ buyer readiness]],Definitions!$A$13:$A$17,0))</f>
        <v>10000</v>
      </c>
      <c r="G1080" s="86">
        <v>3</v>
      </c>
      <c r="H1080" s="86">
        <v>3</v>
      </c>
      <c r="I1080" s="86">
        <v>4</v>
      </c>
      <c r="J1080" s="86">
        <v>3</v>
      </c>
      <c r="K1080" s="86">
        <v>2</v>
      </c>
      <c r="L1080" s="86">
        <f>SUM(Table3[[#This Row],[Strategic priority segment]:[Propensity to buy/ buyer readiness]])</f>
        <v>15</v>
      </c>
      <c r="M1080" s="86" t="s">
        <v>191</v>
      </c>
      <c r="N1080" s="84" t="s">
        <v>135</v>
      </c>
      <c r="O1080" s="84" t="s">
        <v>153</v>
      </c>
      <c r="P1080" s="87"/>
      <c r="Q1080" s="87"/>
      <c r="R1080" s="84"/>
      <c r="S1080" s="87"/>
      <c r="T1080" s="87"/>
      <c r="U1080" s="84">
        <v>1</v>
      </c>
      <c r="V1080" s="84">
        <v>0</v>
      </c>
      <c r="W1080" s="84">
        <v>0</v>
      </c>
      <c r="X1080" s="84">
        <v>0</v>
      </c>
      <c r="Y1080" s="84">
        <v>0</v>
      </c>
      <c r="Z1080" s="84">
        <v>0</v>
      </c>
      <c r="AA1080" s="84">
        <v>0</v>
      </c>
      <c r="AB1080" s="84">
        <v>0</v>
      </c>
      <c r="AC1080" s="84">
        <v>0</v>
      </c>
      <c r="AD1080" s="84">
        <v>0</v>
      </c>
      <c r="AE1080" s="84">
        <v>0</v>
      </c>
      <c r="AF1080" s="84">
        <v>0</v>
      </c>
      <c r="AG1080" s="84">
        <v>0</v>
      </c>
      <c r="AH1080" s="84">
        <v>1</v>
      </c>
      <c r="AI1080" s="84">
        <v>1</v>
      </c>
      <c r="AJ1080" s="84">
        <v>1</v>
      </c>
      <c r="AK1080" s="84">
        <v>1</v>
      </c>
      <c r="AL1080" s="84" cm="1">
        <f t="array" ref="AL10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0" s="84" cm="1">
        <f t="array" ref="AM10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80" s="84" cm="1">
        <f t="array" ref="AN10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80" s="84" cm="1">
        <f t="array" ref="AO10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80" s="84" cm="1">
        <f t="array" ref="AP10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0" s="84" cm="1">
        <f t="array" ref="AQ10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0" s="84" cm="1">
        <f t="array" ref="AR10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0" s="84" cm="1">
        <f t="array" ref="AS10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0" s="84" cm="1">
        <f t="array" ref="AT10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0" s="84" cm="1">
        <f t="array" ref="AU10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0" s="84" cm="1">
        <f t="array" ref="AV10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0" s="84" cm="1">
        <f t="array" ref="AW10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0" s="84" cm="1">
        <f t="array" ref="AX10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0" s="84" cm="1">
        <f t="array" ref="AY10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80" s="84" cm="1">
        <f t="array" ref="AZ10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0" s="84" cm="1">
        <f t="array" ref="BA10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80" s="84" cm="1">
        <f t="array" ref="BB10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80" s="84">
        <f>IF(SUM(Table3[[#This Row],[Column2]:[Column18]])&gt;Table3[[#This Row],[Column19]],Table3[[#This Row],[Column19]],SUM(Table3[[#This Row],[Column2]:[Column18]]))</f>
        <v>10000</v>
      </c>
      <c r="BD1080" s="2">
        <f>Table3[[#This Row],[Total Spend]]/SUM(Table3[[#This Row],[Column2]:[Column18]])</f>
        <v>0.18365472910927455</v>
      </c>
    </row>
    <row r="1081" spans="1:56">
      <c r="A1081" s="84" t="s">
        <v>1156</v>
      </c>
      <c r="B1081" s="84" t="s">
        <v>57</v>
      </c>
      <c r="C1081" s="84"/>
      <c r="D1081" s="85">
        <v>45566</v>
      </c>
      <c r="E1081" s="85" t="s">
        <v>92</v>
      </c>
      <c r="F1081" s="84">
        <f>INDEX(Definitions!$G$13:$G$17,MATCH(Table3[[#This Row],[Propensity to buy/ buyer readiness]],Definitions!$A$13:$A$17,0))</f>
        <v>10000</v>
      </c>
      <c r="G1081" s="86">
        <v>3</v>
      </c>
      <c r="H1081" s="86">
        <v>3</v>
      </c>
      <c r="I1081" s="86">
        <v>4</v>
      </c>
      <c r="J1081" s="86">
        <v>3</v>
      </c>
      <c r="K1081" s="86">
        <v>2</v>
      </c>
      <c r="L1081" s="86">
        <f>SUM(Table3[[#This Row],[Strategic priority segment]:[Propensity to buy/ buyer readiness]])</f>
        <v>15</v>
      </c>
      <c r="M1081" s="86" t="s">
        <v>191</v>
      </c>
      <c r="N1081" s="84" t="s">
        <v>135</v>
      </c>
      <c r="O1081" s="84" t="s">
        <v>61</v>
      </c>
      <c r="P1081" s="84" t="s">
        <v>153</v>
      </c>
      <c r="Q1081" s="87"/>
      <c r="R1081" s="84"/>
      <c r="S1081" s="87"/>
      <c r="T1081" s="87"/>
      <c r="U1081" s="84">
        <v>1</v>
      </c>
      <c r="V1081" s="84">
        <v>0</v>
      </c>
      <c r="W1081" s="84">
        <v>0</v>
      </c>
      <c r="X1081" s="84">
        <v>0</v>
      </c>
      <c r="Y1081" s="84">
        <v>0</v>
      </c>
      <c r="Z1081" s="84">
        <v>1</v>
      </c>
      <c r="AA1081" s="84">
        <v>1</v>
      </c>
      <c r="AB1081" s="84">
        <v>1</v>
      </c>
      <c r="AC1081" s="84">
        <v>1</v>
      </c>
      <c r="AD1081" s="84">
        <v>0</v>
      </c>
      <c r="AE1081" s="84">
        <v>0</v>
      </c>
      <c r="AF1081" s="84">
        <v>0</v>
      </c>
      <c r="AG1081" s="84">
        <v>0</v>
      </c>
      <c r="AH1081" s="84">
        <v>1</v>
      </c>
      <c r="AI1081" s="84">
        <v>1</v>
      </c>
      <c r="AJ1081" s="84">
        <v>1</v>
      </c>
      <c r="AK1081" s="84">
        <v>1</v>
      </c>
      <c r="AL1081" s="84" cm="1">
        <f t="array" ref="AL10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1" s="84" cm="1">
        <f t="array" ref="AM10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81" s="84" cm="1">
        <f t="array" ref="AN10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81" s="84" cm="1">
        <f t="array" ref="AO10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81" s="84" cm="1">
        <f t="array" ref="AP10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1" s="84" cm="1">
        <f t="array" ref="AQ10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081" s="84" cm="1">
        <f t="array" ref="AR10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081" s="84" cm="1">
        <f t="array" ref="AS10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081" s="84" cm="1">
        <f t="array" ref="AT10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081" s="84" cm="1">
        <f t="array" ref="AU10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1" s="84" cm="1">
        <f t="array" ref="AV10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1" s="84" cm="1">
        <f t="array" ref="AW10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1" s="84" cm="1">
        <f t="array" ref="AX10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1" s="84" cm="1">
        <f t="array" ref="AY10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81" s="84" cm="1">
        <f t="array" ref="AZ10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1" s="84" cm="1">
        <f t="array" ref="BA10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81" s="84" cm="1">
        <f t="array" ref="BB10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81" s="84">
        <f>IF(SUM(Table3[[#This Row],[Column2]:[Column18]])&gt;Table3[[#This Row],[Column19]],Table3[[#This Row],[Column19]],SUM(Table3[[#This Row],[Column2]:[Column18]]))</f>
        <v>10000</v>
      </c>
      <c r="BD1081" s="2">
        <f>Table3[[#This Row],[Total Spend]]/SUM(Table3[[#This Row],[Column2]:[Column18]])</f>
        <v>6.7544748395812232E-2</v>
      </c>
    </row>
    <row r="1082" spans="1:56">
      <c r="A1082" s="84" t="s">
        <v>1157</v>
      </c>
      <c r="B1082" s="84"/>
      <c r="C1082" s="84"/>
      <c r="D1082" s="85">
        <v>45566</v>
      </c>
      <c r="E1082" s="85" t="s">
        <v>92</v>
      </c>
      <c r="F1082" s="84">
        <f>INDEX(Definitions!$G$13:$G$17,MATCH(Table3[[#This Row],[Propensity to buy/ buyer readiness]],Definitions!$A$13:$A$17,0))</f>
        <v>10000</v>
      </c>
      <c r="G1082" s="86">
        <v>3</v>
      </c>
      <c r="H1082" s="86">
        <v>3</v>
      </c>
      <c r="I1082" s="86">
        <v>3</v>
      </c>
      <c r="J1082" s="86">
        <v>4</v>
      </c>
      <c r="K1082" s="86">
        <v>2</v>
      </c>
      <c r="L1082" s="86">
        <f>SUM(Table3[[#This Row],[Strategic priority segment]:[Propensity to buy/ buyer readiness]])</f>
        <v>15</v>
      </c>
      <c r="M1082" s="86" t="s">
        <v>59</v>
      </c>
      <c r="N1082" s="84" t="s">
        <v>265</v>
      </c>
      <c r="O1082" s="84"/>
      <c r="P1082" s="87"/>
      <c r="Q1082" s="87"/>
      <c r="R1082" s="84"/>
      <c r="S1082" s="87"/>
      <c r="T1082" s="87"/>
      <c r="U1082" s="84">
        <v>1</v>
      </c>
      <c r="V1082" s="84">
        <v>1</v>
      </c>
      <c r="W1082" s="84">
        <v>1</v>
      </c>
      <c r="X1082" s="84">
        <v>1</v>
      </c>
      <c r="Y1082" s="84">
        <v>0</v>
      </c>
      <c r="Z1082" s="84">
        <v>0</v>
      </c>
      <c r="AA1082" s="84">
        <v>0</v>
      </c>
      <c r="AB1082" s="84">
        <v>0</v>
      </c>
      <c r="AC1082" s="84">
        <v>0</v>
      </c>
      <c r="AD1082" s="84">
        <v>0</v>
      </c>
      <c r="AE1082" s="84">
        <v>0</v>
      </c>
      <c r="AF1082" s="84">
        <v>0</v>
      </c>
      <c r="AG1082" s="84">
        <v>0</v>
      </c>
      <c r="AH1082" s="84">
        <v>0</v>
      </c>
      <c r="AI1082" s="84">
        <v>1</v>
      </c>
      <c r="AJ1082" s="84">
        <v>0</v>
      </c>
      <c r="AK1082" s="84">
        <v>0</v>
      </c>
      <c r="AL1082" s="84" cm="1">
        <f t="array" ref="AL10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2" s="84" cm="1">
        <f t="array" ref="AM10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82" s="84" cm="1">
        <f t="array" ref="AN10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82" s="84" cm="1">
        <f t="array" ref="AO10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82" s="84" cm="1">
        <f t="array" ref="AP10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2" s="84" cm="1">
        <f t="array" ref="AQ10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2" s="84" cm="1">
        <f t="array" ref="AR10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2" s="84" cm="1">
        <f t="array" ref="AS10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2" s="84" cm="1">
        <f t="array" ref="AT10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2" s="84" cm="1">
        <f t="array" ref="AU10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2" s="84" cm="1">
        <f t="array" ref="AV10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2" s="84" cm="1">
        <f t="array" ref="AW10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2" s="84" cm="1">
        <f t="array" ref="AX10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2" s="84" cm="1">
        <f t="array" ref="AY10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2" s="84" cm="1">
        <f t="array" ref="AZ10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2" s="84" cm="1">
        <f t="array" ref="BA10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2" s="84" cm="1">
        <f t="array" ref="BB10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2" s="84">
        <f>IF(SUM(Table3[[#This Row],[Column2]:[Column18]])&gt;Table3[[#This Row],[Column19]],Table3[[#This Row],[Column19]],SUM(Table3[[#This Row],[Column2]:[Column18]]))</f>
        <v>10000</v>
      </c>
      <c r="BD1082" s="2">
        <f>Table3[[#This Row],[Total Spend]]/SUM(Table3[[#This Row],[Column2]:[Column18]])</f>
        <v>7.2859744990892539E-2</v>
      </c>
    </row>
    <row r="1083" spans="1:56">
      <c r="A1083" s="84" t="s">
        <v>1158</v>
      </c>
      <c r="B1083" s="84" t="s">
        <v>57</v>
      </c>
      <c r="C1083" s="84" t="s">
        <v>57</v>
      </c>
      <c r="D1083" s="85">
        <v>45566</v>
      </c>
      <c r="E1083" s="85" t="s">
        <v>92</v>
      </c>
      <c r="F1083" s="84">
        <f>INDEX(Definitions!$G$13:$G$17,MATCH(Table3[[#This Row],[Propensity to buy/ buyer readiness]],Definitions!$A$13:$A$17,0))</f>
        <v>10000</v>
      </c>
      <c r="G1083" s="86">
        <v>3</v>
      </c>
      <c r="H1083" s="86">
        <v>3</v>
      </c>
      <c r="I1083" s="86">
        <v>4</v>
      </c>
      <c r="J1083" s="86">
        <v>3</v>
      </c>
      <c r="K1083" s="86">
        <v>2</v>
      </c>
      <c r="L1083" s="86">
        <f>SUM(Table3[[#This Row],[Strategic priority segment]:[Propensity to buy/ buyer readiness]])</f>
        <v>15</v>
      </c>
      <c r="M1083" s="86" t="s">
        <v>191</v>
      </c>
      <c r="N1083" s="84" t="s">
        <v>135</v>
      </c>
      <c r="O1083" s="84" t="s">
        <v>153</v>
      </c>
      <c r="P1083" s="87"/>
      <c r="Q1083" s="87"/>
      <c r="R1083" s="84"/>
      <c r="S1083" s="87"/>
      <c r="T1083" s="87"/>
      <c r="U1083" s="84">
        <v>1</v>
      </c>
      <c r="V1083" s="84">
        <v>0</v>
      </c>
      <c r="W1083" s="84">
        <v>0</v>
      </c>
      <c r="X1083" s="84">
        <v>0</v>
      </c>
      <c r="Y1083" s="84">
        <v>0</v>
      </c>
      <c r="Z1083" s="84">
        <v>0</v>
      </c>
      <c r="AA1083" s="84">
        <v>0</v>
      </c>
      <c r="AB1083" s="84">
        <v>0</v>
      </c>
      <c r="AC1083" s="84">
        <v>0</v>
      </c>
      <c r="AD1083" s="84">
        <v>0</v>
      </c>
      <c r="AE1083" s="84">
        <v>0</v>
      </c>
      <c r="AF1083" s="84">
        <v>0</v>
      </c>
      <c r="AG1083" s="84">
        <v>0</v>
      </c>
      <c r="AH1083" s="84">
        <v>1</v>
      </c>
      <c r="AI1083" s="84">
        <v>1</v>
      </c>
      <c r="AJ1083" s="84">
        <v>1</v>
      </c>
      <c r="AK1083" s="84">
        <v>1</v>
      </c>
      <c r="AL1083" s="84" cm="1">
        <f t="array" ref="AL10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3" s="84" cm="1">
        <f t="array" ref="AM10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83" s="84" cm="1">
        <f t="array" ref="AN10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83" s="84" cm="1">
        <f t="array" ref="AO10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83" s="84" cm="1">
        <f t="array" ref="AP10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3" s="84" cm="1">
        <f t="array" ref="AQ10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3" s="84" cm="1">
        <f t="array" ref="AR10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3" s="84" cm="1">
        <f t="array" ref="AS10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3" s="84" cm="1">
        <f t="array" ref="AT10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3" s="84" cm="1">
        <f t="array" ref="AU10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3" s="84" cm="1">
        <f t="array" ref="AV10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3" s="84" cm="1">
        <f t="array" ref="AW10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3" s="84" cm="1">
        <f t="array" ref="AX10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3" s="84" cm="1">
        <f t="array" ref="AY10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83" s="84" cm="1">
        <f t="array" ref="AZ10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3" s="84" cm="1">
        <f t="array" ref="BA10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83" s="84" cm="1">
        <f t="array" ref="BB10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83" s="84">
        <f>IF(SUM(Table3[[#This Row],[Column2]:[Column18]])&gt;Table3[[#This Row],[Column19]],Table3[[#This Row],[Column19]],SUM(Table3[[#This Row],[Column2]:[Column18]]))</f>
        <v>10000</v>
      </c>
      <c r="BD1083" s="2">
        <f>Table3[[#This Row],[Total Spend]]/SUM(Table3[[#This Row],[Column2]:[Column18]])</f>
        <v>0.18365472910927455</v>
      </c>
    </row>
    <row r="1084" spans="1:56">
      <c r="A1084" s="84" t="s">
        <v>1159</v>
      </c>
      <c r="B1084" s="84"/>
      <c r="C1084" s="84"/>
      <c r="D1084" s="85">
        <v>45566</v>
      </c>
      <c r="E1084" s="85" t="s">
        <v>92</v>
      </c>
      <c r="F1084" s="84">
        <f>INDEX(Definitions!$G$13:$G$17,MATCH(Table3[[#This Row],[Propensity to buy/ buyer readiness]],Definitions!$A$13:$A$17,0))</f>
        <v>10000</v>
      </c>
      <c r="G1084" s="86">
        <v>3</v>
      </c>
      <c r="H1084" s="86">
        <v>3</v>
      </c>
      <c r="I1084" s="86">
        <v>3</v>
      </c>
      <c r="J1084" s="86">
        <v>4</v>
      </c>
      <c r="K1084" s="86">
        <v>2</v>
      </c>
      <c r="L1084" s="86">
        <f>SUM(Table3[[#This Row],[Strategic priority segment]:[Propensity to buy/ buyer readiness]])</f>
        <v>15</v>
      </c>
      <c r="M1084" s="86" t="s">
        <v>59</v>
      </c>
      <c r="N1084" s="84" t="s">
        <v>265</v>
      </c>
      <c r="O1084" s="84"/>
      <c r="P1084" s="87"/>
      <c r="Q1084" s="87"/>
      <c r="R1084" s="84"/>
      <c r="S1084" s="87"/>
      <c r="T1084" s="87"/>
      <c r="U1084" s="84">
        <v>1</v>
      </c>
      <c r="V1084" s="84">
        <v>1</v>
      </c>
      <c r="W1084" s="84">
        <v>1</v>
      </c>
      <c r="X1084" s="84">
        <v>1</v>
      </c>
      <c r="Y1084" s="84">
        <v>0</v>
      </c>
      <c r="Z1084" s="84">
        <v>0</v>
      </c>
      <c r="AA1084" s="84">
        <v>0</v>
      </c>
      <c r="AB1084" s="84">
        <v>0</v>
      </c>
      <c r="AC1084" s="84">
        <v>0</v>
      </c>
      <c r="AD1084" s="84">
        <v>0</v>
      </c>
      <c r="AE1084" s="84">
        <v>0</v>
      </c>
      <c r="AF1084" s="84">
        <v>0</v>
      </c>
      <c r="AG1084" s="84">
        <v>0</v>
      </c>
      <c r="AH1084" s="84">
        <v>0</v>
      </c>
      <c r="AI1084" s="84">
        <v>1</v>
      </c>
      <c r="AJ1084" s="84">
        <v>0</v>
      </c>
      <c r="AK1084" s="84">
        <v>0</v>
      </c>
      <c r="AL1084" s="84" cm="1">
        <f t="array" ref="AL10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4" s="84" cm="1">
        <f t="array" ref="AM10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84" s="84" cm="1">
        <f t="array" ref="AN10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84" s="84" cm="1">
        <f t="array" ref="AO10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84" s="84" cm="1">
        <f t="array" ref="AP10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4" s="84" cm="1">
        <f t="array" ref="AQ10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4" s="84" cm="1">
        <f t="array" ref="AR10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4" s="84" cm="1">
        <f t="array" ref="AS10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4" s="84" cm="1">
        <f t="array" ref="AT10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4" s="84" cm="1">
        <f t="array" ref="AU10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4" s="84" cm="1">
        <f t="array" ref="AV10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4" s="84" cm="1">
        <f t="array" ref="AW10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4" s="84" cm="1">
        <f t="array" ref="AX10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4" s="84" cm="1">
        <f t="array" ref="AY10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4" s="84" cm="1">
        <f t="array" ref="AZ10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4" s="84" cm="1">
        <f t="array" ref="BA10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4" s="84" cm="1">
        <f t="array" ref="BB10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4" s="84">
        <f>IF(SUM(Table3[[#This Row],[Column2]:[Column18]])&gt;Table3[[#This Row],[Column19]],Table3[[#This Row],[Column19]],SUM(Table3[[#This Row],[Column2]:[Column18]]))</f>
        <v>10000</v>
      </c>
      <c r="BD1084" s="2">
        <f>Table3[[#This Row],[Total Spend]]/SUM(Table3[[#This Row],[Column2]:[Column18]])</f>
        <v>7.2859744990892539E-2</v>
      </c>
    </row>
    <row r="1085" spans="1:56">
      <c r="A1085" s="84" t="s">
        <v>1160</v>
      </c>
      <c r="B1085" s="84"/>
      <c r="C1085" s="84"/>
      <c r="D1085" s="85">
        <v>45566</v>
      </c>
      <c r="E1085" s="85" t="s">
        <v>92</v>
      </c>
      <c r="F1085" s="84">
        <f>INDEX(Definitions!$G$13:$G$17,MATCH(Table3[[#This Row],[Propensity to buy/ buyer readiness]],Definitions!$A$13:$A$17,0))</f>
        <v>10000</v>
      </c>
      <c r="G1085" s="86">
        <v>3</v>
      </c>
      <c r="H1085" s="86">
        <v>3</v>
      </c>
      <c r="I1085" s="86">
        <v>3</v>
      </c>
      <c r="J1085" s="86">
        <v>4</v>
      </c>
      <c r="K1085" s="86">
        <v>2</v>
      </c>
      <c r="L1085" s="86">
        <f>SUM(Table3[[#This Row],[Strategic priority segment]:[Propensity to buy/ buyer readiness]])</f>
        <v>15</v>
      </c>
      <c r="M1085" s="86" t="s">
        <v>59</v>
      </c>
      <c r="N1085" s="84" t="s">
        <v>265</v>
      </c>
      <c r="O1085" s="84"/>
      <c r="P1085" s="87"/>
      <c r="Q1085" s="87"/>
      <c r="R1085" s="84"/>
      <c r="S1085" s="87"/>
      <c r="T1085" s="87"/>
      <c r="U1085" s="84">
        <v>1</v>
      </c>
      <c r="V1085" s="84">
        <v>1</v>
      </c>
      <c r="W1085" s="84">
        <v>1</v>
      </c>
      <c r="X1085" s="84">
        <v>1</v>
      </c>
      <c r="Y1085" s="84">
        <v>0</v>
      </c>
      <c r="Z1085" s="84">
        <v>0</v>
      </c>
      <c r="AA1085" s="84">
        <v>0</v>
      </c>
      <c r="AB1085" s="84">
        <v>0</v>
      </c>
      <c r="AC1085" s="84">
        <v>0</v>
      </c>
      <c r="AD1085" s="84">
        <v>0</v>
      </c>
      <c r="AE1085" s="84">
        <v>0</v>
      </c>
      <c r="AF1085" s="84">
        <v>0</v>
      </c>
      <c r="AG1085" s="84">
        <v>0</v>
      </c>
      <c r="AH1085" s="84">
        <v>0</v>
      </c>
      <c r="AI1085" s="84">
        <v>1</v>
      </c>
      <c r="AJ1085" s="84">
        <v>0</v>
      </c>
      <c r="AK1085" s="84">
        <v>0</v>
      </c>
      <c r="AL1085" s="84" cm="1">
        <f t="array" ref="AL10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5" s="84" cm="1">
        <f t="array" ref="AM10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85" s="84" cm="1">
        <f t="array" ref="AN10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85" s="84" cm="1">
        <f t="array" ref="AO10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85" s="84" cm="1">
        <f t="array" ref="AP10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5" s="84" cm="1">
        <f t="array" ref="AQ10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5" s="84" cm="1">
        <f t="array" ref="AR10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5" s="84" cm="1">
        <f t="array" ref="AS10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5" s="84" cm="1">
        <f t="array" ref="AT10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5" s="84" cm="1">
        <f t="array" ref="AU10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5" s="84" cm="1">
        <f t="array" ref="AV10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5" s="84" cm="1">
        <f t="array" ref="AW10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5" s="84" cm="1">
        <f t="array" ref="AX10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5" s="84" cm="1">
        <f t="array" ref="AY10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5" s="84" cm="1">
        <f t="array" ref="AZ10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5" s="84" cm="1">
        <f t="array" ref="BA10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5" s="84" cm="1">
        <f t="array" ref="BB10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5" s="84">
        <f>IF(SUM(Table3[[#This Row],[Column2]:[Column18]])&gt;Table3[[#This Row],[Column19]],Table3[[#This Row],[Column19]],SUM(Table3[[#This Row],[Column2]:[Column18]]))</f>
        <v>10000</v>
      </c>
      <c r="BD1085" s="2">
        <f>Table3[[#This Row],[Total Spend]]/SUM(Table3[[#This Row],[Column2]:[Column18]])</f>
        <v>7.2859744990892539E-2</v>
      </c>
    </row>
    <row r="1086" spans="1:56">
      <c r="A1086" s="84" t="s">
        <v>1161</v>
      </c>
      <c r="B1086" s="84"/>
      <c r="C1086" s="84"/>
      <c r="D1086" s="85">
        <v>45566</v>
      </c>
      <c r="E1086" s="85" t="s">
        <v>92</v>
      </c>
      <c r="F1086" s="84">
        <f>INDEX(Definitions!$G$13:$G$17,MATCH(Table3[[#This Row],[Propensity to buy/ buyer readiness]],Definitions!$A$13:$A$17,0))</f>
        <v>10000</v>
      </c>
      <c r="G1086" s="86">
        <v>3</v>
      </c>
      <c r="H1086" s="86">
        <v>3</v>
      </c>
      <c r="I1086" s="86">
        <v>3</v>
      </c>
      <c r="J1086" s="86">
        <v>4</v>
      </c>
      <c r="K1086" s="86">
        <v>2</v>
      </c>
      <c r="L1086" s="86">
        <f>SUM(Table3[[#This Row],[Strategic priority segment]:[Propensity to buy/ buyer readiness]])</f>
        <v>15</v>
      </c>
      <c r="M1086" s="86" t="s">
        <v>59</v>
      </c>
      <c r="N1086" s="84" t="s">
        <v>265</v>
      </c>
      <c r="O1086" s="84"/>
      <c r="P1086" s="87"/>
      <c r="Q1086" s="87"/>
      <c r="R1086" s="84"/>
      <c r="S1086" s="87"/>
      <c r="T1086" s="87"/>
      <c r="U1086" s="84">
        <v>1</v>
      </c>
      <c r="V1086" s="84">
        <v>1</v>
      </c>
      <c r="W1086" s="84">
        <v>1</v>
      </c>
      <c r="X1086" s="84">
        <v>1</v>
      </c>
      <c r="Y1086" s="84">
        <v>0</v>
      </c>
      <c r="Z1086" s="84">
        <v>0</v>
      </c>
      <c r="AA1086" s="84">
        <v>0</v>
      </c>
      <c r="AB1086" s="84">
        <v>0</v>
      </c>
      <c r="AC1086" s="84">
        <v>0</v>
      </c>
      <c r="AD1086" s="84">
        <v>0</v>
      </c>
      <c r="AE1086" s="84">
        <v>0</v>
      </c>
      <c r="AF1086" s="84">
        <v>0</v>
      </c>
      <c r="AG1086" s="84">
        <v>0</v>
      </c>
      <c r="AH1086" s="84">
        <v>0</v>
      </c>
      <c r="AI1086" s="84">
        <v>1</v>
      </c>
      <c r="AJ1086" s="84">
        <v>0</v>
      </c>
      <c r="AK1086" s="84">
        <v>0</v>
      </c>
      <c r="AL1086" s="84" cm="1">
        <f t="array" ref="AL10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6" s="84" cm="1">
        <f t="array" ref="AM10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86" s="84" cm="1">
        <f t="array" ref="AN10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86" s="84" cm="1">
        <f t="array" ref="AO10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86" s="84" cm="1">
        <f t="array" ref="AP10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6" s="84" cm="1">
        <f t="array" ref="AQ10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6" s="84" cm="1">
        <f t="array" ref="AR10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6" s="84" cm="1">
        <f t="array" ref="AS10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6" s="84" cm="1">
        <f t="array" ref="AT10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6" s="84" cm="1">
        <f t="array" ref="AU10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6" s="84" cm="1">
        <f t="array" ref="AV10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6" s="84" cm="1">
        <f t="array" ref="AW10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6" s="84" cm="1">
        <f t="array" ref="AX10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6" s="84" cm="1">
        <f t="array" ref="AY10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6" s="84" cm="1">
        <f t="array" ref="AZ10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6" s="84" cm="1">
        <f t="array" ref="BA10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6" s="84" cm="1">
        <f t="array" ref="BB10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6" s="84">
        <f>IF(SUM(Table3[[#This Row],[Column2]:[Column18]])&gt;Table3[[#This Row],[Column19]],Table3[[#This Row],[Column19]],SUM(Table3[[#This Row],[Column2]:[Column18]]))</f>
        <v>10000</v>
      </c>
      <c r="BD1086" s="2">
        <f>Table3[[#This Row],[Total Spend]]/SUM(Table3[[#This Row],[Column2]:[Column18]])</f>
        <v>7.2859744990892539E-2</v>
      </c>
    </row>
    <row r="1087" spans="1:56">
      <c r="A1087" s="84" t="s">
        <v>1162</v>
      </c>
      <c r="B1087" s="84"/>
      <c r="C1087" s="84"/>
      <c r="D1087" s="85">
        <v>45566</v>
      </c>
      <c r="E1087" s="85" t="s">
        <v>92</v>
      </c>
      <c r="F1087" s="84">
        <f>INDEX(Definitions!$G$13:$G$17,MATCH(Table3[[#This Row],[Propensity to buy/ buyer readiness]],Definitions!$A$13:$A$17,0))</f>
        <v>10000</v>
      </c>
      <c r="G1087" s="86">
        <v>3</v>
      </c>
      <c r="H1087" s="86">
        <v>3</v>
      </c>
      <c r="I1087" s="86">
        <v>3</v>
      </c>
      <c r="J1087" s="86">
        <v>4</v>
      </c>
      <c r="K1087" s="86">
        <v>2</v>
      </c>
      <c r="L1087" s="86">
        <f>SUM(Table3[[#This Row],[Strategic priority segment]:[Propensity to buy/ buyer readiness]])</f>
        <v>15</v>
      </c>
      <c r="M1087" s="86" t="s">
        <v>59</v>
      </c>
      <c r="N1087" s="84" t="s">
        <v>265</v>
      </c>
      <c r="O1087" s="84"/>
      <c r="P1087" s="87"/>
      <c r="Q1087" s="87"/>
      <c r="R1087" s="84"/>
      <c r="S1087" s="87"/>
      <c r="T1087" s="87"/>
      <c r="U1087" s="84">
        <v>1</v>
      </c>
      <c r="V1087" s="84">
        <v>1</v>
      </c>
      <c r="W1087" s="84">
        <v>1</v>
      </c>
      <c r="X1087" s="84">
        <v>1</v>
      </c>
      <c r="Y1087" s="84">
        <v>0</v>
      </c>
      <c r="Z1087" s="84">
        <v>0</v>
      </c>
      <c r="AA1087" s="84">
        <v>0</v>
      </c>
      <c r="AB1087" s="84">
        <v>0</v>
      </c>
      <c r="AC1087" s="84">
        <v>0</v>
      </c>
      <c r="AD1087" s="84">
        <v>0</v>
      </c>
      <c r="AE1087" s="84">
        <v>0</v>
      </c>
      <c r="AF1087" s="84">
        <v>0</v>
      </c>
      <c r="AG1087" s="84">
        <v>0</v>
      </c>
      <c r="AH1087" s="84">
        <v>0</v>
      </c>
      <c r="AI1087" s="84">
        <v>1</v>
      </c>
      <c r="AJ1087" s="84">
        <v>0</v>
      </c>
      <c r="AK1087" s="84">
        <v>0</v>
      </c>
      <c r="AL1087" s="84" cm="1">
        <f t="array" ref="AL10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7" s="84" cm="1">
        <f t="array" ref="AM10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87" s="84" cm="1">
        <f t="array" ref="AN10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87" s="84" cm="1">
        <f t="array" ref="AO10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87" s="84" cm="1">
        <f t="array" ref="AP10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7" s="84" cm="1">
        <f t="array" ref="AQ10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7" s="84" cm="1">
        <f t="array" ref="AR10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7" s="84" cm="1">
        <f t="array" ref="AS10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7" s="84" cm="1">
        <f t="array" ref="AT10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7" s="84" cm="1">
        <f t="array" ref="AU10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7" s="84" cm="1">
        <f t="array" ref="AV10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7" s="84" cm="1">
        <f t="array" ref="AW10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7" s="84" cm="1">
        <f t="array" ref="AX10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7" s="84" cm="1">
        <f t="array" ref="AY10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7" s="84" cm="1">
        <f t="array" ref="AZ10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87" s="84" cm="1">
        <f t="array" ref="BA10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7" s="84" cm="1">
        <f t="array" ref="BB10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7" s="84">
        <f>IF(SUM(Table3[[#This Row],[Column2]:[Column18]])&gt;Table3[[#This Row],[Column19]],Table3[[#This Row],[Column19]],SUM(Table3[[#This Row],[Column2]:[Column18]]))</f>
        <v>10000</v>
      </c>
      <c r="BD1087" s="2">
        <f>Table3[[#This Row],[Total Spend]]/SUM(Table3[[#This Row],[Column2]:[Column18]])</f>
        <v>7.2859744990892539E-2</v>
      </c>
    </row>
    <row r="1088" spans="1:56">
      <c r="A1088" s="84" t="s">
        <v>1163</v>
      </c>
      <c r="B1088" s="84" t="s">
        <v>57</v>
      </c>
      <c r="C1088" s="84"/>
      <c r="D1088" s="85">
        <v>45566</v>
      </c>
      <c r="E1088" s="85" t="s">
        <v>92</v>
      </c>
      <c r="F1088" s="84">
        <f>INDEX(Definitions!$G$13:$G$17,MATCH(Table3[[#This Row],[Propensity to buy/ buyer readiness]],Definitions!$A$13:$A$17,0))</f>
        <v>10000</v>
      </c>
      <c r="G1088" s="86">
        <v>3</v>
      </c>
      <c r="H1088" s="86">
        <v>3</v>
      </c>
      <c r="I1088" s="86">
        <v>4</v>
      </c>
      <c r="J1088" s="86">
        <v>3</v>
      </c>
      <c r="K1088" s="86">
        <v>2</v>
      </c>
      <c r="L1088" s="86">
        <f>SUM(Table3[[#This Row],[Strategic priority segment]:[Propensity to buy/ buyer readiness]])</f>
        <v>15</v>
      </c>
      <c r="M1088" s="86" t="s">
        <v>152</v>
      </c>
      <c r="N1088" s="84" t="s">
        <v>264</v>
      </c>
      <c r="O1088" s="84"/>
      <c r="P1088" s="87"/>
      <c r="Q1088" s="87"/>
      <c r="R1088" s="84"/>
      <c r="S1088" s="87"/>
      <c r="T1088" s="87"/>
      <c r="U1088" s="84">
        <v>1</v>
      </c>
      <c r="V1088" s="84">
        <v>0</v>
      </c>
      <c r="W1088" s="84">
        <v>0</v>
      </c>
      <c r="X1088" s="84">
        <v>0</v>
      </c>
      <c r="Y1088" s="84">
        <v>1</v>
      </c>
      <c r="Z1088" s="84">
        <v>0</v>
      </c>
      <c r="AA1088" s="84">
        <v>0</v>
      </c>
      <c r="AB1088" s="84">
        <v>0</v>
      </c>
      <c r="AC1088" s="84">
        <v>0</v>
      </c>
      <c r="AD1088" s="84">
        <v>0</v>
      </c>
      <c r="AE1088" s="84">
        <v>0</v>
      </c>
      <c r="AF1088" s="84">
        <v>0</v>
      </c>
      <c r="AG1088" s="84">
        <v>0</v>
      </c>
      <c r="AH1088" s="84">
        <v>0</v>
      </c>
      <c r="AI1088" s="84">
        <v>0</v>
      </c>
      <c r="AJ1088" s="84">
        <v>0</v>
      </c>
      <c r="AK1088" s="84">
        <v>0</v>
      </c>
      <c r="AL1088" s="84" cm="1">
        <f t="array" ref="AL10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88" s="84" cm="1">
        <f t="array" ref="AM10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88" s="84" cm="1">
        <f t="array" ref="AN10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88" s="84" cm="1">
        <f t="array" ref="AO10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88" s="84" cm="1">
        <f t="array" ref="AP10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088" s="84" cm="1">
        <f t="array" ref="AQ10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8" s="84" cm="1">
        <f t="array" ref="AR10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8" s="84" cm="1">
        <f t="array" ref="AS10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8" s="84" cm="1">
        <f t="array" ref="AT10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8" s="84" cm="1">
        <f t="array" ref="AU10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8" s="84" cm="1">
        <f t="array" ref="AV10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8" s="84" cm="1">
        <f t="array" ref="AW10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8" s="84" cm="1">
        <f t="array" ref="AX10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8" s="84" cm="1">
        <f t="array" ref="AY10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88" s="84" cm="1">
        <f t="array" ref="AZ10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88" s="84" cm="1">
        <f t="array" ref="BA10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88" s="84" cm="1">
        <f t="array" ref="BB10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8" s="84">
        <f>IF(SUM(Table3[[#This Row],[Column2]:[Column18]])&gt;Table3[[#This Row],[Column19]],Table3[[#This Row],[Column19]],SUM(Table3[[#This Row],[Column2]:[Column18]]))</f>
        <v>10000</v>
      </c>
      <c r="BD1088" s="2">
        <f>Table3[[#This Row],[Total Spend]]/SUM(Table3[[#This Row],[Column2]:[Column18]])</f>
        <v>0.20964360587002095</v>
      </c>
    </row>
    <row r="1089" spans="1:56">
      <c r="A1089" s="84" t="s">
        <v>1164</v>
      </c>
      <c r="B1089" s="84"/>
      <c r="C1089" s="84" t="s">
        <v>57</v>
      </c>
      <c r="D1089" s="85">
        <v>45566</v>
      </c>
      <c r="E1089" s="85" t="s">
        <v>92</v>
      </c>
      <c r="F1089" s="84">
        <f>INDEX(Definitions!$G$13:$G$17,MATCH(Table3[[#This Row],[Propensity to buy/ buyer readiness]],Definitions!$A$13:$A$17,0))</f>
        <v>50000</v>
      </c>
      <c r="G1089" s="86">
        <v>3</v>
      </c>
      <c r="H1089" s="86">
        <v>3</v>
      </c>
      <c r="I1089" s="86">
        <v>3</v>
      </c>
      <c r="J1089" s="86">
        <v>3</v>
      </c>
      <c r="K1089" s="86">
        <v>3</v>
      </c>
      <c r="L1089" s="86">
        <f>SUM(Table3[[#This Row],[Strategic priority segment]:[Propensity to buy/ buyer readiness]])</f>
        <v>15</v>
      </c>
      <c r="M1089" s="86" t="s">
        <v>191</v>
      </c>
      <c r="N1089" s="84" t="s">
        <v>76</v>
      </c>
      <c r="O1089" s="84"/>
      <c r="P1089" s="87"/>
      <c r="Q1089" s="87"/>
      <c r="R1089" s="84"/>
      <c r="S1089" s="87"/>
      <c r="T1089" s="87"/>
      <c r="U1089" s="84">
        <v>0</v>
      </c>
      <c r="V1089" s="84">
        <v>0</v>
      </c>
      <c r="W1089" s="84">
        <v>0</v>
      </c>
      <c r="X1089" s="84">
        <v>0</v>
      </c>
      <c r="Y1089" s="84">
        <v>0</v>
      </c>
      <c r="Z1089" s="84">
        <v>0</v>
      </c>
      <c r="AA1089" s="84">
        <v>0</v>
      </c>
      <c r="AB1089" s="84">
        <v>0</v>
      </c>
      <c r="AC1089" s="84">
        <v>0</v>
      </c>
      <c r="AD1089" s="84">
        <v>0</v>
      </c>
      <c r="AE1089" s="84">
        <v>0</v>
      </c>
      <c r="AF1089" s="84">
        <v>0</v>
      </c>
      <c r="AG1089" s="84">
        <v>0</v>
      </c>
      <c r="AH1089" s="84">
        <v>1</v>
      </c>
      <c r="AI1089" s="84">
        <v>0</v>
      </c>
      <c r="AJ1089" s="84">
        <v>1</v>
      </c>
      <c r="AK1089" s="84">
        <v>0</v>
      </c>
      <c r="AL1089" s="84" cm="1">
        <f t="array" ref="AL10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089" s="84" cm="1">
        <f t="array" ref="AM10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89" s="84" cm="1">
        <f t="array" ref="AN10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89" s="84" cm="1">
        <f t="array" ref="AO10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89" s="84" cm="1">
        <f t="array" ref="AP10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89" s="84" cm="1">
        <f t="array" ref="AQ10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89" s="84" cm="1">
        <f t="array" ref="AR10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89" s="84" cm="1">
        <f t="array" ref="AS10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89" s="84" cm="1">
        <f t="array" ref="AT10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89" s="84" cm="1">
        <f t="array" ref="AU10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89" s="84" cm="1">
        <f t="array" ref="AV10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89" s="84" cm="1">
        <f t="array" ref="AW10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89" s="84" cm="1">
        <f t="array" ref="AX10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89" s="84" cm="1">
        <f t="array" ref="AY10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89" s="84" cm="1">
        <f t="array" ref="AZ10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89" s="84" cm="1">
        <f t="array" ref="BA10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89" s="84" cm="1">
        <f t="array" ref="BB10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89" s="84">
        <f>IF(SUM(Table3[[#This Row],[Column2]:[Column18]])&gt;Table3[[#This Row],[Column19]],Table3[[#This Row],[Column19]],SUM(Table3[[#This Row],[Column2]:[Column18]]))</f>
        <v>30600</v>
      </c>
      <c r="BD1089" s="2">
        <f>Table3[[#This Row],[Total Spend]]/SUM(Table3[[#This Row],[Column2]:[Column18]])</f>
        <v>1</v>
      </c>
    </row>
    <row r="1090" spans="1:56">
      <c r="A1090" s="84" t="s">
        <v>1165</v>
      </c>
      <c r="B1090" s="84"/>
      <c r="C1090" s="84"/>
      <c r="D1090" s="85">
        <v>45809</v>
      </c>
      <c r="E1090" s="85" t="s">
        <v>58</v>
      </c>
      <c r="F1090" s="84">
        <f>INDEX(Definitions!$G$13:$G$17,MATCH(Table3[[#This Row],[Propensity to buy/ buyer readiness]],Definitions!$A$13:$A$17,0))</f>
        <v>50000</v>
      </c>
      <c r="G1090" s="86">
        <v>3</v>
      </c>
      <c r="H1090" s="86">
        <v>3</v>
      </c>
      <c r="I1090" s="86">
        <v>3</v>
      </c>
      <c r="J1090" s="86">
        <v>3</v>
      </c>
      <c r="K1090" s="86">
        <v>3</v>
      </c>
      <c r="L1090" s="86">
        <f>SUM(Table3[[#This Row],[Strategic priority segment]:[Propensity to buy/ buyer readiness]])</f>
        <v>15</v>
      </c>
      <c r="M1090" s="86" t="s">
        <v>152</v>
      </c>
      <c r="N1090" s="84" t="s">
        <v>130</v>
      </c>
      <c r="O1090" s="84"/>
      <c r="P1090" s="84"/>
      <c r="Q1090" s="84"/>
      <c r="R1090" s="84"/>
      <c r="S1090" s="84"/>
      <c r="T1090" s="84"/>
      <c r="U1090" s="84">
        <v>1</v>
      </c>
      <c r="V1090" s="84">
        <v>0</v>
      </c>
      <c r="W1090" s="84">
        <v>0</v>
      </c>
      <c r="X1090" s="84">
        <v>0</v>
      </c>
      <c r="Y1090" s="84">
        <v>0</v>
      </c>
      <c r="Z1090" s="84">
        <v>0</v>
      </c>
      <c r="AA1090" s="84">
        <v>0</v>
      </c>
      <c r="AB1090" s="84">
        <v>0</v>
      </c>
      <c r="AC1090" s="84">
        <v>0</v>
      </c>
      <c r="AD1090" s="84">
        <v>0</v>
      </c>
      <c r="AE1090" s="84">
        <v>0</v>
      </c>
      <c r="AF1090" s="84">
        <v>0</v>
      </c>
      <c r="AG1090" s="84">
        <v>0</v>
      </c>
      <c r="AH1090" s="84">
        <v>0</v>
      </c>
      <c r="AI1090" s="84">
        <v>0</v>
      </c>
      <c r="AJ1090" s="84">
        <v>0</v>
      </c>
      <c r="AK1090" s="84">
        <v>0</v>
      </c>
      <c r="AL1090" s="84" cm="1">
        <f t="array" ref="AL10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90" s="84" cm="1">
        <f t="array" ref="AM10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0" s="84" cm="1">
        <f t="array" ref="AN10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0" s="84" cm="1">
        <f t="array" ref="AO10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0" s="84" cm="1">
        <f t="array" ref="AP10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0" s="84" cm="1">
        <f t="array" ref="AQ10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0" s="84" cm="1">
        <f t="array" ref="AR10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0" s="84" cm="1">
        <f t="array" ref="AS10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0" s="84" cm="1">
        <f t="array" ref="AT10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0" s="84" cm="1">
        <f t="array" ref="AU10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0" s="84" cm="1">
        <f t="array" ref="AV10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0" s="84" cm="1">
        <f t="array" ref="AW10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0" s="84" cm="1">
        <f t="array" ref="AX10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0" s="84" cm="1">
        <f t="array" ref="AY10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0" s="84" cm="1">
        <f t="array" ref="AZ10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0" s="84" cm="1">
        <f t="array" ref="BA10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0" s="84" cm="1">
        <f t="array" ref="BB10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0" s="84">
        <f>IF(SUM(Table3[[#This Row],[Column2]:[Column18]])&gt;Table3[[#This Row],[Column19]],Table3[[#This Row],[Column19]],SUM(Table3[[#This Row],[Column2]:[Column18]]))</f>
        <v>10800</v>
      </c>
      <c r="BD1090" s="2">
        <f>Table3[[#This Row],[Total Spend]]/SUM(Table3[[#This Row],[Column2]:[Column18]])</f>
        <v>1</v>
      </c>
    </row>
    <row r="1091" spans="1:56">
      <c r="A1091" s="84" t="s">
        <v>1166</v>
      </c>
      <c r="B1091" s="84" t="s">
        <v>57</v>
      </c>
      <c r="C1091" s="84"/>
      <c r="D1091" s="85">
        <v>45566</v>
      </c>
      <c r="E1091" s="85" t="s">
        <v>92</v>
      </c>
      <c r="F1091" s="84">
        <f>INDEX(Definitions!$G$13:$G$17,MATCH(Table3[[#This Row],[Propensity to buy/ buyer readiness]],Definitions!$A$13:$A$17,0))</f>
        <v>10000</v>
      </c>
      <c r="G1091" s="86">
        <v>3</v>
      </c>
      <c r="H1091" s="86">
        <v>3</v>
      </c>
      <c r="I1091" s="86">
        <v>4</v>
      </c>
      <c r="J1091" s="86">
        <v>3</v>
      </c>
      <c r="K1091" s="86">
        <v>2</v>
      </c>
      <c r="L1091" s="86">
        <f>SUM(Table3[[#This Row],[Strategic priority segment]:[Propensity to buy/ buyer readiness]])</f>
        <v>15</v>
      </c>
      <c r="M1091" s="86" t="s">
        <v>152</v>
      </c>
      <c r="N1091" s="84" t="s">
        <v>264</v>
      </c>
      <c r="O1091" s="84"/>
      <c r="P1091" s="87"/>
      <c r="Q1091" s="87"/>
      <c r="R1091" s="84"/>
      <c r="S1091" s="87"/>
      <c r="T1091" s="87"/>
      <c r="U1091" s="84">
        <v>1</v>
      </c>
      <c r="V1091" s="84">
        <v>0</v>
      </c>
      <c r="W1091" s="84">
        <v>0</v>
      </c>
      <c r="X1091" s="84">
        <v>0</v>
      </c>
      <c r="Y1091" s="84">
        <v>0</v>
      </c>
      <c r="Z1091" s="84">
        <v>0</v>
      </c>
      <c r="AA1091" s="84">
        <v>0</v>
      </c>
      <c r="AB1091" s="84">
        <v>0</v>
      </c>
      <c r="AC1091" s="84">
        <v>0</v>
      </c>
      <c r="AD1091" s="84">
        <v>0</v>
      </c>
      <c r="AE1091" s="84">
        <v>0</v>
      </c>
      <c r="AF1091" s="84">
        <v>0</v>
      </c>
      <c r="AG1091" s="84">
        <v>0</v>
      </c>
      <c r="AH1091" s="84">
        <v>0</v>
      </c>
      <c r="AI1091" s="84">
        <v>0</v>
      </c>
      <c r="AJ1091" s="84">
        <v>0</v>
      </c>
      <c r="AK1091" s="84">
        <v>0</v>
      </c>
      <c r="AL1091" s="84" cm="1">
        <f t="array" ref="AL10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1" s="84" cm="1">
        <f t="array" ref="AM10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1" s="84" cm="1">
        <f t="array" ref="AN10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1" s="84" cm="1">
        <f t="array" ref="AO10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1" s="84" cm="1">
        <f t="array" ref="AP10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1" s="84" cm="1">
        <f t="array" ref="AQ10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1" s="84" cm="1">
        <f t="array" ref="AR10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1" s="84" cm="1">
        <f t="array" ref="AS10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1" s="84" cm="1">
        <f t="array" ref="AT10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1" s="84" cm="1">
        <f t="array" ref="AU10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1" s="84" cm="1">
        <f t="array" ref="AV10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1" s="84" cm="1">
        <f t="array" ref="AW10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1" s="84" cm="1">
        <f t="array" ref="AX10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1" s="84" cm="1">
        <f t="array" ref="AY10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1" s="84" cm="1">
        <f t="array" ref="AZ10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1" s="84" cm="1">
        <f t="array" ref="BA10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1" s="84" cm="1">
        <f t="array" ref="BB10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1" s="84">
        <f>IF(SUM(Table3[[#This Row],[Column2]:[Column18]])&gt;Table3[[#This Row],[Column19]],Table3[[#This Row],[Column19]],SUM(Table3[[#This Row],[Column2]:[Column18]]))</f>
        <v>8100</v>
      </c>
      <c r="BD1091" s="2">
        <f>Table3[[#This Row],[Total Spend]]/SUM(Table3[[#This Row],[Column2]:[Column18]])</f>
        <v>1</v>
      </c>
    </row>
    <row r="1092" spans="1:56">
      <c r="A1092" s="84" t="s">
        <v>1167</v>
      </c>
      <c r="B1092" s="84"/>
      <c r="C1092" s="84"/>
      <c r="D1092" s="85">
        <v>45566</v>
      </c>
      <c r="E1092" s="85" t="s">
        <v>58</v>
      </c>
      <c r="F1092" s="84">
        <f>INDEX(Definitions!$G$13:$G$17,MATCH(Table3[[#This Row],[Propensity to buy/ buyer readiness]],Definitions!$A$13:$A$17,0))</f>
        <v>150000</v>
      </c>
      <c r="G1092" s="86">
        <v>3</v>
      </c>
      <c r="H1092" s="86">
        <v>3</v>
      </c>
      <c r="I1092" s="86">
        <v>2</v>
      </c>
      <c r="J1092" s="86">
        <v>3</v>
      </c>
      <c r="K1092" s="86">
        <v>4</v>
      </c>
      <c r="L1092" s="86">
        <f>SUM(Table3[[#This Row],[Strategic priority segment]:[Propensity to buy/ buyer readiness]])</f>
        <v>15</v>
      </c>
      <c r="M1092" s="86" t="s">
        <v>152</v>
      </c>
      <c r="N1092" s="84" t="s">
        <v>122</v>
      </c>
      <c r="O1092" s="84"/>
      <c r="P1092" s="87"/>
      <c r="Q1092" s="87"/>
      <c r="R1092" s="84"/>
      <c r="S1092" s="87"/>
      <c r="T1092" s="87"/>
      <c r="U1092" s="84">
        <v>1</v>
      </c>
      <c r="V1092" s="84">
        <v>0</v>
      </c>
      <c r="W1092" s="84">
        <v>0</v>
      </c>
      <c r="X1092" s="84">
        <v>0</v>
      </c>
      <c r="Y1092" s="84">
        <v>0</v>
      </c>
      <c r="Z1092" s="84">
        <v>1</v>
      </c>
      <c r="AA1092" s="84">
        <v>0</v>
      </c>
      <c r="AB1092" s="84">
        <v>1</v>
      </c>
      <c r="AC1092" s="84">
        <v>0</v>
      </c>
      <c r="AD1092" s="84">
        <v>1</v>
      </c>
      <c r="AE1092" s="84">
        <v>0</v>
      </c>
      <c r="AF1092" s="84">
        <v>1</v>
      </c>
      <c r="AG1092" s="84">
        <v>0</v>
      </c>
      <c r="AH1092" s="84">
        <v>0</v>
      </c>
      <c r="AI1092" s="84">
        <v>0</v>
      </c>
      <c r="AJ1092" s="84">
        <v>0</v>
      </c>
      <c r="AK1092" s="84">
        <v>0</v>
      </c>
      <c r="AL1092" s="84" cm="1">
        <f t="array" ref="AL10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92" s="84" cm="1">
        <f t="array" ref="AM10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2" s="84" cm="1">
        <f t="array" ref="AN10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2" s="84" cm="1">
        <f t="array" ref="AO10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2" s="84" cm="1">
        <f t="array" ref="AP10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2" s="84" cm="1">
        <f t="array" ref="AQ10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92" s="84" cm="1">
        <f t="array" ref="AR10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2" s="84" cm="1">
        <f t="array" ref="AS10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92" s="84" cm="1">
        <f t="array" ref="AT10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2" s="84" cm="1">
        <f t="array" ref="AU10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92" s="84" cm="1">
        <f t="array" ref="AV10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2" s="84" cm="1">
        <f t="array" ref="AW10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92" s="84" cm="1">
        <f t="array" ref="AX10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2" s="84" cm="1">
        <f t="array" ref="AY10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2" s="84" cm="1">
        <f t="array" ref="AZ10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2" s="84" cm="1">
        <f t="array" ref="BA10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2" s="84" cm="1">
        <f t="array" ref="BB10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2" s="84">
        <f>IF(SUM(Table3[[#This Row],[Column2]:[Column18]])&gt;Table3[[#This Row],[Column19]],Table3[[#This Row],[Column19]],SUM(Table3[[#This Row],[Column2]:[Column18]]))</f>
        <v>150000</v>
      </c>
      <c r="BD1092" s="2">
        <f>Table3[[#This Row],[Total Spend]]/SUM(Table3[[#This Row],[Column2]:[Column18]])</f>
        <v>0.89605734767025091</v>
      </c>
    </row>
    <row r="1093" spans="1:56">
      <c r="A1093" s="84" t="s">
        <v>1168</v>
      </c>
      <c r="B1093" s="84"/>
      <c r="C1093" s="84"/>
      <c r="D1093" s="85">
        <v>45566</v>
      </c>
      <c r="E1093" s="85" t="s">
        <v>58</v>
      </c>
      <c r="F1093" s="84">
        <f>INDEX(Definitions!$G$13:$G$17,MATCH(Table3[[#This Row],[Propensity to buy/ buyer readiness]],Definitions!$A$13:$A$17,0))</f>
        <v>50000</v>
      </c>
      <c r="G1093" s="86">
        <v>4</v>
      </c>
      <c r="H1093" s="86">
        <v>3</v>
      </c>
      <c r="I1093" s="86">
        <v>2</v>
      </c>
      <c r="J1093" s="86">
        <v>3</v>
      </c>
      <c r="K1093" s="86">
        <v>3</v>
      </c>
      <c r="L1093" s="86">
        <f>SUM(Table3[[#This Row],[Strategic priority segment]:[Propensity to buy/ buyer readiness]])</f>
        <v>15</v>
      </c>
      <c r="M1093" s="86" t="s">
        <v>152</v>
      </c>
      <c r="N1093" s="84" t="s">
        <v>264</v>
      </c>
      <c r="O1093" s="87" t="s">
        <v>122</v>
      </c>
      <c r="P1093" s="87"/>
      <c r="Q1093" s="87"/>
      <c r="R1093" s="87"/>
      <c r="S1093" s="87"/>
      <c r="T1093" s="87"/>
      <c r="U1093" s="84">
        <v>1</v>
      </c>
      <c r="V1093" s="84">
        <v>0</v>
      </c>
      <c r="W1093" s="84">
        <v>0</v>
      </c>
      <c r="X1093" s="84">
        <v>0</v>
      </c>
      <c r="Y1093" s="84">
        <v>0</v>
      </c>
      <c r="Z1093" s="84">
        <v>1</v>
      </c>
      <c r="AA1093" s="84">
        <v>0</v>
      </c>
      <c r="AB1093" s="84">
        <v>1</v>
      </c>
      <c r="AC1093" s="84">
        <v>0</v>
      </c>
      <c r="AD1093" s="84">
        <v>1</v>
      </c>
      <c r="AE1093" s="84">
        <v>0</v>
      </c>
      <c r="AF1093" s="84">
        <v>1</v>
      </c>
      <c r="AG1093" s="84">
        <v>0</v>
      </c>
      <c r="AH1093" s="84">
        <v>0</v>
      </c>
      <c r="AI1093" s="84">
        <v>0</v>
      </c>
      <c r="AJ1093" s="84">
        <v>0</v>
      </c>
      <c r="AK1093" s="84">
        <v>0</v>
      </c>
      <c r="AL1093" s="84" cm="1">
        <f t="array" ref="AL10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093" s="84" cm="1">
        <f t="array" ref="AM10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3" s="84" cm="1">
        <f t="array" ref="AN10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3" s="84" cm="1">
        <f t="array" ref="AO10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3" s="84" cm="1">
        <f t="array" ref="AP10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3" s="84" cm="1">
        <f t="array" ref="AQ10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093" s="84" cm="1">
        <f t="array" ref="AR10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3" s="84" cm="1">
        <f t="array" ref="AS10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093" s="84" cm="1">
        <f t="array" ref="AT10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3" s="84" cm="1">
        <f t="array" ref="AU10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093" s="84" cm="1">
        <f t="array" ref="AV10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3" s="84" cm="1">
        <f t="array" ref="AW10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093" s="84" cm="1">
        <f t="array" ref="AX10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3" s="84" cm="1">
        <f t="array" ref="AY10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3" s="84" cm="1">
        <f t="array" ref="AZ10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3" s="84" cm="1">
        <f t="array" ref="BA10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3" s="84" cm="1">
        <f t="array" ref="BB10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3" s="84">
        <f>IF(SUM(Table3[[#This Row],[Column2]:[Column18]])&gt;Table3[[#This Row],[Column19]],Table3[[#This Row],[Column19]],SUM(Table3[[#This Row],[Column2]:[Column18]]))</f>
        <v>50000</v>
      </c>
      <c r="BD1093" s="2">
        <f>Table3[[#This Row],[Total Spend]]/SUM(Table3[[#This Row],[Column2]:[Column18]])</f>
        <v>0.29868578255675032</v>
      </c>
    </row>
    <row r="1094" spans="1:56">
      <c r="A1094" s="84" t="s">
        <v>1169</v>
      </c>
      <c r="B1094" s="84"/>
      <c r="C1094" s="84"/>
      <c r="D1094" s="85">
        <v>45566</v>
      </c>
      <c r="E1094" s="85" t="s">
        <v>92</v>
      </c>
      <c r="F1094" s="84">
        <f>INDEX(Definitions!$G$13:$G$17,MATCH(Table3[[#This Row],[Propensity to buy/ buyer readiness]],Definitions!$A$13:$A$17,0))</f>
        <v>10000</v>
      </c>
      <c r="G1094" s="86">
        <v>3</v>
      </c>
      <c r="H1094" s="86">
        <v>3</v>
      </c>
      <c r="I1094" s="86">
        <v>3</v>
      </c>
      <c r="J1094" s="86">
        <v>4</v>
      </c>
      <c r="K1094" s="86">
        <v>2</v>
      </c>
      <c r="L1094" s="86">
        <f>SUM(Table3[[#This Row],[Strategic priority segment]:[Propensity to buy/ buyer readiness]])</f>
        <v>15</v>
      </c>
      <c r="M1094" s="86" t="s">
        <v>59</v>
      </c>
      <c r="N1094" s="84" t="s">
        <v>265</v>
      </c>
      <c r="O1094" s="84"/>
      <c r="P1094" s="87"/>
      <c r="Q1094" s="87"/>
      <c r="R1094" s="84"/>
      <c r="S1094" s="87"/>
      <c r="T1094" s="87"/>
      <c r="U1094" s="84">
        <v>1</v>
      </c>
      <c r="V1094" s="84">
        <v>1</v>
      </c>
      <c r="W1094" s="84">
        <v>1</v>
      </c>
      <c r="X1094" s="84">
        <v>1</v>
      </c>
      <c r="Y1094" s="84">
        <v>0</v>
      </c>
      <c r="Z1094" s="84">
        <v>0</v>
      </c>
      <c r="AA1094" s="84">
        <v>0</v>
      </c>
      <c r="AB1094" s="84">
        <v>0</v>
      </c>
      <c r="AC1094" s="84">
        <v>0</v>
      </c>
      <c r="AD1094" s="84">
        <v>0</v>
      </c>
      <c r="AE1094" s="84">
        <v>0</v>
      </c>
      <c r="AF1094" s="84">
        <v>0</v>
      </c>
      <c r="AG1094" s="84">
        <v>0</v>
      </c>
      <c r="AH1094" s="84">
        <v>0</v>
      </c>
      <c r="AI1094" s="84">
        <v>1</v>
      </c>
      <c r="AJ1094" s="84">
        <v>0</v>
      </c>
      <c r="AK1094" s="84">
        <v>0</v>
      </c>
      <c r="AL1094" s="84" cm="1">
        <f t="array" ref="AL10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4" s="84" cm="1">
        <f t="array" ref="AM10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94" s="84" cm="1">
        <f t="array" ref="AN10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94" s="84" cm="1">
        <f t="array" ref="AO10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94" s="84" cm="1">
        <f t="array" ref="AP10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4" s="84" cm="1">
        <f t="array" ref="AQ10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4" s="84" cm="1">
        <f t="array" ref="AR10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4" s="84" cm="1">
        <f t="array" ref="AS10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4" s="84" cm="1">
        <f t="array" ref="AT10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4" s="84" cm="1">
        <f t="array" ref="AU10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4" s="84" cm="1">
        <f t="array" ref="AV10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4" s="84" cm="1">
        <f t="array" ref="AW10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4" s="84" cm="1">
        <f t="array" ref="AX10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4" s="84" cm="1">
        <f t="array" ref="AY10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4" s="84" cm="1">
        <f t="array" ref="AZ10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94" s="84" cm="1">
        <f t="array" ref="BA10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4" s="84" cm="1">
        <f t="array" ref="BB10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4" s="84">
        <f>IF(SUM(Table3[[#This Row],[Column2]:[Column18]])&gt;Table3[[#This Row],[Column19]],Table3[[#This Row],[Column19]],SUM(Table3[[#This Row],[Column2]:[Column18]]))</f>
        <v>10000</v>
      </c>
      <c r="BD1094" s="2">
        <f>Table3[[#This Row],[Total Spend]]/SUM(Table3[[#This Row],[Column2]:[Column18]])</f>
        <v>7.2859744990892539E-2</v>
      </c>
    </row>
    <row r="1095" spans="1:56">
      <c r="A1095" s="84" t="s">
        <v>1170</v>
      </c>
      <c r="B1095" s="84" t="s">
        <v>57</v>
      </c>
      <c r="C1095" s="84"/>
      <c r="D1095" s="85">
        <v>45566</v>
      </c>
      <c r="E1095" s="85" t="s">
        <v>92</v>
      </c>
      <c r="F1095" s="84">
        <f>INDEX(Definitions!$G$13:$G$17,MATCH(Table3[[#This Row],[Propensity to buy/ buyer readiness]],Definitions!$A$13:$A$17,0))</f>
        <v>10000</v>
      </c>
      <c r="G1095" s="86">
        <v>3</v>
      </c>
      <c r="H1095" s="86">
        <v>3</v>
      </c>
      <c r="I1095" s="86">
        <v>4</v>
      </c>
      <c r="J1095" s="86">
        <v>3</v>
      </c>
      <c r="K1095" s="86">
        <v>2</v>
      </c>
      <c r="L1095" s="86">
        <f>SUM(Table3[[#This Row],[Strategic priority segment]:[Propensity to buy/ buyer readiness]])</f>
        <v>15</v>
      </c>
      <c r="M1095" s="86" t="s">
        <v>152</v>
      </c>
      <c r="N1095" s="84" t="s">
        <v>264</v>
      </c>
      <c r="O1095" s="84"/>
      <c r="P1095" s="87"/>
      <c r="Q1095" s="87"/>
      <c r="R1095" s="84"/>
      <c r="S1095" s="87"/>
      <c r="T1095" s="87"/>
      <c r="U1095" s="84">
        <v>1</v>
      </c>
      <c r="V1095" s="84">
        <v>0</v>
      </c>
      <c r="W1095" s="84">
        <v>0</v>
      </c>
      <c r="X1095" s="84">
        <v>0</v>
      </c>
      <c r="Y1095" s="84">
        <v>0</v>
      </c>
      <c r="Z1095" s="84">
        <v>0</v>
      </c>
      <c r="AA1095" s="84">
        <v>0</v>
      </c>
      <c r="AB1095" s="84">
        <v>0</v>
      </c>
      <c r="AC1095" s="84">
        <v>0</v>
      </c>
      <c r="AD1095" s="84">
        <v>0</v>
      </c>
      <c r="AE1095" s="84">
        <v>0</v>
      </c>
      <c r="AF1095" s="84">
        <v>0</v>
      </c>
      <c r="AG1095" s="84">
        <v>0</v>
      </c>
      <c r="AH1095" s="84">
        <v>0</v>
      </c>
      <c r="AI1095" s="84">
        <v>0</v>
      </c>
      <c r="AJ1095" s="84">
        <v>0</v>
      </c>
      <c r="AK1095" s="84">
        <v>0</v>
      </c>
      <c r="AL1095" s="84" cm="1">
        <f t="array" ref="AL10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5" s="84" cm="1">
        <f t="array" ref="AM10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5" s="84" cm="1">
        <f t="array" ref="AN10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5" s="84" cm="1">
        <f t="array" ref="AO10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5" s="84" cm="1">
        <f t="array" ref="AP10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5" s="84" cm="1">
        <f t="array" ref="AQ10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5" s="84" cm="1">
        <f t="array" ref="AR10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5" s="84" cm="1">
        <f t="array" ref="AS10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5" s="84" cm="1">
        <f t="array" ref="AT10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5" s="84" cm="1">
        <f t="array" ref="AU10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5" s="84" cm="1">
        <f t="array" ref="AV10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5" s="84" cm="1">
        <f t="array" ref="AW10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5" s="84" cm="1">
        <f t="array" ref="AX10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5" s="84" cm="1">
        <f t="array" ref="AY10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5" s="84" cm="1">
        <f t="array" ref="AZ10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5" s="84" cm="1">
        <f t="array" ref="BA10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5" s="84" cm="1">
        <f t="array" ref="BB10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5" s="84">
        <f>IF(SUM(Table3[[#This Row],[Column2]:[Column18]])&gt;Table3[[#This Row],[Column19]],Table3[[#This Row],[Column19]],SUM(Table3[[#This Row],[Column2]:[Column18]]))</f>
        <v>8100</v>
      </c>
      <c r="BD1095" s="2">
        <f>Table3[[#This Row],[Total Spend]]/SUM(Table3[[#This Row],[Column2]:[Column18]])</f>
        <v>1</v>
      </c>
    </row>
    <row r="1096" spans="1:56">
      <c r="A1096" s="84" t="s">
        <v>1171</v>
      </c>
      <c r="B1096" s="84" t="s">
        <v>57</v>
      </c>
      <c r="C1096" s="84"/>
      <c r="D1096" s="85">
        <v>45566</v>
      </c>
      <c r="E1096" s="85" t="s">
        <v>92</v>
      </c>
      <c r="F1096" s="84">
        <f>INDEX(Definitions!$G$13:$G$17,MATCH(Table3[[#This Row],[Propensity to buy/ buyer readiness]],Definitions!$A$13:$A$17,0))</f>
        <v>10000</v>
      </c>
      <c r="G1096" s="86">
        <v>3</v>
      </c>
      <c r="H1096" s="86">
        <v>3</v>
      </c>
      <c r="I1096" s="86">
        <v>4</v>
      </c>
      <c r="J1096" s="86">
        <v>3</v>
      </c>
      <c r="K1096" s="86">
        <v>2</v>
      </c>
      <c r="L1096" s="86">
        <f>SUM(Table3[[#This Row],[Strategic priority segment]:[Propensity to buy/ buyer readiness]])</f>
        <v>15</v>
      </c>
      <c r="M1096" s="86" t="s">
        <v>191</v>
      </c>
      <c r="N1096" s="84" t="s">
        <v>135</v>
      </c>
      <c r="O1096" s="84" t="s">
        <v>153</v>
      </c>
      <c r="P1096" s="87"/>
      <c r="Q1096" s="87"/>
      <c r="R1096" s="84"/>
      <c r="S1096" s="87"/>
      <c r="T1096" s="87"/>
      <c r="U1096" s="84">
        <v>1</v>
      </c>
      <c r="V1096" s="84">
        <v>0</v>
      </c>
      <c r="W1096" s="84">
        <v>0</v>
      </c>
      <c r="X1096" s="84">
        <v>0</v>
      </c>
      <c r="Y1096" s="84">
        <v>0</v>
      </c>
      <c r="Z1096" s="84">
        <v>0</v>
      </c>
      <c r="AA1096" s="84">
        <v>0</v>
      </c>
      <c r="AB1096" s="84">
        <v>0</v>
      </c>
      <c r="AC1096" s="84">
        <v>0</v>
      </c>
      <c r="AD1096" s="84">
        <v>0</v>
      </c>
      <c r="AE1096" s="84">
        <v>0</v>
      </c>
      <c r="AF1096" s="84">
        <v>0</v>
      </c>
      <c r="AG1096" s="84">
        <v>0</v>
      </c>
      <c r="AH1096" s="84">
        <v>1</v>
      </c>
      <c r="AI1096" s="84">
        <v>1</v>
      </c>
      <c r="AJ1096" s="84">
        <v>1</v>
      </c>
      <c r="AK1096" s="84">
        <v>1</v>
      </c>
      <c r="AL1096" s="84" cm="1">
        <f t="array" ref="AL10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6" s="84" cm="1">
        <f t="array" ref="AM10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6" s="84" cm="1">
        <f t="array" ref="AN10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6" s="84" cm="1">
        <f t="array" ref="AO10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6" s="84" cm="1">
        <f t="array" ref="AP10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6" s="84" cm="1">
        <f t="array" ref="AQ10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6" s="84" cm="1">
        <f t="array" ref="AR10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6" s="84" cm="1">
        <f t="array" ref="AS10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6" s="84" cm="1">
        <f t="array" ref="AT10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6" s="84" cm="1">
        <f t="array" ref="AU10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6" s="84" cm="1">
        <f t="array" ref="AV10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6" s="84" cm="1">
        <f t="array" ref="AW10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6" s="84" cm="1">
        <f t="array" ref="AX10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6" s="84" cm="1">
        <f t="array" ref="AY10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096" s="84" cm="1">
        <f t="array" ref="AZ10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96" s="84" cm="1">
        <f t="array" ref="BA10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096" s="84" cm="1">
        <f t="array" ref="BB10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096" s="84">
        <f>IF(SUM(Table3[[#This Row],[Column2]:[Column18]])&gt;Table3[[#This Row],[Column19]],Table3[[#This Row],[Column19]],SUM(Table3[[#This Row],[Column2]:[Column18]]))</f>
        <v>10000</v>
      </c>
      <c r="BD1096" s="2">
        <f>Table3[[#This Row],[Total Spend]]/SUM(Table3[[#This Row],[Column2]:[Column18]])</f>
        <v>0.18365472910927455</v>
      </c>
    </row>
    <row r="1097" spans="1:56">
      <c r="A1097" s="84" t="s">
        <v>1172</v>
      </c>
      <c r="B1097" s="84"/>
      <c r="C1097" s="84"/>
      <c r="D1097" s="85">
        <v>45566</v>
      </c>
      <c r="E1097" s="85" t="s">
        <v>92</v>
      </c>
      <c r="F1097" s="84">
        <f>INDEX(Definitions!$G$13:$G$17,MATCH(Table3[[#This Row],[Propensity to buy/ buyer readiness]],Definitions!$A$13:$A$17,0))</f>
        <v>10000</v>
      </c>
      <c r="G1097" s="86">
        <v>3</v>
      </c>
      <c r="H1097" s="86">
        <v>3</v>
      </c>
      <c r="I1097" s="86">
        <v>3</v>
      </c>
      <c r="J1097" s="86">
        <v>4</v>
      </c>
      <c r="K1097" s="86">
        <v>2</v>
      </c>
      <c r="L1097" s="86">
        <f>SUM(Table3[[#This Row],[Strategic priority segment]:[Propensity to buy/ buyer readiness]])</f>
        <v>15</v>
      </c>
      <c r="M1097" s="86" t="s">
        <v>59</v>
      </c>
      <c r="N1097" s="84" t="s">
        <v>265</v>
      </c>
      <c r="O1097" s="84"/>
      <c r="P1097" s="87"/>
      <c r="Q1097" s="87"/>
      <c r="R1097" s="84"/>
      <c r="S1097" s="87"/>
      <c r="T1097" s="87"/>
      <c r="U1097" s="84">
        <v>1</v>
      </c>
      <c r="V1097" s="84">
        <v>1</v>
      </c>
      <c r="W1097" s="84">
        <v>1</v>
      </c>
      <c r="X1097" s="84">
        <v>1</v>
      </c>
      <c r="Y1097" s="84">
        <v>0</v>
      </c>
      <c r="Z1097" s="84">
        <v>0</v>
      </c>
      <c r="AA1097" s="84">
        <v>0</v>
      </c>
      <c r="AB1097" s="84">
        <v>0</v>
      </c>
      <c r="AC1097" s="84">
        <v>0</v>
      </c>
      <c r="AD1097" s="84">
        <v>0</v>
      </c>
      <c r="AE1097" s="84">
        <v>0</v>
      </c>
      <c r="AF1097" s="84">
        <v>0</v>
      </c>
      <c r="AG1097" s="84">
        <v>0</v>
      </c>
      <c r="AH1097" s="84">
        <v>0</v>
      </c>
      <c r="AI1097" s="84">
        <v>1</v>
      </c>
      <c r="AJ1097" s="84">
        <v>0</v>
      </c>
      <c r="AK1097" s="84">
        <v>0</v>
      </c>
      <c r="AL1097" s="84" cm="1">
        <f t="array" ref="AL10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7" s="84" cm="1">
        <f t="array" ref="AM10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97" s="84" cm="1">
        <f t="array" ref="AN10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97" s="84" cm="1">
        <f t="array" ref="AO10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97" s="84" cm="1">
        <f t="array" ref="AP10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7" s="84" cm="1">
        <f t="array" ref="AQ10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7" s="84" cm="1">
        <f t="array" ref="AR10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7" s="84" cm="1">
        <f t="array" ref="AS10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7" s="84" cm="1">
        <f t="array" ref="AT10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7" s="84" cm="1">
        <f t="array" ref="AU10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7" s="84" cm="1">
        <f t="array" ref="AV10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7" s="84" cm="1">
        <f t="array" ref="AW10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7" s="84" cm="1">
        <f t="array" ref="AX10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7" s="84" cm="1">
        <f t="array" ref="AY10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7" s="84" cm="1">
        <f t="array" ref="AZ10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97" s="84" cm="1">
        <f t="array" ref="BA10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7" s="84" cm="1">
        <f t="array" ref="BB10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7" s="84">
        <f>IF(SUM(Table3[[#This Row],[Column2]:[Column18]])&gt;Table3[[#This Row],[Column19]],Table3[[#This Row],[Column19]],SUM(Table3[[#This Row],[Column2]:[Column18]]))</f>
        <v>10000</v>
      </c>
      <c r="BD1097" s="2">
        <f>Table3[[#This Row],[Total Spend]]/SUM(Table3[[#This Row],[Column2]:[Column18]])</f>
        <v>7.2859744990892539E-2</v>
      </c>
    </row>
    <row r="1098" spans="1:56">
      <c r="A1098" s="84" t="s">
        <v>1173</v>
      </c>
      <c r="B1098" s="84"/>
      <c r="C1098" s="84" t="s">
        <v>57</v>
      </c>
      <c r="D1098" s="85">
        <v>45809</v>
      </c>
      <c r="E1098" s="85" t="s">
        <v>92</v>
      </c>
      <c r="F1098" s="84">
        <f>INDEX(Definitions!$G$13:$G$17,MATCH(Table3[[#This Row],[Propensity to buy/ buyer readiness]],Definitions!$A$13:$A$17,0))</f>
        <v>10000</v>
      </c>
      <c r="G1098" s="86">
        <v>3</v>
      </c>
      <c r="H1098" s="86">
        <v>3</v>
      </c>
      <c r="I1098" s="86">
        <v>4</v>
      </c>
      <c r="J1098" s="86">
        <v>3</v>
      </c>
      <c r="K1098" s="86">
        <v>2</v>
      </c>
      <c r="L1098" s="86">
        <f>SUM(Table3[[#This Row],[Strategic priority segment]:[Propensity to buy/ buyer readiness]])</f>
        <v>15</v>
      </c>
      <c r="M1098" s="86" t="s">
        <v>59</v>
      </c>
      <c r="N1098" s="84" t="s">
        <v>85</v>
      </c>
      <c r="O1098" s="84"/>
      <c r="P1098" s="84"/>
      <c r="Q1098" s="84"/>
      <c r="R1098" s="84"/>
      <c r="S1098" s="84"/>
      <c r="T1098" s="87"/>
      <c r="U1098" s="84">
        <v>1</v>
      </c>
      <c r="V1098" s="84">
        <v>0</v>
      </c>
      <c r="W1098" s="84">
        <v>0</v>
      </c>
      <c r="X1098" s="84">
        <v>0</v>
      </c>
      <c r="Y1098" s="84">
        <v>1</v>
      </c>
      <c r="Z1098" s="84">
        <v>0</v>
      </c>
      <c r="AA1098" s="84">
        <v>0</v>
      </c>
      <c r="AB1098" s="84">
        <v>0</v>
      </c>
      <c r="AC1098" s="84">
        <v>0</v>
      </c>
      <c r="AD1098" s="84">
        <v>0</v>
      </c>
      <c r="AE1098" s="84">
        <v>0</v>
      </c>
      <c r="AF1098" s="84">
        <v>0</v>
      </c>
      <c r="AG1098" s="84">
        <v>0</v>
      </c>
      <c r="AH1098" s="84">
        <v>0</v>
      </c>
      <c r="AI1098" s="84">
        <v>0</v>
      </c>
      <c r="AJ1098" s="84">
        <v>0</v>
      </c>
      <c r="AK1098" s="84">
        <v>0</v>
      </c>
      <c r="AL1098" s="84" cm="1">
        <f t="array" ref="AL10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8" s="84" cm="1">
        <f t="array" ref="AM10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098" s="84" cm="1">
        <f t="array" ref="AN10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098" s="84" cm="1">
        <f t="array" ref="AO10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098" s="84" cm="1">
        <f t="array" ref="AP10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098" s="84" cm="1">
        <f t="array" ref="AQ10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8" s="84" cm="1">
        <f t="array" ref="AR10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8" s="84" cm="1">
        <f t="array" ref="AS10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8" s="84" cm="1">
        <f t="array" ref="AT10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8" s="84" cm="1">
        <f t="array" ref="AU10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8" s="84" cm="1">
        <f t="array" ref="AV10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8" s="84" cm="1">
        <f t="array" ref="AW10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8" s="84" cm="1">
        <f t="array" ref="AX10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8" s="84" cm="1">
        <f t="array" ref="AY10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8" s="84" cm="1">
        <f t="array" ref="AZ10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098" s="84" cm="1">
        <f t="array" ref="BA10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8" s="84" cm="1">
        <f t="array" ref="BB10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8" s="84">
        <f>IF(SUM(Table3[[#This Row],[Column2]:[Column18]])&gt;Table3[[#This Row],[Column19]],Table3[[#This Row],[Column19]],SUM(Table3[[#This Row],[Column2]:[Column18]]))</f>
        <v>10000</v>
      </c>
      <c r="BD1098" s="2">
        <f>Table3[[#This Row],[Total Spend]]/SUM(Table3[[#This Row],[Column2]:[Column18]])</f>
        <v>0.20964360587002095</v>
      </c>
    </row>
    <row r="1099" spans="1:56">
      <c r="A1099" s="84" t="s">
        <v>1174</v>
      </c>
      <c r="B1099" s="84"/>
      <c r="C1099" s="84"/>
      <c r="D1099" s="85">
        <v>45566</v>
      </c>
      <c r="E1099" s="85" t="s">
        <v>92</v>
      </c>
      <c r="F1099" s="84">
        <f>INDEX(Definitions!$G$13:$G$17,MATCH(Table3[[#This Row],[Propensity to buy/ buyer readiness]],Definitions!$A$13:$A$17,0))</f>
        <v>10000</v>
      </c>
      <c r="G1099" s="86">
        <v>3</v>
      </c>
      <c r="H1099" s="86">
        <v>3</v>
      </c>
      <c r="I1099" s="86">
        <v>3</v>
      </c>
      <c r="J1099" s="86">
        <v>4</v>
      </c>
      <c r="K1099" s="86">
        <v>2</v>
      </c>
      <c r="L1099" s="86">
        <f>SUM(Table3[[#This Row],[Strategic priority segment]:[Propensity to buy/ buyer readiness]])</f>
        <v>15</v>
      </c>
      <c r="M1099" s="86" t="s">
        <v>59</v>
      </c>
      <c r="N1099" s="84" t="s">
        <v>265</v>
      </c>
      <c r="O1099" s="84"/>
      <c r="P1099" s="87"/>
      <c r="Q1099" s="87"/>
      <c r="R1099" s="84"/>
      <c r="S1099" s="87"/>
      <c r="T1099" s="87"/>
      <c r="U1099" s="84">
        <v>1</v>
      </c>
      <c r="V1099" s="84">
        <v>1</v>
      </c>
      <c r="W1099" s="84">
        <v>1</v>
      </c>
      <c r="X1099" s="84">
        <v>1</v>
      </c>
      <c r="Y1099" s="84">
        <v>0</v>
      </c>
      <c r="Z1099" s="84">
        <v>0</v>
      </c>
      <c r="AA1099" s="84">
        <v>0</v>
      </c>
      <c r="AB1099" s="84">
        <v>0</v>
      </c>
      <c r="AC1099" s="84">
        <v>0</v>
      </c>
      <c r="AD1099" s="84">
        <v>0</v>
      </c>
      <c r="AE1099" s="84">
        <v>0</v>
      </c>
      <c r="AF1099" s="84">
        <v>0</v>
      </c>
      <c r="AG1099" s="84">
        <v>0</v>
      </c>
      <c r="AH1099" s="84">
        <v>0</v>
      </c>
      <c r="AI1099" s="84">
        <v>1</v>
      </c>
      <c r="AJ1099" s="84">
        <v>0</v>
      </c>
      <c r="AK1099" s="84">
        <v>0</v>
      </c>
      <c r="AL1099" s="84" cm="1">
        <f t="array" ref="AL10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099" s="84" cm="1">
        <f t="array" ref="AM10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099" s="84" cm="1">
        <f t="array" ref="AN10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099" s="84" cm="1">
        <f t="array" ref="AO10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099" s="84" cm="1">
        <f t="array" ref="AP10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099" s="84" cm="1">
        <f t="array" ref="AQ10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099" s="84" cm="1">
        <f t="array" ref="AR10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099" s="84" cm="1">
        <f t="array" ref="AS10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099" s="84" cm="1">
        <f t="array" ref="AT10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099" s="84" cm="1">
        <f t="array" ref="AU10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099" s="84" cm="1">
        <f t="array" ref="AV10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099" s="84" cm="1">
        <f t="array" ref="AW10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099" s="84" cm="1">
        <f t="array" ref="AX10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099" s="84" cm="1">
        <f t="array" ref="AY10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099" s="84" cm="1">
        <f t="array" ref="AZ10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099" s="84" cm="1">
        <f t="array" ref="BA10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099" s="84" cm="1">
        <f t="array" ref="BB10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099" s="84">
        <f>IF(SUM(Table3[[#This Row],[Column2]:[Column18]])&gt;Table3[[#This Row],[Column19]],Table3[[#This Row],[Column19]],SUM(Table3[[#This Row],[Column2]:[Column18]]))</f>
        <v>10000</v>
      </c>
      <c r="BD1099" s="2">
        <f>Table3[[#This Row],[Total Spend]]/SUM(Table3[[#This Row],[Column2]:[Column18]])</f>
        <v>7.2859744990892539E-2</v>
      </c>
    </row>
    <row r="1100" spans="1:56">
      <c r="A1100" s="84" t="s">
        <v>1175</v>
      </c>
      <c r="B1100" s="84" t="s">
        <v>57</v>
      </c>
      <c r="C1100" s="84" t="s">
        <v>57</v>
      </c>
      <c r="D1100" s="85">
        <v>45566</v>
      </c>
      <c r="E1100" s="85" t="s">
        <v>92</v>
      </c>
      <c r="F1100" s="84">
        <f>INDEX(Definitions!$G$13:$G$17,MATCH(Table3[[#This Row],[Propensity to buy/ buyer readiness]],Definitions!$A$13:$A$17,0))</f>
        <v>10000</v>
      </c>
      <c r="G1100" s="86">
        <v>3</v>
      </c>
      <c r="H1100" s="86">
        <v>3</v>
      </c>
      <c r="I1100" s="86">
        <v>4</v>
      </c>
      <c r="J1100" s="86">
        <v>3</v>
      </c>
      <c r="K1100" s="86">
        <v>2</v>
      </c>
      <c r="L1100" s="86">
        <f>SUM(Table3[[#This Row],[Strategic priority segment]:[Propensity to buy/ buyer readiness]])</f>
        <v>15</v>
      </c>
      <c r="M1100" s="86" t="s">
        <v>191</v>
      </c>
      <c r="N1100" s="84" t="s">
        <v>135</v>
      </c>
      <c r="O1100" s="84" t="s">
        <v>153</v>
      </c>
      <c r="P1100" s="87"/>
      <c r="Q1100" s="87"/>
      <c r="R1100" s="84"/>
      <c r="S1100" s="87"/>
      <c r="T1100" s="87"/>
      <c r="U1100" s="84">
        <v>1</v>
      </c>
      <c r="V1100" s="84">
        <v>0</v>
      </c>
      <c r="W1100" s="84">
        <v>0</v>
      </c>
      <c r="X1100" s="84">
        <v>0</v>
      </c>
      <c r="Y1100" s="84">
        <v>0</v>
      </c>
      <c r="Z1100" s="84">
        <v>0</v>
      </c>
      <c r="AA1100" s="84">
        <v>0</v>
      </c>
      <c r="AB1100" s="84">
        <v>0</v>
      </c>
      <c r="AC1100" s="84">
        <v>0</v>
      </c>
      <c r="AD1100" s="84">
        <v>0</v>
      </c>
      <c r="AE1100" s="84">
        <v>0</v>
      </c>
      <c r="AF1100" s="84">
        <v>0</v>
      </c>
      <c r="AG1100" s="84">
        <v>0</v>
      </c>
      <c r="AH1100" s="84">
        <v>1</v>
      </c>
      <c r="AI1100" s="84">
        <v>1</v>
      </c>
      <c r="AJ1100" s="84">
        <v>1</v>
      </c>
      <c r="AK1100" s="84">
        <v>1</v>
      </c>
      <c r="AL1100" s="84" cm="1">
        <f t="array" ref="AL11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00" s="84" cm="1">
        <f t="array" ref="AM11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0" s="84" cm="1">
        <f t="array" ref="AN11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0" s="84" cm="1">
        <f t="array" ref="AO11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0" s="84" cm="1">
        <f t="array" ref="AP11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0" s="84" cm="1">
        <f t="array" ref="AQ11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00" s="84" cm="1">
        <f t="array" ref="AR11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0" s="84" cm="1">
        <f t="array" ref="AS11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00" s="84" cm="1">
        <f t="array" ref="AT11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0" s="84" cm="1">
        <f t="array" ref="AU11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00" s="84" cm="1">
        <f t="array" ref="AV11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0" s="84" cm="1">
        <f t="array" ref="AW11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00" s="84" cm="1">
        <f t="array" ref="AX11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0" s="84" cm="1">
        <f t="array" ref="AY11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00" s="84" cm="1">
        <f t="array" ref="AZ11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00" s="84" cm="1">
        <f t="array" ref="BA11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00" s="84" cm="1">
        <f t="array" ref="BB11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00" s="84">
        <f>IF(SUM(Table3[[#This Row],[Column2]:[Column18]])&gt;Table3[[#This Row],[Column19]],Table3[[#This Row],[Column19]],SUM(Table3[[#This Row],[Column2]:[Column18]]))</f>
        <v>10000</v>
      </c>
      <c r="BD1100" s="2">
        <f>Table3[[#This Row],[Total Spend]]/SUM(Table3[[#This Row],[Column2]:[Column18]])</f>
        <v>0.18365472910927455</v>
      </c>
    </row>
    <row r="1101" spans="1:56">
      <c r="A1101" s="84" t="s">
        <v>1176</v>
      </c>
      <c r="B1101" s="84"/>
      <c r="C1101" s="84"/>
      <c r="D1101" s="85">
        <v>45566</v>
      </c>
      <c r="E1101" s="85" t="s">
        <v>58</v>
      </c>
      <c r="F1101" s="84">
        <f>INDEX(Definitions!$G$13:$G$17,MATCH(Table3[[#This Row],[Propensity to buy/ buyer readiness]],Definitions!$A$13:$A$17,0))</f>
        <v>150000</v>
      </c>
      <c r="G1101" s="86">
        <v>3</v>
      </c>
      <c r="H1101" s="86">
        <v>3</v>
      </c>
      <c r="I1101" s="86">
        <v>2</v>
      </c>
      <c r="J1101" s="86">
        <v>3</v>
      </c>
      <c r="K1101" s="86">
        <v>4</v>
      </c>
      <c r="L1101" s="86">
        <f>SUM(Table3[[#This Row],[Strategic priority segment]:[Propensity to buy/ buyer readiness]])</f>
        <v>15</v>
      </c>
      <c r="M1101" s="86" t="s">
        <v>152</v>
      </c>
      <c r="N1101" s="84" t="s">
        <v>122</v>
      </c>
      <c r="O1101" s="84"/>
      <c r="P1101" s="84"/>
      <c r="Q1101" s="84"/>
      <c r="R1101" s="84"/>
      <c r="S1101" s="87"/>
      <c r="T1101" s="87"/>
      <c r="U1101" s="84">
        <v>1</v>
      </c>
      <c r="V1101" s="84">
        <v>0</v>
      </c>
      <c r="W1101" s="84">
        <v>0</v>
      </c>
      <c r="X1101" s="84">
        <v>0</v>
      </c>
      <c r="Y1101" s="84">
        <v>0</v>
      </c>
      <c r="Z1101" s="84">
        <v>1</v>
      </c>
      <c r="AA1101" s="84">
        <v>0</v>
      </c>
      <c r="AB1101" s="84">
        <v>1</v>
      </c>
      <c r="AC1101" s="84">
        <v>0</v>
      </c>
      <c r="AD1101" s="84">
        <v>1</v>
      </c>
      <c r="AE1101" s="84">
        <v>0</v>
      </c>
      <c r="AF1101" s="84">
        <v>1</v>
      </c>
      <c r="AG1101" s="84">
        <v>0</v>
      </c>
      <c r="AH1101" s="84">
        <v>0</v>
      </c>
      <c r="AI1101" s="84">
        <v>0</v>
      </c>
      <c r="AJ1101" s="84">
        <v>0</v>
      </c>
      <c r="AK1101" s="84">
        <v>0</v>
      </c>
      <c r="AL1101" s="84" cm="1">
        <f t="array" ref="AL11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01" s="84" cm="1">
        <f t="array" ref="AM11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1" s="84" cm="1">
        <f t="array" ref="AN11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1" s="84" cm="1">
        <f t="array" ref="AO11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1" s="84" cm="1">
        <f t="array" ref="AP11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1" s="84" cm="1">
        <f t="array" ref="AQ11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01" s="84" cm="1">
        <f t="array" ref="AR11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1" s="84" cm="1">
        <f t="array" ref="AS11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01" s="84" cm="1">
        <f t="array" ref="AT11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1" s="84" cm="1">
        <f t="array" ref="AU11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01" s="84" cm="1">
        <f t="array" ref="AV11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1" s="84" cm="1">
        <f t="array" ref="AW11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01" s="84" cm="1">
        <f t="array" ref="AX11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1" s="84" cm="1">
        <f t="array" ref="AY11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1" s="84" cm="1">
        <f t="array" ref="AZ11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1" s="84" cm="1">
        <f t="array" ref="BA11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1" s="84" cm="1">
        <f t="array" ref="BB11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1" s="84">
        <f>IF(SUM(Table3[[#This Row],[Column2]:[Column18]])&gt;Table3[[#This Row],[Column19]],Table3[[#This Row],[Column19]],SUM(Table3[[#This Row],[Column2]:[Column18]]))</f>
        <v>150000</v>
      </c>
      <c r="BD1101" s="2">
        <f>Table3[[#This Row],[Total Spend]]/SUM(Table3[[#This Row],[Column2]:[Column18]])</f>
        <v>0.89605734767025091</v>
      </c>
    </row>
    <row r="1102" spans="1:56">
      <c r="A1102" s="84" t="s">
        <v>1177</v>
      </c>
      <c r="B1102" s="84"/>
      <c r="C1102" s="84"/>
      <c r="D1102" s="85">
        <v>45566</v>
      </c>
      <c r="E1102" s="85" t="s">
        <v>58</v>
      </c>
      <c r="F1102" s="84">
        <f>INDEX(Definitions!$G$13:$G$17,MATCH(Table3[[#This Row],[Propensity to buy/ buyer readiness]],Definitions!$A$13:$A$17,0))</f>
        <v>150000</v>
      </c>
      <c r="G1102" s="86">
        <v>3</v>
      </c>
      <c r="H1102" s="86">
        <v>3</v>
      </c>
      <c r="I1102" s="86">
        <v>2</v>
      </c>
      <c r="J1102" s="86">
        <v>3</v>
      </c>
      <c r="K1102" s="86">
        <v>4</v>
      </c>
      <c r="L1102" s="86">
        <f>SUM(Table3[[#This Row],[Strategic priority segment]:[Propensity to buy/ buyer readiness]])</f>
        <v>15</v>
      </c>
      <c r="M1102" s="86" t="s">
        <v>152</v>
      </c>
      <c r="N1102" s="84" t="s">
        <v>122</v>
      </c>
      <c r="O1102" s="84"/>
      <c r="P1102" s="87"/>
      <c r="Q1102" s="87"/>
      <c r="R1102" s="84"/>
      <c r="S1102" s="87"/>
      <c r="T1102" s="87"/>
      <c r="U1102" s="84">
        <v>1</v>
      </c>
      <c r="V1102" s="84">
        <v>0</v>
      </c>
      <c r="W1102" s="84">
        <v>0</v>
      </c>
      <c r="X1102" s="84">
        <v>0</v>
      </c>
      <c r="Y1102" s="84">
        <v>0</v>
      </c>
      <c r="Z1102" s="84">
        <v>1</v>
      </c>
      <c r="AA1102" s="84">
        <v>0</v>
      </c>
      <c r="AB1102" s="84">
        <v>1</v>
      </c>
      <c r="AC1102" s="84">
        <v>0</v>
      </c>
      <c r="AD1102" s="84">
        <v>1</v>
      </c>
      <c r="AE1102" s="84">
        <v>0</v>
      </c>
      <c r="AF1102" s="84">
        <v>1</v>
      </c>
      <c r="AG1102" s="84">
        <v>0</v>
      </c>
      <c r="AH1102" s="84">
        <v>0</v>
      </c>
      <c r="AI1102" s="84">
        <v>0</v>
      </c>
      <c r="AJ1102" s="84">
        <v>0</v>
      </c>
      <c r="AK1102" s="84">
        <v>0</v>
      </c>
      <c r="AL1102" s="84" cm="1">
        <f t="array" ref="AL11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02" s="84" cm="1">
        <f t="array" ref="AM11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2" s="84" cm="1">
        <f t="array" ref="AN11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2" s="84" cm="1">
        <f t="array" ref="AO11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2" s="84" cm="1">
        <f t="array" ref="AP11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2" s="84" cm="1">
        <f t="array" ref="AQ11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02" s="84" cm="1">
        <f t="array" ref="AR11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2" s="84" cm="1">
        <f t="array" ref="AS11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02" s="84" cm="1">
        <f t="array" ref="AT11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2" s="84" cm="1">
        <f t="array" ref="AU11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02" s="84" cm="1">
        <f t="array" ref="AV11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2" s="84" cm="1">
        <f t="array" ref="AW11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02" s="84" cm="1">
        <f t="array" ref="AX11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2" s="84" cm="1">
        <f t="array" ref="AY11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2" s="84" cm="1">
        <f t="array" ref="AZ11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2" s="84" cm="1">
        <f t="array" ref="BA11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2" s="84" cm="1">
        <f t="array" ref="BB11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2" s="84">
        <f>IF(SUM(Table3[[#This Row],[Column2]:[Column18]])&gt;Table3[[#This Row],[Column19]],Table3[[#This Row],[Column19]],SUM(Table3[[#This Row],[Column2]:[Column18]]))</f>
        <v>150000</v>
      </c>
      <c r="BD1102" s="2">
        <f>Table3[[#This Row],[Total Spend]]/SUM(Table3[[#This Row],[Column2]:[Column18]])</f>
        <v>0.89605734767025091</v>
      </c>
    </row>
    <row r="1103" spans="1:56">
      <c r="A1103" s="84" t="s">
        <v>1178</v>
      </c>
      <c r="B1103" s="84" t="s">
        <v>57</v>
      </c>
      <c r="C1103" s="84"/>
      <c r="D1103" s="85">
        <v>45566</v>
      </c>
      <c r="E1103" s="85" t="s">
        <v>92</v>
      </c>
      <c r="F1103" s="84">
        <f>INDEX(Definitions!$G$13:$G$17,MATCH(Table3[[#This Row],[Propensity to buy/ buyer readiness]],Definitions!$A$13:$A$17,0))</f>
        <v>10000</v>
      </c>
      <c r="G1103" s="86">
        <v>3</v>
      </c>
      <c r="H1103" s="86">
        <v>3</v>
      </c>
      <c r="I1103" s="86">
        <v>4</v>
      </c>
      <c r="J1103" s="86">
        <v>3</v>
      </c>
      <c r="K1103" s="86">
        <v>2</v>
      </c>
      <c r="L1103" s="86">
        <f>SUM(Table3[[#This Row],[Strategic priority segment]:[Propensity to buy/ buyer readiness]])</f>
        <v>15</v>
      </c>
      <c r="M1103" s="86" t="s">
        <v>152</v>
      </c>
      <c r="N1103" s="84" t="s">
        <v>264</v>
      </c>
      <c r="O1103" s="84"/>
      <c r="P1103" s="87"/>
      <c r="Q1103" s="87"/>
      <c r="R1103" s="84"/>
      <c r="S1103" s="87"/>
      <c r="T1103" s="87"/>
      <c r="U1103" s="84">
        <v>1</v>
      </c>
      <c r="V1103" s="84">
        <v>0</v>
      </c>
      <c r="W1103" s="84">
        <v>0</v>
      </c>
      <c r="X1103" s="84">
        <v>0</v>
      </c>
      <c r="Y1103" s="84">
        <v>0</v>
      </c>
      <c r="Z1103" s="84">
        <v>0</v>
      </c>
      <c r="AA1103" s="84">
        <v>0</v>
      </c>
      <c r="AB1103" s="84">
        <v>0</v>
      </c>
      <c r="AC1103" s="84">
        <v>0</v>
      </c>
      <c r="AD1103" s="84">
        <v>0</v>
      </c>
      <c r="AE1103" s="84">
        <v>0</v>
      </c>
      <c r="AF1103" s="84">
        <v>0</v>
      </c>
      <c r="AG1103" s="84">
        <v>0</v>
      </c>
      <c r="AH1103" s="84">
        <v>0</v>
      </c>
      <c r="AI1103" s="84">
        <v>0</v>
      </c>
      <c r="AJ1103" s="84">
        <v>0</v>
      </c>
      <c r="AK1103" s="84">
        <v>0</v>
      </c>
      <c r="AL1103" s="84" cm="1">
        <f t="array" ref="AL11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03" s="84" cm="1">
        <f t="array" ref="AM11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3" s="84" cm="1">
        <f t="array" ref="AN11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3" s="84" cm="1">
        <f t="array" ref="AO11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3" s="84" cm="1">
        <f t="array" ref="AP11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3" s="84" cm="1">
        <f t="array" ref="AQ11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03" s="84" cm="1">
        <f t="array" ref="AR11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3" s="84" cm="1">
        <f t="array" ref="AS11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03" s="84" cm="1">
        <f t="array" ref="AT11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3" s="84" cm="1">
        <f t="array" ref="AU11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03" s="84" cm="1">
        <f t="array" ref="AV11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3" s="84" cm="1">
        <f t="array" ref="AW11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03" s="84" cm="1">
        <f t="array" ref="AX11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3" s="84" cm="1">
        <f t="array" ref="AY11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3" s="84" cm="1">
        <f t="array" ref="AZ11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3" s="84" cm="1">
        <f t="array" ref="BA11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3" s="84" cm="1">
        <f t="array" ref="BB11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3" s="84">
        <f>IF(SUM(Table3[[#This Row],[Column2]:[Column18]])&gt;Table3[[#This Row],[Column19]],Table3[[#This Row],[Column19]],SUM(Table3[[#This Row],[Column2]:[Column18]]))</f>
        <v>8100</v>
      </c>
      <c r="BD1103" s="2">
        <f>Table3[[#This Row],[Total Spend]]/SUM(Table3[[#This Row],[Column2]:[Column18]])</f>
        <v>1</v>
      </c>
    </row>
    <row r="1104" spans="1:56">
      <c r="A1104" s="84" t="s">
        <v>1179</v>
      </c>
      <c r="B1104" s="84" t="s">
        <v>57</v>
      </c>
      <c r="C1104" s="84" t="s">
        <v>57</v>
      </c>
      <c r="D1104" s="85">
        <v>45566</v>
      </c>
      <c r="E1104" s="85" t="s">
        <v>92</v>
      </c>
      <c r="F1104" s="84">
        <f>INDEX(Definitions!$G$13:$G$17,MATCH(Table3[[#This Row],[Propensity to buy/ buyer readiness]],Definitions!$A$13:$A$17,0))</f>
        <v>10000</v>
      </c>
      <c r="G1104" s="86">
        <v>3</v>
      </c>
      <c r="H1104" s="86">
        <v>3</v>
      </c>
      <c r="I1104" s="86">
        <v>4</v>
      </c>
      <c r="J1104" s="86">
        <v>3</v>
      </c>
      <c r="K1104" s="86">
        <v>2</v>
      </c>
      <c r="L1104" s="86">
        <f>SUM(Table3[[#This Row],[Strategic priority segment]:[Propensity to buy/ buyer readiness]])</f>
        <v>15</v>
      </c>
      <c r="M1104" s="86" t="s">
        <v>152</v>
      </c>
      <c r="N1104" s="84" t="s">
        <v>264</v>
      </c>
      <c r="O1104" s="84" t="s">
        <v>265</v>
      </c>
      <c r="P1104" s="87"/>
      <c r="Q1104" s="87"/>
      <c r="R1104" s="84"/>
      <c r="S1104" s="87"/>
      <c r="T1104" s="87"/>
      <c r="U1104" s="84">
        <v>1</v>
      </c>
      <c r="V1104" s="84">
        <v>1</v>
      </c>
      <c r="W1104" s="84">
        <v>1</v>
      </c>
      <c r="X1104" s="84">
        <v>1</v>
      </c>
      <c r="Y1104" s="84">
        <v>0</v>
      </c>
      <c r="Z1104" s="84">
        <v>0</v>
      </c>
      <c r="AA1104" s="84">
        <v>0</v>
      </c>
      <c r="AB1104" s="84">
        <v>0</v>
      </c>
      <c r="AC1104" s="84">
        <v>0</v>
      </c>
      <c r="AD1104" s="84">
        <v>0</v>
      </c>
      <c r="AE1104" s="84">
        <v>0</v>
      </c>
      <c r="AF1104" s="84">
        <v>0</v>
      </c>
      <c r="AG1104" s="84">
        <v>0</v>
      </c>
      <c r="AH1104" s="84">
        <v>0</v>
      </c>
      <c r="AI1104" s="84">
        <v>1</v>
      </c>
      <c r="AJ1104" s="84">
        <v>0</v>
      </c>
      <c r="AK1104" s="84">
        <v>0</v>
      </c>
      <c r="AL1104" s="84" cm="1">
        <f t="array" ref="AL11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04" s="84" cm="1">
        <f t="array" ref="AM11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04" s="84" cm="1">
        <f t="array" ref="AN11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04" s="84" cm="1">
        <f t="array" ref="AO11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04" s="84" cm="1">
        <f t="array" ref="AP11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4" s="84" cm="1">
        <f t="array" ref="AQ11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04" s="84" cm="1">
        <f t="array" ref="AR11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4" s="84" cm="1">
        <f t="array" ref="AS11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04" s="84" cm="1">
        <f t="array" ref="AT11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4" s="84" cm="1">
        <f t="array" ref="AU11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04" s="84" cm="1">
        <f t="array" ref="AV11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4" s="84" cm="1">
        <f t="array" ref="AW11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04" s="84" cm="1">
        <f t="array" ref="AX11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4" s="84" cm="1">
        <f t="array" ref="AY11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4" s="84" cm="1">
        <f t="array" ref="AZ11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04" s="84" cm="1">
        <f t="array" ref="BA11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4" s="84" cm="1">
        <f t="array" ref="BB11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4" s="84">
        <f>IF(SUM(Table3[[#This Row],[Column2]:[Column18]])&gt;Table3[[#This Row],[Column19]],Table3[[#This Row],[Column19]],SUM(Table3[[#This Row],[Column2]:[Column18]]))</f>
        <v>10000</v>
      </c>
      <c r="BD1104" s="2">
        <f>Table3[[#This Row],[Total Spend]]/SUM(Table3[[#This Row],[Column2]:[Column18]])</f>
        <v>7.2859744990892539E-2</v>
      </c>
    </row>
    <row r="1105" spans="1:56">
      <c r="A1105" s="84" t="s">
        <v>1180</v>
      </c>
      <c r="B1105" s="84"/>
      <c r="C1105" s="84"/>
      <c r="D1105" s="85">
        <v>45566</v>
      </c>
      <c r="E1105" s="85" t="s">
        <v>58</v>
      </c>
      <c r="F1105" s="84">
        <f>INDEX(Definitions!$G$13:$G$17,MATCH(Table3[[#This Row],[Propensity to buy/ buyer readiness]],Definitions!$A$13:$A$17,0))</f>
        <v>150000</v>
      </c>
      <c r="G1105" s="86">
        <v>3</v>
      </c>
      <c r="H1105" s="86">
        <v>3</v>
      </c>
      <c r="I1105" s="86">
        <v>2</v>
      </c>
      <c r="J1105" s="86">
        <v>3</v>
      </c>
      <c r="K1105" s="86">
        <v>4</v>
      </c>
      <c r="L1105" s="86">
        <f>SUM(Table3[[#This Row],[Strategic priority segment]:[Propensity to buy/ buyer readiness]])</f>
        <v>15</v>
      </c>
      <c r="M1105" s="86" t="s">
        <v>152</v>
      </c>
      <c r="N1105" s="84" t="s">
        <v>122</v>
      </c>
      <c r="O1105" s="87"/>
      <c r="P1105" s="87"/>
      <c r="Q1105" s="87"/>
      <c r="R1105" s="87"/>
      <c r="S1105" s="87"/>
      <c r="T1105" s="87"/>
      <c r="U1105" s="84">
        <v>1</v>
      </c>
      <c r="V1105" s="84">
        <v>0</v>
      </c>
      <c r="W1105" s="84">
        <v>0</v>
      </c>
      <c r="X1105" s="84">
        <v>0</v>
      </c>
      <c r="Y1105" s="84">
        <v>0</v>
      </c>
      <c r="Z1105" s="84">
        <v>1</v>
      </c>
      <c r="AA1105" s="84">
        <v>0</v>
      </c>
      <c r="AB1105" s="84">
        <v>1</v>
      </c>
      <c r="AC1105" s="84">
        <v>0</v>
      </c>
      <c r="AD1105" s="84">
        <v>1</v>
      </c>
      <c r="AE1105" s="84">
        <v>0</v>
      </c>
      <c r="AF1105" s="84">
        <v>1</v>
      </c>
      <c r="AG1105" s="84">
        <v>0</v>
      </c>
      <c r="AH1105" s="84">
        <v>0</v>
      </c>
      <c r="AI1105" s="84">
        <v>0</v>
      </c>
      <c r="AJ1105" s="84">
        <v>0</v>
      </c>
      <c r="AK1105" s="84">
        <v>0</v>
      </c>
      <c r="AL1105" s="84" cm="1">
        <f t="array" ref="AL11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05" s="84" cm="1">
        <f t="array" ref="AM11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5" s="84" cm="1">
        <f t="array" ref="AN11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5" s="84" cm="1">
        <f t="array" ref="AO11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5" s="84" cm="1">
        <f t="array" ref="AP11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5" s="84" cm="1">
        <f t="array" ref="AQ11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05" s="84" cm="1">
        <f t="array" ref="AR11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5" s="84" cm="1">
        <f t="array" ref="AS11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05" s="84" cm="1">
        <f t="array" ref="AT11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5" s="84" cm="1">
        <f t="array" ref="AU11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05" s="84" cm="1">
        <f t="array" ref="AV11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5" s="84" cm="1">
        <f t="array" ref="AW11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05" s="84" cm="1">
        <f t="array" ref="AX11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5" s="84" cm="1">
        <f t="array" ref="AY11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5" s="84" cm="1">
        <f t="array" ref="AZ11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5" s="84" cm="1">
        <f t="array" ref="BA11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5" s="84" cm="1">
        <f t="array" ref="BB11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5" s="84">
        <f>IF(SUM(Table3[[#This Row],[Column2]:[Column18]])&gt;Table3[[#This Row],[Column19]],Table3[[#This Row],[Column19]],SUM(Table3[[#This Row],[Column2]:[Column18]]))</f>
        <v>150000</v>
      </c>
      <c r="BD1105" s="2">
        <f>Table3[[#This Row],[Total Spend]]/SUM(Table3[[#This Row],[Column2]:[Column18]])</f>
        <v>0.89605734767025091</v>
      </c>
    </row>
    <row r="1106" spans="1:56">
      <c r="A1106" s="84" t="s">
        <v>1181</v>
      </c>
      <c r="B1106" s="84"/>
      <c r="C1106" s="84"/>
      <c r="D1106" s="85">
        <v>45566</v>
      </c>
      <c r="E1106" s="85" t="s">
        <v>58</v>
      </c>
      <c r="F1106" s="84">
        <f>INDEX(Definitions!$G$13:$G$17,MATCH(Table3[[#This Row],[Propensity to buy/ buyer readiness]],Definitions!$A$13:$A$17,0))</f>
        <v>150000</v>
      </c>
      <c r="G1106" s="86">
        <v>3</v>
      </c>
      <c r="H1106" s="86">
        <v>3</v>
      </c>
      <c r="I1106" s="86">
        <v>2</v>
      </c>
      <c r="J1106" s="86">
        <v>3</v>
      </c>
      <c r="K1106" s="86">
        <v>4</v>
      </c>
      <c r="L1106" s="86">
        <f>SUM(Table3[[#This Row],[Strategic priority segment]:[Propensity to buy/ buyer readiness]])</f>
        <v>15</v>
      </c>
      <c r="M1106" s="86" t="s">
        <v>152</v>
      </c>
      <c r="N1106" s="84" t="s">
        <v>122</v>
      </c>
      <c r="O1106" s="84"/>
      <c r="P1106" s="87"/>
      <c r="Q1106" s="87"/>
      <c r="R1106" s="84"/>
      <c r="S1106" s="87"/>
      <c r="T1106" s="87"/>
      <c r="U1106" s="84">
        <v>1</v>
      </c>
      <c r="V1106" s="84">
        <v>0</v>
      </c>
      <c r="W1106" s="84">
        <v>0</v>
      </c>
      <c r="X1106" s="84">
        <v>0</v>
      </c>
      <c r="Y1106" s="84">
        <v>0</v>
      </c>
      <c r="Z1106" s="84">
        <v>1</v>
      </c>
      <c r="AA1106" s="84">
        <v>0</v>
      </c>
      <c r="AB1106" s="84">
        <v>1</v>
      </c>
      <c r="AC1106" s="84">
        <v>0</v>
      </c>
      <c r="AD1106" s="84">
        <v>1</v>
      </c>
      <c r="AE1106" s="84">
        <v>0</v>
      </c>
      <c r="AF1106" s="84">
        <v>1</v>
      </c>
      <c r="AG1106" s="84">
        <v>0</v>
      </c>
      <c r="AH1106" s="84">
        <v>0</v>
      </c>
      <c r="AI1106" s="84">
        <v>0</v>
      </c>
      <c r="AJ1106" s="84">
        <v>0</v>
      </c>
      <c r="AK1106" s="84">
        <v>0</v>
      </c>
      <c r="AL1106" s="84" cm="1">
        <f t="array" ref="AL11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06" s="84" cm="1">
        <f t="array" ref="AM11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6" s="84" cm="1">
        <f t="array" ref="AN11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6" s="84" cm="1">
        <f t="array" ref="AO11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6" s="84" cm="1">
        <f t="array" ref="AP11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6" s="84" cm="1">
        <f t="array" ref="AQ11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06" s="84" cm="1">
        <f t="array" ref="AR11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6" s="84" cm="1">
        <f t="array" ref="AS11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06" s="84" cm="1">
        <f t="array" ref="AT11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6" s="84" cm="1">
        <f t="array" ref="AU11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06" s="84" cm="1">
        <f t="array" ref="AV11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6" s="84" cm="1">
        <f t="array" ref="AW11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06" s="84" cm="1">
        <f t="array" ref="AX11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6" s="84" cm="1">
        <f t="array" ref="AY11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6" s="84" cm="1">
        <f t="array" ref="AZ11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6" s="84" cm="1">
        <f t="array" ref="BA11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6" s="84" cm="1">
        <f t="array" ref="BB11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6" s="84">
        <f>IF(SUM(Table3[[#This Row],[Column2]:[Column18]])&gt;Table3[[#This Row],[Column19]],Table3[[#This Row],[Column19]],SUM(Table3[[#This Row],[Column2]:[Column18]]))</f>
        <v>150000</v>
      </c>
      <c r="BD1106" s="2">
        <f>Table3[[#This Row],[Total Spend]]/SUM(Table3[[#This Row],[Column2]:[Column18]])</f>
        <v>0.89605734767025091</v>
      </c>
    </row>
    <row r="1107" spans="1:56">
      <c r="A1107" s="84" t="s">
        <v>1182</v>
      </c>
      <c r="B1107" s="84" t="s">
        <v>57</v>
      </c>
      <c r="C1107" s="84"/>
      <c r="D1107" s="85">
        <v>45566</v>
      </c>
      <c r="E1107" s="85" t="s">
        <v>92</v>
      </c>
      <c r="F1107" s="84">
        <f>INDEX(Definitions!$G$13:$G$17,MATCH(Table3[[#This Row],[Propensity to buy/ buyer readiness]],Definitions!$A$13:$A$17,0))</f>
        <v>10000</v>
      </c>
      <c r="G1107" s="86">
        <v>3</v>
      </c>
      <c r="H1107" s="86">
        <v>3</v>
      </c>
      <c r="I1107" s="86">
        <v>4</v>
      </c>
      <c r="J1107" s="86">
        <v>3</v>
      </c>
      <c r="K1107" s="86">
        <v>2</v>
      </c>
      <c r="L1107" s="86">
        <f>SUM(Table3[[#This Row],[Strategic priority segment]:[Propensity to buy/ buyer readiness]])</f>
        <v>15</v>
      </c>
      <c r="M1107" s="86" t="s">
        <v>59</v>
      </c>
      <c r="N1107" s="84" t="s">
        <v>1133</v>
      </c>
      <c r="O1107" s="84"/>
      <c r="P1107" s="87"/>
      <c r="Q1107" s="87"/>
      <c r="R1107" s="84"/>
      <c r="S1107" s="87"/>
      <c r="T1107" s="87"/>
      <c r="U1107" s="84">
        <v>1</v>
      </c>
      <c r="V1107" s="84">
        <v>0</v>
      </c>
      <c r="W1107" s="84">
        <v>0</v>
      </c>
      <c r="X1107" s="84">
        <v>0</v>
      </c>
      <c r="Y1107" s="84">
        <v>0</v>
      </c>
      <c r="Z1107" s="84">
        <v>0</v>
      </c>
      <c r="AA1107" s="84">
        <v>0</v>
      </c>
      <c r="AB1107" s="84">
        <v>0</v>
      </c>
      <c r="AC1107" s="84">
        <v>0</v>
      </c>
      <c r="AD1107" s="84">
        <v>0</v>
      </c>
      <c r="AE1107" s="84">
        <v>0</v>
      </c>
      <c r="AF1107" s="84">
        <v>0</v>
      </c>
      <c r="AG1107" s="84">
        <v>0</v>
      </c>
      <c r="AH1107" s="84">
        <v>0</v>
      </c>
      <c r="AI1107" s="84">
        <v>0</v>
      </c>
      <c r="AJ1107" s="84">
        <v>0</v>
      </c>
      <c r="AK1107" s="84">
        <v>0</v>
      </c>
      <c r="AL1107" s="84" cm="1">
        <f t="array" ref="AL11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07" s="84" cm="1">
        <f t="array" ref="AM11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7" s="84" cm="1">
        <f t="array" ref="AN11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7" s="84" cm="1">
        <f t="array" ref="AO11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7" s="84" cm="1">
        <f t="array" ref="AP11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7" s="84" cm="1">
        <f t="array" ref="AQ11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07" s="84" cm="1">
        <f t="array" ref="AR11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7" s="84" cm="1">
        <f t="array" ref="AS11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07" s="84" cm="1">
        <f t="array" ref="AT11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7" s="84" cm="1">
        <f t="array" ref="AU11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07" s="84" cm="1">
        <f t="array" ref="AV11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7" s="84" cm="1">
        <f t="array" ref="AW11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07" s="84" cm="1">
        <f t="array" ref="AX11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7" s="84" cm="1">
        <f t="array" ref="AY11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7" s="84" cm="1">
        <f t="array" ref="AZ11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7" s="84" cm="1">
        <f t="array" ref="BA11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7" s="84" cm="1">
        <f t="array" ref="BB11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7" s="84">
        <f>IF(SUM(Table3[[#This Row],[Column2]:[Column18]])&gt;Table3[[#This Row],[Column19]],Table3[[#This Row],[Column19]],SUM(Table3[[#This Row],[Column2]:[Column18]]))</f>
        <v>8100</v>
      </c>
      <c r="BD1107" s="2">
        <f>Table3[[#This Row],[Total Spend]]/SUM(Table3[[#This Row],[Column2]:[Column18]])</f>
        <v>1</v>
      </c>
    </row>
    <row r="1108" spans="1:56">
      <c r="A1108" s="88" t="s">
        <v>1183</v>
      </c>
      <c r="B1108" s="88"/>
      <c r="C1108" s="88"/>
      <c r="D1108" s="85">
        <v>45566</v>
      </c>
      <c r="E1108" s="85" t="s">
        <v>58</v>
      </c>
      <c r="F1108" s="84">
        <f>INDEX(Definitions!$G$13:$G$17,MATCH(Table3[[#This Row],[Propensity to buy/ buyer readiness]],Definitions!$A$13:$A$17,0))</f>
        <v>50000</v>
      </c>
      <c r="G1108" s="86">
        <v>3</v>
      </c>
      <c r="H1108" s="86">
        <v>3</v>
      </c>
      <c r="I1108" s="86">
        <v>3</v>
      </c>
      <c r="J1108" s="86">
        <v>3</v>
      </c>
      <c r="K1108" s="86">
        <v>3</v>
      </c>
      <c r="L1108" s="86">
        <f>SUM(Table3[[#This Row],[Strategic priority segment]:[Propensity to buy/ buyer readiness]])</f>
        <v>15</v>
      </c>
      <c r="M1108" s="86" t="s">
        <v>152</v>
      </c>
      <c r="N1108" s="84" t="s">
        <v>130</v>
      </c>
      <c r="O1108" s="84" t="s">
        <v>122</v>
      </c>
      <c r="P1108" s="87"/>
      <c r="Q1108" s="87"/>
      <c r="R1108" s="84"/>
      <c r="S1108" s="87"/>
      <c r="T1108" s="87"/>
      <c r="U1108" s="84">
        <v>1</v>
      </c>
      <c r="V1108" s="84">
        <v>0</v>
      </c>
      <c r="W1108" s="84">
        <v>0</v>
      </c>
      <c r="X1108" s="84">
        <v>0</v>
      </c>
      <c r="Y1108" s="84">
        <v>0</v>
      </c>
      <c r="Z1108" s="84">
        <v>1</v>
      </c>
      <c r="AA1108" s="84">
        <v>0</v>
      </c>
      <c r="AB1108" s="84">
        <v>1</v>
      </c>
      <c r="AC1108" s="84">
        <v>0</v>
      </c>
      <c r="AD1108" s="84">
        <v>1</v>
      </c>
      <c r="AE1108" s="84">
        <v>0</v>
      </c>
      <c r="AF1108" s="84">
        <v>1</v>
      </c>
      <c r="AG1108" s="84">
        <v>0</v>
      </c>
      <c r="AH1108" s="84">
        <v>0</v>
      </c>
      <c r="AI1108" s="84">
        <v>0</v>
      </c>
      <c r="AJ1108" s="84">
        <v>0</v>
      </c>
      <c r="AK1108" s="84">
        <v>0</v>
      </c>
      <c r="AL1108" s="84" cm="1">
        <f t="array" ref="AL11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08" s="84" cm="1">
        <f t="array" ref="AM11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08" s="84" cm="1">
        <f t="array" ref="AN11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08" s="84" cm="1">
        <f t="array" ref="AO11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08" s="84" cm="1">
        <f t="array" ref="AP11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8" s="84" cm="1">
        <f t="array" ref="AQ11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08" s="84" cm="1">
        <f t="array" ref="AR11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8" s="84" cm="1">
        <f t="array" ref="AS11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08" s="84" cm="1">
        <f t="array" ref="AT11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8" s="84" cm="1">
        <f t="array" ref="AU11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08" s="84" cm="1">
        <f t="array" ref="AV11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8" s="84" cm="1">
        <f t="array" ref="AW11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08" s="84" cm="1">
        <f t="array" ref="AX11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8" s="84" cm="1">
        <f t="array" ref="AY11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8" s="84" cm="1">
        <f t="array" ref="AZ11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08" s="84" cm="1">
        <f t="array" ref="BA11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8" s="84" cm="1">
        <f t="array" ref="BB11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8" s="84">
        <f>IF(SUM(Table3[[#This Row],[Column2]:[Column18]])&gt;Table3[[#This Row],[Column19]],Table3[[#This Row],[Column19]],SUM(Table3[[#This Row],[Column2]:[Column18]]))</f>
        <v>50000</v>
      </c>
      <c r="BD1108" s="2">
        <f>Table3[[#This Row],[Total Spend]]/SUM(Table3[[#This Row],[Column2]:[Column18]])</f>
        <v>0.29868578255675032</v>
      </c>
    </row>
    <row r="1109" spans="1:56">
      <c r="A1109" s="84" t="s">
        <v>1184</v>
      </c>
      <c r="B1109" s="84" t="s">
        <v>57</v>
      </c>
      <c r="C1109" s="84"/>
      <c r="D1109" s="85">
        <v>45566</v>
      </c>
      <c r="E1109" s="85" t="s">
        <v>92</v>
      </c>
      <c r="F1109" s="84">
        <f>INDEX(Definitions!$G$13:$G$17,MATCH(Table3[[#This Row],[Propensity to buy/ buyer readiness]],Definitions!$A$13:$A$17,0))</f>
        <v>10000</v>
      </c>
      <c r="G1109" s="86">
        <v>3</v>
      </c>
      <c r="H1109" s="86">
        <v>3</v>
      </c>
      <c r="I1109" s="86">
        <v>3</v>
      </c>
      <c r="J1109" s="86">
        <v>4</v>
      </c>
      <c r="K1109" s="86">
        <v>2</v>
      </c>
      <c r="L1109" s="86">
        <f>SUM(Table3[[#This Row],[Strategic priority segment]:[Propensity to buy/ buyer readiness]])</f>
        <v>15</v>
      </c>
      <c r="M1109" s="86" t="s">
        <v>59</v>
      </c>
      <c r="N1109" s="84" t="s">
        <v>265</v>
      </c>
      <c r="O1109" s="84"/>
      <c r="P1109" s="87"/>
      <c r="Q1109" s="87"/>
      <c r="R1109" s="84"/>
      <c r="S1109" s="87"/>
      <c r="T1109" s="87"/>
      <c r="U1109" s="84">
        <v>1</v>
      </c>
      <c r="V1109" s="84">
        <v>1</v>
      </c>
      <c r="W1109" s="84">
        <v>1</v>
      </c>
      <c r="X1109" s="84">
        <v>1</v>
      </c>
      <c r="Y1109" s="84">
        <v>0</v>
      </c>
      <c r="Z1109" s="84">
        <v>0</v>
      </c>
      <c r="AA1109" s="84">
        <v>0</v>
      </c>
      <c r="AB1109" s="84">
        <v>0</v>
      </c>
      <c r="AC1109" s="84">
        <v>0</v>
      </c>
      <c r="AD1109" s="84">
        <v>0</v>
      </c>
      <c r="AE1109" s="84">
        <v>0</v>
      </c>
      <c r="AF1109" s="84">
        <v>0</v>
      </c>
      <c r="AG1109" s="84">
        <v>0</v>
      </c>
      <c r="AH1109" s="84">
        <v>0</v>
      </c>
      <c r="AI1109" s="84">
        <v>1</v>
      </c>
      <c r="AJ1109" s="84">
        <v>0</v>
      </c>
      <c r="AK1109" s="84">
        <v>0</v>
      </c>
      <c r="AL1109" s="84" cm="1">
        <f t="array" ref="AL11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09" s="84" cm="1">
        <f t="array" ref="AM11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09" s="84" cm="1">
        <f t="array" ref="AN11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09" s="84" cm="1">
        <f t="array" ref="AO11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09" s="84" cm="1">
        <f t="array" ref="AP11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09" s="84" cm="1">
        <f t="array" ref="AQ11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09" s="84" cm="1">
        <f t="array" ref="AR11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09" s="84" cm="1">
        <f t="array" ref="AS11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09" s="84" cm="1">
        <f t="array" ref="AT11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09" s="84" cm="1">
        <f t="array" ref="AU11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09" s="84" cm="1">
        <f t="array" ref="AV11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09" s="84" cm="1">
        <f t="array" ref="AW11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09" s="84" cm="1">
        <f t="array" ref="AX11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09" s="84" cm="1">
        <f t="array" ref="AY11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09" s="84" cm="1">
        <f t="array" ref="AZ11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09" s="84" cm="1">
        <f t="array" ref="BA11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09" s="84" cm="1">
        <f t="array" ref="BB11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09" s="84">
        <f>IF(SUM(Table3[[#This Row],[Column2]:[Column18]])&gt;Table3[[#This Row],[Column19]],Table3[[#This Row],[Column19]],SUM(Table3[[#This Row],[Column2]:[Column18]]))</f>
        <v>10000</v>
      </c>
      <c r="BD1109" s="2">
        <f>Table3[[#This Row],[Total Spend]]/SUM(Table3[[#This Row],[Column2]:[Column18]])</f>
        <v>7.2859744990892539E-2</v>
      </c>
    </row>
    <row r="1110" spans="1:56">
      <c r="A1110" s="84" t="s">
        <v>1185</v>
      </c>
      <c r="B1110" s="84"/>
      <c r="C1110" s="84"/>
      <c r="D1110" s="85">
        <v>45566</v>
      </c>
      <c r="E1110" s="85" t="s">
        <v>92</v>
      </c>
      <c r="F1110" s="84">
        <f>INDEX(Definitions!$G$13:$G$17,MATCH(Table3[[#This Row],[Propensity to buy/ buyer readiness]],Definitions!$A$13:$A$17,0))</f>
        <v>10000</v>
      </c>
      <c r="G1110" s="86">
        <v>3</v>
      </c>
      <c r="H1110" s="86">
        <v>3</v>
      </c>
      <c r="I1110" s="86">
        <v>3</v>
      </c>
      <c r="J1110" s="86">
        <v>4</v>
      </c>
      <c r="K1110" s="86">
        <v>2</v>
      </c>
      <c r="L1110" s="86">
        <f>SUM(Table3[[#This Row],[Strategic priority segment]:[Propensity to buy/ buyer readiness]])</f>
        <v>15</v>
      </c>
      <c r="M1110" s="86" t="s">
        <v>59</v>
      </c>
      <c r="N1110" s="84" t="s">
        <v>265</v>
      </c>
      <c r="O1110" s="84"/>
      <c r="P1110" s="87"/>
      <c r="Q1110" s="87"/>
      <c r="R1110" s="84"/>
      <c r="S1110" s="87"/>
      <c r="T1110" s="87"/>
      <c r="U1110" s="84">
        <v>1</v>
      </c>
      <c r="V1110" s="84">
        <v>1</v>
      </c>
      <c r="W1110" s="84">
        <v>1</v>
      </c>
      <c r="X1110" s="84">
        <v>1</v>
      </c>
      <c r="Y1110" s="84">
        <v>0</v>
      </c>
      <c r="Z1110" s="84">
        <v>0</v>
      </c>
      <c r="AA1110" s="84">
        <v>0</v>
      </c>
      <c r="AB1110" s="84">
        <v>0</v>
      </c>
      <c r="AC1110" s="84">
        <v>0</v>
      </c>
      <c r="AD1110" s="84">
        <v>0</v>
      </c>
      <c r="AE1110" s="84">
        <v>0</v>
      </c>
      <c r="AF1110" s="84">
        <v>0</v>
      </c>
      <c r="AG1110" s="84">
        <v>0</v>
      </c>
      <c r="AH1110" s="84">
        <v>0</v>
      </c>
      <c r="AI1110" s="84">
        <v>1</v>
      </c>
      <c r="AJ1110" s="84">
        <v>0</v>
      </c>
      <c r="AK1110" s="84">
        <v>0</v>
      </c>
      <c r="AL1110" s="84" cm="1">
        <f t="array" ref="AL11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0" s="84" cm="1">
        <f t="array" ref="AM11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0" s="84" cm="1">
        <f t="array" ref="AN11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0" s="84" cm="1">
        <f t="array" ref="AO11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0" s="84" cm="1">
        <f t="array" ref="AP11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0" s="84" cm="1">
        <f t="array" ref="AQ11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0" s="84" cm="1">
        <f t="array" ref="AR11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0" s="84" cm="1">
        <f t="array" ref="AS11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0" s="84" cm="1">
        <f t="array" ref="AT11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0" s="84" cm="1">
        <f t="array" ref="AU11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0" s="84" cm="1">
        <f t="array" ref="AV11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0" s="84" cm="1">
        <f t="array" ref="AW11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0" s="84" cm="1">
        <f t="array" ref="AX11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0" s="84" cm="1">
        <f t="array" ref="AY11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0" s="84" cm="1">
        <f t="array" ref="AZ11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0" s="84" cm="1">
        <f t="array" ref="BA11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0" s="84" cm="1">
        <f t="array" ref="BB11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0" s="84">
        <f>IF(SUM(Table3[[#This Row],[Column2]:[Column18]])&gt;Table3[[#This Row],[Column19]],Table3[[#This Row],[Column19]],SUM(Table3[[#This Row],[Column2]:[Column18]]))</f>
        <v>10000</v>
      </c>
      <c r="BD1110" s="2">
        <f>Table3[[#This Row],[Total Spend]]/SUM(Table3[[#This Row],[Column2]:[Column18]])</f>
        <v>7.2859744990892539E-2</v>
      </c>
    </row>
    <row r="1111" spans="1:56">
      <c r="A1111" s="84" t="s">
        <v>1186</v>
      </c>
      <c r="B1111" s="84"/>
      <c r="C1111" s="84"/>
      <c r="D1111" s="85">
        <v>45566</v>
      </c>
      <c r="E1111" s="85" t="s">
        <v>92</v>
      </c>
      <c r="F1111" s="84">
        <f>INDEX(Definitions!$G$13:$G$17,MATCH(Table3[[#This Row],[Propensity to buy/ buyer readiness]],Definitions!$A$13:$A$17,0))</f>
        <v>10000</v>
      </c>
      <c r="G1111" s="86">
        <v>3</v>
      </c>
      <c r="H1111" s="86">
        <v>3</v>
      </c>
      <c r="I1111" s="86">
        <v>3</v>
      </c>
      <c r="J1111" s="86">
        <v>4</v>
      </c>
      <c r="K1111" s="86">
        <v>2</v>
      </c>
      <c r="L1111" s="86">
        <f>SUM(Table3[[#This Row],[Strategic priority segment]:[Propensity to buy/ buyer readiness]])</f>
        <v>15</v>
      </c>
      <c r="M1111" s="86" t="s">
        <v>59</v>
      </c>
      <c r="N1111" s="84" t="s">
        <v>265</v>
      </c>
      <c r="O1111" s="84"/>
      <c r="P1111" s="87"/>
      <c r="Q1111" s="87"/>
      <c r="R1111" s="84"/>
      <c r="S1111" s="87"/>
      <c r="T1111" s="87"/>
      <c r="U1111" s="84">
        <v>1</v>
      </c>
      <c r="V1111" s="84">
        <v>1</v>
      </c>
      <c r="W1111" s="84">
        <v>1</v>
      </c>
      <c r="X1111" s="84">
        <v>1</v>
      </c>
      <c r="Y1111" s="84">
        <v>0</v>
      </c>
      <c r="Z1111" s="84">
        <v>0</v>
      </c>
      <c r="AA1111" s="84">
        <v>0</v>
      </c>
      <c r="AB1111" s="84">
        <v>0</v>
      </c>
      <c r="AC1111" s="84">
        <v>0</v>
      </c>
      <c r="AD1111" s="84">
        <v>0</v>
      </c>
      <c r="AE1111" s="84">
        <v>0</v>
      </c>
      <c r="AF1111" s="84">
        <v>0</v>
      </c>
      <c r="AG1111" s="84">
        <v>0</v>
      </c>
      <c r="AH1111" s="84">
        <v>0</v>
      </c>
      <c r="AI1111" s="84">
        <v>1</v>
      </c>
      <c r="AJ1111" s="84">
        <v>0</v>
      </c>
      <c r="AK1111" s="84">
        <v>0</v>
      </c>
      <c r="AL1111" s="84" cm="1">
        <f t="array" ref="AL11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1" s="84" cm="1">
        <f t="array" ref="AM11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1" s="84" cm="1">
        <f t="array" ref="AN11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1" s="84" cm="1">
        <f t="array" ref="AO11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1" s="84" cm="1">
        <f t="array" ref="AP11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1" s="84" cm="1">
        <f t="array" ref="AQ11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1" s="84" cm="1">
        <f t="array" ref="AR11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1" s="84" cm="1">
        <f t="array" ref="AS11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1" s="84" cm="1">
        <f t="array" ref="AT11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1" s="84" cm="1">
        <f t="array" ref="AU11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1" s="84" cm="1">
        <f t="array" ref="AV11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1" s="84" cm="1">
        <f t="array" ref="AW11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1" s="84" cm="1">
        <f t="array" ref="AX11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1" s="84" cm="1">
        <f t="array" ref="AY11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1" s="84" cm="1">
        <f t="array" ref="AZ11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1" s="84" cm="1">
        <f t="array" ref="BA11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1" s="84" cm="1">
        <f t="array" ref="BB11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1" s="84">
        <f>IF(SUM(Table3[[#This Row],[Column2]:[Column18]])&gt;Table3[[#This Row],[Column19]],Table3[[#This Row],[Column19]],SUM(Table3[[#This Row],[Column2]:[Column18]]))</f>
        <v>10000</v>
      </c>
      <c r="BD1111" s="2">
        <f>Table3[[#This Row],[Total Spend]]/SUM(Table3[[#This Row],[Column2]:[Column18]])</f>
        <v>7.2859744990892539E-2</v>
      </c>
    </row>
    <row r="1112" spans="1:56">
      <c r="A1112" s="84" t="s">
        <v>1187</v>
      </c>
      <c r="B1112" s="84"/>
      <c r="C1112" s="84"/>
      <c r="D1112" s="85">
        <v>45566</v>
      </c>
      <c r="E1112" s="85" t="s">
        <v>92</v>
      </c>
      <c r="F1112" s="84">
        <f>INDEX(Definitions!$G$13:$G$17,MATCH(Table3[[#This Row],[Propensity to buy/ buyer readiness]],Definitions!$A$13:$A$17,0))</f>
        <v>10000</v>
      </c>
      <c r="G1112" s="86">
        <v>3</v>
      </c>
      <c r="H1112" s="86">
        <v>3</v>
      </c>
      <c r="I1112" s="86">
        <v>3</v>
      </c>
      <c r="J1112" s="86">
        <v>4</v>
      </c>
      <c r="K1112" s="86">
        <v>2</v>
      </c>
      <c r="L1112" s="86">
        <f>SUM(Table3[[#This Row],[Strategic priority segment]:[Propensity to buy/ buyer readiness]])</f>
        <v>15</v>
      </c>
      <c r="M1112" s="86" t="s">
        <v>59</v>
      </c>
      <c r="N1112" s="84" t="s">
        <v>265</v>
      </c>
      <c r="O1112" s="84"/>
      <c r="P1112" s="87"/>
      <c r="Q1112" s="87"/>
      <c r="R1112" s="84"/>
      <c r="S1112" s="87"/>
      <c r="T1112" s="87"/>
      <c r="U1112" s="84">
        <v>1</v>
      </c>
      <c r="V1112" s="84">
        <v>1</v>
      </c>
      <c r="W1112" s="84">
        <v>1</v>
      </c>
      <c r="X1112" s="84">
        <v>1</v>
      </c>
      <c r="Y1112" s="84">
        <v>0</v>
      </c>
      <c r="Z1112" s="84">
        <v>0</v>
      </c>
      <c r="AA1112" s="84">
        <v>0</v>
      </c>
      <c r="AB1112" s="84">
        <v>0</v>
      </c>
      <c r="AC1112" s="84">
        <v>0</v>
      </c>
      <c r="AD1112" s="84">
        <v>0</v>
      </c>
      <c r="AE1112" s="84">
        <v>0</v>
      </c>
      <c r="AF1112" s="84">
        <v>0</v>
      </c>
      <c r="AG1112" s="84">
        <v>0</v>
      </c>
      <c r="AH1112" s="84">
        <v>0</v>
      </c>
      <c r="AI1112" s="84">
        <v>1</v>
      </c>
      <c r="AJ1112" s="84">
        <v>0</v>
      </c>
      <c r="AK1112" s="84">
        <v>0</v>
      </c>
      <c r="AL1112" s="84" cm="1">
        <f t="array" ref="AL11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2" s="84" cm="1">
        <f t="array" ref="AM11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2" s="84" cm="1">
        <f t="array" ref="AN11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2" s="84" cm="1">
        <f t="array" ref="AO11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2" s="84" cm="1">
        <f t="array" ref="AP11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2" s="84" cm="1">
        <f t="array" ref="AQ11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2" s="84" cm="1">
        <f t="array" ref="AR11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2" s="84" cm="1">
        <f t="array" ref="AS11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2" s="84" cm="1">
        <f t="array" ref="AT11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2" s="84" cm="1">
        <f t="array" ref="AU11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2" s="84" cm="1">
        <f t="array" ref="AV11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2" s="84" cm="1">
        <f t="array" ref="AW11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2" s="84" cm="1">
        <f t="array" ref="AX11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2" s="84" cm="1">
        <f t="array" ref="AY11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2" s="84" cm="1">
        <f t="array" ref="AZ11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2" s="84" cm="1">
        <f t="array" ref="BA11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2" s="84" cm="1">
        <f t="array" ref="BB11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2" s="84">
        <f>IF(SUM(Table3[[#This Row],[Column2]:[Column18]])&gt;Table3[[#This Row],[Column19]],Table3[[#This Row],[Column19]],SUM(Table3[[#This Row],[Column2]:[Column18]]))</f>
        <v>10000</v>
      </c>
      <c r="BD1112" s="2">
        <f>Table3[[#This Row],[Total Spend]]/SUM(Table3[[#This Row],[Column2]:[Column18]])</f>
        <v>7.2859744990892539E-2</v>
      </c>
    </row>
    <row r="1113" spans="1:56">
      <c r="A1113" s="84" t="s">
        <v>1188</v>
      </c>
      <c r="B1113" s="84"/>
      <c r="C1113" s="84"/>
      <c r="D1113" s="85">
        <v>45566</v>
      </c>
      <c r="E1113" s="85" t="s">
        <v>58</v>
      </c>
      <c r="F1113" s="84">
        <f>INDEX(Definitions!$G$13:$G$17,MATCH(Table3[[#This Row],[Propensity to buy/ buyer readiness]],Definitions!$A$13:$A$17,0))</f>
        <v>150000</v>
      </c>
      <c r="G1113" s="86">
        <v>3</v>
      </c>
      <c r="H1113" s="86">
        <v>3</v>
      </c>
      <c r="I1113" s="86">
        <v>2</v>
      </c>
      <c r="J1113" s="86">
        <v>3</v>
      </c>
      <c r="K1113" s="86">
        <v>4</v>
      </c>
      <c r="L1113" s="86">
        <f>SUM(Table3[[#This Row],[Strategic priority segment]:[Propensity to buy/ buyer readiness]])</f>
        <v>15</v>
      </c>
      <c r="M1113" s="86" t="s">
        <v>152</v>
      </c>
      <c r="N1113" s="84" t="s">
        <v>122</v>
      </c>
      <c r="O1113" s="84"/>
      <c r="P1113" s="87"/>
      <c r="Q1113" s="87"/>
      <c r="R1113" s="84"/>
      <c r="S1113" s="87"/>
      <c r="T1113" s="87"/>
      <c r="U1113" s="84">
        <v>1</v>
      </c>
      <c r="V1113" s="84">
        <v>0</v>
      </c>
      <c r="W1113" s="84">
        <v>0</v>
      </c>
      <c r="X1113" s="84">
        <v>0</v>
      </c>
      <c r="Y1113" s="84">
        <v>0</v>
      </c>
      <c r="Z1113" s="84">
        <v>1</v>
      </c>
      <c r="AA1113" s="84">
        <v>0</v>
      </c>
      <c r="AB1113" s="84">
        <v>1</v>
      </c>
      <c r="AC1113" s="84">
        <v>0</v>
      </c>
      <c r="AD1113" s="84">
        <v>1</v>
      </c>
      <c r="AE1113" s="84">
        <v>0</v>
      </c>
      <c r="AF1113" s="84">
        <v>1</v>
      </c>
      <c r="AG1113" s="84">
        <v>0</v>
      </c>
      <c r="AH1113" s="84">
        <v>0</v>
      </c>
      <c r="AI1113" s="84">
        <v>0</v>
      </c>
      <c r="AJ1113" s="84">
        <v>0</v>
      </c>
      <c r="AK1113" s="84">
        <v>0</v>
      </c>
      <c r="AL1113" s="84" cm="1">
        <f t="array" ref="AL11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13" s="84" cm="1">
        <f t="array" ref="AM11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13" s="84" cm="1">
        <f t="array" ref="AN11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13" s="84" cm="1">
        <f t="array" ref="AO11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13" s="84" cm="1">
        <f t="array" ref="AP11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3" s="84" cm="1">
        <f t="array" ref="AQ11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13" s="84" cm="1">
        <f t="array" ref="AR11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3" s="84" cm="1">
        <f t="array" ref="AS11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13" s="84" cm="1">
        <f t="array" ref="AT11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3" s="84" cm="1">
        <f t="array" ref="AU11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13" s="84" cm="1">
        <f t="array" ref="AV11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3" s="84" cm="1">
        <f t="array" ref="AW11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13" s="84" cm="1">
        <f t="array" ref="AX11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3" s="84" cm="1">
        <f t="array" ref="AY11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3" s="84" cm="1">
        <f t="array" ref="AZ11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13" s="84" cm="1">
        <f t="array" ref="BA11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3" s="84" cm="1">
        <f t="array" ref="BB11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3" s="84">
        <f>IF(SUM(Table3[[#This Row],[Column2]:[Column18]])&gt;Table3[[#This Row],[Column19]],Table3[[#This Row],[Column19]],SUM(Table3[[#This Row],[Column2]:[Column18]]))</f>
        <v>150000</v>
      </c>
      <c r="BD1113" s="2">
        <f>Table3[[#This Row],[Total Spend]]/SUM(Table3[[#This Row],[Column2]:[Column18]])</f>
        <v>0.89605734767025091</v>
      </c>
    </row>
    <row r="1114" spans="1:56">
      <c r="A1114" s="84" t="s">
        <v>1189</v>
      </c>
      <c r="B1114" s="84"/>
      <c r="C1114" s="84" t="s">
        <v>57</v>
      </c>
      <c r="D1114" s="85">
        <v>45566</v>
      </c>
      <c r="E1114" s="85" t="s">
        <v>92</v>
      </c>
      <c r="F1114" s="84">
        <f>INDEX(Definitions!$G$13:$G$17,MATCH(Table3[[#This Row],[Propensity to buy/ buyer readiness]],Definitions!$A$13:$A$17,0))</f>
        <v>50000</v>
      </c>
      <c r="G1114" s="86">
        <v>3</v>
      </c>
      <c r="H1114" s="86">
        <v>3</v>
      </c>
      <c r="I1114" s="86">
        <v>3</v>
      </c>
      <c r="J1114" s="86">
        <v>3</v>
      </c>
      <c r="K1114" s="86">
        <v>3</v>
      </c>
      <c r="L1114" s="86">
        <f>SUM(Table3[[#This Row],[Strategic priority segment]:[Propensity to buy/ buyer readiness]])</f>
        <v>15</v>
      </c>
      <c r="M1114" s="86" t="s">
        <v>191</v>
      </c>
      <c r="N1114" s="84" t="s">
        <v>135</v>
      </c>
      <c r="O1114" s="84"/>
      <c r="P1114" s="87"/>
      <c r="Q1114" s="87"/>
      <c r="R1114" s="84"/>
      <c r="S1114" s="87"/>
      <c r="T1114" s="87"/>
      <c r="U1114" s="84">
        <v>0</v>
      </c>
      <c r="V1114" s="84">
        <v>0</v>
      </c>
      <c r="W1114" s="84">
        <v>0</v>
      </c>
      <c r="X1114" s="84">
        <v>0</v>
      </c>
      <c r="Y1114" s="84">
        <v>0</v>
      </c>
      <c r="Z1114" s="84">
        <v>0</v>
      </c>
      <c r="AA1114" s="84">
        <v>0</v>
      </c>
      <c r="AB1114" s="84">
        <v>0</v>
      </c>
      <c r="AC1114" s="84">
        <v>0</v>
      </c>
      <c r="AD1114" s="84">
        <v>0</v>
      </c>
      <c r="AE1114" s="84">
        <v>0</v>
      </c>
      <c r="AF1114" s="84">
        <v>0</v>
      </c>
      <c r="AG1114" s="84">
        <v>0</v>
      </c>
      <c r="AH1114" s="84">
        <v>1</v>
      </c>
      <c r="AI1114" s="84">
        <v>1</v>
      </c>
      <c r="AJ1114" s="84">
        <v>1</v>
      </c>
      <c r="AK1114" s="84">
        <v>1</v>
      </c>
      <c r="AL1114" s="84" cm="1">
        <f t="array" ref="AL11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14" s="84" cm="1">
        <f t="array" ref="AM11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14" s="84" cm="1">
        <f t="array" ref="AN11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14" s="84" cm="1">
        <f t="array" ref="AO11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14" s="84" cm="1">
        <f t="array" ref="AP11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4" s="84" cm="1">
        <f t="array" ref="AQ11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4" s="84" cm="1">
        <f t="array" ref="AR11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4" s="84" cm="1">
        <f t="array" ref="AS11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4" s="84" cm="1">
        <f t="array" ref="AT11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4" s="84" cm="1">
        <f t="array" ref="AU11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4" s="84" cm="1">
        <f t="array" ref="AV11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4" s="84" cm="1">
        <f t="array" ref="AW11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4" s="84" cm="1">
        <f t="array" ref="AX11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4" s="84" cm="1">
        <f t="array" ref="AY11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14" s="84" cm="1">
        <f t="array" ref="AZ11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4" s="84" cm="1">
        <f t="array" ref="BA11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14" s="84" cm="1">
        <f t="array" ref="BB11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14" s="84">
        <f>IF(SUM(Table3[[#This Row],[Column2]:[Column18]])&gt;Table3[[#This Row],[Column19]],Table3[[#This Row],[Column19]],SUM(Table3[[#This Row],[Column2]:[Column18]]))</f>
        <v>46350</v>
      </c>
      <c r="BD1114" s="2">
        <f>Table3[[#This Row],[Total Spend]]/SUM(Table3[[#This Row],[Column2]:[Column18]])</f>
        <v>1</v>
      </c>
    </row>
    <row r="1115" spans="1:56">
      <c r="A1115" s="84" t="s">
        <v>1190</v>
      </c>
      <c r="B1115" s="84"/>
      <c r="C1115" s="84"/>
      <c r="D1115" s="85">
        <v>45566</v>
      </c>
      <c r="E1115" s="85" t="s">
        <v>92</v>
      </c>
      <c r="F1115" s="84">
        <f>INDEX(Definitions!$G$13:$G$17,MATCH(Table3[[#This Row],[Propensity to buy/ buyer readiness]],Definitions!$A$13:$A$17,0))</f>
        <v>50000</v>
      </c>
      <c r="G1115" s="86">
        <v>3</v>
      </c>
      <c r="H1115" s="86">
        <v>3</v>
      </c>
      <c r="I1115" s="86">
        <v>3</v>
      </c>
      <c r="J1115" s="86">
        <v>3</v>
      </c>
      <c r="K1115" s="86">
        <v>3</v>
      </c>
      <c r="L1115" s="86">
        <f>SUM(Table3[[#This Row],[Strategic priority segment]:[Propensity to buy/ buyer readiness]])</f>
        <v>15</v>
      </c>
      <c r="M1115" s="86" t="s">
        <v>191</v>
      </c>
      <c r="N1115" s="84" t="s">
        <v>76</v>
      </c>
      <c r="O1115" s="84"/>
      <c r="P1115" s="84"/>
      <c r="Q1115" s="84"/>
      <c r="R1115" s="84"/>
      <c r="S1115" s="87"/>
      <c r="T1115" s="87"/>
      <c r="U1115" s="84">
        <v>0</v>
      </c>
      <c r="V1115" s="84">
        <v>0</v>
      </c>
      <c r="W1115" s="84">
        <v>0</v>
      </c>
      <c r="X1115" s="84">
        <v>0</v>
      </c>
      <c r="Y1115" s="84">
        <v>0</v>
      </c>
      <c r="Z1115" s="84">
        <v>0</v>
      </c>
      <c r="AA1115" s="84">
        <v>0</v>
      </c>
      <c r="AB1115" s="84">
        <v>0</v>
      </c>
      <c r="AC1115" s="84">
        <v>0</v>
      </c>
      <c r="AD1115" s="84">
        <v>0</v>
      </c>
      <c r="AE1115" s="84">
        <v>0</v>
      </c>
      <c r="AF1115" s="84">
        <v>0</v>
      </c>
      <c r="AG1115" s="84">
        <v>0</v>
      </c>
      <c r="AH1115" s="84">
        <v>1</v>
      </c>
      <c r="AI1115" s="84">
        <v>0</v>
      </c>
      <c r="AJ1115" s="84">
        <v>1</v>
      </c>
      <c r="AK1115" s="84">
        <v>0</v>
      </c>
      <c r="AL1115" s="84" cm="1">
        <f t="array" ref="AL11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15" s="84" cm="1">
        <f t="array" ref="AM11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15" s="84" cm="1">
        <f t="array" ref="AN11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15" s="84" cm="1">
        <f t="array" ref="AO11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15" s="84" cm="1">
        <f t="array" ref="AP11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5" s="84" cm="1">
        <f t="array" ref="AQ11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5" s="84" cm="1">
        <f t="array" ref="AR11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5" s="84" cm="1">
        <f t="array" ref="AS11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5" s="84" cm="1">
        <f t="array" ref="AT11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5" s="84" cm="1">
        <f t="array" ref="AU11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5" s="84" cm="1">
        <f t="array" ref="AV11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5" s="84" cm="1">
        <f t="array" ref="AW11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5" s="84" cm="1">
        <f t="array" ref="AX11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5" s="84" cm="1">
        <f t="array" ref="AY11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15" s="84" cm="1">
        <f t="array" ref="AZ11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15" s="84" cm="1">
        <f t="array" ref="BA11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15" s="84" cm="1">
        <f t="array" ref="BB11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5" s="84">
        <f>IF(SUM(Table3[[#This Row],[Column2]:[Column18]])&gt;Table3[[#This Row],[Column19]],Table3[[#This Row],[Column19]],SUM(Table3[[#This Row],[Column2]:[Column18]]))</f>
        <v>30600</v>
      </c>
      <c r="BD1115" s="2">
        <f>Table3[[#This Row],[Total Spend]]/SUM(Table3[[#This Row],[Column2]:[Column18]])</f>
        <v>1</v>
      </c>
    </row>
    <row r="1116" spans="1:56">
      <c r="A1116" s="84" t="s">
        <v>1191</v>
      </c>
      <c r="B1116" s="84"/>
      <c r="C1116" s="84"/>
      <c r="D1116" s="85">
        <v>45566</v>
      </c>
      <c r="E1116" s="85" t="s">
        <v>92</v>
      </c>
      <c r="F1116" s="84">
        <f>INDEX(Definitions!$G$13:$G$17,MATCH(Table3[[#This Row],[Propensity to buy/ buyer readiness]],Definitions!$A$13:$A$17,0))</f>
        <v>10000</v>
      </c>
      <c r="G1116" s="86">
        <v>3</v>
      </c>
      <c r="H1116" s="86">
        <v>3</v>
      </c>
      <c r="I1116" s="86">
        <v>3</v>
      </c>
      <c r="J1116" s="86">
        <v>4</v>
      </c>
      <c r="K1116" s="86">
        <v>2</v>
      </c>
      <c r="L1116" s="86">
        <f>SUM(Table3[[#This Row],[Strategic priority segment]:[Propensity to buy/ buyer readiness]])</f>
        <v>15</v>
      </c>
      <c r="M1116" s="86" t="s">
        <v>59</v>
      </c>
      <c r="N1116" s="84" t="s">
        <v>265</v>
      </c>
      <c r="O1116" s="84"/>
      <c r="P1116" s="87"/>
      <c r="Q1116" s="87"/>
      <c r="R1116" s="84"/>
      <c r="S1116" s="87"/>
      <c r="T1116" s="87"/>
      <c r="U1116" s="84">
        <v>1</v>
      </c>
      <c r="V1116" s="84">
        <v>1</v>
      </c>
      <c r="W1116" s="84">
        <v>1</v>
      </c>
      <c r="X1116" s="84">
        <v>1</v>
      </c>
      <c r="Y1116" s="84">
        <v>0</v>
      </c>
      <c r="Z1116" s="84">
        <v>0</v>
      </c>
      <c r="AA1116" s="84">
        <v>0</v>
      </c>
      <c r="AB1116" s="84">
        <v>0</v>
      </c>
      <c r="AC1116" s="84">
        <v>0</v>
      </c>
      <c r="AD1116" s="84">
        <v>0</v>
      </c>
      <c r="AE1116" s="84">
        <v>0</v>
      </c>
      <c r="AF1116" s="84">
        <v>0</v>
      </c>
      <c r="AG1116" s="84">
        <v>0</v>
      </c>
      <c r="AH1116" s="84">
        <v>0</v>
      </c>
      <c r="AI1116" s="84">
        <v>1</v>
      </c>
      <c r="AJ1116" s="84">
        <v>0</v>
      </c>
      <c r="AK1116" s="84">
        <v>0</v>
      </c>
      <c r="AL1116" s="84" cm="1">
        <f t="array" ref="AL11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6" s="84" cm="1">
        <f t="array" ref="AM11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6" s="84" cm="1">
        <f t="array" ref="AN11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6" s="84" cm="1">
        <f t="array" ref="AO11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6" s="84" cm="1">
        <f t="array" ref="AP11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6" s="84" cm="1">
        <f t="array" ref="AQ11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6" s="84" cm="1">
        <f t="array" ref="AR11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6" s="84" cm="1">
        <f t="array" ref="AS11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6" s="84" cm="1">
        <f t="array" ref="AT11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6" s="84" cm="1">
        <f t="array" ref="AU11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6" s="84" cm="1">
        <f t="array" ref="AV11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6" s="84" cm="1">
        <f t="array" ref="AW11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6" s="84" cm="1">
        <f t="array" ref="AX11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6" s="84" cm="1">
        <f t="array" ref="AY11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6" s="84" cm="1">
        <f t="array" ref="AZ11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6" s="84" cm="1">
        <f t="array" ref="BA11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6" s="84" cm="1">
        <f t="array" ref="BB11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6" s="84">
        <f>IF(SUM(Table3[[#This Row],[Column2]:[Column18]])&gt;Table3[[#This Row],[Column19]],Table3[[#This Row],[Column19]],SUM(Table3[[#This Row],[Column2]:[Column18]]))</f>
        <v>10000</v>
      </c>
      <c r="BD1116" s="2">
        <f>Table3[[#This Row],[Total Spend]]/SUM(Table3[[#This Row],[Column2]:[Column18]])</f>
        <v>7.2859744990892539E-2</v>
      </c>
    </row>
    <row r="1117" spans="1:56">
      <c r="A1117" s="84" t="s">
        <v>1192</v>
      </c>
      <c r="B1117" s="84"/>
      <c r="C1117" s="84"/>
      <c r="D1117" s="85">
        <v>45566</v>
      </c>
      <c r="E1117" s="85" t="s">
        <v>92</v>
      </c>
      <c r="F1117" s="84">
        <f>INDEX(Definitions!$G$13:$G$17,MATCH(Table3[[#This Row],[Propensity to buy/ buyer readiness]],Definitions!$A$13:$A$17,0))</f>
        <v>10000</v>
      </c>
      <c r="G1117" s="86">
        <v>3</v>
      </c>
      <c r="H1117" s="86">
        <v>3</v>
      </c>
      <c r="I1117" s="86">
        <v>3</v>
      </c>
      <c r="J1117" s="86">
        <v>4</v>
      </c>
      <c r="K1117" s="86">
        <v>2</v>
      </c>
      <c r="L1117" s="86">
        <f>SUM(Table3[[#This Row],[Strategic priority segment]:[Propensity to buy/ buyer readiness]])</f>
        <v>15</v>
      </c>
      <c r="M1117" s="86" t="s">
        <v>59</v>
      </c>
      <c r="N1117" s="84" t="s">
        <v>265</v>
      </c>
      <c r="O1117" s="84"/>
      <c r="P1117" s="87"/>
      <c r="Q1117" s="87"/>
      <c r="R1117" s="84"/>
      <c r="S1117" s="87"/>
      <c r="T1117" s="87"/>
      <c r="U1117" s="84">
        <v>1</v>
      </c>
      <c r="V1117" s="84">
        <v>1</v>
      </c>
      <c r="W1117" s="84">
        <v>1</v>
      </c>
      <c r="X1117" s="84">
        <v>1</v>
      </c>
      <c r="Y1117" s="84">
        <v>0</v>
      </c>
      <c r="Z1117" s="84">
        <v>0</v>
      </c>
      <c r="AA1117" s="84">
        <v>0</v>
      </c>
      <c r="AB1117" s="84">
        <v>0</v>
      </c>
      <c r="AC1117" s="84">
        <v>0</v>
      </c>
      <c r="AD1117" s="84">
        <v>0</v>
      </c>
      <c r="AE1117" s="84">
        <v>0</v>
      </c>
      <c r="AF1117" s="84">
        <v>0</v>
      </c>
      <c r="AG1117" s="84">
        <v>0</v>
      </c>
      <c r="AH1117" s="84">
        <v>0</v>
      </c>
      <c r="AI1117" s="84">
        <v>1</v>
      </c>
      <c r="AJ1117" s="84">
        <v>0</v>
      </c>
      <c r="AK1117" s="84">
        <v>0</v>
      </c>
      <c r="AL1117" s="84" cm="1">
        <f t="array" ref="AL11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7" s="84" cm="1">
        <f t="array" ref="AM11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7" s="84" cm="1">
        <f t="array" ref="AN11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7" s="84" cm="1">
        <f t="array" ref="AO11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7" s="84" cm="1">
        <f t="array" ref="AP11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7" s="84" cm="1">
        <f t="array" ref="AQ11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7" s="84" cm="1">
        <f t="array" ref="AR11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7" s="84" cm="1">
        <f t="array" ref="AS11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7" s="84" cm="1">
        <f t="array" ref="AT11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7" s="84" cm="1">
        <f t="array" ref="AU11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7" s="84" cm="1">
        <f t="array" ref="AV11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7" s="84" cm="1">
        <f t="array" ref="AW11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7" s="84" cm="1">
        <f t="array" ref="AX11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7" s="84" cm="1">
        <f t="array" ref="AY11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7" s="84" cm="1">
        <f t="array" ref="AZ11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7" s="84" cm="1">
        <f t="array" ref="BA11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7" s="84" cm="1">
        <f t="array" ref="BB11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7" s="84">
        <f>IF(SUM(Table3[[#This Row],[Column2]:[Column18]])&gt;Table3[[#This Row],[Column19]],Table3[[#This Row],[Column19]],SUM(Table3[[#This Row],[Column2]:[Column18]]))</f>
        <v>10000</v>
      </c>
      <c r="BD1117" s="2">
        <f>Table3[[#This Row],[Total Spend]]/SUM(Table3[[#This Row],[Column2]:[Column18]])</f>
        <v>7.2859744990892539E-2</v>
      </c>
    </row>
    <row r="1118" spans="1:56">
      <c r="A1118" s="84" t="s">
        <v>1193</v>
      </c>
      <c r="B1118" s="84"/>
      <c r="C1118" s="84"/>
      <c r="D1118" s="85">
        <v>45566</v>
      </c>
      <c r="E1118" s="85" t="s">
        <v>92</v>
      </c>
      <c r="F1118" s="84">
        <f>INDEX(Definitions!$G$13:$G$17,MATCH(Table3[[#This Row],[Propensity to buy/ buyer readiness]],Definitions!$A$13:$A$17,0))</f>
        <v>50000</v>
      </c>
      <c r="G1118" s="86">
        <v>3</v>
      </c>
      <c r="H1118" s="86">
        <v>3</v>
      </c>
      <c r="I1118" s="86">
        <v>3</v>
      </c>
      <c r="J1118" s="86">
        <v>3</v>
      </c>
      <c r="K1118" s="86">
        <v>3</v>
      </c>
      <c r="L1118" s="86">
        <f>SUM(Table3[[#This Row],[Strategic priority segment]:[Propensity to buy/ buyer readiness]])</f>
        <v>15</v>
      </c>
      <c r="M1118" s="86" t="s">
        <v>191</v>
      </c>
      <c r="N1118" s="84" t="s">
        <v>76</v>
      </c>
      <c r="O1118" s="84"/>
      <c r="P1118" s="84"/>
      <c r="Q1118" s="84"/>
      <c r="R1118" s="84"/>
      <c r="S1118" s="87"/>
      <c r="T1118" s="87"/>
      <c r="U1118" s="84">
        <v>0</v>
      </c>
      <c r="V1118" s="84">
        <v>0</v>
      </c>
      <c r="W1118" s="84">
        <v>0</v>
      </c>
      <c r="X1118" s="84">
        <v>0</v>
      </c>
      <c r="Y1118" s="84">
        <v>0</v>
      </c>
      <c r="Z1118" s="84">
        <v>0</v>
      </c>
      <c r="AA1118" s="84">
        <v>0</v>
      </c>
      <c r="AB1118" s="84">
        <v>0</v>
      </c>
      <c r="AC1118" s="84">
        <v>0</v>
      </c>
      <c r="AD1118" s="84">
        <v>0</v>
      </c>
      <c r="AE1118" s="84">
        <v>0</v>
      </c>
      <c r="AF1118" s="84">
        <v>0</v>
      </c>
      <c r="AG1118" s="84">
        <v>0</v>
      </c>
      <c r="AH1118" s="84">
        <v>1</v>
      </c>
      <c r="AI1118" s="84">
        <v>0</v>
      </c>
      <c r="AJ1118" s="84">
        <v>1</v>
      </c>
      <c r="AK1118" s="84">
        <v>0</v>
      </c>
      <c r="AL1118" s="84" cm="1">
        <f t="array" ref="AL11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18" s="84" cm="1">
        <f t="array" ref="AM11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18" s="84" cm="1">
        <f t="array" ref="AN11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18" s="84" cm="1">
        <f t="array" ref="AO11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18" s="84" cm="1">
        <f t="array" ref="AP11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8" s="84" cm="1">
        <f t="array" ref="AQ11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8" s="84" cm="1">
        <f t="array" ref="AR11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8" s="84" cm="1">
        <f t="array" ref="AS11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8" s="84" cm="1">
        <f t="array" ref="AT11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8" s="84" cm="1">
        <f t="array" ref="AU11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8" s="84" cm="1">
        <f t="array" ref="AV11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8" s="84" cm="1">
        <f t="array" ref="AW11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8" s="84" cm="1">
        <f t="array" ref="AX11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8" s="84" cm="1">
        <f t="array" ref="AY11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18" s="84" cm="1">
        <f t="array" ref="AZ11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18" s="84" cm="1">
        <f t="array" ref="BA11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18" s="84" cm="1">
        <f t="array" ref="BB11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8" s="84">
        <f>IF(SUM(Table3[[#This Row],[Column2]:[Column18]])&gt;Table3[[#This Row],[Column19]],Table3[[#This Row],[Column19]],SUM(Table3[[#This Row],[Column2]:[Column18]]))</f>
        <v>30600</v>
      </c>
      <c r="BD1118" s="2">
        <f>Table3[[#This Row],[Total Spend]]/SUM(Table3[[#This Row],[Column2]:[Column18]])</f>
        <v>1</v>
      </c>
    </row>
    <row r="1119" spans="1:56">
      <c r="A1119" s="84" t="s">
        <v>1194</v>
      </c>
      <c r="B1119" s="84"/>
      <c r="C1119" s="84"/>
      <c r="D1119" s="85">
        <v>45566</v>
      </c>
      <c r="E1119" s="85" t="s">
        <v>92</v>
      </c>
      <c r="F1119" s="84">
        <f>INDEX(Definitions!$G$13:$G$17,MATCH(Table3[[#This Row],[Propensity to buy/ buyer readiness]],Definitions!$A$13:$A$17,0))</f>
        <v>10000</v>
      </c>
      <c r="G1119" s="86">
        <v>3</v>
      </c>
      <c r="H1119" s="86">
        <v>3</v>
      </c>
      <c r="I1119" s="86">
        <v>3</v>
      </c>
      <c r="J1119" s="86">
        <v>4</v>
      </c>
      <c r="K1119" s="86">
        <v>2</v>
      </c>
      <c r="L1119" s="86">
        <f>SUM(Table3[[#This Row],[Strategic priority segment]:[Propensity to buy/ buyer readiness]])</f>
        <v>15</v>
      </c>
      <c r="M1119" s="86" t="s">
        <v>59</v>
      </c>
      <c r="N1119" s="84" t="s">
        <v>265</v>
      </c>
      <c r="O1119" s="84"/>
      <c r="P1119" s="87"/>
      <c r="Q1119" s="87"/>
      <c r="R1119" s="84"/>
      <c r="S1119" s="87"/>
      <c r="T1119" s="87"/>
      <c r="U1119" s="84">
        <v>1</v>
      </c>
      <c r="V1119" s="84">
        <v>1</v>
      </c>
      <c r="W1119" s="84">
        <v>1</v>
      </c>
      <c r="X1119" s="84">
        <v>1</v>
      </c>
      <c r="Y1119" s="84">
        <v>0</v>
      </c>
      <c r="Z1119" s="84">
        <v>0</v>
      </c>
      <c r="AA1119" s="84">
        <v>0</v>
      </c>
      <c r="AB1119" s="84">
        <v>0</v>
      </c>
      <c r="AC1119" s="84">
        <v>0</v>
      </c>
      <c r="AD1119" s="84">
        <v>0</v>
      </c>
      <c r="AE1119" s="84">
        <v>0</v>
      </c>
      <c r="AF1119" s="84">
        <v>0</v>
      </c>
      <c r="AG1119" s="84">
        <v>0</v>
      </c>
      <c r="AH1119" s="84">
        <v>0</v>
      </c>
      <c r="AI1119" s="84">
        <v>1</v>
      </c>
      <c r="AJ1119" s="84">
        <v>0</v>
      </c>
      <c r="AK1119" s="84">
        <v>0</v>
      </c>
      <c r="AL1119" s="84" cm="1">
        <f t="array" ref="AL11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19" s="84" cm="1">
        <f t="array" ref="AM11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19" s="84" cm="1">
        <f t="array" ref="AN11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19" s="84" cm="1">
        <f t="array" ref="AO11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19" s="84" cm="1">
        <f t="array" ref="AP11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19" s="84" cm="1">
        <f t="array" ref="AQ11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19" s="84" cm="1">
        <f t="array" ref="AR11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19" s="84" cm="1">
        <f t="array" ref="AS11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19" s="84" cm="1">
        <f t="array" ref="AT11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19" s="84" cm="1">
        <f t="array" ref="AU11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19" s="84" cm="1">
        <f t="array" ref="AV11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19" s="84" cm="1">
        <f t="array" ref="AW11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19" s="84" cm="1">
        <f t="array" ref="AX11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19" s="84" cm="1">
        <f t="array" ref="AY11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19" s="84" cm="1">
        <f t="array" ref="AZ11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19" s="84" cm="1">
        <f t="array" ref="BA11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19" s="84" cm="1">
        <f t="array" ref="BB11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19" s="84">
        <f>IF(SUM(Table3[[#This Row],[Column2]:[Column18]])&gt;Table3[[#This Row],[Column19]],Table3[[#This Row],[Column19]],SUM(Table3[[#This Row],[Column2]:[Column18]]))</f>
        <v>10000</v>
      </c>
      <c r="BD1119" s="2">
        <f>Table3[[#This Row],[Total Spend]]/SUM(Table3[[#This Row],[Column2]:[Column18]])</f>
        <v>7.2859744990892539E-2</v>
      </c>
    </row>
    <row r="1120" spans="1:56">
      <c r="A1120" s="84" t="s">
        <v>1195</v>
      </c>
      <c r="B1120" s="84"/>
      <c r="C1120" s="84"/>
      <c r="D1120" s="85">
        <v>45566</v>
      </c>
      <c r="E1120" s="85" t="s">
        <v>92</v>
      </c>
      <c r="F1120" s="84">
        <f>INDEX(Definitions!$G$13:$G$17,MATCH(Table3[[#This Row],[Propensity to buy/ buyer readiness]],Definitions!$A$13:$A$17,0))</f>
        <v>10000</v>
      </c>
      <c r="G1120" s="86">
        <v>3</v>
      </c>
      <c r="H1120" s="86">
        <v>3</v>
      </c>
      <c r="I1120" s="86">
        <v>3</v>
      </c>
      <c r="J1120" s="86">
        <v>4</v>
      </c>
      <c r="K1120" s="86">
        <v>2</v>
      </c>
      <c r="L1120" s="86">
        <f>SUM(Table3[[#This Row],[Strategic priority segment]:[Propensity to buy/ buyer readiness]])</f>
        <v>15</v>
      </c>
      <c r="M1120" s="86" t="s">
        <v>59</v>
      </c>
      <c r="N1120" s="84" t="s">
        <v>265</v>
      </c>
      <c r="O1120" s="84"/>
      <c r="P1120" s="87"/>
      <c r="Q1120" s="87"/>
      <c r="R1120" s="84"/>
      <c r="S1120" s="87"/>
      <c r="T1120" s="87"/>
      <c r="U1120" s="84">
        <v>1</v>
      </c>
      <c r="V1120" s="84">
        <v>1</v>
      </c>
      <c r="W1120" s="84">
        <v>1</v>
      </c>
      <c r="X1120" s="84">
        <v>1</v>
      </c>
      <c r="Y1120" s="84">
        <v>0</v>
      </c>
      <c r="Z1120" s="84">
        <v>0</v>
      </c>
      <c r="AA1120" s="84">
        <v>0</v>
      </c>
      <c r="AB1120" s="84">
        <v>0</v>
      </c>
      <c r="AC1120" s="84">
        <v>0</v>
      </c>
      <c r="AD1120" s="84">
        <v>0</v>
      </c>
      <c r="AE1120" s="84">
        <v>0</v>
      </c>
      <c r="AF1120" s="84">
        <v>0</v>
      </c>
      <c r="AG1120" s="84">
        <v>0</v>
      </c>
      <c r="AH1120" s="84">
        <v>0</v>
      </c>
      <c r="AI1120" s="84">
        <v>1</v>
      </c>
      <c r="AJ1120" s="84">
        <v>0</v>
      </c>
      <c r="AK1120" s="84">
        <v>0</v>
      </c>
      <c r="AL1120" s="84" cm="1">
        <f t="array" ref="AL11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0" s="84" cm="1">
        <f t="array" ref="AM11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0" s="84" cm="1">
        <f t="array" ref="AN11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0" s="84" cm="1">
        <f t="array" ref="AO11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0" s="84" cm="1">
        <f t="array" ref="AP11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0" s="84" cm="1">
        <f t="array" ref="AQ11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0" s="84" cm="1">
        <f t="array" ref="AR11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0" s="84" cm="1">
        <f t="array" ref="AS11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0" s="84" cm="1">
        <f t="array" ref="AT11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0" s="84" cm="1">
        <f t="array" ref="AU11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0" s="84" cm="1">
        <f t="array" ref="AV11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0" s="84" cm="1">
        <f t="array" ref="AW11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0" s="84" cm="1">
        <f t="array" ref="AX11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0" s="84" cm="1">
        <f t="array" ref="AY11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0" s="84" cm="1">
        <f t="array" ref="AZ11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0" s="84" cm="1">
        <f t="array" ref="BA11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0" s="84" cm="1">
        <f t="array" ref="BB11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0" s="84">
        <f>IF(SUM(Table3[[#This Row],[Column2]:[Column18]])&gt;Table3[[#This Row],[Column19]],Table3[[#This Row],[Column19]],SUM(Table3[[#This Row],[Column2]:[Column18]]))</f>
        <v>10000</v>
      </c>
      <c r="BD1120" s="2">
        <f>Table3[[#This Row],[Total Spend]]/SUM(Table3[[#This Row],[Column2]:[Column18]])</f>
        <v>7.2859744990892539E-2</v>
      </c>
    </row>
    <row r="1121" spans="1:56">
      <c r="A1121" s="84" t="s">
        <v>1196</v>
      </c>
      <c r="B1121" s="84"/>
      <c r="C1121" s="84"/>
      <c r="D1121" s="85">
        <v>45566</v>
      </c>
      <c r="E1121" s="85" t="s">
        <v>92</v>
      </c>
      <c r="F1121" s="84">
        <f>INDEX(Definitions!$G$13:$G$17,MATCH(Table3[[#This Row],[Propensity to buy/ buyer readiness]],Definitions!$A$13:$A$17,0))</f>
        <v>10000</v>
      </c>
      <c r="G1121" s="86">
        <v>3</v>
      </c>
      <c r="H1121" s="86">
        <v>3</v>
      </c>
      <c r="I1121" s="86">
        <v>3</v>
      </c>
      <c r="J1121" s="86">
        <v>4</v>
      </c>
      <c r="K1121" s="86">
        <v>2</v>
      </c>
      <c r="L1121" s="86">
        <f>SUM(Table3[[#This Row],[Strategic priority segment]:[Propensity to buy/ buyer readiness]])</f>
        <v>15</v>
      </c>
      <c r="M1121" s="86" t="s">
        <v>59</v>
      </c>
      <c r="N1121" s="84" t="s">
        <v>265</v>
      </c>
      <c r="O1121" s="84"/>
      <c r="P1121" s="87"/>
      <c r="Q1121" s="87"/>
      <c r="R1121" s="84"/>
      <c r="S1121" s="87"/>
      <c r="T1121" s="87"/>
      <c r="U1121" s="84">
        <v>1</v>
      </c>
      <c r="V1121" s="84">
        <v>1</v>
      </c>
      <c r="W1121" s="84">
        <v>1</v>
      </c>
      <c r="X1121" s="84">
        <v>1</v>
      </c>
      <c r="Y1121" s="84">
        <v>0</v>
      </c>
      <c r="Z1121" s="84">
        <v>0</v>
      </c>
      <c r="AA1121" s="84">
        <v>0</v>
      </c>
      <c r="AB1121" s="84">
        <v>0</v>
      </c>
      <c r="AC1121" s="84">
        <v>0</v>
      </c>
      <c r="AD1121" s="84">
        <v>0</v>
      </c>
      <c r="AE1121" s="84">
        <v>0</v>
      </c>
      <c r="AF1121" s="84">
        <v>0</v>
      </c>
      <c r="AG1121" s="84">
        <v>0</v>
      </c>
      <c r="AH1121" s="84">
        <v>0</v>
      </c>
      <c r="AI1121" s="84">
        <v>1</v>
      </c>
      <c r="AJ1121" s="84">
        <v>0</v>
      </c>
      <c r="AK1121" s="84">
        <v>0</v>
      </c>
      <c r="AL1121" s="84" cm="1">
        <f t="array" ref="AL11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1" s="84" cm="1">
        <f t="array" ref="AM11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1" s="84" cm="1">
        <f t="array" ref="AN11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1" s="84" cm="1">
        <f t="array" ref="AO11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1" s="84" cm="1">
        <f t="array" ref="AP11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1" s="84" cm="1">
        <f t="array" ref="AQ11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1" s="84" cm="1">
        <f t="array" ref="AR11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1" s="84" cm="1">
        <f t="array" ref="AS11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1" s="84" cm="1">
        <f t="array" ref="AT11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1" s="84" cm="1">
        <f t="array" ref="AU11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1" s="84" cm="1">
        <f t="array" ref="AV11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1" s="84" cm="1">
        <f t="array" ref="AW11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1" s="84" cm="1">
        <f t="array" ref="AX11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1" s="84" cm="1">
        <f t="array" ref="AY11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1" s="84" cm="1">
        <f t="array" ref="AZ11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1" s="84" cm="1">
        <f t="array" ref="BA11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1" s="84" cm="1">
        <f t="array" ref="BB11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1" s="84">
        <f>IF(SUM(Table3[[#This Row],[Column2]:[Column18]])&gt;Table3[[#This Row],[Column19]],Table3[[#This Row],[Column19]],SUM(Table3[[#This Row],[Column2]:[Column18]]))</f>
        <v>10000</v>
      </c>
      <c r="BD1121" s="2">
        <f>Table3[[#This Row],[Total Spend]]/SUM(Table3[[#This Row],[Column2]:[Column18]])</f>
        <v>7.2859744990892539E-2</v>
      </c>
    </row>
    <row r="1122" spans="1:56">
      <c r="A1122" s="84" t="s">
        <v>1197</v>
      </c>
      <c r="B1122" s="84" t="s">
        <v>57</v>
      </c>
      <c r="C1122" s="84"/>
      <c r="D1122" s="85">
        <v>45566</v>
      </c>
      <c r="E1122" s="85" t="s">
        <v>92</v>
      </c>
      <c r="F1122" s="84">
        <f>INDEX(Definitions!$G$13:$G$17,MATCH(Table3[[#This Row],[Propensity to buy/ buyer readiness]],Definitions!$A$13:$A$17,0))</f>
        <v>10000</v>
      </c>
      <c r="G1122" s="86">
        <v>3</v>
      </c>
      <c r="H1122" s="86">
        <v>3</v>
      </c>
      <c r="I1122" s="86">
        <v>4</v>
      </c>
      <c r="J1122" s="86">
        <v>3</v>
      </c>
      <c r="K1122" s="86">
        <v>2</v>
      </c>
      <c r="L1122" s="86">
        <f>SUM(Table3[[#This Row],[Strategic priority segment]:[Propensity to buy/ buyer readiness]])</f>
        <v>15</v>
      </c>
      <c r="M1122" s="86" t="s">
        <v>191</v>
      </c>
      <c r="N1122" s="84" t="s">
        <v>135</v>
      </c>
      <c r="O1122" s="84" t="s">
        <v>153</v>
      </c>
      <c r="P1122" s="87"/>
      <c r="Q1122" s="87"/>
      <c r="R1122" s="84"/>
      <c r="S1122" s="87"/>
      <c r="T1122" s="87"/>
      <c r="U1122" s="84">
        <v>1</v>
      </c>
      <c r="V1122" s="84">
        <v>0</v>
      </c>
      <c r="W1122" s="84">
        <v>0</v>
      </c>
      <c r="X1122" s="84">
        <v>0</v>
      </c>
      <c r="Y1122" s="84">
        <v>0</v>
      </c>
      <c r="Z1122" s="84">
        <v>0</v>
      </c>
      <c r="AA1122" s="84">
        <v>0</v>
      </c>
      <c r="AB1122" s="84">
        <v>0</v>
      </c>
      <c r="AC1122" s="84">
        <v>0</v>
      </c>
      <c r="AD1122" s="84">
        <v>0</v>
      </c>
      <c r="AE1122" s="84">
        <v>0</v>
      </c>
      <c r="AF1122" s="84">
        <v>0</v>
      </c>
      <c r="AG1122" s="84">
        <v>0</v>
      </c>
      <c r="AH1122" s="84">
        <v>1</v>
      </c>
      <c r="AI1122" s="84">
        <v>1</v>
      </c>
      <c r="AJ1122" s="84">
        <v>1</v>
      </c>
      <c r="AK1122" s="84">
        <v>1</v>
      </c>
      <c r="AL1122" s="84" cm="1">
        <f t="array" ref="AL11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2" s="84" cm="1">
        <f t="array" ref="AM11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22" s="84" cm="1">
        <f t="array" ref="AN11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22" s="84" cm="1">
        <f t="array" ref="AO11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22" s="84" cm="1">
        <f t="array" ref="AP11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2" s="84" cm="1">
        <f t="array" ref="AQ11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2" s="84" cm="1">
        <f t="array" ref="AR11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2" s="84" cm="1">
        <f t="array" ref="AS11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2" s="84" cm="1">
        <f t="array" ref="AT11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2" s="84" cm="1">
        <f t="array" ref="AU11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2" s="84" cm="1">
        <f t="array" ref="AV11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2" s="84" cm="1">
        <f t="array" ref="AW11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2" s="84" cm="1">
        <f t="array" ref="AX11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2" s="84" cm="1">
        <f t="array" ref="AY11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22" s="84" cm="1">
        <f t="array" ref="AZ11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2" s="84" cm="1">
        <f t="array" ref="BA11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22" s="84" cm="1">
        <f t="array" ref="BB11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22" s="84">
        <f>IF(SUM(Table3[[#This Row],[Column2]:[Column18]])&gt;Table3[[#This Row],[Column19]],Table3[[#This Row],[Column19]],SUM(Table3[[#This Row],[Column2]:[Column18]]))</f>
        <v>10000</v>
      </c>
      <c r="BD1122" s="2">
        <f>Table3[[#This Row],[Total Spend]]/SUM(Table3[[#This Row],[Column2]:[Column18]])</f>
        <v>0.18365472910927455</v>
      </c>
    </row>
    <row r="1123" spans="1:56">
      <c r="A1123" s="84" t="s">
        <v>1198</v>
      </c>
      <c r="B1123" s="84"/>
      <c r="C1123" s="84"/>
      <c r="D1123" s="85">
        <v>45566</v>
      </c>
      <c r="E1123" s="85" t="s">
        <v>92</v>
      </c>
      <c r="F1123" s="84">
        <f>INDEX(Definitions!$G$13:$G$17,MATCH(Table3[[#This Row],[Propensity to buy/ buyer readiness]],Definitions!$A$13:$A$17,0))</f>
        <v>10000</v>
      </c>
      <c r="G1123" s="86">
        <v>3</v>
      </c>
      <c r="H1123" s="86">
        <v>3</v>
      </c>
      <c r="I1123" s="86">
        <v>3</v>
      </c>
      <c r="J1123" s="86">
        <v>4</v>
      </c>
      <c r="K1123" s="86">
        <v>2</v>
      </c>
      <c r="L1123" s="86">
        <f>SUM(Table3[[#This Row],[Strategic priority segment]:[Propensity to buy/ buyer readiness]])</f>
        <v>15</v>
      </c>
      <c r="M1123" s="86" t="s">
        <v>59</v>
      </c>
      <c r="N1123" s="84" t="s">
        <v>265</v>
      </c>
      <c r="O1123" s="84"/>
      <c r="P1123" s="87"/>
      <c r="Q1123" s="87"/>
      <c r="R1123" s="84"/>
      <c r="S1123" s="87"/>
      <c r="T1123" s="87"/>
      <c r="U1123" s="84">
        <v>1</v>
      </c>
      <c r="V1123" s="84">
        <v>1</v>
      </c>
      <c r="W1123" s="84">
        <v>1</v>
      </c>
      <c r="X1123" s="84">
        <v>1</v>
      </c>
      <c r="Y1123" s="84">
        <v>0</v>
      </c>
      <c r="Z1123" s="84">
        <v>0</v>
      </c>
      <c r="AA1123" s="84">
        <v>0</v>
      </c>
      <c r="AB1123" s="84">
        <v>0</v>
      </c>
      <c r="AC1123" s="84">
        <v>0</v>
      </c>
      <c r="AD1123" s="84">
        <v>0</v>
      </c>
      <c r="AE1123" s="84">
        <v>0</v>
      </c>
      <c r="AF1123" s="84">
        <v>0</v>
      </c>
      <c r="AG1123" s="84">
        <v>0</v>
      </c>
      <c r="AH1123" s="84">
        <v>0</v>
      </c>
      <c r="AI1123" s="84">
        <v>1</v>
      </c>
      <c r="AJ1123" s="84">
        <v>0</v>
      </c>
      <c r="AK1123" s="84">
        <v>0</v>
      </c>
      <c r="AL1123" s="84" cm="1">
        <f t="array" ref="AL11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3" s="84" cm="1">
        <f t="array" ref="AM11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3" s="84" cm="1">
        <f t="array" ref="AN11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3" s="84" cm="1">
        <f t="array" ref="AO11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3" s="84" cm="1">
        <f t="array" ref="AP11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3" s="84" cm="1">
        <f t="array" ref="AQ11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3" s="84" cm="1">
        <f t="array" ref="AR11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3" s="84" cm="1">
        <f t="array" ref="AS11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3" s="84" cm="1">
        <f t="array" ref="AT11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3" s="84" cm="1">
        <f t="array" ref="AU11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3" s="84" cm="1">
        <f t="array" ref="AV11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3" s="84" cm="1">
        <f t="array" ref="AW11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3" s="84" cm="1">
        <f t="array" ref="AX11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3" s="84" cm="1">
        <f t="array" ref="AY11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3" s="84" cm="1">
        <f t="array" ref="AZ11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3" s="84" cm="1">
        <f t="array" ref="BA11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3" s="84" cm="1">
        <f t="array" ref="BB11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3" s="84">
        <f>IF(SUM(Table3[[#This Row],[Column2]:[Column18]])&gt;Table3[[#This Row],[Column19]],Table3[[#This Row],[Column19]],SUM(Table3[[#This Row],[Column2]:[Column18]]))</f>
        <v>10000</v>
      </c>
      <c r="BD1123" s="2">
        <f>Table3[[#This Row],[Total Spend]]/SUM(Table3[[#This Row],[Column2]:[Column18]])</f>
        <v>7.2859744990892539E-2</v>
      </c>
    </row>
    <row r="1124" spans="1:56">
      <c r="A1124" s="84" t="s">
        <v>1199</v>
      </c>
      <c r="B1124" s="84"/>
      <c r="C1124" s="84"/>
      <c r="D1124" s="85">
        <v>45566</v>
      </c>
      <c r="E1124" s="85" t="s">
        <v>92</v>
      </c>
      <c r="F1124" s="84">
        <f>INDEX(Definitions!$G$13:$G$17,MATCH(Table3[[#This Row],[Propensity to buy/ buyer readiness]],Definitions!$A$13:$A$17,0))</f>
        <v>10000</v>
      </c>
      <c r="G1124" s="86">
        <v>3</v>
      </c>
      <c r="H1124" s="86">
        <v>3</v>
      </c>
      <c r="I1124" s="86">
        <v>3</v>
      </c>
      <c r="J1124" s="86">
        <v>4</v>
      </c>
      <c r="K1124" s="86">
        <v>2</v>
      </c>
      <c r="L1124" s="86">
        <f>SUM(Table3[[#This Row],[Strategic priority segment]:[Propensity to buy/ buyer readiness]])</f>
        <v>15</v>
      </c>
      <c r="M1124" s="86" t="s">
        <v>59</v>
      </c>
      <c r="N1124" s="84" t="s">
        <v>265</v>
      </c>
      <c r="O1124" s="84"/>
      <c r="P1124" s="87"/>
      <c r="Q1124" s="87"/>
      <c r="R1124" s="84"/>
      <c r="S1124" s="87"/>
      <c r="T1124" s="87"/>
      <c r="U1124" s="84">
        <v>1</v>
      </c>
      <c r="V1124" s="84">
        <v>1</v>
      </c>
      <c r="W1124" s="84">
        <v>1</v>
      </c>
      <c r="X1124" s="84">
        <v>1</v>
      </c>
      <c r="Y1124" s="84">
        <v>0</v>
      </c>
      <c r="Z1124" s="84">
        <v>0</v>
      </c>
      <c r="AA1124" s="84">
        <v>0</v>
      </c>
      <c r="AB1124" s="84">
        <v>0</v>
      </c>
      <c r="AC1124" s="84">
        <v>0</v>
      </c>
      <c r="AD1124" s="84">
        <v>0</v>
      </c>
      <c r="AE1124" s="84">
        <v>0</v>
      </c>
      <c r="AF1124" s="84">
        <v>0</v>
      </c>
      <c r="AG1124" s="84">
        <v>0</v>
      </c>
      <c r="AH1124" s="84">
        <v>0</v>
      </c>
      <c r="AI1124" s="84">
        <v>1</v>
      </c>
      <c r="AJ1124" s="84">
        <v>0</v>
      </c>
      <c r="AK1124" s="84">
        <v>0</v>
      </c>
      <c r="AL1124" s="84" cm="1">
        <f t="array" ref="AL11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4" s="84" cm="1">
        <f t="array" ref="AM11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4" s="84" cm="1">
        <f t="array" ref="AN11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4" s="84" cm="1">
        <f t="array" ref="AO11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4" s="84" cm="1">
        <f t="array" ref="AP11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4" s="84" cm="1">
        <f t="array" ref="AQ11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4" s="84" cm="1">
        <f t="array" ref="AR11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4" s="84" cm="1">
        <f t="array" ref="AS11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4" s="84" cm="1">
        <f t="array" ref="AT11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4" s="84" cm="1">
        <f t="array" ref="AU11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4" s="84" cm="1">
        <f t="array" ref="AV11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4" s="84" cm="1">
        <f t="array" ref="AW11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4" s="84" cm="1">
        <f t="array" ref="AX11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4" s="84" cm="1">
        <f t="array" ref="AY11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4" s="84" cm="1">
        <f t="array" ref="AZ11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4" s="84" cm="1">
        <f t="array" ref="BA11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4" s="84" cm="1">
        <f t="array" ref="BB11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4" s="84">
        <f>IF(SUM(Table3[[#This Row],[Column2]:[Column18]])&gt;Table3[[#This Row],[Column19]],Table3[[#This Row],[Column19]],SUM(Table3[[#This Row],[Column2]:[Column18]]))</f>
        <v>10000</v>
      </c>
      <c r="BD1124" s="2">
        <f>Table3[[#This Row],[Total Spend]]/SUM(Table3[[#This Row],[Column2]:[Column18]])</f>
        <v>7.2859744990892539E-2</v>
      </c>
    </row>
    <row r="1125" spans="1:56">
      <c r="A1125" s="84" t="s">
        <v>1200</v>
      </c>
      <c r="B1125" s="84"/>
      <c r="C1125" s="84"/>
      <c r="D1125" s="85">
        <v>45566</v>
      </c>
      <c r="E1125" s="85" t="s">
        <v>92</v>
      </c>
      <c r="F1125" s="84">
        <f>INDEX(Definitions!$G$13:$G$17,MATCH(Table3[[#This Row],[Propensity to buy/ buyer readiness]],Definitions!$A$13:$A$17,0))</f>
        <v>10000</v>
      </c>
      <c r="G1125" s="86">
        <v>3</v>
      </c>
      <c r="H1125" s="86">
        <v>3</v>
      </c>
      <c r="I1125" s="86">
        <v>3</v>
      </c>
      <c r="J1125" s="86">
        <v>4</v>
      </c>
      <c r="K1125" s="86">
        <v>2</v>
      </c>
      <c r="L1125" s="86">
        <f>SUM(Table3[[#This Row],[Strategic priority segment]:[Propensity to buy/ buyer readiness]])</f>
        <v>15</v>
      </c>
      <c r="M1125" s="86" t="s">
        <v>59</v>
      </c>
      <c r="N1125" s="84" t="s">
        <v>265</v>
      </c>
      <c r="O1125" s="84"/>
      <c r="P1125" s="87"/>
      <c r="Q1125" s="87"/>
      <c r="R1125" s="84"/>
      <c r="S1125" s="87"/>
      <c r="T1125" s="87"/>
      <c r="U1125" s="84">
        <v>1</v>
      </c>
      <c r="V1125" s="84">
        <v>1</v>
      </c>
      <c r="W1125" s="84">
        <v>1</v>
      </c>
      <c r="X1125" s="84">
        <v>1</v>
      </c>
      <c r="Y1125" s="84">
        <v>0</v>
      </c>
      <c r="Z1125" s="84">
        <v>0</v>
      </c>
      <c r="AA1125" s="84">
        <v>0</v>
      </c>
      <c r="AB1125" s="84">
        <v>0</v>
      </c>
      <c r="AC1125" s="84">
        <v>0</v>
      </c>
      <c r="AD1125" s="84">
        <v>0</v>
      </c>
      <c r="AE1125" s="84">
        <v>0</v>
      </c>
      <c r="AF1125" s="84">
        <v>0</v>
      </c>
      <c r="AG1125" s="84">
        <v>0</v>
      </c>
      <c r="AH1125" s="84">
        <v>0</v>
      </c>
      <c r="AI1125" s="84">
        <v>1</v>
      </c>
      <c r="AJ1125" s="84">
        <v>0</v>
      </c>
      <c r="AK1125" s="84">
        <v>0</v>
      </c>
      <c r="AL1125" s="84" cm="1">
        <f t="array" ref="AL11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5" s="84" cm="1">
        <f t="array" ref="AM11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5" s="84" cm="1">
        <f t="array" ref="AN11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5" s="84" cm="1">
        <f t="array" ref="AO11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5" s="84" cm="1">
        <f t="array" ref="AP11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5" s="84" cm="1">
        <f t="array" ref="AQ11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5" s="84" cm="1">
        <f t="array" ref="AR11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5" s="84" cm="1">
        <f t="array" ref="AS11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5" s="84" cm="1">
        <f t="array" ref="AT11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5" s="84" cm="1">
        <f t="array" ref="AU11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5" s="84" cm="1">
        <f t="array" ref="AV11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5" s="84" cm="1">
        <f t="array" ref="AW11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5" s="84" cm="1">
        <f t="array" ref="AX11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5" s="84" cm="1">
        <f t="array" ref="AY11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5" s="84" cm="1">
        <f t="array" ref="AZ11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5" s="84" cm="1">
        <f t="array" ref="BA11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5" s="84" cm="1">
        <f t="array" ref="BB11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5" s="84">
        <f>IF(SUM(Table3[[#This Row],[Column2]:[Column18]])&gt;Table3[[#This Row],[Column19]],Table3[[#This Row],[Column19]],SUM(Table3[[#This Row],[Column2]:[Column18]]))</f>
        <v>10000</v>
      </c>
      <c r="BD1125" s="2">
        <f>Table3[[#This Row],[Total Spend]]/SUM(Table3[[#This Row],[Column2]:[Column18]])</f>
        <v>7.2859744990892539E-2</v>
      </c>
    </row>
    <row r="1126" spans="1:56">
      <c r="A1126" s="84" t="s">
        <v>1201</v>
      </c>
      <c r="B1126" s="84" t="s">
        <v>57</v>
      </c>
      <c r="C1126" s="84"/>
      <c r="D1126" s="85">
        <v>45566</v>
      </c>
      <c r="E1126" s="85" t="s">
        <v>92</v>
      </c>
      <c r="F1126" s="84">
        <f>INDEX(Definitions!$G$13:$G$17,MATCH(Table3[[#This Row],[Propensity to buy/ buyer readiness]],Definitions!$A$13:$A$17,0))</f>
        <v>10000</v>
      </c>
      <c r="G1126" s="86">
        <v>3</v>
      </c>
      <c r="H1126" s="86">
        <v>3</v>
      </c>
      <c r="I1126" s="86">
        <v>4</v>
      </c>
      <c r="J1126" s="86">
        <v>3</v>
      </c>
      <c r="K1126" s="86">
        <v>2</v>
      </c>
      <c r="L1126" s="86">
        <f>SUM(Table3[[#This Row],[Strategic priority segment]:[Propensity to buy/ buyer readiness]])</f>
        <v>15</v>
      </c>
      <c r="M1126" s="86" t="s">
        <v>191</v>
      </c>
      <c r="N1126" s="84" t="s">
        <v>135</v>
      </c>
      <c r="O1126" s="84"/>
      <c r="P1126" s="87"/>
      <c r="Q1126" s="87"/>
      <c r="R1126" s="84"/>
      <c r="S1126" s="87"/>
      <c r="T1126" s="87"/>
      <c r="U1126" s="84">
        <v>0</v>
      </c>
      <c r="V1126" s="84">
        <v>0</v>
      </c>
      <c r="W1126" s="84">
        <v>0</v>
      </c>
      <c r="X1126" s="84">
        <v>0</v>
      </c>
      <c r="Y1126" s="84">
        <v>0</v>
      </c>
      <c r="Z1126" s="84">
        <v>0</v>
      </c>
      <c r="AA1126" s="84">
        <v>0</v>
      </c>
      <c r="AB1126" s="84">
        <v>0</v>
      </c>
      <c r="AC1126" s="84">
        <v>0</v>
      </c>
      <c r="AD1126" s="84">
        <v>0</v>
      </c>
      <c r="AE1126" s="84">
        <v>0</v>
      </c>
      <c r="AF1126" s="84">
        <v>0</v>
      </c>
      <c r="AG1126" s="84">
        <v>0</v>
      </c>
      <c r="AH1126" s="84">
        <v>1</v>
      </c>
      <c r="AI1126" s="84">
        <v>1</v>
      </c>
      <c r="AJ1126" s="84">
        <v>1</v>
      </c>
      <c r="AK1126" s="84">
        <v>1</v>
      </c>
      <c r="AL1126" s="84" cm="1">
        <f t="array" ref="AL11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26" s="84" cm="1">
        <f t="array" ref="AM11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26" s="84" cm="1">
        <f t="array" ref="AN11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26" s="84" cm="1">
        <f t="array" ref="AO11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26" s="84" cm="1">
        <f t="array" ref="AP11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6" s="84" cm="1">
        <f t="array" ref="AQ11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6" s="84" cm="1">
        <f t="array" ref="AR11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6" s="84" cm="1">
        <f t="array" ref="AS11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6" s="84" cm="1">
        <f t="array" ref="AT11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6" s="84" cm="1">
        <f t="array" ref="AU11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6" s="84" cm="1">
        <f t="array" ref="AV11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6" s="84" cm="1">
        <f t="array" ref="AW11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6" s="84" cm="1">
        <f t="array" ref="AX11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6" s="84" cm="1">
        <f t="array" ref="AY11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26" s="84" cm="1">
        <f t="array" ref="AZ11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6" s="84" cm="1">
        <f t="array" ref="BA11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26" s="84" cm="1">
        <f t="array" ref="BB11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26" s="84">
        <f>IF(SUM(Table3[[#This Row],[Column2]:[Column18]])&gt;Table3[[#This Row],[Column19]],Table3[[#This Row],[Column19]],SUM(Table3[[#This Row],[Column2]:[Column18]]))</f>
        <v>10000</v>
      </c>
      <c r="BD1126" s="2">
        <f>Table3[[#This Row],[Total Spend]]/SUM(Table3[[#This Row],[Column2]:[Column18]])</f>
        <v>0.21574973031283712</v>
      </c>
    </row>
    <row r="1127" spans="1:56">
      <c r="A1127" s="84" t="s">
        <v>1202</v>
      </c>
      <c r="B1127" s="84"/>
      <c r="C1127" s="84"/>
      <c r="D1127" s="85">
        <v>45566</v>
      </c>
      <c r="E1127" s="85" t="s">
        <v>58</v>
      </c>
      <c r="F1127" s="84">
        <f>INDEX(Definitions!$G$13:$G$17,MATCH(Table3[[#This Row],[Propensity to buy/ buyer readiness]],Definitions!$A$13:$A$17,0))</f>
        <v>150000</v>
      </c>
      <c r="G1127" s="86">
        <v>3</v>
      </c>
      <c r="H1127" s="86">
        <v>3</v>
      </c>
      <c r="I1127" s="86">
        <v>2</v>
      </c>
      <c r="J1127" s="86">
        <v>3</v>
      </c>
      <c r="K1127" s="86">
        <v>4</v>
      </c>
      <c r="L1127" s="86">
        <f>SUM(Table3[[#This Row],[Strategic priority segment]:[Propensity to buy/ buyer readiness]])</f>
        <v>15</v>
      </c>
      <c r="M1127" s="86" t="s">
        <v>152</v>
      </c>
      <c r="N1127" s="84" t="s">
        <v>122</v>
      </c>
      <c r="O1127" s="84"/>
      <c r="P1127" s="87"/>
      <c r="Q1127" s="87"/>
      <c r="R1127" s="84"/>
      <c r="S1127" s="87"/>
      <c r="T1127" s="87"/>
      <c r="U1127" s="84">
        <v>1</v>
      </c>
      <c r="V1127" s="84">
        <v>0</v>
      </c>
      <c r="W1127" s="84">
        <v>0</v>
      </c>
      <c r="X1127" s="84">
        <v>0</v>
      </c>
      <c r="Y1127" s="84">
        <v>0</v>
      </c>
      <c r="Z1127" s="84">
        <v>1</v>
      </c>
      <c r="AA1127" s="84">
        <v>0</v>
      </c>
      <c r="AB1127" s="84">
        <v>1</v>
      </c>
      <c r="AC1127" s="84">
        <v>0</v>
      </c>
      <c r="AD1127" s="84">
        <v>1</v>
      </c>
      <c r="AE1127" s="84">
        <v>0</v>
      </c>
      <c r="AF1127" s="84">
        <v>1</v>
      </c>
      <c r="AG1127" s="84">
        <v>0</v>
      </c>
      <c r="AH1127" s="84">
        <v>0</v>
      </c>
      <c r="AI1127" s="84">
        <v>0</v>
      </c>
      <c r="AJ1127" s="84">
        <v>0</v>
      </c>
      <c r="AK1127" s="84">
        <v>0</v>
      </c>
      <c r="AL1127" s="84" cm="1">
        <f t="array" ref="AL11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27" s="84" cm="1">
        <f t="array" ref="AM11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27" s="84" cm="1">
        <f t="array" ref="AN11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27" s="84" cm="1">
        <f t="array" ref="AO11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27" s="84" cm="1">
        <f t="array" ref="AP11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7" s="84" cm="1">
        <f t="array" ref="AQ11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27" s="84" cm="1">
        <f t="array" ref="AR11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7" s="84" cm="1">
        <f t="array" ref="AS11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27" s="84" cm="1">
        <f t="array" ref="AT11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7" s="84" cm="1">
        <f t="array" ref="AU11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27" s="84" cm="1">
        <f t="array" ref="AV11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7" s="84" cm="1">
        <f t="array" ref="AW11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27" s="84" cm="1">
        <f t="array" ref="AX11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7" s="84" cm="1">
        <f t="array" ref="AY11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7" s="84" cm="1">
        <f t="array" ref="AZ11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27" s="84" cm="1">
        <f t="array" ref="BA11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7" s="84" cm="1">
        <f t="array" ref="BB11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7" s="84">
        <f>IF(SUM(Table3[[#This Row],[Column2]:[Column18]])&gt;Table3[[#This Row],[Column19]],Table3[[#This Row],[Column19]],SUM(Table3[[#This Row],[Column2]:[Column18]]))</f>
        <v>150000</v>
      </c>
      <c r="BD1127" s="2">
        <f>Table3[[#This Row],[Total Spend]]/SUM(Table3[[#This Row],[Column2]:[Column18]])</f>
        <v>0.89605734767025091</v>
      </c>
    </row>
    <row r="1128" spans="1:56">
      <c r="A1128" s="84" t="s">
        <v>1203</v>
      </c>
      <c r="B1128" s="84"/>
      <c r="C1128" s="84"/>
      <c r="D1128" s="85">
        <v>45566</v>
      </c>
      <c r="E1128" s="85" t="s">
        <v>92</v>
      </c>
      <c r="F1128" s="84">
        <f>INDEX(Definitions!$G$13:$G$17,MATCH(Table3[[#This Row],[Propensity to buy/ buyer readiness]],Definitions!$A$13:$A$17,0))</f>
        <v>10000</v>
      </c>
      <c r="G1128" s="86">
        <v>3</v>
      </c>
      <c r="H1128" s="86">
        <v>3</v>
      </c>
      <c r="I1128" s="86">
        <v>3</v>
      </c>
      <c r="J1128" s="86">
        <v>4</v>
      </c>
      <c r="K1128" s="86">
        <v>2</v>
      </c>
      <c r="L1128" s="86">
        <f>SUM(Table3[[#This Row],[Strategic priority segment]:[Propensity to buy/ buyer readiness]])</f>
        <v>15</v>
      </c>
      <c r="M1128" s="86" t="s">
        <v>59</v>
      </c>
      <c r="N1128" s="84" t="s">
        <v>265</v>
      </c>
      <c r="O1128" s="84"/>
      <c r="P1128" s="87"/>
      <c r="Q1128" s="87"/>
      <c r="R1128" s="84"/>
      <c r="S1128" s="87"/>
      <c r="T1128" s="87"/>
      <c r="U1128" s="84">
        <v>1</v>
      </c>
      <c r="V1128" s="84">
        <v>1</v>
      </c>
      <c r="W1128" s="84">
        <v>1</v>
      </c>
      <c r="X1128" s="84">
        <v>1</v>
      </c>
      <c r="Y1128" s="84">
        <v>0</v>
      </c>
      <c r="Z1128" s="84">
        <v>0</v>
      </c>
      <c r="AA1128" s="84">
        <v>0</v>
      </c>
      <c r="AB1128" s="84">
        <v>0</v>
      </c>
      <c r="AC1128" s="84">
        <v>0</v>
      </c>
      <c r="AD1128" s="84">
        <v>0</v>
      </c>
      <c r="AE1128" s="84">
        <v>0</v>
      </c>
      <c r="AF1128" s="84">
        <v>0</v>
      </c>
      <c r="AG1128" s="84">
        <v>0</v>
      </c>
      <c r="AH1128" s="84">
        <v>0</v>
      </c>
      <c r="AI1128" s="84">
        <v>1</v>
      </c>
      <c r="AJ1128" s="84">
        <v>0</v>
      </c>
      <c r="AK1128" s="84">
        <v>0</v>
      </c>
      <c r="AL1128" s="84" cm="1">
        <f t="array" ref="AL11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8" s="84" cm="1">
        <f t="array" ref="AM11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8" s="84" cm="1">
        <f t="array" ref="AN11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8" s="84" cm="1">
        <f t="array" ref="AO11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8" s="84" cm="1">
        <f t="array" ref="AP11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8" s="84" cm="1">
        <f t="array" ref="AQ11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8" s="84" cm="1">
        <f t="array" ref="AR11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8" s="84" cm="1">
        <f t="array" ref="AS11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8" s="84" cm="1">
        <f t="array" ref="AT11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8" s="84" cm="1">
        <f t="array" ref="AU11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8" s="84" cm="1">
        <f t="array" ref="AV11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8" s="84" cm="1">
        <f t="array" ref="AW11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8" s="84" cm="1">
        <f t="array" ref="AX11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8" s="84" cm="1">
        <f t="array" ref="AY11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8" s="84" cm="1">
        <f t="array" ref="AZ11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8" s="84" cm="1">
        <f t="array" ref="BA11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8" s="84" cm="1">
        <f t="array" ref="BB11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8" s="84">
        <f>IF(SUM(Table3[[#This Row],[Column2]:[Column18]])&gt;Table3[[#This Row],[Column19]],Table3[[#This Row],[Column19]],SUM(Table3[[#This Row],[Column2]:[Column18]]))</f>
        <v>10000</v>
      </c>
      <c r="BD1128" s="2">
        <f>Table3[[#This Row],[Total Spend]]/SUM(Table3[[#This Row],[Column2]:[Column18]])</f>
        <v>7.2859744990892539E-2</v>
      </c>
    </row>
    <row r="1129" spans="1:56">
      <c r="A1129" s="84" t="s">
        <v>1204</v>
      </c>
      <c r="B1129" s="84"/>
      <c r="C1129" s="84"/>
      <c r="D1129" s="85">
        <v>45566</v>
      </c>
      <c r="E1129" s="85" t="s">
        <v>92</v>
      </c>
      <c r="F1129" s="84">
        <f>INDEX(Definitions!$G$13:$G$17,MATCH(Table3[[#This Row],[Propensity to buy/ buyer readiness]],Definitions!$A$13:$A$17,0))</f>
        <v>10000</v>
      </c>
      <c r="G1129" s="86">
        <v>3</v>
      </c>
      <c r="H1129" s="86">
        <v>3</v>
      </c>
      <c r="I1129" s="86">
        <v>3</v>
      </c>
      <c r="J1129" s="86">
        <v>4</v>
      </c>
      <c r="K1129" s="86">
        <v>2</v>
      </c>
      <c r="L1129" s="86">
        <f>SUM(Table3[[#This Row],[Strategic priority segment]:[Propensity to buy/ buyer readiness]])</f>
        <v>15</v>
      </c>
      <c r="M1129" s="86" t="s">
        <v>59</v>
      </c>
      <c r="N1129" s="84" t="s">
        <v>265</v>
      </c>
      <c r="O1129" s="84"/>
      <c r="P1129" s="87"/>
      <c r="Q1129" s="87"/>
      <c r="R1129" s="84"/>
      <c r="S1129" s="87"/>
      <c r="T1129" s="87"/>
      <c r="U1129" s="84">
        <v>1</v>
      </c>
      <c r="V1129" s="84">
        <v>1</v>
      </c>
      <c r="W1129" s="84">
        <v>1</v>
      </c>
      <c r="X1129" s="84">
        <v>1</v>
      </c>
      <c r="Y1129" s="84">
        <v>0</v>
      </c>
      <c r="Z1129" s="84">
        <v>0</v>
      </c>
      <c r="AA1129" s="84">
        <v>0</v>
      </c>
      <c r="AB1129" s="84">
        <v>0</v>
      </c>
      <c r="AC1129" s="84">
        <v>0</v>
      </c>
      <c r="AD1129" s="84">
        <v>0</v>
      </c>
      <c r="AE1129" s="84">
        <v>0</v>
      </c>
      <c r="AF1129" s="84">
        <v>0</v>
      </c>
      <c r="AG1129" s="84">
        <v>0</v>
      </c>
      <c r="AH1129" s="84">
        <v>0</v>
      </c>
      <c r="AI1129" s="84">
        <v>1</v>
      </c>
      <c r="AJ1129" s="84">
        <v>0</v>
      </c>
      <c r="AK1129" s="84">
        <v>0</v>
      </c>
      <c r="AL1129" s="84" cm="1">
        <f t="array" ref="AL11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29" s="84" cm="1">
        <f t="array" ref="AM11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29" s="84" cm="1">
        <f t="array" ref="AN11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29" s="84" cm="1">
        <f t="array" ref="AO11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29" s="84" cm="1">
        <f t="array" ref="AP11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29" s="84" cm="1">
        <f t="array" ref="AQ11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29" s="84" cm="1">
        <f t="array" ref="AR11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29" s="84" cm="1">
        <f t="array" ref="AS11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29" s="84" cm="1">
        <f t="array" ref="AT11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29" s="84" cm="1">
        <f t="array" ref="AU11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29" s="84" cm="1">
        <f t="array" ref="AV11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29" s="84" cm="1">
        <f t="array" ref="AW11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29" s="84" cm="1">
        <f t="array" ref="AX11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29" s="84" cm="1">
        <f t="array" ref="AY11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29" s="84" cm="1">
        <f t="array" ref="AZ11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29" s="84" cm="1">
        <f t="array" ref="BA11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29" s="84" cm="1">
        <f t="array" ref="BB11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29" s="84">
        <f>IF(SUM(Table3[[#This Row],[Column2]:[Column18]])&gt;Table3[[#This Row],[Column19]],Table3[[#This Row],[Column19]],SUM(Table3[[#This Row],[Column2]:[Column18]]))</f>
        <v>10000</v>
      </c>
      <c r="BD1129" s="2">
        <f>Table3[[#This Row],[Total Spend]]/SUM(Table3[[#This Row],[Column2]:[Column18]])</f>
        <v>7.2859744990892539E-2</v>
      </c>
    </row>
    <row r="1130" spans="1:56">
      <c r="A1130" s="84" t="s">
        <v>1205</v>
      </c>
      <c r="B1130" s="84"/>
      <c r="C1130" s="84"/>
      <c r="D1130" s="85">
        <v>45566</v>
      </c>
      <c r="E1130" s="85" t="s">
        <v>58</v>
      </c>
      <c r="F1130" s="84">
        <f>INDEX(Definitions!$G$13:$G$17,MATCH(Table3[[#This Row],[Propensity to buy/ buyer readiness]],Definitions!$A$13:$A$17,0))</f>
        <v>150000</v>
      </c>
      <c r="G1130" s="86">
        <v>3</v>
      </c>
      <c r="H1130" s="86">
        <v>3</v>
      </c>
      <c r="I1130" s="86">
        <v>2</v>
      </c>
      <c r="J1130" s="86">
        <v>3</v>
      </c>
      <c r="K1130" s="86">
        <v>4</v>
      </c>
      <c r="L1130" s="86">
        <f>SUM(Table3[[#This Row],[Strategic priority segment]:[Propensity to buy/ buyer readiness]])</f>
        <v>15</v>
      </c>
      <c r="M1130" s="86" t="s">
        <v>152</v>
      </c>
      <c r="N1130" s="84" t="s">
        <v>122</v>
      </c>
      <c r="O1130" s="84"/>
      <c r="P1130" s="87"/>
      <c r="Q1130" s="87"/>
      <c r="R1130" s="84"/>
      <c r="S1130" s="87"/>
      <c r="T1130" s="87"/>
      <c r="U1130" s="84">
        <v>1</v>
      </c>
      <c r="V1130" s="84">
        <v>0</v>
      </c>
      <c r="W1130" s="84">
        <v>0</v>
      </c>
      <c r="X1130" s="84">
        <v>0</v>
      </c>
      <c r="Y1130" s="84">
        <v>0</v>
      </c>
      <c r="Z1130" s="84">
        <v>1</v>
      </c>
      <c r="AA1130" s="84">
        <v>0</v>
      </c>
      <c r="AB1130" s="84">
        <v>1</v>
      </c>
      <c r="AC1130" s="84">
        <v>0</v>
      </c>
      <c r="AD1130" s="84">
        <v>1</v>
      </c>
      <c r="AE1130" s="84">
        <v>0</v>
      </c>
      <c r="AF1130" s="84">
        <v>1</v>
      </c>
      <c r="AG1130" s="84">
        <v>0</v>
      </c>
      <c r="AH1130" s="84">
        <v>0</v>
      </c>
      <c r="AI1130" s="84">
        <v>0</v>
      </c>
      <c r="AJ1130" s="84">
        <v>0</v>
      </c>
      <c r="AK1130" s="84">
        <v>0</v>
      </c>
      <c r="AL1130" s="84" cm="1">
        <f t="array" ref="AL11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30" s="84" cm="1">
        <f t="array" ref="AM11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0" s="84" cm="1">
        <f t="array" ref="AN11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0" s="84" cm="1">
        <f t="array" ref="AO11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0" s="84" cm="1">
        <f t="array" ref="AP11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0" s="84" cm="1">
        <f t="array" ref="AQ11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30" s="84" cm="1">
        <f t="array" ref="AR11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0" s="84" cm="1">
        <f t="array" ref="AS11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30" s="84" cm="1">
        <f t="array" ref="AT11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0" s="84" cm="1">
        <f t="array" ref="AU11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30" s="84" cm="1">
        <f t="array" ref="AV11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0" s="84" cm="1">
        <f t="array" ref="AW11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30" s="84" cm="1">
        <f t="array" ref="AX11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0" s="84" cm="1">
        <f t="array" ref="AY11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0" s="84" cm="1">
        <f t="array" ref="AZ11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30" s="84" cm="1">
        <f t="array" ref="BA11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0" s="84" cm="1">
        <f t="array" ref="BB11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0" s="84">
        <f>IF(SUM(Table3[[#This Row],[Column2]:[Column18]])&gt;Table3[[#This Row],[Column19]],Table3[[#This Row],[Column19]],SUM(Table3[[#This Row],[Column2]:[Column18]]))</f>
        <v>150000</v>
      </c>
      <c r="BD1130" s="2">
        <f>Table3[[#This Row],[Total Spend]]/SUM(Table3[[#This Row],[Column2]:[Column18]])</f>
        <v>0.89605734767025091</v>
      </c>
    </row>
    <row r="1131" spans="1:56">
      <c r="A1131" s="84" t="s">
        <v>1206</v>
      </c>
      <c r="B1131" s="84" t="s">
        <v>57</v>
      </c>
      <c r="C1131" s="84"/>
      <c r="D1131" s="85">
        <v>45566</v>
      </c>
      <c r="E1131" s="85" t="s">
        <v>92</v>
      </c>
      <c r="F1131" s="84">
        <f>INDEX(Definitions!$G$13:$G$17,MATCH(Table3[[#This Row],[Propensity to buy/ buyer readiness]],Definitions!$A$13:$A$17,0))</f>
        <v>10000</v>
      </c>
      <c r="G1131" s="86">
        <v>3</v>
      </c>
      <c r="H1131" s="86">
        <v>3</v>
      </c>
      <c r="I1131" s="86">
        <v>4</v>
      </c>
      <c r="J1131" s="86">
        <v>3</v>
      </c>
      <c r="K1131" s="86">
        <v>2</v>
      </c>
      <c r="L1131" s="86">
        <f>SUM(Table3[[#This Row],[Strategic priority segment]:[Propensity to buy/ buyer readiness]])</f>
        <v>15</v>
      </c>
      <c r="M1131" s="86" t="s">
        <v>152</v>
      </c>
      <c r="N1131" s="84" t="s">
        <v>264</v>
      </c>
      <c r="O1131" s="84"/>
      <c r="P1131" s="87"/>
      <c r="Q1131" s="87"/>
      <c r="R1131" s="84"/>
      <c r="S1131" s="87"/>
      <c r="T1131" s="87"/>
      <c r="U1131" s="84">
        <v>1</v>
      </c>
      <c r="V1131" s="84">
        <v>0</v>
      </c>
      <c r="W1131" s="84">
        <v>0</v>
      </c>
      <c r="X1131" s="84">
        <v>0</v>
      </c>
      <c r="Y1131" s="84">
        <v>0</v>
      </c>
      <c r="Z1131" s="84">
        <v>0</v>
      </c>
      <c r="AA1131" s="84">
        <v>0</v>
      </c>
      <c r="AB1131" s="84">
        <v>0</v>
      </c>
      <c r="AC1131" s="84">
        <v>0</v>
      </c>
      <c r="AD1131" s="84">
        <v>0</v>
      </c>
      <c r="AE1131" s="84">
        <v>0</v>
      </c>
      <c r="AF1131" s="84">
        <v>0</v>
      </c>
      <c r="AG1131" s="84">
        <v>0</v>
      </c>
      <c r="AH1131" s="84">
        <v>0</v>
      </c>
      <c r="AI1131" s="84">
        <v>0</v>
      </c>
      <c r="AJ1131" s="84">
        <v>0</v>
      </c>
      <c r="AK1131" s="84">
        <v>0</v>
      </c>
      <c r="AL1131" s="84" cm="1">
        <f t="array" ref="AL11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1" s="84" cm="1">
        <f t="array" ref="AM11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1" s="84" cm="1">
        <f t="array" ref="AN11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1" s="84" cm="1">
        <f t="array" ref="AO11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1" s="84" cm="1">
        <f t="array" ref="AP11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1" s="84" cm="1">
        <f t="array" ref="AQ11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1" s="84" cm="1">
        <f t="array" ref="AR11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1" s="84" cm="1">
        <f t="array" ref="AS11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1" s="84" cm="1">
        <f t="array" ref="AT11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1" s="84" cm="1">
        <f t="array" ref="AU11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1" s="84" cm="1">
        <f t="array" ref="AV11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1" s="84" cm="1">
        <f t="array" ref="AW11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1" s="84" cm="1">
        <f t="array" ref="AX11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1" s="84" cm="1">
        <f t="array" ref="AY11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1" s="84" cm="1">
        <f t="array" ref="AZ11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31" s="84" cm="1">
        <f t="array" ref="BA11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1" s="84" cm="1">
        <f t="array" ref="BB11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1" s="84">
        <f>IF(SUM(Table3[[#This Row],[Column2]:[Column18]])&gt;Table3[[#This Row],[Column19]],Table3[[#This Row],[Column19]],SUM(Table3[[#This Row],[Column2]:[Column18]]))</f>
        <v>8100</v>
      </c>
      <c r="BD1131" s="2">
        <f>Table3[[#This Row],[Total Spend]]/SUM(Table3[[#This Row],[Column2]:[Column18]])</f>
        <v>1</v>
      </c>
    </row>
    <row r="1132" spans="1:56">
      <c r="A1132" s="84" t="s">
        <v>1207</v>
      </c>
      <c r="B1132" s="84"/>
      <c r="C1132" s="84"/>
      <c r="D1132" s="85">
        <v>45566</v>
      </c>
      <c r="E1132" s="85" t="s">
        <v>92</v>
      </c>
      <c r="F1132" s="84">
        <f>INDEX(Definitions!$G$13:$G$17,MATCH(Table3[[#This Row],[Propensity to buy/ buyer readiness]],Definitions!$A$13:$A$17,0))</f>
        <v>10000</v>
      </c>
      <c r="G1132" s="86">
        <v>3</v>
      </c>
      <c r="H1132" s="86">
        <v>3</v>
      </c>
      <c r="I1132" s="86">
        <v>3</v>
      </c>
      <c r="J1132" s="86">
        <v>4</v>
      </c>
      <c r="K1132" s="86">
        <v>2</v>
      </c>
      <c r="L1132" s="86">
        <f>SUM(Table3[[#This Row],[Strategic priority segment]:[Propensity to buy/ buyer readiness]])</f>
        <v>15</v>
      </c>
      <c r="M1132" s="86" t="s">
        <v>59</v>
      </c>
      <c r="N1132" s="84" t="s">
        <v>265</v>
      </c>
      <c r="O1132" s="84"/>
      <c r="P1132" s="87"/>
      <c r="Q1132" s="87"/>
      <c r="R1132" s="84"/>
      <c r="S1132" s="87"/>
      <c r="T1132" s="87"/>
      <c r="U1132" s="84">
        <v>1</v>
      </c>
      <c r="V1132" s="84">
        <v>1</v>
      </c>
      <c r="W1132" s="84">
        <v>1</v>
      </c>
      <c r="X1132" s="84">
        <v>1</v>
      </c>
      <c r="Y1132" s="84">
        <v>0</v>
      </c>
      <c r="Z1132" s="84">
        <v>0</v>
      </c>
      <c r="AA1132" s="84">
        <v>0</v>
      </c>
      <c r="AB1132" s="84">
        <v>0</v>
      </c>
      <c r="AC1132" s="84">
        <v>0</v>
      </c>
      <c r="AD1132" s="84">
        <v>0</v>
      </c>
      <c r="AE1132" s="84">
        <v>0</v>
      </c>
      <c r="AF1132" s="84">
        <v>0</v>
      </c>
      <c r="AG1132" s="84">
        <v>0</v>
      </c>
      <c r="AH1132" s="84">
        <v>0</v>
      </c>
      <c r="AI1132" s="84">
        <v>1</v>
      </c>
      <c r="AJ1132" s="84">
        <v>0</v>
      </c>
      <c r="AK1132" s="84">
        <v>0</v>
      </c>
      <c r="AL1132" s="84" cm="1">
        <f t="array" ref="AL11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2" s="84" cm="1">
        <f t="array" ref="AM11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32" s="84" cm="1">
        <f t="array" ref="AN11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32" s="84" cm="1">
        <f t="array" ref="AO11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32" s="84" cm="1">
        <f t="array" ref="AP11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2" s="84" cm="1">
        <f t="array" ref="AQ11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2" s="84" cm="1">
        <f t="array" ref="AR11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2" s="84" cm="1">
        <f t="array" ref="AS11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2" s="84" cm="1">
        <f t="array" ref="AT11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2" s="84" cm="1">
        <f t="array" ref="AU11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2" s="84" cm="1">
        <f t="array" ref="AV11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2" s="84" cm="1">
        <f t="array" ref="AW11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2" s="84" cm="1">
        <f t="array" ref="AX11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2" s="84" cm="1">
        <f t="array" ref="AY11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2" s="84" cm="1">
        <f t="array" ref="AZ11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32" s="84" cm="1">
        <f t="array" ref="BA11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2" s="84" cm="1">
        <f t="array" ref="BB11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2" s="84">
        <f>IF(SUM(Table3[[#This Row],[Column2]:[Column18]])&gt;Table3[[#This Row],[Column19]],Table3[[#This Row],[Column19]],SUM(Table3[[#This Row],[Column2]:[Column18]]))</f>
        <v>10000</v>
      </c>
      <c r="BD1132" s="2">
        <f>Table3[[#This Row],[Total Spend]]/SUM(Table3[[#This Row],[Column2]:[Column18]])</f>
        <v>7.2859744990892539E-2</v>
      </c>
    </row>
    <row r="1133" spans="1:56">
      <c r="A1133" s="84" t="s">
        <v>1208</v>
      </c>
      <c r="B1133" s="84"/>
      <c r="C1133" s="84"/>
      <c r="D1133" s="85">
        <v>45566</v>
      </c>
      <c r="E1133" s="85" t="s">
        <v>92</v>
      </c>
      <c r="F1133" s="84">
        <f>INDEX(Definitions!$G$13:$G$17,MATCH(Table3[[#This Row],[Propensity to buy/ buyer readiness]],Definitions!$A$13:$A$17,0))</f>
        <v>10000</v>
      </c>
      <c r="G1133" s="86">
        <v>3</v>
      </c>
      <c r="H1133" s="86">
        <v>3</v>
      </c>
      <c r="I1133" s="86">
        <v>3</v>
      </c>
      <c r="J1133" s="86">
        <v>4</v>
      </c>
      <c r="K1133" s="86">
        <v>2</v>
      </c>
      <c r="L1133" s="86">
        <f>SUM(Table3[[#This Row],[Strategic priority segment]:[Propensity to buy/ buyer readiness]])</f>
        <v>15</v>
      </c>
      <c r="M1133" s="86" t="s">
        <v>59</v>
      </c>
      <c r="N1133" s="84" t="s">
        <v>265</v>
      </c>
      <c r="O1133" s="84"/>
      <c r="P1133" s="87"/>
      <c r="Q1133" s="87"/>
      <c r="R1133" s="84"/>
      <c r="S1133" s="87"/>
      <c r="T1133" s="87"/>
      <c r="U1133" s="84">
        <v>1</v>
      </c>
      <c r="V1133" s="84">
        <v>1</v>
      </c>
      <c r="W1133" s="84">
        <v>1</v>
      </c>
      <c r="X1133" s="84">
        <v>1</v>
      </c>
      <c r="Y1133" s="84">
        <v>0</v>
      </c>
      <c r="Z1133" s="84">
        <v>0</v>
      </c>
      <c r="AA1133" s="84">
        <v>0</v>
      </c>
      <c r="AB1133" s="84">
        <v>0</v>
      </c>
      <c r="AC1133" s="84">
        <v>0</v>
      </c>
      <c r="AD1133" s="84">
        <v>0</v>
      </c>
      <c r="AE1133" s="84">
        <v>0</v>
      </c>
      <c r="AF1133" s="84">
        <v>0</v>
      </c>
      <c r="AG1133" s="84">
        <v>0</v>
      </c>
      <c r="AH1133" s="84">
        <v>0</v>
      </c>
      <c r="AI1133" s="84">
        <v>1</v>
      </c>
      <c r="AJ1133" s="84">
        <v>0</v>
      </c>
      <c r="AK1133" s="84">
        <v>0</v>
      </c>
      <c r="AL1133" s="84" cm="1">
        <f t="array" ref="AL11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3" s="84" cm="1">
        <f t="array" ref="AM11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33" s="84" cm="1">
        <f t="array" ref="AN11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33" s="84" cm="1">
        <f t="array" ref="AO11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33" s="84" cm="1">
        <f t="array" ref="AP11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3" s="84" cm="1">
        <f t="array" ref="AQ11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3" s="84" cm="1">
        <f t="array" ref="AR11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3" s="84" cm="1">
        <f t="array" ref="AS11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3" s="84" cm="1">
        <f t="array" ref="AT11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3" s="84" cm="1">
        <f t="array" ref="AU11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3" s="84" cm="1">
        <f t="array" ref="AV11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3" s="84" cm="1">
        <f t="array" ref="AW11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3" s="84" cm="1">
        <f t="array" ref="AX11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3" s="84" cm="1">
        <f t="array" ref="AY11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3" s="84" cm="1">
        <f t="array" ref="AZ11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33" s="84" cm="1">
        <f t="array" ref="BA11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3" s="84" cm="1">
        <f t="array" ref="BB11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3" s="84">
        <f>IF(SUM(Table3[[#This Row],[Column2]:[Column18]])&gt;Table3[[#This Row],[Column19]],Table3[[#This Row],[Column19]],SUM(Table3[[#This Row],[Column2]:[Column18]]))</f>
        <v>10000</v>
      </c>
      <c r="BD1133" s="2">
        <f>Table3[[#This Row],[Total Spend]]/SUM(Table3[[#This Row],[Column2]:[Column18]])</f>
        <v>7.2859744990892539E-2</v>
      </c>
    </row>
    <row r="1134" spans="1:56">
      <c r="A1134" s="84" t="s">
        <v>1209</v>
      </c>
      <c r="B1134" s="84"/>
      <c r="C1134" s="84"/>
      <c r="D1134" s="85">
        <v>45566</v>
      </c>
      <c r="E1134" s="85" t="s">
        <v>58</v>
      </c>
      <c r="F1134" s="84">
        <f>INDEX(Definitions!$G$13:$G$17,MATCH(Table3[[#This Row],[Propensity to buy/ buyer readiness]],Definitions!$A$13:$A$17,0))</f>
        <v>150000</v>
      </c>
      <c r="G1134" s="86">
        <v>3</v>
      </c>
      <c r="H1134" s="86">
        <v>3</v>
      </c>
      <c r="I1134" s="86">
        <v>2</v>
      </c>
      <c r="J1134" s="86">
        <v>3</v>
      </c>
      <c r="K1134" s="86">
        <v>4</v>
      </c>
      <c r="L1134" s="86">
        <f>SUM(Table3[[#This Row],[Strategic priority segment]:[Propensity to buy/ buyer readiness]])</f>
        <v>15</v>
      </c>
      <c r="M1134" s="86" t="s">
        <v>152</v>
      </c>
      <c r="N1134" s="84" t="s">
        <v>122</v>
      </c>
      <c r="O1134" s="84"/>
      <c r="P1134" s="87"/>
      <c r="Q1134" s="87"/>
      <c r="R1134" s="84"/>
      <c r="S1134" s="87"/>
      <c r="T1134" s="87"/>
      <c r="U1134" s="84">
        <v>1</v>
      </c>
      <c r="V1134" s="84">
        <v>0</v>
      </c>
      <c r="W1134" s="84">
        <v>0</v>
      </c>
      <c r="X1134" s="84">
        <v>0</v>
      </c>
      <c r="Y1134" s="84">
        <v>0</v>
      </c>
      <c r="Z1134" s="84">
        <v>1</v>
      </c>
      <c r="AA1134" s="84">
        <v>0</v>
      </c>
      <c r="AB1134" s="84">
        <v>1</v>
      </c>
      <c r="AC1134" s="84">
        <v>0</v>
      </c>
      <c r="AD1134" s="84">
        <v>1</v>
      </c>
      <c r="AE1134" s="84">
        <v>0</v>
      </c>
      <c r="AF1134" s="84">
        <v>1</v>
      </c>
      <c r="AG1134" s="84">
        <v>0</v>
      </c>
      <c r="AH1134" s="84">
        <v>0</v>
      </c>
      <c r="AI1134" s="84">
        <v>0</v>
      </c>
      <c r="AJ1134" s="84">
        <v>0</v>
      </c>
      <c r="AK1134" s="84">
        <v>0</v>
      </c>
      <c r="AL1134" s="84" cm="1">
        <f t="array" ref="AL11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34" s="84" cm="1">
        <f t="array" ref="AM11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4" s="84" cm="1">
        <f t="array" ref="AN11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4" s="84" cm="1">
        <f t="array" ref="AO11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4" s="84" cm="1">
        <f t="array" ref="AP11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4" s="84" cm="1">
        <f t="array" ref="AQ11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34" s="84" cm="1">
        <f t="array" ref="AR11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4" s="84" cm="1">
        <f t="array" ref="AS11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34" s="84" cm="1">
        <f t="array" ref="AT11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4" s="84" cm="1">
        <f t="array" ref="AU11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34" s="84" cm="1">
        <f t="array" ref="AV11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4" s="84" cm="1">
        <f t="array" ref="AW11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34" s="84" cm="1">
        <f t="array" ref="AX11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4" s="84" cm="1">
        <f t="array" ref="AY11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4" s="84" cm="1">
        <f t="array" ref="AZ11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34" s="84" cm="1">
        <f t="array" ref="BA11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4" s="84" cm="1">
        <f t="array" ref="BB11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4" s="84">
        <f>IF(SUM(Table3[[#This Row],[Column2]:[Column18]])&gt;Table3[[#This Row],[Column19]],Table3[[#This Row],[Column19]],SUM(Table3[[#This Row],[Column2]:[Column18]]))</f>
        <v>150000</v>
      </c>
      <c r="BD1134" s="2">
        <f>Table3[[#This Row],[Total Spend]]/SUM(Table3[[#This Row],[Column2]:[Column18]])</f>
        <v>0.89605734767025091</v>
      </c>
    </row>
    <row r="1135" spans="1:56">
      <c r="A1135" s="84" t="s">
        <v>1210</v>
      </c>
      <c r="B1135" s="84"/>
      <c r="C1135" s="84"/>
      <c r="D1135" s="85">
        <v>45566</v>
      </c>
      <c r="E1135" s="85" t="s">
        <v>92</v>
      </c>
      <c r="F1135" s="84">
        <f>INDEX(Definitions!$G$13:$G$17,MATCH(Table3[[#This Row],[Propensity to buy/ buyer readiness]],Definitions!$A$13:$A$17,0))</f>
        <v>50000</v>
      </c>
      <c r="G1135" s="86">
        <v>3</v>
      </c>
      <c r="H1135" s="86">
        <v>3</v>
      </c>
      <c r="I1135" s="86">
        <v>3</v>
      </c>
      <c r="J1135" s="86">
        <v>3</v>
      </c>
      <c r="K1135" s="86">
        <v>3</v>
      </c>
      <c r="L1135" s="86">
        <f>SUM(Table3[[#This Row],[Strategic priority segment]:[Propensity to buy/ buyer readiness]])</f>
        <v>15</v>
      </c>
      <c r="M1135" s="86" t="s">
        <v>152</v>
      </c>
      <c r="N1135" s="84" t="s">
        <v>153</v>
      </c>
      <c r="O1135" s="87" t="s">
        <v>135</v>
      </c>
      <c r="P1135" s="87"/>
      <c r="Q1135" s="87"/>
      <c r="R1135" s="87"/>
      <c r="S1135" s="87"/>
      <c r="T1135" s="87"/>
      <c r="U1135" s="84">
        <v>1</v>
      </c>
      <c r="V1135" s="84">
        <v>0</v>
      </c>
      <c r="W1135" s="84">
        <v>0</v>
      </c>
      <c r="X1135" s="84">
        <v>0</v>
      </c>
      <c r="Y1135" s="84">
        <v>0</v>
      </c>
      <c r="Z1135" s="84">
        <v>0</v>
      </c>
      <c r="AA1135" s="84">
        <v>0</v>
      </c>
      <c r="AB1135" s="84">
        <v>0</v>
      </c>
      <c r="AC1135" s="84">
        <v>0</v>
      </c>
      <c r="AD1135" s="84">
        <v>0</v>
      </c>
      <c r="AE1135" s="84">
        <v>0</v>
      </c>
      <c r="AF1135" s="84">
        <v>0</v>
      </c>
      <c r="AG1135" s="84">
        <v>0</v>
      </c>
      <c r="AH1135" s="84">
        <v>1</v>
      </c>
      <c r="AI1135" s="84">
        <v>1</v>
      </c>
      <c r="AJ1135" s="84">
        <v>1</v>
      </c>
      <c r="AK1135" s="84">
        <v>1</v>
      </c>
      <c r="AL1135" s="84" cm="1">
        <f t="array" ref="AL11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5" s="84" cm="1">
        <f t="array" ref="AM11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5" s="84" cm="1">
        <f t="array" ref="AN11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5" s="84" cm="1">
        <f t="array" ref="AO11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5" s="84" cm="1">
        <f t="array" ref="AP11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5" s="84" cm="1">
        <f t="array" ref="AQ11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5" s="84" cm="1">
        <f t="array" ref="AR11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5" s="84" cm="1">
        <f t="array" ref="AS11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5" s="84" cm="1">
        <f t="array" ref="AT11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5" s="84" cm="1">
        <f t="array" ref="AU11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5" s="84" cm="1">
        <f t="array" ref="AV11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5" s="84" cm="1">
        <f t="array" ref="AW11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5" s="84" cm="1">
        <f t="array" ref="AX11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5" s="84" cm="1">
        <f t="array" ref="AY11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35" s="84" cm="1">
        <f t="array" ref="AZ11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35" s="84" cm="1">
        <f t="array" ref="BA11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35" s="84" cm="1">
        <f t="array" ref="BB11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35" s="84">
        <f>IF(SUM(Table3[[#This Row],[Column2]:[Column18]])&gt;Table3[[#This Row],[Column19]],Table3[[#This Row],[Column19]],SUM(Table3[[#This Row],[Column2]:[Column18]]))</f>
        <v>50000</v>
      </c>
      <c r="BD1135" s="2">
        <f>Table3[[#This Row],[Total Spend]]/SUM(Table3[[#This Row],[Column2]:[Column18]])</f>
        <v>0.91827364554637281</v>
      </c>
    </row>
    <row r="1136" spans="1:56">
      <c r="A1136" s="84" t="s">
        <v>1211</v>
      </c>
      <c r="B1136" s="84"/>
      <c r="C1136" s="84"/>
      <c r="D1136" s="85">
        <v>45566</v>
      </c>
      <c r="E1136" s="85" t="s">
        <v>92</v>
      </c>
      <c r="F1136" s="84">
        <f>INDEX(Definitions!$G$13:$G$17,MATCH(Table3[[#This Row],[Propensity to buy/ buyer readiness]],Definitions!$A$13:$A$17,0))</f>
        <v>10000</v>
      </c>
      <c r="G1136" s="86">
        <v>3</v>
      </c>
      <c r="H1136" s="86">
        <v>3</v>
      </c>
      <c r="I1136" s="86">
        <v>3</v>
      </c>
      <c r="J1136" s="86">
        <v>4</v>
      </c>
      <c r="K1136" s="86">
        <v>2</v>
      </c>
      <c r="L1136" s="86">
        <f>SUM(Table3[[#This Row],[Strategic priority segment]:[Propensity to buy/ buyer readiness]])</f>
        <v>15</v>
      </c>
      <c r="M1136" s="86" t="s">
        <v>59</v>
      </c>
      <c r="N1136" s="84" t="s">
        <v>265</v>
      </c>
      <c r="O1136" s="84"/>
      <c r="P1136" s="87"/>
      <c r="Q1136" s="87"/>
      <c r="R1136" s="84"/>
      <c r="S1136" s="87"/>
      <c r="T1136" s="87"/>
      <c r="U1136" s="84">
        <v>1</v>
      </c>
      <c r="V1136" s="84">
        <v>1</v>
      </c>
      <c r="W1136" s="84">
        <v>1</v>
      </c>
      <c r="X1136" s="84">
        <v>1</v>
      </c>
      <c r="Y1136" s="84">
        <v>0</v>
      </c>
      <c r="Z1136" s="84">
        <v>0</v>
      </c>
      <c r="AA1136" s="84">
        <v>0</v>
      </c>
      <c r="AB1136" s="84">
        <v>0</v>
      </c>
      <c r="AC1136" s="84">
        <v>0</v>
      </c>
      <c r="AD1136" s="84">
        <v>0</v>
      </c>
      <c r="AE1136" s="84">
        <v>0</v>
      </c>
      <c r="AF1136" s="84">
        <v>0</v>
      </c>
      <c r="AG1136" s="84">
        <v>0</v>
      </c>
      <c r="AH1136" s="84">
        <v>0</v>
      </c>
      <c r="AI1136" s="84">
        <v>1</v>
      </c>
      <c r="AJ1136" s="84">
        <v>0</v>
      </c>
      <c r="AK1136" s="84">
        <v>0</v>
      </c>
      <c r="AL1136" s="84" cm="1">
        <f t="array" ref="AL11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6" s="84" cm="1">
        <f t="array" ref="AM11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36" s="84" cm="1">
        <f t="array" ref="AN11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36" s="84" cm="1">
        <f t="array" ref="AO11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36" s="84" cm="1">
        <f t="array" ref="AP11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6" s="84" cm="1">
        <f t="array" ref="AQ11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6" s="84" cm="1">
        <f t="array" ref="AR11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6" s="84" cm="1">
        <f t="array" ref="AS11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6" s="84" cm="1">
        <f t="array" ref="AT11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6" s="84" cm="1">
        <f t="array" ref="AU11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6" s="84" cm="1">
        <f t="array" ref="AV11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6" s="84" cm="1">
        <f t="array" ref="AW11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6" s="84" cm="1">
        <f t="array" ref="AX11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6" s="84" cm="1">
        <f t="array" ref="AY11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6" s="84" cm="1">
        <f t="array" ref="AZ11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36" s="84" cm="1">
        <f t="array" ref="BA11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6" s="84" cm="1">
        <f t="array" ref="BB11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6" s="84">
        <f>IF(SUM(Table3[[#This Row],[Column2]:[Column18]])&gt;Table3[[#This Row],[Column19]],Table3[[#This Row],[Column19]],SUM(Table3[[#This Row],[Column2]:[Column18]]))</f>
        <v>10000</v>
      </c>
      <c r="BD1136" s="2">
        <f>Table3[[#This Row],[Total Spend]]/SUM(Table3[[#This Row],[Column2]:[Column18]])</f>
        <v>7.2859744990892539E-2</v>
      </c>
    </row>
    <row r="1137" spans="1:56">
      <c r="A1137" s="84" t="s">
        <v>1212</v>
      </c>
      <c r="B1137" s="84"/>
      <c r="C1137" s="84"/>
      <c r="D1137" s="85">
        <v>45566</v>
      </c>
      <c r="E1137" s="85" t="s">
        <v>92</v>
      </c>
      <c r="F1137" s="84">
        <f>INDEX(Definitions!$G$13:$G$17,MATCH(Table3[[#This Row],[Propensity to buy/ buyer readiness]],Definitions!$A$13:$A$17,0))</f>
        <v>10000</v>
      </c>
      <c r="G1137" s="86">
        <v>3</v>
      </c>
      <c r="H1137" s="86">
        <v>3</v>
      </c>
      <c r="I1137" s="86">
        <v>3</v>
      </c>
      <c r="J1137" s="86">
        <v>4</v>
      </c>
      <c r="K1137" s="86">
        <v>2</v>
      </c>
      <c r="L1137" s="86">
        <f>SUM(Table3[[#This Row],[Strategic priority segment]:[Propensity to buy/ buyer readiness]])</f>
        <v>15</v>
      </c>
      <c r="M1137" s="86" t="s">
        <v>59</v>
      </c>
      <c r="N1137" s="84" t="s">
        <v>265</v>
      </c>
      <c r="O1137" s="84"/>
      <c r="P1137" s="87"/>
      <c r="Q1137" s="87"/>
      <c r="R1137" s="84"/>
      <c r="S1137" s="87"/>
      <c r="T1137" s="87"/>
      <c r="U1137" s="84">
        <v>1</v>
      </c>
      <c r="V1137" s="84">
        <v>1</v>
      </c>
      <c r="W1137" s="84">
        <v>1</v>
      </c>
      <c r="X1137" s="84">
        <v>1</v>
      </c>
      <c r="Y1137" s="84">
        <v>0</v>
      </c>
      <c r="Z1137" s="84">
        <v>0</v>
      </c>
      <c r="AA1137" s="84">
        <v>0</v>
      </c>
      <c r="AB1137" s="84">
        <v>0</v>
      </c>
      <c r="AC1137" s="84">
        <v>0</v>
      </c>
      <c r="AD1137" s="84">
        <v>0</v>
      </c>
      <c r="AE1137" s="84">
        <v>0</v>
      </c>
      <c r="AF1137" s="84">
        <v>0</v>
      </c>
      <c r="AG1137" s="84">
        <v>0</v>
      </c>
      <c r="AH1137" s="84">
        <v>0</v>
      </c>
      <c r="AI1137" s="84">
        <v>1</v>
      </c>
      <c r="AJ1137" s="84">
        <v>0</v>
      </c>
      <c r="AK1137" s="84">
        <v>0</v>
      </c>
      <c r="AL1137" s="84" cm="1">
        <f t="array" ref="AL11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7" s="84" cm="1">
        <f t="array" ref="AM11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37" s="84" cm="1">
        <f t="array" ref="AN11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37" s="84" cm="1">
        <f t="array" ref="AO11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37" s="84" cm="1">
        <f t="array" ref="AP11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7" s="84" cm="1">
        <f t="array" ref="AQ11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7" s="84" cm="1">
        <f t="array" ref="AR11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7" s="84" cm="1">
        <f t="array" ref="AS11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7" s="84" cm="1">
        <f t="array" ref="AT11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7" s="84" cm="1">
        <f t="array" ref="AU11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7" s="84" cm="1">
        <f t="array" ref="AV11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7" s="84" cm="1">
        <f t="array" ref="AW11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7" s="84" cm="1">
        <f t="array" ref="AX11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7" s="84" cm="1">
        <f t="array" ref="AY11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7" s="84" cm="1">
        <f t="array" ref="AZ11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37" s="84" cm="1">
        <f t="array" ref="BA11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7" s="84" cm="1">
        <f t="array" ref="BB11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7" s="84">
        <f>IF(SUM(Table3[[#This Row],[Column2]:[Column18]])&gt;Table3[[#This Row],[Column19]],Table3[[#This Row],[Column19]],SUM(Table3[[#This Row],[Column2]:[Column18]]))</f>
        <v>10000</v>
      </c>
      <c r="BD1137" s="2">
        <f>Table3[[#This Row],[Total Spend]]/SUM(Table3[[#This Row],[Column2]:[Column18]])</f>
        <v>7.2859744990892539E-2</v>
      </c>
    </row>
    <row r="1138" spans="1:56">
      <c r="A1138" s="84" t="s">
        <v>1213</v>
      </c>
      <c r="B1138" s="84" t="s">
        <v>57</v>
      </c>
      <c r="C1138" s="84"/>
      <c r="D1138" s="85">
        <v>45566</v>
      </c>
      <c r="E1138" s="85" t="s">
        <v>92</v>
      </c>
      <c r="F1138" s="84">
        <f>INDEX(Definitions!$G$13:$G$17,MATCH(Table3[[#This Row],[Propensity to buy/ buyer readiness]],Definitions!$A$13:$A$17,0))</f>
        <v>10000</v>
      </c>
      <c r="G1138" s="86">
        <v>3</v>
      </c>
      <c r="H1138" s="86">
        <v>3</v>
      </c>
      <c r="I1138" s="86">
        <v>4</v>
      </c>
      <c r="J1138" s="86">
        <v>3</v>
      </c>
      <c r="K1138" s="86">
        <v>2</v>
      </c>
      <c r="L1138" s="86">
        <f>SUM(Table3[[#This Row],[Strategic priority segment]:[Propensity to buy/ buyer readiness]])</f>
        <v>15</v>
      </c>
      <c r="M1138" s="86" t="s">
        <v>152</v>
      </c>
      <c r="N1138" s="84" t="s">
        <v>264</v>
      </c>
      <c r="O1138" s="84"/>
      <c r="P1138" s="87"/>
      <c r="Q1138" s="87"/>
      <c r="R1138" s="84"/>
      <c r="S1138" s="87"/>
      <c r="T1138" s="87"/>
      <c r="U1138" s="84">
        <v>1</v>
      </c>
      <c r="V1138" s="84">
        <v>0</v>
      </c>
      <c r="W1138" s="84">
        <v>0</v>
      </c>
      <c r="X1138" s="84">
        <v>0</v>
      </c>
      <c r="Y1138" s="84">
        <v>0</v>
      </c>
      <c r="Z1138" s="84">
        <v>0</v>
      </c>
      <c r="AA1138" s="84">
        <v>0</v>
      </c>
      <c r="AB1138" s="84">
        <v>0</v>
      </c>
      <c r="AC1138" s="84">
        <v>0</v>
      </c>
      <c r="AD1138" s="84">
        <v>0</v>
      </c>
      <c r="AE1138" s="84">
        <v>0</v>
      </c>
      <c r="AF1138" s="84">
        <v>0</v>
      </c>
      <c r="AG1138" s="84">
        <v>0</v>
      </c>
      <c r="AH1138" s="84">
        <v>0</v>
      </c>
      <c r="AI1138" s="84">
        <v>0</v>
      </c>
      <c r="AJ1138" s="84">
        <v>0</v>
      </c>
      <c r="AK1138" s="84">
        <v>0</v>
      </c>
      <c r="AL1138" s="84" cm="1">
        <f t="array" ref="AL11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8" s="84" cm="1">
        <f t="array" ref="AM11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8" s="84" cm="1">
        <f t="array" ref="AN11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8" s="84" cm="1">
        <f t="array" ref="AO11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8" s="84" cm="1">
        <f t="array" ref="AP11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8" s="84" cm="1">
        <f t="array" ref="AQ11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8" s="84" cm="1">
        <f t="array" ref="AR11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8" s="84" cm="1">
        <f t="array" ref="AS11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8" s="84" cm="1">
        <f t="array" ref="AT11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8" s="84" cm="1">
        <f t="array" ref="AU11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8" s="84" cm="1">
        <f t="array" ref="AV11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8" s="84" cm="1">
        <f t="array" ref="AW11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8" s="84" cm="1">
        <f t="array" ref="AX11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8" s="84" cm="1">
        <f t="array" ref="AY11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38" s="84" cm="1">
        <f t="array" ref="AZ11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38" s="84" cm="1">
        <f t="array" ref="BA11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38" s="84" cm="1">
        <f t="array" ref="BB11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38" s="84">
        <f>IF(SUM(Table3[[#This Row],[Column2]:[Column18]])&gt;Table3[[#This Row],[Column19]],Table3[[#This Row],[Column19]],SUM(Table3[[#This Row],[Column2]:[Column18]]))</f>
        <v>8100</v>
      </c>
      <c r="BD1138" s="2">
        <f>Table3[[#This Row],[Total Spend]]/SUM(Table3[[#This Row],[Column2]:[Column18]])</f>
        <v>1</v>
      </c>
    </row>
    <row r="1139" spans="1:56">
      <c r="A1139" s="84" t="s">
        <v>1214</v>
      </c>
      <c r="B1139" s="84" t="s">
        <v>57</v>
      </c>
      <c r="C1139" s="84"/>
      <c r="D1139" s="85">
        <v>45566</v>
      </c>
      <c r="E1139" s="85" t="s">
        <v>92</v>
      </c>
      <c r="F1139" s="84">
        <f>INDEX(Definitions!$G$13:$G$17,MATCH(Table3[[#This Row],[Propensity to buy/ buyer readiness]],Definitions!$A$13:$A$17,0))</f>
        <v>10000</v>
      </c>
      <c r="G1139" s="86">
        <v>3</v>
      </c>
      <c r="H1139" s="86">
        <v>3</v>
      </c>
      <c r="I1139" s="86">
        <v>4</v>
      </c>
      <c r="J1139" s="86">
        <v>3</v>
      </c>
      <c r="K1139" s="86">
        <v>2</v>
      </c>
      <c r="L1139" s="86">
        <f>SUM(Table3[[#This Row],[Strategic priority segment]:[Propensity to buy/ buyer readiness]])</f>
        <v>15</v>
      </c>
      <c r="M1139" s="86" t="s">
        <v>191</v>
      </c>
      <c r="N1139" s="84" t="s">
        <v>135</v>
      </c>
      <c r="O1139" s="84" t="s">
        <v>153</v>
      </c>
      <c r="P1139" s="87"/>
      <c r="Q1139" s="87"/>
      <c r="R1139" s="84"/>
      <c r="S1139" s="87"/>
      <c r="T1139" s="87"/>
      <c r="U1139" s="84">
        <v>1</v>
      </c>
      <c r="V1139" s="84">
        <v>0</v>
      </c>
      <c r="W1139" s="84">
        <v>0</v>
      </c>
      <c r="X1139" s="84">
        <v>0</v>
      </c>
      <c r="Y1139" s="84">
        <v>0</v>
      </c>
      <c r="Z1139" s="84">
        <v>0</v>
      </c>
      <c r="AA1139" s="84">
        <v>0</v>
      </c>
      <c r="AB1139" s="84">
        <v>0</v>
      </c>
      <c r="AC1139" s="84">
        <v>0</v>
      </c>
      <c r="AD1139" s="84">
        <v>0</v>
      </c>
      <c r="AE1139" s="84">
        <v>0</v>
      </c>
      <c r="AF1139" s="84">
        <v>0</v>
      </c>
      <c r="AG1139" s="84">
        <v>0</v>
      </c>
      <c r="AH1139" s="84">
        <v>1</v>
      </c>
      <c r="AI1139" s="84">
        <v>1</v>
      </c>
      <c r="AJ1139" s="84">
        <v>1</v>
      </c>
      <c r="AK1139" s="84">
        <v>1</v>
      </c>
      <c r="AL1139" s="84" cm="1">
        <f t="array" ref="AL11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39" s="84" cm="1">
        <f t="array" ref="AM11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39" s="84" cm="1">
        <f t="array" ref="AN11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39" s="84" cm="1">
        <f t="array" ref="AO11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39" s="84" cm="1">
        <f t="array" ref="AP11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39" s="84" cm="1">
        <f t="array" ref="AQ11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39" s="84" cm="1">
        <f t="array" ref="AR11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39" s="84" cm="1">
        <f t="array" ref="AS11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39" s="84" cm="1">
        <f t="array" ref="AT11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39" s="84" cm="1">
        <f t="array" ref="AU11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39" s="84" cm="1">
        <f t="array" ref="AV11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39" s="84" cm="1">
        <f t="array" ref="AW11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39" s="84" cm="1">
        <f t="array" ref="AX11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39" s="84" cm="1">
        <f t="array" ref="AY11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39" s="84" cm="1">
        <f t="array" ref="AZ11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39" s="84" cm="1">
        <f t="array" ref="BA11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39" s="84" cm="1">
        <f t="array" ref="BB11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39" s="84">
        <f>IF(SUM(Table3[[#This Row],[Column2]:[Column18]])&gt;Table3[[#This Row],[Column19]],Table3[[#This Row],[Column19]],SUM(Table3[[#This Row],[Column2]:[Column18]]))</f>
        <v>10000</v>
      </c>
      <c r="BD1139" s="2">
        <f>Table3[[#This Row],[Total Spend]]/SUM(Table3[[#This Row],[Column2]:[Column18]])</f>
        <v>0.18365472910927455</v>
      </c>
    </row>
    <row r="1140" spans="1:56">
      <c r="A1140" s="84" t="s">
        <v>1215</v>
      </c>
      <c r="B1140" s="84"/>
      <c r="C1140" s="84"/>
      <c r="D1140" s="85">
        <v>45566</v>
      </c>
      <c r="E1140" s="85" t="s">
        <v>92</v>
      </c>
      <c r="F1140" s="84">
        <f>INDEX(Definitions!$G$13:$G$17,MATCH(Table3[[#This Row],[Propensity to buy/ buyer readiness]],Definitions!$A$13:$A$17,0))</f>
        <v>10000</v>
      </c>
      <c r="G1140" s="86">
        <v>3</v>
      </c>
      <c r="H1140" s="86">
        <v>3</v>
      </c>
      <c r="I1140" s="86">
        <v>3</v>
      </c>
      <c r="J1140" s="86">
        <v>4</v>
      </c>
      <c r="K1140" s="86">
        <v>2</v>
      </c>
      <c r="L1140" s="86">
        <f>SUM(Table3[[#This Row],[Strategic priority segment]:[Propensity to buy/ buyer readiness]])</f>
        <v>15</v>
      </c>
      <c r="M1140" s="86" t="s">
        <v>59</v>
      </c>
      <c r="N1140" s="84" t="s">
        <v>265</v>
      </c>
      <c r="O1140" s="84"/>
      <c r="P1140" s="87"/>
      <c r="Q1140" s="87"/>
      <c r="R1140" s="84"/>
      <c r="S1140" s="87"/>
      <c r="T1140" s="87"/>
      <c r="U1140" s="84">
        <v>1</v>
      </c>
      <c r="V1140" s="84">
        <v>1</v>
      </c>
      <c r="W1140" s="84">
        <v>1</v>
      </c>
      <c r="X1140" s="84">
        <v>1</v>
      </c>
      <c r="Y1140" s="84">
        <v>0</v>
      </c>
      <c r="Z1140" s="84">
        <v>0</v>
      </c>
      <c r="AA1140" s="84">
        <v>0</v>
      </c>
      <c r="AB1140" s="84">
        <v>0</v>
      </c>
      <c r="AC1140" s="84">
        <v>0</v>
      </c>
      <c r="AD1140" s="84">
        <v>0</v>
      </c>
      <c r="AE1140" s="84">
        <v>0</v>
      </c>
      <c r="AF1140" s="84">
        <v>0</v>
      </c>
      <c r="AG1140" s="84">
        <v>0</v>
      </c>
      <c r="AH1140" s="84">
        <v>0</v>
      </c>
      <c r="AI1140" s="84">
        <v>1</v>
      </c>
      <c r="AJ1140" s="84">
        <v>0</v>
      </c>
      <c r="AK1140" s="84">
        <v>0</v>
      </c>
      <c r="AL1140" s="84" cm="1">
        <f t="array" ref="AL11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0" s="84" cm="1">
        <f t="array" ref="AM11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40" s="84" cm="1">
        <f t="array" ref="AN11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40" s="84" cm="1">
        <f t="array" ref="AO11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40" s="84" cm="1">
        <f t="array" ref="AP11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0" s="84" cm="1">
        <f t="array" ref="AQ11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0" s="84" cm="1">
        <f t="array" ref="AR11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0" s="84" cm="1">
        <f t="array" ref="AS11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0" s="84" cm="1">
        <f t="array" ref="AT11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0" s="84" cm="1">
        <f t="array" ref="AU11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0" s="84" cm="1">
        <f t="array" ref="AV11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0" s="84" cm="1">
        <f t="array" ref="AW11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0" s="84" cm="1">
        <f t="array" ref="AX11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0" s="84" cm="1">
        <f t="array" ref="AY11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0" s="84" cm="1">
        <f t="array" ref="AZ11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0" s="84" cm="1">
        <f t="array" ref="BA11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0" s="84" cm="1">
        <f t="array" ref="BB11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0" s="84">
        <f>IF(SUM(Table3[[#This Row],[Column2]:[Column18]])&gt;Table3[[#This Row],[Column19]],Table3[[#This Row],[Column19]],SUM(Table3[[#This Row],[Column2]:[Column18]]))</f>
        <v>10000</v>
      </c>
      <c r="BD1140" s="2">
        <f>Table3[[#This Row],[Total Spend]]/SUM(Table3[[#This Row],[Column2]:[Column18]])</f>
        <v>7.2859744990892539E-2</v>
      </c>
    </row>
    <row r="1141" spans="1:56">
      <c r="A1141" s="84" t="s">
        <v>1216</v>
      </c>
      <c r="B1141" s="84" t="s">
        <v>57</v>
      </c>
      <c r="C1141" s="84"/>
      <c r="D1141" s="85">
        <v>45566</v>
      </c>
      <c r="E1141" s="85" t="s">
        <v>92</v>
      </c>
      <c r="F1141" s="84">
        <f>INDEX(Definitions!$G$13:$G$17,MATCH(Table3[[#This Row],[Propensity to buy/ buyer readiness]],Definitions!$A$13:$A$17,0))</f>
        <v>10000</v>
      </c>
      <c r="G1141" s="86">
        <v>3</v>
      </c>
      <c r="H1141" s="86">
        <v>3</v>
      </c>
      <c r="I1141" s="86">
        <v>4</v>
      </c>
      <c r="J1141" s="86">
        <v>3</v>
      </c>
      <c r="K1141" s="86">
        <v>2</v>
      </c>
      <c r="L1141" s="86">
        <f>SUM(Table3[[#This Row],[Strategic priority segment]:[Propensity to buy/ buyer readiness]])</f>
        <v>15</v>
      </c>
      <c r="M1141" s="86" t="s">
        <v>191</v>
      </c>
      <c r="N1141" s="84" t="s">
        <v>135</v>
      </c>
      <c r="O1141" s="84" t="s">
        <v>153</v>
      </c>
      <c r="P1141" s="87"/>
      <c r="Q1141" s="87"/>
      <c r="R1141" s="84"/>
      <c r="S1141" s="87"/>
      <c r="T1141" s="87"/>
      <c r="U1141" s="84">
        <v>1</v>
      </c>
      <c r="V1141" s="84">
        <v>0</v>
      </c>
      <c r="W1141" s="84">
        <v>0</v>
      </c>
      <c r="X1141" s="84">
        <v>0</v>
      </c>
      <c r="Y1141" s="84">
        <v>0</v>
      </c>
      <c r="Z1141" s="84">
        <v>0</v>
      </c>
      <c r="AA1141" s="84">
        <v>0</v>
      </c>
      <c r="AB1141" s="84">
        <v>0</v>
      </c>
      <c r="AC1141" s="84">
        <v>0</v>
      </c>
      <c r="AD1141" s="84">
        <v>0</v>
      </c>
      <c r="AE1141" s="84">
        <v>0</v>
      </c>
      <c r="AF1141" s="84">
        <v>0</v>
      </c>
      <c r="AG1141" s="84">
        <v>0</v>
      </c>
      <c r="AH1141" s="84">
        <v>1</v>
      </c>
      <c r="AI1141" s="84">
        <v>1</v>
      </c>
      <c r="AJ1141" s="84">
        <v>1</v>
      </c>
      <c r="AK1141" s="84">
        <v>1</v>
      </c>
      <c r="AL1141" s="84" cm="1">
        <f t="array" ref="AL11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1" s="84" cm="1">
        <f t="array" ref="AM11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41" s="84" cm="1">
        <f t="array" ref="AN11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41" s="84" cm="1">
        <f t="array" ref="AO11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41" s="84" cm="1">
        <f t="array" ref="AP11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1" s="84" cm="1">
        <f t="array" ref="AQ11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1" s="84" cm="1">
        <f t="array" ref="AR11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1" s="84" cm="1">
        <f t="array" ref="AS11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1" s="84" cm="1">
        <f t="array" ref="AT11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1" s="84" cm="1">
        <f t="array" ref="AU11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1" s="84" cm="1">
        <f t="array" ref="AV11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1" s="84" cm="1">
        <f t="array" ref="AW11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1" s="84" cm="1">
        <f t="array" ref="AX11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1" s="84" cm="1">
        <f t="array" ref="AY11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41" s="84" cm="1">
        <f t="array" ref="AZ11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1" s="84" cm="1">
        <f t="array" ref="BA11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41" s="84" cm="1">
        <f t="array" ref="BB11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41" s="84">
        <f>IF(SUM(Table3[[#This Row],[Column2]:[Column18]])&gt;Table3[[#This Row],[Column19]],Table3[[#This Row],[Column19]],SUM(Table3[[#This Row],[Column2]:[Column18]]))</f>
        <v>10000</v>
      </c>
      <c r="BD1141" s="2">
        <f>Table3[[#This Row],[Total Spend]]/SUM(Table3[[#This Row],[Column2]:[Column18]])</f>
        <v>0.18365472910927455</v>
      </c>
    </row>
    <row r="1142" spans="1:56">
      <c r="A1142" s="84" t="s">
        <v>1217</v>
      </c>
      <c r="B1142" s="84"/>
      <c r="C1142" s="84"/>
      <c r="D1142" s="85">
        <v>45566</v>
      </c>
      <c r="E1142" s="85" t="s">
        <v>92</v>
      </c>
      <c r="F1142" s="84">
        <f>INDEX(Definitions!$G$13:$G$17,MATCH(Table3[[#This Row],[Propensity to buy/ buyer readiness]],Definitions!$A$13:$A$17,0))</f>
        <v>10000</v>
      </c>
      <c r="G1142" s="86">
        <v>3</v>
      </c>
      <c r="H1142" s="86">
        <v>3</v>
      </c>
      <c r="I1142" s="86">
        <v>3</v>
      </c>
      <c r="J1142" s="86">
        <v>4</v>
      </c>
      <c r="K1142" s="86">
        <v>2</v>
      </c>
      <c r="L1142" s="86">
        <f>SUM(Table3[[#This Row],[Strategic priority segment]:[Propensity to buy/ buyer readiness]])</f>
        <v>15</v>
      </c>
      <c r="M1142" s="86" t="s">
        <v>59</v>
      </c>
      <c r="N1142" s="84" t="s">
        <v>265</v>
      </c>
      <c r="O1142" s="84"/>
      <c r="P1142" s="87"/>
      <c r="Q1142" s="87"/>
      <c r="R1142" s="84"/>
      <c r="S1142" s="87"/>
      <c r="T1142" s="87"/>
      <c r="U1142" s="84">
        <v>1</v>
      </c>
      <c r="V1142" s="84">
        <v>1</v>
      </c>
      <c r="W1142" s="84">
        <v>1</v>
      </c>
      <c r="X1142" s="84">
        <v>1</v>
      </c>
      <c r="Y1142" s="84">
        <v>0</v>
      </c>
      <c r="Z1142" s="84">
        <v>0</v>
      </c>
      <c r="AA1142" s="84">
        <v>0</v>
      </c>
      <c r="AB1142" s="84">
        <v>0</v>
      </c>
      <c r="AC1142" s="84">
        <v>0</v>
      </c>
      <c r="AD1142" s="84">
        <v>0</v>
      </c>
      <c r="AE1142" s="84">
        <v>0</v>
      </c>
      <c r="AF1142" s="84">
        <v>0</v>
      </c>
      <c r="AG1142" s="84">
        <v>0</v>
      </c>
      <c r="AH1142" s="84">
        <v>0</v>
      </c>
      <c r="AI1142" s="84">
        <v>1</v>
      </c>
      <c r="AJ1142" s="84">
        <v>0</v>
      </c>
      <c r="AK1142" s="84">
        <v>0</v>
      </c>
      <c r="AL1142" s="84" cm="1">
        <f t="array" ref="AL11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2" s="84" cm="1">
        <f t="array" ref="AM11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42" s="84" cm="1">
        <f t="array" ref="AN11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42" s="84" cm="1">
        <f t="array" ref="AO11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42" s="84" cm="1">
        <f t="array" ref="AP11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2" s="84" cm="1">
        <f t="array" ref="AQ11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2" s="84" cm="1">
        <f t="array" ref="AR11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2" s="84" cm="1">
        <f t="array" ref="AS11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2" s="84" cm="1">
        <f t="array" ref="AT11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2" s="84" cm="1">
        <f t="array" ref="AU11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2" s="84" cm="1">
        <f t="array" ref="AV11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2" s="84" cm="1">
        <f t="array" ref="AW11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2" s="84" cm="1">
        <f t="array" ref="AX11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2" s="84" cm="1">
        <f t="array" ref="AY11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2" s="84" cm="1">
        <f t="array" ref="AZ11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2" s="84" cm="1">
        <f t="array" ref="BA11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2" s="84" cm="1">
        <f t="array" ref="BB11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2" s="84">
        <f>IF(SUM(Table3[[#This Row],[Column2]:[Column18]])&gt;Table3[[#This Row],[Column19]],Table3[[#This Row],[Column19]],SUM(Table3[[#This Row],[Column2]:[Column18]]))</f>
        <v>10000</v>
      </c>
      <c r="BD1142" s="2">
        <f>Table3[[#This Row],[Total Spend]]/SUM(Table3[[#This Row],[Column2]:[Column18]])</f>
        <v>7.2859744990892539E-2</v>
      </c>
    </row>
    <row r="1143" spans="1:56">
      <c r="A1143" s="84" t="s">
        <v>1218</v>
      </c>
      <c r="B1143" s="84"/>
      <c r="C1143" s="84"/>
      <c r="D1143" s="85">
        <v>45566</v>
      </c>
      <c r="E1143" s="85" t="s">
        <v>92</v>
      </c>
      <c r="F1143" s="84">
        <f>INDEX(Definitions!$G$13:$G$17,MATCH(Table3[[#This Row],[Propensity to buy/ buyer readiness]],Definitions!$A$13:$A$17,0))</f>
        <v>10000</v>
      </c>
      <c r="G1143" s="86">
        <v>3</v>
      </c>
      <c r="H1143" s="86">
        <v>3</v>
      </c>
      <c r="I1143" s="86">
        <v>3</v>
      </c>
      <c r="J1143" s="86">
        <v>4</v>
      </c>
      <c r="K1143" s="86">
        <v>2</v>
      </c>
      <c r="L1143" s="86">
        <f>SUM(Table3[[#This Row],[Strategic priority segment]:[Propensity to buy/ buyer readiness]])</f>
        <v>15</v>
      </c>
      <c r="M1143" s="86" t="s">
        <v>59</v>
      </c>
      <c r="N1143" s="84" t="s">
        <v>265</v>
      </c>
      <c r="O1143" s="84"/>
      <c r="P1143" s="87"/>
      <c r="Q1143" s="87"/>
      <c r="R1143" s="84"/>
      <c r="S1143" s="87"/>
      <c r="T1143" s="87"/>
      <c r="U1143" s="84">
        <v>1</v>
      </c>
      <c r="V1143" s="84">
        <v>1</v>
      </c>
      <c r="W1143" s="84">
        <v>1</v>
      </c>
      <c r="X1143" s="84">
        <v>1</v>
      </c>
      <c r="Y1143" s="84">
        <v>0</v>
      </c>
      <c r="Z1143" s="84">
        <v>0</v>
      </c>
      <c r="AA1143" s="84">
        <v>0</v>
      </c>
      <c r="AB1143" s="84">
        <v>0</v>
      </c>
      <c r="AC1143" s="84">
        <v>0</v>
      </c>
      <c r="AD1143" s="84">
        <v>0</v>
      </c>
      <c r="AE1143" s="84">
        <v>0</v>
      </c>
      <c r="AF1143" s="84">
        <v>0</v>
      </c>
      <c r="AG1143" s="84">
        <v>0</v>
      </c>
      <c r="AH1143" s="84">
        <v>0</v>
      </c>
      <c r="AI1143" s="84">
        <v>1</v>
      </c>
      <c r="AJ1143" s="84">
        <v>0</v>
      </c>
      <c r="AK1143" s="84">
        <v>0</v>
      </c>
      <c r="AL1143" s="84" cm="1">
        <f t="array" ref="AL11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3" s="84" cm="1">
        <f t="array" ref="AM11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43" s="84" cm="1">
        <f t="array" ref="AN11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43" s="84" cm="1">
        <f t="array" ref="AO11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43" s="84" cm="1">
        <f t="array" ref="AP11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3" s="84" cm="1">
        <f t="array" ref="AQ11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3" s="84" cm="1">
        <f t="array" ref="AR11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3" s="84" cm="1">
        <f t="array" ref="AS11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3" s="84" cm="1">
        <f t="array" ref="AT11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3" s="84" cm="1">
        <f t="array" ref="AU11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3" s="84" cm="1">
        <f t="array" ref="AV11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3" s="84" cm="1">
        <f t="array" ref="AW11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3" s="84" cm="1">
        <f t="array" ref="AX11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3" s="84" cm="1">
        <f t="array" ref="AY11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3" s="84" cm="1">
        <f t="array" ref="AZ11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3" s="84" cm="1">
        <f t="array" ref="BA11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3" s="84" cm="1">
        <f t="array" ref="BB11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3" s="84">
        <f>IF(SUM(Table3[[#This Row],[Column2]:[Column18]])&gt;Table3[[#This Row],[Column19]],Table3[[#This Row],[Column19]],SUM(Table3[[#This Row],[Column2]:[Column18]]))</f>
        <v>10000</v>
      </c>
      <c r="BD1143" s="2">
        <f>Table3[[#This Row],[Total Spend]]/SUM(Table3[[#This Row],[Column2]:[Column18]])</f>
        <v>7.2859744990892539E-2</v>
      </c>
    </row>
    <row r="1144" spans="1:56">
      <c r="A1144" s="84" t="s">
        <v>1219</v>
      </c>
      <c r="B1144" s="84" t="s">
        <v>57</v>
      </c>
      <c r="C1144" s="84"/>
      <c r="D1144" s="85">
        <v>45566</v>
      </c>
      <c r="E1144" s="85" t="s">
        <v>92</v>
      </c>
      <c r="F1144" s="84">
        <f>INDEX(Definitions!$G$13:$G$17,MATCH(Table3[[#This Row],[Propensity to buy/ buyer readiness]],Definitions!$A$13:$A$17,0))</f>
        <v>10000</v>
      </c>
      <c r="G1144" s="86">
        <v>3</v>
      </c>
      <c r="H1144" s="86">
        <v>3</v>
      </c>
      <c r="I1144" s="86">
        <v>4</v>
      </c>
      <c r="J1144" s="86">
        <v>3</v>
      </c>
      <c r="K1144" s="86">
        <v>2</v>
      </c>
      <c r="L1144" s="86">
        <f>SUM(Table3[[#This Row],[Strategic priority segment]:[Propensity to buy/ buyer readiness]])</f>
        <v>15</v>
      </c>
      <c r="M1144" s="86" t="s">
        <v>152</v>
      </c>
      <c r="N1144" s="84" t="s">
        <v>264</v>
      </c>
      <c r="O1144" s="84" t="s">
        <v>85</v>
      </c>
      <c r="P1144" s="87"/>
      <c r="Q1144" s="87"/>
      <c r="R1144" s="84"/>
      <c r="S1144" s="87"/>
      <c r="T1144" s="87"/>
      <c r="U1144" s="84">
        <v>1</v>
      </c>
      <c r="V1144" s="84">
        <v>0</v>
      </c>
      <c r="W1144" s="84">
        <v>0</v>
      </c>
      <c r="X1144" s="84">
        <v>0</v>
      </c>
      <c r="Y1144" s="84">
        <v>1</v>
      </c>
      <c r="Z1144" s="84">
        <v>0</v>
      </c>
      <c r="AA1144" s="84">
        <v>0</v>
      </c>
      <c r="AB1144" s="84">
        <v>0</v>
      </c>
      <c r="AC1144" s="84">
        <v>0</v>
      </c>
      <c r="AD1144" s="84">
        <v>0</v>
      </c>
      <c r="AE1144" s="84">
        <v>0</v>
      </c>
      <c r="AF1144" s="84">
        <v>0</v>
      </c>
      <c r="AG1144" s="84">
        <v>0</v>
      </c>
      <c r="AH1144" s="84">
        <v>0</v>
      </c>
      <c r="AI1144" s="84">
        <v>0</v>
      </c>
      <c r="AJ1144" s="84">
        <v>0</v>
      </c>
      <c r="AK1144" s="84">
        <v>0</v>
      </c>
      <c r="AL1144" s="84" cm="1">
        <f t="array" ref="AL11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4" s="84" cm="1">
        <f t="array" ref="AM11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44" s="84" cm="1">
        <f t="array" ref="AN11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44" s="84" cm="1">
        <f t="array" ref="AO11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44" s="84" cm="1">
        <f t="array" ref="AP11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144" s="84" cm="1">
        <f t="array" ref="AQ11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4" s="84" cm="1">
        <f t="array" ref="AR11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4" s="84" cm="1">
        <f t="array" ref="AS11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4" s="84" cm="1">
        <f t="array" ref="AT11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4" s="84" cm="1">
        <f t="array" ref="AU11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4" s="84" cm="1">
        <f t="array" ref="AV11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4" s="84" cm="1">
        <f t="array" ref="AW11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4" s="84" cm="1">
        <f t="array" ref="AX11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4" s="84" cm="1">
        <f t="array" ref="AY11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4" s="84" cm="1">
        <f t="array" ref="AZ11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44" s="84" cm="1">
        <f t="array" ref="BA11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4" s="84" cm="1">
        <f t="array" ref="BB11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4" s="84">
        <f>IF(SUM(Table3[[#This Row],[Column2]:[Column18]])&gt;Table3[[#This Row],[Column19]],Table3[[#This Row],[Column19]],SUM(Table3[[#This Row],[Column2]:[Column18]]))</f>
        <v>10000</v>
      </c>
      <c r="BD1144" s="2">
        <f>Table3[[#This Row],[Total Spend]]/SUM(Table3[[#This Row],[Column2]:[Column18]])</f>
        <v>0.20964360587002095</v>
      </c>
    </row>
    <row r="1145" spans="1:56">
      <c r="A1145" s="84" t="s">
        <v>1220</v>
      </c>
      <c r="B1145" s="84"/>
      <c r="C1145" s="84"/>
      <c r="D1145" s="85">
        <v>45566</v>
      </c>
      <c r="E1145" s="85" t="s">
        <v>92</v>
      </c>
      <c r="F1145" s="84">
        <f>INDEX(Definitions!$G$13:$G$17,MATCH(Table3[[#This Row],[Propensity to buy/ buyer readiness]],Definitions!$A$13:$A$17,0))</f>
        <v>50000</v>
      </c>
      <c r="G1145" s="86">
        <v>3</v>
      </c>
      <c r="H1145" s="86">
        <v>3</v>
      </c>
      <c r="I1145" s="86">
        <v>3</v>
      </c>
      <c r="J1145" s="86">
        <v>3</v>
      </c>
      <c r="K1145" s="86">
        <v>3</v>
      </c>
      <c r="L1145" s="86">
        <f>SUM(Table3[[#This Row],[Strategic priority segment]:[Propensity to buy/ buyer readiness]])</f>
        <v>15</v>
      </c>
      <c r="M1145" s="86" t="s">
        <v>191</v>
      </c>
      <c r="N1145" s="84" t="s">
        <v>76</v>
      </c>
      <c r="O1145" s="84"/>
      <c r="P1145" s="84"/>
      <c r="Q1145" s="84"/>
      <c r="R1145" s="84"/>
      <c r="S1145" s="87"/>
      <c r="T1145" s="87"/>
      <c r="U1145" s="84">
        <v>0</v>
      </c>
      <c r="V1145" s="84">
        <v>0</v>
      </c>
      <c r="W1145" s="84">
        <v>0</v>
      </c>
      <c r="X1145" s="84">
        <v>0</v>
      </c>
      <c r="Y1145" s="84">
        <v>0</v>
      </c>
      <c r="Z1145" s="84">
        <v>0</v>
      </c>
      <c r="AA1145" s="84">
        <v>0</v>
      </c>
      <c r="AB1145" s="84">
        <v>0</v>
      </c>
      <c r="AC1145" s="84">
        <v>0</v>
      </c>
      <c r="AD1145" s="84">
        <v>0</v>
      </c>
      <c r="AE1145" s="84">
        <v>0</v>
      </c>
      <c r="AF1145" s="84">
        <v>0</v>
      </c>
      <c r="AG1145" s="84">
        <v>0</v>
      </c>
      <c r="AH1145" s="84">
        <v>1</v>
      </c>
      <c r="AI1145" s="84">
        <v>0</v>
      </c>
      <c r="AJ1145" s="84">
        <v>1</v>
      </c>
      <c r="AK1145" s="84">
        <v>0</v>
      </c>
      <c r="AL1145" s="84" cm="1">
        <f t="array" ref="AL11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45" s="84" cm="1">
        <f t="array" ref="AM11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45" s="84" cm="1">
        <f t="array" ref="AN11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45" s="84" cm="1">
        <f t="array" ref="AO11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45" s="84" cm="1">
        <f t="array" ref="AP11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5" s="84" cm="1">
        <f t="array" ref="AQ11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5" s="84" cm="1">
        <f t="array" ref="AR11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5" s="84" cm="1">
        <f t="array" ref="AS11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5" s="84" cm="1">
        <f t="array" ref="AT11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5" s="84" cm="1">
        <f t="array" ref="AU11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5" s="84" cm="1">
        <f t="array" ref="AV11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5" s="84" cm="1">
        <f t="array" ref="AW11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5" s="84" cm="1">
        <f t="array" ref="AX11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5" s="84" cm="1">
        <f t="array" ref="AY11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45" s="84" cm="1">
        <f t="array" ref="AZ11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45" s="84" cm="1">
        <f t="array" ref="BA11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45" s="84" cm="1">
        <f t="array" ref="BB11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5" s="84">
        <f>IF(SUM(Table3[[#This Row],[Column2]:[Column18]])&gt;Table3[[#This Row],[Column19]],Table3[[#This Row],[Column19]],SUM(Table3[[#This Row],[Column2]:[Column18]]))</f>
        <v>30600</v>
      </c>
      <c r="BD1145" s="2">
        <f>Table3[[#This Row],[Total Spend]]/SUM(Table3[[#This Row],[Column2]:[Column18]])</f>
        <v>1</v>
      </c>
    </row>
    <row r="1146" spans="1:56">
      <c r="A1146" s="84" t="s">
        <v>1221</v>
      </c>
      <c r="B1146" s="84"/>
      <c r="C1146" s="84"/>
      <c r="D1146" s="85">
        <v>45566</v>
      </c>
      <c r="E1146" s="85" t="s">
        <v>92</v>
      </c>
      <c r="F1146" s="84">
        <f>INDEX(Definitions!$G$13:$G$17,MATCH(Table3[[#This Row],[Propensity to buy/ buyer readiness]],Definitions!$A$13:$A$17,0))</f>
        <v>10000</v>
      </c>
      <c r="G1146" s="86">
        <v>3</v>
      </c>
      <c r="H1146" s="86">
        <v>3</v>
      </c>
      <c r="I1146" s="86">
        <v>3</v>
      </c>
      <c r="J1146" s="86">
        <v>4</v>
      </c>
      <c r="K1146" s="86">
        <v>2</v>
      </c>
      <c r="L1146" s="86">
        <f>SUM(Table3[[#This Row],[Strategic priority segment]:[Propensity to buy/ buyer readiness]])</f>
        <v>15</v>
      </c>
      <c r="M1146" s="86" t="s">
        <v>59</v>
      </c>
      <c r="N1146" s="84" t="s">
        <v>265</v>
      </c>
      <c r="O1146" s="84"/>
      <c r="P1146" s="87"/>
      <c r="Q1146" s="87"/>
      <c r="R1146" s="84"/>
      <c r="S1146" s="87"/>
      <c r="T1146" s="87"/>
      <c r="U1146" s="84">
        <v>1</v>
      </c>
      <c r="V1146" s="84">
        <v>1</v>
      </c>
      <c r="W1146" s="84">
        <v>1</v>
      </c>
      <c r="X1146" s="84">
        <v>1</v>
      </c>
      <c r="Y1146" s="84">
        <v>0</v>
      </c>
      <c r="Z1146" s="84">
        <v>0</v>
      </c>
      <c r="AA1146" s="84">
        <v>0</v>
      </c>
      <c r="AB1146" s="84">
        <v>0</v>
      </c>
      <c r="AC1146" s="84">
        <v>0</v>
      </c>
      <c r="AD1146" s="84">
        <v>0</v>
      </c>
      <c r="AE1146" s="84">
        <v>0</v>
      </c>
      <c r="AF1146" s="84">
        <v>0</v>
      </c>
      <c r="AG1146" s="84">
        <v>0</v>
      </c>
      <c r="AH1146" s="84">
        <v>0</v>
      </c>
      <c r="AI1146" s="84">
        <v>1</v>
      </c>
      <c r="AJ1146" s="84">
        <v>0</v>
      </c>
      <c r="AK1146" s="84">
        <v>0</v>
      </c>
      <c r="AL1146" s="84" cm="1">
        <f t="array" ref="AL11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6" s="84" cm="1">
        <f t="array" ref="AM11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46" s="84" cm="1">
        <f t="array" ref="AN11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46" s="84" cm="1">
        <f t="array" ref="AO11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46" s="84" cm="1">
        <f t="array" ref="AP11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6" s="84" cm="1">
        <f t="array" ref="AQ11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6" s="84" cm="1">
        <f t="array" ref="AR11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6" s="84" cm="1">
        <f t="array" ref="AS11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6" s="84" cm="1">
        <f t="array" ref="AT11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6" s="84" cm="1">
        <f t="array" ref="AU11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6" s="84" cm="1">
        <f t="array" ref="AV11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6" s="84" cm="1">
        <f t="array" ref="AW11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6" s="84" cm="1">
        <f t="array" ref="AX11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6" s="84" cm="1">
        <f t="array" ref="AY11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6" s="84" cm="1">
        <f t="array" ref="AZ11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6" s="84" cm="1">
        <f t="array" ref="BA11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6" s="84" cm="1">
        <f t="array" ref="BB11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6" s="84">
        <f>IF(SUM(Table3[[#This Row],[Column2]:[Column18]])&gt;Table3[[#This Row],[Column19]],Table3[[#This Row],[Column19]],SUM(Table3[[#This Row],[Column2]:[Column18]]))</f>
        <v>10000</v>
      </c>
      <c r="BD1146" s="2">
        <f>Table3[[#This Row],[Total Spend]]/SUM(Table3[[#This Row],[Column2]:[Column18]])</f>
        <v>7.2859744990892539E-2</v>
      </c>
    </row>
    <row r="1147" spans="1:56">
      <c r="A1147" s="84" t="s">
        <v>1222</v>
      </c>
      <c r="B1147" s="84"/>
      <c r="C1147" s="84"/>
      <c r="D1147" s="85">
        <v>45566</v>
      </c>
      <c r="E1147" s="85" t="s">
        <v>92</v>
      </c>
      <c r="F1147" s="84">
        <f>INDEX(Definitions!$G$13:$G$17,MATCH(Table3[[#This Row],[Propensity to buy/ buyer readiness]],Definitions!$A$13:$A$17,0))</f>
        <v>50000</v>
      </c>
      <c r="G1147" s="86">
        <v>3</v>
      </c>
      <c r="H1147" s="86">
        <v>3</v>
      </c>
      <c r="I1147" s="86">
        <v>3</v>
      </c>
      <c r="J1147" s="86">
        <v>3</v>
      </c>
      <c r="K1147" s="86">
        <v>3</v>
      </c>
      <c r="L1147" s="86">
        <f>SUM(Table3[[#This Row],[Strategic priority segment]:[Propensity to buy/ buyer readiness]])</f>
        <v>15</v>
      </c>
      <c r="M1147" s="86" t="s">
        <v>152</v>
      </c>
      <c r="N1147" s="84" t="s">
        <v>130</v>
      </c>
      <c r="O1147" s="84"/>
      <c r="P1147" s="84"/>
      <c r="Q1147" s="84"/>
      <c r="R1147" s="84"/>
      <c r="S1147" s="84"/>
      <c r="T1147" s="87"/>
      <c r="U1147" s="84">
        <v>1</v>
      </c>
      <c r="V1147" s="84">
        <v>0</v>
      </c>
      <c r="W1147" s="84">
        <v>0</v>
      </c>
      <c r="X1147" s="84">
        <v>0</v>
      </c>
      <c r="Y1147" s="84">
        <v>0</v>
      </c>
      <c r="Z1147" s="84">
        <v>0</v>
      </c>
      <c r="AA1147" s="84">
        <v>0</v>
      </c>
      <c r="AB1147" s="84">
        <v>0</v>
      </c>
      <c r="AC1147" s="84">
        <v>0</v>
      </c>
      <c r="AD1147" s="84">
        <v>0</v>
      </c>
      <c r="AE1147" s="84">
        <v>0</v>
      </c>
      <c r="AF1147" s="84">
        <v>0</v>
      </c>
      <c r="AG1147" s="84">
        <v>0</v>
      </c>
      <c r="AH1147" s="84">
        <v>0</v>
      </c>
      <c r="AI1147" s="84">
        <v>0</v>
      </c>
      <c r="AJ1147" s="84">
        <v>0</v>
      </c>
      <c r="AK1147" s="84">
        <v>0</v>
      </c>
      <c r="AL1147" s="84" cm="1">
        <f t="array" ref="AL11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7" s="84" cm="1">
        <f t="array" ref="AM11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47" s="84" cm="1">
        <f t="array" ref="AN11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47" s="84" cm="1">
        <f t="array" ref="AO11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47" s="84" cm="1">
        <f t="array" ref="AP11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7" s="84" cm="1">
        <f t="array" ref="AQ11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7" s="84" cm="1">
        <f t="array" ref="AR11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7" s="84" cm="1">
        <f t="array" ref="AS11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7" s="84" cm="1">
        <f t="array" ref="AT11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7" s="84" cm="1">
        <f t="array" ref="AU11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7" s="84" cm="1">
        <f t="array" ref="AV11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7" s="84" cm="1">
        <f t="array" ref="AW11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7" s="84" cm="1">
        <f t="array" ref="AX11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7" s="84" cm="1">
        <f t="array" ref="AY11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7" s="84" cm="1">
        <f t="array" ref="AZ11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47" s="84" cm="1">
        <f t="array" ref="BA11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7" s="84" cm="1">
        <f t="array" ref="BB11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7" s="84">
        <f>IF(SUM(Table3[[#This Row],[Column2]:[Column18]])&gt;Table3[[#This Row],[Column19]],Table3[[#This Row],[Column19]],SUM(Table3[[#This Row],[Column2]:[Column18]]))</f>
        <v>8100</v>
      </c>
      <c r="BD1147" s="2">
        <f>Table3[[#This Row],[Total Spend]]/SUM(Table3[[#This Row],[Column2]:[Column18]])</f>
        <v>1</v>
      </c>
    </row>
    <row r="1148" spans="1:56">
      <c r="A1148" s="84" t="s">
        <v>1223</v>
      </c>
      <c r="B1148" s="84"/>
      <c r="C1148" s="84"/>
      <c r="D1148" s="85">
        <v>45566</v>
      </c>
      <c r="E1148" s="85" t="s">
        <v>92</v>
      </c>
      <c r="F1148" s="84">
        <f>INDEX(Definitions!$G$13:$G$17,MATCH(Table3[[#This Row],[Propensity to buy/ buyer readiness]],Definitions!$A$13:$A$17,0))</f>
        <v>10000</v>
      </c>
      <c r="G1148" s="86">
        <v>3</v>
      </c>
      <c r="H1148" s="86">
        <v>3</v>
      </c>
      <c r="I1148" s="86">
        <v>3</v>
      </c>
      <c r="J1148" s="86">
        <v>4</v>
      </c>
      <c r="K1148" s="86">
        <v>2</v>
      </c>
      <c r="L1148" s="86">
        <f>SUM(Table3[[#This Row],[Strategic priority segment]:[Propensity to buy/ buyer readiness]])</f>
        <v>15</v>
      </c>
      <c r="M1148" s="86" t="s">
        <v>59</v>
      </c>
      <c r="N1148" s="84" t="s">
        <v>265</v>
      </c>
      <c r="O1148" s="84"/>
      <c r="P1148" s="87"/>
      <c r="Q1148" s="87"/>
      <c r="R1148" s="84"/>
      <c r="S1148" s="87"/>
      <c r="T1148" s="87"/>
      <c r="U1148" s="84">
        <v>1</v>
      </c>
      <c r="V1148" s="84">
        <v>1</v>
      </c>
      <c r="W1148" s="84">
        <v>1</v>
      </c>
      <c r="X1148" s="84">
        <v>1</v>
      </c>
      <c r="Y1148" s="84">
        <v>0</v>
      </c>
      <c r="Z1148" s="84">
        <v>0</v>
      </c>
      <c r="AA1148" s="84">
        <v>0</v>
      </c>
      <c r="AB1148" s="84">
        <v>0</v>
      </c>
      <c r="AC1148" s="84">
        <v>0</v>
      </c>
      <c r="AD1148" s="84">
        <v>0</v>
      </c>
      <c r="AE1148" s="84">
        <v>0</v>
      </c>
      <c r="AF1148" s="84">
        <v>0</v>
      </c>
      <c r="AG1148" s="84">
        <v>0</v>
      </c>
      <c r="AH1148" s="84">
        <v>0</v>
      </c>
      <c r="AI1148" s="84">
        <v>1</v>
      </c>
      <c r="AJ1148" s="84">
        <v>0</v>
      </c>
      <c r="AK1148" s="84">
        <v>0</v>
      </c>
      <c r="AL1148" s="84" cm="1">
        <f t="array" ref="AL11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8" s="84" cm="1">
        <f t="array" ref="AM11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48" s="84" cm="1">
        <f t="array" ref="AN11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48" s="84" cm="1">
        <f t="array" ref="AO11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48" s="84" cm="1">
        <f t="array" ref="AP11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8" s="84" cm="1">
        <f t="array" ref="AQ11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8" s="84" cm="1">
        <f t="array" ref="AR11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8" s="84" cm="1">
        <f t="array" ref="AS11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8" s="84" cm="1">
        <f t="array" ref="AT11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8" s="84" cm="1">
        <f t="array" ref="AU11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8" s="84" cm="1">
        <f t="array" ref="AV11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8" s="84" cm="1">
        <f t="array" ref="AW11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8" s="84" cm="1">
        <f t="array" ref="AX11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8" s="84" cm="1">
        <f t="array" ref="AY11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8" s="84" cm="1">
        <f t="array" ref="AZ11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8" s="84" cm="1">
        <f t="array" ref="BA11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8" s="84" cm="1">
        <f t="array" ref="BB11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8" s="84">
        <f>IF(SUM(Table3[[#This Row],[Column2]:[Column18]])&gt;Table3[[#This Row],[Column19]],Table3[[#This Row],[Column19]],SUM(Table3[[#This Row],[Column2]:[Column18]]))</f>
        <v>10000</v>
      </c>
      <c r="BD1148" s="2">
        <f>Table3[[#This Row],[Total Spend]]/SUM(Table3[[#This Row],[Column2]:[Column18]])</f>
        <v>7.2859744990892539E-2</v>
      </c>
    </row>
    <row r="1149" spans="1:56">
      <c r="A1149" s="84" t="s">
        <v>1224</v>
      </c>
      <c r="B1149" s="84"/>
      <c r="C1149" s="84"/>
      <c r="D1149" s="85">
        <v>45566</v>
      </c>
      <c r="E1149" s="85" t="s">
        <v>92</v>
      </c>
      <c r="F1149" s="84">
        <f>INDEX(Definitions!$G$13:$G$17,MATCH(Table3[[#This Row],[Propensity to buy/ buyer readiness]],Definitions!$A$13:$A$17,0))</f>
        <v>10000</v>
      </c>
      <c r="G1149" s="86">
        <v>3</v>
      </c>
      <c r="H1149" s="86">
        <v>3</v>
      </c>
      <c r="I1149" s="86">
        <v>3</v>
      </c>
      <c r="J1149" s="86">
        <v>4</v>
      </c>
      <c r="K1149" s="86">
        <v>2</v>
      </c>
      <c r="L1149" s="86">
        <f>SUM(Table3[[#This Row],[Strategic priority segment]:[Propensity to buy/ buyer readiness]])</f>
        <v>15</v>
      </c>
      <c r="M1149" s="86" t="s">
        <v>59</v>
      </c>
      <c r="N1149" s="84" t="s">
        <v>265</v>
      </c>
      <c r="O1149" s="84"/>
      <c r="P1149" s="87"/>
      <c r="Q1149" s="87"/>
      <c r="R1149" s="84"/>
      <c r="S1149" s="87"/>
      <c r="T1149" s="87"/>
      <c r="U1149" s="84">
        <v>1</v>
      </c>
      <c r="V1149" s="84">
        <v>1</v>
      </c>
      <c r="W1149" s="84">
        <v>1</v>
      </c>
      <c r="X1149" s="84">
        <v>1</v>
      </c>
      <c r="Y1149" s="84">
        <v>0</v>
      </c>
      <c r="Z1149" s="84">
        <v>0</v>
      </c>
      <c r="AA1149" s="84">
        <v>0</v>
      </c>
      <c r="AB1149" s="84">
        <v>0</v>
      </c>
      <c r="AC1149" s="84">
        <v>0</v>
      </c>
      <c r="AD1149" s="84">
        <v>0</v>
      </c>
      <c r="AE1149" s="84">
        <v>0</v>
      </c>
      <c r="AF1149" s="84">
        <v>0</v>
      </c>
      <c r="AG1149" s="84">
        <v>0</v>
      </c>
      <c r="AH1149" s="84">
        <v>0</v>
      </c>
      <c r="AI1149" s="84">
        <v>1</v>
      </c>
      <c r="AJ1149" s="84">
        <v>0</v>
      </c>
      <c r="AK1149" s="84">
        <v>0</v>
      </c>
      <c r="AL1149" s="84" cm="1">
        <f t="array" ref="AL11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49" s="84" cm="1">
        <f t="array" ref="AM11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49" s="84" cm="1">
        <f t="array" ref="AN11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49" s="84" cm="1">
        <f t="array" ref="AO11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49" s="84" cm="1">
        <f t="array" ref="AP11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49" s="84" cm="1">
        <f t="array" ref="AQ11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49" s="84" cm="1">
        <f t="array" ref="AR11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49" s="84" cm="1">
        <f t="array" ref="AS11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49" s="84" cm="1">
        <f t="array" ref="AT11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49" s="84" cm="1">
        <f t="array" ref="AU11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49" s="84" cm="1">
        <f t="array" ref="AV11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49" s="84" cm="1">
        <f t="array" ref="AW11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49" s="84" cm="1">
        <f t="array" ref="AX11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49" s="84" cm="1">
        <f t="array" ref="AY11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49" s="84" cm="1">
        <f t="array" ref="AZ11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49" s="84" cm="1">
        <f t="array" ref="BA11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49" s="84" cm="1">
        <f t="array" ref="BB11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49" s="84">
        <f>IF(SUM(Table3[[#This Row],[Column2]:[Column18]])&gt;Table3[[#This Row],[Column19]],Table3[[#This Row],[Column19]],SUM(Table3[[#This Row],[Column2]:[Column18]]))</f>
        <v>10000</v>
      </c>
      <c r="BD1149" s="2">
        <f>Table3[[#This Row],[Total Spend]]/SUM(Table3[[#This Row],[Column2]:[Column18]])</f>
        <v>7.2859744990892539E-2</v>
      </c>
    </row>
    <row r="1150" spans="1:56">
      <c r="A1150" s="84" t="s">
        <v>1225</v>
      </c>
      <c r="B1150" s="84" t="s">
        <v>57</v>
      </c>
      <c r="C1150" s="84"/>
      <c r="D1150" s="85">
        <v>45566</v>
      </c>
      <c r="E1150" s="85" t="s">
        <v>58</v>
      </c>
      <c r="F1150" s="84">
        <f>INDEX(Definitions!$G$13:$G$17,MATCH(Table3[[#This Row],[Propensity to buy/ buyer readiness]],Definitions!$A$13:$A$17,0))</f>
        <v>50000</v>
      </c>
      <c r="G1150" s="86">
        <v>2</v>
      </c>
      <c r="H1150" s="86">
        <v>3</v>
      </c>
      <c r="I1150" s="86">
        <v>4</v>
      </c>
      <c r="J1150" s="86">
        <v>3</v>
      </c>
      <c r="K1150" s="86">
        <v>3</v>
      </c>
      <c r="L1150" s="86">
        <f>SUM(Table3[[#This Row],[Strategic priority segment]:[Propensity to buy/ buyer readiness]])</f>
        <v>15</v>
      </c>
      <c r="M1150" s="86" t="s">
        <v>152</v>
      </c>
      <c r="N1150" s="84" t="s">
        <v>264</v>
      </c>
      <c r="O1150" s="84"/>
      <c r="P1150" s="87"/>
      <c r="Q1150" s="87"/>
      <c r="R1150" s="84"/>
      <c r="S1150" s="87"/>
      <c r="T1150" s="87"/>
      <c r="U1150" s="84">
        <v>1</v>
      </c>
      <c r="V1150" s="84">
        <v>0</v>
      </c>
      <c r="W1150" s="84">
        <v>0</v>
      </c>
      <c r="X1150" s="84">
        <v>0</v>
      </c>
      <c r="Y1150" s="84">
        <v>0</v>
      </c>
      <c r="Z1150" s="84">
        <v>0</v>
      </c>
      <c r="AA1150" s="84">
        <v>0</v>
      </c>
      <c r="AB1150" s="84">
        <v>0</v>
      </c>
      <c r="AC1150" s="84">
        <v>0</v>
      </c>
      <c r="AD1150" s="84">
        <v>0</v>
      </c>
      <c r="AE1150" s="84">
        <v>0</v>
      </c>
      <c r="AF1150" s="84">
        <v>0</v>
      </c>
      <c r="AG1150" s="84">
        <v>0</v>
      </c>
      <c r="AH1150" s="84">
        <v>0</v>
      </c>
      <c r="AI1150" s="84">
        <v>0</v>
      </c>
      <c r="AJ1150" s="84">
        <v>0</v>
      </c>
      <c r="AK1150" s="84">
        <v>0</v>
      </c>
      <c r="AL1150" s="84" cm="1">
        <f t="array" ref="AL11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50" s="84" cm="1">
        <f t="array" ref="AM11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0" s="84" cm="1">
        <f t="array" ref="AN11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0" s="84" cm="1">
        <f t="array" ref="AO11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0" s="84" cm="1">
        <f t="array" ref="AP11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0" s="84" cm="1">
        <f t="array" ref="AQ11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0" s="84" cm="1">
        <f t="array" ref="AR11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0" s="84" cm="1">
        <f t="array" ref="AS11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0" s="84" cm="1">
        <f t="array" ref="AT11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0" s="84" cm="1">
        <f t="array" ref="AU11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0" s="84" cm="1">
        <f t="array" ref="AV11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0" s="84" cm="1">
        <f t="array" ref="AW11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0" s="84" cm="1">
        <f t="array" ref="AX11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0" s="84" cm="1">
        <f t="array" ref="AY11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0" s="84" cm="1">
        <f t="array" ref="AZ11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0" s="84" cm="1">
        <f t="array" ref="BA11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0" s="84" cm="1">
        <f t="array" ref="BB11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0" s="84">
        <f>IF(SUM(Table3[[#This Row],[Column2]:[Column18]])&gt;Table3[[#This Row],[Column19]],Table3[[#This Row],[Column19]],SUM(Table3[[#This Row],[Column2]:[Column18]]))</f>
        <v>10800</v>
      </c>
      <c r="BD1150" s="2">
        <f>Table3[[#This Row],[Total Spend]]/SUM(Table3[[#This Row],[Column2]:[Column18]])</f>
        <v>1</v>
      </c>
    </row>
    <row r="1151" spans="1:56">
      <c r="A1151" s="84" t="s">
        <v>1226</v>
      </c>
      <c r="B1151" s="84" t="s">
        <v>57</v>
      </c>
      <c r="C1151" s="84"/>
      <c r="D1151" s="85">
        <v>45566</v>
      </c>
      <c r="E1151" s="85" t="s">
        <v>92</v>
      </c>
      <c r="F1151" s="84">
        <f>INDEX(Definitions!$G$13:$G$17,MATCH(Table3[[#This Row],[Propensity to buy/ buyer readiness]],Definitions!$A$13:$A$17,0))</f>
        <v>10000</v>
      </c>
      <c r="G1151" s="86">
        <v>3</v>
      </c>
      <c r="H1151" s="86">
        <v>3</v>
      </c>
      <c r="I1151" s="86">
        <v>4</v>
      </c>
      <c r="J1151" s="86">
        <v>3</v>
      </c>
      <c r="K1151" s="86">
        <v>2</v>
      </c>
      <c r="L1151" s="86">
        <f>SUM(Table3[[#This Row],[Strategic priority segment]:[Propensity to buy/ buyer readiness]])</f>
        <v>15</v>
      </c>
      <c r="M1151" s="86" t="s">
        <v>152</v>
      </c>
      <c r="N1151" s="84" t="s">
        <v>264</v>
      </c>
      <c r="O1151" s="84"/>
      <c r="P1151" s="87"/>
      <c r="Q1151" s="87"/>
      <c r="R1151" s="84"/>
      <c r="S1151" s="87"/>
      <c r="T1151" s="87"/>
      <c r="U1151" s="84">
        <v>1</v>
      </c>
      <c r="V1151" s="84">
        <v>0</v>
      </c>
      <c r="W1151" s="84">
        <v>0</v>
      </c>
      <c r="X1151" s="84">
        <v>0</v>
      </c>
      <c r="Y1151" s="84">
        <v>0</v>
      </c>
      <c r="Z1151" s="84">
        <v>0</v>
      </c>
      <c r="AA1151" s="84">
        <v>0</v>
      </c>
      <c r="AB1151" s="84">
        <v>0</v>
      </c>
      <c r="AC1151" s="84">
        <v>0</v>
      </c>
      <c r="AD1151" s="84">
        <v>0</v>
      </c>
      <c r="AE1151" s="84">
        <v>0</v>
      </c>
      <c r="AF1151" s="84">
        <v>0</v>
      </c>
      <c r="AG1151" s="84">
        <v>0</v>
      </c>
      <c r="AH1151" s="84">
        <v>0</v>
      </c>
      <c r="AI1151" s="84">
        <v>0</v>
      </c>
      <c r="AJ1151" s="84">
        <v>0</v>
      </c>
      <c r="AK1151" s="84">
        <v>0</v>
      </c>
      <c r="AL1151" s="84" cm="1">
        <f t="array" ref="AL11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1" s="84" cm="1">
        <f t="array" ref="AM11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1" s="84" cm="1">
        <f t="array" ref="AN11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1" s="84" cm="1">
        <f t="array" ref="AO11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1" s="84" cm="1">
        <f t="array" ref="AP11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1" s="84" cm="1">
        <f t="array" ref="AQ11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1" s="84" cm="1">
        <f t="array" ref="AR11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1" s="84" cm="1">
        <f t="array" ref="AS11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1" s="84" cm="1">
        <f t="array" ref="AT11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1" s="84" cm="1">
        <f t="array" ref="AU11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1" s="84" cm="1">
        <f t="array" ref="AV11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1" s="84" cm="1">
        <f t="array" ref="AW11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1" s="84" cm="1">
        <f t="array" ref="AX11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1" s="84" cm="1">
        <f t="array" ref="AY11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1" s="84" cm="1">
        <f t="array" ref="AZ11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1" s="84" cm="1">
        <f t="array" ref="BA11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1" s="84" cm="1">
        <f t="array" ref="BB11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1" s="84">
        <f>IF(SUM(Table3[[#This Row],[Column2]:[Column18]])&gt;Table3[[#This Row],[Column19]],Table3[[#This Row],[Column19]],SUM(Table3[[#This Row],[Column2]:[Column18]]))</f>
        <v>8100</v>
      </c>
      <c r="BD1151" s="2">
        <f>Table3[[#This Row],[Total Spend]]/SUM(Table3[[#This Row],[Column2]:[Column18]])</f>
        <v>1</v>
      </c>
    </row>
    <row r="1152" spans="1:56">
      <c r="A1152" s="84" t="s">
        <v>1227</v>
      </c>
      <c r="B1152" s="84" t="s">
        <v>57</v>
      </c>
      <c r="C1152" s="84"/>
      <c r="D1152" s="85">
        <v>45566</v>
      </c>
      <c r="E1152" s="85" t="s">
        <v>92</v>
      </c>
      <c r="F1152" s="84">
        <f>INDEX(Definitions!$G$13:$G$17,MATCH(Table3[[#This Row],[Propensity to buy/ buyer readiness]],Definitions!$A$13:$A$17,0))</f>
        <v>10000</v>
      </c>
      <c r="G1152" s="86">
        <v>3</v>
      </c>
      <c r="H1152" s="86">
        <v>3</v>
      </c>
      <c r="I1152" s="86">
        <v>4</v>
      </c>
      <c r="J1152" s="86">
        <v>3</v>
      </c>
      <c r="K1152" s="86">
        <v>2</v>
      </c>
      <c r="L1152" s="86">
        <f>SUM(Table3[[#This Row],[Strategic priority segment]:[Propensity to buy/ buyer readiness]])</f>
        <v>15</v>
      </c>
      <c r="M1152" s="86" t="s">
        <v>152</v>
      </c>
      <c r="N1152" s="84" t="s">
        <v>264</v>
      </c>
      <c r="O1152" s="84"/>
      <c r="P1152" s="87"/>
      <c r="Q1152" s="87"/>
      <c r="R1152" s="84"/>
      <c r="S1152" s="87"/>
      <c r="T1152" s="87"/>
      <c r="U1152" s="84">
        <v>1</v>
      </c>
      <c r="V1152" s="84">
        <v>0</v>
      </c>
      <c r="W1152" s="84">
        <v>0</v>
      </c>
      <c r="X1152" s="84">
        <v>0</v>
      </c>
      <c r="Y1152" s="84">
        <v>0</v>
      </c>
      <c r="Z1152" s="84">
        <v>0</v>
      </c>
      <c r="AA1152" s="84">
        <v>0</v>
      </c>
      <c r="AB1152" s="84">
        <v>0</v>
      </c>
      <c r="AC1152" s="84">
        <v>0</v>
      </c>
      <c r="AD1152" s="84">
        <v>0</v>
      </c>
      <c r="AE1152" s="84">
        <v>0</v>
      </c>
      <c r="AF1152" s="84">
        <v>0</v>
      </c>
      <c r="AG1152" s="84">
        <v>0</v>
      </c>
      <c r="AH1152" s="84">
        <v>0</v>
      </c>
      <c r="AI1152" s="84">
        <v>0</v>
      </c>
      <c r="AJ1152" s="84">
        <v>0</v>
      </c>
      <c r="AK1152" s="84">
        <v>0</v>
      </c>
      <c r="AL1152" s="84" cm="1">
        <f t="array" ref="AL11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2" s="84" cm="1">
        <f t="array" ref="AM11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2" s="84" cm="1">
        <f t="array" ref="AN11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2" s="84" cm="1">
        <f t="array" ref="AO11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2" s="84" cm="1">
        <f t="array" ref="AP11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2" s="84" cm="1">
        <f t="array" ref="AQ11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2" s="84" cm="1">
        <f t="array" ref="AR11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2" s="84" cm="1">
        <f t="array" ref="AS11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2" s="84" cm="1">
        <f t="array" ref="AT11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2" s="84" cm="1">
        <f t="array" ref="AU11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2" s="84" cm="1">
        <f t="array" ref="AV11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2" s="84" cm="1">
        <f t="array" ref="AW11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2" s="84" cm="1">
        <f t="array" ref="AX11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2" s="84" cm="1">
        <f t="array" ref="AY11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2" s="84" cm="1">
        <f t="array" ref="AZ11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2" s="84" cm="1">
        <f t="array" ref="BA11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2" s="84" cm="1">
        <f t="array" ref="BB11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2" s="84">
        <f>IF(SUM(Table3[[#This Row],[Column2]:[Column18]])&gt;Table3[[#This Row],[Column19]],Table3[[#This Row],[Column19]],SUM(Table3[[#This Row],[Column2]:[Column18]]))</f>
        <v>8100</v>
      </c>
      <c r="BD1152" s="2">
        <f>Table3[[#This Row],[Total Spend]]/SUM(Table3[[#This Row],[Column2]:[Column18]])</f>
        <v>1</v>
      </c>
    </row>
    <row r="1153" spans="1:56">
      <c r="A1153" s="84" t="s">
        <v>1228</v>
      </c>
      <c r="B1153" s="84" t="s">
        <v>57</v>
      </c>
      <c r="C1153" s="84" t="s">
        <v>57</v>
      </c>
      <c r="D1153" s="85">
        <v>45566</v>
      </c>
      <c r="E1153" s="85" t="s">
        <v>92</v>
      </c>
      <c r="F1153" s="84">
        <f>INDEX(Definitions!$G$13:$G$17,MATCH(Table3[[#This Row],[Propensity to buy/ buyer readiness]],Definitions!$A$13:$A$17,0))</f>
        <v>10000</v>
      </c>
      <c r="G1153" s="86">
        <v>3</v>
      </c>
      <c r="H1153" s="86">
        <v>3</v>
      </c>
      <c r="I1153" s="86">
        <v>4</v>
      </c>
      <c r="J1153" s="86">
        <v>3</v>
      </c>
      <c r="K1153" s="86">
        <v>2</v>
      </c>
      <c r="L1153" s="86">
        <f>SUM(Table3[[#This Row],[Strategic priority segment]:[Propensity to buy/ buyer readiness]])</f>
        <v>15</v>
      </c>
      <c r="M1153" s="86" t="s">
        <v>152</v>
      </c>
      <c r="N1153" s="84" t="s">
        <v>264</v>
      </c>
      <c r="O1153" s="84"/>
      <c r="P1153" s="87"/>
      <c r="Q1153" s="87"/>
      <c r="R1153" s="84"/>
      <c r="S1153" s="87"/>
      <c r="T1153" s="87"/>
      <c r="U1153" s="84">
        <v>1</v>
      </c>
      <c r="V1153" s="84">
        <v>0</v>
      </c>
      <c r="W1153" s="84">
        <v>0</v>
      </c>
      <c r="X1153" s="84">
        <v>0</v>
      </c>
      <c r="Y1153" s="84">
        <v>0</v>
      </c>
      <c r="Z1153" s="84">
        <v>0</v>
      </c>
      <c r="AA1153" s="84">
        <v>0</v>
      </c>
      <c r="AB1153" s="84">
        <v>0</v>
      </c>
      <c r="AC1153" s="84">
        <v>0</v>
      </c>
      <c r="AD1153" s="84">
        <v>0</v>
      </c>
      <c r="AE1153" s="84">
        <v>0</v>
      </c>
      <c r="AF1153" s="84">
        <v>0</v>
      </c>
      <c r="AG1153" s="84">
        <v>0</v>
      </c>
      <c r="AH1153" s="84">
        <v>0</v>
      </c>
      <c r="AI1153" s="84">
        <v>0</v>
      </c>
      <c r="AJ1153" s="84">
        <v>0</v>
      </c>
      <c r="AK1153" s="84">
        <v>0</v>
      </c>
      <c r="AL1153" s="84" cm="1">
        <f t="array" ref="AL11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3" s="84" cm="1">
        <f t="array" ref="AM11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3" s="84" cm="1">
        <f t="array" ref="AN11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3" s="84" cm="1">
        <f t="array" ref="AO11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3" s="84" cm="1">
        <f t="array" ref="AP11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3" s="84" cm="1">
        <f t="array" ref="AQ11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3" s="84" cm="1">
        <f t="array" ref="AR11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3" s="84" cm="1">
        <f t="array" ref="AS11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3" s="84" cm="1">
        <f t="array" ref="AT11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3" s="84" cm="1">
        <f t="array" ref="AU11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3" s="84" cm="1">
        <f t="array" ref="AV11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3" s="84" cm="1">
        <f t="array" ref="AW11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3" s="84" cm="1">
        <f t="array" ref="AX11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3" s="84" cm="1">
        <f t="array" ref="AY11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3" s="84" cm="1">
        <f t="array" ref="AZ11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3" s="84" cm="1">
        <f t="array" ref="BA11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3" s="84" cm="1">
        <f t="array" ref="BB11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3" s="84">
        <f>IF(SUM(Table3[[#This Row],[Column2]:[Column18]])&gt;Table3[[#This Row],[Column19]],Table3[[#This Row],[Column19]],SUM(Table3[[#This Row],[Column2]:[Column18]]))</f>
        <v>8100</v>
      </c>
      <c r="BD1153" s="2">
        <f>Table3[[#This Row],[Total Spend]]/SUM(Table3[[#This Row],[Column2]:[Column18]])</f>
        <v>1</v>
      </c>
    </row>
    <row r="1154" spans="1:56">
      <c r="A1154" s="84" t="s">
        <v>1229</v>
      </c>
      <c r="B1154" s="84"/>
      <c r="C1154" s="84"/>
      <c r="D1154" s="85">
        <v>45566</v>
      </c>
      <c r="E1154" s="85" t="s">
        <v>92</v>
      </c>
      <c r="F1154" s="84">
        <f>INDEX(Definitions!$G$13:$G$17,MATCH(Table3[[#This Row],[Propensity to buy/ buyer readiness]],Definitions!$A$13:$A$17,0))</f>
        <v>50000</v>
      </c>
      <c r="G1154" s="86">
        <v>3</v>
      </c>
      <c r="H1154" s="86">
        <v>3</v>
      </c>
      <c r="I1154" s="86">
        <v>3</v>
      </c>
      <c r="J1154" s="86">
        <v>3</v>
      </c>
      <c r="K1154" s="86">
        <v>3</v>
      </c>
      <c r="L1154" s="86">
        <f>SUM(Table3[[#This Row],[Strategic priority segment]:[Propensity to buy/ buyer readiness]])</f>
        <v>15</v>
      </c>
      <c r="M1154" s="86" t="s">
        <v>59</v>
      </c>
      <c r="N1154" s="84" t="s">
        <v>153</v>
      </c>
      <c r="O1154" s="84"/>
      <c r="P1154" s="84"/>
      <c r="Q1154" s="84"/>
      <c r="R1154" s="84"/>
      <c r="S1154" s="87"/>
      <c r="T1154" s="87"/>
      <c r="U1154" s="84">
        <v>1</v>
      </c>
      <c r="V1154" s="84">
        <v>0</v>
      </c>
      <c r="W1154" s="84">
        <v>0</v>
      </c>
      <c r="X1154" s="84">
        <v>0</v>
      </c>
      <c r="Y1154" s="84">
        <v>0</v>
      </c>
      <c r="Z1154" s="84">
        <v>0</v>
      </c>
      <c r="AA1154" s="84">
        <v>0</v>
      </c>
      <c r="AB1154" s="84">
        <v>0</v>
      </c>
      <c r="AC1154" s="84">
        <v>0</v>
      </c>
      <c r="AD1154" s="84">
        <v>0</v>
      </c>
      <c r="AE1154" s="84">
        <v>0</v>
      </c>
      <c r="AF1154" s="84">
        <v>0</v>
      </c>
      <c r="AG1154" s="84">
        <v>0</v>
      </c>
      <c r="AH1154" s="84">
        <v>0</v>
      </c>
      <c r="AI1154" s="84">
        <v>0</v>
      </c>
      <c r="AJ1154" s="84">
        <v>0</v>
      </c>
      <c r="AK1154" s="84">
        <v>0</v>
      </c>
      <c r="AL1154" s="84" cm="1">
        <f t="array" ref="AL11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4" s="84" cm="1">
        <f t="array" ref="AM11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4" s="84" cm="1">
        <f t="array" ref="AN11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4" s="84" cm="1">
        <f t="array" ref="AO11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4" s="84" cm="1">
        <f t="array" ref="AP11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4" s="84" cm="1">
        <f t="array" ref="AQ11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4" s="84" cm="1">
        <f t="array" ref="AR11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4" s="84" cm="1">
        <f t="array" ref="AS11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4" s="84" cm="1">
        <f t="array" ref="AT11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4" s="84" cm="1">
        <f t="array" ref="AU11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4" s="84" cm="1">
        <f t="array" ref="AV11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4" s="84" cm="1">
        <f t="array" ref="AW11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4" s="84" cm="1">
        <f t="array" ref="AX11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4" s="84" cm="1">
        <f t="array" ref="AY11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4" s="84" cm="1">
        <f t="array" ref="AZ11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4" s="84" cm="1">
        <f t="array" ref="BA11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4" s="84" cm="1">
        <f t="array" ref="BB11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4" s="84">
        <f>IF(SUM(Table3[[#This Row],[Column2]:[Column18]])&gt;Table3[[#This Row],[Column19]],Table3[[#This Row],[Column19]],SUM(Table3[[#This Row],[Column2]:[Column18]]))</f>
        <v>8100</v>
      </c>
      <c r="BD1154" s="2">
        <f>Table3[[#This Row],[Total Spend]]/SUM(Table3[[#This Row],[Column2]:[Column18]])</f>
        <v>1</v>
      </c>
    </row>
    <row r="1155" spans="1:56">
      <c r="A1155" s="84" t="s">
        <v>1230</v>
      </c>
      <c r="B1155" s="84" t="s">
        <v>57</v>
      </c>
      <c r="C1155" s="84"/>
      <c r="D1155" s="85">
        <v>45566</v>
      </c>
      <c r="E1155" s="85" t="s">
        <v>92</v>
      </c>
      <c r="F1155" s="84">
        <f>INDEX(Definitions!$G$13:$G$17,MATCH(Table3[[#This Row],[Propensity to buy/ buyer readiness]],Definitions!$A$13:$A$17,0))</f>
        <v>10000</v>
      </c>
      <c r="G1155" s="86">
        <v>3</v>
      </c>
      <c r="H1155" s="86">
        <v>3</v>
      </c>
      <c r="I1155" s="86">
        <v>4</v>
      </c>
      <c r="J1155" s="86">
        <v>3</v>
      </c>
      <c r="K1155" s="86">
        <v>2</v>
      </c>
      <c r="L1155" s="86">
        <f>SUM(Table3[[#This Row],[Strategic priority segment]:[Propensity to buy/ buyer readiness]])</f>
        <v>15</v>
      </c>
      <c r="M1155" s="86" t="s">
        <v>152</v>
      </c>
      <c r="N1155" s="84" t="s">
        <v>264</v>
      </c>
      <c r="O1155" s="84"/>
      <c r="P1155" s="87"/>
      <c r="Q1155" s="87"/>
      <c r="R1155" s="84"/>
      <c r="S1155" s="87"/>
      <c r="T1155" s="87"/>
      <c r="U1155" s="84">
        <v>1</v>
      </c>
      <c r="V1155" s="84">
        <v>0</v>
      </c>
      <c r="W1155" s="84">
        <v>0</v>
      </c>
      <c r="X1155" s="84">
        <v>0</v>
      </c>
      <c r="Y1155" s="84">
        <v>0</v>
      </c>
      <c r="Z1155" s="84">
        <v>0</v>
      </c>
      <c r="AA1155" s="84">
        <v>0</v>
      </c>
      <c r="AB1155" s="84">
        <v>0</v>
      </c>
      <c r="AC1155" s="84">
        <v>0</v>
      </c>
      <c r="AD1155" s="84">
        <v>0</v>
      </c>
      <c r="AE1155" s="84">
        <v>0</v>
      </c>
      <c r="AF1155" s="84">
        <v>0</v>
      </c>
      <c r="AG1155" s="84">
        <v>0</v>
      </c>
      <c r="AH1155" s="84">
        <v>0</v>
      </c>
      <c r="AI1155" s="84">
        <v>0</v>
      </c>
      <c r="AJ1155" s="84">
        <v>0</v>
      </c>
      <c r="AK1155" s="84">
        <v>0</v>
      </c>
      <c r="AL1155" s="84" cm="1">
        <f t="array" ref="AL11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5" s="84" cm="1">
        <f t="array" ref="AM11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5" s="84" cm="1">
        <f t="array" ref="AN11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5" s="84" cm="1">
        <f t="array" ref="AO11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5" s="84" cm="1">
        <f t="array" ref="AP11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5" s="84" cm="1">
        <f t="array" ref="AQ11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5" s="84" cm="1">
        <f t="array" ref="AR11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5" s="84" cm="1">
        <f t="array" ref="AS11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5" s="84" cm="1">
        <f t="array" ref="AT11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5" s="84" cm="1">
        <f t="array" ref="AU11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5" s="84" cm="1">
        <f t="array" ref="AV11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5" s="84" cm="1">
        <f t="array" ref="AW11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5" s="84" cm="1">
        <f t="array" ref="AX11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5" s="84" cm="1">
        <f t="array" ref="AY11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5" s="84" cm="1">
        <f t="array" ref="AZ11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5" s="84" cm="1">
        <f t="array" ref="BA11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5" s="84" cm="1">
        <f t="array" ref="BB11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5" s="84">
        <f>IF(SUM(Table3[[#This Row],[Column2]:[Column18]])&gt;Table3[[#This Row],[Column19]],Table3[[#This Row],[Column19]],SUM(Table3[[#This Row],[Column2]:[Column18]]))</f>
        <v>8100</v>
      </c>
      <c r="BD1155" s="2">
        <f>Table3[[#This Row],[Total Spend]]/SUM(Table3[[#This Row],[Column2]:[Column18]])</f>
        <v>1</v>
      </c>
    </row>
    <row r="1156" spans="1:56">
      <c r="A1156" s="84" t="s">
        <v>1231</v>
      </c>
      <c r="B1156" s="84"/>
      <c r="C1156" s="84"/>
      <c r="D1156" s="85">
        <v>45566</v>
      </c>
      <c r="E1156" s="85" t="s">
        <v>58</v>
      </c>
      <c r="F1156" s="84">
        <f>INDEX(Definitions!$G$13:$G$17,MATCH(Table3[[#This Row],[Propensity to buy/ buyer readiness]],Definitions!$A$13:$A$17,0))</f>
        <v>10000</v>
      </c>
      <c r="G1156" s="86">
        <v>3</v>
      </c>
      <c r="H1156" s="86">
        <v>3</v>
      </c>
      <c r="I1156" s="86">
        <v>4</v>
      </c>
      <c r="J1156" s="86">
        <v>3</v>
      </c>
      <c r="K1156" s="86">
        <v>2</v>
      </c>
      <c r="L1156" s="86">
        <f>SUM(Table3[[#This Row],[Strategic priority segment]:[Propensity to buy/ buyer readiness]])</f>
        <v>15</v>
      </c>
      <c r="M1156" s="86" t="s">
        <v>152</v>
      </c>
      <c r="N1156" s="84" t="s">
        <v>1133</v>
      </c>
      <c r="O1156" s="87"/>
      <c r="P1156" s="87"/>
      <c r="Q1156" s="87"/>
      <c r="R1156" s="87"/>
      <c r="S1156" s="87"/>
      <c r="T1156" s="87"/>
      <c r="U1156" s="84">
        <v>1</v>
      </c>
      <c r="V1156" s="84">
        <v>0</v>
      </c>
      <c r="W1156" s="84">
        <v>0</v>
      </c>
      <c r="X1156" s="84">
        <v>0</v>
      </c>
      <c r="Y1156" s="84">
        <v>0</v>
      </c>
      <c r="Z1156" s="84">
        <v>0</v>
      </c>
      <c r="AA1156" s="84">
        <v>0</v>
      </c>
      <c r="AB1156" s="84">
        <v>0</v>
      </c>
      <c r="AC1156" s="84">
        <v>0</v>
      </c>
      <c r="AD1156" s="84">
        <v>0</v>
      </c>
      <c r="AE1156" s="84">
        <v>0</v>
      </c>
      <c r="AF1156" s="84">
        <v>0</v>
      </c>
      <c r="AG1156" s="84">
        <v>0</v>
      </c>
      <c r="AH1156" s="84">
        <v>0</v>
      </c>
      <c r="AI1156" s="84">
        <v>0</v>
      </c>
      <c r="AJ1156" s="84">
        <v>0</v>
      </c>
      <c r="AK1156" s="84">
        <v>0</v>
      </c>
      <c r="AL1156" s="84" cm="1">
        <f t="array" ref="AL11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56" s="84" cm="1">
        <f t="array" ref="AM11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6" s="84" cm="1">
        <f t="array" ref="AN11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6" s="84" cm="1">
        <f t="array" ref="AO11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6" s="84" cm="1">
        <f t="array" ref="AP11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6" s="84" cm="1">
        <f t="array" ref="AQ11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6" s="84" cm="1">
        <f t="array" ref="AR11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6" s="84" cm="1">
        <f t="array" ref="AS11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6" s="84" cm="1">
        <f t="array" ref="AT11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6" s="84" cm="1">
        <f t="array" ref="AU11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6" s="84" cm="1">
        <f t="array" ref="AV11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6" s="84" cm="1">
        <f t="array" ref="AW11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6" s="84" cm="1">
        <f t="array" ref="AX11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6" s="84" cm="1">
        <f t="array" ref="AY11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6" s="84" cm="1">
        <f t="array" ref="AZ11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6" s="84" cm="1">
        <f t="array" ref="BA11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6" s="84" cm="1">
        <f t="array" ref="BB11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6" s="84">
        <f>IF(SUM(Table3[[#This Row],[Column2]:[Column18]])&gt;Table3[[#This Row],[Column19]],Table3[[#This Row],[Column19]],SUM(Table3[[#This Row],[Column2]:[Column18]]))</f>
        <v>10000</v>
      </c>
      <c r="BD1156" s="2">
        <f>Table3[[#This Row],[Total Spend]]/SUM(Table3[[#This Row],[Column2]:[Column18]])</f>
        <v>0.92592592592592593</v>
      </c>
    </row>
    <row r="1157" spans="1:56">
      <c r="A1157" s="84" t="s">
        <v>1232</v>
      </c>
      <c r="B1157" s="84"/>
      <c r="C1157" s="84" t="s">
        <v>57</v>
      </c>
      <c r="D1157" s="85">
        <v>45566</v>
      </c>
      <c r="E1157" s="85" t="s">
        <v>58</v>
      </c>
      <c r="F1157" s="84">
        <f>INDEX(Definitions!$G$13:$G$17,MATCH(Table3[[#This Row],[Propensity to buy/ buyer readiness]],Definitions!$A$13:$A$17,0))</f>
        <v>50000</v>
      </c>
      <c r="G1157" s="86">
        <v>3</v>
      </c>
      <c r="H1157" s="86">
        <v>3</v>
      </c>
      <c r="I1157" s="86">
        <v>3</v>
      </c>
      <c r="J1157" s="86">
        <v>3</v>
      </c>
      <c r="K1157" s="86">
        <v>3</v>
      </c>
      <c r="L1157" s="86">
        <f>SUM(Table3[[#This Row],[Strategic priority segment]:[Propensity to buy/ buyer readiness]])</f>
        <v>15</v>
      </c>
      <c r="M1157" s="86" t="s">
        <v>152</v>
      </c>
      <c r="N1157" s="84" t="s">
        <v>153</v>
      </c>
      <c r="O1157" s="84"/>
      <c r="P1157" s="87"/>
      <c r="Q1157" s="87"/>
      <c r="R1157" s="84"/>
      <c r="S1157" s="87"/>
      <c r="T1157" s="87"/>
      <c r="U1157" s="84">
        <v>1</v>
      </c>
      <c r="V1157" s="84">
        <v>0</v>
      </c>
      <c r="W1157" s="84">
        <v>0</v>
      </c>
      <c r="X1157" s="84">
        <v>0</v>
      </c>
      <c r="Y1157" s="84">
        <v>0</v>
      </c>
      <c r="Z1157" s="84">
        <v>0</v>
      </c>
      <c r="AA1157" s="84">
        <v>0</v>
      </c>
      <c r="AB1157" s="84">
        <v>0</v>
      </c>
      <c r="AC1157" s="84">
        <v>0</v>
      </c>
      <c r="AD1157" s="84">
        <v>0</v>
      </c>
      <c r="AE1157" s="84">
        <v>0</v>
      </c>
      <c r="AF1157" s="84">
        <v>0</v>
      </c>
      <c r="AG1157" s="84">
        <v>0</v>
      </c>
      <c r="AH1157" s="84">
        <v>0</v>
      </c>
      <c r="AI1157" s="84">
        <v>0</v>
      </c>
      <c r="AJ1157" s="84">
        <v>0</v>
      </c>
      <c r="AK1157" s="84">
        <v>0</v>
      </c>
      <c r="AL1157" s="84" cm="1">
        <f t="array" ref="AL11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57" s="84" cm="1">
        <f t="array" ref="AM11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7" s="84" cm="1">
        <f t="array" ref="AN11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7" s="84" cm="1">
        <f t="array" ref="AO11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7" s="84" cm="1">
        <f t="array" ref="AP11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7" s="84" cm="1">
        <f t="array" ref="AQ11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7" s="84" cm="1">
        <f t="array" ref="AR11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7" s="84" cm="1">
        <f t="array" ref="AS11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7" s="84" cm="1">
        <f t="array" ref="AT11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7" s="84" cm="1">
        <f t="array" ref="AU11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7" s="84" cm="1">
        <f t="array" ref="AV11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7" s="84" cm="1">
        <f t="array" ref="AW11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7" s="84" cm="1">
        <f t="array" ref="AX11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7" s="84" cm="1">
        <f t="array" ref="AY11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7" s="84" cm="1">
        <f t="array" ref="AZ11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7" s="84" cm="1">
        <f t="array" ref="BA11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7" s="84" cm="1">
        <f t="array" ref="BB11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7" s="84">
        <f>IF(SUM(Table3[[#This Row],[Column2]:[Column18]])&gt;Table3[[#This Row],[Column19]],Table3[[#This Row],[Column19]],SUM(Table3[[#This Row],[Column2]:[Column18]]))</f>
        <v>10800</v>
      </c>
      <c r="BD1157" s="2">
        <f>Table3[[#This Row],[Total Spend]]/SUM(Table3[[#This Row],[Column2]:[Column18]])</f>
        <v>1</v>
      </c>
    </row>
    <row r="1158" spans="1:56">
      <c r="A1158" s="84" t="s">
        <v>1233</v>
      </c>
      <c r="B1158" s="84"/>
      <c r="C1158" s="84"/>
      <c r="D1158" s="85">
        <v>45566</v>
      </c>
      <c r="E1158" s="85" t="s">
        <v>92</v>
      </c>
      <c r="F1158" s="84">
        <f>INDEX(Definitions!$G$13:$G$17,MATCH(Table3[[#This Row],[Propensity to buy/ buyer readiness]],Definitions!$A$13:$A$17,0))</f>
        <v>50000</v>
      </c>
      <c r="G1158" s="86">
        <v>3</v>
      </c>
      <c r="H1158" s="86">
        <v>3</v>
      </c>
      <c r="I1158" s="86">
        <v>3</v>
      </c>
      <c r="J1158" s="86">
        <v>3</v>
      </c>
      <c r="K1158" s="86">
        <v>3</v>
      </c>
      <c r="L1158" s="86">
        <f>SUM(Table3[[#This Row],[Strategic priority segment]:[Propensity to buy/ buyer readiness]])</f>
        <v>15</v>
      </c>
      <c r="M1158" s="86" t="s">
        <v>191</v>
      </c>
      <c r="N1158" s="84" t="s">
        <v>76</v>
      </c>
      <c r="O1158" s="87"/>
      <c r="P1158" s="87"/>
      <c r="Q1158" s="87"/>
      <c r="R1158" s="87"/>
      <c r="S1158" s="87"/>
      <c r="T1158" s="87"/>
      <c r="U1158" s="84">
        <v>0</v>
      </c>
      <c r="V1158" s="84">
        <v>0</v>
      </c>
      <c r="W1158" s="84">
        <v>0</v>
      </c>
      <c r="X1158" s="84">
        <v>0</v>
      </c>
      <c r="Y1158" s="84">
        <v>0</v>
      </c>
      <c r="Z1158" s="84">
        <v>0</v>
      </c>
      <c r="AA1158" s="84">
        <v>0</v>
      </c>
      <c r="AB1158" s="84">
        <v>0</v>
      </c>
      <c r="AC1158" s="84">
        <v>0</v>
      </c>
      <c r="AD1158" s="84">
        <v>0</v>
      </c>
      <c r="AE1158" s="84">
        <v>0</v>
      </c>
      <c r="AF1158" s="84">
        <v>0</v>
      </c>
      <c r="AG1158" s="84">
        <v>0</v>
      </c>
      <c r="AH1158" s="84">
        <v>1</v>
      </c>
      <c r="AI1158" s="84">
        <v>0</v>
      </c>
      <c r="AJ1158" s="84">
        <v>1</v>
      </c>
      <c r="AK1158" s="84">
        <v>0</v>
      </c>
      <c r="AL1158" s="84" cm="1">
        <f t="array" ref="AL11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58" s="84" cm="1">
        <f t="array" ref="AM11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8" s="84" cm="1">
        <f t="array" ref="AN11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8" s="84" cm="1">
        <f t="array" ref="AO11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8" s="84" cm="1">
        <f t="array" ref="AP11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8" s="84" cm="1">
        <f t="array" ref="AQ11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58" s="84" cm="1">
        <f t="array" ref="AR11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58" s="84" cm="1">
        <f t="array" ref="AS11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58" s="84" cm="1">
        <f t="array" ref="AT11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58" s="84" cm="1">
        <f t="array" ref="AU11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58" s="84" cm="1">
        <f t="array" ref="AV11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58" s="84" cm="1">
        <f t="array" ref="AW11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58" s="84" cm="1">
        <f t="array" ref="AX11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58" s="84" cm="1">
        <f t="array" ref="AY11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58" s="84" cm="1">
        <f t="array" ref="AZ11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8" s="84" cm="1">
        <f t="array" ref="BA11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58" s="84" cm="1">
        <f t="array" ref="BB11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8" s="84">
        <f>IF(SUM(Table3[[#This Row],[Column2]:[Column18]])&gt;Table3[[#This Row],[Column19]],Table3[[#This Row],[Column19]],SUM(Table3[[#This Row],[Column2]:[Column18]]))</f>
        <v>30600</v>
      </c>
      <c r="BD1158" s="2">
        <f>Table3[[#This Row],[Total Spend]]/SUM(Table3[[#This Row],[Column2]:[Column18]])</f>
        <v>1</v>
      </c>
    </row>
    <row r="1159" spans="1:56" ht="28.5">
      <c r="A1159" s="84" t="s">
        <v>1234</v>
      </c>
      <c r="B1159" s="84"/>
      <c r="C1159" s="84"/>
      <c r="D1159" s="85">
        <v>45566</v>
      </c>
      <c r="E1159" s="85" t="s">
        <v>92</v>
      </c>
      <c r="F1159" s="84">
        <f>INDEX(Definitions!$G$13:$G$17,MATCH(Table3[[#This Row],[Propensity to buy/ buyer readiness]],Definitions!$A$13:$A$17,0))</f>
        <v>50000</v>
      </c>
      <c r="G1159" s="86">
        <v>3</v>
      </c>
      <c r="H1159" s="86">
        <v>4</v>
      </c>
      <c r="I1159" s="86">
        <v>2</v>
      </c>
      <c r="J1159" s="86">
        <v>3</v>
      </c>
      <c r="K1159" s="86">
        <v>3</v>
      </c>
      <c r="L1159" s="86">
        <f>SUM(Table3[[#This Row],[Strategic priority segment]:[Propensity to buy/ buyer readiness]])</f>
        <v>15</v>
      </c>
      <c r="M1159" s="86" t="s">
        <v>152</v>
      </c>
      <c r="N1159" s="84" t="s">
        <v>122</v>
      </c>
      <c r="O1159" s="84" t="s">
        <v>62</v>
      </c>
      <c r="P1159" s="87" t="s">
        <v>61</v>
      </c>
      <c r="Q1159" s="87"/>
      <c r="R1159" s="84"/>
      <c r="S1159" s="87"/>
      <c r="T1159" s="87"/>
      <c r="U1159" s="84">
        <v>1</v>
      </c>
      <c r="V1159" s="84">
        <v>0</v>
      </c>
      <c r="W1159" s="84">
        <v>0</v>
      </c>
      <c r="X1159" s="84">
        <v>0</v>
      </c>
      <c r="Y1159" s="84">
        <v>0</v>
      </c>
      <c r="Z1159" s="84">
        <v>1</v>
      </c>
      <c r="AA1159" s="84">
        <v>1</v>
      </c>
      <c r="AB1159" s="84">
        <v>1</v>
      </c>
      <c r="AC1159" s="84">
        <v>1</v>
      </c>
      <c r="AD1159" s="84">
        <v>1</v>
      </c>
      <c r="AE1159" s="84">
        <v>1</v>
      </c>
      <c r="AF1159" s="84">
        <v>1</v>
      </c>
      <c r="AG1159" s="84">
        <v>1</v>
      </c>
      <c r="AH1159" s="84">
        <v>0</v>
      </c>
      <c r="AI1159" s="84">
        <v>0</v>
      </c>
      <c r="AJ1159" s="84">
        <v>0</v>
      </c>
      <c r="AK1159" s="84">
        <v>0</v>
      </c>
      <c r="AL1159" s="84" cm="1">
        <f t="array" ref="AL11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59" s="84" cm="1">
        <f t="array" ref="AM11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59" s="84" cm="1">
        <f t="array" ref="AN11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59" s="84" cm="1">
        <f t="array" ref="AO11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59" s="84" cm="1">
        <f t="array" ref="AP11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59" s="84" cm="1">
        <f t="array" ref="AQ11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59" s="84" cm="1">
        <f t="array" ref="AR11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159" s="84" cm="1">
        <f t="array" ref="AS11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59" s="84" cm="1">
        <f t="array" ref="AT11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159" s="84" cm="1">
        <f t="array" ref="AU11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59" s="84" cm="1">
        <f t="array" ref="AV11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159" s="84" cm="1">
        <f t="array" ref="AW11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59" s="84" cm="1">
        <f t="array" ref="AX11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159" s="84" cm="1">
        <f t="array" ref="AY11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59" s="84" cm="1">
        <f t="array" ref="AZ11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59" s="84" cm="1">
        <f t="array" ref="BA11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59" s="84" cm="1">
        <f t="array" ref="BB11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59" s="84">
        <f>IF(SUM(Table3[[#This Row],[Column2]:[Column18]])&gt;Table3[[#This Row],[Column19]],Table3[[#This Row],[Column19]],SUM(Table3[[#This Row],[Column2]:[Column18]]))</f>
        <v>50000</v>
      </c>
      <c r="BD1159" s="2">
        <f>Table3[[#This Row],[Total Spend]]/SUM(Table3[[#This Row],[Column2]:[Column18]])</f>
        <v>0.2664535038635758</v>
      </c>
    </row>
    <row r="1160" spans="1:56">
      <c r="A1160" s="84" t="s">
        <v>1235</v>
      </c>
      <c r="B1160" s="84"/>
      <c r="C1160" s="84"/>
      <c r="D1160" s="85">
        <v>45566</v>
      </c>
      <c r="E1160" s="85" t="s">
        <v>92</v>
      </c>
      <c r="F1160" s="84">
        <f>INDEX(Definitions!$G$13:$G$17,MATCH(Table3[[#This Row],[Propensity to buy/ buyer readiness]],Definitions!$A$13:$A$17,0))</f>
        <v>50000</v>
      </c>
      <c r="G1160" s="86">
        <v>3</v>
      </c>
      <c r="H1160" s="86">
        <v>3</v>
      </c>
      <c r="I1160" s="86">
        <v>3</v>
      </c>
      <c r="J1160" s="86">
        <v>3</v>
      </c>
      <c r="K1160" s="86">
        <v>3</v>
      </c>
      <c r="L1160" s="86">
        <f>SUM(Table3[[#This Row],[Strategic priority segment]:[Propensity to buy/ buyer readiness]])</f>
        <v>15</v>
      </c>
      <c r="M1160" s="86" t="s">
        <v>152</v>
      </c>
      <c r="N1160" s="84" t="s">
        <v>122</v>
      </c>
      <c r="O1160" s="84"/>
      <c r="P1160" s="87"/>
      <c r="Q1160" s="87"/>
      <c r="R1160" s="84"/>
      <c r="S1160" s="87"/>
      <c r="T1160" s="87"/>
      <c r="U1160" s="84">
        <v>1</v>
      </c>
      <c r="V1160" s="84">
        <v>0</v>
      </c>
      <c r="W1160" s="84">
        <v>0</v>
      </c>
      <c r="X1160" s="84">
        <v>0</v>
      </c>
      <c r="Y1160" s="84">
        <v>0</v>
      </c>
      <c r="Z1160" s="84">
        <v>1</v>
      </c>
      <c r="AA1160" s="84">
        <v>0</v>
      </c>
      <c r="AB1160" s="84">
        <v>1</v>
      </c>
      <c r="AC1160" s="84">
        <v>0</v>
      </c>
      <c r="AD1160" s="84">
        <v>1</v>
      </c>
      <c r="AE1160" s="84">
        <v>0</v>
      </c>
      <c r="AF1160" s="84">
        <v>1</v>
      </c>
      <c r="AG1160" s="84">
        <v>0</v>
      </c>
      <c r="AH1160" s="84">
        <v>0</v>
      </c>
      <c r="AI1160" s="84">
        <v>0</v>
      </c>
      <c r="AJ1160" s="84">
        <v>0</v>
      </c>
      <c r="AK1160" s="84">
        <v>0</v>
      </c>
      <c r="AL1160" s="84" cm="1">
        <f t="array" ref="AL11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60" s="84" cm="1">
        <f t="array" ref="AM11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0" s="84" cm="1">
        <f t="array" ref="AN11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0" s="84" cm="1">
        <f t="array" ref="AO11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0" s="84" cm="1">
        <f t="array" ref="AP11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0" s="84" cm="1">
        <f t="array" ref="AQ11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60" s="84" cm="1">
        <f t="array" ref="AR11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0" s="84" cm="1">
        <f t="array" ref="AS11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60" s="84" cm="1">
        <f t="array" ref="AT11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0" s="84" cm="1">
        <f t="array" ref="AU11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60" s="84" cm="1">
        <f t="array" ref="AV11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0" s="84" cm="1">
        <f t="array" ref="AW11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60" s="84" cm="1">
        <f t="array" ref="AX11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0" s="84" cm="1">
        <f t="array" ref="AY11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0" s="84" cm="1">
        <f t="array" ref="AZ11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0" s="84" cm="1">
        <f t="array" ref="BA11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0" s="84" cm="1">
        <f t="array" ref="BB11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0" s="84">
        <f>IF(SUM(Table3[[#This Row],[Column2]:[Column18]])&gt;Table3[[#This Row],[Column19]],Table3[[#This Row],[Column19]],SUM(Table3[[#This Row],[Column2]:[Column18]]))</f>
        <v>50000</v>
      </c>
      <c r="BD1160" s="2">
        <f>Table3[[#This Row],[Total Spend]]/SUM(Table3[[#This Row],[Column2]:[Column18]])</f>
        <v>0.41459369817578773</v>
      </c>
    </row>
    <row r="1161" spans="1:56">
      <c r="A1161" s="84" t="s">
        <v>1236</v>
      </c>
      <c r="B1161" s="84"/>
      <c r="C1161" s="84"/>
      <c r="D1161" s="85">
        <v>45566</v>
      </c>
      <c r="E1161" s="85" t="s">
        <v>92</v>
      </c>
      <c r="F1161" s="84">
        <f>INDEX(Definitions!$G$13:$G$17,MATCH(Table3[[#This Row],[Propensity to buy/ buyer readiness]],Definitions!$A$13:$A$17,0))</f>
        <v>50000</v>
      </c>
      <c r="G1161" s="86">
        <v>3</v>
      </c>
      <c r="H1161" s="86">
        <v>3</v>
      </c>
      <c r="I1161" s="86">
        <v>3</v>
      </c>
      <c r="J1161" s="86">
        <v>3</v>
      </c>
      <c r="K1161" s="86">
        <v>3</v>
      </c>
      <c r="L1161" s="86">
        <f>SUM(Table3[[#This Row],[Strategic priority segment]:[Propensity to buy/ buyer readiness]])</f>
        <v>15</v>
      </c>
      <c r="M1161" s="86" t="s">
        <v>152</v>
      </c>
      <c r="N1161" s="84" t="s">
        <v>122</v>
      </c>
      <c r="O1161" s="87"/>
      <c r="P1161" s="87"/>
      <c r="Q1161" s="87"/>
      <c r="R1161" s="87"/>
      <c r="S1161" s="87"/>
      <c r="T1161" s="87"/>
      <c r="U1161" s="84">
        <v>1</v>
      </c>
      <c r="V1161" s="84">
        <v>0</v>
      </c>
      <c r="W1161" s="84">
        <v>0</v>
      </c>
      <c r="X1161" s="84">
        <v>0</v>
      </c>
      <c r="Y1161" s="84">
        <v>0</v>
      </c>
      <c r="Z1161" s="84">
        <v>1</v>
      </c>
      <c r="AA1161" s="84">
        <v>0</v>
      </c>
      <c r="AB1161" s="84">
        <v>1</v>
      </c>
      <c r="AC1161" s="84">
        <v>0</v>
      </c>
      <c r="AD1161" s="84">
        <v>1</v>
      </c>
      <c r="AE1161" s="84">
        <v>0</v>
      </c>
      <c r="AF1161" s="84">
        <v>1</v>
      </c>
      <c r="AG1161" s="84">
        <v>0</v>
      </c>
      <c r="AH1161" s="84">
        <v>0</v>
      </c>
      <c r="AI1161" s="84">
        <v>0</v>
      </c>
      <c r="AJ1161" s="84">
        <v>0</v>
      </c>
      <c r="AK1161" s="84">
        <v>0</v>
      </c>
      <c r="AL1161" s="84" cm="1">
        <f t="array" ref="AL11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61" s="84" cm="1">
        <f t="array" ref="AM11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1" s="84" cm="1">
        <f t="array" ref="AN11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1" s="84" cm="1">
        <f t="array" ref="AO11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1" s="84" cm="1">
        <f t="array" ref="AP11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1" s="84" cm="1">
        <f t="array" ref="AQ11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61" s="84" cm="1">
        <f t="array" ref="AR11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1" s="84" cm="1">
        <f t="array" ref="AS11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61" s="84" cm="1">
        <f t="array" ref="AT11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1" s="84" cm="1">
        <f t="array" ref="AU11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61" s="84" cm="1">
        <f t="array" ref="AV11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1" s="84" cm="1">
        <f t="array" ref="AW11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61" s="84" cm="1">
        <f t="array" ref="AX11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1" s="84" cm="1">
        <f t="array" ref="AY11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1" s="84" cm="1">
        <f t="array" ref="AZ11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1" s="84" cm="1">
        <f t="array" ref="BA11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1" s="84" cm="1">
        <f t="array" ref="BB11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1" s="84">
        <f>IF(SUM(Table3[[#This Row],[Column2]:[Column18]])&gt;Table3[[#This Row],[Column19]],Table3[[#This Row],[Column19]],SUM(Table3[[#This Row],[Column2]:[Column18]]))</f>
        <v>50000</v>
      </c>
      <c r="BD1161" s="2">
        <f>Table3[[#This Row],[Total Spend]]/SUM(Table3[[#This Row],[Column2]:[Column18]])</f>
        <v>0.41459369817578773</v>
      </c>
    </row>
    <row r="1162" spans="1:56">
      <c r="A1162" s="84" t="s">
        <v>1237</v>
      </c>
      <c r="B1162" s="84"/>
      <c r="C1162" s="84"/>
      <c r="D1162" s="85">
        <v>45566</v>
      </c>
      <c r="E1162" s="85" t="s">
        <v>92</v>
      </c>
      <c r="F1162" s="84">
        <f>INDEX(Definitions!$G$13:$G$17,MATCH(Table3[[#This Row],[Propensity to buy/ buyer readiness]],Definitions!$A$13:$A$17,0))</f>
        <v>50000</v>
      </c>
      <c r="G1162" s="86">
        <v>3</v>
      </c>
      <c r="H1162" s="86">
        <v>3</v>
      </c>
      <c r="I1162" s="86">
        <v>3</v>
      </c>
      <c r="J1162" s="86">
        <v>3</v>
      </c>
      <c r="K1162" s="86">
        <v>3</v>
      </c>
      <c r="L1162" s="86">
        <f>SUM(Table3[[#This Row],[Strategic priority segment]:[Propensity to buy/ buyer readiness]])</f>
        <v>15</v>
      </c>
      <c r="M1162" s="86" t="s">
        <v>152</v>
      </c>
      <c r="N1162" s="84" t="s">
        <v>130</v>
      </c>
      <c r="O1162" s="84"/>
      <c r="P1162" s="84"/>
      <c r="Q1162" s="84"/>
      <c r="R1162" s="84"/>
      <c r="S1162" s="84"/>
      <c r="T1162" s="87"/>
      <c r="U1162" s="84">
        <v>1</v>
      </c>
      <c r="V1162" s="84">
        <v>0</v>
      </c>
      <c r="W1162" s="84">
        <v>0</v>
      </c>
      <c r="X1162" s="84">
        <v>0</v>
      </c>
      <c r="Y1162" s="84">
        <v>0</v>
      </c>
      <c r="Z1162" s="84">
        <v>0</v>
      </c>
      <c r="AA1162" s="84">
        <v>0</v>
      </c>
      <c r="AB1162" s="84">
        <v>0</v>
      </c>
      <c r="AC1162" s="84">
        <v>0</v>
      </c>
      <c r="AD1162" s="84">
        <v>0</v>
      </c>
      <c r="AE1162" s="84">
        <v>0</v>
      </c>
      <c r="AF1162" s="84">
        <v>0</v>
      </c>
      <c r="AG1162" s="84">
        <v>0</v>
      </c>
      <c r="AH1162" s="84">
        <v>0</v>
      </c>
      <c r="AI1162" s="84">
        <v>0</v>
      </c>
      <c r="AJ1162" s="84">
        <v>0</v>
      </c>
      <c r="AK1162" s="84">
        <v>0</v>
      </c>
      <c r="AL1162" s="84" cm="1">
        <f t="array" ref="AL11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62" s="84" cm="1">
        <f t="array" ref="AM11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2" s="84" cm="1">
        <f t="array" ref="AN11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2" s="84" cm="1">
        <f t="array" ref="AO11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2" s="84" cm="1">
        <f t="array" ref="AP11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2" s="84" cm="1">
        <f t="array" ref="AQ11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62" s="84" cm="1">
        <f t="array" ref="AR11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2" s="84" cm="1">
        <f t="array" ref="AS11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62" s="84" cm="1">
        <f t="array" ref="AT11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2" s="84" cm="1">
        <f t="array" ref="AU11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62" s="84" cm="1">
        <f t="array" ref="AV11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2" s="84" cm="1">
        <f t="array" ref="AW11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62" s="84" cm="1">
        <f t="array" ref="AX11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2" s="84" cm="1">
        <f t="array" ref="AY11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2" s="84" cm="1">
        <f t="array" ref="AZ11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2" s="84" cm="1">
        <f t="array" ref="BA11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2" s="84" cm="1">
        <f t="array" ref="BB11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2" s="84">
        <f>IF(SUM(Table3[[#This Row],[Column2]:[Column18]])&gt;Table3[[#This Row],[Column19]],Table3[[#This Row],[Column19]],SUM(Table3[[#This Row],[Column2]:[Column18]]))</f>
        <v>8100</v>
      </c>
      <c r="BD1162" s="2">
        <f>Table3[[#This Row],[Total Spend]]/SUM(Table3[[#This Row],[Column2]:[Column18]])</f>
        <v>1</v>
      </c>
    </row>
    <row r="1163" spans="1:56">
      <c r="A1163" s="84" t="s">
        <v>1238</v>
      </c>
      <c r="B1163" s="84"/>
      <c r="C1163" s="84"/>
      <c r="D1163" s="85">
        <v>45566</v>
      </c>
      <c r="E1163" s="85" t="s">
        <v>92</v>
      </c>
      <c r="F1163" s="84">
        <f>INDEX(Definitions!$G$13:$G$17,MATCH(Table3[[#This Row],[Propensity to buy/ buyer readiness]],Definitions!$A$13:$A$17,0))</f>
        <v>50000</v>
      </c>
      <c r="G1163" s="86">
        <v>3</v>
      </c>
      <c r="H1163" s="86">
        <v>3</v>
      </c>
      <c r="I1163" s="86">
        <v>3</v>
      </c>
      <c r="J1163" s="86">
        <v>3</v>
      </c>
      <c r="K1163" s="86">
        <v>3</v>
      </c>
      <c r="L1163" s="86">
        <f>SUM(Table3[[#This Row],[Strategic priority segment]:[Propensity to buy/ buyer readiness]])</f>
        <v>15</v>
      </c>
      <c r="M1163" s="86" t="s">
        <v>191</v>
      </c>
      <c r="N1163" s="84" t="s">
        <v>76</v>
      </c>
      <c r="O1163" s="84"/>
      <c r="P1163" s="84"/>
      <c r="Q1163" s="84"/>
      <c r="R1163" s="84"/>
      <c r="S1163" s="87"/>
      <c r="T1163" s="87"/>
      <c r="U1163" s="84">
        <v>0</v>
      </c>
      <c r="V1163" s="84">
        <v>0</v>
      </c>
      <c r="W1163" s="84">
        <v>0</v>
      </c>
      <c r="X1163" s="84">
        <v>0</v>
      </c>
      <c r="Y1163" s="84">
        <v>0</v>
      </c>
      <c r="Z1163" s="84">
        <v>0</v>
      </c>
      <c r="AA1163" s="84">
        <v>0</v>
      </c>
      <c r="AB1163" s="84">
        <v>0</v>
      </c>
      <c r="AC1163" s="84">
        <v>0</v>
      </c>
      <c r="AD1163" s="84">
        <v>0</v>
      </c>
      <c r="AE1163" s="84">
        <v>0</v>
      </c>
      <c r="AF1163" s="84">
        <v>0</v>
      </c>
      <c r="AG1163" s="84">
        <v>0</v>
      </c>
      <c r="AH1163" s="84">
        <v>1</v>
      </c>
      <c r="AI1163" s="84">
        <v>0</v>
      </c>
      <c r="AJ1163" s="84">
        <v>1</v>
      </c>
      <c r="AK1163" s="84">
        <v>0</v>
      </c>
      <c r="AL1163" s="84" cm="1">
        <f t="array" ref="AL11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63" s="84" cm="1">
        <f t="array" ref="AM11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3" s="84" cm="1">
        <f t="array" ref="AN11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3" s="84" cm="1">
        <f t="array" ref="AO11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3" s="84" cm="1">
        <f t="array" ref="AP11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3" s="84" cm="1">
        <f t="array" ref="AQ11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63" s="84" cm="1">
        <f t="array" ref="AR11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3" s="84" cm="1">
        <f t="array" ref="AS11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63" s="84" cm="1">
        <f t="array" ref="AT11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3" s="84" cm="1">
        <f t="array" ref="AU11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63" s="84" cm="1">
        <f t="array" ref="AV11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3" s="84" cm="1">
        <f t="array" ref="AW11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63" s="84" cm="1">
        <f t="array" ref="AX11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3" s="84" cm="1">
        <f t="array" ref="AY11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63" s="84" cm="1">
        <f t="array" ref="AZ11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3" s="84" cm="1">
        <f t="array" ref="BA11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63" s="84" cm="1">
        <f t="array" ref="BB11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3" s="84">
        <f>IF(SUM(Table3[[#This Row],[Column2]:[Column18]])&gt;Table3[[#This Row],[Column19]],Table3[[#This Row],[Column19]],SUM(Table3[[#This Row],[Column2]:[Column18]]))</f>
        <v>30600</v>
      </c>
      <c r="BD1163" s="2">
        <f>Table3[[#This Row],[Total Spend]]/SUM(Table3[[#This Row],[Column2]:[Column18]])</f>
        <v>1</v>
      </c>
    </row>
    <row r="1164" spans="1:56">
      <c r="A1164" s="84" t="s">
        <v>1239</v>
      </c>
      <c r="B1164" s="84"/>
      <c r="C1164" s="84"/>
      <c r="D1164" s="85">
        <v>45566</v>
      </c>
      <c r="E1164" s="85" t="s">
        <v>58</v>
      </c>
      <c r="F1164" s="84">
        <f>INDEX(Definitions!$G$13:$G$17,MATCH(Table3[[#This Row],[Propensity to buy/ buyer readiness]],Definitions!$A$13:$A$17,0))</f>
        <v>150000</v>
      </c>
      <c r="G1164" s="86">
        <v>3</v>
      </c>
      <c r="H1164" s="86">
        <v>3</v>
      </c>
      <c r="I1164" s="86">
        <v>2</v>
      </c>
      <c r="J1164" s="86">
        <v>3</v>
      </c>
      <c r="K1164" s="86">
        <v>4</v>
      </c>
      <c r="L1164" s="86">
        <f>SUM(Table3[[#This Row],[Strategic priority segment]:[Propensity to buy/ buyer readiness]])</f>
        <v>15</v>
      </c>
      <c r="M1164" s="86" t="s">
        <v>152</v>
      </c>
      <c r="N1164" s="84" t="s">
        <v>122</v>
      </c>
      <c r="O1164" s="87"/>
      <c r="P1164" s="87"/>
      <c r="Q1164" s="87"/>
      <c r="R1164" s="87"/>
      <c r="S1164" s="87"/>
      <c r="T1164" s="87"/>
      <c r="U1164" s="84">
        <v>1</v>
      </c>
      <c r="V1164" s="84">
        <v>0</v>
      </c>
      <c r="W1164" s="84">
        <v>0</v>
      </c>
      <c r="X1164" s="84">
        <v>0</v>
      </c>
      <c r="Y1164" s="84">
        <v>0</v>
      </c>
      <c r="Z1164" s="84">
        <v>1</v>
      </c>
      <c r="AA1164" s="84">
        <v>0</v>
      </c>
      <c r="AB1164" s="84">
        <v>1</v>
      </c>
      <c r="AC1164" s="84">
        <v>0</v>
      </c>
      <c r="AD1164" s="84">
        <v>1</v>
      </c>
      <c r="AE1164" s="84">
        <v>0</v>
      </c>
      <c r="AF1164" s="84">
        <v>1</v>
      </c>
      <c r="AG1164" s="84">
        <v>0</v>
      </c>
      <c r="AH1164" s="84">
        <v>0</v>
      </c>
      <c r="AI1164" s="84">
        <v>0</v>
      </c>
      <c r="AJ1164" s="84">
        <v>0</v>
      </c>
      <c r="AK1164" s="84">
        <v>0</v>
      </c>
      <c r="AL1164" s="84" cm="1">
        <f t="array" ref="AL11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64" s="84" cm="1">
        <f t="array" ref="AM11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4" s="84" cm="1">
        <f t="array" ref="AN11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4" s="84" cm="1">
        <f t="array" ref="AO11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4" s="84" cm="1">
        <f t="array" ref="AP11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4" s="84" cm="1">
        <f t="array" ref="AQ11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64" s="84" cm="1">
        <f t="array" ref="AR11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4" s="84" cm="1">
        <f t="array" ref="AS11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64" s="84" cm="1">
        <f t="array" ref="AT11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4" s="84" cm="1">
        <f t="array" ref="AU11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64" s="84" cm="1">
        <f t="array" ref="AV11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4" s="84" cm="1">
        <f t="array" ref="AW11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64" s="84" cm="1">
        <f t="array" ref="AX11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4" s="84" cm="1">
        <f t="array" ref="AY11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4" s="84" cm="1">
        <f t="array" ref="AZ11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4" s="84" cm="1">
        <f t="array" ref="BA11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4" s="84" cm="1">
        <f t="array" ref="BB11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4" s="84">
        <f>IF(SUM(Table3[[#This Row],[Column2]:[Column18]])&gt;Table3[[#This Row],[Column19]],Table3[[#This Row],[Column19]],SUM(Table3[[#This Row],[Column2]:[Column18]]))</f>
        <v>150000</v>
      </c>
      <c r="BD1164" s="2">
        <f>Table3[[#This Row],[Total Spend]]/SUM(Table3[[#This Row],[Column2]:[Column18]])</f>
        <v>0.89605734767025091</v>
      </c>
    </row>
    <row r="1165" spans="1:56">
      <c r="A1165" s="84" t="s">
        <v>1240</v>
      </c>
      <c r="B1165" s="84"/>
      <c r="C1165" s="84"/>
      <c r="D1165" s="85">
        <v>45566</v>
      </c>
      <c r="E1165" s="85" t="s">
        <v>92</v>
      </c>
      <c r="F1165" s="84">
        <f>INDEX(Definitions!$G$13:$G$17,MATCH(Table3[[#This Row],[Propensity to buy/ buyer readiness]],Definitions!$A$13:$A$17,0))</f>
        <v>50000</v>
      </c>
      <c r="G1165" s="86">
        <v>3</v>
      </c>
      <c r="H1165" s="86">
        <v>3</v>
      </c>
      <c r="I1165" s="86">
        <v>3</v>
      </c>
      <c r="J1165" s="86">
        <v>3</v>
      </c>
      <c r="K1165" s="86">
        <v>3</v>
      </c>
      <c r="L1165" s="86">
        <f>SUM(Table3[[#This Row],[Strategic priority segment]:[Propensity to buy/ buyer readiness]])</f>
        <v>15</v>
      </c>
      <c r="M1165" s="86" t="s">
        <v>191</v>
      </c>
      <c r="N1165" s="84" t="s">
        <v>76</v>
      </c>
      <c r="O1165" s="84"/>
      <c r="P1165" s="84"/>
      <c r="Q1165" s="84"/>
      <c r="R1165" s="84"/>
      <c r="S1165" s="87"/>
      <c r="T1165" s="87"/>
      <c r="U1165" s="84">
        <v>0</v>
      </c>
      <c r="V1165" s="84">
        <v>0</v>
      </c>
      <c r="W1165" s="84">
        <v>0</v>
      </c>
      <c r="X1165" s="84">
        <v>0</v>
      </c>
      <c r="Y1165" s="84">
        <v>0</v>
      </c>
      <c r="Z1165" s="84">
        <v>0</v>
      </c>
      <c r="AA1165" s="84">
        <v>0</v>
      </c>
      <c r="AB1165" s="84">
        <v>0</v>
      </c>
      <c r="AC1165" s="84">
        <v>0</v>
      </c>
      <c r="AD1165" s="84">
        <v>0</v>
      </c>
      <c r="AE1165" s="84">
        <v>0</v>
      </c>
      <c r="AF1165" s="84">
        <v>0</v>
      </c>
      <c r="AG1165" s="84">
        <v>0</v>
      </c>
      <c r="AH1165" s="84">
        <v>1</v>
      </c>
      <c r="AI1165" s="84">
        <v>0</v>
      </c>
      <c r="AJ1165" s="84">
        <v>1</v>
      </c>
      <c r="AK1165" s="84">
        <v>0</v>
      </c>
      <c r="AL1165" s="84" cm="1">
        <f t="array" ref="AL11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65" s="84" cm="1">
        <f t="array" ref="AM11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5" s="84" cm="1">
        <f t="array" ref="AN11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5" s="84" cm="1">
        <f t="array" ref="AO11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5" s="84" cm="1">
        <f t="array" ref="AP11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5" s="84" cm="1">
        <f t="array" ref="AQ11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65" s="84" cm="1">
        <f t="array" ref="AR11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5" s="84" cm="1">
        <f t="array" ref="AS11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65" s="84" cm="1">
        <f t="array" ref="AT11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5" s="84" cm="1">
        <f t="array" ref="AU11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65" s="84" cm="1">
        <f t="array" ref="AV11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5" s="84" cm="1">
        <f t="array" ref="AW11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65" s="84" cm="1">
        <f t="array" ref="AX11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5" s="84" cm="1">
        <f t="array" ref="AY11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65" s="84" cm="1">
        <f t="array" ref="AZ11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5" s="84" cm="1">
        <f t="array" ref="BA11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65" s="84" cm="1">
        <f t="array" ref="BB11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5" s="84">
        <f>IF(SUM(Table3[[#This Row],[Column2]:[Column18]])&gt;Table3[[#This Row],[Column19]],Table3[[#This Row],[Column19]],SUM(Table3[[#This Row],[Column2]:[Column18]]))</f>
        <v>30600</v>
      </c>
      <c r="BD1165" s="2">
        <f>Table3[[#This Row],[Total Spend]]/SUM(Table3[[#This Row],[Column2]:[Column18]])</f>
        <v>1</v>
      </c>
    </row>
    <row r="1166" spans="1:56">
      <c r="A1166" s="84" t="s">
        <v>1241</v>
      </c>
      <c r="B1166" s="84"/>
      <c r="C1166" s="84"/>
      <c r="D1166" s="85">
        <v>45566</v>
      </c>
      <c r="E1166" s="85" t="s">
        <v>92</v>
      </c>
      <c r="F1166" s="84">
        <f>INDEX(Definitions!$G$13:$G$17,MATCH(Table3[[#This Row],[Propensity to buy/ buyer readiness]],Definitions!$A$13:$A$17,0))</f>
        <v>50000</v>
      </c>
      <c r="G1166" s="86">
        <v>3</v>
      </c>
      <c r="H1166" s="86">
        <v>3</v>
      </c>
      <c r="I1166" s="86">
        <v>3</v>
      </c>
      <c r="J1166" s="86">
        <v>3</v>
      </c>
      <c r="K1166" s="86">
        <v>3</v>
      </c>
      <c r="L1166" s="86">
        <f>SUM(Table3[[#This Row],[Strategic priority segment]:[Propensity to buy/ buyer readiness]])</f>
        <v>15</v>
      </c>
      <c r="M1166" s="86" t="s">
        <v>191</v>
      </c>
      <c r="N1166" s="84" t="s">
        <v>76</v>
      </c>
      <c r="O1166" s="84"/>
      <c r="P1166" s="84"/>
      <c r="Q1166" s="84"/>
      <c r="R1166" s="84"/>
      <c r="S1166" s="87"/>
      <c r="T1166" s="87"/>
      <c r="U1166" s="84">
        <v>0</v>
      </c>
      <c r="V1166" s="84">
        <v>0</v>
      </c>
      <c r="W1166" s="84">
        <v>0</v>
      </c>
      <c r="X1166" s="84">
        <v>0</v>
      </c>
      <c r="Y1166" s="84">
        <v>0</v>
      </c>
      <c r="Z1166" s="84">
        <v>0</v>
      </c>
      <c r="AA1166" s="84">
        <v>0</v>
      </c>
      <c r="AB1166" s="84">
        <v>0</v>
      </c>
      <c r="AC1166" s="84">
        <v>0</v>
      </c>
      <c r="AD1166" s="84">
        <v>0</v>
      </c>
      <c r="AE1166" s="84">
        <v>0</v>
      </c>
      <c r="AF1166" s="84">
        <v>0</v>
      </c>
      <c r="AG1166" s="84">
        <v>0</v>
      </c>
      <c r="AH1166" s="84">
        <v>1</v>
      </c>
      <c r="AI1166" s="84">
        <v>0</v>
      </c>
      <c r="AJ1166" s="84">
        <v>1</v>
      </c>
      <c r="AK1166" s="84">
        <v>0</v>
      </c>
      <c r="AL1166" s="84" cm="1">
        <f t="array" ref="AL11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66" s="84" cm="1">
        <f t="array" ref="AM11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6" s="84" cm="1">
        <f t="array" ref="AN11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6" s="84" cm="1">
        <f t="array" ref="AO11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6" s="84" cm="1">
        <f t="array" ref="AP11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6" s="84" cm="1">
        <f t="array" ref="AQ11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66" s="84" cm="1">
        <f t="array" ref="AR11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6" s="84" cm="1">
        <f t="array" ref="AS11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66" s="84" cm="1">
        <f t="array" ref="AT11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6" s="84" cm="1">
        <f t="array" ref="AU11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66" s="84" cm="1">
        <f t="array" ref="AV11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6" s="84" cm="1">
        <f t="array" ref="AW11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66" s="84" cm="1">
        <f t="array" ref="AX11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6" s="84" cm="1">
        <f t="array" ref="AY11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66" s="84" cm="1">
        <f t="array" ref="AZ11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6" s="84" cm="1">
        <f t="array" ref="BA11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66" s="84" cm="1">
        <f t="array" ref="BB11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6" s="84">
        <f>IF(SUM(Table3[[#This Row],[Column2]:[Column18]])&gt;Table3[[#This Row],[Column19]],Table3[[#This Row],[Column19]],SUM(Table3[[#This Row],[Column2]:[Column18]]))</f>
        <v>30600</v>
      </c>
      <c r="BD1166" s="2">
        <f>Table3[[#This Row],[Total Spend]]/SUM(Table3[[#This Row],[Column2]:[Column18]])</f>
        <v>1</v>
      </c>
    </row>
    <row r="1167" spans="1:56">
      <c r="A1167" s="84" t="s">
        <v>1242</v>
      </c>
      <c r="B1167" s="84"/>
      <c r="C1167" s="84"/>
      <c r="D1167" s="85">
        <v>45566</v>
      </c>
      <c r="E1167" s="85" t="s">
        <v>92</v>
      </c>
      <c r="F1167" s="84">
        <f>INDEX(Definitions!$G$13:$G$17,MATCH(Table3[[#This Row],[Propensity to buy/ buyer readiness]],Definitions!$A$13:$A$17,0))</f>
        <v>50000</v>
      </c>
      <c r="G1167" s="86">
        <v>3</v>
      </c>
      <c r="H1167" s="86">
        <v>3</v>
      </c>
      <c r="I1167" s="86">
        <v>3</v>
      </c>
      <c r="J1167" s="86">
        <v>3</v>
      </c>
      <c r="K1167" s="86">
        <v>3</v>
      </c>
      <c r="L1167" s="86">
        <f>SUM(Table3[[#This Row],[Strategic priority segment]:[Propensity to buy/ buyer readiness]])</f>
        <v>15</v>
      </c>
      <c r="M1167" s="86" t="s">
        <v>152</v>
      </c>
      <c r="N1167" s="84" t="s">
        <v>122</v>
      </c>
      <c r="O1167" s="87"/>
      <c r="P1167" s="87"/>
      <c r="Q1167" s="87"/>
      <c r="R1167" s="87"/>
      <c r="S1167" s="87"/>
      <c r="T1167" s="87"/>
      <c r="U1167" s="84">
        <v>1</v>
      </c>
      <c r="V1167" s="84">
        <v>0</v>
      </c>
      <c r="W1167" s="84">
        <v>0</v>
      </c>
      <c r="X1167" s="84">
        <v>0</v>
      </c>
      <c r="Y1167" s="84">
        <v>0</v>
      </c>
      <c r="Z1167" s="84">
        <v>1</v>
      </c>
      <c r="AA1167" s="84">
        <v>0</v>
      </c>
      <c r="AB1167" s="84">
        <v>1</v>
      </c>
      <c r="AC1167" s="84">
        <v>0</v>
      </c>
      <c r="AD1167" s="84">
        <v>1</v>
      </c>
      <c r="AE1167" s="84">
        <v>0</v>
      </c>
      <c r="AF1167" s="84">
        <v>1</v>
      </c>
      <c r="AG1167" s="84">
        <v>0</v>
      </c>
      <c r="AH1167" s="84">
        <v>0</v>
      </c>
      <c r="AI1167" s="84">
        <v>0</v>
      </c>
      <c r="AJ1167" s="84">
        <v>0</v>
      </c>
      <c r="AK1167" s="84">
        <v>0</v>
      </c>
      <c r="AL1167" s="84" cm="1">
        <f t="array" ref="AL11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67" s="84" cm="1">
        <f t="array" ref="AM11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7" s="84" cm="1">
        <f t="array" ref="AN11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7" s="84" cm="1">
        <f t="array" ref="AO11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7" s="84" cm="1">
        <f t="array" ref="AP11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7" s="84" cm="1">
        <f t="array" ref="AQ11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67" s="84" cm="1">
        <f t="array" ref="AR11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7" s="84" cm="1">
        <f t="array" ref="AS11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67" s="84" cm="1">
        <f t="array" ref="AT11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7" s="84" cm="1">
        <f t="array" ref="AU11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67" s="84" cm="1">
        <f t="array" ref="AV11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7" s="84" cm="1">
        <f t="array" ref="AW11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67" s="84" cm="1">
        <f t="array" ref="AX11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7" s="84" cm="1">
        <f t="array" ref="AY11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7" s="84" cm="1">
        <f t="array" ref="AZ11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7" s="84" cm="1">
        <f t="array" ref="BA11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7" s="84" cm="1">
        <f t="array" ref="BB11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7" s="84">
        <f>IF(SUM(Table3[[#This Row],[Column2]:[Column18]])&gt;Table3[[#This Row],[Column19]],Table3[[#This Row],[Column19]],SUM(Table3[[#This Row],[Column2]:[Column18]]))</f>
        <v>50000</v>
      </c>
      <c r="BD1167" s="2">
        <f>Table3[[#This Row],[Total Spend]]/SUM(Table3[[#This Row],[Column2]:[Column18]])</f>
        <v>0.41459369817578773</v>
      </c>
    </row>
    <row r="1168" spans="1:56">
      <c r="A1168" s="84" t="s">
        <v>1243</v>
      </c>
      <c r="B1168" s="84"/>
      <c r="C1168" s="84" t="s">
        <v>57</v>
      </c>
      <c r="D1168" s="85">
        <v>45566</v>
      </c>
      <c r="E1168" s="85" t="s">
        <v>92</v>
      </c>
      <c r="F1168" s="84">
        <f>INDEX(Definitions!$G$13:$G$17,MATCH(Table3[[#This Row],[Propensity to buy/ buyer readiness]],Definitions!$A$13:$A$17,0))</f>
        <v>50000</v>
      </c>
      <c r="G1168" s="86">
        <v>3</v>
      </c>
      <c r="H1168" s="86">
        <v>3</v>
      </c>
      <c r="I1168" s="86">
        <v>3</v>
      </c>
      <c r="J1168" s="86">
        <v>3</v>
      </c>
      <c r="K1168" s="86">
        <v>3</v>
      </c>
      <c r="L1168" s="86">
        <f>SUM(Table3[[#This Row],[Strategic priority segment]:[Propensity to buy/ buyer readiness]])</f>
        <v>15</v>
      </c>
      <c r="M1168" s="86" t="s">
        <v>191</v>
      </c>
      <c r="N1168" s="84" t="s">
        <v>76</v>
      </c>
      <c r="O1168" s="84"/>
      <c r="P1168" s="84"/>
      <c r="Q1168" s="84"/>
      <c r="R1168" s="84"/>
      <c r="S1168" s="84"/>
      <c r="T1168" s="84"/>
      <c r="U1168" s="84">
        <v>0</v>
      </c>
      <c r="V1168" s="84">
        <v>0</v>
      </c>
      <c r="W1168" s="84">
        <v>0</v>
      </c>
      <c r="X1168" s="84">
        <v>0</v>
      </c>
      <c r="Y1168" s="84">
        <v>0</v>
      </c>
      <c r="Z1168" s="84">
        <v>0</v>
      </c>
      <c r="AA1168" s="84">
        <v>0</v>
      </c>
      <c r="AB1168" s="84">
        <v>0</v>
      </c>
      <c r="AC1168" s="84">
        <v>0</v>
      </c>
      <c r="AD1168" s="84">
        <v>0</v>
      </c>
      <c r="AE1168" s="84">
        <v>0</v>
      </c>
      <c r="AF1168" s="84">
        <v>0</v>
      </c>
      <c r="AG1168" s="84">
        <v>0</v>
      </c>
      <c r="AH1168" s="84">
        <v>1</v>
      </c>
      <c r="AI1168" s="84">
        <v>0</v>
      </c>
      <c r="AJ1168" s="84">
        <v>1</v>
      </c>
      <c r="AK1168" s="84">
        <v>0</v>
      </c>
      <c r="AL1168" s="84" cm="1">
        <f t="array" ref="AL11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68" s="84" cm="1">
        <f t="array" ref="AM11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8" s="84" cm="1">
        <f t="array" ref="AN11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8" s="84" cm="1">
        <f t="array" ref="AO11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8" s="84" cm="1">
        <f t="array" ref="AP11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8" s="84" cm="1">
        <f t="array" ref="AQ11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68" s="84" cm="1">
        <f t="array" ref="AR11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8" s="84" cm="1">
        <f t="array" ref="AS11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68" s="84" cm="1">
        <f t="array" ref="AT11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8" s="84" cm="1">
        <f t="array" ref="AU11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68" s="84" cm="1">
        <f t="array" ref="AV11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8" s="84" cm="1">
        <f t="array" ref="AW11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68" s="84" cm="1">
        <f t="array" ref="AX11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8" s="84" cm="1">
        <f t="array" ref="AY11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68" s="84" cm="1">
        <f t="array" ref="AZ11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8" s="84" cm="1">
        <f t="array" ref="BA11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68" s="84" cm="1">
        <f t="array" ref="BB11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8" s="84">
        <f>IF(SUM(Table3[[#This Row],[Column2]:[Column18]])&gt;Table3[[#This Row],[Column19]],Table3[[#This Row],[Column19]],SUM(Table3[[#This Row],[Column2]:[Column18]]))</f>
        <v>30600</v>
      </c>
      <c r="BD1168" s="2">
        <f>Table3[[#This Row],[Total Spend]]/SUM(Table3[[#This Row],[Column2]:[Column18]])</f>
        <v>1</v>
      </c>
    </row>
    <row r="1169" spans="1:56">
      <c r="A1169" s="84" t="s">
        <v>1244</v>
      </c>
      <c r="B1169" s="84" t="s">
        <v>57</v>
      </c>
      <c r="C1169" s="84"/>
      <c r="D1169" s="85">
        <v>45566</v>
      </c>
      <c r="E1169" s="85" t="s">
        <v>92</v>
      </c>
      <c r="F1169" s="84">
        <f>INDEX(Definitions!$G$13:$G$17,MATCH(Table3[[#This Row],[Propensity to buy/ buyer readiness]],Definitions!$A$13:$A$17,0))</f>
        <v>10000</v>
      </c>
      <c r="G1169" s="86">
        <v>3</v>
      </c>
      <c r="H1169" s="86">
        <v>3</v>
      </c>
      <c r="I1169" s="86">
        <v>4</v>
      </c>
      <c r="J1169" s="86">
        <v>3</v>
      </c>
      <c r="K1169" s="86">
        <v>2</v>
      </c>
      <c r="L1169" s="86">
        <f>SUM(Table3[[#This Row],[Strategic priority segment]:[Propensity to buy/ buyer readiness]])</f>
        <v>15</v>
      </c>
      <c r="M1169" s="86" t="s">
        <v>152</v>
      </c>
      <c r="N1169" s="84" t="s">
        <v>264</v>
      </c>
      <c r="O1169" s="84"/>
      <c r="P1169" s="87"/>
      <c r="Q1169" s="87"/>
      <c r="R1169" s="84"/>
      <c r="S1169" s="87"/>
      <c r="T1169" s="87"/>
      <c r="U1169" s="84">
        <v>1</v>
      </c>
      <c r="V1169" s="84">
        <v>0</v>
      </c>
      <c r="W1169" s="84">
        <v>0</v>
      </c>
      <c r="X1169" s="84">
        <v>0</v>
      </c>
      <c r="Y1169" s="84">
        <v>0</v>
      </c>
      <c r="Z1169" s="84">
        <v>0</v>
      </c>
      <c r="AA1169" s="84">
        <v>0</v>
      </c>
      <c r="AB1169" s="84">
        <v>0</v>
      </c>
      <c r="AC1169" s="84">
        <v>0</v>
      </c>
      <c r="AD1169" s="84">
        <v>0</v>
      </c>
      <c r="AE1169" s="84">
        <v>0</v>
      </c>
      <c r="AF1169" s="84">
        <v>0</v>
      </c>
      <c r="AG1169" s="84">
        <v>0</v>
      </c>
      <c r="AH1169" s="84">
        <v>0</v>
      </c>
      <c r="AI1169" s="84">
        <v>0</v>
      </c>
      <c r="AJ1169" s="84">
        <v>0</v>
      </c>
      <c r="AK1169" s="84">
        <v>0</v>
      </c>
      <c r="AL1169" s="84" cm="1">
        <f t="array" ref="AL11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69" s="84" cm="1">
        <f t="array" ref="AM11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69" s="84" cm="1">
        <f t="array" ref="AN11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69" s="84" cm="1">
        <f t="array" ref="AO11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69" s="84" cm="1">
        <f t="array" ref="AP11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69" s="84" cm="1">
        <f t="array" ref="AQ11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69" s="84" cm="1">
        <f t="array" ref="AR11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69" s="84" cm="1">
        <f t="array" ref="AS11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69" s="84" cm="1">
        <f t="array" ref="AT11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69" s="84" cm="1">
        <f t="array" ref="AU11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69" s="84" cm="1">
        <f t="array" ref="AV11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69" s="84" cm="1">
        <f t="array" ref="AW11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69" s="84" cm="1">
        <f t="array" ref="AX11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69" s="84" cm="1">
        <f t="array" ref="AY11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69" s="84" cm="1">
        <f t="array" ref="AZ11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69" s="84" cm="1">
        <f t="array" ref="BA11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69" s="84" cm="1">
        <f t="array" ref="BB11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69" s="84">
        <f>IF(SUM(Table3[[#This Row],[Column2]:[Column18]])&gt;Table3[[#This Row],[Column19]],Table3[[#This Row],[Column19]],SUM(Table3[[#This Row],[Column2]:[Column18]]))</f>
        <v>8100</v>
      </c>
      <c r="BD1169" s="2">
        <f>Table3[[#This Row],[Total Spend]]/SUM(Table3[[#This Row],[Column2]:[Column18]])</f>
        <v>1</v>
      </c>
    </row>
    <row r="1170" spans="1:56">
      <c r="A1170" s="84" t="s">
        <v>1245</v>
      </c>
      <c r="B1170" s="84" t="s">
        <v>57</v>
      </c>
      <c r="C1170" s="84"/>
      <c r="D1170" s="85">
        <v>45566</v>
      </c>
      <c r="E1170" s="85" t="s">
        <v>92</v>
      </c>
      <c r="F1170" s="84">
        <f>INDEX(Definitions!$G$13:$G$17,MATCH(Table3[[#This Row],[Propensity to buy/ buyer readiness]],Definitions!$A$13:$A$17,0))</f>
        <v>10000</v>
      </c>
      <c r="G1170" s="86">
        <v>3</v>
      </c>
      <c r="H1170" s="86">
        <v>3</v>
      </c>
      <c r="I1170" s="86">
        <v>4</v>
      </c>
      <c r="J1170" s="86">
        <v>3</v>
      </c>
      <c r="K1170" s="86">
        <v>2</v>
      </c>
      <c r="L1170" s="86">
        <f>SUM(Table3[[#This Row],[Strategic priority segment]:[Propensity to buy/ buyer readiness]])</f>
        <v>15</v>
      </c>
      <c r="M1170" s="86" t="s">
        <v>191</v>
      </c>
      <c r="N1170" s="84" t="s">
        <v>135</v>
      </c>
      <c r="O1170" s="84" t="s">
        <v>153</v>
      </c>
      <c r="P1170" s="87"/>
      <c r="Q1170" s="87"/>
      <c r="R1170" s="84"/>
      <c r="S1170" s="87"/>
      <c r="T1170" s="87"/>
      <c r="U1170" s="84">
        <v>1</v>
      </c>
      <c r="V1170" s="84">
        <v>0</v>
      </c>
      <c r="W1170" s="84">
        <v>0</v>
      </c>
      <c r="X1170" s="84">
        <v>0</v>
      </c>
      <c r="Y1170" s="84">
        <v>0</v>
      </c>
      <c r="Z1170" s="84">
        <v>0</v>
      </c>
      <c r="AA1170" s="84">
        <v>0</v>
      </c>
      <c r="AB1170" s="84">
        <v>0</v>
      </c>
      <c r="AC1170" s="84">
        <v>0</v>
      </c>
      <c r="AD1170" s="84">
        <v>0</v>
      </c>
      <c r="AE1170" s="84">
        <v>0</v>
      </c>
      <c r="AF1170" s="84">
        <v>0</v>
      </c>
      <c r="AG1170" s="84">
        <v>0</v>
      </c>
      <c r="AH1170" s="84">
        <v>1</v>
      </c>
      <c r="AI1170" s="84">
        <v>1</v>
      </c>
      <c r="AJ1170" s="84">
        <v>1</v>
      </c>
      <c r="AK1170" s="84">
        <v>1</v>
      </c>
      <c r="AL1170" s="84" cm="1">
        <f t="array" ref="AL11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0" s="84" cm="1">
        <f t="array" ref="AM11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0" s="84" cm="1">
        <f t="array" ref="AN11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0" s="84" cm="1">
        <f t="array" ref="AO11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0" s="84" cm="1">
        <f t="array" ref="AP11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0" s="84" cm="1">
        <f t="array" ref="AQ11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0" s="84" cm="1">
        <f t="array" ref="AR11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0" s="84" cm="1">
        <f t="array" ref="AS11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0" s="84" cm="1">
        <f t="array" ref="AT11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0" s="84" cm="1">
        <f t="array" ref="AU11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0" s="84" cm="1">
        <f t="array" ref="AV11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0" s="84" cm="1">
        <f t="array" ref="AW11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0" s="84" cm="1">
        <f t="array" ref="AX11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0" s="84" cm="1">
        <f t="array" ref="AY11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70" s="84" cm="1">
        <f t="array" ref="AZ11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70" s="84" cm="1">
        <f t="array" ref="BA11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70" s="84" cm="1">
        <f t="array" ref="BB11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70" s="84">
        <f>IF(SUM(Table3[[#This Row],[Column2]:[Column18]])&gt;Table3[[#This Row],[Column19]],Table3[[#This Row],[Column19]],SUM(Table3[[#This Row],[Column2]:[Column18]]))</f>
        <v>10000</v>
      </c>
      <c r="BD1170" s="2">
        <f>Table3[[#This Row],[Total Spend]]/SUM(Table3[[#This Row],[Column2]:[Column18]])</f>
        <v>0.18365472910927455</v>
      </c>
    </row>
    <row r="1171" spans="1:56">
      <c r="A1171" s="84" t="s">
        <v>1246</v>
      </c>
      <c r="B1171" s="84" t="s">
        <v>57</v>
      </c>
      <c r="C1171" s="84"/>
      <c r="D1171" s="85">
        <v>45566</v>
      </c>
      <c r="E1171" s="85" t="s">
        <v>92</v>
      </c>
      <c r="F1171" s="84">
        <f>INDEX(Definitions!$G$13:$G$17,MATCH(Table3[[#This Row],[Propensity to buy/ buyer readiness]],Definitions!$A$13:$A$17,0))</f>
        <v>10000</v>
      </c>
      <c r="G1171" s="86">
        <v>3</v>
      </c>
      <c r="H1171" s="86">
        <v>3</v>
      </c>
      <c r="I1171" s="86">
        <v>4</v>
      </c>
      <c r="J1171" s="86">
        <v>3</v>
      </c>
      <c r="K1171" s="86">
        <v>2</v>
      </c>
      <c r="L1171" s="86">
        <f>SUM(Table3[[#This Row],[Strategic priority segment]:[Propensity to buy/ buyer readiness]])</f>
        <v>15</v>
      </c>
      <c r="M1171" s="86" t="s">
        <v>191</v>
      </c>
      <c r="N1171" s="84" t="s">
        <v>135</v>
      </c>
      <c r="O1171" s="84"/>
      <c r="P1171" s="87"/>
      <c r="Q1171" s="87"/>
      <c r="R1171" s="84"/>
      <c r="S1171" s="87"/>
      <c r="T1171" s="87"/>
      <c r="U1171" s="84">
        <v>0</v>
      </c>
      <c r="V1171" s="84">
        <v>0</v>
      </c>
      <c r="W1171" s="84">
        <v>0</v>
      </c>
      <c r="X1171" s="84">
        <v>0</v>
      </c>
      <c r="Y1171" s="84">
        <v>0</v>
      </c>
      <c r="Z1171" s="84">
        <v>0</v>
      </c>
      <c r="AA1171" s="84">
        <v>0</v>
      </c>
      <c r="AB1171" s="84">
        <v>0</v>
      </c>
      <c r="AC1171" s="84">
        <v>0</v>
      </c>
      <c r="AD1171" s="84">
        <v>0</v>
      </c>
      <c r="AE1171" s="84">
        <v>0</v>
      </c>
      <c r="AF1171" s="84">
        <v>0</v>
      </c>
      <c r="AG1171" s="84">
        <v>0</v>
      </c>
      <c r="AH1171" s="84">
        <v>1</v>
      </c>
      <c r="AI1171" s="84">
        <v>1</v>
      </c>
      <c r="AJ1171" s="84">
        <v>1</v>
      </c>
      <c r="AK1171" s="84">
        <v>1</v>
      </c>
      <c r="AL1171" s="84" cm="1">
        <f t="array" ref="AL11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71" s="84" cm="1">
        <f t="array" ref="AM11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1" s="84" cm="1">
        <f t="array" ref="AN11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1" s="84" cm="1">
        <f t="array" ref="AO11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1" s="84" cm="1">
        <f t="array" ref="AP11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1" s="84" cm="1">
        <f t="array" ref="AQ11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1" s="84" cm="1">
        <f t="array" ref="AR11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1" s="84" cm="1">
        <f t="array" ref="AS11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1" s="84" cm="1">
        <f t="array" ref="AT11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1" s="84" cm="1">
        <f t="array" ref="AU11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1" s="84" cm="1">
        <f t="array" ref="AV11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1" s="84" cm="1">
        <f t="array" ref="AW11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1" s="84" cm="1">
        <f t="array" ref="AX11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1" s="84" cm="1">
        <f t="array" ref="AY11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71" s="84" cm="1">
        <f t="array" ref="AZ11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71" s="84" cm="1">
        <f t="array" ref="BA11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71" s="84" cm="1">
        <f t="array" ref="BB11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71" s="84">
        <f>IF(SUM(Table3[[#This Row],[Column2]:[Column18]])&gt;Table3[[#This Row],[Column19]],Table3[[#This Row],[Column19]],SUM(Table3[[#This Row],[Column2]:[Column18]]))</f>
        <v>10000</v>
      </c>
      <c r="BD1171" s="2">
        <f>Table3[[#This Row],[Total Spend]]/SUM(Table3[[#This Row],[Column2]:[Column18]])</f>
        <v>0.21574973031283712</v>
      </c>
    </row>
    <row r="1172" spans="1:56">
      <c r="A1172" s="84" t="s">
        <v>1247</v>
      </c>
      <c r="B1172" s="84" t="s">
        <v>57</v>
      </c>
      <c r="C1172" s="84"/>
      <c r="D1172" s="85">
        <v>45566</v>
      </c>
      <c r="E1172" s="85" t="s">
        <v>92</v>
      </c>
      <c r="F1172" s="84">
        <f>INDEX(Definitions!$G$13:$G$17,MATCH(Table3[[#This Row],[Propensity to buy/ buyer readiness]],Definitions!$A$13:$A$17,0))</f>
        <v>10000</v>
      </c>
      <c r="G1172" s="86">
        <v>3</v>
      </c>
      <c r="H1172" s="86">
        <v>3</v>
      </c>
      <c r="I1172" s="86">
        <v>4</v>
      </c>
      <c r="J1172" s="86">
        <v>3</v>
      </c>
      <c r="K1172" s="86">
        <v>2</v>
      </c>
      <c r="L1172" s="86">
        <f>SUM(Table3[[#This Row],[Strategic priority segment]:[Propensity to buy/ buyer readiness]])</f>
        <v>15</v>
      </c>
      <c r="M1172" s="86" t="s">
        <v>191</v>
      </c>
      <c r="N1172" s="84" t="s">
        <v>135</v>
      </c>
      <c r="O1172" s="84" t="s">
        <v>153</v>
      </c>
      <c r="P1172" s="87"/>
      <c r="Q1172" s="87"/>
      <c r="R1172" s="84"/>
      <c r="S1172" s="87"/>
      <c r="T1172" s="87"/>
      <c r="U1172" s="84">
        <v>1</v>
      </c>
      <c r="V1172" s="84">
        <v>0</v>
      </c>
      <c r="W1172" s="84">
        <v>0</v>
      </c>
      <c r="X1172" s="84">
        <v>0</v>
      </c>
      <c r="Y1172" s="84">
        <v>0</v>
      </c>
      <c r="Z1172" s="84">
        <v>0</v>
      </c>
      <c r="AA1172" s="84">
        <v>0</v>
      </c>
      <c r="AB1172" s="84">
        <v>0</v>
      </c>
      <c r="AC1172" s="84">
        <v>0</v>
      </c>
      <c r="AD1172" s="84">
        <v>0</v>
      </c>
      <c r="AE1172" s="84">
        <v>0</v>
      </c>
      <c r="AF1172" s="84">
        <v>0</v>
      </c>
      <c r="AG1172" s="84">
        <v>0</v>
      </c>
      <c r="AH1172" s="84">
        <v>1</v>
      </c>
      <c r="AI1172" s="84">
        <v>1</v>
      </c>
      <c r="AJ1172" s="84">
        <v>1</v>
      </c>
      <c r="AK1172" s="84">
        <v>1</v>
      </c>
      <c r="AL1172" s="84" cm="1">
        <f t="array" ref="AL11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2" s="84" cm="1">
        <f t="array" ref="AM11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2" s="84" cm="1">
        <f t="array" ref="AN11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2" s="84" cm="1">
        <f t="array" ref="AO11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2" s="84" cm="1">
        <f t="array" ref="AP11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2" s="84" cm="1">
        <f t="array" ref="AQ11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2" s="84" cm="1">
        <f t="array" ref="AR11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2" s="84" cm="1">
        <f t="array" ref="AS11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2" s="84" cm="1">
        <f t="array" ref="AT11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2" s="84" cm="1">
        <f t="array" ref="AU11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2" s="84" cm="1">
        <f t="array" ref="AV11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2" s="84" cm="1">
        <f t="array" ref="AW11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2" s="84" cm="1">
        <f t="array" ref="AX11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2" s="84" cm="1">
        <f t="array" ref="AY11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72" s="84" cm="1">
        <f t="array" ref="AZ11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72" s="84" cm="1">
        <f t="array" ref="BA11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72" s="84" cm="1">
        <f t="array" ref="BB11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72" s="84">
        <f>IF(SUM(Table3[[#This Row],[Column2]:[Column18]])&gt;Table3[[#This Row],[Column19]],Table3[[#This Row],[Column19]],SUM(Table3[[#This Row],[Column2]:[Column18]]))</f>
        <v>10000</v>
      </c>
      <c r="BD1172" s="2">
        <f>Table3[[#This Row],[Total Spend]]/SUM(Table3[[#This Row],[Column2]:[Column18]])</f>
        <v>0.18365472910927455</v>
      </c>
    </row>
    <row r="1173" spans="1:56">
      <c r="A1173" s="84" t="s">
        <v>1248</v>
      </c>
      <c r="B1173" s="84" t="s">
        <v>57</v>
      </c>
      <c r="C1173" s="84"/>
      <c r="D1173" s="85">
        <v>45566</v>
      </c>
      <c r="E1173" s="85" t="s">
        <v>92</v>
      </c>
      <c r="F1173" s="84">
        <f>INDEX(Definitions!$G$13:$G$17,MATCH(Table3[[#This Row],[Propensity to buy/ buyer readiness]],Definitions!$A$13:$A$17,0))</f>
        <v>10000</v>
      </c>
      <c r="G1173" s="86">
        <v>3</v>
      </c>
      <c r="H1173" s="86">
        <v>3</v>
      </c>
      <c r="I1173" s="86">
        <v>4</v>
      </c>
      <c r="J1173" s="86">
        <v>3</v>
      </c>
      <c r="K1173" s="86">
        <v>2</v>
      </c>
      <c r="L1173" s="86">
        <f>SUM(Table3[[#This Row],[Strategic priority segment]:[Propensity to buy/ buyer readiness]])</f>
        <v>15</v>
      </c>
      <c r="M1173" s="86" t="s">
        <v>152</v>
      </c>
      <c r="N1173" s="84" t="s">
        <v>264</v>
      </c>
      <c r="O1173" s="84"/>
      <c r="P1173" s="87"/>
      <c r="Q1173" s="87"/>
      <c r="R1173" s="84"/>
      <c r="S1173" s="87"/>
      <c r="T1173" s="87"/>
      <c r="U1173" s="84">
        <v>1</v>
      </c>
      <c r="V1173" s="84">
        <v>0</v>
      </c>
      <c r="W1173" s="84">
        <v>0</v>
      </c>
      <c r="X1173" s="84">
        <v>0</v>
      </c>
      <c r="Y1173" s="84">
        <v>0</v>
      </c>
      <c r="Z1173" s="84">
        <v>0</v>
      </c>
      <c r="AA1173" s="84">
        <v>0</v>
      </c>
      <c r="AB1173" s="84">
        <v>0</v>
      </c>
      <c r="AC1173" s="84">
        <v>0</v>
      </c>
      <c r="AD1173" s="84">
        <v>0</v>
      </c>
      <c r="AE1173" s="84">
        <v>0</v>
      </c>
      <c r="AF1173" s="84">
        <v>0</v>
      </c>
      <c r="AG1173" s="84">
        <v>0</v>
      </c>
      <c r="AH1173" s="84">
        <v>0</v>
      </c>
      <c r="AI1173" s="84">
        <v>0</v>
      </c>
      <c r="AJ1173" s="84">
        <v>0</v>
      </c>
      <c r="AK1173" s="84">
        <v>0</v>
      </c>
      <c r="AL1173" s="84" cm="1">
        <f t="array" ref="AL11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3" s="84" cm="1">
        <f t="array" ref="AM11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3" s="84" cm="1">
        <f t="array" ref="AN11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3" s="84" cm="1">
        <f t="array" ref="AO11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3" s="84" cm="1">
        <f t="array" ref="AP11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3" s="84" cm="1">
        <f t="array" ref="AQ11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3" s="84" cm="1">
        <f t="array" ref="AR11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3" s="84" cm="1">
        <f t="array" ref="AS11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3" s="84" cm="1">
        <f t="array" ref="AT11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3" s="84" cm="1">
        <f t="array" ref="AU11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3" s="84" cm="1">
        <f t="array" ref="AV11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3" s="84" cm="1">
        <f t="array" ref="AW11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3" s="84" cm="1">
        <f t="array" ref="AX11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3" s="84" cm="1">
        <f t="array" ref="AY11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3" s="84" cm="1">
        <f t="array" ref="AZ11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3" s="84" cm="1">
        <f t="array" ref="BA11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3" s="84" cm="1">
        <f t="array" ref="BB11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3" s="84">
        <f>IF(SUM(Table3[[#This Row],[Column2]:[Column18]])&gt;Table3[[#This Row],[Column19]],Table3[[#This Row],[Column19]],SUM(Table3[[#This Row],[Column2]:[Column18]]))</f>
        <v>8100</v>
      </c>
      <c r="BD1173" s="2">
        <f>Table3[[#This Row],[Total Spend]]/SUM(Table3[[#This Row],[Column2]:[Column18]])</f>
        <v>1</v>
      </c>
    </row>
    <row r="1174" spans="1:56">
      <c r="A1174" s="84" t="s">
        <v>1249</v>
      </c>
      <c r="B1174" s="84" t="s">
        <v>57</v>
      </c>
      <c r="C1174" s="84" t="s">
        <v>57</v>
      </c>
      <c r="D1174" s="85">
        <v>45566</v>
      </c>
      <c r="E1174" s="85" t="s">
        <v>92</v>
      </c>
      <c r="F1174" s="84">
        <f>INDEX(Definitions!$G$13:$G$17,MATCH(Table3[[#This Row],[Propensity to buy/ buyer readiness]],Definitions!$A$13:$A$17,0))</f>
        <v>10000</v>
      </c>
      <c r="G1174" s="86">
        <v>3</v>
      </c>
      <c r="H1174" s="86">
        <v>3</v>
      </c>
      <c r="I1174" s="86">
        <v>4</v>
      </c>
      <c r="J1174" s="86">
        <v>3</v>
      </c>
      <c r="K1174" s="86">
        <v>2</v>
      </c>
      <c r="L1174" s="86">
        <f>SUM(Table3[[#This Row],[Strategic priority segment]:[Propensity to buy/ buyer readiness]])</f>
        <v>15</v>
      </c>
      <c r="M1174" s="86" t="s">
        <v>152</v>
      </c>
      <c r="N1174" s="84" t="s">
        <v>264</v>
      </c>
      <c r="O1174" s="84"/>
      <c r="P1174" s="87"/>
      <c r="Q1174" s="87"/>
      <c r="R1174" s="84"/>
      <c r="S1174" s="87"/>
      <c r="T1174" s="87"/>
      <c r="U1174" s="84">
        <v>1</v>
      </c>
      <c r="V1174" s="84">
        <v>0</v>
      </c>
      <c r="W1174" s="84">
        <v>0</v>
      </c>
      <c r="X1174" s="84">
        <v>0</v>
      </c>
      <c r="Y1174" s="84">
        <v>0</v>
      </c>
      <c r="Z1174" s="84">
        <v>0</v>
      </c>
      <c r="AA1174" s="84">
        <v>0</v>
      </c>
      <c r="AB1174" s="84">
        <v>0</v>
      </c>
      <c r="AC1174" s="84">
        <v>0</v>
      </c>
      <c r="AD1174" s="84">
        <v>0</v>
      </c>
      <c r="AE1174" s="84">
        <v>0</v>
      </c>
      <c r="AF1174" s="84">
        <v>0</v>
      </c>
      <c r="AG1174" s="84">
        <v>0</v>
      </c>
      <c r="AH1174" s="84">
        <v>0</v>
      </c>
      <c r="AI1174" s="84">
        <v>0</v>
      </c>
      <c r="AJ1174" s="84">
        <v>0</v>
      </c>
      <c r="AK1174" s="84">
        <v>0</v>
      </c>
      <c r="AL1174" s="84" cm="1">
        <f t="array" ref="AL11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4" s="84" cm="1">
        <f t="array" ref="AM11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4" s="84" cm="1">
        <f t="array" ref="AN11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4" s="84" cm="1">
        <f t="array" ref="AO11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4" s="84" cm="1">
        <f t="array" ref="AP11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4" s="84" cm="1">
        <f t="array" ref="AQ11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4" s="84" cm="1">
        <f t="array" ref="AR11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4" s="84" cm="1">
        <f t="array" ref="AS11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4" s="84" cm="1">
        <f t="array" ref="AT11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4" s="84" cm="1">
        <f t="array" ref="AU11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4" s="84" cm="1">
        <f t="array" ref="AV11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4" s="84" cm="1">
        <f t="array" ref="AW11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4" s="84" cm="1">
        <f t="array" ref="AX11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4" s="84" cm="1">
        <f t="array" ref="AY11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4" s="84" cm="1">
        <f t="array" ref="AZ11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4" s="84" cm="1">
        <f t="array" ref="BA11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4" s="84" cm="1">
        <f t="array" ref="BB11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4" s="84">
        <f>IF(SUM(Table3[[#This Row],[Column2]:[Column18]])&gt;Table3[[#This Row],[Column19]],Table3[[#This Row],[Column19]],SUM(Table3[[#This Row],[Column2]:[Column18]]))</f>
        <v>8100</v>
      </c>
      <c r="BD1174" s="2">
        <f>Table3[[#This Row],[Total Spend]]/SUM(Table3[[#This Row],[Column2]:[Column18]])</f>
        <v>1</v>
      </c>
    </row>
    <row r="1175" spans="1:56">
      <c r="A1175" s="84" t="s">
        <v>1250</v>
      </c>
      <c r="B1175" s="84" t="s">
        <v>57</v>
      </c>
      <c r="C1175" s="84"/>
      <c r="D1175" s="85">
        <v>45566</v>
      </c>
      <c r="E1175" s="85" t="s">
        <v>92</v>
      </c>
      <c r="F1175" s="84">
        <f>INDEX(Definitions!$G$13:$G$17,MATCH(Table3[[#This Row],[Propensity to buy/ buyer readiness]],Definitions!$A$13:$A$17,0))</f>
        <v>10000</v>
      </c>
      <c r="G1175" s="86">
        <v>3</v>
      </c>
      <c r="H1175" s="86">
        <v>3</v>
      </c>
      <c r="I1175" s="86">
        <v>4</v>
      </c>
      <c r="J1175" s="86">
        <v>3</v>
      </c>
      <c r="K1175" s="86">
        <v>2</v>
      </c>
      <c r="L1175" s="86">
        <f>SUM(Table3[[#This Row],[Strategic priority segment]:[Propensity to buy/ buyer readiness]])</f>
        <v>15</v>
      </c>
      <c r="M1175" s="86" t="s">
        <v>152</v>
      </c>
      <c r="N1175" s="84" t="s">
        <v>264</v>
      </c>
      <c r="O1175" s="84"/>
      <c r="P1175" s="87"/>
      <c r="Q1175" s="87"/>
      <c r="R1175" s="84"/>
      <c r="S1175" s="87"/>
      <c r="T1175" s="87"/>
      <c r="U1175" s="84">
        <v>1</v>
      </c>
      <c r="V1175" s="84">
        <v>0</v>
      </c>
      <c r="W1175" s="84">
        <v>0</v>
      </c>
      <c r="X1175" s="84">
        <v>0</v>
      </c>
      <c r="Y1175" s="84">
        <v>0</v>
      </c>
      <c r="Z1175" s="84">
        <v>0</v>
      </c>
      <c r="AA1175" s="84">
        <v>0</v>
      </c>
      <c r="AB1175" s="84">
        <v>0</v>
      </c>
      <c r="AC1175" s="84">
        <v>0</v>
      </c>
      <c r="AD1175" s="84">
        <v>0</v>
      </c>
      <c r="AE1175" s="84">
        <v>0</v>
      </c>
      <c r="AF1175" s="84">
        <v>0</v>
      </c>
      <c r="AG1175" s="84">
        <v>0</v>
      </c>
      <c r="AH1175" s="84">
        <v>0</v>
      </c>
      <c r="AI1175" s="84">
        <v>0</v>
      </c>
      <c r="AJ1175" s="84">
        <v>0</v>
      </c>
      <c r="AK1175" s="84">
        <v>0</v>
      </c>
      <c r="AL1175" s="84" cm="1">
        <f t="array" ref="AL11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5" s="84" cm="1">
        <f t="array" ref="AM11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5" s="84" cm="1">
        <f t="array" ref="AN11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5" s="84" cm="1">
        <f t="array" ref="AO11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5" s="84" cm="1">
        <f t="array" ref="AP11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5" s="84" cm="1">
        <f t="array" ref="AQ11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5" s="84" cm="1">
        <f t="array" ref="AR11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5" s="84" cm="1">
        <f t="array" ref="AS11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5" s="84" cm="1">
        <f t="array" ref="AT11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5" s="84" cm="1">
        <f t="array" ref="AU11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5" s="84" cm="1">
        <f t="array" ref="AV11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5" s="84" cm="1">
        <f t="array" ref="AW11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5" s="84" cm="1">
        <f t="array" ref="AX11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5" s="84" cm="1">
        <f t="array" ref="AY11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5" s="84" cm="1">
        <f t="array" ref="AZ11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5" s="84" cm="1">
        <f t="array" ref="BA11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5" s="84" cm="1">
        <f t="array" ref="BB11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5" s="84">
        <f>IF(SUM(Table3[[#This Row],[Column2]:[Column18]])&gt;Table3[[#This Row],[Column19]],Table3[[#This Row],[Column19]],SUM(Table3[[#This Row],[Column2]:[Column18]]))</f>
        <v>8100</v>
      </c>
      <c r="BD1175" s="2">
        <f>Table3[[#This Row],[Total Spend]]/SUM(Table3[[#This Row],[Column2]:[Column18]])</f>
        <v>1</v>
      </c>
    </row>
    <row r="1176" spans="1:56">
      <c r="A1176" s="84" t="s">
        <v>1251</v>
      </c>
      <c r="B1176" s="84"/>
      <c r="C1176" s="84"/>
      <c r="D1176" s="85">
        <v>45566</v>
      </c>
      <c r="E1176" s="85" t="s">
        <v>58</v>
      </c>
      <c r="F1176" s="84">
        <f>INDEX(Definitions!$G$13:$G$17,MATCH(Table3[[#This Row],[Propensity to buy/ buyer readiness]],Definitions!$A$13:$A$17,0))</f>
        <v>150000</v>
      </c>
      <c r="G1176" s="86">
        <v>3</v>
      </c>
      <c r="H1176" s="86">
        <v>3</v>
      </c>
      <c r="I1176" s="86">
        <v>2</v>
      </c>
      <c r="J1176" s="86">
        <v>3</v>
      </c>
      <c r="K1176" s="86">
        <v>4</v>
      </c>
      <c r="L1176" s="86">
        <f>SUM(Table3[[#This Row],[Strategic priority segment]:[Propensity to buy/ buyer readiness]])</f>
        <v>15</v>
      </c>
      <c r="M1176" s="86" t="s">
        <v>152</v>
      </c>
      <c r="N1176" s="84" t="s">
        <v>122</v>
      </c>
      <c r="O1176" s="84"/>
      <c r="P1176" s="87"/>
      <c r="Q1176" s="87"/>
      <c r="R1176" s="84"/>
      <c r="S1176" s="87"/>
      <c r="T1176" s="87"/>
      <c r="U1176" s="84">
        <v>1</v>
      </c>
      <c r="V1176" s="84">
        <v>0</v>
      </c>
      <c r="W1176" s="84">
        <v>0</v>
      </c>
      <c r="X1176" s="84">
        <v>0</v>
      </c>
      <c r="Y1176" s="84">
        <v>0</v>
      </c>
      <c r="Z1176" s="84">
        <v>1</v>
      </c>
      <c r="AA1176" s="84">
        <v>0</v>
      </c>
      <c r="AB1176" s="84">
        <v>1</v>
      </c>
      <c r="AC1176" s="84">
        <v>0</v>
      </c>
      <c r="AD1176" s="84">
        <v>1</v>
      </c>
      <c r="AE1176" s="84">
        <v>0</v>
      </c>
      <c r="AF1176" s="84">
        <v>1</v>
      </c>
      <c r="AG1176" s="84">
        <v>0</v>
      </c>
      <c r="AH1176" s="84">
        <v>0</v>
      </c>
      <c r="AI1176" s="84">
        <v>0</v>
      </c>
      <c r="AJ1176" s="84">
        <v>0</v>
      </c>
      <c r="AK1176" s="84">
        <v>0</v>
      </c>
      <c r="AL1176" s="84" cm="1">
        <f t="array" ref="AL11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76" s="84" cm="1">
        <f t="array" ref="AM11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6" s="84" cm="1">
        <f t="array" ref="AN11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6" s="84" cm="1">
        <f t="array" ref="AO11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6" s="84" cm="1">
        <f t="array" ref="AP11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6" s="84" cm="1">
        <f t="array" ref="AQ11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76" s="84" cm="1">
        <f t="array" ref="AR11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6" s="84" cm="1">
        <f t="array" ref="AS11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76" s="84" cm="1">
        <f t="array" ref="AT11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6" s="84" cm="1">
        <f t="array" ref="AU11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76" s="84" cm="1">
        <f t="array" ref="AV11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6" s="84" cm="1">
        <f t="array" ref="AW11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76" s="84" cm="1">
        <f t="array" ref="AX11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6" s="84" cm="1">
        <f t="array" ref="AY11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6" s="84" cm="1">
        <f t="array" ref="AZ11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6" s="84" cm="1">
        <f t="array" ref="BA11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6" s="84" cm="1">
        <f t="array" ref="BB11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6" s="84">
        <f>IF(SUM(Table3[[#This Row],[Column2]:[Column18]])&gt;Table3[[#This Row],[Column19]],Table3[[#This Row],[Column19]],SUM(Table3[[#This Row],[Column2]:[Column18]]))</f>
        <v>150000</v>
      </c>
      <c r="BD1176" s="2">
        <f>Table3[[#This Row],[Total Spend]]/SUM(Table3[[#This Row],[Column2]:[Column18]])</f>
        <v>0.89605734767025091</v>
      </c>
    </row>
    <row r="1177" spans="1:56">
      <c r="A1177" s="84" t="s">
        <v>1252</v>
      </c>
      <c r="B1177" s="84" t="s">
        <v>57</v>
      </c>
      <c r="C1177" s="84"/>
      <c r="D1177" s="85">
        <v>45566</v>
      </c>
      <c r="E1177" s="85" t="s">
        <v>92</v>
      </c>
      <c r="F1177" s="84">
        <f>INDEX(Definitions!$G$13:$G$17,MATCH(Table3[[#This Row],[Propensity to buy/ buyer readiness]],Definitions!$A$13:$A$17,0))</f>
        <v>10000</v>
      </c>
      <c r="G1177" s="86">
        <v>3</v>
      </c>
      <c r="H1177" s="86">
        <v>3</v>
      </c>
      <c r="I1177" s="86">
        <v>4</v>
      </c>
      <c r="J1177" s="86">
        <v>3</v>
      </c>
      <c r="K1177" s="86">
        <v>2</v>
      </c>
      <c r="L1177" s="86">
        <f>SUM(Table3[[#This Row],[Strategic priority segment]:[Propensity to buy/ buyer readiness]])</f>
        <v>15</v>
      </c>
      <c r="M1177" s="86" t="s">
        <v>152</v>
      </c>
      <c r="N1177" s="84" t="s">
        <v>264</v>
      </c>
      <c r="O1177" s="84"/>
      <c r="P1177" s="87"/>
      <c r="Q1177" s="87"/>
      <c r="R1177" s="84"/>
      <c r="S1177" s="87"/>
      <c r="T1177" s="87"/>
      <c r="U1177" s="84">
        <v>1</v>
      </c>
      <c r="V1177" s="84">
        <v>0</v>
      </c>
      <c r="W1177" s="84">
        <v>0</v>
      </c>
      <c r="X1177" s="84">
        <v>0</v>
      </c>
      <c r="Y1177" s="84">
        <v>0</v>
      </c>
      <c r="Z1177" s="84">
        <v>0</v>
      </c>
      <c r="AA1177" s="84">
        <v>0</v>
      </c>
      <c r="AB1177" s="84">
        <v>0</v>
      </c>
      <c r="AC1177" s="84">
        <v>0</v>
      </c>
      <c r="AD1177" s="84">
        <v>0</v>
      </c>
      <c r="AE1177" s="84">
        <v>0</v>
      </c>
      <c r="AF1177" s="84">
        <v>0</v>
      </c>
      <c r="AG1177" s="84">
        <v>0</v>
      </c>
      <c r="AH1177" s="84">
        <v>0</v>
      </c>
      <c r="AI1177" s="84">
        <v>0</v>
      </c>
      <c r="AJ1177" s="84">
        <v>0</v>
      </c>
      <c r="AK1177" s="84">
        <v>0</v>
      </c>
      <c r="AL1177" s="84" cm="1">
        <f t="array" ref="AL11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7" s="84" cm="1">
        <f t="array" ref="AM11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7" s="84" cm="1">
        <f t="array" ref="AN11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7" s="84" cm="1">
        <f t="array" ref="AO11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7" s="84" cm="1">
        <f t="array" ref="AP11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7" s="84" cm="1">
        <f t="array" ref="AQ11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7" s="84" cm="1">
        <f t="array" ref="AR11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7" s="84" cm="1">
        <f t="array" ref="AS11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7" s="84" cm="1">
        <f t="array" ref="AT11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7" s="84" cm="1">
        <f t="array" ref="AU11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7" s="84" cm="1">
        <f t="array" ref="AV11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7" s="84" cm="1">
        <f t="array" ref="AW11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7" s="84" cm="1">
        <f t="array" ref="AX11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7" s="84" cm="1">
        <f t="array" ref="AY11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7" s="84" cm="1">
        <f t="array" ref="AZ11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7" s="84" cm="1">
        <f t="array" ref="BA11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7" s="84" cm="1">
        <f t="array" ref="BB11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7" s="84">
        <f>IF(SUM(Table3[[#This Row],[Column2]:[Column18]])&gt;Table3[[#This Row],[Column19]],Table3[[#This Row],[Column19]],SUM(Table3[[#This Row],[Column2]:[Column18]]))</f>
        <v>8100</v>
      </c>
      <c r="BD1177" s="2">
        <f>Table3[[#This Row],[Total Spend]]/SUM(Table3[[#This Row],[Column2]:[Column18]])</f>
        <v>1</v>
      </c>
    </row>
    <row r="1178" spans="1:56">
      <c r="A1178" s="84" t="s">
        <v>1253</v>
      </c>
      <c r="B1178" s="84"/>
      <c r="C1178" s="84"/>
      <c r="D1178" s="85">
        <v>45566</v>
      </c>
      <c r="E1178" s="85" t="s">
        <v>58</v>
      </c>
      <c r="F1178" s="84">
        <f>INDEX(Definitions!$G$13:$G$17,MATCH(Table3[[#This Row],[Propensity to buy/ buyer readiness]],Definitions!$A$13:$A$17,0))</f>
        <v>150000</v>
      </c>
      <c r="G1178" s="86">
        <v>3</v>
      </c>
      <c r="H1178" s="86">
        <v>3</v>
      </c>
      <c r="I1178" s="86">
        <v>2</v>
      </c>
      <c r="J1178" s="86">
        <v>3</v>
      </c>
      <c r="K1178" s="86">
        <v>4</v>
      </c>
      <c r="L1178" s="86">
        <f>SUM(Table3[[#This Row],[Strategic priority segment]:[Propensity to buy/ buyer readiness]])</f>
        <v>15</v>
      </c>
      <c r="M1178" s="86" t="s">
        <v>152</v>
      </c>
      <c r="N1178" s="84" t="s">
        <v>122</v>
      </c>
      <c r="O1178" s="84"/>
      <c r="P1178" s="87"/>
      <c r="Q1178" s="87"/>
      <c r="R1178" s="84"/>
      <c r="S1178" s="87"/>
      <c r="T1178" s="87"/>
      <c r="U1178" s="84">
        <v>1</v>
      </c>
      <c r="V1178" s="84">
        <v>0</v>
      </c>
      <c r="W1178" s="84">
        <v>0</v>
      </c>
      <c r="X1178" s="84">
        <v>0</v>
      </c>
      <c r="Y1178" s="84">
        <v>0</v>
      </c>
      <c r="Z1178" s="84">
        <v>1</v>
      </c>
      <c r="AA1178" s="84">
        <v>0</v>
      </c>
      <c r="AB1178" s="84">
        <v>1</v>
      </c>
      <c r="AC1178" s="84">
        <v>0</v>
      </c>
      <c r="AD1178" s="84">
        <v>1</v>
      </c>
      <c r="AE1178" s="84">
        <v>0</v>
      </c>
      <c r="AF1178" s="84">
        <v>1</v>
      </c>
      <c r="AG1178" s="84">
        <v>0</v>
      </c>
      <c r="AH1178" s="84">
        <v>0</v>
      </c>
      <c r="AI1178" s="84">
        <v>0</v>
      </c>
      <c r="AJ1178" s="84">
        <v>0</v>
      </c>
      <c r="AK1178" s="84">
        <v>0</v>
      </c>
      <c r="AL1178" s="84" cm="1">
        <f t="array" ref="AL11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78" s="84" cm="1">
        <f t="array" ref="AM11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8" s="84" cm="1">
        <f t="array" ref="AN11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8" s="84" cm="1">
        <f t="array" ref="AO11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8" s="84" cm="1">
        <f t="array" ref="AP11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78" s="84" cm="1">
        <f t="array" ref="AQ11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78" s="84" cm="1">
        <f t="array" ref="AR11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8" s="84" cm="1">
        <f t="array" ref="AS11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78" s="84" cm="1">
        <f t="array" ref="AT11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8" s="84" cm="1">
        <f t="array" ref="AU11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78" s="84" cm="1">
        <f t="array" ref="AV11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8" s="84" cm="1">
        <f t="array" ref="AW11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78" s="84" cm="1">
        <f t="array" ref="AX11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8" s="84" cm="1">
        <f t="array" ref="AY11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8" s="84" cm="1">
        <f t="array" ref="AZ11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8" s="84" cm="1">
        <f t="array" ref="BA11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8" s="84" cm="1">
        <f t="array" ref="BB11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8" s="84">
        <f>IF(SUM(Table3[[#This Row],[Column2]:[Column18]])&gt;Table3[[#This Row],[Column19]],Table3[[#This Row],[Column19]],SUM(Table3[[#This Row],[Column2]:[Column18]]))</f>
        <v>150000</v>
      </c>
      <c r="BD1178" s="2">
        <f>Table3[[#This Row],[Total Spend]]/SUM(Table3[[#This Row],[Column2]:[Column18]])</f>
        <v>0.89605734767025091</v>
      </c>
    </row>
    <row r="1179" spans="1:56">
      <c r="A1179" s="84" t="s">
        <v>1254</v>
      </c>
      <c r="B1179" s="84" t="s">
        <v>57</v>
      </c>
      <c r="C1179" s="84"/>
      <c r="D1179" s="85">
        <v>45566</v>
      </c>
      <c r="E1179" s="85" t="s">
        <v>92</v>
      </c>
      <c r="F1179" s="84">
        <f>INDEX(Definitions!$G$13:$G$17,MATCH(Table3[[#This Row],[Propensity to buy/ buyer readiness]],Definitions!$A$13:$A$17,0))</f>
        <v>10000</v>
      </c>
      <c r="G1179" s="86">
        <v>3</v>
      </c>
      <c r="H1179" s="86">
        <v>3</v>
      </c>
      <c r="I1179" s="86">
        <v>4</v>
      </c>
      <c r="J1179" s="86">
        <v>3</v>
      </c>
      <c r="K1179" s="86">
        <v>2</v>
      </c>
      <c r="L1179" s="86">
        <f>SUM(Table3[[#This Row],[Strategic priority segment]:[Propensity to buy/ buyer readiness]])</f>
        <v>15</v>
      </c>
      <c r="M1179" s="86" t="s">
        <v>152</v>
      </c>
      <c r="N1179" s="84" t="s">
        <v>264</v>
      </c>
      <c r="O1179" s="84" t="s">
        <v>85</v>
      </c>
      <c r="P1179" s="87"/>
      <c r="Q1179" s="87"/>
      <c r="R1179" s="84"/>
      <c r="S1179" s="87"/>
      <c r="T1179" s="87"/>
      <c r="U1179" s="84">
        <v>1</v>
      </c>
      <c r="V1179" s="84">
        <v>0</v>
      </c>
      <c r="W1179" s="84">
        <v>0</v>
      </c>
      <c r="X1179" s="84">
        <v>0</v>
      </c>
      <c r="Y1179" s="84">
        <v>1</v>
      </c>
      <c r="Z1179" s="84">
        <v>0</v>
      </c>
      <c r="AA1179" s="84">
        <v>0</v>
      </c>
      <c r="AB1179" s="84">
        <v>0</v>
      </c>
      <c r="AC1179" s="84">
        <v>0</v>
      </c>
      <c r="AD1179" s="84">
        <v>0</v>
      </c>
      <c r="AE1179" s="84">
        <v>0</v>
      </c>
      <c r="AF1179" s="84">
        <v>0</v>
      </c>
      <c r="AG1179" s="84">
        <v>0</v>
      </c>
      <c r="AH1179" s="84">
        <v>0</v>
      </c>
      <c r="AI1179" s="84">
        <v>0</v>
      </c>
      <c r="AJ1179" s="84">
        <v>0</v>
      </c>
      <c r="AK1179" s="84">
        <v>0</v>
      </c>
      <c r="AL1179" s="84" cm="1">
        <f t="array" ref="AL11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79" s="84" cm="1">
        <f t="array" ref="AM11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79" s="84" cm="1">
        <f t="array" ref="AN11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79" s="84" cm="1">
        <f t="array" ref="AO11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79" s="84" cm="1">
        <f t="array" ref="AP11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179" s="84" cm="1">
        <f t="array" ref="AQ11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79" s="84" cm="1">
        <f t="array" ref="AR11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79" s="84" cm="1">
        <f t="array" ref="AS11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79" s="84" cm="1">
        <f t="array" ref="AT11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79" s="84" cm="1">
        <f t="array" ref="AU11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79" s="84" cm="1">
        <f t="array" ref="AV11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79" s="84" cm="1">
        <f t="array" ref="AW11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79" s="84" cm="1">
        <f t="array" ref="AX11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79" s="84" cm="1">
        <f t="array" ref="AY11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79" s="84" cm="1">
        <f t="array" ref="AZ11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79" s="84" cm="1">
        <f t="array" ref="BA11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79" s="84" cm="1">
        <f t="array" ref="BB11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79" s="84">
        <f>IF(SUM(Table3[[#This Row],[Column2]:[Column18]])&gt;Table3[[#This Row],[Column19]],Table3[[#This Row],[Column19]],SUM(Table3[[#This Row],[Column2]:[Column18]]))</f>
        <v>10000</v>
      </c>
      <c r="BD1179" s="2">
        <f>Table3[[#This Row],[Total Spend]]/SUM(Table3[[#This Row],[Column2]:[Column18]])</f>
        <v>0.20964360587002095</v>
      </c>
    </row>
    <row r="1180" spans="1:56">
      <c r="A1180" s="84" t="s">
        <v>1255</v>
      </c>
      <c r="B1180" s="84"/>
      <c r="C1180" s="84"/>
      <c r="D1180" s="85">
        <v>45566</v>
      </c>
      <c r="E1180" s="85" t="s">
        <v>92</v>
      </c>
      <c r="F1180" s="84">
        <f>INDEX(Definitions!$G$13:$G$17,MATCH(Table3[[#This Row],[Propensity to buy/ buyer readiness]],Definitions!$A$13:$A$17,0))</f>
        <v>10000</v>
      </c>
      <c r="G1180" s="86">
        <v>3</v>
      </c>
      <c r="H1180" s="86">
        <v>3</v>
      </c>
      <c r="I1180" s="86">
        <v>3</v>
      </c>
      <c r="J1180" s="86">
        <v>4</v>
      </c>
      <c r="K1180" s="86">
        <v>2</v>
      </c>
      <c r="L1180" s="86">
        <f>SUM(Table3[[#This Row],[Strategic priority segment]:[Propensity to buy/ buyer readiness]])</f>
        <v>15</v>
      </c>
      <c r="M1180" s="86" t="s">
        <v>59</v>
      </c>
      <c r="N1180" s="84" t="s">
        <v>265</v>
      </c>
      <c r="O1180" s="84"/>
      <c r="P1180" s="87"/>
      <c r="Q1180" s="87"/>
      <c r="R1180" s="84"/>
      <c r="S1180" s="87"/>
      <c r="T1180" s="87"/>
      <c r="U1180" s="84">
        <v>1</v>
      </c>
      <c r="V1180" s="84">
        <v>1</v>
      </c>
      <c r="W1180" s="84">
        <v>1</v>
      </c>
      <c r="X1180" s="84">
        <v>1</v>
      </c>
      <c r="Y1180" s="84">
        <v>0</v>
      </c>
      <c r="Z1180" s="84">
        <v>0</v>
      </c>
      <c r="AA1180" s="84">
        <v>0</v>
      </c>
      <c r="AB1180" s="84">
        <v>0</v>
      </c>
      <c r="AC1180" s="84">
        <v>0</v>
      </c>
      <c r="AD1180" s="84">
        <v>0</v>
      </c>
      <c r="AE1180" s="84">
        <v>0</v>
      </c>
      <c r="AF1180" s="84">
        <v>0</v>
      </c>
      <c r="AG1180" s="84">
        <v>0</v>
      </c>
      <c r="AH1180" s="84">
        <v>0</v>
      </c>
      <c r="AI1180" s="84">
        <v>1</v>
      </c>
      <c r="AJ1180" s="84">
        <v>0</v>
      </c>
      <c r="AK1180" s="84">
        <v>0</v>
      </c>
      <c r="AL1180" s="84" cm="1">
        <f t="array" ref="AL11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0" s="84" cm="1">
        <f t="array" ref="AM11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180" s="84" cm="1">
        <f t="array" ref="AN11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180" s="84" cm="1">
        <f t="array" ref="AO11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180" s="84" cm="1">
        <f t="array" ref="AP11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0" s="84" cm="1">
        <f t="array" ref="AQ11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0" s="84" cm="1">
        <f t="array" ref="AR11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0" s="84" cm="1">
        <f t="array" ref="AS11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0" s="84" cm="1">
        <f t="array" ref="AT11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0" s="84" cm="1">
        <f t="array" ref="AU11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0" s="84" cm="1">
        <f t="array" ref="AV11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0" s="84" cm="1">
        <f t="array" ref="AW11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0" s="84" cm="1">
        <f t="array" ref="AX11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0" s="84" cm="1">
        <f t="array" ref="AY11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0" s="84" cm="1">
        <f t="array" ref="AZ11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80" s="84" cm="1">
        <f t="array" ref="BA11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80" s="84" cm="1">
        <f t="array" ref="BB11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0" s="84">
        <f>IF(SUM(Table3[[#This Row],[Column2]:[Column18]])&gt;Table3[[#This Row],[Column19]],Table3[[#This Row],[Column19]],SUM(Table3[[#This Row],[Column2]:[Column18]]))</f>
        <v>10000</v>
      </c>
      <c r="BD1180" s="2">
        <f>Table3[[#This Row],[Total Spend]]/SUM(Table3[[#This Row],[Column2]:[Column18]])</f>
        <v>7.2859744990892539E-2</v>
      </c>
    </row>
    <row r="1181" spans="1:56">
      <c r="A1181" s="84" t="s">
        <v>1256</v>
      </c>
      <c r="B1181" s="84" t="s">
        <v>57</v>
      </c>
      <c r="C1181" s="84"/>
      <c r="D1181" s="85">
        <v>45566</v>
      </c>
      <c r="E1181" s="85" t="s">
        <v>92</v>
      </c>
      <c r="F1181" s="84">
        <f>INDEX(Definitions!$G$13:$G$17,MATCH(Table3[[#This Row],[Propensity to buy/ buyer readiness]],Definitions!$A$13:$A$17,0))</f>
        <v>10000</v>
      </c>
      <c r="G1181" s="86">
        <v>3</v>
      </c>
      <c r="H1181" s="86">
        <v>3</v>
      </c>
      <c r="I1181" s="86">
        <v>4</v>
      </c>
      <c r="J1181" s="86">
        <v>3</v>
      </c>
      <c r="K1181" s="86">
        <v>2</v>
      </c>
      <c r="L1181" s="86">
        <f>SUM(Table3[[#This Row],[Strategic priority segment]:[Propensity to buy/ buyer readiness]])</f>
        <v>15</v>
      </c>
      <c r="M1181" s="86" t="s">
        <v>152</v>
      </c>
      <c r="N1181" s="84" t="s">
        <v>264</v>
      </c>
      <c r="O1181" s="84"/>
      <c r="P1181" s="87"/>
      <c r="Q1181" s="87"/>
      <c r="R1181" s="84"/>
      <c r="S1181" s="87"/>
      <c r="T1181" s="87"/>
      <c r="U1181" s="84">
        <v>1</v>
      </c>
      <c r="V1181" s="84">
        <v>0</v>
      </c>
      <c r="W1181" s="84">
        <v>0</v>
      </c>
      <c r="X1181" s="84">
        <v>0</v>
      </c>
      <c r="Y1181" s="84">
        <v>0</v>
      </c>
      <c r="Z1181" s="84">
        <v>0</v>
      </c>
      <c r="AA1181" s="84">
        <v>0</v>
      </c>
      <c r="AB1181" s="84">
        <v>0</v>
      </c>
      <c r="AC1181" s="84">
        <v>0</v>
      </c>
      <c r="AD1181" s="84">
        <v>0</v>
      </c>
      <c r="AE1181" s="84">
        <v>0</v>
      </c>
      <c r="AF1181" s="84">
        <v>0</v>
      </c>
      <c r="AG1181" s="84">
        <v>0</v>
      </c>
      <c r="AH1181" s="84">
        <v>0</v>
      </c>
      <c r="AI1181" s="84">
        <v>0</v>
      </c>
      <c r="AJ1181" s="84">
        <v>0</v>
      </c>
      <c r="AK1181" s="84">
        <v>0</v>
      </c>
      <c r="AL1181" s="84" cm="1">
        <f t="array" ref="AL11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1" s="84" cm="1">
        <f t="array" ref="AM11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1" s="84" cm="1">
        <f t="array" ref="AN11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1" s="84" cm="1">
        <f t="array" ref="AO11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1" s="84" cm="1">
        <f t="array" ref="AP11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1" s="84" cm="1">
        <f t="array" ref="AQ11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1" s="84" cm="1">
        <f t="array" ref="AR11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1" s="84" cm="1">
        <f t="array" ref="AS11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1" s="84" cm="1">
        <f t="array" ref="AT11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1" s="84" cm="1">
        <f t="array" ref="AU11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1" s="84" cm="1">
        <f t="array" ref="AV11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1" s="84" cm="1">
        <f t="array" ref="AW11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1" s="84" cm="1">
        <f t="array" ref="AX11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1" s="84" cm="1">
        <f t="array" ref="AY11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1" s="84" cm="1">
        <f t="array" ref="AZ11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1" s="84" cm="1">
        <f t="array" ref="BA11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81" s="84" cm="1">
        <f t="array" ref="BB11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1" s="84">
        <f>IF(SUM(Table3[[#This Row],[Column2]:[Column18]])&gt;Table3[[#This Row],[Column19]],Table3[[#This Row],[Column19]],SUM(Table3[[#This Row],[Column2]:[Column18]]))</f>
        <v>8100</v>
      </c>
      <c r="BD1181" s="2">
        <f>Table3[[#This Row],[Total Spend]]/SUM(Table3[[#This Row],[Column2]:[Column18]])</f>
        <v>1</v>
      </c>
    </row>
    <row r="1182" spans="1:56">
      <c r="A1182" s="84" t="s">
        <v>1257</v>
      </c>
      <c r="B1182" s="84"/>
      <c r="C1182" s="84"/>
      <c r="D1182" s="85">
        <v>45566</v>
      </c>
      <c r="E1182" s="85" t="s">
        <v>92</v>
      </c>
      <c r="F1182" s="84">
        <f>INDEX(Definitions!$G$13:$G$17,MATCH(Table3[[#This Row],[Propensity to buy/ buyer readiness]],Definitions!$A$13:$A$17,0))</f>
        <v>50000</v>
      </c>
      <c r="G1182" s="86">
        <v>3</v>
      </c>
      <c r="H1182" s="86">
        <v>3</v>
      </c>
      <c r="I1182" s="86">
        <v>3</v>
      </c>
      <c r="J1182" s="86">
        <v>3</v>
      </c>
      <c r="K1182" s="86">
        <v>3</v>
      </c>
      <c r="L1182" s="86">
        <f>SUM(Table3[[#This Row],[Strategic priority segment]:[Propensity to buy/ buyer readiness]])</f>
        <v>15</v>
      </c>
      <c r="M1182" s="86" t="s">
        <v>191</v>
      </c>
      <c r="N1182" s="84" t="s">
        <v>76</v>
      </c>
      <c r="O1182" s="84"/>
      <c r="P1182" s="84"/>
      <c r="Q1182" s="84"/>
      <c r="R1182" s="84"/>
      <c r="S1182" s="87"/>
      <c r="T1182" s="87"/>
      <c r="U1182" s="84">
        <v>0</v>
      </c>
      <c r="V1182" s="84">
        <v>0</v>
      </c>
      <c r="W1182" s="84">
        <v>0</v>
      </c>
      <c r="X1182" s="84">
        <v>0</v>
      </c>
      <c r="Y1182" s="84">
        <v>0</v>
      </c>
      <c r="Z1182" s="84">
        <v>0</v>
      </c>
      <c r="AA1182" s="84">
        <v>0</v>
      </c>
      <c r="AB1182" s="84">
        <v>0</v>
      </c>
      <c r="AC1182" s="84">
        <v>0</v>
      </c>
      <c r="AD1182" s="84">
        <v>0</v>
      </c>
      <c r="AE1182" s="84">
        <v>0</v>
      </c>
      <c r="AF1182" s="84">
        <v>0</v>
      </c>
      <c r="AG1182" s="84">
        <v>0</v>
      </c>
      <c r="AH1182" s="84">
        <v>1</v>
      </c>
      <c r="AI1182" s="84">
        <v>0</v>
      </c>
      <c r="AJ1182" s="84">
        <v>1</v>
      </c>
      <c r="AK1182" s="84">
        <v>0</v>
      </c>
      <c r="AL1182" s="84" cm="1">
        <f t="array" ref="AL11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82" s="84" cm="1">
        <f t="array" ref="AM11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2" s="84" cm="1">
        <f t="array" ref="AN11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2" s="84" cm="1">
        <f t="array" ref="AO11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2" s="84" cm="1">
        <f t="array" ref="AP11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2" s="84" cm="1">
        <f t="array" ref="AQ11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2" s="84" cm="1">
        <f t="array" ref="AR11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2" s="84" cm="1">
        <f t="array" ref="AS11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2" s="84" cm="1">
        <f t="array" ref="AT11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2" s="84" cm="1">
        <f t="array" ref="AU11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2" s="84" cm="1">
        <f t="array" ref="AV11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2" s="84" cm="1">
        <f t="array" ref="AW11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2" s="84" cm="1">
        <f t="array" ref="AX11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2" s="84" cm="1">
        <f t="array" ref="AY11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82" s="84" cm="1">
        <f t="array" ref="AZ11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2" s="84" cm="1">
        <f t="array" ref="BA11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82" s="84" cm="1">
        <f t="array" ref="BB11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2" s="84">
        <f>IF(SUM(Table3[[#This Row],[Column2]:[Column18]])&gt;Table3[[#This Row],[Column19]],Table3[[#This Row],[Column19]],SUM(Table3[[#This Row],[Column2]:[Column18]]))</f>
        <v>30600</v>
      </c>
      <c r="BD1182" s="2">
        <f>Table3[[#This Row],[Total Spend]]/SUM(Table3[[#This Row],[Column2]:[Column18]])</f>
        <v>1</v>
      </c>
    </row>
    <row r="1183" spans="1:56">
      <c r="A1183" s="84" t="s">
        <v>1258</v>
      </c>
      <c r="B1183" s="84" t="s">
        <v>57</v>
      </c>
      <c r="C1183" s="84"/>
      <c r="D1183" s="85">
        <v>45566</v>
      </c>
      <c r="E1183" s="85" t="s">
        <v>92</v>
      </c>
      <c r="F1183" s="84">
        <f>INDEX(Definitions!$G$13:$G$17,MATCH(Table3[[#This Row],[Propensity to buy/ buyer readiness]],Definitions!$A$13:$A$17,0))</f>
        <v>10000</v>
      </c>
      <c r="G1183" s="86">
        <v>3</v>
      </c>
      <c r="H1183" s="86">
        <v>3</v>
      </c>
      <c r="I1183" s="86">
        <v>4</v>
      </c>
      <c r="J1183" s="86">
        <v>3</v>
      </c>
      <c r="K1183" s="86">
        <v>2</v>
      </c>
      <c r="L1183" s="86">
        <f>SUM(Table3[[#This Row],[Strategic priority segment]:[Propensity to buy/ buyer readiness]])</f>
        <v>15</v>
      </c>
      <c r="M1183" s="86" t="s">
        <v>191</v>
      </c>
      <c r="N1183" s="84" t="s">
        <v>135</v>
      </c>
      <c r="O1183" s="84"/>
      <c r="P1183" s="87"/>
      <c r="Q1183" s="87"/>
      <c r="R1183" s="84"/>
      <c r="S1183" s="87"/>
      <c r="T1183" s="87"/>
      <c r="U1183" s="84">
        <v>0</v>
      </c>
      <c r="V1183" s="84">
        <v>0</v>
      </c>
      <c r="W1183" s="84">
        <v>0</v>
      </c>
      <c r="X1183" s="84">
        <v>0</v>
      </c>
      <c r="Y1183" s="84">
        <v>0</v>
      </c>
      <c r="Z1183" s="84">
        <v>0</v>
      </c>
      <c r="AA1183" s="84">
        <v>0</v>
      </c>
      <c r="AB1183" s="84">
        <v>0</v>
      </c>
      <c r="AC1183" s="84">
        <v>0</v>
      </c>
      <c r="AD1183" s="84">
        <v>0</v>
      </c>
      <c r="AE1183" s="84">
        <v>0</v>
      </c>
      <c r="AF1183" s="84">
        <v>0</v>
      </c>
      <c r="AG1183" s="84">
        <v>0</v>
      </c>
      <c r="AH1183" s="84">
        <v>1</v>
      </c>
      <c r="AI1183" s="84">
        <v>1</v>
      </c>
      <c r="AJ1183" s="84">
        <v>1</v>
      </c>
      <c r="AK1183" s="84">
        <v>1</v>
      </c>
      <c r="AL1183" s="84" cm="1">
        <f t="array" ref="AL11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83" s="84" cm="1">
        <f t="array" ref="AM11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3" s="84" cm="1">
        <f t="array" ref="AN11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3" s="84" cm="1">
        <f t="array" ref="AO11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3" s="84" cm="1">
        <f t="array" ref="AP11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3" s="84" cm="1">
        <f t="array" ref="AQ11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3" s="84" cm="1">
        <f t="array" ref="AR11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3" s="84" cm="1">
        <f t="array" ref="AS11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3" s="84" cm="1">
        <f t="array" ref="AT11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3" s="84" cm="1">
        <f t="array" ref="AU11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3" s="84" cm="1">
        <f t="array" ref="AV11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3" s="84" cm="1">
        <f t="array" ref="AW11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3" s="84" cm="1">
        <f t="array" ref="AX11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3" s="84" cm="1">
        <f t="array" ref="AY11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83" s="84" cm="1">
        <f t="array" ref="AZ11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83" s="84" cm="1">
        <f t="array" ref="BA11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83" s="84" cm="1">
        <f t="array" ref="BB11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83" s="84">
        <f>IF(SUM(Table3[[#This Row],[Column2]:[Column18]])&gt;Table3[[#This Row],[Column19]],Table3[[#This Row],[Column19]],SUM(Table3[[#This Row],[Column2]:[Column18]]))</f>
        <v>10000</v>
      </c>
      <c r="BD1183" s="2">
        <f>Table3[[#This Row],[Total Spend]]/SUM(Table3[[#This Row],[Column2]:[Column18]])</f>
        <v>0.21574973031283712</v>
      </c>
    </row>
    <row r="1184" spans="1:56">
      <c r="A1184" s="84" t="s">
        <v>1259</v>
      </c>
      <c r="B1184" s="84"/>
      <c r="C1184" s="84"/>
      <c r="D1184" s="85">
        <v>45566</v>
      </c>
      <c r="E1184" s="85" t="s">
        <v>92</v>
      </c>
      <c r="F1184" s="84">
        <f>INDEX(Definitions!$G$13:$G$17,MATCH(Table3[[#This Row],[Propensity to buy/ buyer readiness]],Definitions!$A$13:$A$17,0))</f>
        <v>50000</v>
      </c>
      <c r="G1184" s="86">
        <v>3</v>
      </c>
      <c r="H1184" s="86">
        <v>3</v>
      </c>
      <c r="I1184" s="86">
        <v>3</v>
      </c>
      <c r="J1184" s="86">
        <v>3</v>
      </c>
      <c r="K1184" s="86">
        <v>3</v>
      </c>
      <c r="L1184" s="86">
        <f>SUM(Table3[[#This Row],[Strategic priority segment]:[Propensity to buy/ buyer readiness]])</f>
        <v>15</v>
      </c>
      <c r="M1184" s="86" t="s">
        <v>152</v>
      </c>
      <c r="N1184" s="84" t="s">
        <v>122</v>
      </c>
      <c r="O1184" s="84"/>
      <c r="P1184" s="87"/>
      <c r="Q1184" s="87"/>
      <c r="R1184" s="84"/>
      <c r="S1184" s="87"/>
      <c r="T1184" s="87"/>
      <c r="U1184" s="84">
        <v>1</v>
      </c>
      <c r="V1184" s="84">
        <v>0</v>
      </c>
      <c r="W1184" s="84">
        <v>0</v>
      </c>
      <c r="X1184" s="84">
        <v>0</v>
      </c>
      <c r="Y1184" s="84">
        <v>0</v>
      </c>
      <c r="Z1184" s="84">
        <v>1</v>
      </c>
      <c r="AA1184" s="84">
        <v>0</v>
      </c>
      <c r="AB1184" s="84">
        <v>1</v>
      </c>
      <c r="AC1184" s="84">
        <v>0</v>
      </c>
      <c r="AD1184" s="84">
        <v>1</v>
      </c>
      <c r="AE1184" s="84">
        <v>0</v>
      </c>
      <c r="AF1184" s="84">
        <v>1</v>
      </c>
      <c r="AG1184" s="84">
        <v>0</v>
      </c>
      <c r="AH1184" s="84">
        <v>0</v>
      </c>
      <c r="AI1184" s="84">
        <v>0</v>
      </c>
      <c r="AJ1184" s="84">
        <v>0</v>
      </c>
      <c r="AK1184" s="84">
        <v>0</v>
      </c>
      <c r="AL1184" s="84" cm="1">
        <f t="array" ref="AL11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4" s="84" cm="1">
        <f t="array" ref="AM11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4" s="84" cm="1">
        <f t="array" ref="AN11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4" s="84" cm="1">
        <f t="array" ref="AO11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4" s="84" cm="1">
        <f t="array" ref="AP11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4" s="84" cm="1">
        <f t="array" ref="AQ11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84" s="84" cm="1">
        <f t="array" ref="AR11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4" s="84" cm="1">
        <f t="array" ref="AS11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84" s="84" cm="1">
        <f t="array" ref="AT11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4" s="84" cm="1">
        <f t="array" ref="AU11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84" s="84" cm="1">
        <f t="array" ref="AV11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4" s="84" cm="1">
        <f t="array" ref="AW11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84" s="84" cm="1">
        <f t="array" ref="AX11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4" s="84" cm="1">
        <f t="array" ref="AY11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4" s="84" cm="1">
        <f t="array" ref="AZ11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4" s="84" cm="1">
        <f t="array" ref="BA11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84" s="84" cm="1">
        <f t="array" ref="BB11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4" s="84">
        <f>IF(SUM(Table3[[#This Row],[Column2]:[Column18]])&gt;Table3[[#This Row],[Column19]],Table3[[#This Row],[Column19]],SUM(Table3[[#This Row],[Column2]:[Column18]]))</f>
        <v>50000</v>
      </c>
      <c r="BD1184" s="2">
        <f>Table3[[#This Row],[Total Spend]]/SUM(Table3[[#This Row],[Column2]:[Column18]])</f>
        <v>0.41459369817578773</v>
      </c>
    </row>
    <row r="1185" spans="1:56">
      <c r="A1185" s="84" t="s">
        <v>1260</v>
      </c>
      <c r="B1185" s="84"/>
      <c r="C1185" s="84"/>
      <c r="D1185" s="85">
        <v>45566</v>
      </c>
      <c r="E1185" s="85" t="s">
        <v>92</v>
      </c>
      <c r="F1185" s="84">
        <f>INDEX(Definitions!$G$13:$G$17,MATCH(Table3[[#This Row],[Propensity to buy/ buyer readiness]],Definitions!$A$13:$A$17,0))</f>
        <v>50000</v>
      </c>
      <c r="G1185" s="86">
        <v>3</v>
      </c>
      <c r="H1185" s="86">
        <v>3</v>
      </c>
      <c r="I1185" s="86">
        <v>3</v>
      </c>
      <c r="J1185" s="86">
        <v>3</v>
      </c>
      <c r="K1185" s="86">
        <v>3</v>
      </c>
      <c r="L1185" s="86">
        <f>SUM(Table3[[#This Row],[Strategic priority segment]:[Propensity to buy/ buyer readiness]])</f>
        <v>15</v>
      </c>
      <c r="M1185" s="86" t="s">
        <v>152</v>
      </c>
      <c r="N1185" s="84" t="s">
        <v>122</v>
      </c>
      <c r="O1185" s="87"/>
      <c r="P1185" s="87"/>
      <c r="Q1185" s="87"/>
      <c r="R1185" s="87"/>
      <c r="S1185" s="87"/>
      <c r="T1185" s="87"/>
      <c r="U1185" s="84">
        <v>1</v>
      </c>
      <c r="V1185" s="84">
        <v>0</v>
      </c>
      <c r="W1185" s="84">
        <v>0</v>
      </c>
      <c r="X1185" s="84">
        <v>0</v>
      </c>
      <c r="Y1185" s="84">
        <v>0</v>
      </c>
      <c r="Z1185" s="84">
        <v>1</v>
      </c>
      <c r="AA1185" s="84">
        <v>0</v>
      </c>
      <c r="AB1185" s="84">
        <v>1</v>
      </c>
      <c r="AC1185" s="84">
        <v>0</v>
      </c>
      <c r="AD1185" s="84">
        <v>1</v>
      </c>
      <c r="AE1185" s="84">
        <v>0</v>
      </c>
      <c r="AF1185" s="84">
        <v>1</v>
      </c>
      <c r="AG1185" s="84">
        <v>0</v>
      </c>
      <c r="AH1185" s="84">
        <v>0</v>
      </c>
      <c r="AI1185" s="84">
        <v>0</v>
      </c>
      <c r="AJ1185" s="84">
        <v>0</v>
      </c>
      <c r="AK1185" s="84">
        <v>0</v>
      </c>
      <c r="AL1185" s="84" cm="1">
        <f t="array" ref="AL11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5" s="84" cm="1">
        <f t="array" ref="AM11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5" s="84" cm="1">
        <f t="array" ref="AN11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5" s="84" cm="1">
        <f t="array" ref="AO11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5" s="84" cm="1">
        <f t="array" ref="AP11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5" s="84" cm="1">
        <f t="array" ref="AQ11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85" s="84" cm="1">
        <f t="array" ref="AR11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5" s="84" cm="1">
        <f t="array" ref="AS11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85" s="84" cm="1">
        <f t="array" ref="AT11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5" s="84" cm="1">
        <f t="array" ref="AU11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85" s="84" cm="1">
        <f t="array" ref="AV11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5" s="84" cm="1">
        <f t="array" ref="AW11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85" s="84" cm="1">
        <f t="array" ref="AX11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5" s="84" cm="1">
        <f t="array" ref="AY11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5" s="84" cm="1">
        <f t="array" ref="AZ11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5" s="84" cm="1">
        <f t="array" ref="BA11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85" s="84" cm="1">
        <f t="array" ref="BB11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5" s="84">
        <f>IF(SUM(Table3[[#This Row],[Column2]:[Column18]])&gt;Table3[[#This Row],[Column19]],Table3[[#This Row],[Column19]],SUM(Table3[[#This Row],[Column2]:[Column18]]))</f>
        <v>50000</v>
      </c>
      <c r="BD1185" s="2">
        <f>Table3[[#This Row],[Total Spend]]/SUM(Table3[[#This Row],[Column2]:[Column18]])</f>
        <v>0.41459369817578773</v>
      </c>
    </row>
    <row r="1186" spans="1:56">
      <c r="A1186" s="84" t="s">
        <v>1261</v>
      </c>
      <c r="B1186" s="84" t="s">
        <v>57</v>
      </c>
      <c r="C1186" s="84"/>
      <c r="D1186" s="85">
        <v>45566</v>
      </c>
      <c r="E1186" s="85" t="s">
        <v>92</v>
      </c>
      <c r="F1186" s="84">
        <f>INDEX(Definitions!$G$13:$G$17,MATCH(Table3[[#This Row],[Propensity to buy/ buyer readiness]],Definitions!$A$13:$A$17,0))</f>
        <v>10000</v>
      </c>
      <c r="G1186" s="86">
        <v>3</v>
      </c>
      <c r="H1186" s="86">
        <v>3</v>
      </c>
      <c r="I1186" s="86">
        <v>4</v>
      </c>
      <c r="J1186" s="86">
        <v>3</v>
      </c>
      <c r="K1186" s="86">
        <v>2</v>
      </c>
      <c r="L1186" s="86">
        <f>SUM(Table3[[#This Row],[Strategic priority segment]:[Propensity to buy/ buyer readiness]])</f>
        <v>15</v>
      </c>
      <c r="M1186" s="86" t="s">
        <v>191</v>
      </c>
      <c r="N1186" s="84" t="s">
        <v>135</v>
      </c>
      <c r="O1186" s="84"/>
      <c r="P1186" s="87"/>
      <c r="Q1186" s="87"/>
      <c r="R1186" s="84"/>
      <c r="S1186" s="87"/>
      <c r="T1186" s="87"/>
      <c r="U1186" s="84">
        <v>0</v>
      </c>
      <c r="V1186" s="84">
        <v>0</v>
      </c>
      <c r="W1186" s="84">
        <v>0</v>
      </c>
      <c r="X1186" s="84">
        <v>0</v>
      </c>
      <c r="Y1186" s="84">
        <v>0</v>
      </c>
      <c r="Z1186" s="84">
        <v>0</v>
      </c>
      <c r="AA1186" s="84">
        <v>0</v>
      </c>
      <c r="AB1186" s="84">
        <v>0</v>
      </c>
      <c r="AC1186" s="84">
        <v>0</v>
      </c>
      <c r="AD1186" s="84">
        <v>0</v>
      </c>
      <c r="AE1186" s="84">
        <v>0</v>
      </c>
      <c r="AF1186" s="84">
        <v>0</v>
      </c>
      <c r="AG1186" s="84">
        <v>0</v>
      </c>
      <c r="AH1186" s="84">
        <v>1</v>
      </c>
      <c r="AI1186" s="84">
        <v>1</v>
      </c>
      <c r="AJ1186" s="84">
        <v>1</v>
      </c>
      <c r="AK1186" s="84">
        <v>1</v>
      </c>
      <c r="AL1186" s="84" cm="1">
        <f t="array" ref="AL11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86" s="84" cm="1">
        <f t="array" ref="AM11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6" s="84" cm="1">
        <f t="array" ref="AN11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6" s="84" cm="1">
        <f t="array" ref="AO11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6" s="84" cm="1">
        <f t="array" ref="AP11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6" s="84" cm="1">
        <f t="array" ref="AQ11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6" s="84" cm="1">
        <f t="array" ref="AR11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6" s="84" cm="1">
        <f t="array" ref="AS11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6" s="84" cm="1">
        <f t="array" ref="AT11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6" s="84" cm="1">
        <f t="array" ref="AU11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6" s="84" cm="1">
        <f t="array" ref="AV11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6" s="84" cm="1">
        <f t="array" ref="AW11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6" s="84" cm="1">
        <f t="array" ref="AX11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6" s="84" cm="1">
        <f t="array" ref="AY11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86" s="84" cm="1">
        <f t="array" ref="AZ11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86" s="84" cm="1">
        <f t="array" ref="BA11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86" s="84" cm="1">
        <f t="array" ref="BB11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86" s="84">
        <f>IF(SUM(Table3[[#This Row],[Column2]:[Column18]])&gt;Table3[[#This Row],[Column19]],Table3[[#This Row],[Column19]],SUM(Table3[[#This Row],[Column2]:[Column18]]))</f>
        <v>10000</v>
      </c>
      <c r="BD1186" s="2">
        <f>Table3[[#This Row],[Total Spend]]/SUM(Table3[[#This Row],[Column2]:[Column18]])</f>
        <v>0.21574973031283712</v>
      </c>
    </row>
    <row r="1187" spans="1:56">
      <c r="A1187" s="84" t="s">
        <v>1262</v>
      </c>
      <c r="B1187" s="84"/>
      <c r="C1187" s="84"/>
      <c r="D1187" s="85">
        <v>45566</v>
      </c>
      <c r="E1187" s="85" t="s">
        <v>92</v>
      </c>
      <c r="F1187" s="84">
        <f>INDEX(Definitions!$G$13:$G$17,MATCH(Table3[[#This Row],[Propensity to buy/ buyer readiness]],Definitions!$A$13:$A$17,0))</f>
        <v>50000</v>
      </c>
      <c r="G1187" s="86">
        <v>3</v>
      </c>
      <c r="H1187" s="86">
        <v>3</v>
      </c>
      <c r="I1187" s="86">
        <v>3</v>
      </c>
      <c r="J1187" s="86">
        <v>3</v>
      </c>
      <c r="K1187" s="86">
        <v>3</v>
      </c>
      <c r="L1187" s="86">
        <f>SUM(Table3[[#This Row],[Strategic priority segment]:[Propensity to buy/ buyer readiness]])</f>
        <v>15</v>
      </c>
      <c r="M1187" s="86" t="s">
        <v>191</v>
      </c>
      <c r="N1187" s="84" t="s">
        <v>76</v>
      </c>
      <c r="O1187" s="84"/>
      <c r="P1187" s="84"/>
      <c r="Q1187" s="84"/>
      <c r="R1187" s="84"/>
      <c r="S1187" s="87"/>
      <c r="T1187" s="87"/>
      <c r="U1187" s="84">
        <v>0</v>
      </c>
      <c r="V1187" s="84">
        <v>0</v>
      </c>
      <c r="W1187" s="84">
        <v>0</v>
      </c>
      <c r="X1187" s="84">
        <v>0</v>
      </c>
      <c r="Y1187" s="84">
        <v>0</v>
      </c>
      <c r="Z1187" s="84">
        <v>0</v>
      </c>
      <c r="AA1187" s="84">
        <v>0</v>
      </c>
      <c r="AB1187" s="84">
        <v>0</v>
      </c>
      <c r="AC1187" s="84">
        <v>0</v>
      </c>
      <c r="AD1187" s="84">
        <v>0</v>
      </c>
      <c r="AE1187" s="84">
        <v>0</v>
      </c>
      <c r="AF1187" s="84">
        <v>0</v>
      </c>
      <c r="AG1187" s="84">
        <v>0</v>
      </c>
      <c r="AH1187" s="84">
        <v>1</v>
      </c>
      <c r="AI1187" s="84">
        <v>0</v>
      </c>
      <c r="AJ1187" s="84">
        <v>1</v>
      </c>
      <c r="AK1187" s="84">
        <v>0</v>
      </c>
      <c r="AL1187" s="84" cm="1">
        <f t="array" ref="AL11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187" s="84" cm="1">
        <f t="array" ref="AM11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7" s="84" cm="1">
        <f t="array" ref="AN11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7" s="84" cm="1">
        <f t="array" ref="AO11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7" s="84" cm="1">
        <f t="array" ref="AP11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7" s="84" cm="1">
        <f t="array" ref="AQ11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7" s="84" cm="1">
        <f t="array" ref="AR11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7" s="84" cm="1">
        <f t="array" ref="AS11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7" s="84" cm="1">
        <f t="array" ref="AT11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7" s="84" cm="1">
        <f t="array" ref="AU11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7" s="84" cm="1">
        <f t="array" ref="AV11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7" s="84" cm="1">
        <f t="array" ref="AW11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7" s="84" cm="1">
        <f t="array" ref="AX11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7" s="84" cm="1">
        <f t="array" ref="AY11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87" s="84" cm="1">
        <f t="array" ref="AZ11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7" s="84" cm="1">
        <f t="array" ref="BA11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87" s="84" cm="1">
        <f t="array" ref="BB11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7" s="84">
        <f>IF(SUM(Table3[[#This Row],[Column2]:[Column18]])&gt;Table3[[#This Row],[Column19]],Table3[[#This Row],[Column19]],SUM(Table3[[#This Row],[Column2]:[Column18]]))</f>
        <v>30600</v>
      </c>
      <c r="BD1187" s="2">
        <f>Table3[[#This Row],[Total Spend]]/SUM(Table3[[#This Row],[Column2]:[Column18]])</f>
        <v>1</v>
      </c>
    </row>
    <row r="1188" spans="1:56">
      <c r="A1188" s="84" t="s">
        <v>1263</v>
      </c>
      <c r="B1188" s="84" t="s">
        <v>57</v>
      </c>
      <c r="C1188" s="84"/>
      <c r="D1188" s="85">
        <v>45566</v>
      </c>
      <c r="E1188" s="85" t="s">
        <v>92</v>
      </c>
      <c r="F1188" s="84">
        <f>INDEX(Definitions!$G$13:$G$17,MATCH(Table3[[#This Row],[Propensity to buy/ buyer readiness]],Definitions!$A$13:$A$17,0))</f>
        <v>10000</v>
      </c>
      <c r="G1188" s="86">
        <v>3</v>
      </c>
      <c r="H1188" s="86">
        <v>3</v>
      </c>
      <c r="I1188" s="86">
        <v>4</v>
      </c>
      <c r="J1188" s="86">
        <v>3</v>
      </c>
      <c r="K1188" s="86">
        <v>2</v>
      </c>
      <c r="L1188" s="86">
        <f>SUM(Table3[[#This Row],[Strategic priority segment]:[Propensity to buy/ buyer readiness]])</f>
        <v>15</v>
      </c>
      <c r="M1188" s="86" t="s">
        <v>152</v>
      </c>
      <c r="N1188" s="84" t="s">
        <v>264</v>
      </c>
      <c r="O1188" s="84"/>
      <c r="P1188" s="87"/>
      <c r="Q1188" s="87"/>
      <c r="R1188" s="84"/>
      <c r="S1188" s="87"/>
      <c r="T1188" s="87"/>
      <c r="U1188" s="84">
        <v>1</v>
      </c>
      <c r="V1188" s="84">
        <v>0</v>
      </c>
      <c r="W1188" s="84">
        <v>0</v>
      </c>
      <c r="X1188" s="84">
        <v>0</v>
      </c>
      <c r="Y1188" s="84">
        <v>0</v>
      </c>
      <c r="Z1188" s="84">
        <v>0</v>
      </c>
      <c r="AA1188" s="84">
        <v>0</v>
      </c>
      <c r="AB1188" s="84">
        <v>0</v>
      </c>
      <c r="AC1188" s="84">
        <v>0</v>
      </c>
      <c r="AD1188" s="84">
        <v>0</v>
      </c>
      <c r="AE1188" s="84">
        <v>0</v>
      </c>
      <c r="AF1188" s="84">
        <v>0</v>
      </c>
      <c r="AG1188" s="84">
        <v>0</v>
      </c>
      <c r="AH1188" s="84">
        <v>0</v>
      </c>
      <c r="AI1188" s="84">
        <v>0</v>
      </c>
      <c r="AJ1188" s="84">
        <v>0</v>
      </c>
      <c r="AK1188" s="84">
        <v>0</v>
      </c>
      <c r="AL1188" s="84" cm="1">
        <f t="array" ref="AL11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8" s="84" cm="1">
        <f t="array" ref="AM11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8" s="84" cm="1">
        <f t="array" ref="AN11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8" s="84" cm="1">
        <f t="array" ref="AO11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8" s="84" cm="1">
        <f t="array" ref="AP11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8" s="84" cm="1">
        <f t="array" ref="AQ11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8" s="84" cm="1">
        <f t="array" ref="AR11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8" s="84" cm="1">
        <f t="array" ref="AS11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8" s="84" cm="1">
        <f t="array" ref="AT11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8" s="84" cm="1">
        <f t="array" ref="AU11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8" s="84" cm="1">
        <f t="array" ref="AV11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8" s="84" cm="1">
        <f t="array" ref="AW11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88" s="84" cm="1">
        <f t="array" ref="AX11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8" s="84" cm="1">
        <f t="array" ref="AY11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8" s="84" cm="1">
        <f t="array" ref="AZ11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8" s="84" cm="1">
        <f t="array" ref="BA11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88" s="84" cm="1">
        <f t="array" ref="BB11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8" s="84">
        <f>IF(SUM(Table3[[#This Row],[Column2]:[Column18]])&gt;Table3[[#This Row],[Column19]],Table3[[#This Row],[Column19]],SUM(Table3[[#This Row],[Column2]:[Column18]]))</f>
        <v>8100</v>
      </c>
      <c r="BD1188" s="2">
        <f>Table3[[#This Row],[Total Spend]]/SUM(Table3[[#This Row],[Column2]:[Column18]])</f>
        <v>1</v>
      </c>
    </row>
    <row r="1189" spans="1:56">
      <c r="A1189" s="84" t="s">
        <v>1264</v>
      </c>
      <c r="B1189" s="84"/>
      <c r="C1189" s="84" t="s">
        <v>57</v>
      </c>
      <c r="D1189" s="85">
        <v>45566</v>
      </c>
      <c r="E1189" s="85" t="s">
        <v>92</v>
      </c>
      <c r="F1189" s="84">
        <f>INDEX(Definitions!$G$13:$G$17,MATCH(Table3[[#This Row],[Propensity to buy/ buyer readiness]],Definitions!$A$13:$A$17,0))</f>
        <v>50000</v>
      </c>
      <c r="G1189" s="86">
        <v>3</v>
      </c>
      <c r="H1189" s="86">
        <v>3</v>
      </c>
      <c r="I1189" s="86">
        <v>3</v>
      </c>
      <c r="J1189" s="86">
        <v>3</v>
      </c>
      <c r="K1189" s="86">
        <v>3</v>
      </c>
      <c r="L1189" s="86">
        <f>SUM(Table3[[#This Row],[Strategic priority segment]:[Propensity to buy/ buyer readiness]])</f>
        <v>15</v>
      </c>
      <c r="M1189" s="86" t="s">
        <v>66</v>
      </c>
      <c r="N1189" s="84" t="s">
        <v>144</v>
      </c>
      <c r="O1189" s="84"/>
      <c r="P1189" s="87"/>
      <c r="Q1189" s="87"/>
      <c r="R1189" s="84"/>
      <c r="S1189" s="87"/>
      <c r="T1189" s="87"/>
      <c r="U1189" s="84">
        <v>1</v>
      </c>
      <c r="V1189" s="84">
        <v>0</v>
      </c>
      <c r="W1189" s="84">
        <v>0</v>
      </c>
      <c r="X1189" s="84">
        <v>0</v>
      </c>
      <c r="Y1189" s="84">
        <v>0</v>
      </c>
      <c r="Z1189" s="84">
        <v>0</v>
      </c>
      <c r="AA1189" s="84">
        <v>0</v>
      </c>
      <c r="AB1189" s="84">
        <v>0</v>
      </c>
      <c r="AC1189" s="84">
        <v>0</v>
      </c>
      <c r="AD1189" s="84">
        <v>0</v>
      </c>
      <c r="AE1189" s="84">
        <v>0</v>
      </c>
      <c r="AF1189" s="84">
        <v>1</v>
      </c>
      <c r="AG1189" s="84">
        <v>0</v>
      </c>
      <c r="AH1189" s="84">
        <v>0</v>
      </c>
      <c r="AI1189" s="84">
        <v>0</v>
      </c>
      <c r="AJ1189" s="84">
        <v>1</v>
      </c>
      <c r="AK1189" s="84">
        <v>0</v>
      </c>
      <c r="AL1189" s="84" cm="1">
        <f t="array" ref="AL11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89" s="84" cm="1">
        <f t="array" ref="AM11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89" s="84" cm="1">
        <f t="array" ref="AN11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89" s="84" cm="1">
        <f t="array" ref="AO11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89" s="84" cm="1">
        <f t="array" ref="AP11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89" s="84" cm="1">
        <f t="array" ref="AQ11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89" s="84" cm="1">
        <f t="array" ref="AR11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89" s="84" cm="1">
        <f t="array" ref="AS11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89" s="84" cm="1">
        <f t="array" ref="AT11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89" s="84" cm="1">
        <f t="array" ref="AU11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89" s="84" cm="1">
        <f t="array" ref="AV11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89" s="84" cm="1">
        <f t="array" ref="AW11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89" s="84" cm="1">
        <f t="array" ref="AX11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89" s="84" cm="1">
        <f t="array" ref="AY11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89" s="84" cm="1">
        <f t="array" ref="AZ11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89" s="84" cm="1">
        <f t="array" ref="BA11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89" s="84" cm="1">
        <f t="array" ref="BB11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89" s="84">
        <f>IF(SUM(Table3[[#This Row],[Column2]:[Column18]])&gt;Table3[[#This Row],[Column19]],Table3[[#This Row],[Column19]],SUM(Table3[[#This Row],[Column2]:[Column18]]))</f>
        <v>50000</v>
      </c>
      <c r="BD1189" s="2">
        <f>Table3[[#This Row],[Total Spend]]/SUM(Table3[[#This Row],[Column2]:[Column18]])</f>
        <v>0.84175084175084181</v>
      </c>
    </row>
    <row r="1190" spans="1:56">
      <c r="A1190" s="84" t="s">
        <v>1265</v>
      </c>
      <c r="B1190" s="84" t="s">
        <v>57</v>
      </c>
      <c r="C1190" s="84"/>
      <c r="D1190" s="85">
        <v>45566</v>
      </c>
      <c r="E1190" s="85" t="s">
        <v>92</v>
      </c>
      <c r="F1190" s="84">
        <f>INDEX(Definitions!$G$13:$G$17,MATCH(Table3[[#This Row],[Propensity to buy/ buyer readiness]],Definitions!$A$13:$A$17,0))</f>
        <v>10000</v>
      </c>
      <c r="G1190" s="86">
        <v>3</v>
      </c>
      <c r="H1190" s="86">
        <v>3</v>
      </c>
      <c r="I1190" s="86">
        <v>4</v>
      </c>
      <c r="J1190" s="86">
        <v>3</v>
      </c>
      <c r="K1190" s="86">
        <v>2</v>
      </c>
      <c r="L1190" s="86">
        <f>SUM(Table3[[#This Row],[Strategic priority segment]:[Propensity to buy/ buyer readiness]])</f>
        <v>15</v>
      </c>
      <c r="M1190" s="86" t="s">
        <v>191</v>
      </c>
      <c r="N1190" s="84" t="s">
        <v>135</v>
      </c>
      <c r="O1190" s="84" t="s">
        <v>153</v>
      </c>
      <c r="P1190" s="87"/>
      <c r="Q1190" s="87"/>
      <c r="R1190" s="84"/>
      <c r="S1190" s="87"/>
      <c r="T1190" s="87"/>
      <c r="U1190" s="84">
        <v>1</v>
      </c>
      <c r="V1190" s="84">
        <v>0</v>
      </c>
      <c r="W1190" s="84">
        <v>0</v>
      </c>
      <c r="X1190" s="84">
        <v>0</v>
      </c>
      <c r="Y1190" s="84">
        <v>0</v>
      </c>
      <c r="Z1190" s="84">
        <v>0</v>
      </c>
      <c r="AA1190" s="84">
        <v>0</v>
      </c>
      <c r="AB1190" s="84">
        <v>0</v>
      </c>
      <c r="AC1190" s="84">
        <v>0</v>
      </c>
      <c r="AD1190" s="84">
        <v>0</v>
      </c>
      <c r="AE1190" s="84">
        <v>0</v>
      </c>
      <c r="AF1190" s="84">
        <v>0</v>
      </c>
      <c r="AG1190" s="84">
        <v>0</v>
      </c>
      <c r="AH1190" s="84">
        <v>1</v>
      </c>
      <c r="AI1190" s="84">
        <v>1</v>
      </c>
      <c r="AJ1190" s="84">
        <v>1</v>
      </c>
      <c r="AK1190" s="84">
        <v>1</v>
      </c>
      <c r="AL1190" s="84" cm="1">
        <f t="array" ref="AL11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0" s="84" cm="1">
        <f t="array" ref="AM11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0" s="84" cm="1">
        <f t="array" ref="AN11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0" s="84" cm="1">
        <f t="array" ref="AO11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0" s="84" cm="1">
        <f t="array" ref="AP11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0" s="84" cm="1">
        <f t="array" ref="AQ11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0" s="84" cm="1">
        <f t="array" ref="AR11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0" s="84" cm="1">
        <f t="array" ref="AS11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0" s="84" cm="1">
        <f t="array" ref="AT11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0" s="84" cm="1">
        <f t="array" ref="AU11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0" s="84" cm="1">
        <f t="array" ref="AV11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0" s="84" cm="1">
        <f t="array" ref="AW11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0" s="84" cm="1">
        <f t="array" ref="AX11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0" s="84" cm="1">
        <f t="array" ref="AY11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90" s="84" cm="1">
        <f t="array" ref="AZ11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90" s="84" cm="1">
        <f t="array" ref="BA11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90" s="84" cm="1">
        <f t="array" ref="BB11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90" s="84">
        <f>IF(SUM(Table3[[#This Row],[Column2]:[Column18]])&gt;Table3[[#This Row],[Column19]],Table3[[#This Row],[Column19]],SUM(Table3[[#This Row],[Column2]:[Column18]]))</f>
        <v>10000</v>
      </c>
      <c r="BD1190" s="2">
        <f>Table3[[#This Row],[Total Spend]]/SUM(Table3[[#This Row],[Column2]:[Column18]])</f>
        <v>0.18365472910927455</v>
      </c>
    </row>
    <row r="1191" spans="1:56">
      <c r="A1191" s="84" t="s">
        <v>1266</v>
      </c>
      <c r="B1191" s="84" t="s">
        <v>57</v>
      </c>
      <c r="C1191" s="84"/>
      <c r="D1191" s="85">
        <v>45566</v>
      </c>
      <c r="E1191" s="85" t="s">
        <v>92</v>
      </c>
      <c r="F1191" s="84">
        <f>INDEX(Definitions!$G$13:$G$17,MATCH(Table3[[#This Row],[Propensity to buy/ buyer readiness]],Definitions!$A$13:$A$17,0))</f>
        <v>10000</v>
      </c>
      <c r="G1191" s="86">
        <v>3</v>
      </c>
      <c r="H1191" s="86">
        <v>3</v>
      </c>
      <c r="I1191" s="86">
        <v>4</v>
      </c>
      <c r="J1191" s="86">
        <v>3</v>
      </c>
      <c r="K1191" s="86">
        <v>2</v>
      </c>
      <c r="L1191" s="86">
        <f>SUM(Table3[[#This Row],[Strategic priority segment]:[Propensity to buy/ buyer readiness]])</f>
        <v>15</v>
      </c>
      <c r="M1191" s="86" t="s">
        <v>152</v>
      </c>
      <c r="N1191" s="84" t="s">
        <v>264</v>
      </c>
      <c r="O1191" s="84"/>
      <c r="P1191" s="87"/>
      <c r="Q1191" s="87"/>
      <c r="R1191" s="84"/>
      <c r="S1191" s="87"/>
      <c r="T1191" s="87"/>
      <c r="U1191" s="84">
        <v>1</v>
      </c>
      <c r="V1191" s="84">
        <v>0</v>
      </c>
      <c r="W1191" s="84">
        <v>0</v>
      </c>
      <c r="X1191" s="84">
        <v>0</v>
      </c>
      <c r="Y1191" s="84">
        <v>0</v>
      </c>
      <c r="Z1191" s="84">
        <v>0</v>
      </c>
      <c r="AA1191" s="84">
        <v>0</v>
      </c>
      <c r="AB1191" s="84">
        <v>0</v>
      </c>
      <c r="AC1191" s="84">
        <v>0</v>
      </c>
      <c r="AD1191" s="84">
        <v>0</v>
      </c>
      <c r="AE1191" s="84">
        <v>0</v>
      </c>
      <c r="AF1191" s="84">
        <v>0</v>
      </c>
      <c r="AG1191" s="84">
        <v>0</v>
      </c>
      <c r="AH1191" s="84">
        <v>0</v>
      </c>
      <c r="AI1191" s="84">
        <v>0</v>
      </c>
      <c r="AJ1191" s="84">
        <v>0</v>
      </c>
      <c r="AK1191" s="84">
        <v>0</v>
      </c>
      <c r="AL1191" s="84" cm="1">
        <f t="array" ref="AL11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1" s="84" cm="1">
        <f t="array" ref="AM11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1" s="84" cm="1">
        <f t="array" ref="AN11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1" s="84" cm="1">
        <f t="array" ref="AO11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1" s="84" cm="1">
        <f t="array" ref="AP11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1" s="84" cm="1">
        <f t="array" ref="AQ11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1" s="84" cm="1">
        <f t="array" ref="AR11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1" s="84" cm="1">
        <f t="array" ref="AS11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1" s="84" cm="1">
        <f t="array" ref="AT11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1" s="84" cm="1">
        <f t="array" ref="AU11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1" s="84" cm="1">
        <f t="array" ref="AV11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1" s="84" cm="1">
        <f t="array" ref="AW11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1" s="84" cm="1">
        <f t="array" ref="AX11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1" s="84" cm="1">
        <f t="array" ref="AY11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91" s="84" cm="1">
        <f t="array" ref="AZ11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91" s="84" cm="1">
        <f t="array" ref="BA11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91" s="84" cm="1">
        <f t="array" ref="BB11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91" s="84">
        <f>IF(SUM(Table3[[#This Row],[Column2]:[Column18]])&gt;Table3[[#This Row],[Column19]],Table3[[#This Row],[Column19]],SUM(Table3[[#This Row],[Column2]:[Column18]]))</f>
        <v>8100</v>
      </c>
      <c r="BD1191" s="2">
        <f>Table3[[#This Row],[Total Spend]]/SUM(Table3[[#This Row],[Column2]:[Column18]])</f>
        <v>1</v>
      </c>
    </row>
    <row r="1192" spans="1:56">
      <c r="A1192" s="84" t="s">
        <v>1267</v>
      </c>
      <c r="B1192" s="84" t="s">
        <v>57</v>
      </c>
      <c r="C1192" s="84"/>
      <c r="D1192" s="85">
        <v>45566</v>
      </c>
      <c r="E1192" s="85" t="s">
        <v>92</v>
      </c>
      <c r="F1192" s="84">
        <f>INDEX(Definitions!$G$13:$G$17,MATCH(Table3[[#This Row],[Propensity to buy/ buyer readiness]],Definitions!$A$13:$A$17,0))</f>
        <v>10000</v>
      </c>
      <c r="G1192" s="86">
        <v>3</v>
      </c>
      <c r="H1192" s="86">
        <v>3</v>
      </c>
      <c r="I1192" s="86">
        <v>4</v>
      </c>
      <c r="J1192" s="86">
        <v>3</v>
      </c>
      <c r="K1192" s="86">
        <v>2</v>
      </c>
      <c r="L1192" s="86">
        <f>SUM(Table3[[#This Row],[Strategic priority segment]:[Propensity to buy/ buyer readiness]])</f>
        <v>15</v>
      </c>
      <c r="M1192" s="86" t="s">
        <v>191</v>
      </c>
      <c r="N1192" s="84" t="s">
        <v>135</v>
      </c>
      <c r="O1192" s="84" t="s">
        <v>153</v>
      </c>
      <c r="P1192" s="87"/>
      <c r="Q1192" s="87"/>
      <c r="R1192" s="84"/>
      <c r="S1192" s="87"/>
      <c r="T1192" s="87"/>
      <c r="U1192" s="84">
        <v>1</v>
      </c>
      <c r="V1192" s="84">
        <v>0</v>
      </c>
      <c r="W1192" s="84">
        <v>0</v>
      </c>
      <c r="X1192" s="84">
        <v>0</v>
      </c>
      <c r="Y1192" s="84">
        <v>0</v>
      </c>
      <c r="Z1192" s="84">
        <v>0</v>
      </c>
      <c r="AA1192" s="84">
        <v>0</v>
      </c>
      <c r="AB1192" s="84">
        <v>0</v>
      </c>
      <c r="AC1192" s="84">
        <v>0</v>
      </c>
      <c r="AD1192" s="84">
        <v>0</v>
      </c>
      <c r="AE1192" s="84">
        <v>0</v>
      </c>
      <c r="AF1192" s="84">
        <v>0</v>
      </c>
      <c r="AG1192" s="84">
        <v>0</v>
      </c>
      <c r="AH1192" s="84">
        <v>1</v>
      </c>
      <c r="AI1192" s="84">
        <v>1</v>
      </c>
      <c r="AJ1192" s="84">
        <v>1</v>
      </c>
      <c r="AK1192" s="84">
        <v>1</v>
      </c>
      <c r="AL1192" s="84" cm="1">
        <f t="array" ref="AL11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2" s="84" cm="1">
        <f t="array" ref="AM11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2" s="84" cm="1">
        <f t="array" ref="AN11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2" s="84" cm="1">
        <f t="array" ref="AO11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2" s="84" cm="1">
        <f t="array" ref="AP11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2" s="84" cm="1">
        <f t="array" ref="AQ11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2" s="84" cm="1">
        <f t="array" ref="AR11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2" s="84" cm="1">
        <f t="array" ref="AS11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2" s="84" cm="1">
        <f t="array" ref="AT11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2" s="84" cm="1">
        <f t="array" ref="AU11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2" s="84" cm="1">
        <f t="array" ref="AV11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2" s="84" cm="1">
        <f t="array" ref="AW11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2" s="84" cm="1">
        <f t="array" ref="AX11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2" s="84" cm="1">
        <f t="array" ref="AY11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92" s="84" cm="1">
        <f t="array" ref="AZ11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92" s="84" cm="1">
        <f t="array" ref="BA11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92" s="84" cm="1">
        <f t="array" ref="BB11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92" s="84">
        <f>IF(SUM(Table3[[#This Row],[Column2]:[Column18]])&gt;Table3[[#This Row],[Column19]],Table3[[#This Row],[Column19]],SUM(Table3[[#This Row],[Column2]:[Column18]]))</f>
        <v>10000</v>
      </c>
      <c r="BD1192" s="2">
        <f>Table3[[#This Row],[Total Spend]]/SUM(Table3[[#This Row],[Column2]:[Column18]])</f>
        <v>0.18365472910927455</v>
      </c>
    </row>
    <row r="1193" spans="1:56">
      <c r="A1193" s="84" t="s">
        <v>1268</v>
      </c>
      <c r="B1193" s="84" t="s">
        <v>57</v>
      </c>
      <c r="C1193" s="84"/>
      <c r="D1193" s="85">
        <v>45566</v>
      </c>
      <c r="E1193" s="85" t="s">
        <v>92</v>
      </c>
      <c r="F1193" s="84">
        <f>INDEX(Definitions!$G$13:$G$17,MATCH(Table3[[#This Row],[Propensity to buy/ buyer readiness]],Definitions!$A$13:$A$17,0))</f>
        <v>10000</v>
      </c>
      <c r="G1193" s="86">
        <v>3</v>
      </c>
      <c r="H1193" s="86">
        <v>3</v>
      </c>
      <c r="I1193" s="86">
        <v>4</v>
      </c>
      <c r="J1193" s="86">
        <v>3</v>
      </c>
      <c r="K1193" s="86">
        <v>2</v>
      </c>
      <c r="L1193" s="86">
        <f>SUM(Table3[[#This Row],[Strategic priority segment]:[Propensity to buy/ buyer readiness]])</f>
        <v>15</v>
      </c>
      <c r="M1193" s="86" t="s">
        <v>191</v>
      </c>
      <c r="N1193" s="84" t="s">
        <v>135</v>
      </c>
      <c r="O1193" s="84" t="s">
        <v>122</v>
      </c>
      <c r="P1193" s="87"/>
      <c r="Q1193" s="87"/>
      <c r="R1193" s="84"/>
      <c r="S1193" s="87"/>
      <c r="T1193" s="87"/>
      <c r="U1193" s="84">
        <v>1</v>
      </c>
      <c r="V1193" s="84">
        <v>0</v>
      </c>
      <c r="W1193" s="84">
        <v>0</v>
      </c>
      <c r="X1193" s="84">
        <v>0</v>
      </c>
      <c r="Y1193" s="84">
        <v>0</v>
      </c>
      <c r="Z1193" s="84">
        <v>1</v>
      </c>
      <c r="AA1193" s="84">
        <v>0</v>
      </c>
      <c r="AB1193" s="84">
        <v>1</v>
      </c>
      <c r="AC1193" s="84">
        <v>0</v>
      </c>
      <c r="AD1193" s="84">
        <v>1</v>
      </c>
      <c r="AE1193" s="84">
        <v>0</v>
      </c>
      <c r="AF1193" s="84">
        <v>1</v>
      </c>
      <c r="AG1193" s="84">
        <v>0</v>
      </c>
      <c r="AH1193" s="84">
        <v>1</v>
      </c>
      <c r="AI1193" s="84">
        <v>1</v>
      </c>
      <c r="AJ1193" s="84">
        <v>1</v>
      </c>
      <c r="AK1193" s="84">
        <v>1</v>
      </c>
      <c r="AL1193" s="84" cm="1">
        <f t="array" ref="AL11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3" s="84" cm="1">
        <f t="array" ref="AM11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3" s="84" cm="1">
        <f t="array" ref="AN11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3" s="84" cm="1">
        <f t="array" ref="AO11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3" s="84" cm="1">
        <f t="array" ref="AP11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3" s="84" cm="1">
        <f t="array" ref="AQ11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193" s="84" cm="1">
        <f t="array" ref="AR11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3" s="84" cm="1">
        <f t="array" ref="AS11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193" s="84" cm="1">
        <f t="array" ref="AT11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3" s="84" cm="1">
        <f t="array" ref="AU11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193" s="84" cm="1">
        <f t="array" ref="AV11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3" s="84" cm="1">
        <f t="array" ref="AW11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193" s="84" cm="1">
        <f t="array" ref="AX11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3" s="84" cm="1">
        <f t="array" ref="AY11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93" s="84" cm="1">
        <f t="array" ref="AZ11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93" s="84" cm="1">
        <f t="array" ref="BA11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93" s="84" cm="1">
        <f t="array" ref="BB11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93" s="84">
        <f>IF(SUM(Table3[[#This Row],[Column2]:[Column18]])&gt;Table3[[#This Row],[Column19]],Table3[[#This Row],[Column19]],SUM(Table3[[#This Row],[Column2]:[Column18]]))</f>
        <v>10000</v>
      </c>
      <c r="BD1193" s="2">
        <f>Table3[[#This Row],[Total Spend]]/SUM(Table3[[#This Row],[Column2]:[Column18]])</f>
        <v>5.9898173105720279E-2</v>
      </c>
    </row>
    <row r="1194" spans="1:56">
      <c r="A1194" s="84" t="s">
        <v>1269</v>
      </c>
      <c r="B1194" s="84" t="s">
        <v>57</v>
      </c>
      <c r="C1194" s="84"/>
      <c r="D1194" s="85">
        <v>45566</v>
      </c>
      <c r="E1194" s="85" t="s">
        <v>92</v>
      </c>
      <c r="F1194" s="84">
        <f>INDEX(Definitions!$G$13:$G$17,MATCH(Table3[[#This Row],[Propensity to buy/ buyer readiness]],Definitions!$A$13:$A$17,0))</f>
        <v>10000</v>
      </c>
      <c r="G1194" s="86">
        <v>3</v>
      </c>
      <c r="H1194" s="86">
        <v>3</v>
      </c>
      <c r="I1194" s="86">
        <v>4</v>
      </c>
      <c r="J1194" s="86">
        <v>3</v>
      </c>
      <c r="K1194" s="86">
        <v>2</v>
      </c>
      <c r="L1194" s="86">
        <f>SUM(Table3[[#This Row],[Strategic priority segment]:[Propensity to buy/ buyer readiness]])</f>
        <v>15</v>
      </c>
      <c r="M1194" s="86" t="s">
        <v>191</v>
      </c>
      <c r="N1194" s="84" t="s">
        <v>135</v>
      </c>
      <c r="O1194" s="84" t="s">
        <v>153</v>
      </c>
      <c r="P1194" s="87"/>
      <c r="Q1194" s="87"/>
      <c r="R1194" s="84"/>
      <c r="S1194" s="87"/>
      <c r="T1194" s="87"/>
      <c r="U1194" s="84">
        <v>1</v>
      </c>
      <c r="V1194" s="84">
        <v>0</v>
      </c>
      <c r="W1194" s="84">
        <v>0</v>
      </c>
      <c r="X1194" s="84">
        <v>0</v>
      </c>
      <c r="Y1194" s="84">
        <v>0</v>
      </c>
      <c r="Z1194" s="84">
        <v>0</v>
      </c>
      <c r="AA1194" s="84">
        <v>0</v>
      </c>
      <c r="AB1194" s="84">
        <v>0</v>
      </c>
      <c r="AC1194" s="84">
        <v>0</v>
      </c>
      <c r="AD1194" s="84">
        <v>0</v>
      </c>
      <c r="AE1194" s="84">
        <v>0</v>
      </c>
      <c r="AF1194" s="84">
        <v>0</v>
      </c>
      <c r="AG1194" s="84">
        <v>0</v>
      </c>
      <c r="AH1194" s="84">
        <v>1</v>
      </c>
      <c r="AI1194" s="84">
        <v>1</v>
      </c>
      <c r="AJ1194" s="84">
        <v>1</v>
      </c>
      <c r="AK1194" s="84">
        <v>1</v>
      </c>
      <c r="AL1194" s="84" cm="1">
        <f t="array" ref="AL11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4" s="84" cm="1">
        <f t="array" ref="AM11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4" s="84" cm="1">
        <f t="array" ref="AN11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4" s="84" cm="1">
        <f t="array" ref="AO11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4" s="84" cm="1">
        <f t="array" ref="AP11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4" s="84" cm="1">
        <f t="array" ref="AQ11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4" s="84" cm="1">
        <f t="array" ref="AR11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4" s="84" cm="1">
        <f t="array" ref="AS11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4" s="84" cm="1">
        <f t="array" ref="AT11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4" s="84" cm="1">
        <f t="array" ref="AU11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4" s="84" cm="1">
        <f t="array" ref="AV11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4" s="84" cm="1">
        <f t="array" ref="AW11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4" s="84" cm="1">
        <f t="array" ref="AX11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4" s="84" cm="1">
        <f t="array" ref="AY11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194" s="84" cm="1">
        <f t="array" ref="AZ11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194" s="84" cm="1">
        <f t="array" ref="BA11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194" s="84" cm="1">
        <f t="array" ref="BB11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194" s="84">
        <f>IF(SUM(Table3[[#This Row],[Column2]:[Column18]])&gt;Table3[[#This Row],[Column19]],Table3[[#This Row],[Column19]],SUM(Table3[[#This Row],[Column2]:[Column18]]))</f>
        <v>10000</v>
      </c>
      <c r="BD1194" s="2">
        <f>Table3[[#This Row],[Total Spend]]/SUM(Table3[[#This Row],[Column2]:[Column18]])</f>
        <v>0.18365472910927455</v>
      </c>
    </row>
    <row r="1195" spans="1:56">
      <c r="A1195" s="84" t="s">
        <v>1270</v>
      </c>
      <c r="B1195" s="84"/>
      <c r="C1195" s="84"/>
      <c r="D1195" s="85">
        <v>45566</v>
      </c>
      <c r="E1195" s="85" t="s">
        <v>58</v>
      </c>
      <c r="F1195" s="84">
        <f>INDEX(Definitions!$G$13:$G$17,MATCH(Table3[[#This Row],[Propensity to buy/ buyer readiness]],Definitions!$A$13:$A$17,0))</f>
        <v>50000</v>
      </c>
      <c r="G1195" s="86">
        <v>3</v>
      </c>
      <c r="H1195" s="86">
        <v>3</v>
      </c>
      <c r="I1195" s="86">
        <v>3</v>
      </c>
      <c r="J1195" s="86">
        <v>3</v>
      </c>
      <c r="K1195" s="86">
        <v>3</v>
      </c>
      <c r="L1195" s="86">
        <f>SUM(Table3[[#This Row],[Strategic priority segment]:[Propensity to buy/ buyer readiness]])</f>
        <v>15</v>
      </c>
      <c r="M1195" s="86" t="s">
        <v>59</v>
      </c>
      <c r="N1195" s="84" t="s">
        <v>85</v>
      </c>
      <c r="O1195" s="84"/>
      <c r="P1195" s="87"/>
      <c r="Q1195" s="87"/>
      <c r="R1195" s="84"/>
      <c r="S1195" s="87"/>
      <c r="T1195" s="87"/>
      <c r="U1195" s="84">
        <v>1</v>
      </c>
      <c r="V1195" s="84">
        <v>0</v>
      </c>
      <c r="W1195" s="84">
        <v>0</v>
      </c>
      <c r="X1195" s="84">
        <v>0</v>
      </c>
      <c r="Y1195" s="84">
        <v>1</v>
      </c>
      <c r="Z1195" s="84">
        <v>0</v>
      </c>
      <c r="AA1195" s="84">
        <v>0</v>
      </c>
      <c r="AB1195" s="84">
        <v>0</v>
      </c>
      <c r="AC1195" s="84">
        <v>0</v>
      </c>
      <c r="AD1195" s="84">
        <v>0</v>
      </c>
      <c r="AE1195" s="84">
        <v>0</v>
      </c>
      <c r="AF1195" s="84">
        <v>0</v>
      </c>
      <c r="AG1195" s="84">
        <v>0</v>
      </c>
      <c r="AH1195" s="84">
        <v>0</v>
      </c>
      <c r="AI1195" s="84">
        <v>0</v>
      </c>
      <c r="AJ1195" s="84">
        <v>0</v>
      </c>
      <c r="AK1195" s="84">
        <v>0</v>
      </c>
      <c r="AL1195" s="84" cm="1">
        <f t="array" ref="AL11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95" s="84" cm="1">
        <f t="array" ref="AM11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5" s="84" cm="1">
        <f t="array" ref="AN11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5" s="84" cm="1">
        <f t="array" ref="AO11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5" s="84" cm="1">
        <f t="array" ref="AP11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55800</v>
      </c>
      <c r="AQ1195" s="84" cm="1">
        <f t="array" ref="AQ11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5" s="84" cm="1">
        <f t="array" ref="AR11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5" s="84" cm="1">
        <f t="array" ref="AS11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5" s="84" cm="1">
        <f t="array" ref="AT11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5" s="84" cm="1">
        <f t="array" ref="AU11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5" s="84" cm="1">
        <f t="array" ref="AV11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5" s="84" cm="1">
        <f t="array" ref="AW11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5" s="84" cm="1">
        <f t="array" ref="AX11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5" s="84" cm="1">
        <f t="array" ref="AY11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95" s="84" cm="1">
        <f t="array" ref="AZ11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95" s="84" cm="1">
        <f t="array" ref="BA11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95" s="84" cm="1">
        <f t="array" ref="BB11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95" s="84">
        <f>IF(SUM(Table3[[#This Row],[Column2]:[Column18]])&gt;Table3[[#This Row],[Column19]],Table3[[#This Row],[Column19]],SUM(Table3[[#This Row],[Column2]:[Column18]]))</f>
        <v>50000</v>
      </c>
      <c r="BD1195" s="2">
        <f>Table3[[#This Row],[Total Spend]]/SUM(Table3[[#This Row],[Column2]:[Column18]])</f>
        <v>0.75075075075075071</v>
      </c>
    </row>
    <row r="1196" spans="1:56">
      <c r="A1196" s="84" t="s">
        <v>1271</v>
      </c>
      <c r="B1196" s="84" t="s">
        <v>57</v>
      </c>
      <c r="C1196" s="84"/>
      <c r="D1196" s="85">
        <v>45566</v>
      </c>
      <c r="E1196" s="85" t="s">
        <v>58</v>
      </c>
      <c r="F1196" s="84">
        <f>INDEX(Definitions!$G$13:$G$17,MATCH(Table3[[#This Row],[Propensity to buy/ buyer readiness]],Definitions!$A$13:$A$17,0))</f>
        <v>50000</v>
      </c>
      <c r="G1196" s="86">
        <v>3</v>
      </c>
      <c r="H1196" s="86">
        <v>3</v>
      </c>
      <c r="I1196" s="86">
        <v>3</v>
      </c>
      <c r="J1196" s="86">
        <v>3</v>
      </c>
      <c r="K1196" s="86">
        <v>3</v>
      </c>
      <c r="L1196" s="86">
        <f>SUM(Table3[[#This Row],[Strategic priority segment]:[Propensity to buy/ buyer readiness]])</f>
        <v>15</v>
      </c>
      <c r="M1196" s="86" t="s">
        <v>152</v>
      </c>
      <c r="N1196" s="84" t="s">
        <v>153</v>
      </c>
      <c r="O1196" s="84"/>
      <c r="P1196" s="87"/>
      <c r="Q1196" s="87"/>
      <c r="R1196" s="84"/>
      <c r="S1196" s="87"/>
      <c r="T1196" s="87"/>
      <c r="U1196" s="84">
        <v>1</v>
      </c>
      <c r="V1196" s="84">
        <v>0</v>
      </c>
      <c r="W1196" s="84">
        <v>0</v>
      </c>
      <c r="X1196" s="84">
        <v>0</v>
      </c>
      <c r="Y1196" s="84">
        <v>0</v>
      </c>
      <c r="Z1196" s="84">
        <v>0</v>
      </c>
      <c r="AA1196" s="84">
        <v>0</v>
      </c>
      <c r="AB1196" s="84">
        <v>0</v>
      </c>
      <c r="AC1196" s="84">
        <v>0</v>
      </c>
      <c r="AD1196" s="84">
        <v>0</v>
      </c>
      <c r="AE1196" s="84">
        <v>0</v>
      </c>
      <c r="AF1196" s="84">
        <v>0</v>
      </c>
      <c r="AG1196" s="84">
        <v>0</v>
      </c>
      <c r="AH1196" s="84">
        <v>0</v>
      </c>
      <c r="AI1196" s="84">
        <v>0</v>
      </c>
      <c r="AJ1196" s="84">
        <v>0</v>
      </c>
      <c r="AK1196" s="84">
        <v>0</v>
      </c>
      <c r="AL1196" s="84" cm="1">
        <f t="array" ref="AL11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96" s="84" cm="1">
        <f t="array" ref="AM11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6" s="84" cm="1">
        <f t="array" ref="AN11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6" s="84" cm="1">
        <f t="array" ref="AO11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6" s="84" cm="1">
        <f t="array" ref="AP11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6" s="84" cm="1">
        <f t="array" ref="AQ11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6" s="84" cm="1">
        <f t="array" ref="AR11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6" s="84" cm="1">
        <f t="array" ref="AS11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6" s="84" cm="1">
        <f t="array" ref="AT11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6" s="84" cm="1">
        <f t="array" ref="AU11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6" s="84" cm="1">
        <f t="array" ref="AV11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6" s="84" cm="1">
        <f t="array" ref="AW11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6" s="84" cm="1">
        <f t="array" ref="AX11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6" s="84" cm="1">
        <f t="array" ref="AY11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96" s="84" cm="1">
        <f t="array" ref="AZ11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96" s="84" cm="1">
        <f t="array" ref="BA11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96" s="84" cm="1">
        <f t="array" ref="BB11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96" s="84">
        <f>IF(SUM(Table3[[#This Row],[Column2]:[Column18]])&gt;Table3[[#This Row],[Column19]],Table3[[#This Row],[Column19]],SUM(Table3[[#This Row],[Column2]:[Column18]]))</f>
        <v>10800</v>
      </c>
      <c r="BD1196" s="2">
        <f>Table3[[#This Row],[Total Spend]]/SUM(Table3[[#This Row],[Column2]:[Column18]])</f>
        <v>1</v>
      </c>
    </row>
    <row r="1197" spans="1:56">
      <c r="A1197" s="84" t="s">
        <v>1272</v>
      </c>
      <c r="B1197" s="84" t="s">
        <v>57</v>
      </c>
      <c r="C1197" s="84"/>
      <c r="D1197" s="85">
        <v>45566</v>
      </c>
      <c r="E1197" s="85" t="s">
        <v>92</v>
      </c>
      <c r="F1197" s="84">
        <f>INDEX(Definitions!$G$13:$G$17,MATCH(Table3[[#This Row],[Propensity to buy/ buyer readiness]],Definitions!$A$13:$A$17,0))</f>
        <v>10000</v>
      </c>
      <c r="G1197" s="86">
        <v>3</v>
      </c>
      <c r="H1197" s="86">
        <v>3</v>
      </c>
      <c r="I1197" s="86">
        <v>4</v>
      </c>
      <c r="J1197" s="86">
        <v>3</v>
      </c>
      <c r="K1197" s="86">
        <v>2</v>
      </c>
      <c r="L1197" s="86">
        <f>SUM(Table3[[#This Row],[Strategic priority segment]:[Propensity to buy/ buyer readiness]])</f>
        <v>15</v>
      </c>
      <c r="M1197" s="86" t="s">
        <v>152</v>
      </c>
      <c r="N1197" s="84" t="s">
        <v>264</v>
      </c>
      <c r="O1197" s="84"/>
      <c r="P1197" s="87"/>
      <c r="Q1197" s="87"/>
      <c r="R1197" s="84"/>
      <c r="S1197" s="87"/>
      <c r="T1197" s="87"/>
      <c r="U1197" s="84">
        <v>1</v>
      </c>
      <c r="V1197" s="84">
        <v>0</v>
      </c>
      <c r="W1197" s="84">
        <v>0</v>
      </c>
      <c r="X1197" s="84">
        <v>0</v>
      </c>
      <c r="Y1197" s="84">
        <v>0</v>
      </c>
      <c r="Z1197" s="84">
        <v>0</v>
      </c>
      <c r="AA1197" s="84">
        <v>0</v>
      </c>
      <c r="AB1197" s="84">
        <v>0</v>
      </c>
      <c r="AC1197" s="84">
        <v>0</v>
      </c>
      <c r="AD1197" s="84">
        <v>0</v>
      </c>
      <c r="AE1197" s="84">
        <v>0</v>
      </c>
      <c r="AF1197" s="84">
        <v>0</v>
      </c>
      <c r="AG1197" s="84">
        <v>0</v>
      </c>
      <c r="AH1197" s="84">
        <v>0</v>
      </c>
      <c r="AI1197" s="84">
        <v>0</v>
      </c>
      <c r="AJ1197" s="84">
        <v>0</v>
      </c>
      <c r="AK1197" s="84">
        <v>0</v>
      </c>
      <c r="AL1197" s="84" cm="1">
        <f t="array" ref="AL11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7" s="84" cm="1">
        <f t="array" ref="AM11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7" s="84" cm="1">
        <f t="array" ref="AN11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7" s="84" cm="1">
        <f t="array" ref="AO11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7" s="84" cm="1">
        <f t="array" ref="AP11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7" s="84" cm="1">
        <f t="array" ref="AQ11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7" s="84" cm="1">
        <f t="array" ref="AR11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7" s="84" cm="1">
        <f t="array" ref="AS11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7" s="84" cm="1">
        <f t="array" ref="AT11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7" s="84" cm="1">
        <f t="array" ref="AU11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7" s="84" cm="1">
        <f t="array" ref="AV11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7" s="84" cm="1">
        <f t="array" ref="AW11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7" s="84" cm="1">
        <f t="array" ref="AX11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7" s="84" cm="1">
        <f t="array" ref="AY11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97" s="84" cm="1">
        <f t="array" ref="AZ11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97" s="84" cm="1">
        <f t="array" ref="BA11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97" s="84" cm="1">
        <f t="array" ref="BB11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97" s="84">
        <f>IF(SUM(Table3[[#This Row],[Column2]:[Column18]])&gt;Table3[[#This Row],[Column19]],Table3[[#This Row],[Column19]],SUM(Table3[[#This Row],[Column2]:[Column18]]))</f>
        <v>8100</v>
      </c>
      <c r="BD1197" s="2">
        <f>Table3[[#This Row],[Total Spend]]/SUM(Table3[[#This Row],[Column2]:[Column18]])</f>
        <v>1</v>
      </c>
    </row>
    <row r="1198" spans="1:56">
      <c r="A1198" s="84" t="s">
        <v>1273</v>
      </c>
      <c r="B1198" s="84" t="s">
        <v>57</v>
      </c>
      <c r="C1198" s="84"/>
      <c r="D1198" s="85">
        <v>45566</v>
      </c>
      <c r="E1198" s="85" t="s">
        <v>92</v>
      </c>
      <c r="F1198" s="84">
        <f>INDEX(Definitions!$G$13:$G$17,MATCH(Table3[[#This Row],[Propensity to buy/ buyer readiness]],Definitions!$A$13:$A$17,0))</f>
        <v>10000</v>
      </c>
      <c r="G1198" s="86">
        <v>3</v>
      </c>
      <c r="H1198" s="86">
        <v>3</v>
      </c>
      <c r="I1198" s="86">
        <v>4</v>
      </c>
      <c r="J1198" s="86">
        <v>3</v>
      </c>
      <c r="K1198" s="86">
        <v>2</v>
      </c>
      <c r="L1198" s="86">
        <f>SUM(Table3[[#This Row],[Strategic priority segment]:[Propensity to buy/ buyer readiness]])</f>
        <v>15</v>
      </c>
      <c r="M1198" s="86" t="s">
        <v>152</v>
      </c>
      <c r="N1198" s="84" t="s">
        <v>264</v>
      </c>
      <c r="O1198" s="84"/>
      <c r="P1198" s="87"/>
      <c r="Q1198" s="87"/>
      <c r="R1198" s="84"/>
      <c r="S1198" s="87"/>
      <c r="T1198" s="87"/>
      <c r="U1198" s="84">
        <v>1</v>
      </c>
      <c r="V1198" s="84">
        <v>0</v>
      </c>
      <c r="W1198" s="84">
        <v>0</v>
      </c>
      <c r="X1198" s="84">
        <v>0</v>
      </c>
      <c r="Y1198" s="84">
        <v>0</v>
      </c>
      <c r="Z1198" s="84">
        <v>0</v>
      </c>
      <c r="AA1198" s="84">
        <v>0</v>
      </c>
      <c r="AB1198" s="84">
        <v>0</v>
      </c>
      <c r="AC1198" s="84">
        <v>0</v>
      </c>
      <c r="AD1198" s="84">
        <v>0</v>
      </c>
      <c r="AE1198" s="84">
        <v>0</v>
      </c>
      <c r="AF1198" s="84">
        <v>0</v>
      </c>
      <c r="AG1198" s="84">
        <v>0</v>
      </c>
      <c r="AH1198" s="84">
        <v>0</v>
      </c>
      <c r="AI1198" s="84">
        <v>0</v>
      </c>
      <c r="AJ1198" s="84">
        <v>0</v>
      </c>
      <c r="AK1198" s="84">
        <v>0</v>
      </c>
      <c r="AL1198" s="84" cm="1">
        <f t="array" ref="AL11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198" s="84" cm="1">
        <f t="array" ref="AM11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8" s="84" cm="1">
        <f t="array" ref="AN11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8" s="84" cm="1">
        <f t="array" ref="AO11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8" s="84" cm="1">
        <f t="array" ref="AP11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8" s="84" cm="1">
        <f t="array" ref="AQ11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198" s="84" cm="1">
        <f t="array" ref="AR11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8" s="84" cm="1">
        <f t="array" ref="AS11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198" s="84" cm="1">
        <f t="array" ref="AT11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8" s="84" cm="1">
        <f t="array" ref="AU11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198" s="84" cm="1">
        <f t="array" ref="AV11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8" s="84" cm="1">
        <f t="array" ref="AW11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198" s="84" cm="1">
        <f t="array" ref="AX11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8" s="84" cm="1">
        <f t="array" ref="AY11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198" s="84" cm="1">
        <f t="array" ref="AZ11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198" s="84" cm="1">
        <f t="array" ref="BA11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198" s="84" cm="1">
        <f t="array" ref="BB11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198" s="84">
        <f>IF(SUM(Table3[[#This Row],[Column2]:[Column18]])&gt;Table3[[#This Row],[Column19]],Table3[[#This Row],[Column19]],SUM(Table3[[#This Row],[Column2]:[Column18]]))</f>
        <v>8100</v>
      </c>
      <c r="BD1198" s="2">
        <f>Table3[[#This Row],[Total Spend]]/SUM(Table3[[#This Row],[Column2]:[Column18]])</f>
        <v>1</v>
      </c>
    </row>
    <row r="1199" spans="1:56">
      <c r="A1199" s="87" t="s">
        <v>1274</v>
      </c>
      <c r="B1199" s="87"/>
      <c r="C1199" s="87"/>
      <c r="D1199" s="85">
        <v>45566</v>
      </c>
      <c r="E1199" s="85" t="s">
        <v>58</v>
      </c>
      <c r="F1199" s="84">
        <f>INDEX(Definitions!$G$13:$G$17,MATCH(Table3[[#This Row],[Propensity to buy/ buyer readiness]],Definitions!$A$13:$A$17,0))</f>
        <v>150000</v>
      </c>
      <c r="G1199" s="86">
        <v>3</v>
      </c>
      <c r="H1199" s="86">
        <v>3</v>
      </c>
      <c r="I1199" s="86">
        <v>2</v>
      </c>
      <c r="J1199" s="86">
        <v>3</v>
      </c>
      <c r="K1199" s="86">
        <v>4</v>
      </c>
      <c r="L1199" s="86">
        <f>SUM(Table3[[#This Row],[Strategic priority segment]:[Propensity to buy/ buyer readiness]])</f>
        <v>15</v>
      </c>
      <c r="M1199" s="86" t="s">
        <v>152</v>
      </c>
      <c r="N1199" s="84" t="s">
        <v>122</v>
      </c>
      <c r="O1199" s="87" t="s">
        <v>135</v>
      </c>
      <c r="P1199" s="87"/>
      <c r="Q1199" s="87"/>
      <c r="R1199" s="84"/>
      <c r="S1199" s="87"/>
      <c r="T1199" s="87"/>
      <c r="U1199" s="84">
        <v>1</v>
      </c>
      <c r="V1199" s="84">
        <v>0</v>
      </c>
      <c r="W1199" s="84">
        <v>0</v>
      </c>
      <c r="X1199" s="84">
        <v>0</v>
      </c>
      <c r="Y1199" s="84">
        <v>0</v>
      </c>
      <c r="Z1199" s="84">
        <v>1</v>
      </c>
      <c r="AA1199" s="84">
        <v>0</v>
      </c>
      <c r="AB1199" s="84">
        <v>1</v>
      </c>
      <c r="AC1199" s="84">
        <v>0</v>
      </c>
      <c r="AD1199" s="84">
        <v>1</v>
      </c>
      <c r="AE1199" s="84">
        <v>0</v>
      </c>
      <c r="AF1199" s="84">
        <v>1</v>
      </c>
      <c r="AG1199" s="84">
        <v>0</v>
      </c>
      <c r="AH1199" s="84">
        <v>1</v>
      </c>
      <c r="AI1199" s="84">
        <v>1</v>
      </c>
      <c r="AJ1199" s="84">
        <v>1</v>
      </c>
      <c r="AK1199" s="84">
        <v>1</v>
      </c>
      <c r="AL1199" s="84" cm="1">
        <f t="array" ref="AL11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199" s="84" cm="1">
        <f t="array" ref="AM11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199" s="84" cm="1">
        <f t="array" ref="AN11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199" s="84" cm="1">
        <f t="array" ref="AO11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199" s="84" cm="1">
        <f t="array" ref="AP11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199" s="84" cm="1">
        <f t="array" ref="AQ11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199" s="84" cm="1">
        <f t="array" ref="AR11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199" s="84" cm="1">
        <f t="array" ref="AS11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199" s="84" cm="1">
        <f t="array" ref="AT11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199" s="84" cm="1">
        <f t="array" ref="AU11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199" s="84" cm="1">
        <f t="array" ref="AV11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199" s="84" cm="1">
        <f t="array" ref="AW11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199" s="84" cm="1">
        <f t="array" ref="AX11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199" s="84" cm="1">
        <f t="array" ref="AY11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199" s="84" cm="1">
        <f t="array" ref="AZ11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199" s="84" cm="1">
        <f t="array" ref="BA11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199" s="84" cm="1">
        <f t="array" ref="BB11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199" s="84">
        <f>IF(SUM(Table3[[#This Row],[Column2]:[Column18]])&gt;Table3[[#This Row],[Column19]],Table3[[#This Row],[Column19]],SUM(Table3[[#This Row],[Column2]:[Column18]]))</f>
        <v>150000</v>
      </c>
      <c r="BD1199" s="2">
        <f>Table3[[#This Row],[Total Spend]]/SUM(Table3[[#This Row],[Column2]:[Column18]])</f>
        <v>0.6472491909385113</v>
      </c>
    </row>
    <row r="1200" spans="1:56">
      <c r="A1200" s="84" t="s">
        <v>1275</v>
      </c>
      <c r="B1200" s="84"/>
      <c r="C1200" s="84"/>
      <c r="D1200" s="85">
        <v>45566</v>
      </c>
      <c r="E1200" s="85" t="s">
        <v>92</v>
      </c>
      <c r="F1200" s="84">
        <f>INDEX(Definitions!$G$13:$G$17,MATCH(Table3[[#This Row],[Propensity to buy/ buyer readiness]],Definitions!$A$13:$A$17,0))</f>
        <v>50000</v>
      </c>
      <c r="G1200" s="86">
        <v>3</v>
      </c>
      <c r="H1200" s="86">
        <v>3</v>
      </c>
      <c r="I1200" s="86">
        <v>3</v>
      </c>
      <c r="J1200" s="86">
        <v>3</v>
      </c>
      <c r="K1200" s="86">
        <v>3</v>
      </c>
      <c r="L1200" s="86">
        <f>SUM(Table3[[#This Row],[Strategic priority segment]:[Propensity to buy/ buyer readiness]])</f>
        <v>15</v>
      </c>
      <c r="M1200" s="86" t="s">
        <v>191</v>
      </c>
      <c r="N1200" s="84" t="s">
        <v>76</v>
      </c>
      <c r="O1200" s="84"/>
      <c r="P1200" s="84"/>
      <c r="Q1200" s="84"/>
      <c r="R1200" s="84"/>
      <c r="S1200" s="87"/>
      <c r="T1200" s="87"/>
      <c r="U1200" s="84">
        <v>0</v>
      </c>
      <c r="V1200" s="84">
        <v>0</v>
      </c>
      <c r="W1200" s="84">
        <v>0</v>
      </c>
      <c r="X1200" s="84">
        <v>0</v>
      </c>
      <c r="Y1200" s="84">
        <v>0</v>
      </c>
      <c r="Z1200" s="84">
        <v>0</v>
      </c>
      <c r="AA1200" s="84">
        <v>0</v>
      </c>
      <c r="AB1200" s="84">
        <v>0</v>
      </c>
      <c r="AC1200" s="84">
        <v>0</v>
      </c>
      <c r="AD1200" s="84">
        <v>0</v>
      </c>
      <c r="AE1200" s="84">
        <v>0</v>
      </c>
      <c r="AF1200" s="84">
        <v>0</v>
      </c>
      <c r="AG1200" s="84">
        <v>0</v>
      </c>
      <c r="AH1200" s="84">
        <v>1</v>
      </c>
      <c r="AI1200" s="84">
        <v>0</v>
      </c>
      <c r="AJ1200" s="84">
        <v>1</v>
      </c>
      <c r="AK1200" s="84">
        <v>0</v>
      </c>
      <c r="AL1200" s="84" cm="1">
        <f t="array" ref="AL12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00" s="84" cm="1">
        <f t="array" ref="AM12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0" s="84" cm="1">
        <f t="array" ref="AN12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0" s="84" cm="1">
        <f t="array" ref="AO12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0" s="84" cm="1">
        <f t="array" ref="AP12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0" s="84" cm="1">
        <f t="array" ref="AQ12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0" s="84" cm="1">
        <f t="array" ref="AR12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0" s="84" cm="1">
        <f t="array" ref="AS12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0" s="84" cm="1">
        <f t="array" ref="AT12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0" s="84" cm="1">
        <f t="array" ref="AU12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0" s="84" cm="1">
        <f t="array" ref="AV12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0" s="84" cm="1">
        <f t="array" ref="AW12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0" s="84" cm="1">
        <f t="array" ref="AX12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0" s="84" cm="1">
        <f t="array" ref="AY12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00" s="84" cm="1">
        <f t="array" ref="AZ12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0" s="84" cm="1">
        <f t="array" ref="BA12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00" s="84" cm="1">
        <f t="array" ref="BB12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0" s="84">
        <f>IF(SUM(Table3[[#This Row],[Column2]:[Column18]])&gt;Table3[[#This Row],[Column19]],Table3[[#This Row],[Column19]],SUM(Table3[[#This Row],[Column2]:[Column18]]))</f>
        <v>30600</v>
      </c>
      <c r="BD1200" s="2">
        <f>Table3[[#This Row],[Total Spend]]/SUM(Table3[[#This Row],[Column2]:[Column18]])</f>
        <v>1</v>
      </c>
    </row>
    <row r="1201" spans="1:56">
      <c r="A1201" s="84" t="s">
        <v>1276</v>
      </c>
      <c r="B1201" s="84"/>
      <c r="C1201" s="84"/>
      <c r="D1201" s="85">
        <v>45566</v>
      </c>
      <c r="E1201" s="85" t="s">
        <v>92</v>
      </c>
      <c r="F1201" s="84">
        <f>INDEX(Definitions!$G$13:$G$17,MATCH(Table3[[#This Row],[Propensity to buy/ buyer readiness]],Definitions!$A$13:$A$17,0))</f>
        <v>50000</v>
      </c>
      <c r="G1201" s="86">
        <v>3</v>
      </c>
      <c r="H1201" s="86">
        <v>3</v>
      </c>
      <c r="I1201" s="86">
        <v>3</v>
      </c>
      <c r="J1201" s="86">
        <v>3</v>
      </c>
      <c r="K1201" s="86">
        <v>3</v>
      </c>
      <c r="L1201" s="86">
        <f>SUM(Table3[[#This Row],[Strategic priority segment]:[Propensity to buy/ buyer readiness]])</f>
        <v>15</v>
      </c>
      <c r="M1201" s="86" t="s">
        <v>191</v>
      </c>
      <c r="N1201" s="84" t="s">
        <v>76</v>
      </c>
      <c r="O1201" s="84"/>
      <c r="P1201" s="84"/>
      <c r="Q1201" s="84"/>
      <c r="R1201" s="84"/>
      <c r="S1201" s="87"/>
      <c r="T1201" s="87"/>
      <c r="U1201" s="84">
        <v>0</v>
      </c>
      <c r="V1201" s="84">
        <v>0</v>
      </c>
      <c r="W1201" s="84">
        <v>0</v>
      </c>
      <c r="X1201" s="84">
        <v>0</v>
      </c>
      <c r="Y1201" s="84">
        <v>0</v>
      </c>
      <c r="Z1201" s="84">
        <v>0</v>
      </c>
      <c r="AA1201" s="84">
        <v>0</v>
      </c>
      <c r="AB1201" s="84">
        <v>0</v>
      </c>
      <c r="AC1201" s="84">
        <v>0</v>
      </c>
      <c r="AD1201" s="84">
        <v>0</v>
      </c>
      <c r="AE1201" s="84">
        <v>0</v>
      </c>
      <c r="AF1201" s="84">
        <v>0</v>
      </c>
      <c r="AG1201" s="84">
        <v>0</v>
      </c>
      <c r="AH1201" s="84">
        <v>1</v>
      </c>
      <c r="AI1201" s="84">
        <v>0</v>
      </c>
      <c r="AJ1201" s="84">
        <v>1</v>
      </c>
      <c r="AK1201" s="84">
        <v>0</v>
      </c>
      <c r="AL1201" s="84" cm="1">
        <f t="array" ref="AL12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01" s="84" cm="1">
        <f t="array" ref="AM12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1" s="84" cm="1">
        <f t="array" ref="AN12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1" s="84" cm="1">
        <f t="array" ref="AO12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1" s="84" cm="1">
        <f t="array" ref="AP12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1" s="84" cm="1">
        <f t="array" ref="AQ12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1" s="84" cm="1">
        <f t="array" ref="AR12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1" s="84" cm="1">
        <f t="array" ref="AS12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1" s="84" cm="1">
        <f t="array" ref="AT12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1" s="84" cm="1">
        <f t="array" ref="AU12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1" s="84" cm="1">
        <f t="array" ref="AV12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1" s="84" cm="1">
        <f t="array" ref="AW12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1" s="84" cm="1">
        <f t="array" ref="AX12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1" s="84" cm="1">
        <f t="array" ref="AY12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01" s="84" cm="1">
        <f t="array" ref="AZ12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1" s="84" cm="1">
        <f t="array" ref="BA12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01" s="84" cm="1">
        <f t="array" ref="BB12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1" s="84">
        <f>IF(SUM(Table3[[#This Row],[Column2]:[Column18]])&gt;Table3[[#This Row],[Column19]],Table3[[#This Row],[Column19]],SUM(Table3[[#This Row],[Column2]:[Column18]]))</f>
        <v>30600</v>
      </c>
      <c r="BD1201" s="2">
        <f>Table3[[#This Row],[Total Spend]]/SUM(Table3[[#This Row],[Column2]:[Column18]])</f>
        <v>1</v>
      </c>
    </row>
    <row r="1202" spans="1:56">
      <c r="A1202" s="84" t="s">
        <v>1277</v>
      </c>
      <c r="B1202" s="84" t="s">
        <v>57</v>
      </c>
      <c r="C1202" s="84"/>
      <c r="D1202" s="85">
        <v>45566</v>
      </c>
      <c r="E1202" s="85" t="s">
        <v>92</v>
      </c>
      <c r="F1202" s="84">
        <f>INDEX(Definitions!$G$13:$G$17,MATCH(Table3[[#This Row],[Propensity to buy/ buyer readiness]],Definitions!$A$13:$A$17,0))</f>
        <v>10000</v>
      </c>
      <c r="G1202" s="86">
        <v>3</v>
      </c>
      <c r="H1202" s="86">
        <v>3</v>
      </c>
      <c r="I1202" s="86">
        <v>4</v>
      </c>
      <c r="J1202" s="86">
        <v>3</v>
      </c>
      <c r="K1202" s="86">
        <v>2</v>
      </c>
      <c r="L1202" s="86">
        <f>SUM(Table3[[#This Row],[Strategic priority segment]:[Propensity to buy/ buyer readiness]])</f>
        <v>15</v>
      </c>
      <c r="M1202" s="86" t="s">
        <v>191</v>
      </c>
      <c r="N1202" s="84" t="s">
        <v>135</v>
      </c>
      <c r="O1202" s="84"/>
      <c r="P1202" s="87"/>
      <c r="Q1202" s="87"/>
      <c r="R1202" s="84"/>
      <c r="S1202" s="84"/>
      <c r="T1202" s="87"/>
      <c r="U1202" s="84">
        <v>0</v>
      </c>
      <c r="V1202" s="84">
        <v>0</v>
      </c>
      <c r="W1202" s="84">
        <v>0</v>
      </c>
      <c r="X1202" s="84">
        <v>0</v>
      </c>
      <c r="Y1202" s="84">
        <v>0</v>
      </c>
      <c r="Z1202" s="84">
        <v>0</v>
      </c>
      <c r="AA1202" s="84">
        <v>0</v>
      </c>
      <c r="AB1202" s="84">
        <v>0</v>
      </c>
      <c r="AC1202" s="84">
        <v>0</v>
      </c>
      <c r="AD1202" s="84">
        <v>0</v>
      </c>
      <c r="AE1202" s="84">
        <v>0</v>
      </c>
      <c r="AF1202" s="84">
        <v>0</v>
      </c>
      <c r="AG1202" s="84">
        <v>0</v>
      </c>
      <c r="AH1202" s="84">
        <v>1</v>
      </c>
      <c r="AI1202" s="84">
        <v>1</v>
      </c>
      <c r="AJ1202" s="84">
        <v>1</v>
      </c>
      <c r="AK1202" s="84">
        <v>1</v>
      </c>
      <c r="AL1202" s="84" cm="1">
        <f t="array" ref="AL12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02" s="84" cm="1">
        <f t="array" ref="AM12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2" s="84" cm="1">
        <f t="array" ref="AN12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2" s="84" cm="1">
        <f t="array" ref="AO12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2" s="84" cm="1">
        <f t="array" ref="AP12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2" s="84" cm="1">
        <f t="array" ref="AQ12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2" s="84" cm="1">
        <f t="array" ref="AR12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2" s="84" cm="1">
        <f t="array" ref="AS12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2" s="84" cm="1">
        <f t="array" ref="AT12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2" s="84" cm="1">
        <f t="array" ref="AU12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2" s="84" cm="1">
        <f t="array" ref="AV12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2" s="84" cm="1">
        <f t="array" ref="AW12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2" s="84" cm="1">
        <f t="array" ref="AX12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2" s="84" cm="1">
        <f t="array" ref="AY12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02" s="84" cm="1">
        <f t="array" ref="AZ12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02" s="84" cm="1">
        <f t="array" ref="BA12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02" s="84" cm="1">
        <f t="array" ref="BB12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02" s="84">
        <f>IF(SUM(Table3[[#This Row],[Column2]:[Column18]])&gt;Table3[[#This Row],[Column19]],Table3[[#This Row],[Column19]],SUM(Table3[[#This Row],[Column2]:[Column18]]))</f>
        <v>10000</v>
      </c>
      <c r="BD1202" s="2">
        <f>Table3[[#This Row],[Total Spend]]/SUM(Table3[[#This Row],[Column2]:[Column18]])</f>
        <v>0.21574973031283712</v>
      </c>
    </row>
    <row r="1203" spans="1:56">
      <c r="A1203" s="84" t="s">
        <v>1278</v>
      </c>
      <c r="B1203" s="84"/>
      <c r="C1203" s="84"/>
      <c r="D1203" s="85">
        <v>45566</v>
      </c>
      <c r="E1203" s="85" t="s">
        <v>92</v>
      </c>
      <c r="F1203" s="84">
        <f>INDEX(Definitions!$G$13:$G$17,MATCH(Table3[[#This Row],[Propensity to buy/ buyer readiness]],Definitions!$A$13:$A$17,0))</f>
        <v>50000</v>
      </c>
      <c r="G1203" s="86">
        <v>3</v>
      </c>
      <c r="H1203" s="86">
        <v>3</v>
      </c>
      <c r="I1203" s="86">
        <v>3</v>
      </c>
      <c r="J1203" s="86">
        <v>3</v>
      </c>
      <c r="K1203" s="86">
        <v>3</v>
      </c>
      <c r="L1203" s="86">
        <f>SUM(Table3[[#This Row],[Strategic priority segment]:[Propensity to buy/ buyer readiness]])</f>
        <v>15</v>
      </c>
      <c r="M1203" s="86" t="s">
        <v>191</v>
      </c>
      <c r="N1203" s="84" t="s">
        <v>76</v>
      </c>
      <c r="O1203" s="84"/>
      <c r="P1203" s="84"/>
      <c r="Q1203" s="84"/>
      <c r="R1203" s="84"/>
      <c r="S1203" s="87"/>
      <c r="T1203" s="87"/>
      <c r="U1203" s="84">
        <v>0</v>
      </c>
      <c r="V1203" s="84">
        <v>0</v>
      </c>
      <c r="W1203" s="84">
        <v>0</v>
      </c>
      <c r="X1203" s="84">
        <v>0</v>
      </c>
      <c r="Y1203" s="84">
        <v>0</v>
      </c>
      <c r="Z1203" s="84">
        <v>0</v>
      </c>
      <c r="AA1203" s="84">
        <v>0</v>
      </c>
      <c r="AB1203" s="84">
        <v>0</v>
      </c>
      <c r="AC1203" s="84">
        <v>0</v>
      </c>
      <c r="AD1203" s="84">
        <v>0</v>
      </c>
      <c r="AE1203" s="84">
        <v>0</v>
      </c>
      <c r="AF1203" s="84">
        <v>0</v>
      </c>
      <c r="AG1203" s="84">
        <v>0</v>
      </c>
      <c r="AH1203" s="84">
        <v>1</v>
      </c>
      <c r="AI1203" s="84">
        <v>0</v>
      </c>
      <c r="AJ1203" s="84">
        <v>1</v>
      </c>
      <c r="AK1203" s="84">
        <v>0</v>
      </c>
      <c r="AL1203" s="84" cm="1">
        <f t="array" ref="AL12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03" s="84" cm="1">
        <f t="array" ref="AM12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3" s="84" cm="1">
        <f t="array" ref="AN12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3" s="84" cm="1">
        <f t="array" ref="AO12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3" s="84" cm="1">
        <f t="array" ref="AP12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3" s="84" cm="1">
        <f t="array" ref="AQ12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3" s="84" cm="1">
        <f t="array" ref="AR12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3" s="84" cm="1">
        <f t="array" ref="AS12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3" s="84" cm="1">
        <f t="array" ref="AT12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3" s="84" cm="1">
        <f t="array" ref="AU12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3" s="84" cm="1">
        <f t="array" ref="AV12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3" s="84" cm="1">
        <f t="array" ref="AW12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3" s="84" cm="1">
        <f t="array" ref="AX12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3" s="84" cm="1">
        <f t="array" ref="AY12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03" s="84" cm="1">
        <f t="array" ref="AZ12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3" s="84" cm="1">
        <f t="array" ref="BA12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03" s="84" cm="1">
        <f t="array" ref="BB12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3" s="84">
        <f>IF(SUM(Table3[[#This Row],[Column2]:[Column18]])&gt;Table3[[#This Row],[Column19]],Table3[[#This Row],[Column19]],SUM(Table3[[#This Row],[Column2]:[Column18]]))</f>
        <v>30600</v>
      </c>
      <c r="BD1203" s="2">
        <f>Table3[[#This Row],[Total Spend]]/SUM(Table3[[#This Row],[Column2]:[Column18]])</f>
        <v>1</v>
      </c>
    </row>
    <row r="1204" spans="1:56">
      <c r="A1204" s="84" t="s">
        <v>1279</v>
      </c>
      <c r="B1204" s="84"/>
      <c r="C1204" s="84"/>
      <c r="D1204" s="85">
        <v>45566</v>
      </c>
      <c r="E1204" s="85" t="s">
        <v>58</v>
      </c>
      <c r="F1204" s="84">
        <f>INDEX(Definitions!$G$13:$G$17,MATCH(Table3[[#This Row],[Propensity to buy/ buyer readiness]],Definitions!$A$13:$A$17,0))</f>
        <v>150000</v>
      </c>
      <c r="G1204" s="86">
        <v>3</v>
      </c>
      <c r="H1204" s="86">
        <v>3</v>
      </c>
      <c r="I1204" s="86">
        <v>2</v>
      </c>
      <c r="J1204" s="86">
        <v>3</v>
      </c>
      <c r="K1204" s="86">
        <v>4</v>
      </c>
      <c r="L1204" s="86">
        <f>SUM(Table3[[#This Row],[Strategic priority segment]:[Propensity to buy/ buyer readiness]])</f>
        <v>15</v>
      </c>
      <c r="M1204" s="86" t="s">
        <v>152</v>
      </c>
      <c r="N1204" s="84" t="s">
        <v>122</v>
      </c>
      <c r="O1204" s="84"/>
      <c r="P1204" s="87"/>
      <c r="Q1204" s="87"/>
      <c r="R1204" s="84"/>
      <c r="S1204" s="87"/>
      <c r="T1204" s="87"/>
      <c r="U1204" s="84">
        <v>1</v>
      </c>
      <c r="V1204" s="84">
        <v>0</v>
      </c>
      <c r="W1204" s="84">
        <v>0</v>
      </c>
      <c r="X1204" s="84">
        <v>0</v>
      </c>
      <c r="Y1204" s="84">
        <v>0</v>
      </c>
      <c r="Z1204" s="84">
        <v>1</v>
      </c>
      <c r="AA1204" s="84">
        <v>0</v>
      </c>
      <c r="AB1204" s="84">
        <v>1</v>
      </c>
      <c r="AC1204" s="84">
        <v>0</v>
      </c>
      <c r="AD1204" s="84">
        <v>1</v>
      </c>
      <c r="AE1204" s="84">
        <v>0</v>
      </c>
      <c r="AF1204" s="84">
        <v>1</v>
      </c>
      <c r="AG1204" s="84">
        <v>0</v>
      </c>
      <c r="AH1204" s="84">
        <v>0</v>
      </c>
      <c r="AI1204" s="84">
        <v>0</v>
      </c>
      <c r="AJ1204" s="84">
        <v>0</v>
      </c>
      <c r="AK1204" s="84">
        <v>0</v>
      </c>
      <c r="AL1204" s="84" cm="1">
        <f t="array" ref="AL12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04" s="84" cm="1">
        <f t="array" ref="AM12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4" s="84" cm="1">
        <f t="array" ref="AN12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4" s="84" cm="1">
        <f t="array" ref="AO12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4" s="84" cm="1">
        <f t="array" ref="AP12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4" s="84" cm="1">
        <f t="array" ref="AQ12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04" s="84" cm="1">
        <f t="array" ref="AR12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4" s="84" cm="1">
        <f t="array" ref="AS12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04" s="84" cm="1">
        <f t="array" ref="AT12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4" s="84" cm="1">
        <f t="array" ref="AU12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04" s="84" cm="1">
        <f t="array" ref="AV12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4" s="84" cm="1">
        <f t="array" ref="AW12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04" s="84" cm="1">
        <f t="array" ref="AX12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4" s="84" cm="1">
        <f t="array" ref="AY12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04" s="84" cm="1">
        <f t="array" ref="AZ12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4" s="84" cm="1">
        <f t="array" ref="BA12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04" s="84" cm="1">
        <f t="array" ref="BB12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4" s="84">
        <f>IF(SUM(Table3[[#This Row],[Column2]:[Column18]])&gt;Table3[[#This Row],[Column19]],Table3[[#This Row],[Column19]],SUM(Table3[[#This Row],[Column2]:[Column18]]))</f>
        <v>150000</v>
      </c>
      <c r="BD1204" s="2">
        <f>Table3[[#This Row],[Total Spend]]/SUM(Table3[[#This Row],[Column2]:[Column18]])</f>
        <v>0.89605734767025091</v>
      </c>
    </row>
    <row r="1205" spans="1:56">
      <c r="A1205" s="84" t="s">
        <v>1280</v>
      </c>
      <c r="B1205" s="84" t="s">
        <v>57</v>
      </c>
      <c r="C1205" s="84"/>
      <c r="D1205" s="85">
        <v>45566</v>
      </c>
      <c r="E1205" s="85" t="s">
        <v>92</v>
      </c>
      <c r="F1205" s="84">
        <f>INDEX(Definitions!$G$13:$G$17,MATCH(Table3[[#This Row],[Propensity to buy/ buyer readiness]],Definitions!$A$13:$A$17,0))</f>
        <v>10000</v>
      </c>
      <c r="G1205" s="86">
        <v>3</v>
      </c>
      <c r="H1205" s="86">
        <v>3</v>
      </c>
      <c r="I1205" s="86">
        <v>4</v>
      </c>
      <c r="J1205" s="86">
        <v>3</v>
      </c>
      <c r="K1205" s="86">
        <v>2</v>
      </c>
      <c r="L1205" s="86">
        <f>SUM(Table3[[#This Row],[Strategic priority segment]:[Propensity to buy/ buyer readiness]])</f>
        <v>15</v>
      </c>
      <c r="M1205" s="86" t="s">
        <v>152</v>
      </c>
      <c r="N1205" s="84" t="s">
        <v>264</v>
      </c>
      <c r="O1205" s="84"/>
      <c r="P1205" s="87"/>
      <c r="Q1205" s="87"/>
      <c r="R1205" s="84"/>
      <c r="S1205" s="84"/>
      <c r="T1205" s="84"/>
      <c r="U1205" s="84">
        <v>1</v>
      </c>
      <c r="V1205" s="84">
        <v>0</v>
      </c>
      <c r="W1205" s="84">
        <v>0</v>
      </c>
      <c r="X1205" s="84">
        <v>0</v>
      </c>
      <c r="Y1205" s="84">
        <v>0</v>
      </c>
      <c r="Z1205" s="84">
        <v>0</v>
      </c>
      <c r="AA1205" s="84">
        <v>0</v>
      </c>
      <c r="AB1205" s="84">
        <v>0</v>
      </c>
      <c r="AC1205" s="84">
        <v>0</v>
      </c>
      <c r="AD1205" s="84">
        <v>0</v>
      </c>
      <c r="AE1205" s="84">
        <v>0</v>
      </c>
      <c r="AF1205" s="84">
        <v>0</v>
      </c>
      <c r="AG1205" s="84">
        <v>0</v>
      </c>
      <c r="AH1205" s="84">
        <v>0</v>
      </c>
      <c r="AI1205" s="84">
        <v>0</v>
      </c>
      <c r="AJ1205" s="84">
        <v>0</v>
      </c>
      <c r="AK1205" s="84">
        <v>0</v>
      </c>
      <c r="AL1205" s="84" cm="1">
        <f t="array" ref="AL12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05" s="84" cm="1">
        <f t="array" ref="AM12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5" s="84" cm="1">
        <f t="array" ref="AN12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5" s="84" cm="1">
        <f t="array" ref="AO12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5" s="84" cm="1">
        <f t="array" ref="AP12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5" s="84" cm="1">
        <f t="array" ref="AQ12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5" s="84" cm="1">
        <f t="array" ref="AR12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5" s="84" cm="1">
        <f t="array" ref="AS12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5" s="84" cm="1">
        <f t="array" ref="AT12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5" s="84" cm="1">
        <f t="array" ref="AU12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5" s="84" cm="1">
        <f t="array" ref="AV12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5" s="84" cm="1">
        <f t="array" ref="AW12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5" s="84" cm="1">
        <f t="array" ref="AX12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5" s="84" cm="1">
        <f t="array" ref="AY12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05" s="84" cm="1">
        <f t="array" ref="AZ12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5" s="84" cm="1">
        <f t="array" ref="BA12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05" s="84" cm="1">
        <f t="array" ref="BB12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5" s="84">
        <f>IF(SUM(Table3[[#This Row],[Column2]:[Column18]])&gt;Table3[[#This Row],[Column19]],Table3[[#This Row],[Column19]],SUM(Table3[[#This Row],[Column2]:[Column18]]))</f>
        <v>8100</v>
      </c>
      <c r="BD1205" s="2">
        <f>Table3[[#This Row],[Total Spend]]/SUM(Table3[[#This Row],[Column2]:[Column18]])</f>
        <v>1</v>
      </c>
    </row>
    <row r="1206" spans="1:56">
      <c r="A1206" s="84" t="s">
        <v>1281</v>
      </c>
      <c r="B1206" s="84"/>
      <c r="C1206" s="84"/>
      <c r="D1206" s="85">
        <v>45566</v>
      </c>
      <c r="E1206" s="85" t="s">
        <v>92</v>
      </c>
      <c r="F1206" s="84">
        <f>INDEX(Definitions!$G$13:$G$17,MATCH(Table3[[#This Row],[Propensity to buy/ buyer readiness]],Definitions!$A$13:$A$17,0))</f>
        <v>50000</v>
      </c>
      <c r="G1206" s="86">
        <v>3</v>
      </c>
      <c r="H1206" s="86">
        <v>3</v>
      </c>
      <c r="I1206" s="86">
        <v>3</v>
      </c>
      <c r="J1206" s="86">
        <v>3</v>
      </c>
      <c r="K1206" s="86">
        <v>3</v>
      </c>
      <c r="L1206" s="86">
        <f>SUM(Table3[[#This Row],[Strategic priority segment]:[Propensity to buy/ buyer readiness]])</f>
        <v>15</v>
      </c>
      <c r="M1206" s="86" t="s">
        <v>152</v>
      </c>
      <c r="N1206" s="84" t="s">
        <v>130</v>
      </c>
      <c r="O1206" s="84"/>
      <c r="P1206" s="84"/>
      <c r="Q1206" s="84"/>
      <c r="R1206" s="84"/>
      <c r="S1206" s="84"/>
      <c r="T1206" s="87"/>
      <c r="U1206" s="84">
        <v>1</v>
      </c>
      <c r="V1206" s="84">
        <v>0</v>
      </c>
      <c r="W1206" s="84">
        <v>0</v>
      </c>
      <c r="X1206" s="84">
        <v>0</v>
      </c>
      <c r="Y1206" s="84">
        <v>0</v>
      </c>
      <c r="Z1206" s="84">
        <v>0</v>
      </c>
      <c r="AA1206" s="84">
        <v>0</v>
      </c>
      <c r="AB1206" s="84">
        <v>0</v>
      </c>
      <c r="AC1206" s="84">
        <v>0</v>
      </c>
      <c r="AD1206" s="84">
        <v>0</v>
      </c>
      <c r="AE1206" s="84">
        <v>0</v>
      </c>
      <c r="AF1206" s="84">
        <v>0</v>
      </c>
      <c r="AG1206" s="84">
        <v>0</v>
      </c>
      <c r="AH1206" s="84">
        <v>0</v>
      </c>
      <c r="AI1206" s="84">
        <v>0</v>
      </c>
      <c r="AJ1206" s="84">
        <v>0</v>
      </c>
      <c r="AK1206" s="84">
        <v>0</v>
      </c>
      <c r="AL1206" s="84" cm="1">
        <f t="array" ref="AL12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06" s="84" cm="1">
        <f t="array" ref="AM12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6" s="84" cm="1">
        <f t="array" ref="AN12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6" s="84" cm="1">
        <f t="array" ref="AO12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6" s="84" cm="1">
        <f t="array" ref="AP12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6" s="84" cm="1">
        <f t="array" ref="AQ12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6" s="84" cm="1">
        <f t="array" ref="AR12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6" s="84" cm="1">
        <f t="array" ref="AS12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6" s="84" cm="1">
        <f t="array" ref="AT12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6" s="84" cm="1">
        <f t="array" ref="AU12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6" s="84" cm="1">
        <f t="array" ref="AV12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6" s="84" cm="1">
        <f t="array" ref="AW12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6" s="84" cm="1">
        <f t="array" ref="AX12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6" s="84" cm="1">
        <f t="array" ref="AY12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06" s="84" cm="1">
        <f t="array" ref="AZ12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6" s="84" cm="1">
        <f t="array" ref="BA12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06" s="84" cm="1">
        <f t="array" ref="BB12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6" s="84">
        <f>IF(SUM(Table3[[#This Row],[Column2]:[Column18]])&gt;Table3[[#This Row],[Column19]],Table3[[#This Row],[Column19]],SUM(Table3[[#This Row],[Column2]:[Column18]]))</f>
        <v>8100</v>
      </c>
      <c r="BD1206" s="2">
        <f>Table3[[#This Row],[Total Spend]]/SUM(Table3[[#This Row],[Column2]:[Column18]])</f>
        <v>1</v>
      </c>
    </row>
    <row r="1207" spans="1:56">
      <c r="A1207" s="84" t="s">
        <v>1282</v>
      </c>
      <c r="B1207" s="84"/>
      <c r="C1207" s="84"/>
      <c r="D1207" s="85">
        <v>45566</v>
      </c>
      <c r="E1207" s="85" t="s">
        <v>92</v>
      </c>
      <c r="F1207" s="84">
        <f>INDEX(Definitions!$G$13:$G$17,MATCH(Table3[[#This Row],[Propensity to buy/ buyer readiness]],Definitions!$A$13:$A$17,0))</f>
        <v>50000</v>
      </c>
      <c r="G1207" s="86">
        <v>3</v>
      </c>
      <c r="H1207" s="86">
        <v>3</v>
      </c>
      <c r="I1207" s="86">
        <v>3</v>
      </c>
      <c r="J1207" s="86">
        <v>3</v>
      </c>
      <c r="K1207" s="86">
        <v>3</v>
      </c>
      <c r="L1207" s="86">
        <f>SUM(Table3[[#This Row],[Strategic priority segment]:[Propensity to buy/ buyer readiness]])</f>
        <v>15</v>
      </c>
      <c r="M1207" s="86" t="s">
        <v>191</v>
      </c>
      <c r="N1207" s="84" t="s">
        <v>76</v>
      </c>
      <c r="O1207" s="84"/>
      <c r="P1207" s="84"/>
      <c r="Q1207" s="84"/>
      <c r="R1207" s="84"/>
      <c r="S1207" s="87"/>
      <c r="T1207" s="87"/>
      <c r="U1207" s="84">
        <v>0</v>
      </c>
      <c r="V1207" s="84">
        <v>0</v>
      </c>
      <c r="W1207" s="84">
        <v>0</v>
      </c>
      <c r="X1207" s="84">
        <v>0</v>
      </c>
      <c r="Y1207" s="84">
        <v>0</v>
      </c>
      <c r="Z1207" s="84">
        <v>0</v>
      </c>
      <c r="AA1207" s="84">
        <v>0</v>
      </c>
      <c r="AB1207" s="84">
        <v>0</v>
      </c>
      <c r="AC1207" s="84">
        <v>0</v>
      </c>
      <c r="AD1207" s="84">
        <v>0</v>
      </c>
      <c r="AE1207" s="84">
        <v>0</v>
      </c>
      <c r="AF1207" s="84">
        <v>0</v>
      </c>
      <c r="AG1207" s="84">
        <v>0</v>
      </c>
      <c r="AH1207" s="84">
        <v>1</v>
      </c>
      <c r="AI1207" s="84">
        <v>0</v>
      </c>
      <c r="AJ1207" s="84">
        <v>1</v>
      </c>
      <c r="AK1207" s="84">
        <v>0</v>
      </c>
      <c r="AL1207" s="84" cm="1">
        <f t="array" ref="AL12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07" s="84" cm="1">
        <f t="array" ref="AM12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7" s="84" cm="1">
        <f t="array" ref="AN12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7" s="84" cm="1">
        <f t="array" ref="AO12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7" s="84" cm="1">
        <f t="array" ref="AP12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7" s="84" cm="1">
        <f t="array" ref="AQ12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7" s="84" cm="1">
        <f t="array" ref="AR12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7" s="84" cm="1">
        <f t="array" ref="AS12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7" s="84" cm="1">
        <f t="array" ref="AT12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7" s="84" cm="1">
        <f t="array" ref="AU12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7" s="84" cm="1">
        <f t="array" ref="AV12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7" s="84" cm="1">
        <f t="array" ref="AW12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7" s="84" cm="1">
        <f t="array" ref="AX12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7" s="84" cm="1">
        <f t="array" ref="AY12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07" s="84" cm="1">
        <f t="array" ref="AZ12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7" s="84" cm="1">
        <f t="array" ref="BA12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07" s="84" cm="1">
        <f t="array" ref="BB12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7" s="84">
        <f>IF(SUM(Table3[[#This Row],[Column2]:[Column18]])&gt;Table3[[#This Row],[Column19]],Table3[[#This Row],[Column19]],SUM(Table3[[#This Row],[Column2]:[Column18]]))</f>
        <v>30600</v>
      </c>
      <c r="BD1207" s="2">
        <f>Table3[[#This Row],[Total Spend]]/SUM(Table3[[#This Row],[Column2]:[Column18]])</f>
        <v>1</v>
      </c>
    </row>
    <row r="1208" spans="1:56">
      <c r="A1208" s="84" t="s">
        <v>1283</v>
      </c>
      <c r="B1208" s="84"/>
      <c r="C1208" s="84"/>
      <c r="D1208" s="85">
        <v>45566</v>
      </c>
      <c r="E1208" s="85" t="s">
        <v>92</v>
      </c>
      <c r="F1208" s="84">
        <f>INDEX(Definitions!$G$13:$G$17,MATCH(Table3[[#This Row],[Propensity to buy/ buyer readiness]],Definitions!$A$13:$A$17,0))</f>
        <v>50000</v>
      </c>
      <c r="G1208" s="86">
        <v>3</v>
      </c>
      <c r="H1208" s="86">
        <v>3</v>
      </c>
      <c r="I1208" s="86">
        <v>3</v>
      </c>
      <c r="J1208" s="86">
        <v>3</v>
      </c>
      <c r="K1208" s="86">
        <v>3</v>
      </c>
      <c r="L1208" s="86">
        <f>SUM(Table3[[#This Row],[Strategic priority segment]:[Propensity to buy/ buyer readiness]])</f>
        <v>15</v>
      </c>
      <c r="M1208" s="86" t="s">
        <v>152</v>
      </c>
      <c r="N1208" s="84" t="s">
        <v>122</v>
      </c>
      <c r="O1208" s="84"/>
      <c r="P1208" s="87"/>
      <c r="Q1208" s="87"/>
      <c r="R1208" s="84"/>
      <c r="S1208" s="87"/>
      <c r="T1208" s="87"/>
      <c r="U1208" s="84">
        <v>1</v>
      </c>
      <c r="V1208" s="84">
        <v>0</v>
      </c>
      <c r="W1208" s="84">
        <v>0</v>
      </c>
      <c r="X1208" s="84">
        <v>0</v>
      </c>
      <c r="Y1208" s="84">
        <v>0</v>
      </c>
      <c r="Z1208" s="84">
        <v>1</v>
      </c>
      <c r="AA1208" s="84">
        <v>0</v>
      </c>
      <c r="AB1208" s="84">
        <v>1</v>
      </c>
      <c r="AC1208" s="84">
        <v>0</v>
      </c>
      <c r="AD1208" s="84">
        <v>1</v>
      </c>
      <c r="AE1208" s="84">
        <v>0</v>
      </c>
      <c r="AF1208" s="84">
        <v>1</v>
      </c>
      <c r="AG1208" s="84">
        <v>0</v>
      </c>
      <c r="AH1208" s="84">
        <v>0</v>
      </c>
      <c r="AI1208" s="84">
        <v>0</v>
      </c>
      <c r="AJ1208" s="84">
        <v>0</v>
      </c>
      <c r="AK1208" s="84">
        <v>0</v>
      </c>
      <c r="AL1208" s="84" cm="1">
        <f t="array" ref="AL12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08" s="84" cm="1">
        <f t="array" ref="AM12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08" s="84" cm="1">
        <f t="array" ref="AN12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08" s="84" cm="1">
        <f t="array" ref="AO12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08" s="84" cm="1">
        <f t="array" ref="AP12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8" s="84" cm="1">
        <f t="array" ref="AQ12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08" s="84" cm="1">
        <f t="array" ref="AR12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8" s="84" cm="1">
        <f t="array" ref="AS12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08" s="84" cm="1">
        <f t="array" ref="AT12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8" s="84" cm="1">
        <f t="array" ref="AU12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08" s="84" cm="1">
        <f t="array" ref="AV12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8" s="84" cm="1">
        <f t="array" ref="AW12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08" s="84" cm="1">
        <f t="array" ref="AX12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8" s="84" cm="1">
        <f t="array" ref="AY12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08" s="84" cm="1">
        <f t="array" ref="AZ12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08" s="84" cm="1">
        <f t="array" ref="BA12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08" s="84" cm="1">
        <f t="array" ref="BB12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8" s="84">
        <f>IF(SUM(Table3[[#This Row],[Column2]:[Column18]])&gt;Table3[[#This Row],[Column19]],Table3[[#This Row],[Column19]],SUM(Table3[[#This Row],[Column2]:[Column18]]))</f>
        <v>50000</v>
      </c>
      <c r="BD1208" s="2">
        <f>Table3[[#This Row],[Total Spend]]/SUM(Table3[[#This Row],[Column2]:[Column18]])</f>
        <v>0.41459369817578773</v>
      </c>
    </row>
    <row r="1209" spans="1:56">
      <c r="A1209" s="84" t="s">
        <v>1284</v>
      </c>
      <c r="B1209" s="84"/>
      <c r="C1209" s="84"/>
      <c r="D1209" s="85">
        <v>45566</v>
      </c>
      <c r="E1209" s="85" t="s">
        <v>92</v>
      </c>
      <c r="F1209" s="84">
        <f>INDEX(Definitions!$G$13:$G$17,MATCH(Table3[[#This Row],[Propensity to buy/ buyer readiness]],Definitions!$A$13:$A$17,0))</f>
        <v>10000</v>
      </c>
      <c r="G1209" s="86">
        <v>3</v>
      </c>
      <c r="H1209" s="86">
        <v>3</v>
      </c>
      <c r="I1209" s="86">
        <v>3</v>
      </c>
      <c r="J1209" s="86">
        <v>4</v>
      </c>
      <c r="K1209" s="86">
        <v>2</v>
      </c>
      <c r="L1209" s="86">
        <f>SUM(Table3[[#This Row],[Strategic priority segment]:[Propensity to buy/ buyer readiness]])</f>
        <v>15</v>
      </c>
      <c r="M1209" s="86" t="s">
        <v>59</v>
      </c>
      <c r="N1209" s="84" t="s">
        <v>265</v>
      </c>
      <c r="O1209" s="84"/>
      <c r="P1209" s="87"/>
      <c r="Q1209" s="87"/>
      <c r="R1209" s="84"/>
      <c r="S1209" s="87"/>
      <c r="T1209" s="87"/>
      <c r="U1209" s="84">
        <v>1</v>
      </c>
      <c r="V1209" s="84">
        <v>1</v>
      </c>
      <c r="W1209" s="84">
        <v>1</v>
      </c>
      <c r="X1209" s="84">
        <v>1</v>
      </c>
      <c r="Y1209" s="84">
        <v>0</v>
      </c>
      <c r="Z1209" s="84">
        <v>0</v>
      </c>
      <c r="AA1209" s="84">
        <v>0</v>
      </c>
      <c r="AB1209" s="84">
        <v>0</v>
      </c>
      <c r="AC1209" s="84">
        <v>0</v>
      </c>
      <c r="AD1209" s="84">
        <v>0</v>
      </c>
      <c r="AE1209" s="84">
        <v>0</v>
      </c>
      <c r="AF1209" s="84">
        <v>0</v>
      </c>
      <c r="AG1209" s="84">
        <v>0</v>
      </c>
      <c r="AH1209" s="84">
        <v>0</v>
      </c>
      <c r="AI1209" s="84">
        <v>1</v>
      </c>
      <c r="AJ1209" s="84">
        <v>0</v>
      </c>
      <c r="AK1209" s="84">
        <v>0</v>
      </c>
      <c r="AL1209" s="84" cm="1">
        <f t="array" ref="AL12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09" s="84" cm="1">
        <f t="array" ref="AM12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09" s="84" cm="1">
        <f t="array" ref="AN12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09" s="84" cm="1">
        <f t="array" ref="AO12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09" s="84" cm="1">
        <f t="array" ref="AP12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09" s="84" cm="1">
        <f t="array" ref="AQ12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09" s="84" cm="1">
        <f t="array" ref="AR12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09" s="84" cm="1">
        <f t="array" ref="AS12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09" s="84" cm="1">
        <f t="array" ref="AT12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09" s="84" cm="1">
        <f t="array" ref="AU12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09" s="84" cm="1">
        <f t="array" ref="AV12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09" s="84" cm="1">
        <f t="array" ref="AW12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09" s="84" cm="1">
        <f t="array" ref="AX12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09" s="84" cm="1">
        <f t="array" ref="AY12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09" s="84" cm="1">
        <f t="array" ref="AZ12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09" s="84" cm="1">
        <f t="array" ref="BA12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09" s="84" cm="1">
        <f t="array" ref="BB12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09" s="84">
        <f>IF(SUM(Table3[[#This Row],[Column2]:[Column18]])&gt;Table3[[#This Row],[Column19]],Table3[[#This Row],[Column19]],SUM(Table3[[#This Row],[Column2]:[Column18]]))</f>
        <v>10000</v>
      </c>
      <c r="BD1209" s="2">
        <f>Table3[[#This Row],[Total Spend]]/SUM(Table3[[#This Row],[Column2]:[Column18]])</f>
        <v>7.2859744990892539E-2</v>
      </c>
    </row>
    <row r="1210" spans="1:56">
      <c r="A1210" s="84" t="s">
        <v>1285</v>
      </c>
      <c r="B1210" s="84"/>
      <c r="C1210" s="84" t="s">
        <v>57</v>
      </c>
      <c r="D1210" s="85">
        <v>45566</v>
      </c>
      <c r="E1210" s="85" t="s">
        <v>92</v>
      </c>
      <c r="F1210" s="84">
        <f>INDEX(Definitions!$G$13:$G$17,MATCH(Table3[[#This Row],[Propensity to buy/ buyer readiness]],Definitions!$A$13:$A$17,0))</f>
        <v>50000</v>
      </c>
      <c r="G1210" s="86">
        <v>3</v>
      </c>
      <c r="H1210" s="86">
        <v>3</v>
      </c>
      <c r="I1210" s="86">
        <v>3</v>
      </c>
      <c r="J1210" s="86">
        <v>3</v>
      </c>
      <c r="K1210" s="86">
        <v>3</v>
      </c>
      <c r="L1210" s="86">
        <f>SUM(Table3[[#This Row],[Strategic priority segment]:[Propensity to buy/ buyer readiness]])</f>
        <v>15</v>
      </c>
      <c r="M1210" s="86" t="s">
        <v>191</v>
      </c>
      <c r="N1210" s="84" t="s">
        <v>135</v>
      </c>
      <c r="O1210" s="84"/>
      <c r="P1210" s="87"/>
      <c r="Q1210" s="87"/>
      <c r="R1210" s="84"/>
      <c r="S1210" s="87"/>
      <c r="T1210" s="87"/>
      <c r="U1210" s="84">
        <v>0</v>
      </c>
      <c r="V1210" s="84">
        <v>0</v>
      </c>
      <c r="W1210" s="84">
        <v>0</v>
      </c>
      <c r="X1210" s="84">
        <v>0</v>
      </c>
      <c r="Y1210" s="84">
        <v>0</v>
      </c>
      <c r="Z1210" s="84">
        <v>0</v>
      </c>
      <c r="AA1210" s="84">
        <v>0</v>
      </c>
      <c r="AB1210" s="84">
        <v>0</v>
      </c>
      <c r="AC1210" s="84">
        <v>0</v>
      </c>
      <c r="AD1210" s="84">
        <v>0</v>
      </c>
      <c r="AE1210" s="84">
        <v>0</v>
      </c>
      <c r="AF1210" s="84">
        <v>0</v>
      </c>
      <c r="AG1210" s="84">
        <v>0</v>
      </c>
      <c r="AH1210" s="84">
        <v>1</v>
      </c>
      <c r="AI1210" s="84">
        <v>1</v>
      </c>
      <c r="AJ1210" s="84">
        <v>1</v>
      </c>
      <c r="AK1210" s="84">
        <v>1</v>
      </c>
      <c r="AL1210" s="84" cm="1">
        <f t="array" ref="AL12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10" s="84" cm="1">
        <f t="array" ref="AM12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0" s="84" cm="1">
        <f t="array" ref="AN12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0" s="84" cm="1">
        <f t="array" ref="AO12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0" s="84" cm="1">
        <f t="array" ref="AP12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0" s="84" cm="1">
        <f t="array" ref="AQ12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0" s="84" cm="1">
        <f t="array" ref="AR12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0" s="84" cm="1">
        <f t="array" ref="AS12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0" s="84" cm="1">
        <f t="array" ref="AT12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0" s="84" cm="1">
        <f t="array" ref="AU12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0" s="84" cm="1">
        <f t="array" ref="AV12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0" s="84" cm="1">
        <f t="array" ref="AW12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0" s="84" cm="1">
        <f t="array" ref="AX12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0" s="84" cm="1">
        <f t="array" ref="AY12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0" s="84" cm="1">
        <f t="array" ref="AZ12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10" s="84" cm="1">
        <f t="array" ref="BA12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0" s="84" cm="1">
        <f t="array" ref="BB12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10" s="84">
        <f>IF(SUM(Table3[[#This Row],[Column2]:[Column18]])&gt;Table3[[#This Row],[Column19]],Table3[[#This Row],[Column19]],SUM(Table3[[#This Row],[Column2]:[Column18]]))</f>
        <v>46350</v>
      </c>
      <c r="BD1210" s="2">
        <f>Table3[[#This Row],[Total Spend]]/SUM(Table3[[#This Row],[Column2]:[Column18]])</f>
        <v>1</v>
      </c>
    </row>
    <row r="1211" spans="1:56">
      <c r="A1211" s="84" t="s">
        <v>1286</v>
      </c>
      <c r="B1211" s="84" t="s">
        <v>57</v>
      </c>
      <c r="C1211" s="84"/>
      <c r="D1211" s="85">
        <v>45566</v>
      </c>
      <c r="E1211" s="85" t="s">
        <v>92</v>
      </c>
      <c r="F1211" s="84">
        <f>INDEX(Definitions!$G$13:$G$17,MATCH(Table3[[#This Row],[Propensity to buy/ buyer readiness]],Definitions!$A$13:$A$17,0))</f>
        <v>10000</v>
      </c>
      <c r="G1211" s="86">
        <v>3</v>
      </c>
      <c r="H1211" s="86">
        <v>3</v>
      </c>
      <c r="I1211" s="86">
        <v>4</v>
      </c>
      <c r="J1211" s="86">
        <v>3</v>
      </c>
      <c r="K1211" s="86">
        <v>2</v>
      </c>
      <c r="L1211" s="86">
        <f>SUM(Table3[[#This Row],[Strategic priority segment]:[Propensity to buy/ buyer readiness]])</f>
        <v>15</v>
      </c>
      <c r="M1211" s="86" t="s">
        <v>191</v>
      </c>
      <c r="N1211" s="84" t="s">
        <v>135</v>
      </c>
      <c r="O1211" s="84"/>
      <c r="P1211" s="87"/>
      <c r="Q1211" s="87"/>
      <c r="R1211" s="84"/>
      <c r="S1211" s="84"/>
      <c r="T1211" s="84"/>
      <c r="U1211" s="84">
        <v>0</v>
      </c>
      <c r="V1211" s="84">
        <v>0</v>
      </c>
      <c r="W1211" s="84">
        <v>0</v>
      </c>
      <c r="X1211" s="84">
        <v>0</v>
      </c>
      <c r="Y1211" s="84">
        <v>0</v>
      </c>
      <c r="Z1211" s="84">
        <v>0</v>
      </c>
      <c r="AA1211" s="84">
        <v>0</v>
      </c>
      <c r="AB1211" s="84">
        <v>0</v>
      </c>
      <c r="AC1211" s="84">
        <v>0</v>
      </c>
      <c r="AD1211" s="84">
        <v>0</v>
      </c>
      <c r="AE1211" s="84">
        <v>0</v>
      </c>
      <c r="AF1211" s="84">
        <v>0</v>
      </c>
      <c r="AG1211" s="84">
        <v>0</v>
      </c>
      <c r="AH1211" s="84">
        <v>1</v>
      </c>
      <c r="AI1211" s="84">
        <v>1</v>
      </c>
      <c r="AJ1211" s="84">
        <v>1</v>
      </c>
      <c r="AK1211" s="84">
        <v>1</v>
      </c>
      <c r="AL1211" s="84" cm="1">
        <f t="array" ref="AL12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11" s="84" cm="1">
        <f t="array" ref="AM12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1" s="84" cm="1">
        <f t="array" ref="AN12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1" s="84" cm="1">
        <f t="array" ref="AO12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1" s="84" cm="1">
        <f t="array" ref="AP12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1" s="84" cm="1">
        <f t="array" ref="AQ12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1" s="84" cm="1">
        <f t="array" ref="AR12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1" s="84" cm="1">
        <f t="array" ref="AS12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1" s="84" cm="1">
        <f t="array" ref="AT12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1" s="84" cm="1">
        <f t="array" ref="AU12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1" s="84" cm="1">
        <f t="array" ref="AV12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1" s="84" cm="1">
        <f t="array" ref="AW12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1" s="84" cm="1">
        <f t="array" ref="AX12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1" s="84" cm="1">
        <f t="array" ref="AY12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1" s="84" cm="1">
        <f t="array" ref="AZ12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11" s="84" cm="1">
        <f t="array" ref="BA12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1" s="84" cm="1">
        <f t="array" ref="BB12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11" s="84">
        <f>IF(SUM(Table3[[#This Row],[Column2]:[Column18]])&gt;Table3[[#This Row],[Column19]],Table3[[#This Row],[Column19]],SUM(Table3[[#This Row],[Column2]:[Column18]]))</f>
        <v>10000</v>
      </c>
      <c r="BD1211" s="2">
        <f>Table3[[#This Row],[Total Spend]]/SUM(Table3[[#This Row],[Column2]:[Column18]])</f>
        <v>0.21574973031283712</v>
      </c>
    </row>
    <row r="1212" spans="1:56" ht="28.5">
      <c r="A1212" s="87" t="s">
        <v>1287</v>
      </c>
      <c r="B1212" s="87"/>
      <c r="C1212" s="87"/>
      <c r="D1212" s="85">
        <v>45566</v>
      </c>
      <c r="E1212" s="85" t="s">
        <v>58</v>
      </c>
      <c r="F1212" s="84">
        <f>INDEX(Definitions!$G$13:$G$17,MATCH(Table3[[#This Row],[Propensity to buy/ buyer readiness]],Definitions!$A$13:$A$17,0))</f>
        <v>150000</v>
      </c>
      <c r="G1212" s="86">
        <v>3</v>
      </c>
      <c r="H1212" s="86">
        <v>3</v>
      </c>
      <c r="I1212" s="86">
        <v>2</v>
      </c>
      <c r="J1212" s="86">
        <v>3</v>
      </c>
      <c r="K1212" s="86">
        <v>4</v>
      </c>
      <c r="L1212" s="86">
        <f>SUM(Table3[[#This Row],[Strategic priority segment]:[Propensity to buy/ buyer readiness]])</f>
        <v>15</v>
      </c>
      <c r="M1212" s="86" t="s">
        <v>152</v>
      </c>
      <c r="N1212" s="84" t="s">
        <v>122</v>
      </c>
      <c r="O1212" s="87" t="s">
        <v>135</v>
      </c>
      <c r="P1212" s="87"/>
      <c r="Q1212" s="87"/>
      <c r="R1212" s="84"/>
      <c r="S1212" s="87"/>
      <c r="T1212" s="87"/>
      <c r="U1212" s="84">
        <v>1</v>
      </c>
      <c r="V1212" s="84">
        <v>0</v>
      </c>
      <c r="W1212" s="84">
        <v>0</v>
      </c>
      <c r="X1212" s="84">
        <v>0</v>
      </c>
      <c r="Y1212" s="84">
        <v>0</v>
      </c>
      <c r="Z1212" s="84">
        <v>1</v>
      </c>
      <c r="AA1212" s="84">
        <v>0</v>
      </c>
      <c r="AB1212" s="84">
        <v>1</v>
      </c>
      <c r="AC1212" s="84">
        <v>0</v>
      </c>
      <c r="AD1212" s="84">
        <v>1</v>
      </c>
      <c r="AE1212" s="84">
        <v>0</v>
      </c>
      <c r="AF1212" s="84">
        <v>1</v>
      </c>
      <c r="AG1212" s="84">
        <v>0</v>
      </c>
      <c r="AH1212" s="84">
        <v>1</v>
      </c>
      <c r="AI1212" s="84">
        <v>1</v>
      </c>
      <c r="AJ1212" s="84">
        <v>1</v>
      </c>
      <c r="AK1212" s="84">
        <v>1</v>
      </c>
      <c r="AL1212" s="84" cm="1">
        <f t="array" ref="AL12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12" s="84" cm="1">
        <f t="array" ref="AM12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2" s="84" cm="1">
        <f t="array" ref="AN12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2" s="84" cm="1">
        <f t="array" ref="AO12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2" s="84" cm="1">
        <f t="array" ref="AP12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2" s="84" cm="1">
        <f t="array" ref="AQ12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12" s="84" cm="1">
        <f t="array" ref="AR12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2" s="84" cm="1">
        <f t="array" ref="AS12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12" s="84" cm="1">
        <f t="array" ref="AT12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2" s="84" cm="1">
        <f t="array" ref="AU12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12" s="84" cm="1">
        <f t="array" ref="AV12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2" s="84" cm="1">
        <f t="array" ref="AW12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12" s="84" cm="1">
        <f t="array" ref="AX12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2" s="84" cm="1">
        <f t="array" ref="AY12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212" s="84" cm="1">
        <f t="array" ref="AZ12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212" s="84" cm="1">
        <f t="array" ref="BA12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212" s="84" cm="1">
        <f t="array" ref="BB12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212" s="84">
        <f>IF(SUM(Table3[[#This Row],[Column2]:[Column18]])&gt;Table3[[#This Row],[Column19]],Table3[[#This Row],[Column19]],SUM(Table3[[#This Row],[Column2]:[Column18]]))</f>
        <v>150000</v>
      </c>
      <c r="BD1212" s="2">
        <f>Table3[[#This Row],[Total Spend]]/SUM(Table3[[#This Row],[Column2]:[Column18]])</f>
        <v>0.6472491909385113</v>
      </c>
    </row>
    <row r="1213" spans="1:56">
      <c r="A1213" s="84" t="s">
        <v>1288</v>
      </c>
      <c r="B1213" s="84" t="s">
        <v>57</v>
      </c>
      <c r="C1213" s="84"/>
      <c r="D1213" s="85">
        <v>45566</v>
      </c>
      <c r="E1213" s="85" t="s">
        <v>92</v>
      </c>
      <c r="F1213" s="84">
        <f>INDEX(Definitions!$G$13:$G$17,MATCH(Table3[[#This Row],[Propensity to buy/ buyer readiness]],Definitions!$A$13:$A$17,0))</f>
        <v>10000</v>
      </c>
      <c r="G1213" s="86">
        <v>3</v>
      </c>
      <c r="H1213" s="86">
        <v>3</v>
      </c>
      <c r="I1213" s="86">
        <v>4</v>
      </c>
      <c r="J1213" s="86">
        <v>3</v>
      </c>
      <c r="K1213" s="86">
        <v>2</v>
      </c>
      <c r="L1213" s="86">
        <f>SUM(Table3[[#This Row],[Strategic priority segment]:[Propensity to buy/ buyer readiness]])</f>
        <v>15</v>
      </c>
      <c r="M1213" s="86" t="s">
        <v>191</v>
      </c>
      <c r="N1213" s="84" t="s">
        <v>135</v>
      </c>
      <c r="O1213" s="84" t="s">
        <v>153</v>
      </c>
      <c r="P1213" s="87"/>
      <c r="Q1213" s="87"/>
      <c r="R1213" s="84"/>
      <c r="S1213" s="84"/>
      <c r="T1213" s="87"/>
      <c r="U1213" s="84">
        <v>1</v>
      </c>
      <c r="V1213" s="84">
        <v>0</v>
      </c>
      <c r="W1213" s="84">
        <v>0</v>
      </c>
      <c r="X1213" s="84">
        <v>0</v>
      </c>
      <c r="Y1213" s="84">
        <v>0</v>
      </c>
      <c r="Z1213" s="84">
        <v>0</v>
      </c>
      <c r="AA1213" s="84">
        <v>0</v>
      </c>
      <c r="AB1213" s="84">
        <v>0</v>
      </c>
      <c r="AC1213" s="84">
        <v>0</v>
      </c>
      <c r="AD1213" s="84">
        <v>0</v>
      </c>
      <c r="AE1213" s="84">
        <v>0</v>
      </c>
      <c r="AF1213" s="84">
        <v>0</v>
      </c>
      <c r="AG1213" s="84">
        <v>0</v>
      </c>
      <c r="AH1213" s="84">
        <v>1</v>
      </c>
      <c r="AI1213" s="84">
        <v>1</v>
      </c>
      <c r="AJ1213" s="84">
        <v>1</v>
      </c>
      <c r="AK1213" s="84">
        <v>1</v>
      </c>
      <c r="AL1213" s="84" cm="1">
        <f t="array" ref="AL12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13" s="84" cm="1">
        <f t="array" ref="AM12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3" s="84" cm="1">
        <f t="array" ref="AN12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3" s="84" cm="1">
        <f t="array" ref="AO12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3" s="84" cm="1">
        <f t="array" ref="AP12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3" s="84" cm="1">
        <f t="array" ref="AQ12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3" s="84" cm="1">
        <f t="array" ref="AR12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3" s="84" cm="1">
        <f t="array" ref="AS12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3" s="84" cm="1">
        <f t="array" ref="AT12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3" s="84" cm="1">
        <f t="array" ref="AU12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3" s="84" cm="1">
        <f t="array" ref="AV12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3" s="84" cm="1">
        <f t="array" ref="AW12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3" s="84" cm="1">
        <f t="array" ref="AX12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3" s="84" cm="1">
        <f t="array" ref="AY12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3" s="84" cm="1">
        <f t="array" ref="AZ12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13" s="84" cm="1">
        <f t="array" ref="BA12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3" s="84" cm="1">
        <f t="array" ref="BB12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13" s="84">
        <f>IF(SUM(Table3[[#This Row],[Column2]:[Column18]])&gt;Table3[[#This Row],[Column19]],Table3[[#This Row],[Column19]],SUM(Table3[[#This Row],[Column2]:[Column18]]))</f>
        <v>10000</v>
      </c>
      <c r="BD1213" s="2">
        <f>Table3[[#This Row],[Total Spend]]/SUM(Table3[[#This Row],[Column2]:[Column18]])</f>
        <v>0.18365472910927455</v>
      </c>
    </row>
    <row r="1214" spans="1:56">
      <c r="A1214" s="84" t="s">
        <v>1289</v>
      </c>
      <c r="B1214" s="84" t="s">
        <v>57</v>
      </c>
      <c r="C1214" s="84"/>
      <c r="D1214" s="85">
        <v>45566</v>
      </c>
      <c r="E1214" s="85" t="s">
        <v>92</v>
      </c>
      <c r="F1214" s="84">
        <f>INDEX(Definitions!$G$13:$G$17,MATCH(Table3[[#This Row],[Propensity to buy/ buyer readiness]],Definitions!$A$13:$A$17,0))</f>
        <v>10000</v>
      </c>
      <c r="G1214" s="86">
        <v>3</v>
      </c>
      <c r="H1214" s="86">
        <v>3</v>
      </c>
      <c r="I1214" s="86">
        <v>4</v>
      </c>
      <c r="J1214" s="86">
        <v>3</v>
      </c>
      <c r="K1214" s="86">
        <v>2</v>
      </c>
      <c r="L1214" s="86">
        <f>SUM(Table3[[#This Row],[Strategic priority segment]:[Propensity to buy/ buyer readiness]])</f>
        <v>15</v>
      </c>
      <c r="M1214" s="86" t="s">
        <v>191</v>
      </c>
      <c r="N1214" s="84" t="s">
        <v>135</v>
      </c>
      <c r="O1214" s="84" t="s">
        <v>153</v>
      </c>
      <c r="P1214" s="87"/>
      <c r="Q1214" s="87"/>
      <c r="R1214" s="84"/>
      <c r="S1214" s="84"/>
      <c r="T1214" s="87"/>
      <c r="U1214" s="84">
        <v>1</v>
      </c>
      <c r="V1214" s="84">
        <v>0</v>
      </c>
      <c r="W1214" s="84">
        <v>0</v>
      </c>
      <c r="X1214" s="84">
        <v>0</v>
      </c>
      <c r="Y1214" s="84">
        <v>0</v>
      </c>
      <c r="Z1214" s="84">
        <v>0</v>
      </c>
      <c r="AA1214" s="84">
        <v>0</v>
      </c>
      <c r="AB1214" s="84">
        <v>0</v>
      </c>
      <c r="AC1214" s="84">
        <v>0</v>
      </c>
      <c r="AD1214" s="84">
        <v>0</v>
      </c>
      <c r="AE1214" s="84">
        <v>0</v>
      </c>
      <c r="AF1214" s="84">
        <v>0</v>
      </c>
      <c r="AG1214" s="84">
        <v>0</v>
      </c>
      <c r="AH1214" s="84">
        <v>1</v>
      </c>
      <c r="AI1214" s="84">
        <v>1</v>
      </c>
      <c r="AJ1214" s="84">
        <v>1</v>
      </c>
      <c r="AK1214" s="84">
        <v>1</v>
      </c>
      <c r="AL1214" s="84" cm="1">
        <f t="array" ref="AL12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14" s="84" cm="1">
        <f t="array" ref="AM12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4" s="84" cm="1">
        <f t="array" ref="AN12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4" s="84" cm="1">
        <f t="array" ref="AO12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4" s="84" cm="1">
        <f t="array" ref="AP12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4" s="84" cm="1">
        <f t="array" ref="AQ12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4" s="84" cm="1">
        <f t="array" ref="AR12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4" s="84" cm="1">
        <f t="array" ref="AS12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4" s="84" cm="1">
        <f t="array" ref="AT12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4" s="84" cm="1">
        <f t="array" ref="AU12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4" s="84" cm="1">
        <f t="array" ref="AV12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4" s="84" cm="1">
        <f t="array" ref="AW12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4" s="84" cm="1">
        <f t="array" ref="AX12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4" s="84" cm="1">
        <f t="array" ref="AY12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4" s="84" cm="1">
        <f t="array" ref="AZ12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14" s="84" cm="1">
        <f t="array" ref="BA12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4" s="84" cm="1">
        <f t="array" ref="BB12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14" s="84">
        <f>IF(SUM(Table3[[#This Row],[Column2]:[Column18]])&gt;Table3[[#This Row],[Column19]],Table3[[#This Row],[Column19]],SUM(Table3[[#This Row],[Column2]:[Column18]]))</f>
        <v>10000</v>
      </c>
      <c r="BD1214" s="2">
        <f>Table3[[#This Row],[Total Spend]]/SUM(Table3[[#This Row],[Column2]:[Column18]])</f>
        <v>0.18365472910927455</v>
      </c>
    </row>
    <row r="1215" spans="1:56">
      <c r="A1215" s="84" t="s">
        <v>1290</v>
      </c>
      <c r="B1215" s="84"/>
      <c r="C1215" s="84"/>
      <c r="D1215" s="85">
        <v>45566</v>
      </c>
      <c r="E1215" s="85" t="s">
        <v>58</v>
      </c>
      <c r="F1215" s="84">
        <f>INDEX(Definitions!$G$13:$G$17,MATCH(Table3[[#This Row],[Propensity to buy/ buyer readiness]],Definitions!$A$13:$A$17,0))</f>
        <v>150000</v>
      </c>
      <c r="G1215" s="86">
        <v>3</v>
      </c>
      <c r="H1215" s="86">
        <v>3</v>
      </c>
      <c r="I1215" s="86">
        <v>2</v>
      </c>
      <c r="J1215" s="86">
        <v>3</v>
      </c>
      <c r="K1215" s="86">
        <v>4</v>
      </c>
      <c r="L1215" s="86">
        <f>SUM(Table3[[#This Row],[Strategic priority segment]:[Propensity to buy/ buyer readiness]])</f>
        <v>15</v>
      </c>
      <c r="M1215" s="86" t="s">
        <v>152</v>
      </c>
      <c r="N1215" s="84" t="s">
        <v>122</v>
      </c>
      <c r="O1215" s="87" t="s">
        <v>135</v>
      </c>
      <c r="P1215" s="87"/>
      <c r="Q1215" s="87"/>
      <c r="R1215" s="87"/>
      <c r="S1215" s="87"/>
      <c r="T1215" s="87"/>
      <c r="U1215" s="84">
        <v>1</v>
      </c>
      <c r="V1215" s="84">
        <v>0</v>
      </c>
      <c r="W1215" s="84">
        <v>0</v>
      </c>
      <c r="X1215" s="84">
        <v>0</v>
      </c>
      <c r="Y1215" s="84">
        <v>0</v>
      </c>
      <c r="Z1215" s="84">
        <v>1</v>
      </c>
      <c r="AA1215" s="84">
        <v>0</v>
      </c>
      <c r="AB1215" s="84">
        <v>1</v>
      </c>
      <c r="AC1215" s="84">
        <v>0</v>
      </c>
      <c r="AD1215" s="84">
        <v>1</v>
      </c>
      <c r="AE1215" s="84">
        <v>0</v>
      </c>
      <c r="AF1215" s="84">
        <v>1</v>
      </c>
      <c r="AG1215" s="84">
        <v>0</v>
      </c>
      <c r="AH1215" s="84">
        <v>1</v>
      </c>
      <c r="AI1215" s="84">
        <v>1</v>
      </c>
      <c r="AJ1215" s="84">
        <v>1</v>
      </c>
      <c r="AK1215" s="84">
        <v>1</v>
      </c>
      <c r="AL1215" s="84" cm="1">
        <f t="array" ref="AL12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15" s="84" cm="1">
        <f t="array" ref="AM12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5" s="84" cm="1">
        <f t="array" ref="AN12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5" s="84" cm="1">
        <f t="array" ref="AO12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5" s="84" cm="1">
        <f t="array" ref="AP12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5" s="84" cm="1">
        <f t="array" ref="AQ12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15" s="84" cm="1">
        <f t="array" ref="AR12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5" s="84" cm="1">
        <f t="array" ref="AS12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15" s="84" cm="1">
        <f t="array" ref="AT12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5" s="84" cm="1">
        <f t="array" ref="AU12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15" s="84" cm="1">
        <f t="array" ref="AV12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5" s="84" cm="1">
        <f t="array" ref="AW12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15" s="84" cm="1">
        <f t="array" ref="AX12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5" s="84" cm="1">
        <f t="array" ref="AY12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215" s="84" cm="1">
        <f t="array" ref="AZ12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215" s="84" cm="1">
        <f t="array" ref="BA12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215" s="84" cm="1">
        <f t="array" ref="BB12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215" s="84">
        <f>IF(SUM(Table3[[#This Row],[Column2]:[Column18]])&gt;Table3[[#This Row],[Column19]],Table3[[#This Row],[Column19]],SUM(Table3[[#This Row],[Column2]:[Column18]]))</f>
        <v>150000</v>
      </c>
      <c r="BD1215" s="2">
        <f>Table3[[#This Row],[Total Spend]]/SUM(Table3[[#This Row],[Column2]:[Column18]])</f>
        <v>0.6472491909385113</v>
      </c>
    </row>
    <row r="1216" spans="1:56">
      <c r="A1216" s="84" t="s">
        <v>1291</v>
      </c>
      <c r="B1216" s="84" t="s">
        <v>57</v>
      </c>
      <c r="C1216" s="84"/>
      <c r="D1216" s="85">
        <v>45566</v>
      </c>
      <c r="E1216" s="85" t="s">
        <v>92</v>
      </c>
      <c r="F1216" s="84">
        <f>INDEX(Definitions!$G$13:$G$17,MATCH(Table3[[#This Row],[Propensity to buy/ buyer readiness]],Definitions!$A$13:$A$17,0))</f>
        <v>10000</v>
      </c>
      <c r="G1216" s="86">
        <v>3</v>
      </c>
      <c r="H1216" s="86">
        <v>3</v>
      </c>
      <c r="I1216" s="86">
        <v>4</v>
      </c>
      <c r="J1216" s="86">
        <v>3</v>
      </c>
      <c r="K1216" s="86">
        <v>2</v>
      </c>
      <c r="L1216" s="86">
        <f>SUM(Table3[[#This Row],[Strategic priority segment]:[Propensity to buy/ buyer readiness]])</f>
        <v>15</v>
      </c>
      <c r="M1216" s="86" t="s">
        <v>191</v>
      </c>
      <c r="N1216" s="84" t="s">
        <v>135</v>
      </c>
      <c r="O1216" s="84" t="s">
        <v>153</v>
      </c>
      <c r="P1216" s="87"/>
      <c r="Q1216" s="87"/>
      <c r="R1216" s="84"/>
      <c r="S1216" s="84"/>
      <c r="T1216" s="87"/>
      <c r="U1216" s="84">
        <v>1</v>
      </c>
      <c r="V1216" s="84">
        <v>0</v>
      </c>
      <c r="W1216" s="84">
        <v>0</v>
      </c>
      <c r="X1216" s="84">
        <v>0</v>
      </c>
      <c r="Y1216" s="84">
        <v>0</v>
      </c>
      <c r="Z1216" s="84">
        <v>0</v>
      </c>
      <c r="AA1216" s="84">
        <v>0</v>
      </c>
      <c r="AB1216" s="84">
        <v>0</v>
      </c>
      <c r="AC1216" s="84">
        <v>0</v>
      </c>
      <c r="AD1216" s="84">
        <v>0</v>
      </c>
      <c r="AE1216" s="84">
        <v>0</v>
      </c>
      <c r="AF1216" s="84">
        <v>0</v>
      </c>
      <c r="AG1216" s="84">
        <v>0</v>
      </c>
      <c r="AH1216" s="84">
        <v>1</v>
      </c>
      <c r="AI1216" s="84">
        <v>1</v>
      </c>
      <c r="AJ1216" s="84">
        <v>1</v>
      </c>
      <c r="AK1216" s="84">
        <v>1</v>
      </c>
      <c r="AL1216" s="84" cm="1">
        <f t="array" ref="AL12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16" s="84" cm="1">
        <f t="array" ref="AM12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6" s="84" cm="1">
        <f t="array" ref="AN12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6" s="84" cm="1">
        <f t="array" ref="AO12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6" s="84" cm="1">
        <f t="array" ref="AP12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6" s="84" cm="1">
        <f t="array" ref="AQ12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6" s="84" cm="1">
        <f t="array" ref="AR12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6" s="84" cm="1">
        <f t="array" ref="AS12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6" s="84" cm="1">
        <f t="array" ref="AT12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6" s="84" cm="1">
        <f t="array" ref="AU12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6" s="84" cm="1">
        <f t="array" ref="AV12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6" s="84" cm="1">
        <f t="array" ref="AW12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6" s="84" cm="1">
        <f t="array" ref="AX12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6" s="84" cm="1">
        <f t="array" ref="AY12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6" s="84" cm="1">
        <f t="array" ref="AZ12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16" s="84" cm="1">
        <f t="array" ref="BA12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6" s="84" cm="1">
        <f t="array" ref="BB12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16" s="84">
        <f>IF(SUM(Table3[[#This Row],[Column2]:[Column18]])&gt;Table3[[#This Row],[Column19]],Table3[[#This Row],[Column19]],SUM(Table3[[#This Row],[Column2]:[Column18]]))</f>
        <v>10000</v>
      </c>
      <c r="BD1216" s="2">
        <f>Table3[[#This Row],[Total Spend]]/SUM(Table3[[#This Row],[Column2]:[Column18]])</f>
        <v>0.18365472910927455</v>
      </c>
    </row>
    <row r="1217" spans="1:56">
      <c r="A1217" s="84" t="s">
        <v>1292</v>
      </c>
      <c r="B1217" s="84"/>
      <c r="C1217" s="84"/>
      <c r="D1217" s="85">
        <v>45566</v>
      </c>
      <c r="E1217" s="85" t="s">
        <v>92</v>
      </c>
      <c r="F1217" s="84">
        <f>INDEX(Definitions!$G$13:$G$17,MATCH(Table3[[#This Row],[Propensity to buy/ buyer readiness]],Definitions!$A$13:$A$17,0))</f>
        <v>50000</v>
      </c>
      <c r="G1217" s="86">
        <v>3</v>
      </c>
      <c r="H1217" s="86">
        <v>3</v>
      </c>
      <c r="I1217" s="86">
        <v>3</v>
      </c>
      <c r="J1217" s="86">
        <v>3</v>
      </c>
      <c r="K1217" s="86">
        <v>3</v>
      </c>
      <c r="L1217" s="86">
        <f>SUM(Table3[[#This Row],[Strategic priority segment]:[Propensity to buy/ buyer readiness]])</f>
        <v>15</v>
      </c>
      <c r="M1217" s="86" t="s">
        <v>191</v>
      </c>
      <c r="N1217" s="84" t="s">
        <v>76</v>
      </c>
      <c r="O1217" s="84"/>
      <c r="P1217" s="84"/>
      <c r="Q1217" s="84"/>
      <c r="R1217" s="84"/>
      <c r="S1217" s="87"/>
      <c r="T1217" s="87"/>
      <c r="U1217" s="84">
        <v>0</v>
      </c>
      <c r="V1217" s="84">
        <v>0</v>
      </c>
      <c r="W1217" s="84">
        <v>0</v>
      </c>
      <c r="X1217" s="84">
        <v>0</v>
      </c>
      <c r="Y1217" s="84">
        <v>0</v>
      </c>
      <c r="Z1217" s="84">
        <v>0</v>
      </c>
      <c r="AA1217" s="84">
        <v>0</v>
      </c>
      <c r="AB1217" s="84">
        <v>0</v>
      </c>
      <c r="AC1217" s="84">
        <v>0</v>
      </c>
      <c r="AD1217" s="84">
        <v>0</v>
      </c>
      <c r="AE1217" s="84">
        <v>0</v>
      </c>
      <c r="AF1217" s="84">
        <v>0</v>
      </c>
      <c r="AG1217" s="84">
        <v>0</v>
      </c>
      <c r="AH1217" s="84">
        <v>1</v>
      </c>
      <c r="AI1217" s="84">
        <v>0</v>
      </c>
      <c r="AJ1217" s="84">
        <v>1</v>
      </c>
      <c r="AK1217" s="84">
        <v>0</v>
      </c>
      <c r="AL1217" s="84" cm="1">
        <f t="array" ref="AL12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17" s="84" cm="1">
        <f t="array" ref="AM12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7" s="84" cm="1">
        <f t="array" ref="AN12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7" s="84" cm="1">
        <f t="array" ref="AO12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7" s="84" cm="1">
        <f t="array" ref="AP12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7" s="84" cm="1">
        <f t="array" ref="AQ12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7" s="84" cm="1">
        <f t="array" ref="AR12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7" s="84" cm="1">
        <f t="array" ref="AS12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7" s="84" cm="1">
        <f t="array" ref="AT12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7" s="84" cm="1">
        <f t="array" ref="AU12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7" s="84" cm="1">
        <f t="array" ref="AV12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7" s="84" cm="1">
        <f t="array" ref="AW12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7" s="84" cm="1">
        <f t="array" ref="AX12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7" s="84" cm="1">
        <f t="array" ref="AY12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7" s="84" cm="1">
        <f t="array" ref="AZ12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17" s="84" cm="1">
        <f t="array" ref="BA12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7" s="84" cm="1">
        <f t="array" ref="BB12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17" s="84">
        <f>IF(SUM(Table3[[#This Row],[Column2]:[Column18]])&gt;Table3[[#This Row],[Column19]],Table3[[#This Row],[Column19]],SUM(Table3[[#This Row],[Column2]:[Column18]]))</f>
        <v>30600</v>
      </c>
      <c r="BD1217" s="2">
        <f>Table3[[#This Row],[Total Spend]]/SUM(Table3[[#This Row],[Column2]:[Column18]])</f>
        <v>1</v>
      </c>
    </row>
    <row r="1218" spans="1:56">
      <c r="A1218" s="84" t="s">
        <v>1293</v>
      </c>
      <c r="B1218" s="84"/>
      <c r="C1218" s="84"/>
      <c r="D1218" s="85">
        <v>45566</v>
      </c>
      <c r="E1218" s="85" t="s">
        <v>92</v>
      </c>
      <c r="F1218" s="84">
        <f>INDEX(Definitions!$G$13:$G$17,MATCH(Table3[[#This Row],[Propensity to buy/ buyer readiness]],Definitions!$A$13:$A$17,0))</f>
        <v>50000</v>
      </c>
      <c r="G1218" s="86">
        <v>3</v>
      </c>
      <c r="H1218" s="86">
        <v>3</v>
      </c>
      <c r="I1218" s="86">
        <v>3</v>
      </c>
      <c r="J1218" s="86">
        <v>3</v>
      </c>
      <c r="K1218" s="86">
        <v>3</v>
      </c>
      <c r="L1218" s="86">
        <f>SUM(Table3[[#This Row],[Strategic priority segment]:[Propensity to buy/ buyer readiness]])</f>
        <v>15</v>
      </c>
      <c r="M1218" s="86" t="s">
        <v>191</v>
      </c>
      <c r="N1218" s="84" t="s">
        <v>76</v>
      </c>
      <c r="O1218" s="84"/>
      <c r="P1218" s="84"/>
      <c r="Q1218" s="84"/>
      <c r="R1218" s="84"/>
      <c r="S1218" s="87"/>
      <c r="T1218" s="87"/>
      <c r="U1218" s="84">
        <v>0</v>
      </c>
      <c r="V1218" s="84">
        <v>0</v>
      </c>
      <c r="W1218" s="84">
        <v>0</v>
      </c>
      <c r="X1218" s="84">
        <v>0</v>
      </c>
      <c r="Y1218" s="84">
        <v>0</v>
      </c>
      <c r="Z1218" s="84">
        <v>0</v>
      </c>
      <c r="AA1218" s="84">
        <v>0</v>
      </c>
      <c r="AB1218" s="84">
        <v>0</v>
      </c>
      <c r="AC1218" s="84">
        <v>0</v>
      </c>
      <c r="AD1218" s="84">
        <v>0</v>
      </c>
      <c r="AE1218" s="84">
        <v>0</v>
      </c>
      <c r="AF1218" s="84">
        <v>0</v>
      </c>
      <c r="AG1218" s="84">
        <v>0</v>
      </c>
      <c r="AH1218" s="84">
        <v>1</v>
      </c>
      <c r="AI1218" s="84">
        <v>0</v>
      </c>
      <c r="AJ1218" s="84">
        <v>1</v>
      </c>
      <c r="AK1218" s="84">
        <v>0</v>
      </c>
      <c r="AL1218" s="84" cm="1">
        <f t="array" ref="AL12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18" s="84" cm="1">
        <f t="array" ref="AM12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8" s="84" cm="1">
        <f t="array" ref="AN12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8" s="84" cm="1">
        <f t="array" ref="AO12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8" s="84" cm="1">
        <f t="array" ref="AP12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8" s="84" cm="1">
        <f t="array" ref="AQ12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8" s="84" cm="1">
        <f t="array" ref="AR12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8" s="84" cm="1">
        <f t="array" ref="AS12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8" s="84" cm="1">
        <f t="array" ref="AT12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8" s="84" cm="1">
        <f t="array" ref="AU12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8" s="84" cm="1">
        <f t="array" ref="AV12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8" s="84" cm="1">
        <f t="array" ref="AW12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8" s="84" cm="1">
        <f t="array" ref="AX12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8" s="84" cm="1">
        <f t="array" ref="AY12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8" s="84" cm="1">
        <f t="array" ref="AZ12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18" s="84" cm="1">
        <f t="array" ref="BA12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8" s="84" cm="1">
        <f t="array" ref="BB12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18" s="84">
        <f>IF(SUM(Table3[[#This Row],[Column2]:[Column18]])&gt;Table3[[#This Row],[Column19]],Table3[[#This Row],[Column19]],SUM(Table3[[#This Row],[Column2]:[Column18]]))</f>
        <v>30600</v>
      </c>
      <c r="BD1218" s="2">
        <f>Table3[[#This Row],[Total Spend]]/SUM(Table3[[#This Row],[Column2]:[Column18]])</f>
        <v>1</v>
      </c>
    </row>
    <row r="1219" spans="1:56">
      <c r="A1219" s="84" t="s">
        <v>1294</v>
      </c>
      <c r="B1219" s="84"/>
      <c r="C1219" s="84" t="s">
        <v>57</v>
      </c>
      <c r="D1219" s="85">
        <v>45566</v>
      </c>
      <c r="E1219" s="85" t="s">
        <v>92</v>
      </c>
      <c r="F1219" s="84">
        <f>INDEX(Definitions!$G$13:$G$17,MATCH(Table3[[#This Row],[Propensity to buy/ buyer readiness]],Definitions!$A$13:$A$17,0))</f>
        <v>50000</v>
      </c>
      <c r="G1219" s="86">
        <v>3</v>
      </c>
      <c r="H1219" s="86">
        <v>3</v>
      </c>
      <c r="I1219" s="86">
        <v>3</v>
      </c>
      <c r="J1219" s="86">
        <v>3</v>
      </c>
      <c r="K1219" s="86">
        <v>3</v>
      </c>
      <c r="L1219" s="86">
        <f>SUM(Table3[[#This Row],[Strategic priority segment]:[Propensity to buy/ buyer readiness]])</f>
        <v>15</v>
      </c>
      <c r="M1219" s="86" t="s">
        <v>191</v>
      </c>
      <c r="N1219" s="84" t="s">
        <v>76</v>
      </c>
      <c r="O1219" s="84"/>
      <c r="P1219" s="87"/>
      <c r="Q1219" s="87"/>
      <c r="R1219" s="84"/>
      <c r="S1219" s="87"/>
      <c r="T1219" s="87"/>
      <c r="U1219" s="84">
        <v>0</v>
      </c>
      <c r="V1219" s="84">
        <v>0</v>
      </c>
      <c r="W1219" s="84">
        <v>0</v>
      </c>
      <c r="X1219" s="84">
        <v>0</v>
      </c>
      <c r="Y1219" s="84">
        <v>0</v>
      </c>
      <c r="Z1219" s="84">
        <v>0</v>
      </c>
      <c r="AA1219" s="84">
        <v>0</v>
      </c>
      <c r="AB1219" s="84">
        <v>0</v>
      </c>
      <c r="AC1219" s="84">
        <v>0</v>
      </c>
      <c r="AD1219" s="84">
        <v>0</v>
      </c>
      <c r="AE1219" s="84">
        <v>0</v>
      </c>
      <c r="AF1219" s="84">
        <v>0</v>
      </c>
      <c r="AG1219" s="84">
        <v>0</v>
      </c>
      <c r="AH1219" s="84">
        <v>1</v>
      </c>
      <c r="AI1219" s="84">
        <v>0</v>
      </c>
      <c r="AJ1219" s="84">
        <v>1</v>
      </c>
      <c r="AK1219" s="84">
        <v>0</v>
      </c>
      <c r="AL1219" s="84" cm="1">
        <f t="array" ref="AL12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19" s="84" cm="1">
        <f t="array" ref="AM12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19" s="84" cm="1">
        <f t="array" ref="AN12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19" s="84" cm="1">
        <f t="array" ref="AO12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19" s="84" cm="1">
        <f t="array" ref="AP12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19" s="84" cm="1">
        <f t="array" ref="AQ12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19" s="84" cm="1">
        <f t="array" ref="AR12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19" s="84" cm="1">
        <f t="array" ref="AS12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19" s="84" cm="1">
        <f t="array" ref="AT12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19" s="84" cm="1">
        <f t="array" ref="AU12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19" s="84" cm="1">
        <f t="array" ref="AV12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19" s="84" cm="1">
        <f t="array" ref="AW12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19" s="84" cm="1">
        <f t="array" ref="AX12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19" s="84" cm="1">
        <f t="array" ref="AY12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19" s="84" cm="1">
        <f t="array" ref="AZ12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19" s="84" cm="1">
        <f t="array" ref="BA12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19" s="84" cm="1">
        <f t="array" ref="BB12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19" s="84">
        <f>IF(SUM(Table3[[#This Row],[Column2]:[Column18]])&gt;Table3[[#This Row],[Column19]],Table3[[#This Row],[Column19]],SUM(Table3[[#This Row],[Column2]:[Column18]]))</f>
        <v>30600</v>
      </c>
      <c r="BD1219" s="2">
        <f>Table3[[#This Row],[Total Spend]]/SUM(Table3[[#This Row],[Column2]:[Column18]])</f>
        <v>1</v>
      </c>
    </row>
    <row r="1220" spans="1:56">
      <c r="A1220" s="84" t="s">
        <v>1295</v>
      </c>
      <c r="B1220" s="84" t="s">
        <v>57</v>
      </c>
      <c r="C1220" s="84"/>
      <c r="D1220" s="85">
        <v>45566</v>
      </c>
      <c r="E1220" s="85" t="s">
        <v>92</v>
      </c>
      <c r="F1220" s="84">
        <f>INDEX(Definitions!$G$13:$G$17,MATCH(Table3[[#This Row],[Propensity to buy/ buyer readiness]],Definitions!$A$13:$A$17,0))</f>
        <v>10000</v>
      </c>
      <c r="G1220" s="86">
        <v>3</v>
      </c>
      <c r="H1220" s="86">
        <v>3</v>
      </c>
      <c r="I1220" s="86">
        <v>4</v>
      </c>
      <c r="J1220" s="86">
        <v>3</v>
      </c>
      <c r="K1220" s="86">
        <v>2</v>
      </c>
      <c r="L1220" s="86">
        <f>SUM(Table3[[#This Row],[Strategic priority segment]:[Propensity to buy/ buyer readiness]])</f>
        <v>15</v>
      </c>
      <c r="M1220" s="86" t="s">
        <v>191</v>
      </c>
      <c r="N1220" s="84" t="s">
        <v>135</v>
      </c>
      <c r="O1220" s="84" t="s">
        <v>153</v>
      </c>
      <c r="P1220" s="87"/>
      <c r="Q1220" s="87"/>
      <c r="R1220" s="84"/>
      <c r="S1220" s="84"/>
      <c r="T1220" s="87"/>
      <c r="U1220" s="84">
        <v>1</v>
      </c>
      <c r="V1220" s="84">
        <v>0</v>
      </c>
      <c r="W1220" s="84">
        <v>0</v>
      </c>
      <c r="X1220" s="84">
        <v>0</v>
      </c>
      <c r="Y1220" s="84">
        <v>0</v>
      </c>
      <c r="Z1220" s="84">
        <v>0</v>
      </c>
      <c r="AA1220" s="84">
        <v>0</v>
      </c>
      <c r="AB1220" s="84">
        <v>0</v>
      </c>
      <c r="AC1220" s="84">
        <v>0</v>
      </c>
      <c r="AD1220" s="84">
        <v>0</v>
      </c>
      <c r="AE1220" s="84">
        <v>0</v>
      </c>
      <c r="AF1220" s="84">
        <v>0</v>
      </c>
      <c r="AG1220" s="84">
        <v>0</v>
      </c>
      <c r="AH1220" s="84">
        <v>1</v>
      </c>
      <c r="AI1220" s="84">
        <v>1</v>
      </c>
      <c r="AJ1220" s="84">
        <v>1</v>
      </c>
      <c r="AK1220" s="84">
        <v>1</v>
      </c>
      <c r="AL1220" s="84" cm="1">
        <f t="array" ref="AL12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0" s="84" cm="1">
        <f t="array" ref="AM12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0" s="84" cm="1">
        <f t="array" ref="AN12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0" s="84" cm="1">
        <f t="array" ref="AO12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0" s="84" cm="1">
        <f t="array" ref="AP12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0" s="84" cm="1">
        <f t="array" ref="AQ12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0" s="84" cm="1">
        <f t="array" ref="AR12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0" s="84" cm="1">
        <f t="array" ref="AS12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0" s="84" cm="1">
        <f t="array" ref="AT12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0" s="84" cm="1">
        <f t="array" ref="AU12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0" s="84" cm="1">
        <f t="array" ref="AV12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0" s="84" cm="1">
        <f t="array" ref="AW12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0" s="84" cm="1">
        <f t="array" ref="AX12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0" s="84" cm="1">
        <f t="array" ref="AY12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0" s="84" cm="1">
        <f t="array" ref="AZ12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0" s="84" cm="1">
        <f t="array" ref="BA12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0" s="84" cm="1">
        <f t="array" ref="BB12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20" s="84">
        <f>IF(SUM(Table3[[#This Row],[Column2]:[Column18]])&gt;Table3[[#This Row],[Column19]],Table3[[#This Row],[Column19]],SUM(Table3[[#This Row],[Column2]:[Column18]]))</f>
        <v>10000</v>
      </c>
      <c r="BD1220" s="2">
        <f>Table3[[#This Row],[Total Spend]]/SUM(Table3[[#This Row],[Column2]:[Column18]])</f>
        <v>0.18365472910927455</v>
      </c>
    </row>
    <row r="1221" spans="1:56">
      <c r="A1221" s="87" t="s">
        <v>1296</v>
      </c>
      <c r="B1221" s="87"/>
      <c r="C1221" s="87"/>
      <c r="D1221" s="85">
        <v>45566</v>
      </c>
      <c r="E1221" s="85" t="s">
        <v>58</v>
      </c>
      <c r="F1221" s="84">
        <f>INDEX(Definitions!$G$13:$G$17,MATCH(Table3[[#This Row],[Propensity to buy/ buyer readiness]],Definitions!$A$13:$A$17,0))</f>
        <v>150000</v>
      </c>
      <c r="G1221" s="86">
        <v>3</v>
      </c>
      <c r="H1221" s="86">
        <v>3</v>
      </c>
      <c r="I1221" s="86">
        <v>2</v>
      </c>
      <c r="J1221" s="86">
        <v>3</v>
      </c>
      <c r="K1221" s="86">
        <v>4</v>
      </c>
      <c r="L1221" s="86">
        <f>SUM(Table3[[#This Row],[Strategic priority segment]:[Propensity to buy/ buyer readiness]])</f>
        <v>15</v>
      </c>
      <c r="M1221" s="86" t="s">
        <v>152</v>
      </c>
      <c r="N1221" s="84" t="s">
        <v>122</v>
      </c>
      <c r="O1221" s="87" t="s">
        <v>135</v>
      </c>
      <c r="P1221" s="87"/>
      <c r="Q1221" s="87"/>
      <c r="R1221" s="84"/>
      <c r="S1221" s="87"/>
      <c r="T1221" s="87"/>
      <c r="U1221" s="84">
        <v>1</v>
      </c>
      <c r="V1221" s="84">
        <v>0</v>
      </c>
      <c r="W1221" s="84">
        <v>0</v>
      </c>
      <c r="X1221" s="84">
        <v>0</v>
      </c>
      <c r="Y1221" s="84">
        <v>0</v>
      </c>
      <c r="Z1221" s="84">
        <v>1</v>
      </c>
      <c r="AA1221" s="84">
        <v>0</v>
      </c>
      <c r="AB1221" s="84">
        <v>1</v>
      </c>
      <c r="AC1221" s="84">
        <v>0</v>
      </c>
      <c r="AD1221" s="84">
        <v>1</v>
      </c>
      <c r="AE1221" s="84">
        <v>0</v>
      </c>
      <c r="AF1221" s="84">
        <v>1</v>
      </c>
      <c r="AG1221" s="84">
        <v>0</v>
      </c>
      <c r="AH1221" s="84">
        <v>1</v>
      </c>
      <c r="AI1221" s="84">
        <v>1</v>
      </c>
      <c r="AJ1221" s="84">
        <v>1</v>
      </c>
      <c r="AK1221" s="84">
        <v>1</v>
      </c>
      <c r="AL1221" s="84" cm="1">
        <f t="array" ref="AL12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21" s="84" cm="1">
        <f t="array" ref="AM12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1" s="84" cm="1">
        <f t="array" ref="AN12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1" s="84" cm="1">
        <f t="array" ref="AO12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1" s="84" cm="1">
        <f t="array" ref="AP12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1" s="84" cm="1">
        <f t="array" ref="AQ12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21" s="84" cm="1">
        <f t="array" ref="AR12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1" s="84" cm="1">
        <f t="array" ref="AS12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21" s="84" cm="1">
        <f t="array" ref="AT12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1" s="84" cm="1">
        <f t="array" ref="AU12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21" s="84" cm="1">
        <f t="array" ref="AV12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1" s="84" cm="1">
        <f t="array" ref="AW12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21" s="84" cm="1">
        <f t="array" ref="AX12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1" s="84" cm="1">
        <f t="array" ref="AY12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221" s="84" cm="1">
        <f t="array" ref="AZ12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221" s="84" cm="1">
        <f t="array" ref="BA12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221" s="84" cm="1">
        <f t="array" ref="BB12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221" s="84">
        <f>IF(SUM(Table3[[#This Row],[Column2]:[Column18]])&gt;Table3[[#This Row],[Column19]],Table3[[#This Row],[Column19]],SUM(Table3[[#This Row],[Column2]:[Column18]]))</f>
        <v>150000</v>
      </c>
      <c r="BD1221" s="2">
        <f>Table3[[#This Row],[Total Spend]]/SUM(Table3[[#This Row],[Column2]:[Column18]])</f>
        <v>0.6472491909385113</v>
      </c>
    </row>
    <row r="1222" spans="1:56">
      <c r="A1222" s="84" t="s">
        <v>1297</v>
      </c>
      <c r="B1222" s="84"/>
      <c r="C1222" s="84"/>
      <c r="D1222" s="85">
        <v>45566</v>
      </c>
      <c r="E1222" s="85" t="s">
        <v>92</v>
      </c>
      <c r="F1222" s="84">
        <f>INDEX(Definitions!$G$13:$G$17,MATCH(Table3[[#This Row],[Propensity to buy/ buyer readiness]],Definitions!$A$13:$A$17,0))</f>
        <v>10000</v>
      </c>
      <c r="G1222" s="86">
        <v>3</v>
      </c>
      <c r="H1222" s="86">
        <v>3</v>
      </c>
      <c r="I1222" s="86">
        <v>3</v>
      </c>
      <c r="J1222" s="86">
        <v>4</v>
      </c>
      <c r="K1222" s="86">
        <v>2</v>
      </c>
      <c r="L1222" s="86">
        <f>SUM(Table3[[#This Row],[Strategic priority segment]:[Propensity to buy/ buyer readiness]])</f>
        <v>15</v>
      </c>
      <c r="M1222" s="86" t="s">
        <v>59</v>
      </c>
      <c r="N1222" s="84" t="s">
        <v>265</v>
      </c>
      <c r="O1222" s="84"/>
      <c r="P1222" s="87"/>
      <c r="Q1222" s="87"/>
      <c r="R1222" s="84"/>
      <c r="S1222" s="87"/>
      <c r="T1222" s="87"/>
      <c r="U1222" s="84">
        <v>1</v>
      </c>
      <c r="V1222" s="84">
        <v>1</v>
      </c>
      <c r="W1222" s="84">
        <v>1</v>
      </c>
      <c r="X1222" s="84">
        <v>1</v>
      </c>
      <c r="Y1222" s="84">
        <v>0</v>
      </c>
      <c r="Z1222" s="84">
        <v>0</v>
      </c>
      <c r="AA1222" s="84">
        <v>0</v>
      </c>
      <c r="AB1222" s="84">
        <v>0</v>
      </c>
      <c r="AC1222" s="84">
        <v>0</v>
      </c>
      <c r="AD1222" s="84">
        <v>0</v>
      </c>
      <c r="AE1222" s="84">
        <v>0</v>
      </c>
      <c r="AF1222" s="84">
        <v>0</v>
      </c>
      <c r="AG1222" s="84">
        <v>0</v>
      </c>
      <c r="AH1222" s="84">
        <v>0</v>
      </c>
      <c r="AI1222" s="84">
        <v>1</v>
      </c>
      <c r="AJ1222" s="84">
        <v>0</v>
      </c>
      <c r="AK1222" s="84">
        <v>0</v>
      </c>
      <c r="AL1222" s="84" cm="1">
        <f t="array" ref="AL12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2" s="84" cm="1">
        <f t="array" ref="AM12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22" s="84" cm="1">
        <f t="array" ref="AN12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22" s="84" cm="1">
        <f t="array" ref="AO12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22" s="84" cm="1">
        <f t="array" ref="AP12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2" s="84" cm="1">
        <f t="array" ref="AQ12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2" s="84" cm="1">
        <f t="array" ref="AR12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2" s="84" cm="1">
        <f t="array" ref="AS12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2" s="84" cm="1">
        <f t="array" ref="AT12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2" s="84" cm="1">
        <f t="array" ref="AU12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2" s="84" cm="1">
        <f t="array" ref="AV12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2" s="84" cm="1">
        <f t="array" ref="AW12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2" s="84" cm="1">
        <f t="array" ref="AX12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2" s="84" cm="1">
        <f t="array" ref="AY12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22" s="84" cm="1">
        <f t="array" ref="AZ12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2" s="84" cm="1">
        <f t="array" ref="BA12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22" s="84" cm="1">
        <f t="array" ref="BB12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22" s="84">
        <f>IF(SUM(Table3[[#This Row],[Column2]:[Column18]])&gt;Table3[[#This Row],[Column19]],Table3[[#This Row],[Column19]],SUM(Table3[[#This Row],[Column2]:[Column18]]))</f>
        <v>10000</v>
      </c>
      <c r="BD1222" s="2">
        <f>Table3[[#This Row],[Total Spend]]/SUM(Table3[[#This Row],[Column2]:[Column18]])</f>
        <v>7.2859744990892539E-2</v>
      </c>
    </row>
    <row r="1223" spans="1:56">
      <c r="A1223" s="84" t="s">
        <v>1298</v>
      </c>
      <c r="B1223" s="84" t="s">
        <v>57</v>
      </c>
      <c r="C1223" s="84"/>
      <c r="D1223" s="85">
        <v>45566</v>
      </c>
      <c r="E1223" s="85" t="s">
        <v>92</v>
      </c>
      <c r="F1223" s="84">
        <f>INDEX(Definitions!$G$13:$G$17,MATCH(Table3[[#This Row],[Propensity to buy/ buyer readiness]],Definitions!$A$13:$A$17,0))</f>
        <v>10000</v>
      </c>
      <c r="G1223" s="86">
        <v>3</v>
      </c>
      <c r="H1223" s="86">
        <v>3</v>
      </c>
      <c r="I1223" s="86">
        <v>4</v>
      </c>
      <c r="J1223" s="86">
        <v>3</v>
      </c>
      <c r="K1223" s="86">
        <v>2</v>
      </c>
      <c r="L1223" s="86">
        <f>SUM(Table3[[#This Row],[Strategic priority segment]:[Propensity to buy/ buyer readiness]])</f>
        <v>15</v>
      </c>
      <c r="M1223" s="86" t="s">
        <v>191</v>
      </c>
      <c r="N1223" s="84" t="s">
        <v>135</v>
      </c>
      <c r="O1223" s="84" t="s">
        <v>153</v>
      </c>
      <c r="P1223" s="87"/>
      <c r="Q1223" s="87"/>
      <c r="R1223" s="84"/>
      <c r="S1223" s="84"/>
      <c r="T1223" s="84"/>
      <c r="U1223" s="84">
        <v>1</v>
      </c>
      <c r="V1223" s="84">
        <v>0</v>
      </c>
      <c r="W1223" s="84">
        <v>0</v>
      </c>
      <c r="X1223" s="84">
        <v>0</v>
      </c>
      <c r="Y1223" s="84">
        <v>0</v>
      </c>
      <c r="Z1223" s="84">
        <v>0</v>
      </c>
      <c r="AA1223" s="84">
        <v>0</v>
      </c>
      <c r="AB1223" s="84">
        <v>0</v>
      </c>
      <c r="AC1223" s="84">
        <v>0</v>
      </c>
      <c r="AD1223" s="84">
        <v>0</v>
      </c>
      <c r="AE1223" s="84">
        <v>0</v>
      </c>
      <c r="AF1223" s="84">
        <v>0</v>
      </c>
      <c r="AG1223" s="84">
        <v>0</v>
      </c>
      <c r="AH1223" s="84">
        <v>1</v>
      </c>
      <c r="AI1223" s="84">
        <v>1</v>
      </c>
      <c r="AJ1223" s="84">
        <v>1</v>
      </c>
      <c r="AK1223" s="84">
        <v>1</v>
      </c>
      <c r="AL1223" s="84" cm="1">
        <f t="array" ref="AL12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3" s="84" cm="1">
        <f t="array" ref="AM12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3" s="84" cm="1">
        <f t="array" ref="AN12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3" s="84" cm="1">
        <f t="array" ref="AO12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3" s="84" cm="1">
        <f t="array" ref="AP12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3" s="84" cm="1">
        <f t="array" ref="AQ12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3" s="84" cm="1">
        <f t="array" ref="AR12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3" s="84" cm="1">
        <f t="array" ref="AS12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3" s="84" cm="1">
        <f t="array" ref="AT12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3" s="84" cm="1">
        <f t="array" ref="AU12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3" s="84" cm="1">
        <f t="array" ref="AV12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3" s="84" cm="1">
        <f t="array" ref="AW12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3" s="84" cm="1">
        <f t="array" ref="AX12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3" s="84" cm="1">
        <f t="array" ref="AY12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3" s="84" cm="1">
        <f t="array" ref="AZ12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3" s="84" cm="1">
        <f t="array" ref="BA12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3" s="84" cm="1">
        <f t="array" ref="BB12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23" s="84">
        <f>IF(SUM(Table3[[#This Row],[Column2]:[Column18]])&gt;Table3[[#This Row],[Column19]],Table3[[#This Row],[Column19]],SUM(Table3[[#This Row],[Column2]:[Column18]]))</f>
        <v>10000</v>
      </c>
      <c r="BD1223" s="2">
        <f>Table3[[#This Row],[Total Spend]]/SUM(Table3[[#This Row],[Column2]:[Column18]])</f>
        <v>0.18365472910927455</v>
      </c>
    </row>
    <row r="1224" spans="1:56">
      <c r="A1224" s="84" t="s">
        <v>1299</v>
      </c>
      <c r="B1224" s="84" t="s">
        <v>57</v>
      </c>
      <c r="C1224" s="84"/>
      <c r="D1224" s="85">
        <v>45566</v>
      </c>
      <c r="E1224" s="85" t="s">
        <v>92</v>
      </c>
      <c r="F1224" s="84">
        <f>INDEX(Definitions!$G$13:$G$17,MATCH(Table3[[#This Row],[Propensity to buy/ buyer readiness]],Definitions!$A$13:$A$17,0))</f>
        <v>10000</v>
      </c>
      <c r="G1224" s="86">
        <v>3</v>
      </c>
      <c r="H1224" s="86">
        <v>3</v>
      </c>
      <c r="I1224" s="86">
        <v>4</v>
      </c>
      <c r="J1224" s="86">
        <v>3</v>
      </c>
      <c r="K1224" s="86">
        <v>2</v>
      </c>
      <c r="L1224" s="86">
        <f>SUM(Table3[[#This Row],[Strategic priority segment]:[Propensity to buy/ buyer readiness]])</f>
        <v>15</v>
      </c>
      <c r="M1224" s="86" t="s">
        <v>191</v>
      </c>
      <c r="N1224" s="84" t="s">
        <v>135</v>
      </c>
      <c r="O1224" s="84" t="s">
        <v>153</v>
      </c>
      <c r="P1224" s="87"/>
      <c r="Q1224" s="87"/>
      <c r="R1224" s="84"/>
      <c r="S1224" s="84"/>
      <c r="T1224" s="87"/>
      <c r="U1224" s="84">
        <v>1</v>
      </c>
      <c r="V1224" s="84">
        <v>0</v>
      </c>
      <c r="W1224" s="84">
        <v>0</v>
      </c>
      <c r="X1224" s="84">
        <v>0</v>
      </c>
      <c r="Y1224" s="84">
        <v>0</v>
      </c>
      <c r="Z1224" s="84">
        <v>0</v>
      </c>
      <c r="AA1224" s="84">
        <v>0</v>
      </c>
      <c r="AB1224" s="84">
        <v>0</v>
      </c>
      <c r="AC1224" s="84">
        <v>0</v>
      </c>
      <c r="AD1224" s="84">
        <v>0</v>
      </c>
      <c r="AE1224" s="84">
        <v>0</v>
      </c>
      <c r="AF1224" s="84">
        <v>0</v>
      </c>
      <c r="AG1224" s="84">
        <v>0</v>
      </c>
      <c r="AH1224" s="84">
        <v>1</v>
      </c>
      <c r="AI1224" s="84">
        <v>1</v>
      </c>
      <c r="AJ1224" s="84">
        <v>1</v>
      </c>
      <c r="AK1224" s="84">
        <v>1</v>
      </c>
      <c r="AL1224" s="84" cm="1">
        <f t="array" ref="AL12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4" s="84" cm="1">
        <f t="array" ref="AM12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4" s="84" cm="1">
        <f t="array" ref="AN12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4" s="84" cm="1">
        <f t="array" ref="AO12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4" s="84" cm="1">
        <f t="array" ref="AP12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4" s="84" cm="1">
        <f t="array" ref="AQ12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4" s="84" cm="1">
        <f t="array" ref="AR12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4" s="84" cm="1">
        <f t="array" ref="AS12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4" s="84" cm="1">
        <f t="array" ref="AT12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4" s="84" cm="1">
        <f t="array" ref="AU12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4" s="84" cm="1">
        <f t="array" ref="AV12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4" s="84" cm="1">
        <f t="array" ref="AW12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4" s="84" cm="1">
        <f t="array" ref="AX12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4" s="84" cm="1">
        <f t="array" ref="AY12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4" s="84" cm="1">
        <f t="array" ref="AZ12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4" s="84" cm="1">
        <f t="array" ref="BA12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4" s="84" cm="1">
        <f t="array" ref="BB12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24" s="84">
        <f>IF(SUM(Table3[[#This Row],[Column2]:[Column18]])&gt;Table3[[#This Row],[Column19]],Table3[[#This Row],[Column19]],SUM(Table3[[#This Row],[Column2]:[Column18]]))</f>
        <v>10000</v>
      </c>
      <c r="BD1224" s="2">
        <f>Table3[[#This Row],[Total Spend]]/SUM(Table3[[#This Row],[Column2]:[Column18]])</f>
        <v>0.18365472910927455</v>
      </c>
    </row>
    <row r="1225" spans="1:56">
      <c r="A1225" s="84" t="s">
        <v>1300</v>
      </c>
      <c r="B1225" s="84" t="s">
        <v>57</v>
      </c>
      <c r="C1225" s="84"/>
      <c r="D1225" s="85">
        <v>45566</v>
      </c>
      <c r="E1225" s="85" t="s">
        <v>92</v>
      </c>
      <c r="F1225" s="84">
        <f>INDEX(Definitions!$G$13:$G$17,MATCH(Table3[[#This Row],[Propensity to buy/ buyer readiness]],Definitions!$A$13:$A$17,0))</f>
        <v>10000</v>
      </c>
      <c r="G1225" s="86">
        <v>3</v>
      </c>
      <c r="H1225" s="86">
        <v>3</v>
      </c>
      <c r="I1225" s="86">
        <v>4</v>
      </c>
      <c r="J1225" s="86">
        <v>3</v>
      </c>
      <c r="K1225" s="86">
        <v>2</v>
      </c>
      <c r="L1225" s="86">
        <f>SUM(Table3[[#This Row],[Strategic priority segment]:[Propensity to buy/ buyer readiness]])</f>
        <v>15</v>
      </c>
      <c r="M1225" s="86" t="s">
        <v>191</v>
      </c>
      <c r="N1225" s="84" t="s">
        <v>135</v>
      </c>
      <c r="O1225" s="84" t="s">
        <v>153</v>
      </c>
      <c r="P1225" s="87"/>
      <c r="Q1225" s="87"/>
      <c r="R1225" s="84"/>
      <c r="S1225" s="84"/>
      <c r="T1225" s="87"/>
      <c r="U1225" s="84">
        <v>1</v>
      </c>
      <c r="V1225" s="84">
        <v>0</v>
      </c>
      <c r="W1225" s="84">
        <v>0</v>
      </c>
      <c r="X1225" s="84">
        <v>0</v>
      </c>
      <c r="Y1225" s="84">
        <v>0</v>
      </c>
      <c r="Z1225" s="84">
        <v>0</v>
      </c>
      <c r="AA1225" s="84">
        <v>0</v>
      </c>
      <c r="AB1225" s="84">
        <v>0</v>
      </c>
      <c r="AC1225" s="84">
        <v>0</v>
      </c>
      <c r="AD1225" s="84">
        <v>0</v>
      </c>
      <c r="AE1225" s="84">
        <v>0</v>
      </c>
      <c r="AF1225" s="84">
        <v>0</v>
      </c>
      <c r="AG1225" s="84">
        <v>0</v>
      </c>
      <c r="AH1225" s="84">
        <v>1</v>
      </c>
      <c r="AI1225" s="84">
        <v>1</v>
      </c>
      <c r="AJ1225" s="84">
        <v>1</v>
      </c>
      <c r="AK1225" s="84">
        <v>1</v>
      </c>
      <c r="AL1225" s="84" cm="1">
        <f t="array" ref="AL12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5" s="84" cm="1">
        <f t="array" ref="AM12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5" s="84" cm="1">
        <f t="array" ref="AN12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5" s="84" cm="1">
        <f t="array" ref="AO12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5" s="84" cm="1">
        <f t="array" ref="AP12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5" s="84" cm="1">
        <f t="array" ref="AQ12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5" s="84" cm="1">
        <f t="array" ref="AR12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5" s="84" cm="1">
        <f t="array" ref="AS12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5" s="84" cm="1">
        <f t="array" ref="AT12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5" s="84" cm="1">
        <f t="array" ref="AU12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5" s="84" cm="1">
        <f t="array" ref="AV12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5" s="84" cm="1">
        <f t="array" ref="AW12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5" s="84" cm="1">
        <f t="array" ref="AX12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5" s="84" cm="1">
        <f t="array" ref="AY12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5" s="84" cm="1">
        <f t="array" ref="AZ12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5" s="84" cm="1">
        <f t="array" ref="BA12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5" s="84" cm="1">
        <f t="array" ref="BB12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25" s="84">
        <f>IF(SUM(Table3[[#This Row],[Column2]:[Column18]])&gt;Table3[[#This Row],[Column19]],Table3[[#This Row],[Column19]],SUM(Table3[[#This Row],[Column2]:[Column18]]))</f>
        <v>10000</v>
      </c>
      <c r="BD1225" s="2">
        <f>Table3[[#This Row],[Total Spend]]/SUM(Table3[[#This Row],[Column2]:[Column18]])</f>
        <v>0.18365472910927455</v>
      </c>
    </row>
    <row r="1226" spans="1:56">
      <c r="A1226" s="84" t="s">
        <v>1301</v>
      </c>
      <c r="B1226" s="84" t="s">
        <v>57</v>
      </c>
      <c r="C1226" s="84"/>
      <c r="D1226" s="85">
        <v>45566</v>
      </c>
      <c r="E1226" s="85" t="s">
        <v>92</v>
      </c>
      <c r="F1226" s="84">
        <f>INDEX(Definitions!$G$13:$G$17,MATCH(Table3[[#This Row],[Propensity to buy/ buyer readiness]],Definitions!$A$13:$A$17,0))</f>
        <v>10000</v>
      </c>
      <c r="G1226" s="86">
        <v>3</v>
      </c>
      <c r="H1226" s="86">
        <v>3</v>
      </c>
      <c r="I1226" s="86">
        <v>4</v>
      </c>
      <c r="J1226" s="86">
        <v>3</v>
      </c>
      <c r="K1226" s="86">
        <v>2</v>
      </c>
      <c r="L1226" s="86">
        <f>SUM(Table3[[#This Row],[Strategic priority segment]:[Propensity to buy/ buyer readiness]])</f>
        <v>15</v>
      </c>
      <c r="M1226" s="86" t="s">
        <v>191</v>
      </c>
      <c r="N1226" s="84" t="s">
        <v>135</v>
      </c>
      <c r="O1226" s="84"/>
      <c r="P1226" s="87"/>
      <c r="Q1226" s="87"/>
      <c r="R1226" s="84"/>
      <c r="S1226" s="84"/>
      <c r="T1226" s="87"/>
      <c r="U1226" s="84">
        <v>0</v>
      </c>
      <c r="V1226" s="84">
        <v>0</v>
      </c>
      <c r="W1226" s="84">
        <v>0</v>
      </c>
      <c r="X1226" s="84">
        <v>0</v>
      </c>
      <c r="Y1226" s="84">
        <v>0</v>
      </c>
      <c r="Z1226" s="84">
        <v>0</v>
      </c>
      <c r="AA1226" s="84">
        <v>0</v>
      </c>
      <c r="AB1226" s="84">
        <v>0</v>
      </c>
      <c r="AC1226" s="84">
        <v>0</v>
      </c>
      <c r="AD1226" s="84">
        <v>0</v>
      </c>
      <c r="AE1226" s="84">
        <v>0</v>
      </c>
      <c r="AF1226" s="84">
        <v>0</v>
      </c>
      <c r="AG1226" s="84">
        <v>0</v>
      </c>
      <c r="AH1226" s="84">
        <v>1</v>
      </c>
      <c r="AI1226" s="84">
        <v>1</v>
      </c>
      <c r="AJ1226" s="84">
        <v>1</v>
      </c>
      <c r="AK1226" s="84">
        <v>1</v>
      </c>
      <c r="AL1226" s="84" cm="1">
        <f t="array" ref="AL12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26" s="84" cm="1">
        <f t="array" ref="AM12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6" s="84" cm="1">
        <f t="array" ref="AN12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6" s="84" cm="1">
        <f t="array" ref="AO12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6" s="84" cm="1">
        <f t="array" ref="AP12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6" s="84" cm="1">
        <f t="array" ref="AQ12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6" s="84" cm="1">
        <f t="array" ref="AR12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6" s="84" cm="1">
        <f t="array" ref="AS12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6" s="84" cm="1">
        <f t="array" ref="AT12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6" s="84" cm="1">
        <f t="array" ref="AU12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6" s="84" cm="1">
        <f t="array" ref="AV12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6" s="84" cm="1">
        <f t="array" ref="AW12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6" s="84" cm="1">
        <f t="array" ref="AX12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6" s="84" cm="1">
        <f t="array" ref="AY12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6" s="84" cm="1">
        <f t="array" ref="AZ12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6" s="84" cm="1">
        <f t="array" ref="BA12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6" s="84" cm="1">
        <f t="array" ref="BB12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26" s="84">
        <f>IF(SUM(Table3[[#This Row],[Column2]:[Column18]])&gt;Table3[[#This Row],[Column19]],Table3[[#This Row],[Column19]],SUM(Table3[[#This Row],[Column2]:[Column18]]))</f>
        <v>10000</v>
      </c>
      <c r="BD1226" s="2">
        <f>Table3[[#This Row],[Total Spend]]/SUM(Table3[[#This Row],[Column2]:[Column18]])</f>
        <v>0.21574973031283712</v>
      </c>
    </row>
    <row r="1227" spans="1:56">
      <c r="A1227" s="84" t="s">
        <v>1302</v>
      </c>
      <c r="B1227" s="84" t="s">
        <v>57</v>
      </c>
      <c r="C1227" s="84"/>
      <c r="D1227" s="85">
        <v>45566</v>
      </c>
      <c r="E1227" s="85" t="s">
        <v>92</v>
      </c>
      <c r="F1227" s="84">
        <f>INDEX(Definitions!$G$13:$G$17,MATCH(Table3[[#This Row],[Propensity to buy/ buyer readiness]],Definitions!$A$13:$A$17,0))</f>
        <v>10000</v>
      </c>
      <c r="G1227" s="86">
        <v>3</v>
      </c>
      <c r="H1227" s="86">
        <v>3</v>
      </c>
      <c r="I1227" s="86">
        <v>4</v>
      </c>
      <c r="J1227" s="86">
        <v>3</v>
      </c>
      <c r="K1227" s="86">
        <v>2</v>
      </c>
      <c r="L1227" s="86">
        <f>SUM(Table3[[#This Row],[Strategic priority segment]:[Propensity to buy/ buyer readiness]])</f>
        <v>15</v>
      </c>
      <c r="M1227" s="86" t="s">
        <v>191</v>
      </c>
      <c r="N1227" s="84" t="s">
        <v>135</v>
      </c>
      <c r="O1227" s="84" t="s">
        <v>153</v>
      </c>
      <c r="P1227" s="87"/>
      <c r="Q1227" s="87"/>
      <c r="R1227" s="84"/>
      <c r="S1227" s="84"/>
      <c r="T1227" s="87"/>
      <c r="U1227" s="84">
        <v>1</v>
      </c>
      <c r="V1227" s="84">
        <v>0</v>
      </c>
      <c r="W1227" s="84">
        <v>0</v>
      </c>
      <c r="X1227" s="84">
        <v>0</v>
      </c>
      <c r="Y1227" s="84">
        <v>0</v>
      </c>
      <c r="Z1227" s="84">
        <v>0</v>
      </c>
      <c r="AA1227" s="84">
        <v>0</v>
      </c>
      <c r="AB1227" s="84">
        <v>0</v>
      </c>
      <c r="AC1227" s="84">
        <v>0</v>
      </c>
      <c r="AD1227" s="84">
        <v>0</v>
      </c>
      <c r="AE1227" s="84">
        <v>0</v>
      </c>
      <c r="AF1227" s="84">
        <v>0</v>
      </c>
      <c r="AG1227" s="84">
        <v>0</v>
      </c>
      <c r="AH1227" s="84">
        <v>1</v>
      </c>
      <c r="AI1227" s="84">
        <v>1</v>
      </c>
      <c r="AJ1227" s="84">
        <v>1</v>
      </c>
      <c r="AK1227" s="84">
        <v>1</v>
      </c>
      <c r="AL1227" s="84" cm="1">
        <f t="array" ref="AL12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7" s="84" cm="1">
        <f t="array" ref="AM12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7" s="84" cm="1">
        <f t="array" ref="AN12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7" s="84" cm="1">
        <f t="array" ref="AO12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7" s="84" cm="1">
        <f t="array" ref="AP12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7" s="84" cm="1">
        <f t="array" ref="AQ12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7" s="84" cm="1">
        <f t="array" ref="AR12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7" s="84" cm="1">
        <f t="array" ref="AS12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7" s="84" cm="1">
        <f t="array" ref="AT12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7" s="84" cm="1">
        <f t="array" ref="AU12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7" s="84" cm="1">
        <f t="array" ref="AV12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7" s="84" cm="1">
        <f t="array" ref="AW12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7" s="84" cm="1">
        <f t="array" ref="AX12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7" s="84" cm="1">
        <f t="array" ref="AY12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7" s="84" cm="1">
        <f t="array" ref="AZ12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7" s="84" cm="1">
        <f t="array" ref="BA12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7" s="84" cm="1">
        <f t="array" ref="BB12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27" s="84">
        <f>IF(SUM(Table3[[#This Row],[Column2]:[Column18]])&gt;Table3[[#This Row],[Column19]],Table3[[#This Row],[Column19]],SUM(Table3[[#This Row],[Column2]:[Column18]]))</f>
        <v>10000</v>
      </c>
      <c r="BD1227" s="2">
        <f>Table3[[#This Row],[Total Spend]]/SUM(Table3[[#This Row],[Column2]:[Column18]])</f>
        <v>0.18365472910927455</v>
      </c>
    </row>
    <row r="1228" spans="1:56">
      <c r="A1228" s="84" t="s">
        <v>1303</v>
      </c>
      <c r="B1228" s="84"/>
      <c r="C1228" s="84"/>
      <c r="D1228" s="85">
        <v>45566</v>
      </c>
      <c r="E1228" s="85" t="s">
        <v>92</v>
      </c>
      <c r="F1228" s="84">
        <f>INDEX(Definitions!$G$13:$G$17,MATCH(Table3[[#This Row],[Propensity to buy/ buyer readiness]],Definitions!$A$13:$A$17,0))</f>
        <v>50000</v>
      </c>
      <c r="G1228" s="86">
        <v>3</v>
      </c>
      <c r="H1228" s="86">
        <v>3</v>
      </c>
      <c r="I1228" s="86">
        <v>3</v>
      </c>
      <c r="J1228" s="86">
        <v>3</v>
      </c>
      <c r="K1228" s="86">
        <v>3</v>
      </c>
      <c r="L1228" s="86">
        <f>SUM(Table3[[#This Row],[Strategic priority segment]:[Propensity to buy/ buyer readiness]])</f>
        <v>15</v>
      </c>
      <c r="M1228" s="86" t="s">
        <v>191</v>
      </c>
      <c r="N1228" s="84" t="s">
        <v>76</v>
      </c>
      <c r="O1228" s="84"/>
      <c r="P1228" s="84"/>
      <c r="Q1228" s="84"/>
      <c r="R1228" s="84"/>
      <c r="S1228" s="84"/>
      <c r="T1228" s="87"/>
      <c r="U1228" s="84">
        <v>0</v>
      </c>
      <c r="V1228" s="84">
        <v>0</v>
      </c>
      <c r="W1228" s="84">
        <v>0</v>
      </c>
      <c r="X1228" s="84">
        <v>0</v>
      </c>
      <c r="Y1228" s="84">
        <v>0</v>
      </c>
      <c r="Z1228" s="84">
        <v>0</v>
      </c>
      <c r="AA1228" s="84">
        <v>0</v>
      </c>
      <c r="AB1228" s="84">
        <v>0</v>
      </c>
      <c r="AC1228" s="84">
        <v>0</v>
      </c>
      <c r="AD1228" s="84">
        <v>0</v>
      </c>
      <c r="AE1228" s="84">
        <v>0</v>
      </c>
      <c r="AF1228" s="84">
        <v>0</v>
      </c>
      <c r="AG1228" s="84">
        <v>0</v>
      </c>
      <c r="AH1228" s="84">
        <v>1</v>
      </c>
      <c r="AI1228" s="84">
        <v>0</v>
      </c>
      <c r="AJ1228" s="84">
        <v>1</v>
      </c>
      <c r="AK1228" s="84">
        <v>0</v>
      </c>
      <c r="AL1228" s="84" cm="1">
        <f t="array" ref="AL12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28" s="84" cm="1">
        <f t="array" ref="AM12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28" s="84" cm="1">
        <f t="array" ref="AN12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28" s="84" cm="1">
        <f t="array" ref="AO12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28" s="84" cm="1">
        <f t="array" ref="AP12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8" s="84" cm="1">
        <f t="array" ref="AQ12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8" s="84" cm="1">
        <f t="array" ref="AR12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8" s="84" cm="1">
        <f t="array" ref="AS12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8" s="84" cm="1">
        <f t="array" ref="AT12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8" s="84" cm="1">
        <f t="array" ref="AU12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8" s="84" cm="1">
        <f t="array" ref="AV12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8" s="84" cm="1">
        <f t="array" ref="AW12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8" s="84" cm="1">
        <f t="array" ref="AX12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8" s="84" cm="1">
        <f t="array" ref="AY12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28" s="84" cm="1">
        <f t="array" ref="AZ12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28" s="84" cm="1">
        <f t="array" ref="BA12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28" s="84" cm="1">
        <f t="array" ref="BB12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28" s="84">
        <f>IF(SUM(Table3[[#This Row],[Column2]:[Column18]])&gt;Table3[[#This Row],[Column19]],Table3[[#This Row],[Column19]],SUM(Table3[[#This Row],[Column2]:[Column18]]))</f>
        <v>30600</v>
      </c>
      <c r="BD1228" s="2">
        <f>Table3[[#This Row],[Total Spend]]/SUM(Table3[[#This Row],[Column2]:[Column18]])</f>
        <v>1</v>
      </c>
    </row>
    <row r="1229" spans="1:56">
      <c r="A1229" s="84" t="s">
        <v>1304</v>
      </c>
      <c r="B1229" s="84"/>
      <c r="C1229" s="84"/>
      <c r="D1229" s="85">
        <v>45566</v>
      </c>
      <c r="E1229" s="85" t="s">
        <v>92</v>
      </c>
      <c r="F1229" s="84">
        <f>INDEX(Definitions!$G$13:$G$17,MATCH(Table3[[#This Row],[Propensity to buy/ buyer readiness]],Definitions!$A$13:$A$17,0))</f>
        <v>10000</v>
      </c>
      <c r="G1229" s="86">
        <v>3</v>
      </c>
      <c r="H1229" s="86">
        <v>3</v>
      </c>
      <c r="I1229" s="86">
        <v>3</v>
      </c>
      <c r="J1229" s="86">
        <v>4</v>
      </c>
      <c r="K1229" s="86">
        <v>2</v>
      </c>
      <c r="L1229" s="86">
        <f>SUM(Table3[[#This Row],[Strategic priority segment]:[Propensity to buy/ buyer readiness]])</f>
        <v>15</v>
      </c>
      <c r="M1229" s="86" t="s">
        <v>59</v>
      </c>
      <c r="N1229" s="84" t="s">
        <v>265</v>
      </c>
      <c r="O1229" s="84"/>
      <c r="P1229" s="87"/>
      <c r="Q1229" s="87"/>
      <c r="R1229" s="84"/>
      <c r="S1229" s="87"/>
      <c r="T1229" s="84"/>
      <c r="U1229" s="84">
        <v>1</v>
      </c>
      <c r="V1229" s="84">
        <v>1</v>
      </c>
      <c r="W1229" s="84">
        <v>1</v>
      </c>
      <c r="X1229" s="84">
        <v>1</v>
      </c>
      <c r="Y1229" s="84">
        <v>0</v>
      </c>
      <c r="Z1229" s="84">
        <v>0</v>
      </c>
      <c r="AA1229" s="84">
        <v>0</v>
      </c>
      <c r="AB1229" s="84">
        <v>0</v>
      </c>
      <c r="AC1229" s="84">
        <v>0</v>
      </c>
      <c r="AD1229" s="84">
        <v>0</v>
      </c>
      <c r="AE1229" s="84">
        <v>0</v>
      </c>
      <c r="AF1229" s="84">
        <v>0</v>
      </c>
      <c r="AG1229" s="84">
        <v>0</v>
      </c>
      <c r="AH1229" s="84">
        <v>0</v>
      </c>
      <c r="AI1229" s="84">
        <v>1</v>
      </c>
      <c r="AJ1229" s="84">
        <v>0</v>
      </c>
      <c r="AK1229" s="84">
        <v>0</v>
      </c>
      <c r="AL1229" s="84" cm="1">
        <f t="array" ref="AL12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29" s="84" cm="1">
        <f t="array" ref="AM12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29" s="84" cm="1">
        <f t="array" ref="AN12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29" s="84" cm="1">
        <f t="array" ref="AO12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29" s="84" cm="1">
        <f t="array" ref="AP12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29" s="84" cm="1">
        <f t="array" ref="AQ12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29" s="84" cm="1">
        <f t="array" ref="AR12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29" s="84" cm="1">
        <f t="array" ref="AS12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29" s="84" cm="1">
        <f t="array" ref="AT12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29" s="84" cm="1">
        <f t="array" ref="AU12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29" s="84" cm="1">
        <f t="array" ref="AV12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29" s="84" cm="1">
        <f t="array" ref="AW12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29" s="84" cm="1">
        <f t="array" ref="AX12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29" s="84" cm="1">
        <f t="array" ref="AY12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29" s="84" cm="1">
        <f t="array" ref="AZ12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29" s="84" cm="1">
        <f t="array" ref="BA12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29" s="84" cm="1">
        <f t="array" ref="BB12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29" s="84">
        <f>IF(SUM(Table3[[#This Row],[Column2]:[Column18]])&gt;Table3[[#This Row],[Column19]],Table3[[#This Row],[Column19]],SUM(Table3[[#This Row],[Column2]:[Column18]]))</f>
        <v>10000</v>
      </c>
      <c r="BD1229" s="2">
        <f>Table3[[#This Row],[Total Spend]]/SUM(Table3[[#This Row],[Column2]:[Column18]])</f>
        <v>7.2859744990892539E-2</v>
      </c>
    </row>
    <row r="1230" spans="1:56">
      <c r="A1230" s="84" t="s">
        <v>1305</v>
      </c>
      <c r="B1230" s="84" t="s">
        <v>57</v>
      </c>
      <c r="C1230" s="84"/>
      <c r="D1230" s="85">
        <v>45566</v>
      </c>
      <c r="E1230" s="85" t="s">
        <v>92</v>
      </c>
      <c r="F1230" s="84">
        <f>INDEX(Definitions!$G$13:$G$17,MATCH(Table3[[#This Row],[Propensity to buy/ buyer readiness]],Definitions!$A$13:$A$17,0))</f>
        <v>10000</v>
      </c>
      <c r="G1230" s="86">
        <v>3</v>
      </c>
      <c r="H1230" s="86">
        <v>3</v>
      </c>
      <c r="I1230" s="86">
        <v>4</v>
      </c>
      <c r="J1230" s="86">
        <v>3</v>
      </c>
      <c r="K1230" s="86">
        <v>2</v>
      </c>
      <c r="L1230" s="86">
        <f>SUM(Table3[[#This Row],[Strategic priority segment]:[Propensity to buy/ buyer readiness]])</f>
        <v>15</v>
      </c>
      <c r="M1230" s="86" t="s">
        <v>191</v>
      </c>
      <c r="N1230" s="84" t="s">
        <v>135</v>
      </c>
      <c r="O1230" s="84"/>
      <c r="P1230" s="87"/>
      <c r="Q1230" s="87"/>
      <c r="R1230" s="84"/>
      <c r="S1230" s="84"/>
      <c r="T1230" s="84"/>
      <c r="U1230" s="84">
        <v>0</v>
      </c>
      <c r="V1230" s="84">
        <v>0</v>
      </c>
      <c r="W1230" s="84">
        <v>0</v>
      </c>
      <c r="X1230" s="84">
        <v>0</v>
      </c>
      <c r="Y1230" s="84">
        <v>0</v>
      </c>
      <c r="Z1230" s="84">
        <v>0</v>
      </c>
      <c r="AA1230" s="84">
        <v>0</v>
      </c>
      <c r="AB1230" s="84">
        <v>0</v>
      </c>
      <c r="AC1230" s="84">
        <v>0</v>
      </c>
      <c r="AD1230" s="84">
        <v>0</v>
      </c>
      <c r="AE1230" s="84">
        <v>0</v>
      </c>
      <c r="AF1230" s="84">
        <v>0</v>
      </c>
      <c r="AG1230" s="84">
        <v>0</v>
      </c>
      <c r="AH1230" s="84">
        <v>1</v>
      </c>
      <c r="AI1230" s="84">
        <v>1</v>
      </c>
      <c r="AJ1230" s="84">
        <v>1</v>
      </c>
      <c r="AK1230" s="84">
        <v>1</v>
      </c>
      <c r="AL1230" s="84" cm="1">
        <f t="array" ref="AL12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30" s="84" cm="1">
        <f t="array" ref="AM12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0" s="84" cm="1">
        <f t="array" ref="AN12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0" s="84" cm="1">
        <f t="array" ref="AO12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0" s="84" cm="1">
        <f t="array" ref="AP12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0" s="84" cm="1">
        <f t="array" ref="AQ12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0" s="84" cm="1">
        <f t="array" ref="AR12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0" s="84" cm="1">
        <f t="array" ref="AS12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0" s="84" cm="1">
        <f t="array" ref="AT12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0" s="84" cm="1">
        <f t="array" ref="AU12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0" s="84" cm="1">
        <f t="array" ref="AV12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0" s="84" cm="1">
        <f t="array" ref="AW12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0" s="84" cm="1">
        <f t="array" ref="AX12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0" s="84" cm="1">
        <f t="array" ref="AY12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30" s="84" cm="1">
        <f t="array" ref="AZ12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30" s="84" cm="1">
        <f t="array" ref="BA12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30" s="84" cm="1">
        <f t="array" ref="BB12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30" s="84">
        <f>IF(SUM(Table3[[#This Row],[Column2]:[Column18]])&gt;Table3[[#This Row],[Column19]],Table3[[#This Row],[Column19]],SUM(Table3[[#This Row],[Column2]:[Column18]]))</f>
        <v>10000</v>
      </c>
      <c r="BD1230" s="2">
        <f>Table3[[#This Row],[Total Spend]]/SUM(Table3[[#This Row],[Column2]:[Column18]])</f>
        <v>0.21574973031283712</v>
      </c>
    </row>
    <row r="1231" spans="1:56">
      <c r="A1231" s="84" t="s">
        <v>1306</v>
      </c>
      <c r="B1231" s="84"/>
      <c r="C1231" s="84"/>
      <c r="D1231" s="85">
        <v>45809</v>
      </c>
      <c r="E1231" s="85" t="s">
        <v>92</v>
      </c>
      <c r="F1231" s="84">
        <f>INDEX(Definitions!$G$13:$G$17,MATCH(Table3[[#This Row],[Propensity to buy/ buyer readiness]],Definitions!$A$13:$A$17,0))</f>
        <v>50000</v>
      </c>
      <c r="G1231" s="86">
        <v>3</v>
      </c>
      <c r="H1231" s="86">
        <v>3</v>
      </c>
      <c r="I1231" s="86">
        <v>3</v>
      </c>
      <c r="J1231" s="86">
        <v>3</v>
      </c>
      <c r="K1231" s="86">
        <v>3</v>
      </c>
      <c r="L1231" s="86">
        <f>SUM(Table3[[#This Row],[Strategic priority segment]:[Propensity to buy/ buyer readiness]])</f>
        <v>15</v>
      </c>
      <c r="M1231" s="86" t="s">
        <v>152</v>
      </c>
      <c r="N1231" s="84" t="s">
        <v>130</v>
      </c>
      <c r="O1231" s="84" t="s">
        <v>135</v>
      </c>
      <c r="P1231" s="87"/>
      <c r="Q1231" s="87"/>
      <c r="R1231" s="84"/>
      <c r="S1231" s="84"/>
      <c r="T1231" s="84"/>
      <c r="U1231" s="84">
        <v>1</v>
      </c>
      <c r="V1231" s="84">
        <v>0</v>
      </c>
      <c r="W1231" s="84">
        <v>0</v>
      </c>
      <c r="X1231" s="84">
        <v>0</v>
      </c>
      <c r="Y1231" s="84">
        <v>0</v>
      </c>
      <c r="Z1231" s="84">
        <v>0</v>
      </c>
      <c r="AA1231" s="84">
        <v>0</v>
      </c>
      <c r="AB1231" s="84">
        <v>0</v>
      </c>
      <c r="AC1231" s="84">
        <v>0</v>
      </c>
      <c r="AD1231" s="84">
        <v>0</v>
      </c>
      <c r="AE1231" s="84">
        <v>0</v>
      </c>
      <c r="AF1231" s="84">
        <v>0</v>
      </c>
      <c r="AG1231" s="84">
        <v>0</v>
      </c>
      <c r="AH1231" s="84">
        <v>1</v>
      </c>
      <c r="AI1231" s="84">
        <v>1</v>
      </c>
      <c r="AJ1231" s="84">
        <v>1</v>
      </c>
      <c r="AK1231" s="84">
        <v>1</v>
      </c>
      <c r="AL1231" s="84" cm="1">
        <f t="array" ref="AL12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31" s="84" cm="1">
        <f t="array" ref="AM12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1" s="84" cm="1">
        <f t="array" ref="AN12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1" s="84" cm="1">
        <f t="array" ref="AO12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1" s="84" cm="1">
        <f t="array" ref="AP12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1" s="84" cm="1">
        <f t="array" ref="AQ12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1" s="84" cm="1">
        <f t="array" ref="AR12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1" s="84" cm="1">
        <f t="array" ref="AS12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1" s="84" cm="1">
        <f t="array" ref="AT12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1" s="84" cm="1">
        <f t="array" ref="AU12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1" s="84" cm="1">
        <f t="array" ref="AV12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1" s="84" cm="1">
        <f t="array" ref="AW12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1" s="84" cm="1">
        <f t="array" ref="AX12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1" s="84" cm="1">
        <f t="array" ref="AY12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31" s="84" cm="1">
        <f t="array" ref="AZ12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31" s="84" cm="1">
        <f t="array" ref="BA12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31" s="84" cm="1">
        <f t="array" ref="BB12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31" s="84">
        <f>IF(SUM(Table3[[#This Row],[Column2]:[Column18]])&gt;Table3[[#This Row],[Column19]],Table3[[#This Row],[Column19]],SUM(Table3[[#This Row],[Column2]:[Column18]]))</f>
        <v>50000</v>
      </c>
      <c r="BD1231" s="2">
        <f>Table3[[#This Row],[Total Spend]]/SUM(Table3[[#This Row],[Column2]:[Column18]])</f>
        <v>0.91827364554637281</v>
      </c>
    </row>
    <row r="1232" spans="1:56">
      <c r="A1232" s="84" t="s">
        <v>1307</v>
      </c>
      <c r="B1232" s="84" t="s">
        <v>57</v>
      </c>
      <c r="C1232" s="84"/>
      <c r="D1232" s="85">
        <v>45566</v>
      </c>
      <c r="E1232" s="85" t="s">
        <v>92</v>
      </c>
      <c r="F1232" s="84">
        <f>INDEX(Definitions!$G$13:$G$17,MATCH(Table3[[#This Row],[Propensity to buy/ buyer readiness]],Definitions!$A$13:$A$17,0))</f>
        <v>10000</v>
      </c>
      <c r="G1232" s="86">
        <v>3</v>
      </c>
      <c r="H1232" s="86">
        <v>3</v>
      </c>
      <c r="I1232" s="86">
        <v>4</v>
      </c>
      <c r="J1232" s="86">
        <v>3</v>
      </c>
      <c r="K1232" s="86">
        <v>2</v>
      </c>
      <c r="L1232" s="86">
        <f>SUM(Table3[[#This Row],[Strategic priority segment]:[Propensity to buy/ buyer readiness]])</f>
        <v>15</v>
      </c>
      <c r="M1232" s="86" t="s">
        <v>152</v>
      </c>
      <c r="N1232" s="84" t="s">
        <v>264</v>
      </c>
      <c r="O1232" s="84"/>
      <c r="P1232" s="87"/>
      <c r="Q1232" s="87"/>
      <c r="R1232" s="84"/>
      <c r="S1232" s="84"/>
      <c r="T1232" s="87"/>
      <c r="U1232" s="84">
        <v>1</v>
      </c>
      <c r="V1232" s="84">
        <v>0</v>
      </c>
      <c r="W1232" s="84">
        <v>0</v>
      </c>
      <c r="X1232" s="84">
        <v>0</v>
      </c>
      <c r="Y1232" s="84">
        <v>0</v>
      </c>
      <c r="Z1232" s="84">
        <v>0</v>
      </c>
      <c r="AA1232" s="84">
        <v>0</v>
      </c>
      <c r="AB1232" s="84">
        <v>0</v>
      </c>
      <c r="AC1232" s="84">
        <v>0</v>
      </c>
      <c r="AD1232" s="84">
        <v>0</v>
      </c>
      <c r="AE1232" s="84">
        <v>0</v>
      </c>
      <c r="AF1232" s="84">
        <v>0</v>
      </c>
      <c r="AG1232" s="84">
        <v>0</v>
      </c>
      <c r="AH1232" s="84">
        <v>0</v>
      </c>
      <c r="AI1232" s="84">
        <v>0</v>
      </c>
      <c r="AJ1232" s="84">
        <v>0</v>
      </c>
      <c r="AK1232" s="84">
        <v>0</v>
      </c>
      <c r="AL1232" s="84" cm="1">
        <f t="array" ref="AL12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32" s="84" cm="1">
        <f t="array" ref="AM12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2" s="84" cm="1">
        <f t="array" ref="AN12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2" s="84" cm="1">
        <f t="array" ref="AO12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2" s="84" cm="1">
        <f t="array" ref="AP12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2" s="84" cm="1">
        <f t="array" ref="AQ12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2" s="84" cm="1">
        <f t="array" ref="AR12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2" s="84" cm="1">
        <f t="array" ref="AS12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2" s="84" cm="1">
        <f t="array" ref="AT12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2" s="84" cm="1">
        <f t="array" ref="AU12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2" s="84" cm="1">
        <f t="array" ref="AV12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2" s="84" cm="1">
        <f t="array" ref="AW12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2" s="84" cm="1">
        <f t="array" ref="AX12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2" s="84" cm="1">
        <f t="array" ref="AY12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32" s="84" cm="1">
        <f t="array" ref="AZ12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32" s="84" cm="1">
        <f t="array" ref="BA12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32" s="84" cm="1">
        <f t="array" ref="BB12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32" s="84">
        <f>IF(SUM(Table3[[#This Row],[Column2]:[Column18]])&gt;Table3[[#This Row],[Column19]],Table3[[#This Row],[Column19]],SUM(Table3[[#This Row],[Column2]:[Column18]]))</f>
        <v>8100</v>
      </c>
      <c r="BD1232" s="2">
        <f>Table3[[#This Row],[Total Spend]]/SUM(Table3[[#This Row],[Column2]:[Column18]])</f>
        <v>1</v>
      </c>
    </row>
    <row r="1233" spans="1:56">
      <c r="A1233" s="84" t="s">
        <v>1308</v>
      </c>
      <c r="B1233" s="84" t="s">
        <v>57</v>
      </c>
      <c r="C1233" s="84"/>
      <c r="D1233" s="85">
        <v>45566</v>
      </c>
      <c r="E1233" s="85" t="s">
        <v>92</v>
      </c>
      <c r="F1233" s="84">
        <f>INDEX(Definitions!$G$13:$G$17,MATCH(Table3[[#This Row],[Propensity to buy/ buyer readiness]],Definitions!$A$13:$A$17,0))</f>
        <v>10000</v>
      </c>
      <c r="G1233" s="86">
        <v>3</v>
      </c>
      <c r="H1233" s="86">
        <v>3</v>
      </c>
      <c r="I1233" s="86">
        <v>4</v>
      </c>
      <c r="J1233" s="86">
        <v>3</v>
      </c>
      <c r="K1233" s="86">
        <v>2</v>
      </c>
      <c r="L1233" s="86">
        <f>SUM(Table3[[#This Row],[Strategic priority segment]:[Propensity to buy/ buyer readiness]])</f>
        <v>15</v>
      </c>
      <c r="M1233" s="86" t="s">
        <v>152</v>
      </c>
      <c r="N1233" s="84" t="s">
        <v>264</v>
      </c>
      <c r="O1233" s="84"/>
      <c r="P1233" s="87"/>
      <c r="Q1233" s="87"/>
      <c r="R1233" s="84"/>
      <c r="S1233" s="84"/>
      <c r="T1233" s="84"/>
      <c r="U1233" s="84">
        <v>1</v>
      </c>
      <c r="V1233" s="84">
        <v>0</v>
      </c>
      <c r="W1233" s="84">
        <v>0</v>
      </c>
      <c r="X1233" s="84">
        <v>0</v>
      </c>
      <c r="Y1233" s="84">
        <v>0</v>
      </c>
      <c r="Z1233" s="84">
        <v>0</v>
      </c>
      <c r="AA1233" s="84">
        <v>0</v>
      </c>
      <c r="AB1233" s="84">
        <v>0</v>
      </c>
      <c r="AC1233" s="84">
        <v>0</v>
      </c>
      <c r="AD1233" s="84">
        <v>0</v>
      </c>
      <c r="AE1233" s="84">
        <v>0</v>
      </c>
      <c r="AF1233" s="84">
        <v>0</v>
      </c>
      <c r="AG1233" s="84">
        <v>0</v>
      </c>
      <c r="AH1233" s="84">
        <v>0</v>
      </c>
      <c r="AI1233" s="84">
        <v>0</v>
      </c>
      <c r="AJ1233" s="84">
        <v>0</v>
      </c>
      <c r="AK1233" s="84">
        <v>0</v>
      </c>
      <c r="AL1233" s="84" cm="1">
        <f t="array" ref="AL12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33" s="84" cm="1">
        <f t="array" ref="AM12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3" s="84" cm="1">
        <f t="array" ref="AN12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3" s="84" cm="1">
        <f t="array" ref="AO12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3" s="84" cm="1">
        <f t="array" ref="AP12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3" s="84" cm="1">
        <f t="array" ref="AQ12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3" s="84" cm="1">
        <f t="array" ref="AR12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3" s="84" cm="1">
        <f t="array" ref="AS12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3" s="84" cm="1">
        <f t="array" ref="AT12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3" s="84" cm="1">
        <f t="array" ref="AU12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3" s="84" cm="1">
        <f t="array" ref="AV12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3" s="84" cm="1">
        <f t="array" ref="AW12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3" s="84" cm="1">
        <f t="array" ref="AX12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3" s="84" cm="1">
        <f t="array" ref="AY12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33" s="84" cm="1">
        <f t="array" ref="AZ12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33" s="84" cm="1">
        <f t="array" ref="BA12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33" s="84" cm="1">
        <f t="array" ref="BB12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33" s="84">
        <f>IF(SUM(Table3[[#This Row],[Column2]:[Column18]])&gt;Table3[[#This Row],[Column19]],Table3[[#This Row],[Column19]],SUM(Table3[[#This Row],[Column2]:[Column18]]))</f>
        <v>8100</v>
      </c>
      <c r="BD1233" s="2">
        <f>Table3[[#This Row],[Total Spend]]/SUM(Table3[[#This Row],[Column2]:[Column18]])</f>
        <v>1</v>
      </c>
    </row>
    <row r="1234" spans="1:56">
      <c r="A1234" s="84" t="s">
        <v>1309</v>
      </c>
      <c r="B1234" s="84" t="s">
        <v>57</v>
      </c>
      <c r="C1234" s="84"/>
      <c r="D1234" s="85">
        <v>45566</v>
      </c>
      <c r="E1234" s="85" t="s">
        <v>92</v>
      </c>
      <c r="F1234" s="84">
        <f>INDEX(Definitions!$G$13:$G$17,MATCH(Table3[[#This Row],[Propensity to buy/ buyer readiness]],Definitions!$A$13:$A$17,0))</f>
        <v>10000</v>
      </c>
      <c r="G1234" s="86">
        <v>3</v>
      </c>
      <c r="H1234" s="86">
        <v>3</v>
      </c>
      <c r="I1234" s="86">
        <v>4</v>
      </c>
      <c r="J1234" s="86">
        <v>3</v>
      </c>
      <c r="K1234" s="86">
        <v>2</v>
      </c>
      <c r="L1234" s="86">
        <f>SUM(Table3[[#This Row],[Strategic priority segment]:[Propensity to buy/ buyer readiness]])</f>
        <v>15</v>
      </c>
      <c r="M1234" s="86" t="s">
        <v>191</v>
      </c>
      <c r="N1234" s="84" t="s">
        <v>135</v>
      </c>
      <c r="O1234" s="84"/>
      <c r="P1234" s="87"/>
      <c r="Q1234" s="87"/>
      <c r="R1234" s="84"/>
      <c r="S1234" s="84"/>
      <c r="T1234" s="87"/>
      <c r="U1234" s="84">
        <v>0</v>
      </c>
      <c r="V1234" s="84">
        <v>0</v>
      </c>
      <c r="W1234" s="84">
        <v>0</v>
      </c>
      <c r="X1234" s="84">
        <v>0</v>
      </c>
      <c r="Y1234" s="84">
        <v>0</v>
      </c>
      <c r="Z1234" s="84">
        <v>0</v>
      </c>
      <c r="AA1234" s="84">
        <v>0</v>
      </c>
      <c r="AB1234" s="84">
        <v>0</v>
      </c>
      <c r="AC1234" s="84">
        <v>0</v>
      </c>
      <c r="AD1234" s="84">
        <v>0</v>
      </c>
      <c r="AE1234" s="84">
        <v>0</v>
      </c>
      <c r="AF1234" s="84">
        <v>0</v>
      </c>
      <c r="AG1234" s="84">
        <v>0</v>
      </c>
      <c r="AH1234" s="84">
        <v>1</v>
      </c>
      <c r="AI1234" s="84">
        <v>1</v>
      </c>
      <c r="AJ1234" s="84">
        <v>1</v>
      </c>
      <c r="AK1234" s="84">
        <v>1</v>
      </c>
      <c r="AL1234" s="84" cm="1">
        <f t="array" ref="AL12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34" s="84" cm="1">
        <f t="array" ref="AM12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4" s="84" cm="1">
        <f t="array" ref="AN12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4" s="84" cm="1">
        <f t="array" ref="AO12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4" s="84" cm="1">
        <f t="array" ref="AP12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4" s="84" cm="1">
        <f t="array" ref="AQ12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4" s="84" cm="1">
        <f t="array" ref="AR12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4" s="84" cm="1">
        <f t="array" ref="AS12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4" s="84" cm="1">
        <f t="array" ref="AT12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4" s="84" cm="1">
        <f t="array" ref="AU12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4" s="84" cm="1">
        <f t="array" ref="AV12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4" s="84" cm="1">
        <f t="array" ref="AW12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4" s="84" cm="1">
        <f t="array" ref="AX12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4" s="84" cm="1">
        <f t="array" ref="AY12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34" s="84" cm="1">
        <f t="array" ref="AZ12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34" s="84" cm="1">
        <f t="array" ref="BA12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34" s="84" cm="1">
        <f t="array" ref="BB12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34" s="84">
        <f>IF(SUM(Table3[[#This Row],[Column2]:[Column18]])&gt;Table3[[#This Row],[Column19]],Table3[[#This Row],[Column19]],SUM(Table3[[#This Row],[Column2]:[Column18]]))</f>
        <v>10000</v>
      </c>
      <c r="BD1234" s="2">
        <f>Table3[[#This Row],[Total Spend]]/SUM(Table3[[#This Row],[Column2]:[Column18]])</f>
        <v>0.21574973031283712</v>
      </c>
    </row>
    <row r="1235" spans="1:56">
      <c r="A1235" s="84" t="s">
        <v>1310</v>
      </c>
      <c r="B1235" s="84" t="s">
        <v>57</v>
      </c>
      <c r="C1235" s="84"/>
      <c r="D1235" s="85">
        <v>45566</v>
      </c>
      <c r="E1235" s="85" t="s">
        <v>92</v>
      </c>
      <c r="F1235" s="84">
        <f>INDEX(Definitions!$G$13:$G$17,MATCH(Table3[[#This Row],[Propensity to buy/ buyer readiness]],Definitions!$A$13:$A$17,0))</f>
        <v>10000</v>
      </c>
      <c r="G1235" s="86">
        <v>3</v>
      </c>
      <c r="H1235" s="86">
        <v>3</v>
      </c>
      <c r="I1235" s="86">
        <v>4</v>
      </c>
      <c r="J1235" s="86">
        <v>3</v>
      </c>
      <c r="K1235" s="86">
        <v>2</v>
      </c>
      <c r="L1235" s="86">
        <f>SUM(Table3[[#This Row],[Strategic priority segment]:[Propensity to buy/ buyer readiness]])</f>
        <v>15</v>
      </c>
      <c r="M1235" s="86" t="s">
        <v>191</v>
      </c>
      <c r="N1235" s="84" t="s">
        <v>135</v>
      </c>
      <c r="O1235" s="84"/>
      <c r="P1235" s="87"/>
      <c r="Q1235" s="87"/>
      <c r="R1235" s="84"/>
      <c r="S1235" s="84"/>
      <c r="T1235" s="84"/>
      <c r="U1235" s="84">
        <v>0</v>
      </c>
      <c r="V1235" s="84">
        <v>0</v>
      </c>
      <c r="W1235" s="84">
        <v>0</v>
      </c>
      <c r="X1235" s="84">
        <v>0</v>
      </c>
      <c r="Y1235" s="84">
        <v>0</v>
      </c>
      <c r="Z1235" s="84">
        <v>0</v>
      </c>
      <c r="AA1235" s="84">
        <v>0</v>
      </c>
      <c r="AB1235" s="84">
        <v>0</v>
      </c>
      <c r="AC1235" s="84">
        <v>0</v>
      </c>
      <c r="AD1235" s="84">
        <v>0</v>
      </c>
      <c r="AE1235" s="84">
        <v>0</v>
      </c>
      <c r="AF1235" s="84">
        <v>0</v>
      </c>
      <c r="AG1235" s="84">
        <v>0</v>
      </c>
      <c r="AH1235" s="84">
        <v>1</v>
      </c>
      <c r="AI1235" s="84">
        <v>1</v>
      </c>
      <c r="AJ1235" s="84">
        <v>1</v>
      </c>
      <c r="AK1235" s="84">
        <v>1</v>
      </c>
      <c r="AL1235" s="84" cm="1">
        <f t="array" ref="AL12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35" s="84" cm="1">
        <f t="array" ref="AM12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5" s="84" cm="1">
        <f t="array" ref="AN12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5" s="84" cm="1">
        <f t="array" ref="AO12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5" s="84" cm="1">
        <f t="array" ref="AP12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5" s="84" cm="1">
        <f t="array" ref="AQ12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5" s="84" cm="1">
        <f t="array" ref="AR12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5" s="84" cm="1">
        <f t="array" ref="AS12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5" s="84" cm="1">
        <f t="array" ref="AT12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5" s="84" cm="1">
        <f t="array" ref="AU12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5" s="84" cm="1">
        <f t="array" ref="AV12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5" s="84" cm="1">
        <f t="array" ref="AW12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5" s="84" cm="1">
        <f t="array" ref="AX12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5" s="84" cm="1">
        <f t="array" ref="AY12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35" s="84" cm="1">
        <f t="array" ref="AZ12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35" s="84" cm="1">
        <f t="array" ref="BA12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35" s="84" cm="1">
        <f t="array" ref="BB12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35" s="84">
        <f>IF(SUM(Table3[[#This Row],[Column2]:[Column18]])&gt;Table3[[#This Row],[Column19]],Table3[[#This Row],[Column19]],SUM(Table3[[#This Row],[Column2]:[Column18]]))</f>
        <v>10000</v>
      </c>
      <c r="BD1235" s="2">
        <f>Table3[[#This Row],[Total Spend]]/SUM(Table3[[#This Row],[Column2]:[Column18]])</f>
        <v>0.21574973031283712</v>
      </c>
    </row>
    <row r="1236" spans="1:56">
      <c r="A1236" s="84" t="s">
        <v>1311</v>
      </c>
      <c r="B1236" s="84" t="s">
        <v>57</v>
      </c>
      <c r="C1236" s="84"/>
      <c r="D1236" s="85">
        <v>45566</v>
      </c>
      <c r="E1236" s="85" t="s">
        <v>92</v>
      </c>
      <c r="F1236" s="84">
        <f>INDEX(Definitions!$G$13:$G$17,MATCH(Table3[[#This Row],[Propensity to buy/ buyer readiness]],Definitions!$A$13:$A$17,0))</f>
        <v>10000</v>
      </c>
      <c r="G1236" s="86">
        <v>3</v>
      </c>
      <c r="H1236" s="86">
        <v>3</v>
      </c>
      <c r="I1236" s="86">
        <v>4</v>
      </c>
      <c r="J1236" s="86">
        <v>3</v>
      </c>
      <c r="K1236" s="86">
        <v>2</v>
      </c>
      <c r="L1236" s="86">
        <f>SUM(Table3[[#This Row],[Strategic priority segment]:[Propensity to buy/ buyer readiness]])</f>
        <v>15</v>
      </c>
      <c r="M1236" s="86" t="s">
        <v>191</v>
      </c>
      <c r="N1236" s="84" t="s">
        <v>135</v>
      </c>
      <c r="O1236" s="84" t="s">
        <v>153</v>
      </c>
      <c r="P1236" s="87"/>
      <c r="Q1236" s="87"/>
      <c r="R1236" s="84"/>
      <c r="S1236" s="84"/>
      <c r="T1236" s="84"/>
      <c r="U1236" s="84">
        <v>1</v>
      </c>
      <c r="V1236" s="84">
        <v>0</v>
      </c>
      <c r="W1236" s="84">
        <v>0</v>
      </c>
      <c r="X1236" s="84">
        <v>0</v>
      </c>
      <c r="Y1236" s="84">
        <v>0</v>
      </c>
      <c r="Z1236" s="84">
        <v>0</v>
      </c>
      <c r="AA1236" s="84">
        <v>0</v>
      </c>
      <c r="AB1236" s="84">
        <v>0</v>
      </c>
      <c r="AC1236" s="84">
        <v>0</v>
      </c>
      <c r="AD1236" s="84">
        <v>0</v>
      </c>
      <c r="AE1236" s="84">
        <v>0</v>
      </c>
      <c r="AF1236" s="84">
        <v>0</v>
      </c>
      <c r="AG1236" s="84">
        <v>0</v>
      </c>
      <c r="AH1236" s="84">
        <v>1</v>
      </c>
      <c r="AI1236" s="84">
        <v>1</v>
      </c>
      <c r="AJ1236" s="84">
        <v>1</v>
      </c>
      <c r="AK1236" s="84">
        <v>1</v>
      </c>
      <c r="AL1236" s="84" cm="1">
        <f t="array" ref="AL12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36" s="84" cm="1">
        <f t="array" ref="AM12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6" s="84" cm="1">
        <f t="array" ref="AN12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6" s="84" cm="1">
        <f t="array" ref="AO12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6" s="84" cm="1">
        <f t="array" ref="AP12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6" s="84" cm="1">
        <f t="array" ref="AQ12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6" s="84" cm="1">
        <f t="array" ref="AR12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6" s="84" cm="1">
        <f t="array" ref="AS12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6" s="84" cm="1">
        <f t="array" ref="AT12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6" s="84" cm="1">
        <f t="array" ref="AU12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6" s="84" cm="1">
        <f t="array" ref="AV12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6" s="84" cm="1">
        <f t="array" ref="AW12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6" s="84" cm="1">
        <f t="array" ref="AX12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6" s="84" cm="1">
        <f t="array" ref="AY12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36" s="84" cm="1">
        <f t="array" ref="AZ12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36" s="84" cm="1">
        <f t="array" ref="BA12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36" s="84" cm="1">
        <f t="array" ref="BB12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36" s="84">
        <f>IF(SUM(Table3[[#This Row],[Column2]:[Column18]])&gt;Table3[[#This Row],[Column19]],Table3[[#This Row],[Column19]],SUM(Table3[[#This Row],[Column2]:[Column18]]))</f>
        <v>10000</v>
      </c>
      <c r="BD1236" s="2">
        <f>Table3[[#This Row],[Total Spend]]/SUM(Table3[[#This Row],[Column2]:[Column18]])</f>
        <v>0.18365472910927455</v>
      </c>
    </row>
    <row r="1237" spans="1:56">
      <c r="A1237" s="84" t="s">
        <v>1312</v>
      </c>
      <c r="B1237" s="84" t="s">
        <v>57</v>
      </c>
      <c r="C1237" s="84"/>
      <c r="D1237" s="85">
        <v>45566</v>
      </c>
      <c r="E1237" s="85" t="s">
        <v>92</v>
      </c>
      <c r="F1237" s="84">
        <f>INDEX(Definitions!$G$13:$G$17,MATCH(Table3[[#This Row],[Propensity to buy/ buyer readiness]],Definitions!$A$13:$A$17,0))</f>
        <v>10000</v>
      </c>
      <c r="G1237" s="86">
        <v>3</v>
      </c>
      <c r="H1237" s="86">
        <v>3</v>
      </c>
      <c r="I1237" s="86">
        <v>4</v>
      </c>
      <c r="J1237" s="86">
        <v>3</v>
      </c>
      <c r="K1237" s="86">
        <v>2</v>
      </c>
      <c r="L1237" s="86">
        <f>SUM(Table3[[#This Row],[Strategic priority segment]:[Propensity to buy/ buyer readiness]])</f>
        <v>15</v>
      </c>
      <c r="M1237" s="86" t="s">
        <v>191</v>
      </c>
      <c r="N1237" s="84" t="s">
        <v>135</v>
      </c>
      <c r="O1237" s="84"/>
      <c r="P1237" s="87"/>
      <c r="Q1237" s="87"/>
      <c r="R1237" s="84"/>
      <c r="S1237" s="84"/>
      <c r="T1237" s="84"/>
      <c r="U1237" s="84">
        <v>0</v>
      </c>
      <c r="V1237" s="84">
        <v>0</v>
      </c>
      <c r="W1237" s="84">
        <v>0</v>
      </c>
      <c r="X1237" s="84">
        <v>0</v>
      </c>
      <c r="Y1237" s="84">
        <v>0</v>
      </c>
      <c r="Z1237" s="84">
        <v>0</v>
      </c>
      <c r="AA1237" s="84">
        <v>0</v>
      </c>
      <c r="AB1237" s="84">
        <v>0</v>
      </c>
      <c r="AC1237" s="84">
        <v>0</v>
      </c>
      <c r="AD1237" s="84">
        <v>0</v>
      </c>
      <c r="AE1237" s="84">
        <v>0</v>
      </c>
      <c r="AF1237" s="84">
        <v>0</v>
      </c>
      <c r="AG1237" s="84">
        <v>0</v>
      </c>
      <c r="AH1237" s="84">
        <v>1</v>
      </c>
      <c r="AI1237" s="84">
        <v>1</v>
      </c>
      <c r="AJ1237" s="84">
        <v>1</v>
      </c>
      <c r="AK1237" s="84">
        <v>1</v>
      </c>
      <c r="AL1237" s="84" cm="1">
        <f t="array" ref="AL12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37" s="84" cm="1">
        <f t="array" ref="AM12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7" s="84" cm="1">
        <f t="array" ref="AN12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7" s="84" cm="1">
        <f t="array" ref="AO12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7" s="84" cm="1">
        <f t="array" ref="AP12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7" s="84" cm="1">
        <f t="array" ref="AQ12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37" s="84" cm="1">
        <f t="array" ref="AR12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7" s="84" cm="1">
        <f t="array" ref="AS12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37" s="84" cm="1">
        <f t="array" ref="AT12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7" s="84" cm="1">
        <f t="array" ref="AU12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37" s="84" cm="1">
        <f t="array" ref="AV12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7" s="84" cm="1">
        <f t="array" ref="AW12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37" s="84" cm="1">
        <f t="array" ref="AX12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7" s="84" cm="1">
        <f t="array" ref="AY12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37" s="84" cm="1">
        <f t="array" ref="AZ12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37" s="84" cm="1">
        <f t="array" ref="BA12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37" s="84" cm="1">
        <f t="array" ref="BB12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37" s="84">
        <f>IF(SUM(Table3[[#This Row],[Column2]:[Column18]])&gt;Table3[[#This Row],[Column19]],Table3[[#This Row],[Column19]],SUM(Table3[[#This Row],[Column2]:[Column18]]))</f>
        <v>10000</v>
      </c>
      <c r="BD1237" s="2">
        <f>Table3[[#This Row],[Total Spend]]/SUM(Table3[[#This Row],[Column2]:[Column18]])</f>
        <v>0.21574973031283712</v>
      </c>
    </row>
    <row r="1238" spans="1:56">
      <c r="A1238" s="84" t="s">
        <v>1313</v>
      </c>
      <c r="B1238" s="84"/>
      <c r="C1238" s="84"/>
      <c r="D1238" s="85">
        <v>45566</v>
      </c>
      <c r="E1238" s="85" t="s">
        <v>58</v>
      </c>
      <c r="F1238" s="84">
        <f>INDEX(Definitions!$G$13:$G$17,MATCH(Table3[[#This Row],[Propensity to buy/ buyer readiness]],Definitions!$A$13:$A$17,0))</f>
        <v>150000</v>
      </c>
      <c r="G1238" s="86">
        <v>3</v>
      </c>
      <c r="H1238" s="86">
        <v>3</v>
      </c>
      <c r="I1238" s="86">
        <v>2</v>
      </c>
      <c r="J1238" s="86">
        <v>3</v>
      </c>
      <c r="K1238" s="86">
        <v>4</v>
      </c>
      <c r="L1238" s="86">
        <f>SUM(Table3[[#This Row],[Strategic priority segment]:[Propensity to buy/ buyer readiness]])</f>
        <v>15</v>
      </c>
      <c r="M1238" s="86" t="s">
        <v>152</v>
      </c>
      <c r="N1238" s="84" t="s">
        <v>122</v>
      </c>
      <c r="O1238" s="87"/>
      <c r="P1238" s="87"/>
      <c r="Q1238" s="87"/>
      <c r="R1238" s="87"/>
      <c r="S1238" s="87"/>
      <c r="T1238" s="87"/>
      <c r="U1238" s="84">
        <v>1</v>
      </c>
      <c r="V1238" s="84">
        <v>0</v>
      </c>
      <c r="W1238" s="84">
        <v>0</v>
      </c>
      <c r="X1238" s="84">
        <v>0</v>
      </c>
      <c r="Y1238" s="84">
        <v>0</v>
      </c>
      <c r="Z1238" s="84">
        <v>1</v>
      </c>
      <c r="AA1238" s="84">
        <v>0</v>
      </c>
      <c r="AB1238" s="84">
        <v>1</v>
      </c>
      <c r="AC1238" s="84">
        <v>0</v>
      </c>
      <c r="AD1238" s="84">
        <v>1</v>
      </c>
      <c r="AE1238" s="84">
        <v>0</v>
      </c>
      <c r="AF1238" s="84">
        <v>1</v>
      </c>
      <c r="AG1238" s="84">
        <v>0</v>
      </c>
      <c r="AH1238" s="84">
        <v>0</v>
      </c>
      <c r="AI1238" s="84">
        <v>0</v>
      </c>
      <c r="AJ1238" s="84">
        <v>0</v>
      </c>
      <c r="AK1238" s="84">
        <v>0</v>
      </c>
      <c r="AL1238" s="84" cm="1">
        <f t="array" ref="AL12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38" s="84" cm="1">
        <f t="array" ref="AM12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8" s="84" cm="1">
        <f t="array" ref="AN12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8" s="84" cm="1">
        <f t="array" ref="AO12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8" s="84" cm="1">
        <f t="array" ref="AP12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8" s="84" cm="1">
        <f t="array" ref="AQ12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38" s="84" cm="1">
        <f t="array" ref="AR12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8" s="84" cm="1">
        <f t="array" ref="AS12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38" s="84" cm="1">
        <f t="array" ref="AT12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8" s="84" cm="1">
        <f t="array" ref="AU12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38" s="84" cm="1">
        <f t="array" ref="AV12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8" s="84" cm="1">
        <f t="array" ref="AW12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38" s="84" cm="1">
        <f t="array" ref="AX12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8" s="84" cm="1">
        <f t="array" ref="AY12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38" s="84" cm="1">
        <f t="array" ref="AZ12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38" s="84" cm="1">
        <f t="array" ref="BA12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38" s="84" cm="1">
        <f t="array" ref="BB12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38" s="84">
        <f>IF(SUM(Table3[[#This Row],[Column2]:[Column18]])&gt;Table3[[#This Row],[Column19]],Table3[[#This Row],[Column19]],SUM(Table3[[#This Row],[Column2]:[Column18]]))</f>
        <v>150000</v>
      </c>
      <c r="BD1238" s="2">
        <f>Table3[[#This Row],[Total Spend]]/SUM(Table3[[#This Row],[Column2]:[Column18]])</f>
        <v>0.89605734767025091</v>
      </c>
    </row>
    <row r="1239" spans="1:56">
      <c r="A1239" s="84" t="s">
        <v>1314</v>
      </c>
      <c r="B1239" s="84"/>
      <c r="C1239" s="84"/>
      <c r="D1239" s="85">
        <v>45566</v>
      </c>
      <c r="E1239" s="85" t="s">
        <v>58</v>
      </c>
      <c r="F1239" s="84">
        <f>INDEX(Definitions!$G$13:$G$17,MATCH(Table3[[#This Row],[Propensity to buy/ buyer readiness]],Definitions!$A$13:$A$17,0))</f>
        <v>150000</v>
      </c>
      <c r="G1239" s="86">
        <v>3</v>
      </c>
      <c r="H1239" s="86">
        <v>3</v>
      </c>
      <c r="I1239" s="86">
        <v>2</v>
      </c>
      <c r="J1239" s="86">
        <v>3</v>
      </c>
      <c r="K1239" s="86">
        <v>4</v>
      </c>
      <c r="L1239" s="86">
        <f>SUM(Table3[[#This Row],[Strategic priority segment]:[Propensity to buy/ buyer readiness]])</f>
        <v>15</v>
      </c>
      <c r="M1239" s="86" t="s">
        <v>152</v>
      </c>
      <c r="N1239" s="84" t="s">
        <v>122</v>
      </c>
      <c r="O1239" s="84"/>
      <c r="P1239" s="87"/>
      <c r="Q1239" s="87"/>
      <c r="R1239" s="84"/>
      <c r="S1239" s="87"/>
      <c r="T1239" s="84"/>
      <c r="U1239" s="84">
        <v>1</v>
      </c>
      <c r="V1239" s="84">
        <v>0</v>
      </c>
      <c r="W1239" s="84">
        <v>0</v>
      </c>
      <c r="X1239" s="84">
        <v>0</v>
      </c>
      <c r="Y1239" s="84">
        <v>0</v>
      </c>
      <c r="Z1239" s="84">
        <v>1</v>
      </c>
      <c r="AA1239" s="84">
        <v>0</v>
      </c>
      <c r="AB1239" s="84">
        <v>1</v>
      </c>
      <c r="AC1239" s="84">
        <v>0</v>
      </c>
      <c r="AD1239" s="84">
        <v>1</v>
      </c>
      <c r="AE1239" s="84">
        <v>0</v>
      </c>
      <c r="AF1239" s="84">
        <v>1</v>
      </c>
      <c r="AG1239" s="84">
        <v>0</v>
      </c>
      <c r="AH1239" s="84">
        <v>0</v>
      </c>
      <c r="AI1239" s="84">
        <v>0</v>
      </c>
      <c r="AJ1239" s="84">
        <v>0</v>
      </c>
      <c r="AK1239" s="84">
        <v>0</v>
      </c>
      <c r="AL1239" s="84" cm="1">
        <f t="array" ref="AL12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39" s="84" cm="1">
        <f t="array" ref="AM12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39" s="84" cm="1">
        <f t="array" ref="AN12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39" s="84" cm="1">
        <f t="array" ref="AO12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39" s="84" cm="1">
        <f t="array" ref="AP12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39" s="84" cm="1">
        <f t="array" ref="AQ12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39" s="84" cm="1">
        <f t="array" ref="AR12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39" s="84" cm="1">
        <f t="array" ref="AS12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39" s="84" cm="1">
        <f t="array" ref="AT12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39" s="84" cm="1">
        <f t="array" ref="AU12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39" s="84" cm="1">
        <f t="array" ref="AV12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39" s="84" cm="1">
        <f t="array" ref="AW12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39" s="84" cm="1">
        <f t="array" ref="AX12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39" s="84" cm="1">
        <f t="array" ref="AY12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39" s="84" cm="1">
        <f t="array" ref="AZ12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39" s="84" cm="1">
        <f t="array" ref="BA12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39" s="84" cm="1">
        <f t="array" ref="BB12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39" s="84">
        <f>IF(SUM(Table3[[#This Row],[Column2]:[Column18]])&gt;Table3[[#This Row],[Column19]],Table3[[#This Row],[Column19]],SUM(Table3[[#This Row],[Column2]:[Column18]]))</f>
        <v>150000</v>
      </c>
      <c r="BD1239" s="2">
        <f>Table3[[#This Row],[Total Spend]]/SUM(Table3[[#This Row],[Column2]:[Column18]])</f>
        <v>0.89605734767025091</v>
      </c>
    </row>
    <row r="1240" spans="1:56">
      <c r="A1240" s="84" t="s">
        <v>1315</v>
      </c>
      <c r="B1240" s="84"/>
      <c r="C1240" s="84"/>
      <c r="D1240" s="85">
        <v>45566</v>
      </c>
      <c r="E1240" s="85" t="s">
        <v>58</v>
      </c>
      <c r="F1240" s="84">
        <f>INDEX(Definitions!$G$13:$G$17,MATCH(Table3[[#This Row],[Propensity to buy/ buyer readiness]],Definitions!$A$13:$A$17,0))</f>
        <v>150000</v>
      </c>
      <c r="G1240" s="86">
        <v>3</v>
      </c>
      <c r="H1240" s="86">
        <v>3</v>
      </c>
      <c r="I1240" s="86">
        <v>2</v>
      </c>
      <c r="J1240" s="86">
        <v>3</v>
      </c>
      <c r="K1240" s="86">
        <v>4</v>
      </c>
      <c r="L1240" s="86">
        <f>SUM(Table3[[#This Row],[Strategic priority segment]:[Propensity to buy/ buyer readiness]])</f>
        <v>15</v>
      </c>
      <c r="M1240" s="86" t="s">
        <v>152</v>
      </c>
      <c r="N1240" s="84" t="s">
        <v>122</v>
      </c>
      <c r="O1240" s="84"/>
      <c r="P1240" s="87"/>
      <c r="Q1240" s="87"/>
      <c r="R1240" s="84"/>
      <c r="S1240" s="87"/>
      <c r="T1240" s="87"/>
      <c r="U1240" s="84">
        <v>1</v>
      </c>
      <c r="V1240" s="84">
        <v>0</v>
      </c>
      <c r="W1240" s="84">
        <v>0</v>
      </c>
      <c r="X1240" s="84">
        <v>0</v>
      </c>
      <c r="Y1240" s="84">
        <v>0</v>
      </c>
      <c r="Z1240" s="84">
        <v>1</v>
      </c>
      <c r="AA1240" s="84">
        <v>0</v>
      </c>
      <c r="AB1240" s="84">
        <v>1</v>
      </c>
      <c r="AC1240" s="84">
        <v>0</v>
      </c>
      <c r="AD1240" s="84">
        <v>1</v>
      </c>
      <c r="AE1240" s="84">
        <v>0</v>
      </c>
      <c r="AF1240" s="84">
        <v>1</v>
      </c>
      <c r="AG1240" s="84">
        <v>0</v>
      </c>
      <c r="AH1240" s="84">
        <v>0</v>
      </c>
      <c r="AI1240" s="84">
        <v>0</v>
      </c>
      <c r="AJ1240" s="84">
        <v>0</v>
      </c>
      <c r="AK1240" s="84">
        <v>0</v>
      </c>
      <c r="AL1240" s="84" cm="1">
        <f t="array" ref="AL12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40" s="84" cm="1">
        <f t="array" ref="AM12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0" s="84" cm="1">
        <f t="array" ref="AN12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0" s="84" cm="1">
        <f t="array" ref="AO12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0" s="84" cm="1">
        <f t="array" ref="AP12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0" s="84" cm="1">
        <f t="array" ref="AQ12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40" s="84" cm="1">
        <f t="array" ref="AR12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0" s="84" cm="1">
        <f t="array" ref="AS12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40" s="84" cm="1">
        <f t="array" ref="AT12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0" s="84" cm="1">
        <f t="array" ref="AU12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40" s="84" cm="1">
        <f t="array" ref="AV12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0" s="84" cm="1">
        <f t="array" ref="AW12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40" s="84" cm="1">
        <f t="array" ref="AX12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0" s="84" cm="1">
        <f t="array" ref="AY12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0" s="84" cm="1">
        <f t="array" ref="AZ12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40" s="84" cm="1">
        <f t="array" ref="BA12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0" s="84" cm="1">
        <f t="array" ref="BB12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0" s="84">
        <f>IF(SUM(Table3[[#This Row],[Column2]:[Column18]])&gt;Table3[[#This Row],[Column19]],Table3[[#This Row],[Column19]],SUM(Table3[[#This Row],[Column2]:[Column18]]))</f>
        <v>150000</v>
      </c>
      <c r="BD1240" s="2">
        <f>Table3[[#This Row],[Total Spend]]/SUM(Table3[[#This Row],[Column2]:[Column18]])</f>
        <v>0.89605734767025091</v>
      </c>
    </row>
    <row r="1241" spans="1:56">
      <c r="A1241" s="84" t="s">
        <v>1316</v>
      </c>
      <c r="B1241" s="84" t="s">
        <v>57</v>
      </c>
      <c r="C1241" s="84"/>
      <c r="D1241" s="85">
        <v>45566</v>
      </c>
      <c r="E1241" s="85" t="s">
        <v>92</v>
      </c>
      <c r="F1241" s="84">
        <f>INDEX(Definitions!$G$13:$G$17,MATCH(Table3[[#This Row],[Propensity to buy/ buyer readiness]],Definitions!$A$13:$A$17,0))</f>
        <v>10000</v>
      </c>
      <c r="G1241" s="86">
        <v>3</v>
      </c>
      <c r="H1241" s="86">
        <v>3</v>
      </c>
      <c r="I1241" s="86">
        <v>4</v>
      </c>
      <c r="J1241" s="86">
        <v>3</v>
      </c>
      <c r="K1241" s="86">
        <v>2</v>
      </c>
      <c r="L1241" s="86">
        <f>SUM(Table3[[#This Row],[Strategic priority segment]:[Propensity to buy/ buyer readiness]])</f>
        <v>15</v>
      </c>
      <c r="M1241" s="86" t="s">
        <v>152</v>
      </c>
      <c r="N1241" s="84" t="s">
        <v>264</v>
      </c>
      <c r="O1241" s="84"/>
      <c r="P1241" s="87"/>
      <c r="Q1241" s="87"/>
      <c r="R1241" s="84"/>
      <c r="S1241" s="84"/>
      <c r="T1241" s="84"/>
      <c r="U1241" s="84">
        <v>1</v>
      </c>
      <c r="V1241" s="84">
        <v>0</v>
      </c>
      <c r="W1241" s="84">
        <v>0</v>
      </c>
      <c r="X1241" s="84">
        <v>0</v>
      </c>
      <c r="Y1241" s="84">
        <v>0</v>
      </c>
      <c r="Z1241" s="84">
        <v>0</v>
      </c>
      <c r="AA1241" s="84">
        <v>0</v>
      </c>
      <c r="AB1241" s="84">
        <v>0</v>
      </c>
      <c r="AC1241" s="84">
        <v>0</v>
      </c>
      <c r="AD1241" s="84">
        <v>0</v>
      </c>
      <c r="AE1241" s="84">
        <v>0</v>
      </c>
      <c r="AF1241" s="84">
        <v>0</v>
      </c>
      <c r="AG1241" s="84">
        <v>0</v>
      </c>
      <c r="AH1241" s="84">
        <v>0</v>
      </c>
      <c r="AI1241" s="84">
        <v>0</v>
      </c>
      <c r="AJ1241" s="84">
        <v>0</v>
      </c>
      <c r="AK1241" s="84">
        <v>0</v>
      </c>
      <c r="AL1241" s="84" cm="1">
        <f t="array" ref="AL12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41" s="84" cm="1">
        <f t="array" ref="AM12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1" s="84" cm="1">
        <f t="array" ref="AN12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1" s="84" cm="1">
        <f t="array" ref="AO12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1" s="84" cm="1">
        <f t="array" ref="AP12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1" s="84" cm="1">
        <f t="array" ref="AQ12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1" s="84" cm="1">
        <f t="array" ref="AR12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1" s="84" cm="1">
        <f t="array" ref="AS12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1" s="84" cm="1">
        <f t="array" ref="AT12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1" s="84" cm="1">
        <f t="array" ref="AU12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1" s="84" cm="1">
        <f t="array" ref="AV12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1" s="84" cm="1">
        <f t="array" ref="AW12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1" s="84" cm="1">
        <f t="array" ref="AX12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1" s="84" cm="1">
        <f t="array" ref="AY12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1" s="84" cm="1">
        <f t="array" ref="AZ12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41" s="84" cm="1">
        <f t="array" ref="BA12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1" s="84" cm="1">
        <f t="array" ref="BB12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1" s="84">
        <f>IF(SUM(Table3[[#This Row],[Column2]:[Column18]])&gt;Table3[[#This Row],[Column19]],Table3[[#This Row],[Column19]],SUM(Table3[[#This Row],[Column2]:[Column18]]))</f>
        <v>8100</v>
      </c>
      <c r="BD1241" s="2">
        <f>Table3[[#This Row],[Total Spend]]/SUM(Table3[[#This Row],[Column2]:[Column18]])</f>
        <v>1</v>
      </c>
    </row>
    <row r="1242" spans="1:56">
      <c r="A1242" s="84" t="s">
        <v>1317</v>
      </c>
      <c r="B1242" s="84"/>
      <c r="C1242" s="84"/>
      <c r="D1242" s="85">
        <v>45566</v>
      </c>
      <c r="E1242" s="85" t="s">
        <v>58</v>
      </c>
      <c r="F1242" s="84">
        <f>INDEX(Definitions!$G$13:$G$17,MATCH(Table3[[#This Row],[Propensity to buy/ buyer readiness]],Definitions!$A$13:$A$17,0))</f>
        <v>150000</v>
      </c>
      <c r="G1242" s="86">
        <v>3</v>
      </c>
      <c r="H1242" s="86">
        <v>3</v>
      </c>
      <c r="I1242" s="86">
        <v>2</v>
      </c>
      <c r="J1242" s="86">
        <v>3</v>
      </c>
      <c r="K1242" s="86">
        <v>4</v>
      </c>
      <c r="L1242" s="86">
        <f>SUM(Table3[[#This Row],[Strategic priority segment]:[Propensity to buy/ buyer readiness]])</f>
        <v>15</v>
      </c>
      <c r="M1242" s="86" t="s">
        <v>152</v>
      </c>
      <c r="N1242" s="84" t="s">
        <v>122</v>
      </c>
      <c r="O1242" s="84"/>
      <c r="P1242" s="87"/>
      <c r="Q1242" s="87"/>
      <c r="R1242" s="84"/>
      <c r="S1242" s="87"/>
      <c r="T1242" s="87"/>
      <c r="U1242" s="84">
        <v>1</v>
      </c>
      <c r="V1242" s="84">
        <v>0</v>
      </c>
      <c r="W1242" s="84">
        <v>0</v>
      </c>
      <c r="X1242" s="84">
        <v>0</v>
      </c>
      <c r="Y1242" s="84">
        <v>0</v>
      </c>
      <c r="Z1242" s="84">
        <v>1</v>
      </c>
      <c r="AA1242" s="84">
        <v>0</v>
      </c>
      <c r="AB1242" s="84">
        <v>1</v>
      </c>
      <c r="AC1242" s="84">
        <v>0</v>
      </c>
      <c r="AD1242" s="84">
        <v>1</v>
      </c>
      <c r="AE1242" s="84">
        <v>0</v>
      </c>
      <c r="AF1242" s="84">
        <v>1</v>
      </c>
      <c r="AG1242" s="84">
        <v>0</v>
      </c>
      <c r="AH1242" s="84">
        <v>0</v>
      </c>
      <c r="AI1242" s="84">
        <v>0</v>
      </c>
      <c r="AJ1242" s="84">
        <v>0</v>
      </c>
      <c r="AK1242" s="84">
        <v>0</v>
      </c>
      <c r="AL1242" s="84" cm="1">
        <f t="array" ref="AL12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42" s="84" cm="1">
        <f t="array" ref="AM12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2" s="84" cm="1">
        <f t="array" ref="AN12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2" s="84" cm="1">
        <f t="array" ref="AO12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2" s="84" cm="1">
        <f t="array" ref="AP12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2" s="84" cm="1">
        <f t="array" ref="AQ12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42" s="84" cm="1">
        <f t="array" ref="AR12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2" s="84" cm="1">
        <f t="array" ref="AS12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42" s="84" cm="1">
        <f t="array" ref="AT12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2" s="84" cm="1">
        <f t="array" ref="AU12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42" s="84" cm="1">
        <f t="array" ref="AV12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2" s="84" cm="1">
        <f t="array" ref="AW12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42" s="84" cm="1">
        <f t="array" ref="AX12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2" s="84" cm="1">
        <f t="array" ref="AY12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2" s="84" cm="1">
        <f t="array" ref="AZ12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42" s="84" cm="1">
        <f t="array" ref="BA12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2" s="84" cm="1">
        <f t="array" ref="BB12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2" s="84">
        <f>IF(SUM(Table3[[#This Row],[Column2]:[Column18]])&gt;Table3[[#This Row],[Column19]],Table3[[#This Row],[Column19]],SUM(Table3[[#This Row],[Column2]:[Column18]]))</f>
        <v>150000</v>
      </c>
      <c r="BD1242" s="2">
        <f>Table3[[#This Row],[Total Spend]]/SUM(Table3[[#This Row],[Column2]:[Column18]])</f>
        <v>0.89605734767025091</v>
      </c>
    </row>
    <row r="1243" spans="1:56">
      <c r="A1243" s="84" t="s">
        <v>1318</v>
      </c>
      <c r="B1243" s="84"/>
      <c r="C1243" s="84"/>
      <c r="D1243" s="85">
        <v>45566</v>
      </c>
      <c r="E1243" s="85" t="s">
        <v>92</v>
      </c>
      <c r="F1243" s="84">
        <f>INDEX(Definitions!$G$13:$G$17,MATCH(Table3[[#This Row],[Propensity to buy/ buyer readiness]],Definitions!$A$13:$A$17,0))</f>
        <v>50000</v>
      </c>
      <c r="G1243" s="86">
        <v>3</v>
      </c>
      <c r="H1243" s="86">
        <v>3</v>
      </c>
      <c r="I1243" s="86">
        <v>3</v>
      </c>
      <c r="J1243" s="86">
        <v>3</v>
      </c>
      <c r="K1243" s="86">
        <v>3</v>
      </c>
      <c r="L1243" s="86">
        <f>SUM(Table3[[#This Row],[Strategic priority segment]:[Propensity to buy/ buyer readiness]])</f>
        <v>15</v>
      </c>
      <c r="M1243" s="86" t="s">
        <v>191</v>
      </c>
      <c r="N1243" s="84" t="s">
        <v>76</v>
      </c>
      <c r="O1243" s="84"/>
      <c r="P1243" s="84"/>
      <c r="Q1243" s="84"/>
      <c r="R1243" s="84"/>
      <c r="S1243" s="87"/>
      <c r="T1243" s="84"/>
      <c r="U1243" s="84">
        <v>0</v>
      </c>
      <c r="V1243" s="84">
        <v>0</v>
      </c>
      <c r="W1243" s="84">
        <v>0</v>
      </c>
      <c r="X1243" s="84">
        <v>0</v>
      </c>
      <c r="Y1243" s="84">
        <v>0</v>
      </c>
      <c r="Z1243" s="84">
        <v>0</v>
      </c>
      <c r="AA1243" s="84">
        <v>0</v>
      </c>
      <c r="AB1243" s="84">
        <v>0</v>
      </c>
      <c r="AC1243" s="84">
        <v>0</v>
      </c>
      <c r="AD1243" s="84">
        <v>0</v>
      </c>
      <c r="AE1243" s="84">
        <v>0</v>
      </c>
      <c r="AF1243" s="84">
        <v>0</v>
      </c>
      <c r="AG1243" s="84">
        <v>0</v>
      </c>
      <c r="AH1243" s="84">
        <v>1</v>
      </c>
      <c r="AI1243" s="84">
        <v>0</v>
      </c>
      <c r="AJ1243" s="84">
        <v>1</v>
      </c>
      <c r="AK1243" s="84">
        <v>0</v>
      </c>
      <c r="AL1243" s="84" cm="1">
        <f t="array" ref="AL12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43" s="84" cm="1">
        <f t="array" ref="AM12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3" s="84" cm="1">
        <f t="array" ref="AN12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3" s="84" cm="1">
        <f t="array" ref="AO12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3" s="84" cm="1">
        <f t="array" ref="AP12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3" s="84" cm="1">
        <f t="array" ref="AQ12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3" s="84" cm="1">
        <f t="array" ref="AR12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3" s="84" cm="1">
        <f t="array" ref="AS12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3" s="84" cm="1">
        <f t="array" ref="AT12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3" s="84" cm="1">
        <f t="array" ref="AU12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3" s="84" cm="1">
        <f t="array" ref="AV12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3" s="84" cm="1">
        <f t="array" ref="AW12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3" s="84" cm="1">
        <f t="array" ref="AX12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3" s="84" cm="1">
        <f t="array" ref="AY12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43" s="84" cm="1">
        <f t="array" ref="AZ12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43" s="84" cm="1">
        <f t="array" ref="BA12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43" s="84" cm="1">
        <f t="array" ref="BB12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3" s="84">
        <f>IF(SUM(Table3[[#This Row],[Column2]:[Column18]])&gt;Table3[[#This Row],[Column19]],Table3[[#This Row],[Column19]],SUM(Table3[[#This Row],[Column2]:[Column18]]))</f>
        <v>30600</v>
      </c>
      <c r="BD1243" s="2">
        <f>Table3[[#This Row],[Total Spend]]/SUM(Table3[[#This Row],[Column2]:[Column18]])</f>
        <v>1</v>
      </c>
    </row>
    <row r="1244" spans="1:56">
      <c r="A1244" s="84" t="s">
        <v>1319</v>
      </c>
      <c r="B1244" s="84"/>
      <c r="C1244" s="84" t="s">
        <v>57</v>
      </c>
      <c r="D1244" s="85">
        <v>45566</v>
      </c>
      <c r="E1244" s="85" t="s">
        <v>58</v>
      </c>
      <c r="F1244" s="84">
        <f>INDEX(Definitions!$G$13:$G$17,MATCH(Table3[[#This Row],[Propensity to buy/ buyer readiness]],Definitions!$A$13:$A$17,0))</f>
        <v>50000</v>
      </c>
      <c r="G1244" s="86">
        <v>3</v>
      </c>
      <c r="H1244" s="86">
        <v>3</v>
      </c>
      <c r="I1244" s="86">
        <v>3</v>
      </c>
      <c r="J1244" s="86">
        <v>3</v>
      </c>
      <c r="K1244" s="86">
        <v>3</v>
      </c>
      <c r="L1244" s="86">
        <f>SUM(Table3[[#This Row],[Strategic priority segment]:[Propensity to buy/ buyer readiness]])</f>
        <v>15</v>
      </c>
      <c r="M1244" s="86" t="s">
        <v>152</v>
      </c>
      <c r="N1244" s="84" t="s">
        <v>153</v>
      </c>
      <c r="O1244" s="84"/>
      <c r="P1244" s="87"/>
      <c r="Q1244" s="87"/>
      <c r="R1244" s="84"/>
      <c r="S1244" s="87"/>
      <c r="T1244" s="87"/>
      <c r="U1244" s="84">
        <v>1</v>
      </c>
      <c r="V1244" s="84">
        <v>0</v>
      </c>
      <c r="W1244" s="84">
        <v>0</v>
      </c>
      <c r="X1244" s="84">
        <v>0</v>
      </c>
      <c r="Y1244" s="84">
        <v>0</v>
      </c>
      <c r="Z1244" s="84">
        <v>0</v>
      </c>
      <c r="AA1244" s="84">
        <v>0</v>
      </c>
      <c r="AB1244" s="84">
        <v>0</v>
      </c>
      <c r="AC1244" s="84">
        <v>0</v>
      </c>
      <c r="AD1244" s="84">
        <v>0</v>
      </c>
      <c r="AE1244" s="84">
        <v>0</v>
      </c>
      <c r="AF1244" s="84">
        <v>0</v>
      </c>
      <c r="AG1244" s="84">
        <v>0</v>
      </c>
      <c r="AH1244" s="84">
        <v>0</v>
      </c>
      <c r="AI1244" s="84">
        <v>0</v>
      </c>
      <c r="AJ1244" s="84">
        <v>0</v>
      </c>
      <c r="AK1244" s="84">
        <v>0</v>
      </c>
      <c r="AL1244" s="84" cm="1">
        <f t="array" ref="AL12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44" s="84" cm="1">
        <f t="array" ref="AM12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4" s="84" cm="1">
        <f t="array" ref="AN12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4" s="84" cm="1">
        <f t="array" ref="AO12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4" s="84" cm="1">
        <f t="array" ref="AP12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4" s="84" cm="1">
        <f t="array" ref="AQ12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4" s="84" cm="1">
        <f t="array" ref="AR12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4" s="84" cm="1">
        <f t="array" ref="AS12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4" s="84" cm="1">
        <f t="array" ref="AT12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4" s="84" cm="1">
        <f t="array" ref="AU12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4" s="84" cm="1">
        <f t="array" ref="AV12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4" s="84" cm="1">
        <f t="array" ref="AW12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4" s="84" cm="1">
        <f t="array" ref="AX12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4" s="84" cm="1">
        <f t="array" ref="AY12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4" s="84" cm="1">
        <f t="array" ref="AZ12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44" s="84" cm="1">
        <f t="array" ref="BA12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4" s="84" cm="1">
        <f t="array" ref="BB12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4" s="84">
        <f>IF(SUM(Table3[[#This Row],[Column2]:[Column18]])&gt;Table3[[#This Row],[Column19]],Table3[[#This Row],[Column19]],SUM(Table3[[#This Row],[Column2]:[Column18]]))</f>
        <v>10800</v>
      </c>
      <c r="BD1244" s="2">
        <f>Table3[[#This Row],[Total Spend]]/SUM(Table3[[#This Row],[Column2]:[Column18]])</f>
        <v>1</v>
      </c>
    </row>
    <row r="1245" spans="1:56">
      <c r="A1245" s="87" t="s">
        <v>1320</v>
      </c>
      <c r="B1245" s="87"/>
      <c r="C1245" s="87"/>
      <c r="D1245" s="85">
        <v>45566</v>
      </c>
      <c r="E1245" s="85" t="s">
        <v>58</v>
      </c>
      <c r="F1245" s="84">
        <f>INDEX(Definitions!$G$13:$G$17,MATCH(Table3[[#This Row],[Propensity to buy/ buyer readiness]],Definitions!$A$13:$A$17,0))</f>
        <v>150000</v>
      </c>
      <c r="G1245" s="86">
        <v>3</v>
      </c>
      <c r="H1245" s="86">
        <v>3</v>
      </c>
      <c r="I1245" s="86">
        <v>2</v>
      </c>
      <c r="J1245" s="86">
        <v>3</v>
      </c>
      <c r="K1245" s="86">
        <v>4</v>
      </c>
      <c r="L1245" s="86">
        <f>SUM(Table3[[#This Row],[Strategic priority segment]:[Propensity to buy/ buyer readiness]])</f>
        <v>15</v>
      </c>
      <c r="M1245" s="86" t="s">
        <v>152</v>
      </c>
      <c r="N1245" s="84" t="s">
        <v>122</v>
      </c>
      <c r="O1245" s="87" t="s">
        <v>135</v>
      </c>
      <c r="P1245" s="87"/>
      <c r="Q1245" s="87"/>
      <c r="R1245" s="84"/>
      <c r="S1245" s="87"/>
      <c r="T1245" s="87"/>
      <c r="U1245" s="84">
        <v>1</v>
      </c>
      <c r="V1245" s="84">
        <v>0</v>
      </c>
      <c r="W1245" s="84">
        <v>0</v>
      </c>
      <c r="X1245" s="84">
        <v>0</v>
      </c>
      <c r="Y1245" s="84">
        <v>0</v>
      </c>
      <c r="Z1245" s="84">
        <v>1</v>
      </c>
      <c r="AA1245" s="84">
        <v>0</v>
      </c>
      <c r="AB1245" s="84">
        <v>1</v>
      </c>
      <c r="AC1245" s="84">
        <v>0</v>
      </c>
      <c r="AD1245" s="84">
        <v>1</v>
      </c>
      <c r="AE1245" s="84">
        <v>0</v>
      </c>
      <c r="AF1245" s="84">
        <v>1</v>
      </c>
      <c r="AG1245" s="84">
        <v>0</v>
      </c>
      <c r="AH1245" s="84">
        <v>1</v>
      </c>
      <c r="AI1245" s="84">
        <v>1</v>
      </c>
      <c r="AJ1245" s="84">
        <v>1</v>
      </c>
      <c r="AK1245" s="84">
        <v>1</v>
      </c>
      <c r="AL1245" s="84" cm="1">
        <f t="array" ref="AL12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45" s="84" cm="1">
        <f t="array" ref="AM12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5" s="84" cm="1">
        <f t="array" ref="AN12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5" s="84" cm="1">
        <f t="array" ref="AO12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5" s="84" cm="1">
        <f t="array" ref="AP12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5" s="84" cm="1">
        <f t="array" ref="AQ12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45" s="84" cm="1">
        <f t="array" ref="AR12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5" s="84" cm="1">
        <f t="array" ref="AS12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45" s="84" cm="1">
        <f t="array" ref="AT12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5" s="84" cm="1">
        <f t="array" ref="AU12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45" s="84" cm="1">
        <f t="array" ref="AV12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5" s="84" cm="1">
        <f t="array" ref="AW12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45" s="84" cm="1">
        <f t="array" ref="AX12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5" s="84" cm="1">
        <f t="array" ref="AY12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245" s="84" cm="1">
        <f t="array" ref="AZ12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245" s="84" cm="1">
        <f t="array" ref="BA12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245" s="84" cm="1">
        <f t="array" ref="BB12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245" s="84">
        <f>IF(SUM(Table3[[#This Row],[Column2]:[Column18]])&gt;Table3[[#This Row],[Column19]],Table3[[#This Row],[Column19]],SUM(Table3[[#This Row],[Column2]:[Column18]]))</f>
        <v>150000</v>
      </c>
      <c r="BD1245" s="2">
        <f>Table3[[#This Row],[Total Spend]]/SUM(Table3[[#This Row],[Column2]:[Column18]])</f>
        <v>0.6472491909385113</v>
      </c>
    </row>
    <row r="1246" spans="1:56">
      <c r="A1246" s="84" t="s">
        <v>1321</v>
      </c>
      <c r="B1246" s="84"/>
      <c r="C1246" s="84"/>
      <c r="D1246" s="85">
        <v>45566</v>
      </c>
      <c r="E1246" s="85" t="s">
        <v>92</v>
      </c>
      <c r="F1246" s="84">
        <f>INDEX(Definitions!$G$13:$G$17,MATCH(Table3[[#This Row],[Propensity to buy/ buyer readiness]],Definitions!$A$13:$A$17,0))</f>
        <v>10000</v>
      </c>
      <c r="G1246" s="86">
        <v>3</v>
      </c>
      <c r="H1246" s="86">
        <v>3</v>
      </c>
      <c r="I1246" s="86">
        <v>3</v>
      </c>
      <c r="J1246" s="86">
        <v>4</v>
      </c>
      <c r="K1246" s="86">
        <v>2</v>
      </c>
      <c r="L1246" s="86">
        <f>SUM(Table3[[#This Row],[Strategic priority segment]:[Propensity to buy/ buyer readiness]])</f>
        <v>15</v>
      </c>
      <c r="M1246" s="86" t="s">
        <v>59</v>
      </c>
      <c r="N1246" s="84" t="s">
        <v>265</v>
      </c>
      <c r="O1246" s="84"/>
      <c r="P1246" s="87"/>
      <c r="Q1246" s="87"/>
      <c r="R1246" s="84"/>
      <c r="S1246" s="87"/>
      <c r="T1246" s="87"/>
      <c r="U1246" s="84">
        <v>1</v>
      </c>
      <c r="V1246" s="84">
        <v>1</v>
      </c>
      <c r="W1246" s="84">
        <v>1</v>
      </c>
      <c r="X1246" s="84">
        <v>1</v>
      </c>
      <c r="Y1246" s="84">
        <v>0</v>
      </c>
      <c r="Z1246" s="84">
        <v>0</v>
      </c>
      <c r="AA1246" s="84">
        <v>0</v>
      </c>
      <c r="AB1246" s="84">
        <v>0</v>
      </c>
      <c r="AC1246" s="84">
        <v>0</v>
      </c>
      <c r="AD1246" s="84">
        <v>0</v>
      </c>
      <c r="AE1246" s="84">
        <v>0</v>
      </c>
      <c r="AF1246" s="84">
        <v>0</v>
      </c>
      <c r="AG1246" s="84">
        <v>0</v>
      </c>
      <c r="AH1246" s="84">
        <v>0</v>
      </c>
      <c r="AI1246" s="84">
        <v>1</v>
      </c>
      <c r="AJ1246" s="84">
        <v>0</v>
      </c>
      <c r="AK1246" s="84">
        <v>0</v>
      </c>
      <c r="AL1246" s="84" cm="1">
        <f t="array" ref="AL12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46" s="84" cm="1">
        <f t="array" ref="AM12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46" s="84" cm="1">
        <f t="array" ref="AN12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46" s="84" cm="1">
        <f t="array" ref="AO12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46" s="84" cm="1">
        <f t="array" ref="AP12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6" s="84" cm="1">
        <f t="array" ref="AQ12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6" s="84" cm="1">
        <f t="array" ref="AR12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6" s="84" cm="1">
        <f t="array" ref="AS12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6" s="84" cm="1">
        <f t="array" ref="AT12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6" s="84" cm="1">
        <f t="array" ref="AU12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6" s="84" cm="1">
        <f t="array" ref="AV12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6" s="84" cm="1">
        <f t="array" ref="AW12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6" s="84" cm="1">
        <f t="array" ref="AX12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6" s="84" cm="1">
        <f t="array" ref="AY12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6" s="84" cm="1">
        <f t="array" ref="AZ12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46" s="84" cm="1">
        <f t="array" ref="BA12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6" s="84" cm="1">
        <f t="array" ref="BB12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6" s="84">
        <f>IF(SUM(Table3[[#This Row],[Column2]:[Column18]])&gt;Table3[[#This Row],[Column19]],Table3[[#This Row],[Column19]],SUM(Table3[[#This Row],[Column2]:[Column18]]))</f>
        <v>10000</v>
      </c>
      <c r="BD1246" s="2">
        <f>Table3[[#This Row],[Total Spend]]/SUM(Table3[[#This Row],[Column2]:[Column18]])</f>
        <v>7.2859744990892539E-2</v>
      </c>
    </row>
    <row r="1247" spans="1:56">
      <c r="A1247" s="84" t="s">
        <v>1322</v>
      </c>
      <c r="B1247" s="84"/>
      <c r="C1247" s="84" t="s">
        <v>57</v>
      </c>
      <c r="D1247" s="85">
        <v>45566</v>
      </c>
      <c r="E1247" s="85" t="s">
        <v>92</v>
      </c>
      <c r="F1247" s="84">
        <f>INDEX(Definitions!$G$13:$G$17,MATCH(Table3[[#This Row],[Propensity to buy/ buyer readiness]],Definitions!$A$13:$A$17,0))</f>
        <v>10000</v>
      </c>
      <c r="G1247" s="86">
        <v>3</v>
      </c>
      <c r="H1247" s="86">
        <v>3</v>
      </c>
      <c r="I1247" s="86">
        <v>3</v>
      </c>
      <c r="J1247" s="86">
        <v>4</v>
      </c>
      <c r="K1247" s="86">
        <v>2</v>
      </c>
      <c r="L1247" s="86">
        <f>SUM(Table3[[#This Row],[Strategic priority segment]:[Propensity to buy/ buyer readiness]])</f>
        <v>15</v>
      </c>
      <c r="M1247" s="86" t="s">
        <v>59</v>
      </c>
      <c r="N1247" s="84" t="s">
        <v>265</v>
      </c>
      <c r="O1247" s="84"/>
      <c r="P1247" s="87"/>
      <c r="Q1247" s="87"/>
      <c r="R1247" s="84"/>
      <c r="S1247" s="87"/>
      <c r="T1247" s="87"/>
      <c r="U1247" s="84">
        <v>1</v>
      </c>
      <c r="V1247" s="84">
        <v>1</v>
      </c>
      <c r="W1247" s="84">
        <v>1</v>
      </c>
      <c r="X1247" s="84">
        <v>1</v>
      </c>
      <c r="Y1247" s="84">
        <v>0</v>
      </c>
      <c r="Z1247" s="84">
        <v>0</v>
      </c>
      <c r="AA1247" s="84">
        <v>0</v>
      </c>
      <c r="AB1247" s="84">
        <v>0</v>
      </c>
      <c r="AC1247" s="84">
        <v>0</v>
      </c>
      <c r="AD1247" s="84">
        <v>0</v>
      </c>
      <c r="AE1247" s="84">
        <v>0</v>
      </c>
      <c r="AF1247" s="84">
        <v>0</v>
      </c>
      <c r="AG1247" s="84">
        <v>0</v>
      </c>
      <c r="AH1247" s="84">
        <v>0</v>
      </c>
      <c r="AI1247" s="84">
        <v>1</v>
      </c>
      <c r="AJ1247" s="84">
        <v>0</v>
      </c>
      <c r="AK1247" s="84">
        <v>0</v>
      </c>
      <c r="AL1247" s="84" cm="1">
        <f t="array" ref="AL12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47" s="84" cm="1">
        <f t="array" ref="AM12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47" s="84" cm="1">
        <f t="array" ref="AN12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47" s="84" cm="1">
        <f t="array" ref="AO12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47" s="84" cm="1">
        <f t="array" ref="AP12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7" s="84" cm="1">
        <f t="array" ref="AQ12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7" s="84" cm="1">
        <f t="array" ref="AR12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7" s="84" cm="1">
        <f t="array" ref="AS12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7" s="84" cm="1">
        <f t="array" ref="AT12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7" s="84" cm="1">
        <f t="array" ref="AU12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7" s="84" cm="1">
        <f t="array" ref="AV12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7" s="84" cm="1">
        <f t="array" ref="AW12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7" s="84" cm="1">
        <f t="array" ref="AX12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7" s="84" cm="1">
        <f t="array" ref="AY12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47" s="84" cm="1">
        <f t="array" ref="AZ12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47" s="84" cm="1">
        <f t="array" ref="BA12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47" s="84" cm="1">
        <f t="array" ref="BB12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47" s="84">
        <f>IF(SUM(Table3[[#This Row],[Column2]:[Column18]])&gt;Table3[[#This Row],[Column19]],Table3[[#This Row],[Column19]],SUM(Table3[[#This Row],[Column2]:[Column18]]))</f>
        <v>10000</v>
      </c>
      <c r="BD1247" s="2">
        <f>Table3[[#This Row],[Total Spend]]/SUM(Table3[[#This Row],[Column2]:[Column18]])</f>
        <v>7.2859744990892539E-2</v>
      </c>
    </row>
    <row r="1248" spans="1:56">
      <c r="A1248" s="84" t="s">
        <v>1323</v>
      </c>
      <c r="B1248" s="84" t="s">
        <v>57</v>
      </c>
      <c r="C1248" s="84"/>
      <c r="D1248" s="85">
        <v>45566</v>
      </c>
      <c r="E1248" s="85" t="s">
        <v>92</v>
      </c>
      <c r="F1248" s="84">
        <f>INDEX(Definitions!$G$13:$G$17,MATCH(Table3[[#This Row],[Propensity to buy/ buyer readiness]],Definitions!$A$13:$A$17,0))</f>
        <v>10000</v>
      </c>
      <c r="G1248" s="86">
        <v>3</v>
      </c>
      <c r="H1248" s="86">
        <v>3</v>
      </c>
      <c r="I1248" s="86">
        <v>4</v>
      </c>
      <c r="J1248" s="86">
        <v>3</v>
      </c>
      <c r="K1248" s="86">
        <v>2</v>
      </c>
      <c r="L1248" s="86">
        <f>SUM(Table3[[#This Row],[Strategic priority segment]:[Propensity to buy/ buyer readiness]])</f>
        <v>15</v>
      </c>
      <c r="M1248" s="86" t="s">
        <v>191</v>
      </c>
      <c r="N1248" s="84" t="s">
        <v>135</v>
      </c>
      <c r="O1248" s="84" t="s">
        <v>153</v>
      </c>
      <c r="P1248" s="87"/>
      <c r="Q1248" s="87"/>
      <c r="R1248" s="84"/>
      <c r="S1248" s="84"/>
      <c r="T1248" s="84"/>
      <c r="U1248" s="84">
        <v>1</v>
      </c>
      <c r="V1248" s="84">
        <v>0</v>
      </c>
      <c r="W1248" s="84">
        <v>0</v>
      </c>
      <c r="X1248" s="84">
        <v>0</v>
      </c>
      <c r="Y1248" s="84">
        <v>0</v>
      </c>
      <c r="Z1248" s="84">
        <v>0</v>
      </c>
      <c r="AA1248" s="84">
        <v>0</v>
      </c>
      <c r="AB1248" s="84">
        <v>0</v>
      </c>
      <c r="AC1248" s="84">
        <v>0</v>
      </c>
      <c r="AD1248" s="84">
        <v>0</v>
      </c>
      <c r="AE1248" s="84">
        <v>0</v>
      </c>
      <c r="AF1248" s="84">
        <v>0</v>
      </c>
      <c r="AG1248" s="84">
        <v>0</v>
      </c>
      <c r="AH1248" s="84">
        <v>1</v>
      </c>
      <c r="AI1248" s="84">
        <v>1</v>
      </c>
      <c r="AJ1248" s="84">
        <v>1</v>
      </c>
      <c r="AK1248" s="84">
        <v>1</v>
      </c>
      <c r="AL1248" s="84" cm="1">
        <f t="array" ref="AL12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48" s="84" cm="1">
        <f t="array" ref="AM12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8" s="84" cm="1">
        <f t="array" ref="AN12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8" s="84" cm="1">
        <f t="array" ref="AO12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8" s="84" cm="1">
        <f t="array" ref="AP12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8" s="84" cm="1">
        <f t="array" ref="AQ12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8" s="84" cm="1">
        <f t="array" ref="AR12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8" s="84" cm="1">
        <f t="array" ref="AS12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8" s="84" cm="1">
        <f t="array" ref="AT12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8" s="84" cm="1">
        <f t="array" ref="AU12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8" s="84" cm="1">
        <f t="array" ref="AV12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8" s="84" cm="1">
        <f t="array" ref="AW12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8" s="84" cm="1">
        <f t="array" ref="AX12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8" s="84" cm="1">
        <f t="array" ref="AY12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48" s="84" cm="1">
        <f t="array" ref="AZ12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48" s="84" cm="1">
        <f t="array" ref="BA12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48" s="84" cm="1">
        <f t="array" ref="BB12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48" s="84">
        <f>IF(SUM(Table3[[#This Row],[Column2]:[Column18]])&gt;Table3[[#This Row],[Column19]],Table3[[#This Row],[Column19]],SUM(Table3[[#This Row],[Column2]:[Column18]]))</f>
        <v>10000</v>
      </c>
      <c r="BD1248" s="2">
        <f>Table3[[#This Row],[Total Spend]]/SUM(Table3[[#This Row],[Column2]:[Column18]])</f>
        <v>0.18365472910927455</v>
      </c>
    </row>
    <row r="1249" spans="1:56">
      <c r="A1249" s="84" t="s">
        <v>1324</v>
      </c>
      <c r="B1249" s="84" t="s">
        <v>57</v>
      </c>
      <c r="C1249" s="84"/>
      <c r="D1249" s="85">
        <v>45566</v>
      </c>
      <c r="E1249" s="85" t="s">
        <v>92</v>
      </c>
      <c r="F1249" s="84">
        <f>INDEX(Definitions!$G$13:$G$17,MATCH(Table3[[#This Row],[Propensity to buy/ buyer readiness]],Definitions!$A$13:$A$17,0))</f>
        <v>10000</v>
      </c>
      <c r="G1249" s="86">
        <v>3</v>
      </c>
      <c r="H1249" s="86">
        <v>3</v>
      </c>
      <c r="I1249" s="86">
        <v>4</v>
      </c>
      <c r="J1249" s="86">
        <v>3</v>
      </c>
      <c r="K1249" s="86">
        <v>2</v>
      </c>
      <c r="L1249" s="86">
        <f>SUM(Table3[[#This Row],[Strategic priority segment]:[Propensity to buy/ buyer readiness]])</f>
        <v>15</v>
      </c>
      <c r="M1249" s="86" t="s">
        <v>191</v>
      </c>
      <c r="N1249" s="84" t="s">
        <v>135</v>
      </c>
      <c r="O1249" s="84" t="s">
        <v>153</v>
      </c>
      <c r="P1249" s="87"/>
      <c r="Q1249" s="87"/>
      <c r="R1249" s="84"/>
      <c r="S1249" s="84"/>
      <c r="T1249" s="84"/>
      <c r="U1249" s="84">
        <v>1</v>
      </c>
      <c r="V1249" s="84">
        <v>0</v>
      </c>
      <c r="W1249" s="84">
        <v>0</v>
      </c>
      <c r="X1249" s="84">
        <v>0</v>
      </c>
      <c r="Y1249" s="84">
        <v>0</v>
      </c>
      <c r="Z1249" s="84">
        <v>0</v>
      </c>
      <c r="AA1249" s="84">
        <v>0</v>
      </c>
      <c r="AB1249" s="84">
        <v>0</v>
      </c>
      <c r="AC1249" s="84">
        <v>0</v>
      </c>
      <c r="AD1249" s="84">
        <v>0</v>
      </c>
      <c r="AE1249" s="84">
        <v>0</v>
      </c>
      <c r="AF1249" s="84">
        <v>0</v>
      </c>
      <c r="AG1249" s="84">
        <v>0</v>
      </c>
      <c r="AH1249" s="84">
        <v>1</v>
      </c>
      <c r="AI1249" s="84">
        <v>1</v>
      </c>
      <c r="AJ1249" s="84">
        <v>1</v>
      </c>
      <c r="AK1249" s="84">
        <v>1</v>
      </c>
      <c r="AL1249" s="84" cm="1">
        <f t="array" ref="AL12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49" s="84" cm="1">
        <f t="array" ref="AM12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49" s="84" cm="1">
        <f t="array" ref="AN12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49" s="84" cm="1">
        <f t="array" ref="AO12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49" s="84" cm="1">
        <f t="array" ref="AP12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49" s="84" cm="1">
        <f t="array" ref="AQ12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49" s="84" cm="1">
        <f t="array" ref="AR12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49" s="84" cm="1">
        <f t="array" ref="AS12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49" s="84" cm="1">
        <f t="array" ref="AT12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49" s="84" cm="1">
        <f t="array" ref="AU12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49" s="84" cm="1">
        <f t="array" ref="AV12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49" s="84" cm="1">
        <f t="array" ref="AW12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49" s="84" cm="1">
        <f t="array" ref="AX12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49" s="84" cm="1">
        <f t="array" ref="AY12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49" s="84" cm="1">
        <f t="array" ref="AZ12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49" s="84" cm="1">
        <f t="array" ref="BA12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49" s="84" cm="1">
        <f t="array" ref="BB12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49" s="84">
        <f>IF(SUM(Table3[[#This Row],[Column2]:[Column18]])&gt;Table3[[#This Row],[Column19]],Table3[[#This Row],[Column19]],SUM(Table3[[#This Row],[Column2]:[Column18]]))</f>
        <v>10000</v>
      </c>
      <c r="BD1249" s="2">
        <f>Table3[[#This Row],[Total Spend]]/SUM(Table3[[#This Row],[Column2]:[Column18]])</f>
        <v>0.18365472910927455</v>
      </c>
    </row>
    <row r="1250" spans="1:56">
      <c r="A1250" s="84" t="s">
        <v>1325</v>
      </c>
      <c r="B1250" s="84" t="s">
        <v>57</v>
      </c>
      <c r="C1250" s="84"/>
      <c r="D1250" s="85">
        <v>45566</v>
      </c>
      <c r="E1250" s="85" t="s">
        <v>92</v>
      </c>
      <c r="F1250" s="84">
        <f>INDEX(Definitions!$G$13:$G$17,MATCH(Table3[[#This Row],[Propensity to buy/ buyer readiness]],Definitions!$A$13:$A$17,0))</f>
        <v>10000</v>
      </c>
      <c r="G1250" s="86">
        <v>3</v>
      </c>
      <c r="H1250" s="86">
        <v>3</v>
      </c>
      <c r="I1250" s="86">
        <v>4</v>
      </c>
      <c r="J1250" s="86">
        <v>3</v>
      </c>
      <c r="K1250" s="86">
        <v>2</v>
      </c>
      <c r="L1250" s="86">
        <f>SUM(Table3[[#This Row],[Strategic priority segment]:[Propensity to buy/ buyer readiness]])</f>
        <v>15</v>
      </c>
      <c r="M1250" s="86" t="s">
        <v>152</v>
      </c>
      <c r="N1250" s="84" t="s">
        <v>264</v>
      </c>
      <c r="O1250" s="84"/>
      <c r="P1250" s="87"/>
      <c r="Q1250" s="87"/>
      <c r="R1250" s="84"/>
      <c r="S1250" s="84"/>
      <c r="T1250" s="87"/>
      <c r="U1250" s="84">
        <v>1</v>
      </c>
      <c r="V1250" s="84">
        <v>0</v>
      </c>
      <c r="W1250" s="84">
        <v>0</v>
      </c>
      <c r="X1250" s="84">
        <v>0</v>
      </c>
      <c r="Y1250" s="84">
        <v>0</v>
      </c>
      <c r="Z1250" s="84">
        <v>0</v>
      </c>
      <c r="AA1250" s="84">
        <v>0</v>
      </c>
      <c r="AB1250" s="84">
        <v>0</v>
      </c>
      <c r="AC1250" s="84">
        <v>0</v>
      </c>
      <c r="AD1250" s="84">
        <v>0</v>
      </c>
      <c r="AE1250" s="84">
        <v>0</v>
      </c>
      <c r="AF1250" s="84">
        <v>0</v>
      </c>
      <c r="AG1250" s="84">
        <v>0</v>
      </c>
      <c r="AH1250" s="84">
        <v>0</v>
      </c>
      <c r="AI1250" s="84">
        <v>0</v>
      </c>
      <c r="AJ1250" s="84">
        <v>0</v>
      </c>
      <c r="AK1250" s="84">
        <v>0</v>
      </c>
      <c r="AL1250" s="84" cm="1">
        <f t="array" ref="AL12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50" s="84" cm="1">
        <f t="array" ref="AM12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0" s="84" cm="1">
        <f t="array" ref="AN12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0" s="84" cm="1">
        <f t="array" ref="AO12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0" s="84" cm="1">
        <f t="array" ref="AP12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0" s="84" cm="1">
        <f t="array" ref="AQ12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0" s="84" cm="1">
        <f t="array" ref="AR12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0" s="84" cm="1">
        <f t="array" ref="AS12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0" s="84" cm="1">
        <f t="array" ref="AT12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0" s="84" cm="1">
        <f t="array" ref="AU12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0" s="84" cm="1">
        <f t="array" ref="AV12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0" s="84" cm="1">
        <f t="array" ref="AW12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0" s="84" cm="1">
        <f t="array" ref="AX12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0" s="84" cm="1">
        <f t="array" ref="AY12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50" s="84" cm="1">
        <f t="array" ref="AZ12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0" s="84" cm="1">
        <f t="array" ref="BA12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50" s="84" cm="1">
        <f t="array" ref="BB12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0" s="84">
        <f>IF(SUM(Table3[[#This Row],[Column2]:[Column18]])&gt;Table3[[#This Row],[Column19]],Table3[[#This Row],[Column19]],SUM(Table3[[#This Row],[Column2]:[Column18]]))</f>
        <v>8100</v>
      </c>
      <c r="BD1250" s="2">
        <f>Table3[[#This Row],[Total Spend]]/SUM(Table3[[#This Row],[Column2]:[Column18]])</f>
        <v>1</v>
      </c>
    </row>
    <row r="1251" spans="1:56">
      <c r="A1251" s="84" t="s">
        <v>1326</v>
      </c>
      <c r="B1251" s="84"/>
      <c r="C1251" s="84"/>
      <c r="D1251" s="85">
        <v>45566</v>
      </c>
      <c r="E1251" s="85" t="s">
        <v>58</v>
      </c>
      <c r="F1251" s="84">
        <f>INDEX(Definitions!$G$13:$G$17,MATCH(Table3[[#This Row],[Propensity to buy/ buyer readiness]],Definitions!$A$13:$A$17,0))</f>
        <v>150000</v>
      </c>
      <c r="G1251" s="86">
        <v>3</v>
      </c>
      <c r="H1251" s="86">
        <v>3</v>
      </c>
      <c r="I1251" s="86">
        <v>2</v>
      </c>
      <c r="J1251" s="86">
        <v>3</v>
      </c>
      <c r="K1251" s="86">
        <v>4</v>
      </c>
      <c r="L1251" s="86">
        <f>SUM(Table3[[#This Row],[Strategic priority segment]:[Propensity to buy/ buyer readiness]])</f>
        <v>15</v>
      </c>
      <c r="M1251" s="86" t="s">
        <v>152</v>
      </c>
      <c r="N1251" s="84" t="s">
        <v>122</v>
      </c>
      <c r="O1251" s="84"/>
      <c r="P1251" s="87"/>
      <c r="Q1251" s="87"/>
      <c r="R1251" s="84"/>
      <c r="S1251" s="87"/>
      <c r="T1251" s="84"/>
      <c r="U1251" s="84">
        <v>1</v>
      </c>
      <c r="V1251" s="84">
        <v>0</v>
      </c>
      <c r="W1251" s="84">
        <v>0</v>
      </c>
      <c r="X1251" s="84">
        <v>0</v>
      </c>
      <c r="Y1251" s="84">
        <v>0</v>
      </c>
      <c r="Z1251" s="84">
        <v>1</v>
      </c>
      <c r="AA1251" s="84">
        <v>0</v>
      </c>
      <c r="AB1251" s="84">
        <v>1</v>
      </c>
      <c r="AC1251" s="84">
        <v>0</v>
      </c>
      <c r="AD1251" s="84">
        <v>1</v>
      </c>
      <c r="AE1251" s="84">
        <v>0</v>
      </c>
      <c r="AF1251" s="84">
        <v>1</v>
      </c>
      <c r="AG1251" s="84">
        <v>0</v>
      </c>
      <c r="AH1251" s="84">
        <v>0</v>
      </c>
      <c r="AI1251" s="84">
        <v>0</v>
      </c>
      <c r="AJ1251" s="84">
        <v>0</v>
      </c>
      <c r="AK1251" s="84">
        <v>0</v>
      </c>
      <c r="AL1251" s="84" cm="1">
        <f t="array" ref="AL12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51" s="84" cm="1">
        <f t="array" ref="AM12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1" s="84" cm="1">
        <f t="array" ref="AN12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1" s="84" cm="1">
        <f t="array" ref="AO12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1" s="84" cm="1">
        <f t="array" ref="AP12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1" s="84" cm="1">
        <f t="array" ref="AQ12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51" s="84" cm="1">
        <f t="array" ref="AR12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1" s="84" cm="1">
        <f t="array" ref="AS12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51" s="84" cm="1">
        <f t="array" ref="AT12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1" s="84" cm="1">
        <f t="array" ref="AU12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51" s="84" cm="1">
        <f t="array" ref="AV12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1" s="84" cm="1">
        <f t="array" ref="AW12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51" s="84" cm="1">
        <f t="array" ref="AX12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1" s="84" cm="1">
        <f t="array" ref="AY12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51" s="84" cm="1">
        <f t="array" ref="AZ12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1" s="84" cm="1">
        <f t="array" ref="BA12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51" s="84" cm="1">
        <f t="array" ref="BB12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1" s="84">
        <f>IF(SUM(Table3[[#This Row],[Column2]:[Column18]])&gt;Table3[[#This Row],[Column19]],Table3[[#This Row],[Column19]],SUM(Table3[[#This Row],[Column2]:[Column18]]))</f>
        <v>150000</v>
      </c>
      <c r="BD1251" s="2">
        <f>Table3[[#This Row],[Total Spend]]/SUM(Table3[[#This Row],[Column2]:[Column18]])</f>
        <v>0.89605734767025091</v>
      </c>
    </row>
    <row r="1252" spans="1:56">
      <c r="A1252" s="84" t="s">
        <v>1327</v>
      </c>
      <c r="B1252" s="84"/>
      <c r="C1252" s="84"/>
      <c r="D1252" s="85">
        <v>45566</v>
      </c>
      <c r="E1252" s="85" t="s">
        <v>92</v>
      </c>
      <c r="F1252" s="84">
        <f>INDEX(Definitions!$G$13:$G$17,MATCH(Table3[[#This Row],[Propensity to buy/ buyer readiness]],Definitions!$A$13:$A$17,0))</f>
        <v>50000</v>
      </c>
      <c r="G1252" s="86">
        <v>3</v>
      </c>
      <c r="H1252" s="86">
        <v>3</v>
      </c>
      <c r="I1252" s="86">
        <v>3</v>
      </c>
      <c r="J1252" s="86">
        <v>3</v>
      </c>
      <c r="K1252" s="86">
        <v>3</v>
      </c>
      <c r="L1252" s="86">
        <f>SUM(Table3[[#This Row],[Strategic priority segment]:[Propensity to buy/ buyer readiness]])</f>
        <v>15</v>
      </c>
      <c r="M1252" s="86" t="s">
        <v>191</v>
      </c>
      <c r="N1252" s="84" t="s">
        <v>76</v>
      </c>
      <c r="O1252" s="84"/>
      <c r="P1252" s="84"/>
      <c r="Q1252" s="84"/>
      <c r="R1252" s="84"/>
      <c r="S1252" s="87"/>
      <c r="T1252" s="87"/>
      <c r="U1252" s="84">
        <v>0</v>
      </c>
      <c r="V1252" s="84">
        <v>0</v>
      </c>
      <c r="W1252" s="84">
        <v>0</v>
      </c>
      <c r="X1252" s="84">
        <v>0</v>
      </c>
      <c r="Y1252" s="84">
        <v>0</v>
      </c>
      <c r="Z1252" s="84">
        <v>0</v>
      </c>
      <c r="AA1252" s="84">
        <v>0</v>
      </c>
      <c r="AB1252" s="84">
        <v>0</v>
      </c>
      <c r="AC1252" s="84">
        <v>0</v>
      </c>
      <c r="AD1252" s="84">
        <v>0</v>
      </c>
      <c r="AE1252" s="84">
        <v>0</v>
      </c>
      <c r="AF1252" s="84">
        <v>0</v>
      </c>
      <c r="AG1252" s="84">
        <v>0</v>
      </c>
      <c r="AH1252" s="84">
        <v>1</v>
      </c>
      <c r="AI1252" s="84">
        <v>0</v>
      </c>
      <c r="AJ1252" s="84">
        <v>1</v>
      </c>
      <c r="AK1252" s="84">
        <v>0</v>
      </c>
      <c r="AL1252" s="84" cm="1">
        <f t="array" ref="AL12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52" s="84" cm="1">
        <f t="array" ref="AM12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2" s="84" cm="1">
        <f t="array" ref="AN12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2" s="84" cm="1">
        <f t="array" ref="AO12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2" s="84" cm="1">
        <f t="array" ref="AP12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2" s="84" cm="1">
        <f t="array" ref="AQ12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2" s="84" cm="1">
        <f t="array" ref="AR12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2" s="84" cm="1">
        <f t="array" ref="AS12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2" s="84" cm="1">
        <f t="array" ref="AT12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2" s="84" cm="1">
        <f t="array" ref="AU12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2" s="84" cm="1">
        <f t="array" ref="AV12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2" s="84" cm="1">
        <f t="array" ref="AW12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2" s="84" cm="1">
        <f t="array" ref="AX12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2" s="84" cm="1">
        <f t="array" ref="AY12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52" s="84" cm="1">
        <f t="array" ref="AZ12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2" s="84" cm="1">
        <f t="array" ref="BA12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52" s="84" cm="1">
        <f t="array" ref="BB12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2" s="84">
        <f>IF(SUM(Table3[[#This Row],[Column2]:[Column18]])&gt;Table3[[#This Row],[Column19]],Table3[[#This Row],[Column19]],SUM(Table3[[#This Row],[Column2]:[Column18]]))</f>
        <v>30600</v>
      </c>
      <c r="BD1252" s="2">
        <f>Table3[[#This Row],[Total Spend]]/SUM(Table3[[#This Row],[Column2]:[Column18]])</f>
        <v>1</v>
      </c>
    </row>
    <row r="1253" spans="1:56">
      <c r="A1253" s="84" t="s">
        <v>1328</v>
      </c>
      <c r="B1253" s="84" t="s">
        <v>57</v>
      </c>
      <c r="C1253" s="84" t="s">
        <v>57</v>
      </c>
      <c r="D1253" s="85">
        <v>45566</v>
      </c>
      <c r="E1253" s="85" t="s">
        <v>58</v>
      </c>
      <c r="F1253" s="84">
        <f>INDEX(Definitions!$G$13:$G$17,MATCH(Table3[[#This Row],[Propensity to buy/ buyer readiness]],Definitions!$A$13:$A$17,0))</f>
        <v>10000</v>
      </c>
      <c r="G1253" s="86">
        <v>3</v>
      </c>
      <c r="H1253" s="86">
        <v>3</v>
      </c>
      <c r="I1253" s="86">
        <v>4</v>
      </c>
      <c r="J1253" s="86">
        <v>3</v>
      </c>
      <c r="K1253" s="86">
        <v>2</v>
      </c>
      <c r="L1253" s="86">
        <f>SUM(Table3[[#This Row],[Strategic priority segment]:[Propensity to buy/ buyer readiness]])</f>
        <v>15</v>
      </c>
      <c r="M1253" s="86" t="s">
        <v>102</v>
      </c>
      <c r="N1253" s="84" t="s">
        <v>1133</v>
      </c>
      <c r="O1253" s="84"/>
      <c r="P1253" s="87"/>
      <c r="Q1253" s="87"/>
      <c r="R1253" s="84"/>
      <c r="S1253" s="84"/>
      <c r="T1253" s="84"/>
      <c r="U1253" s="84">
        <v>1</v>
      </c>
      <c r="V1253" s="84">
        <v>0</v>
      </c>
      <c r="W1253" s="84">
        <v>0</v>
      </c>
      <c r="X1253" s="84">
        <v>0</v>
      </c>
      <c r="Y1253" s="84">
        <v>0</v>
      </c>
      <c r="Z1253" s="84">
        <v>0</v>
      </c>
      <c r="AA1253" s="84">
        <v>0</v>
      </c>
      <c r="AB1253" s="84">
        <v>0</v>
      </c>
      <c r="AC1253" s="84">
        <v>0</v>
      </c>
      <c r="AD1253" s="84">
        <v>0</v>
      </c>
      <c r="AE1253" s="84">
        <v>0</v>
      </c>
      <c r="AF1253" s="84">
        <v>0</v>
      </c>
      <c r="AG1253" s="84">
        <v>0</v>
      </c>
      <c r="AH1253" s="84">
        <v>0</v>
      </c>
      <c r="AI1253" s="84">
        <v>0</v>
      </c>
      <c r="AJ1253" s="84">
        <v>0</v>
      </c>
      <c r="AK1253" s="84">
        <v>0</v>
      </c>
      <c r="AL1253" s="84" cm="1">
        <f t="array" ref="AL12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53" s="84" cm="1">
        <f t="array" ref="AM12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3" s="84" cm="1">
        <f t="array" ref="AN12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3" s="84" cm="1">
        <f t="array" ref="AO12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3" s="84" cm="1">
        <f t="array" ref="AP12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3" s="84" cm="1">
        <f t="array" ref="AQ12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3" s="84" cm="1">
        <f t="array" ref="AR12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3" s="84" cm="1">
        <f t="array" ref="AS12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3" s="84" cm="1">
        <f t="array" ref="AT12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3" s="84" cm="1">
        <f t="array" ref="AU12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3" s="84" cm="1">
        <f t="array" ref="AV12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3" s="84" cm="1">
        <f t="array" ref="AW12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3" s="84" cm="1">
        <f t="array" ref="AX12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3" s="84" cm="1">
        <f t="array" ref="AY12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53" s="84" cm="1">
        <f t="array" ref="AZ12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3" s="84" cm="1">
        <f t="array" ref="BA12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53" s="84" cm="1">
        <f t="array" ref="BB12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3" s="84">
        <f>IF(SUM(Table3[[#This Row],[Column2]:[Column18]])&gt;Table3[[#This Row],[Column19]],Table3[[#This Row],[Column19]],SUM(Table3[[#This Row],[Column2]:[Column18]]))</f>
        <v>10000</v>
      </c>
      <c r="BD1253" s="2">
        <f>Table3[[#This Row],[Total Spend]]/SUM(Table3[[#This Row],[Column2]:[Column18]])</f>
        <v>0.92592592592592593</v>
      </c>
    </row>
    <row r="1254" spans="1:56">
      <c r="A1254" s="84" t="s">
        <v>1329</v>
      </c>
      <c r="B1254" s="84"/>
      <c r="C1254" s="84"/>
      <c r="D1254" s="85">
        <v>45809</v>
      </c>
      <c r="E1254" s="85" t="s">
        <v>92</v>
      </c>
      <c r="F1254" s="84">
        <f>INDEX(Definitions!$G$13:$G$17,MATCH(Table3[[#This Row],[Propensity to buy/ buyer readiness]],Definitions!$A$13:$A$17,0))</f>
        <v>50000</v>
      </c>
      <c r="G1254" s="86">
        <v>3</v>
      </c>
      <c r="H1254" s="86">
        <v>3</v>
      </c>
      <c r="I1254" s="86">
        <v>3</v>
      </c>
      <c r="J1254" s="86">
        <v>3</v>
      </c>
      <c r="K1254" s="86">
        <v>3</v>
      </c>
      <c r="L1254" s="86">
        <f>SUM(Table3[[#This Row],[Strategic priority segment]:[Propensity to buy/ buyer readiness]])</f>
        <v>15</v>
      </c>
      <c r="M1254" s="86" t="s">
        <v>66</v>
      </c>
      <c r="N1254" s="84" t="s">
        <v>144</v>
      </c>
      <c r="O1254" s="84"/>
      <c r="P1254" s="87"/>
      <c r="Q1254" s="87"/>
      <c r="R1254" s="84"/>
      <c r="S1254" s="87"/>
      <c r="T1254" s="87"/>
      <c r="U1254" s="84">
        <v>1</v>
      </c>
      <c r="V1254" s="84">
        <v>0</v>
      </c>
      <c r="W1254" s="84">
        <v>0</v>
      </c>
      <c r="X1254" s="84">
        <v>0</v>
      </c>
      <c r="Y1254" s="84">
        <v>0</v>
      </c>
      <c r="Z1254" s="84">
        <v>0</v>
      </c>
      <c r="AA1254" s="84">
        <v>0</v>
      </c>
      <c r="AB1254" s="84">
        <v>0</v>
      </c>
      <c r="AC1254" s="84">
        <v>0</v>
      </c>
      <c r="AD1254" s="84">
        <v>0</v>
      </c>
      <c r="AE1254" s="84">
        <v>0</v>
      </c>
      <c r="AF1254" s="84">
        <v>1</v>
      </c>
      <c r="AG1254" s="84">
        <v>0</v>
      </c>
      <c r="AH1254" s="84">
        <v>0</v>
      </c>
      <c r="AI1254" s="84">
        <v>0</v>
      </c>
      <c r="AJ1254" s="84">
        <v>1</v>
      </c>
      <c r="AK1254" s="84">
        <v>0</v>
      </c>
      <c r="AL1254" s="84" cm="1">
        <f t="array" ref="AL12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54" s="84" cm="1">
        <f t="array" ref="AM12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4" s="84" cm="1">
        <f t="array" ref="AN12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4" s="84" cm="1">
        <f t="array" ref="AO12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4" s="84" cm="1">
        <f t="array" ref="AP12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4" s="84" cm="1">
        <f t="array" ref="AQ12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4" s="84" cm="1">
        <f t="array" ref="AR12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4" s="84" cm="1">
        <f t="array" ref="AS12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4" s="84" cm="1">
        <f t="array" ref="AT12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4" s="84" cm="1">
        <f t="array" ref="AU12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4" s="84" cm="1">
        <f t="array" ref="AV12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4" s="84" cm="1">
        <f t="array" ref="AW12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54" s="84" cm="1">
        <f t="array" ref="AX12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4" s="84" cm="1">
        <f t="array" ref="AY12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54" s="84" cm="1">
        <f t="array" ref="AZ12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4" s="84" cm="1">
        <f t="array" ref="BA12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54" s="84" cm="1">
        <f t="array" ref="BB12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4" s="84">
        <f>IF(SUM(Table3[[#This Row],[Column2]:[Column18]])&gt;Table3[[#This Row],[Column19]],Table3[[#This Row],[Column19]],SUM(Table3[[#This Row],[Column2]:[Column18]]))</f>
        <v>50000</v>
      </c>
      <c r="BD1254" s="2">
        <f>Table3[[#This Row],[Total Spend]]/SUM(Table3[[#This Row],[Column2]:[Column18]])</f>
        <v>0.84175084175084181</v>
      </c>
    </row>
    <row r="1255" spans="1:56">
      <c r="A1255" s="84" t="s">
        <v>1330</v>
      </c>
      <c r="B1255" s="84"/>
      <c r="C1255" s="84"/>
      <c r="D1255" s="85">
        <v>45566</v>
      </c>
      <c r="E1255" s="85" t="s">
        <v>92</v>
      </c>
      <c r="F1255" s="84">
        <f>INDEX(Definitions!$G$13:$G$17,MATCH(Table3[[#This Row],[Propensity to buy/ buyer readiness]],Definitions!$A$13:$A$17,0))</f>
        <v>50000</v>
      </c>
      <c r="G1255" s="86">
        <v>3</v>
      </c>
      <c r="H1255" s="86">
        <v>3</v>
      </c>
      <c r="I1255" s="86">
        <v>3</v>
      </c>
      <c r="J1255" s="86">
        <v>3</v>
      </c>
      <c r="K1255" s="86">
        <v>3</v>
      </c>
      <c r="L1255" s="86">
        <f>SUM(Table3[[#This Row],[Strategic priority segment]:[Propensity to buy/ buyer readiness]])</f>
        <v>15</v>
      </c>
      <c r="M1255" s="86" t="s">
        <v>191</v>
      </c>
      <c r="N1255" s="84" t="s">
        <v>76</v>
      </c>
      <c r="O1255" s="84"/>
      <c r="P1255" s="84"/>
      <c r="Q1255" s="84"/>
      <c r="R1255" s="84"/>
      <c r="S1255" s="87"/>
      <c r="T1255" s="87"/>
      <c r="U1255" s="84">
        <v>0</v>
      </c>
      <c r="V1255" s="84">
        <v>0</v>
      </c>
      <c r="W1255" s="84">
        <v>0</v>
      </c>
      <c r="X1255" s="84">
        <v>0</v>
      </c>
      <c r="Y1255" s="84">
        <v>0</v>
      </c>
      <c r="Z1255" s="84">
        <v>0</v>
      </c>
      <c r="AA1255" s="84">
        <v>0</v>
      </c>
      <c r="AB1255" s="84">
        <v>0</v>
      </c>
      <c r="AC1255" s="84">
        <v>0</v>
      </c>
      <c r="AD1255" s="84">
        <v>0</v>
      </c>
      <c r="AE1255" s="84">
        <v>0</v>
      </c>
      <c r="AF1255" s="84">
        <v>0</v>
      </c>
      <c r="AG1255" s="84">
        <v>0</v>
      </c>
      <c r="AH1255" s="84">
        <v>1</v>
      </c>
      <c r="AI1255" s="84">
        <v>0</v>
      </c>
      <c r="AJ1255" s="84">
        <v>1</v>
      </c>
      <c r="AK1255" s="84">
        <v>0</v>
      </c>
      <c r="AL1255" s="84" cm="1">
        <f t="array" ref="AL12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55" s="84" cm="1">
        <f t="array" ref="AM12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5" s="84" cm="1">
        <f t="array" ref="AN12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5" s="84" cm="1">
        <f t="array" ref="AO12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5" s="84" cm="1">
        <f t="array" ref="AP12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5" s="84" cm="1">
        <f t="array" ref="AQ12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5" s="84" cm="1">
        <f t="array" ref="AR12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5" s="84" cm="1">
        <f t="array" ref="AS12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5" s="84" cm="1">
        <f t="array" ref="AT12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5" s="84" cm="1">
        <f t="array" ref="AU12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5" s="84" cm="1">
        <f t="array" ref="AV12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5" s="84" cm="1">
        <f t="array" ref="AW12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5" s="84" cm="1">
        <f t="array" ref="AX12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5" s="84" cm="1">
        <f t="array" ref="AY12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55" s="84" cm="1">
        <f t="array" ref="AZ12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5" s="84" cm="1">
        <f t="array" ref="BA12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55" s="84" cm="1">
        <f t="array" ref="BB12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5" s="84">
        <f>IF(SUM(Table3[[#This Row],[Column2]:[Column18]])&gt;Table3[[#This Row],[Column19]],Table3[[#This Row],[Column19]],SUM(Table3[[#This Row],[Column2]:[Column18]]))</f>
        <v>30600</v>
      </c>
      <c r="BD1255" s="2">
        <f>Table3[[#This Row],[Total Spend]]/SUM(Table3[[#This Row],[Column2]:[Column18]])</f>
        <v>1</v>
      </c>
    </row>
    <row r="1256" spans="1:56">
      <c r="A1256" s="84" t="s">
        <v>1331</v>
      </c>
      <c r="B1256" s="84"/>
      <c r="C1256" s="84" t="s">
        <v>57</v>
      </c>
      <c r="D1256" s="85">
        <v>45566</v>
      </c>
      <c r="E1256" s="85" t="s">
        <v>92</v>
      </c>
      <c r="F1256" s="84">
        <f>INDEX(Definitions!$G$13:$G$17,MATCH(Table3[[#This Row],[Propensity to buy/ buyer readiness]],Definitions!$A$13:$A$17,0))</f>
        <v>50000</v>
      </c>
      <c r="G1256" s="86">
        <v>3</v>
      </c>
      <c r="H1256" s="86">
        <v>3</v>
      </c>
      <c r="I1256" s="86">
        <v>3</v>
      </c>
      <c r="J1256" s="86">
        <v>3</v>
      </c>
      <c r="K1256" s="86">
        <v>3</v>
      </c>
      <c r="L1256" s="86">
        <f>SUM(Table3[[#This Row],[Strategic priority segment]:[Propensity to buy/ buyer readiness]])</f>
        <v>15</v>
      </c>
      <c r="M1256" s="86" t="s">
        <v>191</v>
      </c>
      <c r="N1256" s="84" t="s">
        <v>135</v>
      </c>
      <c r="O1256" s="87" t="s">
        <v>62</v>
      </c>
      <c r="P1256" s="87"/>
      <c r="Q1256" s="87"/>
      <c r="R1256" s="84"/>
      <c r="S1256" s="87"/>
      <c r="T1256" s="87"/>
      <c r="U1256" s="84">
        <v>1</v>
      </c>
      <c r="V1256" s="84">
        <v>0</v>
      </c>
      <c r="W1256" s="84">
        <v>0</v>
      </c>
      <c r="X1256" s="84">
        <v>0</v>
      </c>
      <c r="Y1256" s="84">
        <v>0</v>
      </c>
      <c r="Z1256" s="84">
        <v>0</v>
      </c>
      <c r="AA1256" s="84">
        <v>0</v>
      </c>
      <c r="AB1256" s="84">
        <v>0</v>
      </c>
      <c r="AC1256" s="84">
        <v>0</v>
      </c>
      <c r="AD1256" s="84">
        <v>1</v>
      </c>
      <c r="AE1256" s="84">
        <v>1</v>
      </c>
      <c r="AF1256" s="84">
        <v>1</v>
      </c>
      <c r="AG1256" s="84">
        <v>1</v>
      </c>
      <c r="AH1256" s="84">
        <v>1</v>
      </c>
      <c r="AI1256" s="84">
        <v>1</v>
      </c>
      <c r="AJ1256" s="84">
        <v>1</v>
      </c>
      <c r="AK1256" s="84">
        <v>1</v>
      </c>
      <c r="AL1256" s="84" cm="1">
        <f t="array" ref="AL12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56" s="84" cm="1">
        <f t="array" ref="AM12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6" s="84" cm="1">
        <f t="array" ref="AN12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6" s="84" cm="1">
        <f t="array" ref="AO12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6" s="84" cm="1">
        <f t="array" ref="AP12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6" s="84" cm="1">
        <f t="array" ref="AQ12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6" s="84" cm="1">
        <f t="array" ref="AR12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6" s="84" cm="1">
        <f t="array" ref="AS12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6" s="84" cm="1">
        <f t="array" ref="AT12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6" s="84" cm="1">
        <f t="array" ref="AU12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56" s="84" cm="1">
        <f t="array" ref="AV12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256" s="84" cm="1">
        <f t="array" ref="AW12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56" s="84" cm="1">
        <f t="array" ref="AX12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256" s="84" cm="1">
        <f t="array" ref="AY12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56" s="84" cm="1">
        <f t="array" ref="AZ12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56" s="84" cm="1">
        <f t="array" ref="BA12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56" s="84" cm="1">
        <f t="array" ref="BB12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56" s="84">
        <f>IF(SUM(Table3[[#This Row],[Column2]:[Column18]])&gt;Table3[[#This Row],[Column19]],Table3[[#This Row],[Column19]],SUM(Table3[[#This Row],[Column2]:[Column18]]))</f>
        <v>50000</v>
      </c>
      <c r="BD1256" s="2">
        <f>Table3[[#This Row],[Total Spend]]/SUM(Table3[[#This Row],[Column2]:[Column18]])</f>
        <v>0.35612535612535612</v>
      </c>
    </row>
    <row r="1257" spans="1:56">
      <c r="A1257" s="84" t="s">
        <v>1332</v>
      </c>
      <c r="B1257" s="84"/>
      <c r="C1257" s="84"/>
      <c r="D1257" s="85">
        <v>45566</v>
      </c>
      <c r="E1257" s="85" t="s">
        <v>92</v>
      </c>
      <c r="F1257" s="84">
        <f>INDEX(Definitions!$G$13:$G$17,MATCH(Table3[[#This Row],[Propensity to buy/ buyer readiness]],Definitions!$A$13:$A$17,0))</f>
        <v>50000</v>
      </c>
      <c r="G1257" s="86">
        <v>3</v>
      </c>
      <c r="H1257" s="86">
        <v>3</v>
      </c>
      <c r="I1257" s="86">
        <v>3</v>
      </c>
      <c r="J1257" s="86">
        <v>3</v>
      </c>
      <c r="K1257" s="86">
        <v>3</v>
      </c>
      <c r="L1257" s="86">
        <f>SUM(Table3[[#This Row],[Strategic priority segment]:[Propensity to buy/ buyer readiness]])</f>
        <v>15</v>
      </c>
      <c r="M1257" s="86" t="s">
        <v>191</v>
      </c>
      <c r="N1257" s="84" t="s">
        <v>76</v>
      </c>
      <c r="O1257" s="84"/>
      <c r="P1257" s="84"/>
      <c r="Q1257" s="84"/>
      <c r="R1257" s="84"/>
      <c r="S1257" s="87"/>
      <c r="T1257" s="84"/>
      <c r="U1257" s="84">
        <v>0</v>
      </c>
      <c r="V1257" s="84">
        <v>0</v>
      </c>
      <c r="W1257" s="84">
        <v>0</v>
      </c>
      <c r="X1257" s="84">
        <v>0</v>
      </c>
      <c r="Y1257" s="84">
        <v>0</v>
      </c>
      <c r="Z1257" s="84">
        <v>0</v>
      </c>
      <c r="AA1257" s="84">
        <v>0</v>
      </c>
      <c r="AB1257" s="84">
        <v>0</v>
      </c>
      <c r="AC1257" s="84">
        <v>0</v>
      </c>
      <c r="AD1257" s="84">
        <v>0</v>
      </c>
      <c r="AE1257" s="84">
        <v>0</v>
      </c>
      <c r="AF1257" s="84">
        <v>0</v>
      </c>
      <c r="AG1257" s="84">
        <v>0</v>
      </c>
      <c r="AH1257" s="84">
        <v>1</v>
      </c>
      <c r="AI1257" s="84">
        <v>0</v>
      </c>
      <c r="AJ1257" s="84">
        <v>1</v>
      </c>
      <c r="AK1257" s="84">
        <v>0</v>
      </c>
      <c r="AL1257" s="84" cm="1">
        <f t="array" ref="AL12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57" s="84" cm="1">
        <f t="array" ref="AM12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7" s="84" cm="1">
        <f t="array" ref="AN12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7" s="84" cm="1">
        <f t="array" ref="AO12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7" s="84" cm="1">
        <f t="array" ref="AP12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7" s="84" cm="1">
        <f t="array" ref="AQ12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7" s="84" cm="1">
        <f t="array" ref="AR12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7" s="84" cm="1">
        <f t="array" ref="AS12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7" s="84" cm="1">
        <f t="array" ref="AT12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7" s="84" cm="1">
        <f t="array" ref="AU12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7" s="84" cm="1">
        <f t="array" ref="AV12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7" s="84" cm="1">
        <f t="array" ref="AW12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7" s="84" cm="1">
        <f t="array" ref="AX12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7" s="84" cm="1">
        <f t="array" ref="AY12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57" s="84" cm="1">
        <f t="array" ref="AZ12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7" s="84" cm="1">
        <f t="array" ref="BA12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57" s="84" cm="1">
        <f t="array" ref="BB12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7" s="84">
        <f>IF(SUM(Table3[[#This Row],[Column2]:[Column18]])&gt;Table3[[#This Row],[Column19]],Table3[[#This Row],[Column19]],SUM(Table3[[#This Row],[Column2]:[Column18]]))</f>
        <v>30600</v>
      </c>
      <c r="BD1257" s="2">
        <f>Table3[[#This Row],[Total Spend]]/SUM(Table3[[#This Row],[Column2]:[Column18]])</f>
        <v>1</v>
      </c>
    </row>
    <row r="1258" spans="1:56">
      <c r="A1258" s="84" t="s">
        <v>1333</v>
      </c>
      <c r="B1258" s="84"/>
      <c r="C1258" s="84"/>
      <c r="D1258" s="85">
        <v>45566</v>
      </c>
      <c r="E1258" s="85" t="s">
        <v>92</v>
      </c>
      <c r="F1258" s="84">
        <f>INDEX(Definitions!$G$13:$G$17,MATCH(Table3[[#This Row],[Propensity to buy/ buyer readiness]],Definitions!$A$13:$A$17,0))</f>
        <v>50000</v>
      </c>
      <c r="G1258" s="86">
        <v>3</v>
      </c>
      <c r="H1258" s="86">
        <v>3</v>
      </c>
      <c r="I1258" s="86">
        <v>3</v>
      </c>
      <c r="J1258" s="86">
        <v>3</v>
      </c>
      <c r="K1258" s="86">
        <v>3</v>
      </c>
      <c r="L1258" s="86">
        <f>SUM(Table3[[#This Row],[Strategic priority segment]:[Propensity to buy/ buyer readiness]])</f>
        <v>15</v>
      </c>
      <c r="M1258" s="86" t="s">
        <v>191</v>
      </c>
      <c r="N1258" s="84" t="s">
        <v>76</v>
      </c>
      <c r="O1258" s="84"/>
      <c r="P1258" s="84"/>
      <c r="Q1258" s="84"/>
      <c r="R1258" s="84"/>
      <c r="S1258" s="87"/>
      <c r="T1258" s="87"/>
      <c r="U1258" s="84">
        <v>0</v>
      </c>
      <c r="V1258" s="84">
        <v>0</v>
      </c>
      <c r="W1258" s="84">
        <v>0</v>
      </c>
      <c r="X1258" s="84">
        <v>0</v>
      </c>
      <c r="Y1258" s="84">
        <v>0</v>
      </c>
      <c r="Z1258" s="84">
        <v>0</v>
      </c>
      <c r="AA1258" s="84">
        <v>0</v>
      </c>
      <c r="AB1258" s="84">
        <v>0</v>
      </c>
      <c r="AC1258" s="84">
        <v>0</v>
      </c>
      <c r="AD1258" s="84">
        <v>0</v>
      </c>
      <c r="AE1258" s="84">
        <v>0</v>
      </c>
      <c r="AF1258" s="84">
        <v>0</v>
      </c>
      <c r="AG1258" s="84">
        <v>0</v>
      </c>
      <c r="AH1258" s="84">
        <v>1</v>
      </c>
      <c r="AI1258" s="84">
        <v>0</v>
      </c>
      <c r="AJ1258" s="84">
        <v>1</v>
      </c>
      <c r="AK1258" s="84">
        <v>0</v>
      </c>
      <c r="AL1258" s="84" cm="1">
        <f t="array" ref="AL12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58" s="84" cm="1">
        <f t="array" ref="AM12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58" s="84" cm="1">
        <f t="array" ref="AN12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58" s="84" cm="1">
        <f t="array" ref="AO12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58" s="84" cm="1">
        <f t="array" ref="AP12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8" s="84" cm="1">
        <f t="array" ref="AQ12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8" s="84" cm="1">
        <f t="array" ref="AR12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8" s="84" cm="1">
        <f t="array" ref="AS12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8" s="84" cm="1">
        <f t="array" ref="AT12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8" s="84" cm="1">
        <f t="array" ref="AU12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8" s="84" cm="1">
        <f t="array" ref="AV12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8" s="84" cm="1">
        <f t="array" ref="AW12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8" s="84" cm="1">
        <f t="array" ref="AX12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8" s="84" cm="1">
        <f t="array" ref="AY12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58" s="84" cm="1">
        <f t="array" ref="AZ12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58" s="84" cm="1">
        <f t="array" ref="BA12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58" s="84" cm="1">
        <f t="array" ref="BB12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8" s="84">
        <f>IF(SUM(Table3[[#This Row],[Column2]:[Column18]])&gt;Table3[[#This Row],[Column19]],Table3[[#This Row],[Column19]],SUM(Table3[[#This Row],[Column2]:[Column18]]))</f>
        <v>30600</v>
      </c>
      <c r="BD1258" s="2">
        <f>Table3[[#This Row],[Total Spend]]/SUM(Table3[[#This Row],[Column2]:[Column18]])</f>
        <v>1</v>
      </c>
    </row>
    <row r="1259" spans="1:56">
      <c r="A1259" s="84" t="s">
        <v>1334</v>
      </c>
      <c r="B1259" s="84"/>
      <c r="C1259" s="84"/>
      <c r="D1259" s="85">
        <v>45566</v>
      </c>
      <c r="E1259" s="85" t="s">
        <v>92</v>
      </c>
      <c r="F1259" s="84">
        <f>INDEX(Definitions!$G$13:$G$17,MATCH(Table3[[#This Row],[Propensity to buy/ buyer readiness]],Definitions!$A$13:$A$17,0))</f>
        <v>10000</v>
      </c>
      <c r="G1259" s="86">
        <v>3</v>
      </c>
      <c r="H1259" s="86">
        <v>3</v>
      </c>
      <c r="I1259" s="86">
        <v>3</v>
      </c>
      <c r="J1259" s="86">
        <v>4</v>
      </c>
      <c r="K1259" s="86">
        <v>2</v>
      </c>
      <c r="L1259" s="86">
        <f>SUM(Table3[[#This Row],[Strategic priority segment]:[Propensity to buy/ buyer readiness]])</f>
        <v>15</v>
      </c>
      <c r="M1259" s="86" t="s">
        <v>59</v>
      </c>
      <c r="N1259" s="84" t="s">
        <v>265</v>
      </c>
      <c r="O1259" s="84"/>
      <c r="P1259" s="87"/>
      <c r="Q1259" s="87"/>
      <c r="R1259" s="84"/>
      <c r="S1259" s="87"/>
      <c r="T1259" s="84"/>
      <c r="U1259" s="84">
        <v>1</v>
      </c>
      <c r="V1259" s="84">
        <v>1</v>
      </c>
      <c r="W1259" s="84">
        <v>1</v>
      </c>
      <c r="X1259" s="84">
        <v>1</v>
      </c>
      <c r="Y1259" s="84">
        <v>0</v>
      </c>
      <c r="Z1259" s="84">
        <v>0</v>
      </c>
      <c r="AA1259" s="84">
        <v>0</v>
      </c>
      <c r="AB1259" s="84">
        <v>0</v>
      </c>
      <c r="AC1259" s="84">
        <v>0</v>
      </c>
      <c r="AD1259" s="84">
        <v>0</v>
      </c>
      <c r="AE1259" s="84">
        <v>0</v>
      </c>
      <c r="AF1259" s="84">
        <v>0</v>
      </c>
      <c r="AG1259" s="84">
        <v>0</v>
      </c>
      <c r="AH1259" s="84">
        <v>0</v>
      </c>
      <c r="AI1259" s="84">
        <v>1</v>
      </c>
      <c r="AJ1259" s="84">
        <v>0</v>
      </c>
      <c r="AK1259" s="84">
        <v>0</v>
      </c>
      <c r="AL1259" s="84" cm="1">
        <f t="array" ref="AL12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59" s="84" cm="1">
        <f t="array" ref="AM12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59" s="84" cm="1">
        <f t="array" ref="AN12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59" s="84" cm="1">
        <f t="array" ref="AO12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59" s="84" cm="1">
        <f t="array" ref="AP12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59" s="84" cm="1">
        <f t="array" ref="AQ12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59" s="84" cm="1">
        <f t="array" ref="AR12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59" s="84" cm="1">
        <f t="array" ref="AS12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59" s="84" cm="1">
        <f t="array" ref="AT12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59" s="84" cm="1">
        <f t="array" ref="AU12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59" s="84" cm="1">
        <f t="array" ref="AV12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59" s="84" cm="1">
        <f t="array" ref="AW12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59" s="84" cm="1">
        <f t="array" ref="AX12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59" s="84" cm="1">
        <f t="array" ref="AY12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59" s="84" cm="1">
        <f t="array" ref="AZ12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59" s="84" cm="1">
        <f t="array" ref="BA12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59" s="84" cm="1">
        <f t="array" ref="BB12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59" s="84">
        <f>IF(SUM(Table3[[#This Row],[Column2]:[Column18]])&gt;Table3[[#This Row],[Column19]],Table3[[#This Row],[Column19]],SUM(Table3[[#This Row],[Column2]:[Column18]]))</f>
        <v>10000</v>
      </c>
      <c r="BD1259" s="2">
        <f>Table3[[#This Row],[Total Spend]]/SUM(Table3[[#This Row],[Column2]:[Column18]])</f>
        <v>7.2859744990892539E-2</v>
      </c>
    </row>
    <row r="1260" spans="1:56">
      <c r="A1260" s="84" t="s">
        <v>1335</v>
      </c>
      <c r="B1260" s="84"/>
      <c r="C1260" s="84"/>
      <c r="D1260" s="85">
        <v>45566</v>
      </c>
      <c r="E1260" s="85" t="s">
        <v>92</v>
      </c>
      <c r="F1260" s="84">
        <f>INDEX(Definitions!$G$13:$G$17,MATCH(Table3[[#This Row],[Propensity to buy/ buyer readiness]],Definitions!$A$13:$A$17,0))</f>
        <v>10000</v>
      </c>
      <c r="G1260" s="86">
        <v>3</v>
      </c>
      <c r="H1260" s="86">
        <v>3</v>
      </c>
      <c r="I1260" s="86">
        <v>3</v>
      </c>
      <c r="J1260" s="86">
        <v>4</v>
      </c>
      <c r="K1260" s="86">
        <v>2</v>
      </c>
      <c r="L1260" s="86">
        <f>SUM(Table3[[#This Row],[Strategic priority segment]:[Propensity to buy/ buyer readiness]])</f>
        <v>15</v>
      </c>
      <c r="M1260" s="86" t="s">
        <v>59</v>
      </c>
      <c r="N1260" s="84" t="s">
        <v>265</v>
      </c>
      <c r="O1260" s="84"/>
      <c r="P1260" s="87"/>
      <c r="Q1260" s="87"/>
      <c r="R1260" s="84"/>
      <c r="S1260" s="87"/>
      <c r="T1260" s="84"/>
      <c r="U1260" s="84">
        <v>1</v>
      </c>
      <c r="V1260" s="84">
        <v>1</v>
      </c>
      <c r="W1260" s="84">
        <v>1</v>
      </c>
      <c r="X1260" s="84">
        <v>1</v>
      </c>
      <c r="Y1260" s="84">
        <v>0</v>
      </c>
      <c r="Z1260" s="84">
        <v>0</v>
      </c>
      <c r="AA1260" s="84">
        <v>0</v>
      </c>
      <c r="AB1260" s="84">
        <v>0</v>
      </c>
      <c r="AC1260" s="84">
        <v>0</v>
      </c>
      <c r="AD1260" s="84">
        <v>0</v>
      </c>
      <c r="AE1260" s="84">
        <v>0</v>
      </c>
      <c r="AF1260" s="84">
        <v>0</v>
      </c>
      <c r="AG1260" s="84">
        <v>0</v>
      </c>
      <c r="AH1260" s="84">
        <v>0</v>
      </c>
      <c r="AI1260" s="84">
        <v>1</v>
      </c>
      <c r="AJ1260" s="84">
        <v>0</v>
      </c>
      <c r="AK1260" s="84">
        <v>0</v>
      </c>
      <c r="AL1260" s="84" cm="1">
        <f t="array" ref="AL12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60" s="84" cm="1">
        <f t="array" ref="AM12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60" s="84" cm="1">
        <f t="array" ref="AN12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60" s="84" cm="1">
        <f t="array" ref="AO12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60" s="84" cm="1">
        <f t="array" ref="AP12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0" s="84" cm="1">
        <f t="array" ref="AQ12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60" s="84" cm="1">
        <f t="array" ref="AR12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0" s="84" cm="1">
        <f t="array" ref="AS12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60" s="84" cm="1">
        <f t="array" ref="AT12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0" s="84" cm="1">
        <f t="array" ref="AU12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60" s="84" cm="1">
        <f t="array" ref="AV12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0" s="84" cm="1">
        <f t="array" ref="AW12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60" s="84" cm="1">
        <f t="array" ref="AX12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0" s="84" cm="1">
        <f t="array" ref="AY12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0" s="84" cm="1">
        <f t="array" ref="AZ12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60" s="84" cm="1">
        <f t="array" ref="BA12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0" s="84" cm="1">
        <f t="array" ref="BB12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0" s="84">
        <f>IF(SUM(Table3[[#This Row],[Column2]:[Column18]])&gt;Table3[[#This Row],[Column19]],Table3[[#This Row],[Column19]],SUM(Table3[[#This Row],[Column2]:[Column18]]))</f>
        <v>10000</v>
      </c>
      <c r="BD1260" s="2">
        <f>Table3[[#This Row],[Total Spend]]/SUM(Table3[[#This Row],[Column2]:[Column18]])</f>
        <v>7.2859744990892539E-2</v>
      </c>
    </row>
    <row r="1261" spans="1:56">
      <c r="A1261" s="84" t="s">
        <v>1336</v>
      </c>
      <c r="B1261" s="84"/>
      <c r="C1261" s="84"/>
      <c r="D1261" s="85">
        <v>45809</v>
      </c>
      <c r="E1261" s="85" t="s">
        <v>92</v>
      </c>
      <c r="F1261" s="84">
        <f>INDEX(Definitions!$G$13:$G$17,MATCH(Table3[[#This Row],[Propensity to buy/ buyer readiness]],Definitions!$A$13:$A$17,0))</f>
        <v>50000</v>
      </c>
      <c r="G1261" s="86">
        <v>3</v>
      </c>
      <c r="H1261" s="86">
        <v>3</v>
      </c>
      <c r="I1261" s="86">
        <v>3</v>
      </c>
      <c r="J1261" s="86">
        <v>3</v>
      </c>
      <c r="K1261" s="86">
        <v>3</v>
      </c>
      <c r="L1261" s="86">
        <f>SUM(Table3[[#This Row],[Strategic priority segment]:[Propensity to buy/ buyer readiness]])</f>
        <v>15</v>
      </c>
      <c r="M1261" s="86" t="s">
        <v>191</v>
      </c>
      <c r="N1261" s="84" t="s">
        <v>76</v>
      </c>
      <c r="O1261" s="84"/>
      <c r="P1261" s="87"/>
      <c r="Q1261" s="87"/>
      <c r="R1261" s="84"/>
      <c r="S1261" s="84"/>
      <c r="T1261" s="84"/>
      <c r="U1261" s="84">
        <v>0</v>
      </c>
      <c r="V1261" s="84">
        <v>0</v>
      </c>
      <c r="W1261" s="84">
        <v>0</v>
      </c>
      <c r="X1261" s="84">
        <v>0</v>
      </c>
      <c r="Y1261" s="84">
        <v>0</v>
      </c>
      <c r="Z1261" s="84">
        <v>0</v>
      </c>
      <c r="AA1261" s="84">
        <v>0</v>
      </c>
      <c r="AB1261" s="84">
        <v>0</v>
      </c>
      <c r="AC1261" s="84">
        <v>0</v>
      </c>
      <c r="AD1261" s="84">
        <v>0</v>
      </c>
      <c r="AE1261" s="84">
        <v>0</v>
      </c>
      <c r="AF1261" s="84">
        <v>0</v>
      </c>
      <c r="AG1261" s="84">
        <v>0</v>
      </c>
      <c r="AH1261" s="84">
        <v>1</v>
      </c>
      <c r="AI1261" s="84">
        <v>0</v>
      </c>
      <c r="AJ1261" s="84">
        <v>1</v>
      </c>
      <c r="AK1261" s="84">
        <v>0</v>
      </c>
      <c r="AL1261" s="84" cm="1">
        <f t="array" ref="AL12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61" s="84" cm="1">
        <f t="array" ref="AM12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1" s="84" cm="1">
        <f t="array" ref="AN12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1" s="84" cm="1">
        <f t="array" ref="AO12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1" s="84" cm="1">
        <f t="array" ref="AP12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1" s="84" cm="1">
        <f t="array" ref="AQ12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61" s="84" cm="1">
        <f t="array" ref="AR12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1" s="84" cm="1">
        <f t="array" ref="AS12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61" s="84" cm="1">
        <f t="array" ref="AT12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1" s="84" cm="1">
        <f t="array" ref="AU12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61" s="84" cm="1">
        <f t="array" ref="AV12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1" s="84" cm="1">
        <f t="array" ref="AW12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61" s="84" cm="1">
        <f t="array" ref="AX12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1" s="84" cm="1">
        <f t="array" ref="AY12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61" s="84" cm="1">
        <f t="array" ref="AZ12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1" s="84" cm="1">
        <f t="array" ref="BA12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61" s="84" cm="1">
        <f t="array" ref="BB12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1" s="84">
        <f>IF(SUM(Table3[[#This Row],[Column2]:[Column18]])&gt;Table3[[#This Row],[Column19]],Table3[[#This Row],[Column19]],SUM(Table3[[#This Row],[Column2]:[Column18]]))</f>
        <v>30600</v>
      </c>
      <c r="BD1261" s="2">
        <f>Table3[[#This Row],[Total Spend]]/SUM(Table3[[#This Row],[Column2]:[Column18]])</f>
        <v>1</v>
      </c>
    </row>
    <row r="1262" spans="1:56">
      <c r="A1262" s="84" t="s">
        <v>1337</v>
      </c>
      <c r="B1262" s="84"/>
      <c r="C1262" s="84"/>
      <c r="D1262" s="85">
        <v>45566</v>
      </c>
      <c r="E1262" s="85" t="s">
        <v>58</v>
      </c>
      <c r="F1262" s="84">
        <f>INDEX(Definitions!$G$13:$G$17,MATCH(Table3[[#This Row],[Propensity to buy/ buyer readiness]],Definitions!$A$13:$A$17,0))</f>
        <v>150000</v>
      </c>
      <c r="G1262" s="86">
        <v>3</v>
      </c>
      <c r="H1262" s="86">
        <v>3</v>
      </c>
      <c r="I1262" s="86">
        <v>2</v>
      </c>
      <c r="J1262" s="86">
        <v>3</v>
      </c>
      <c r="K1262" s="86">
        <v>4</v>
      </c>
      <c r="L1262" s="86">
        <f>SUM(Table3[[#This Row],[Strategic priority segment]:[Propensity to buy/ buyer readiness]])</f>
        <v>15</v>
      </c>
      <c r="M1262" s="86" t="s">
        <v>152</v>
      </c>
      <c r="N1262" s="84" t="s">
        <v>122</v>
      </c>
      <c r="O1262" s="84"/>
      <c r="P1262" s="87"/>
      <c r="Q1262" s="87"/>
      <c r="R1262" s="84"/>
      <c r="S1262" s="87"/>
      <c r="T1262" s="84"/>
      <c r="U1262" s="84">
        <v>1</v>
      </c>
      <c r="V1262" s="84">
        <v>0</v>
      </c>
      <c r="W1262" s="84">
        <v>0</v>
      </c>
      <c r="X1262" s="84">
        <v>0</v>
      </c>
      <c r="Y1262" s="84">
        <v>0</v>
      </c>
      <c r="Z1262" s="84">
        <v>1</v>
      </c>
      <c r="AA1262" s="84">
        <v>0</v>
      </c>
      <c r="AB1262" s="84">
        <v>1</v>
      </c>
      <c r="AC1262" s="84">
        <v>0</v>
      </c>
      <c r="AD1262" s="84">
        <v>1</v>
      </c>
      <c r="AE1262" s="84">
        <v>0</v>
      </c>
      <c r="AF1262" s="84">
        <v>1</v>
      </c>
      <c r="AG1262" s="84">
        <v>0</v>
      </c>
      <c r="AH1262" s="84">
        <v>0</v>
      </c>
      <c r="AI1262" s="84">
        <v>0</v>
      </c>
      <c r="AJ1262" s="84">
        <v>0</v>
      </c>
      <c r="AK1262" s="84">
        <v>0</v>
      </c>
      <c r="AL1262" s="84" cm="1">
        <f t="array" ref="AL12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62" s="84" cm="1">
        <f t="array" ref="AM12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2" s="84" cm="1">
        <f t="array" ref="AN12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2" s="84" cm="1">
        <f t="array" ref="AO12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2" s="84" cm="1">
        <f t="array" ref="AP12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2" s="84" cm="1">
        <f t="array" ref="AQ12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62" s="84" cm="1">
        <f t="array" ref="AR12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2" s="84" cm="1">
        <f t="array" ref="AS12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62" s="84" cm="1">
        <f t="array" ref="AT12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2" s="84" cm="1">
        <f t="array" ref="AU12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62" s="84" cm="1">
        <f t="array" ref="AV12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2" s="84" cm="1">
        <f t="array" ref="AW12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62" s="84" cm="1">
        <f t="array" ref="AX12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2" s="84" cm="1">
        <f t="array" ref="AY12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2" s="84" cm="1">
        <f t="array" ref="AZ12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2" s="84" cm="1">
        <f t="array" ref="BA12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2" s="84" cm="1">
        <f t="array" ref="BB12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2" s="84">
        <f>IF(SUM(Table3[[#This Row],[Column2]:[Column18]])&gt;Table3[[#This Row],[Column19]],Table3[[#This Row],[Column19]],SUM(Table3[[#This Row],[Column2]:[Column18]]))</f>
        <v>150000</v>
      </c>
      <c r="BD1262" s="2">
        <f>Table3[[#This Row],[Total Spend]]/SUM(Table3[[#This Row],[Column2]:[Column18]])</f>
        <v>0.89605734767025091</v>
      </c>
    </row>
    <row r="1263" spans="1:56">
      <c r="A1263" s="84" t="s">
        <v>1338</v>
      </c>
      <c r="B1263" s="84" t="s">
        <v>57</v>
      </c>
      <c r="C1263" s="84"/>
      <c r="D1263" s="85">
        <v>45566</v>
      </c>
      <c r="E1263" s="85" t="s">
        <v>92</v>
      </c>
      <c r="F1263" s="84">
        <f>INDEX(Definitions!$G$13:$G$17,MATCH(Table3[[#This Row],[Propensity to buy/ buyer readiness]],Definitions!$A$13:$A$17,0))</f>
        <v>10000</v>
      </c>
      <c r="G1263" s="86">
        <v>3</v>
      </c>
      <c r="H1263" s="86">
        <v>3</v>
      </c>
      <c r="I1263" s="86">
        <v>4</v>
      </c>
      <c r="J1263" s="86">
        <v>3</v>
      </c>
      <c r="K1263" s="86">
        <v>2</v>
      </c>
      <c r="L1263" s="86">
        <f>SUM(Table3[[#This Row],[Strategic priority segment]:[Propensity to buy/ buyer readiness]])</f>
        <v>15</v>
      </c>
      <c r="M1263" s="86" t="s">
        <v>152</v>
      </c>
      <c r="N1263" s="84" t="s">
        <v>264</v>
      </c>
      <c r="O1263" s="84"/>
      <c r="P1263" s="87"/>
      <c r="Q1263" s="87"/>
      <c r="R1263" s="84"/>
      <c r="S1263" s="84"/>
      <c r="T1263" s="84"/>
      <c r="U1263" s="84">
        <v>1</v>
      </c>
      <c r="V1263" s="84">
        <v>0</v>
      </c>
      <c r="W1263" s="84">
        <v>0</v>
      </c>
      <c r="X1263" s="84">
        <v>0</v>
      </c>
      <c r="Y1263" s="84">
        <v>0</v>
      </c>
      <c r="Z1263" s="84">
        <v>0</v>
      </c>
      <c r="AA1263" s="84">
        <v>0</v>
      </c>
      <c r="AB1263" s="84">
        <v>0</v>
      </c>
      <c r="AC1263" s="84">
        <v>0</v>
      </c>
      <c r="AD1263" s="84">
        <v>0</v>
      </c>
      <c r="AE1263" s="84">
        <v>0</v>
      </c>
      <c r="AF1263" s="84">
        <v>0</v>
      </c>
      <c r="AG1263" s="84">
        <v>0</v>
      </c>
      <c r="AH1263" s="84">
        <v>0</v>
      </c>
      <c r="AI1263" s="84">
        <v>0</v>
      </c>
      <c r="AJ1263" s="84">
        <v>0</v>
      </c>
      <c r="AK1263" s="84">
        <v>0</v>
      </c>
      <c r="AL1263" s="84" cm="1">
        <f t="array" ref="AL12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63" s="84" cm="1">
        <f t="array" ref="AM12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3" s="84" cm="1">
        <f t="array" ref="AN12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3" s="84" cm="1">
        <f t="array" ref="AO12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3" s="84" cm="1">
        <f t="array" ref="AP12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3" s="84" cm="1">
        <f t="array" ref="AQ12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63" s="84" cm="1">
        <f t="array" ref="AR12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3" s="84" cm="1">
        <f t="array" ref="AS12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63" s="84" cm="1">
        <f t="array" ref="AT12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3" s="84" cm="1">
        <f t="array" ref="AU12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63" s="84" cm="1">
        <f t="array" ref="AV12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3" s="84" cm="1">
        <f t="array" ref="AW12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63" s="84" cm="1">
        <f t="array" ref="AX12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3" s="84" cm="1">
        <f t="array" ref="AY12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3" s="84" cm="1">
        <f t="array" ref="AZ12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3" s="84" cm="1">
        <f t="array" ref="BA12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3" s="84" cm="1">
        <f t="array" ref="BB12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3" s="84">
        <f>IF(SUM(Table3[[#This Row],[Column2]:[Column18]])&gt;Table3[[#This Row],[Column19]],Table3[[#This Row],[Column19]],SUM(Table3[[#This Row],[Column2]:[Column18]]))</f>
        <v>8100</v>
      </c>
      <c r="BD1263" s="2">
        <f>Table3[[#This Row],[Total Spend]]/SUM(Table3[[#This Row],[Column2]:[Column18]])</f>
        <v>1</v>
      </c>
    </row>
    <row r="1264" spans="1:56">
      <c r="A1264" s="84" t="s">
        <v>1339</v>
      </c>
      <c r="B1264" s="84"/>
      <c r="C1264" s="84"/>
      <c r="D1264" s="85">
        <v>45566</v>
      </c>
      <c r="E1264" s="85" t="s">
        <v>92</v>
      </c>
      <c r="F1264" s="84">
        <f>INDEX(Definitions!$G$13:$G$17,MATCH(Table3[[#This Row],[Propensity to buy/ buyer readiness]],Definitions!$A$13:$A$17,0))</f>
        <v>50000</v>
      </c>
      <c r="G1264" s="86">
        <v>3</v>
      </c>
      <c r="H1264" s="86">
        <v>3</v>
      </c>
      <c r="I1264" s="86">
        <v>3</v>
      </c>
      <c r="J1264" s="86">
        <v>3</v>
      </c>
      <c r="K1264" s="86">
        <v>3</v>
      </c>
      <c r="L1264" s="86">
        <f>SUM(Table3[[#This Row],[Strategic priority segment]:[Propensity to buy/ buyer readiness]])</f>
        <v>15</v>
      </c>
      <c r="M1264" s="86" t="s">
        <v>191</v>
      </c>
      <c r="N1264" s="84" t="s">
        <v>76</v>
      </c>
      <c r="O1264" s="84"/>
      <c r="P1264" s="84"/>
      <c r="Q1264" s="84"/>
      <c r="R1264" s="84"/>
      <c r="S1264" s="87"/>
      <c r="T1264" s="84"/>
      <c r="U1264" s="84">
        <v>0</v>
      </c>
      <c r="V1264" s="84">
        <v>0</v>
      </c>
      <c r="W1264" s="84">
        <v>0</v>
      </c>
      <c r="X1264" s="84">
        <v>0</v>
      </c>
      <c r="Y1264" s="84">
        <v>0</v>
      </c>
      <c r="Z1264" s="84">
        <v>0</v>
      </c>
      <c r="AA1264" s="84">
        <v>0</v>
      </c>
      <c r="AB1264" s="84">
        <v>0</v>
      </c>
      <c r="AC1264" s="84">
        <v>0</v>
      </c>
      <c r="AD1264" s="84">
        <v>0</v>
      </c>
      <c r="AE1264" s="84">
        <v>0</v>
      </c>
      <c r="AF1264" s="84">
        <v>0</v>
      </c>
      <c r="AG1264" s="84">
        <v>0</v>
      </c>
      <c r="AH1264" s="84">
        <v>1</v>
      </c>
      <c r="AI1264" s="84">
        <v>0</v>
      </c>
      <c r="AJ1264" s="84">
        <v>1</v>
      </c>
      <c r="AK1264" s="84">
        <v>0</v>
      </c>
      <c r="AL1264" s="84" cm="1">
        <f t="array" ref="AL12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64" s="84" cm="1">
        <f t="array" ref="AM12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4" s="84" cm="1">
        <f t="array" ref="AN12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4" s="84" cm="1">
        <f t="array" ref="AO12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4" s="84" cm="1">
        <f t="array" ref="AP12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4" s="84" cm="1">
        <f t="array" ref="AQ12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64" s="84" cm="1">
        <f t="array" ref="AR12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4" s="84" cm="1">
        <f t="array" ref="AS12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64" s="84" cm="1">
        <f t="array" ref="AT12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4" s="84" cm="1">
        <f t="array" ref="AU12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64" s="84" cm="1">
        <f t="array" ref="AV12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4" s="84" cm="1">
        <f t="array" ref="AW12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64" s="84" cm="1">
        <f t="array" ref="AX12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4" s="84" cm="1">
        <f t="array" ref="AY12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64" s="84" cm="1">
        <f t="array" ref="AZ12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4" s="84" cm="1">
        <f t="array" ref="BA12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64" s="84" cm="1">
        <f t="array" ref="BB12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4" s="84">
        <f>IF(SUM(Table3[[#This Row],[Column2]:[Column18]])&gt;Table3[[#This Row],[Column19]],Table3[[#This Row],[Column19]],SUM(Table3[[#This Row],[Column2]:[Column18]]))</f>
        <v>30600</v>
      </c>
      <c r="BD1264" s="2">
        <f>Table3[[#This Row],[Total Spend]]/SUM(Table3[[#This Row],[Column2]:[Column18]])</f>
        <v>1</v>
      </c>
    </row>
    <row r="1265" spans="1:56">
      <c r="A1265" s="84" t="s">
        <v>1340</v>
      </c>
      <c r="B1265" s="84"/>
      <c r="C1265" s="84"/>
      <c r="D1265" s="85">
        <v>45566</v>
      </c>
      <c r="E1265" s="85" t="s">
        <v>58</v>
      </c>
      <c r="F1265" s="84">
        <f>INDEX(Definitions!$G$13:$G$17,MATCH(Table3[[#This Row],[Propensity to buy/ buyer readiness]],Definitions!$A$13:$A$17,0))</f>
        <v>150000</v>
      </c>
      <c r="G1265" s="86">
        <v>3</v>
      </c>
      <c r="H1265" s="86">
        <v>3</v>
      </c>
      <c r="I1265" s="86">
        <v>2</v>
      </c>
      <c r="J1265" s="86">
        <v>3</v>
      </c>
      <c r="K1265" s="86">
        <v>4</v>
      </c>
      <c r="L1265" s="86">
        <f>SUM(Table3[[#This Row],[Strategic priority segment]:[Propensity to buy/ buyer readiness]])</f>
        <v>15</v>
      </c>
      <c r="M1265" s="86" t="s">
        <v>152</v>
      </c>
      <c r="N1265" s="84" t="s">
        <v>122</v>
      </c>
      <c r="O1265" s="84"/>
      <c r="P1265" s="87"/>
      <c r="Q1265" s="87"/>
      <c r="R1265" s="84"/>
      <c r="S1265" s="87"/>
      <c r="T1265" s="84"/>
      <c r="U1265" s="84">
        <v>1</v>
      </c>
      <c r="V1265" s="84">
        <v>0</v>
      </c>
      <c r="W1265" s="84">
        <v>0</v>
      </c>
      <c r="X1265" s="84">
        <v>0</v>
      </c>
      <c r="Y1265" s="84">
        <v>0</v>
      </c>
      <c r="Z1265" s="84">
        <v>1</v>
      </c>
      <c r="AA1265" s="84">
        <v>0</v>
      </c>
      <c r="AB1265" s="84">
        <v>1</v>
      </c>
      <c r="AC1265" s="84">
        <v>0</v>
      </c>
      <c r="AD1265" s="84">
        <v>1</v>
      </c>
      <c r="AE1265" s="84">
        <v>0</v>
      </c>
      <c r="AF1265" s="84">
        <v>1</v>
      </c>
      <c r="AG1265" s="84">
        <v>0</v>
      </c>
      <c r="AH1265" s="84">
        <v>0</v>
      </c>
      <c r="AI1265" s="84">
        <v>0</v>
      </c>
      <c r="AJ1265" s="84">
        <v>0</v>
      </c>
      <c r="AK1265" s="84">
        <v>0</v>
      </c>
      <c r="AL1265" s="84" cm="1">
        <f t="array" ref="AL12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65" s="84" cm="1">
        <f t="array" ref="AM12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5" s="84" cm="1">
        <f t="array" ref="AN12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5" s="84" cm="1">
        <f t="array" ref="AO12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5" s="84" cm="1">
        <f t="array" ref="AP12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5" s="84" cm="1">
        <f t="array" ref="AQ12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65" s="84" cm="1">
        <f t="array" ref="AR12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5" s="84" cm="1">
        <f t="array" ref="AS12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65" s="84" cm="1">
        <f t="array" ref="AT12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5" s="84" cm="1">
        <f t="array" ref="AU12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65" s="84" cm="1">
        <f t="array" ref="AV12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5" s="84" cm="1">
        <f t="array" ref="AW12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65" s="84" cm="1">
        <f t="array" ref="AX12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5" s="84" cm="1">
        <f t="array" ref="AY12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5" s="84" cm="1">
        <f t="array" ref="AZ12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5" s="84" cm="1">
        <f t="array" ref="BA12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5" s="84" cm="1">
        <f t="array" ref="BB12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5" s="84">
        <f>IF(SUM(Table3[[#This Row],[Column2]:[Column18]])&gt;Table3[[#This Row],[Column19]],Table3[[#This Row],[Column19]],SUM(Table3[[#This Row],[Column2]:[Column18]]))</f>
        <v>150000</v>
      </c>
      <c r="BD1265" s="2">
        <f>Table3[[#This Row],[Total Spend]]/SUM(Table3[[#This Row],[Column2]:[Column18]])</f>
        <v>0.89605734767025091</v>
      </c>
    </row>
    <row r="1266" spans="1:56">
      <c r="A1266" s="88" t="s">
        <v>1341</v>
      </c>
      <c r="B1266" s="88"/>
      <c r="C1266" s="88"/>
      <c r="D1266" s="85">
        <v>45566</v>
      </c>
      <c r="E1266" s="85" t="s">
        <v>92</v>
      </c>
      <c r="F1266" s="84">
        <f>INDEX(Definitions!$G$13:$G$17,MATCH(Table3[[#This Row],[Propensity to buy/ buyer readiness]],Definitions!$A$13:$A$17,0))</f>
        <v>50000</v>
      </c>
      <c r="G1266" s="86">
        <v>3</v>
      </c>
      <c r="H1266" s="86">
        <v>4</v>
      </c>
      <c r="I1266" s="86">
        <v>2</v>
      </c>
      <c r="J1266" s="86">
        <v>3</v>
      </c>
      <c r="K1266" s="86">
        <v>3</v>
      </c>
      <c r="L1266" s="86">
        <f>SUM(Table3[[#This Row],[Strategic priority segment]:[Propensity to buy/ buyer readiness]])</f>
        <v>15</v>
      </c>
      <c r="M1266" s="86" t="s">
        <v>152</v>
      </c>
      <c r="N1266" s="84" t="s">
        <v>122</v>
      </c>
      <c r="O1266" s="84" t="s">
        <v>62</v>
      </c>
      <c r="P1266" s="87"/>
      <c r="Q1266" s="87"/>
      <c r="R1266" s="84"/>
      <c r="S1266" s="87"/>
      <c r="T1266" s="84"/>
      <c r="U1266" s="84">
        <v>1</v>
      </c>
      <c r="V1266" s="84">
        <v>0</v>
      </c>
      <c r="W1266" s="84">
        <v>0</v>
      </c>
      <c r="X1266" s="84">
        <v>0</v>
      </c>
      <c r="Y1266" s="84">
        <v>0</v>
      </c>
      <c r="Z1266" s="84">
        <v>1</v>
      </c>
      <c r="AA1266" s="84">
        <v>0</v>
      </c>
      <c r="AB1266" s="84">
        <v>1</v>
      </c>
      <c r="AC1266" s="84">
        <v>0</v>
      </c>
      <c r="AD1266" s="84">
        <v>1</v>
      </c>
      <c r="AE1266" s="84">
        <v>1</v>
      </c>
      <c r="AF1266" s="84">
        <v>1</v>
      </c>
      <c r="AG1266" s="84">
        <v>1</v>
      </c>
      <c r="AH1266" s="84">
        <v>0</v>
      </c>
      <c r="AI1266" s="84">
        <v>0</v>
      </c>
      <c r="AJ1266" s="84">
        <v>0</v>
      </c>
      <c r="AK1266" s="84">
        <v>0</v>
      </c>
      <c r="AL1266" s="84" cm="1">
        <f t="array" ref="AL12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66" s="84" cm="1">
        <f t="array" ref="AM12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6" s="84" cm="1">
        <f t="array" ref="AN12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6" s="84" cm="1">
        <f t="array" ref="AO12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6" s="84" cm="1">
        <f t="array" ref="AP12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6" s="84" cm="1">
        <f t="array" ref="AQ12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66" s="84" cm="1">
        <f t="array" ref="AR12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6" s="84" cm="1">
        <f t="array" ref="AS12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66" s="84" cm="1">
        <f t="array" ref="AT12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6" s="84" cm="1">
        <f t="array" ref="AU12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66" s="84" cm="1">
        <f t="array" ref="AV12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266" s="84" cm="1">
        <f t="array" ref="AW12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66" s="84" cm="1">
        <f t="array" ref="AX12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266" s="84" cm="1">
        <f t="array" ref="AY12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6" s="84" cm="1">
        <f t="array" ref="AZ12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6" s="84" cm="1">
        <f t="array" ref="BA12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6" s="84" cm="1">
        <f t="array" ref="BB12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6" s="84">
        <f>IF(SUM(Table3[[#This Row],[Column2]:[Column18]])&gt;Table3[[#This Row],[Column19]],Table3[[#This Row],[Column19]],SUM(Table3[[#This Row],[Column2]:[Column18]]))</f>
        <v>50000</v>
      </c>
      <c r="BD1266" s="2">
        <f>Table3[[#This Row],[Total Spend]]/SUM(Table3[[#This Row],[Column2]:[Column18]])</f>
        <v>0.32583903551645488</v>
      </c>
    </row>
    <row r="1267" spans="1:56">
      <c r="A1267" s="84" t="s">
        <v>1342</v>
      </c>
      <c r="B1267" s="84"/>
      <c r="C1267" s="84"/>
      <c r="D1267" s="85">
        <v>45566</v>
      </c>
      <c r="E1267" s="85" t="s">
        <v>58</v>
      </c>
      <c r="F1267" s="84">
        <f>INDEX(Definitions!$G$13:$G$17,MATCH(Table3[[#This Row],[Propensity to buy/ buyer readiness]],Definitions!$A$13:$A$17,0))</f>
        <v>50000</v>
      </c>
      <c r="G1267" s="86">
        <v>3</v>
      </c>
      <c r="H1267" s="86">
        <v>3</v>
      </c>
      <c r="I1267" s="86">
        <v>3</v>
      </c>
      <c r="J1267" s="86">
        <v>3</v>
      </c>
      <c r="K1267" s="86">
        <v>3</v>
      </c>
      <c r="L1267" s="86">
        <f>SUM(Table3[[#This Row],[Strategic priority segment]:[Propensity to buy/ buyer readiness]])</f>
        <v>15</v>
      </c>
      <c r="M1267" s="86" t="s">
        <v>152</v>
      </c>
      <c r="N1267" s="84" t="s">
        <v>264</v>
      </c>
      <c r="O1267" s="84"/>
      <c r="P1267" s="87"/>
      <c r="Q1267" s="87"/>
      <c r="R1267" s="84"/>
      <c r="S1267" s="87"/>
      <c r="T1267" s="87"/>
      <c r="U1267" s="84">
        <v>1</v>
      </c>
      <c r="V1267" s="84">
        <v>0</v>
      </c>
      <c r="W1267" s="84">
        <v>0</v>
      </c>
      <c r="X1267" s="84">
        <v>0</v>
      </c>
      <c r="Y1267" s="84">
        <v>0</v>
      </c>
      <c r="Z1267" s="84">
        <v>0</v>
      </c>
      <c r="AA1267" s="84">
        <v>0</v>
      </c>
      <c r="AB1267" s="84">
        <v>0</v>
      </c>
      <c r="AC1267" s="84">
        <v>0</v>
      </c>
      <c r="AD1267" s="84">
        <v>0</v>
      </c>
      <c r="AE1267" s="84">
        <v>0</v>
      </c>
      <c r="AF1267" s="84">
        <v>0</v>
      </c>
      <c r="AG1267" s="84">
        <v>0</v>
      </c>
      <c r="AH1267" s="84">
        <v>0</v>
      </c>
      <c r="AI1267" s="84">
        <v>0</v>
      </c>
      <c r="AJ1267" s="84">
        <v>0</v>
      </c>
      <c r="AK1267" s="84">
        <v>0</v>
      </c>
      <c r="AL1267" s="84" cm="1">
        <f t="array" ref="AL12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67" s="84" cm="1">
        <f t="array" ref="AM12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7" s="84" cm="1">
        <f t="array" ref="AN12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7" s="84" cm="1">
        <f t="array" ref="AO12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7" s="84" cm="1">
        <f t="array" ref="AP12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7" s="84" cm="1">
        <f t="array" ref="AQ12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67" s="84" cm="1">
        <f t="array" ref="AR12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7" s="84" cm="1">
        <f t="array" ref="AS12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67" s="84" cm="1">
        <f t="array" ref="AT12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7" s="84" cm="1">
        <f t="array" ref="AU12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67" s="84" cm="1">
        <f t="array" ref="AV12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7" s="84" cm="1">
        <f t="array" ref="AW12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67" s="84" cm="1">
        <f t="array" ref="AX12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7" s="84" cm="1">
        <f t="array" ref="AY12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7" s="84" cm="1">
        <f t="array" ref="AZ12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7" s="84" cm="1">
        <f t="array" ref="BA12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7" s="84" cm="1">
        <f t="array" ref="BB12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7" s="84">
        <f>IF(SUM(Table3[[#This Row],[Column2]:[Column18]])&gt;Table3[[#This Row],[Column19]],Table3[[#This Row],[Column19]],SUM(Table3[[#This Row],[Column2]:[Column18]]))</f>
        <v>10800</v>
      </c>
      <c r="BD1267" s="2">
        <f>Table3[[#This Row],[Total Spend]]/SUM(Table3[[#This Row],[Column2]:[Column18]])</f>
        <v>1</v>
      </c>
    </row>
    <row r="1268" spans="1:56">
      <c r="A1268" s="84" t="s">
        <v>1343</v>
      </c>
      <c r="B1268" s="84"/>
      <c r="C1268" s="84"/>
      <c r="D1268" s="85">
        <v>45566</v>
      </c>
      <c r="E1268" s="85" t="s">
        <v>58</v>
      </c>
      <c r="F1268" s="84">
        <f>INDEX(Definitions!$G$13:$G$17,MATCH(Table3[[#This Row],[Propensity to buy/ buyer readiness]],Definitions!$A$13:$A$17,0))</f>
        <v>150000</v>
      </c>
      <c r="G1268" s="86">
        <v>3</v>
      </c>
      <c r="H1268" s="86">
        <v>3</v>
      </c>
      <c r="I1268" s="86">
        <v>2</v>
      </c>
      <c r="J1268" s="86">
        <v>3</v>
      </c>
      <c r="K1268" s="86">
        <v>4</v>
      </c>
      <c r="L1268" s="86">
        <f>SUM(Table3[[#This Row],[Strategic priority segment]:[Propensity to buy/ buyer readiness]])</f>
        <v>15</v>
      </c>
      <c r="M1268" s="86" t="s">
        <v>152</v>
      </c>
      <c r="N1268" s="84" t="s">
        <v>122</v>
      </c>
      <c r="O1268" s="84"/>
      <c r="P1268" s="87"/>
      <c r="Q1268" s="87"/>
      <c r="R1268" s="84"/>
      <c r="S1268" s="87"/>
      <c r="T1268" s="87"/>
      <c r="U1268" s="84">
        <v>1</v>
      </c>
      <c r="V1268" s="84">
        <v>0</v>
      </c>
      <c r="W1268" s="84">
        <v>0</v>
      </c>
      <c r="X1268" s="84">
        <v>0</v>
      </c>
      <c r="Y1268" s="84">
        <v>0</v>
      </c>
      <c r="Z1268" s="84">
        <v>1</v>
      </c>
      <c r="AA1268" s="84">
        <v>0</v>
      </c>
      <c r="AB1268" s="84">
        <v>1</v>
      </c>
      <c r="AC1268" s="84">
        <v>0</v>
      </c>
      <c r="AD1268" s="84">
        <v>1</v>
      </c>
      <c r="AE1268" s="84">
        <v>0</v>
      </c>
      <c r="AF1268" s="84">
        <v>1</v>
      </c>
      <c r="AG1268" s="84">
        <v>0</v>
      </c>
      <c r="AH1268" s="84">
        <v>0</v>
      </c>
      <c r="AI1268" s="84">
        <v>0</v>
      </c>
      <c r="AJ1268" s="84">
        <v>0</v>
      </c>
      <c r="AK1268" s="84">
        <v>0</v>
      </c>
      <c r="AL1268" s="84" cm="1">
        <f t="array" ref="AL12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68" s="84" cm="1">
        <f t="array" ref="AM12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8" s="84" cm="1">
        <f t="array" ref="AN12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8" s="84" cm="1">
        <f t="array" ref="AO12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8" s="84" cm="1">
        <f t="array" ref="AP12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8" s="84" cm="1">
        <f t="array" ref="AQ12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68" s="84" cm="1">
        <f t="array" ref="AR12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8" s="84" cm="1">
        <f t="array" ref="AS12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68" s="84" cm="1">
        <f t="array" ref="AT12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8" s="84" cm="1">
        <f t="array" ref="AU12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68" s="84" cm="1">
        <f t="array" ref="AV12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8" s="84" cm="1">
        <f t="array" ref="AW12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68" s="84" cm="1">
        <f t="array" ref="AX12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8" s="84" cm="1">
        <f t="array" ref="AY12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8" s="84" cm="1">
        <f t="array" ref="AZ12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8" s="84" cm="1">
        <f t="array" ref="BA12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8" s="84" cm="1">
        <f t="array" ref="BB12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8" s="84">
        <f>IF(SUM(Table3[[#This Row],[Column2]:[Column18]])&gt;Table3[[#This Row],[Column19]],Table3[[#This Row],[Column19]],SUM(Table3[[#This Row],[Column2]:[Column18]]))</f>
        <v>150000</v>
      </c>
      <c r="BD1268" s="2">
        <f>Table3[[#This Row],[Total Spend]]/SUM(Table3[[#This Row],[Column2]:[Column18]])</f>
        <v>0.89605734767025091</v>
      </c>
    </row>
    <row r="1269" spans="1:56">
      <c r="A1269" s="84" t="s">
        <v>1344</v>
      </c>
      <c r="B1269" s="84"/>
      <c r="C1269" s="84"/>
      <c r="D1269" s="85">
        <v>45566</v>
      </c>
      <c r="E1269" s="85" t="s">
        <v>92</v>
      </c>
      <c r="F1269" s="84">
        <f>INDEX(Definitions!$G$13:$G$17,MATCH(Table3[[#This Row],[Propensity to buy/ buyer readiness]],Definitions!$A$13:$A$17,0))</f>
        <v>50000</v>
      </c>
      <c r="G1269" s="86">
        <v>3</v>
      </c>
      <c r="H1269" s="86">
        <v>3</v>
      </c>
      <c r="I1269" s="86">
        <v>3</v>
      </c>
      <c r="J1269" s="86">
        <v>3</v>
      </c>
      <c r="K1269" s="86">
        <v>3</v>
      </c>
      <c r="L1269" s="86">
        <f>SUM(Table3[[#This Row],[Strategic priority segment]:[Propensity to buy/ buyer readiness]])</f>
        <v>15</v>
      </c>
      <c r="M1269" s="86" t="s">
        <v>152</v>
      </c>
      <c r="N1269" s="84" t="s">
        <v>122</v>
      </c>
      <c r="O1269" s="84"/>
      <c r="P1269" s="87"/>
      <c r="Q1269" s="87"/>
      <c r="R1269" s="84"/>
      <c r="S1269" s="87"/>
      <c r="T1269" s="87"/>
      <c r="U1269" s="84">
        <v>1</v>
      </c>
      <c r="V1269" s="84">
        <v>0</v>
      </c>
      <c r="W1269" s="84">
        <v>0</v>
      </c>
      <c r="X1269" s="84">
        <v>0</v>
      </c>
      <c r="Y1269" s="84">
        <v>0</v>
      </c>
      <c r="Z1269" s="84">
        <v>1</v>
      </c>
      <c r="AA1269" s="84">
        <v>0</v>
      </c>
      <c r="AB1269" s="84">
        <v>1</v>
      </c>
      <c r="AC1269" s="84">
        <v>0</v>
      </c>
      <c r="AD1269" s="84">
        <v>1</v>
      </c>
      <c r="AE1269" s="84">
        <v>0</v>
      </c>
      <c r="AF1269" s="84">
        <v>1</v>
      </c>
      <c r="AG1269" s="84">
        <v>0</v>
      </c>
      <c r="AH1269" s="84">
        <v>0</v>
      </c>
      <c r="AI1269" s="84">
        <v>0</v>
      </c>
      <c r="AJ1269" s="84">
        <v>0</v>
      </c>
      <c r="AK1269" s="84">
        <v>0</v>
      </c>
      <c r="AL1269" s="84" cm="1">
        <f t="array" ref="AL12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69" s="84" cm="1">
        <f t="array" ref="AM12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69" s="84" cm="1">
        <f t="array" ref="AN12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69" s="84" cm="1">
        <f t="array" ref="AO12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69" s="84" cm="1">
        <f t="array" ref="AP12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69" s="84" cm="1">
        <f t="array" ref="AQ12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69" s="84" cm="1">
        <f t="array" ref="AR12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69" s="84" cm="1">
        <f t="array" ref="AS12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69" s="84" cm="1">
        <f t="array" ref="AT12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69" s="84" cm="1">
        <f t="array" ref="AU12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69" s="84" cm="1">
        <f t="array" ref="AV12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69" s="84" cm="1">
        <f t="array" ref="AW12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69" s="84" cm="1">
        <f t="array" ref="AX12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69" s="84" cm="1">
        <f t="array" ref="AY12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69" s="84" cm="1">
        <f t="array" ref="AZ12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69" s="84" cm="1">
        <f t="array" ref="BA12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69" s="84" cm="1">
        <f t="array" ref="BB12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69" s="84">
        <f>IF(SUM(Table3[[#This Row],[Column2]:[Column18]])&gt;Table3[[#This Row],[Column19]],Table3[[#This Row],[Column19]],SUM(Table3[[#This Row],[Column2]:[Column18]]))</f>
        <v>50000</v>
      </c>
      <c r="BD1269" s="2">
        <f>Table3[[#This Row],[Total Spend]]/SUM(Table3[[#This Row],[Column2]:[Column18]])</f>
        <v>0.41459369817578773</v>
      </c>
    </row>
    <row r="1270" spans="1:56">
      <c r="A1270" s="84" t="s">
        <v>1345</v>
      </c>
      <c r="B1270" s="84"/>
      <c r="C1270" s="84"/>
      <c r="D1270" s="85">
        <v>45566</v>
      </c>
      <c r="E1270" s="85" t="s">
        <v>58</v>
      </c>
      <c r="F1270" s="84">
        <f>INDEX(Definitions!$G$13:$G$17,MATCH(Table3[[#This Row],[Propensity to buy/ buyer readiness]],Definitions!$A$13:$A$17,0))</f>
        <v>50000</v>
      </c>
      <c r="G1270" s="86">
        <v>3</v>
      </c>
      <c r="H1270" s="86">
        <v>3</v>
      </c>
      <c r="I1270" s="86">
        <v>3</v>
      </c>
      <c r="J1270" s="86">
        <v>3</v>
      </c>
      <c r="K1270" s="86">
        <v>3</v>
      </c>
      <c r="L1270" s="86">
        <f>SUM(Table3[[#This Row],[Strategic priority segment]:[Propensity to buy/ buyer readiness]])</f>
        <v>15</v>
      </c>
      <c r="M1270" s="86" t="s">
        <v>152</v>
      </c>
      <c r="N1270" s="84" t="s">
        <v>130</v>
      </c>
      <c r="O1270" s="84"/>
      <c r="P1270" s="84"/>
      <c r="Q1270" s="84"/>
      <c r="R1270" s="84"/>
      <c r="S1270" s="84"/>
      <c r="T1270" s="87"/>
      <c r="U1270" s="84">
        <v>1</v>
      </c>
      <c r="V1270" s="84">
        <v>0</v>
      </c>
      <c r="W1270" s="84">
        <v>0</v>
      </c>
      <c r="X1270" s="84">
        <v>0</v>
      </c>
      <c r="Y1270" s="84">
        <v>0</v>
      </c>
      <c r="Z1270" s="84">
        <v>0</v>
      </c>
      <c r="AA1270" s="84">
        <v>0</v>
      </c>
      <c r="AB1270" s="84">
        <v>0</v>
      </c>
      <c r="AC1270" s="84">
        <v>0</v>
      </c>
      <c r="AD1270" s="84">
        <v>0</v>
      </c>
      <c r="AE1270" s="84">
        <v>0</v>
      </c>
      <c r="AF1270" s="84">
        <v>0</v>
      </c>
      <c r="AG1270" s="84">
        <v>0</v>
      </c>
      <c r="AH1270" s="84">
        <v>0</v>
      </c>
      <c r="AI1270" s="84">
        <v>0</v>
      </c>
      <c r="AJ1270" s="84">
        <v>0</v>
      </c>
      <c r="AK1270" s="84">
        <v>0</v>
      </c>
      <c r="AL1270" s="84" cm="1">
        <f t="array" ref="AL12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70" s="84" cm="1">
        <f t="array" ref="AM12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0" s="84" cm="1">
        <f t="array" ref="AN12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0" s="84" cm="1">
        <f t="array" ref="AO12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0" s="84" cm="1">
        <f t="array" ref="AP12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0" s="84" cm="1">
        <f t="array" ref="AQ12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0" s="84" cm="1">
        <f t="array" ref="AR12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0" s="84" cm="1">
        <f t="array" ref="AS12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0" s="84" cm="1">
        <f t="array" ref="AT12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0" s="84" cm="1">
        <f t="array" ref="AU12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0" s="84" cm="1">
        <f t="array" ref="AV12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0" s="84" cm="1">
        <f t="array" ref="AW12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0" s="84" cm="1">
        <f t="array" ref="AX12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0" s="84" cm="1">
        <f t="array" ref="AY12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0" s="84" cm="1">
        <f t="array" ref="AZ12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0" s="84" cm="1">
        <f t="array" ref="BA12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70" s="84" cm="1">
        <f t="array" ref="BB12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0" s="84">
        <f>IF(SUM(Table3[[#This Row],[Column2]:[Column18]])&gt;Table3[[#This Row],[Column19]],Table3[[#This Row],[Column19]],SUM(Table3[[#This Row],[Column2]:[Column18]]))</f>
        <v>10800</v>
      </c>
      <c r="BD1270" s="2">
        <f>Table3[[#This Row],[Total Spend]]/SUM(Table3[[#This Row],[Column2]:[Column18]])</f>
        <v>1</v>
      </c>
    </row>
    <row r="1271" spans="1:56">
      <c r="A1271" s="84" t="s">
        <v>1346</v>
      </c>
      <c r="B1271" s="84"/>
      <c r="C1271" s="84"/>
      <c r="D1271" s="85">
        <v>45566</v>
      </c>
      <c r="E1271" s="85" t="s">
        <v>92</v>
      </c>
      <c r="F1271" s="84">
        <f>INDEX(Definitions!$G$13:$G$17,MATCH(Table3[[#This Row],[Propensity to buy/ buyer readiness]],Definitions!$A$13:$A$17,0))</f>
        <v>50000</v>
      </c>
      <c r="G1271" s="86">
        <v>3</v>
      </c>
      <c r="H1271" s="86">
        <v>3</v>
      </c>
      <c r="I1271" s="86">
        <v>3</v>
      </c>
      <c r="J1271" s="86">
        <v>3</v>
      </c>
      <c r="K1271" s="86">
        <v>3</v>
      </c>
      <c r="L1271" s="86">
        <f>SUM(Table3[[#This Row],[Strategic priority segment]:[Propensity to buy/ buyer readiness]])</f>
        <v>15</v>
      </c>
      <c r="M1271" s="86" t="s">
        <v>66</v>
      </c>
      <c r="N1271" s="84" t="s">
        <v>144</v>
      </c>
      <c r="O1271" s="84"/>
      <c r="P1271" s="87"/>
      <c r="Q1271" s="87"/>
      <c r="R1271" s="84"/>
      <c r="S1271" s="87"/>
      <c r="T1271" s="87"/>
      <c r="U1271" s="84">
        <v>1</v>
      </c>
      <c r="V1271" s="84">
        <v>0</v>
      </c>
      <c r="W1271" s="84">
        <v>0</v>
      </c>
      <c r="X1271" s="84">
        <v>0</v>
      </c>
      <c r="Y1271" s="84">
        <v>0</v>
      </c>
      <c r="Z1271" s="84">
        <v>0</v>
      </c>
      <c r="AA1271" s="84">
        <v>0</v>
      </c>
      <c r="AB1271" s="84">
        <v>0</v>
      </c>
      <c r="AC1271" s="84">
        <v>0</v>
      </c>
      <c r="AD1271" s="84">
        <v>0</v>
      </c>
      <c r="AE1271" s="84">
        <v>0</v>
      </c>
      <c r="AF1271" s="84">
        <v>1</v>
      </c>
      <c r="AG1271" s="84">
        <v>0</v>
      </c>
      <c r="AH1271" s="84">
        <v>0</v>
      </c>
      <c r="AI1271" s="84">
        <v>0</v>
      </c>
      <c r="AJ1271" s="84">
        <v>1</v>
      </c>
      <c r="AK1271" s="84">
        <v>0</v>
      </c>
      <c r="AL1271" s="84" cm="1">
        <f t="array" ref="AL12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1" s="84" cm="1">
        <f t="array" ref="AM12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1" s="84" cm="1">
        <f t="array" ref="AN12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1" s="84" cm="1">
        <f t="array" ref="AO12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1" s="84" cm="1">
        <f t="array" ref="AP12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1" s="84" cm="1">
        <f t="array" ref="AQ12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1" s="84" cm="1">
        <f t="array" ref="AR12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1" s="84" cm="1">
        <f t="array" ref="AS12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1" s="84" cm="1">
        <f t="array" ref="AT12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1" s="84" cm="1">
        <f t="array" ref="AU12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1" s="84" cm="1">
        <f t="array" ref="AV12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1" s="84" cm="1">
        <f t="array" ref="AW12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71" s="84" cm="1">
        <f t="array" ref="AX12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1" s="84" cm="1">
        <f t="array" ref="AY12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1" s="84" cm="1">
        <f t="array" ref="AZ12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1" s="84" cm="1">
        <f t="array" ref="BA12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71" s="84" cm="1">
        <f t="array" ref="BB12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1" s="84">
        <f>IF(SUM(Table3[[#This Row],[Column2]:[Column18]])&gt;Table3[[#This Row],[Column19]],Table3[[#This Row],[Column19]],SUM(Table3[[#This Row],[Column2]:[Column18]]))</f>
        <v>50000</v>
      </c>
      <c r="BD1271" s="2">
        <f>Table3[[#This Row],[Total Spend]]/SUM(Table3[[#This Row],[Column2]:[Column18]])</f>
        <v>0.84175084175084181</v>
      </c>
    </row>
    <row r="1272" spans="1:56">
      <c r="A1272" s="84" t="s">
        <v>1347</v>
      </c>
      <c r="B1272" s="84"/>
      <c r="C1272" s="84" t="s">
        <v>57</v>
      </c>
      <c r="D1272" s="85">
        <v>45809</v>
      </c>
      <c r="E1272" s="85" t="s">
        <v>92</v>
      </c>
      <c r="F1272" s="84">
        <f>INDEX(Definitions!$G$13:$G$17,MATCH(Table3[[#This Row],[Propensity to buy/ buyer readiness]],Definitions!$A$13:$A$17,0))</f>
        <v>50000</v>
      </c>
      <c r="G1272" s="86">
        <v>3</v>
      </c>
      <c r="H1272" s="86">
        <v>3</v>
      </c>
      <c r="I1272" s="86">
        <v>3</v>
      </c>
      <c r="J1272" s="86">
        <v>3</v>
      </c>
      <c r="K1272" s="86">
        <v>3</v>
      </c>
      <c r="L1272" s="86">
        <f>SUM(Table3[[#This Row],[Strategic priority segment]:[Propensity to buy/ buyer readiness]])</f>
        <v>15</v>
      </c>
      <c r="M1272" s="86" t="s">
        <v>191</v>
      </c>
      <c r="N1272" s="84" t="s">
        <v>135</v>
      </c>
      <c r="O1272" s="84" t="s">
        <v>61</v>
      </c>
      <c r="P1272" s="84"/>
      <c r="Q1272" s="84"/>
      <c r="R1272" s="84"/>
      <c r="S1272" s="84"/>
      <c r="T1272" s="87"/>
      <c r="U1272" s="84">
        <v>1</v>
      </c>
      <c r="V1272" s="84">
        <v>0</v>
      </c>
      <c r="W1272" s="84">
        <v>0</v>
      </c>
      <c r="X1272" s="84">
        <v>0</v>
      </c>
      <c r="Y1272" s="84">
        <v>0</v>
      </c>
      <c r="Z1272" s="84">
        <v>1</v>
      </c>
      <c r="AA1272" s="84">
        <v>1</v>
      </c>
      <c r="AB1272" s="84">
        <v>1</v>
      </c>
      <c r="AC1272" s="84">
        <v>1</v>
      </c>
      <c r="AD1272" s="84">
        <v>0</v>
      </c>
      <c r="AE1272" s="84">
        <v>0</v>
      </c>
      <c r="AF1272" s="84">
        <v>0</v>
      </c>
      <c r="AG1272" s="84">
        <v>0</v>
      </c>
      <c r="AH1272" s="84">
        <v>1</v>
      </c>
      <c r="AI1272" s="84">
        <v>1</v>
      </c>
      <c r="AJ1272" s="84">
        <v>1</v>
      </c>
      <c r="AK1272" s="84">
        <v>1</v>
      </c>
      <c r="AL1272" s="84" cm="1">
        <f t="array" ref="AL12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2" s="84" cm="1">
        <f t="array" ref="AM12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2" s="84" cm="1">
        <f t="array" ref="AN12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2" s="84" cm="1">
        <f t="array" ref="AO12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2" s="84" cm="1">
        <f t="array" ref="AP12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2" s="84" cm="1">
        <f t="array" ref="AQ12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72" s="84" cm="1">
        <f t="array" ref="AR12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272" s="84" cm="1">
        <f t="array" ref="AS12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72" s="84" cm="1">
        <f t="array" ref="AT12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272" s="84" cm="1">
        <f t="array" ref="AU12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2" s="84" cm="1">
        <f t="array" ref="AV12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2" s="84" cm="1">
        <f t="array" ref="AW12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2" s="84" cm="1">
        <f t="array" ref="AX12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2" s="84" cm="1">
        <f t="array" ref="AY12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72" s="84" cm="1">
        <f t="array" ref="AZ12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72" s="84" cm="1">
        <f t="array" ref="BA12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72" s="84" cm="1">
        <f t="array" ref="BB12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72" s="84">
        <f>IF(SUM(Table3[[#This Row],[Column2]:[Column18]])&gt;Table3[[#This Row],[Column19]],Table3[[#This Row],[Column19]],SUM(Table3[[#This Row],[Column2]:[Column18]]))</f>
        <v>50000</v>
      </c>
      <c r="BD1272" s="2">
        <f>Table3[[#This Row],[Total Spend]]/SUM(Table3[[#This Row],[Column2]:[Column18]])</f>
        <v>0.33772374197906113</v>
      </c>
    </row>
    <row r="1273" spans="1:56">
      <c r="A1273" s="84" t="s">
        <v>1348</v>
      </c>
      <c r="B1273" s="84" t="s">
        <v>57</v>
      </c>
      <c r="C1273" s="84"/>
      <c r="D1273" s="85">
        <v>45566</v>
      </c>
      <c r="E1273" s="85" t="s">
        <v>58</v>
      </c>
      <c r="F1273" s="84">
        <f>INDEX(Definitions!$G$13:$G$17,MATCH(Table3[[#This Row],[Propensity to buy/ buyer readiness]],Definitions!$A$13:$A$17,0))</f>
        <v>10000</v>
      </c>
      <c r="G1273" s="86">
        <v>3</v>
      </c>
      <c r="H1273" s="86">
        <v>3</v>
      </c>
      <c r="I1273" s="86">
        <v>4</v>
      </c>
      <c r="J1273" s="86">
        <v>3</v>
      </c>
      <c r="K1273" s="86">
        <v>2</v>
      </c>
      <c r="L1273" s="86">
        <f>SUM(Table3[[#This Row],[Strategic priority segment]:[Propensity to buy/ buyer readiness]])</f>
        <v>15</v>
      </c>
      <c r="M1273" s="86" t="s">
        <v>102</v>
      </c>
      <c r="N1273" s="84" t="s">
        <v>1133</v>
      </c>
      <c r="O1273" s="84"/>
      <c r="P1273" s="87"/>
      <c r="Q1273" s="87"/>
      <c r="R1273" s="84"/>
      <c r="S1273" s="84"/>
      <c r="T1273" s="87"/>
      <c r="U1273" s="84">
        <v>1</v>
      </c>
      <c r="V1273" s="84">
        <v>0</v>
      </c>
      <c r="W1273" s="84">
        <v>0</v>
      </c>
      <c r="X1273" s="84">
        <v>0</v>
      </c>
      <c r="Y1273" s="84">
        <v>0</v>
      </c>
      <c r="Z1273" s="84">
        <v>0</v>
      </c>
      <c r="AA1273" s="84">
        <v>0</v>
      </c>
      <c r="AB1273" s="84">
        <v>0</v>
      </c>
      <c r="AC1273" s="84">
        <v>0</v>
      </c>
      <c r="AD1273" s="84">
        <v>0</v>
      </c>
      <c r="AE1273" s="84">
        <v>0</v>
      </c>
      <c r="AF1273" s="84">
        <v>0</v>
      </c>
      <c r="AG1273" s="84">
        <v>0</v>
      </c>
      <c r="AH1273" s="84">
        <v>0</v>
      </c>
      <c r="AI1273" s="84">
        <v>0</v>
      </c>
      <c r="AJ1273" s="84">
        <v>0</v>
      </c>
      <c r="AK1273" s="84">
        <v>0</v>
      </c>
      <c r="AL1273" s="84" cm="1">
        <f t="array" ref="AL12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73" s="84" cm="1">
        <f t="array" ref="AM12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3" s="84" cm="1">
        <f t="array" ref="AN12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3" s="84" cm="1">
        <f t="array" ref="AO12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3" s="84" cm="1">
        <f t="array" ref="AP12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3" s="84" cm="1">
        <f t="array" ref="AQ12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3" s="84" cm="1">
        <f t="array" ref="AR12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3" s="84" cm="1">
        <f t="array" ref="AS12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3" s="84" cm="1">
        <f t="array" ref="AT12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3" s="84" cm="1">
        <f t="array" ref="AU12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3" s="84" cm="1">
        <f t="array" ref="AV12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3" s="84" cm="1">
        <f t="array" ref="AW12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3" s="84" cm="1">
        <f t="array" ref="AX12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3" s="84" cm="1">
        <f t="array" ref="AY12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3" s="84" cm="1">
        <f t="array" ref="AZ12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3" s="84" cm="1">
        <f t="array" ref="BA12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73" s="84" cm="1">
        <f t="array" ref="BB12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3" s="84">
        <f>IF(SUM(Table3[[#This Row],[Column2]:[Column18]])&gt;Table3[[#This Row],[Column19]],Table3[[#This Row],[Column19]],SUM(Table3[[#This Row],[Column2]:[Column18]]))</f>
        <v>10000</v>
      </c>
      <c r="BD1273" s="2">
        <f>Table3[[#This Row],[Total Spend]]/SUM(Table3[[#This Row],[Column2]:[Column18]])</f>
        <v>0.92592592592592593</v>
      </c>
    </row>
    <row r="1274" spans="1:56">
      <c r="A1274" s="84" t="s">
        <v>1349</v>
      </c>
      <c r="B1274" s="84" t="s">
        <v>57</v>
      </c>
      <c r="C1274" s="84"/>
      <c r="D1274" s="85">
        <v>45566</v>
      </c>
      <c r="E1274" s="85" t="s">
        <v>58</v>
      </c>
      <c r="F1274" s="84">
        <f>INDEX(Definitions!$G$13:$G$17,MATCH(Table3[[#This Row],[Propensity to buy/ buyer readiness]],Definitions!$A$13:$A$17,0))</f>
        <v>10000</v>
      </c>
      <c r="G1274" s="86">
        <v>3</v>
      </c>
      <c r="H1274" s="86">
        <v>3</v>
      </c>
      <c r="I1274" s="86">
        <v>4</v>
      </c>
      <c r="J1274" s="86">
        <v>3</v>
      </c>
      <c r="K1274" s="86">
        <v>2</v>
      </c>
      <c r="L1274" s="86">
        <f>SUM(Table3[[#This Row],[Strategic priority segment]:[Propensity to buy/ buyer readiness]])</f>
        <v>15</v>
      </c>
      <c r="M1274" s="86" t="s">
        <v>102</v>
      </c>
      <c r="N1274" s="84" t="s">
        <v>1133</v>
      </c>
      <c r="O1274" s="84"/>
      <c r="P1274" s="87"/>
      <c r="Q1274" s="87"/>
      <c r="R1274" s="84"/>
      <c r="S1274" s="84"/>
      <c r="T1274" s="87"/>
      <c r="U1274" s="84">
        <v>1</v>
      </c>
      <c r="V1274" s="84">
        <v>0</v>
      </c>
      <c r="W1274" s="84">
        <v>0</v>
      </c>
      <c r="X1274" s="84">
        <v>0</v>
      </c>
      <c r="Y1274" s="84">
        <v>0</v>
      </c>
      <c r="Z1274" s="84">
        <v>0</v>
      </c>
      <c r="AA1274" s="84">
        <v>0</v>
      </c>
      <c r="AB1274" s="84">
        <v>0</v>
      </c>
      <c r="AC1274" s="84">
        <v>0</v>
      </c>
      <c r="AD1274" s="84">
        <v>0</v>
      </c>
      <c r="AE1274" s="84">
        <v>0</v>
      </c>
      <c r="AF1274" s="84">
        <v>0</v>
      </c>
      <c r="AG1274" s="84">
        <v>0</v>
      </c>
      <c r="AH1274" s="84">
        <v>0</v>
      </c>
      <c r="AI1274" s="84">
        <v>0</v>
      </c>
      <c r="AJ1274" s="84">
        <v>0</v>
      </c>
      <c r="AK1274" s="84">
        <v>0</v>
      </c>
      <c r="AL1274" s="84" cm="1">
        <f t="array" ref="AL12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74" s="84" cm="1">
        <f t="array" ref="AM12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4" s="84" cm="1">
        <f t="array" ref="AN12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4" s="84" cm="1">
        <f t="array" ref="AO12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4" s="84" cm="1">
        <f t="array" ref="AP12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4" s="84" cm="1">
        <f t="array" ref="AQ12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4" s="84" cm="1">
        <f t="array" ref="AR12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4" s="84" cm="1">
        <f t="array" ref="AS12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4" s="84" cm="1">
        <f t="array" ref="AT12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4" s="84" cm="1">
        <f t="array" ref="AU12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4" s="84" cm="1">
        <f t="array" ref="AV12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4" s="84" cm="1">
        <f t="array" ref="AW12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4" s="84" cm="1">
        <f t="array" ref="AX12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4" s="84" cm="1">
        <f t="array" ref="AY12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4" s="84" cm="1">
        <f t="array" ref="AZ12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4" s="84" cm="1">
        <f t="array" ref="BA12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74" s="84" cm="1">
        <f t="array" ref="BB12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4" s="84">
        <f>IF(SUM(Table3[[#This Row],[Column2]:[Column18]])&gt;Table3[[#This Row],[Column19]],Table3[[#This Row],[Column19]],SUM(Table3[[#This Row],[Column2]:[Column18]]))</f>
        <v>10000</v>
      </c>
      <c r="BD1274" s="2">
        <f>Table3[[#This Row],[Total Spend]]/SUM(Table3[[#This Row],[Column2]:[Column18]])</f>
        <v>0.92592592592592593</v>
      </c>
    </row>
    <row r="1275" spans="1:56">
      <c r="A1275" s="84" t="s">
        <v>1350</v>
      </c>
      <c r="B1275" s="84" t="s">
        <v>57</v>
      </c>
      <c r="C1275" s="84"/>
      <c r="D1275" s="85">
        <v>45566</v>
      </c>
      <c r="E1275" s="85" t="s">
        <v>92</v>
      </c>
      <c r="F1275" s="84">
        <f>INDEX(Definitions!$G$13:$G$17,MATCH(Table3[[#This Row],[Propensity to buy/ buyer readiness]],Definitions!$A$13:$A$17,0))</f>
        <v>50000</v>
      </c>
      <c r="G1275" s="86">
        <v>3</v>
      </c>
      <c r="H1275" s="86">
        <v>3</v>
      </c>
      <c r="I1275" s="86">
        <v>3</v>
      </c>
      <c r="J1275" s="86">
        <v>3</v>
      </c>
      <c r="K1275" s="86">
        <v>3</v>
      </c>
      <c r="L1275" s="86">
        <f>SUM(Table3[[#This Row],[Strategic priority segment]:[Propensity to buy/ buyer readiness]])</f>
        <v>15</v>
      </c>
      <c r="M1275" s="86" t="s">
        <v>152</v>
      </c>
      <c r="N1275" s="84" t="s">
        <v>153</v>
      </c>
      <c r="O1275" s="84"/>
      <c r="P1275" s="87"/>
      <c r="Q1275" s="87"/>
      <c r="R1275" s="84"/>
      <c r="S1275" s="84"/>
      <c r="T1275" s="84"/>
      <c r="U1275" s="84">
        <v>1</v>
      </c>
      <c r="V1275" s="84">
        <v>0</v>
      </c>
      <c r="W1275" s="84">
        <v>0</v>
      </c>
      <c r="X1275" s="84">
        <v>0</v>
      </c>
      <c r="Y1275" s="84">
        <v>0</v>
      </c>
      <c r="Z1275" s="84">
        <v>0</v>
      </c>
      <c r="AA1275" s="84">
        <v>0</v>
      </c>
      <c r="AB1275" s="84">
        <v>0</v>
      </c>
      <c r="AC1275" s="84">
        <v>0</v>
      </c>
      <c r="AD1275" s="84">
        <v>0</v>
      </c>
      <c r="AE1275" s="84">
        <v>0</v>
      </c>
      <c r="AF1275" s="84">
        <v>0</v>
      </c>
      <c r="AG1275" s="84">
        <v>0</v>
      </c>
      <c r="AH1275" s="84">
        <v>0</v>
      </c>
      <c r="AI1275" s="84">
        <v>0</v>
      </c>
      <c r="AJ1275" s="84">
        <v>0</v>
      </c>
      <c r="AK1275" s="84">
        <v>0</v>
      </c>
      <c r="AL1275" s="84" cm="1">
        <f t="array" ref="AL12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5" s="84" cm="1">
        <f t="array" ref="AM12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5" s="84" cm="1">
        <f t="array" ref="AN12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5" s="84" cm="1">
        <f t="array" ref="AO12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5" s="84" cm="1">
        <f t="array" ref="AP12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5" s="84" cm="1">
        <f t="array" ref="AQ12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5" s="84" cm="1">
        <f t="array" ref="AR12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5" s="84" cm="1">
        <f t="array" ref="AS12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5" s="84" cm="1">
        <f t="array" ref="AT12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5" s="84" cm="1">
        <f t="array" ref="AU12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5" s="84" cm="1">
        <f t="array" ref="AV12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5" s="84" cm="1">
        <f t="array" ref="AW12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5" s="84" cm="1">
        <f t="array" ref="AX12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5" s="84" cm="1">
        <f t="array" ref="AY12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5" s="84" cm="1">
        <f t="array" ref="AZ12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5" s="84" cm="1">
        <f t="array" ref="BA12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75" s="84" cm="1">
        <f t="array" ref="BB12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5" s="84">
        <f>IF(SUM(Table3[[#This Row],[Column2]:[Column18]])&gt;Table3[[#This Row],[Column19]],Table3[[#This Row],[Column19]],SUM(Table3[[#This Row],[Column2]:[Column18]]))</f>
        <v>8100</v>
      </c>
      <c r="BD1275" s="2">
        <f>Table3[[#This Row],[Total Spend]]/SUM(Table3[[#This Row],[Column2]:[Column18]])</f>
        <v>1</v>
      </c>
    </row>
    <row r="1276" spans="1:56">
      <c r="A1276" s="84" t="s">
        <v>1351</v>
      </c>
      <c r="B1276" s="84" t="s">
        <v>57</v>
      </c>
      <c r="C1276" s="84"/>
      <c r="D1276" s="85">
        <v>45566</v>
      </c>
      <c r="E1276" s="85" t="s">
        <v>92</v>
      </c>
      <c r="F1276" s="84">
        <f>INDEX(Definitions!$G$13:$G$17,MATCH(Table3[[#This Row],[Propensity to buy/ buyer readiness]],Definitions!$A$13:$A$17,0))</f>
        <v>10000</v>
      </c>
      <c r="G1276" s="86">
        <v>3</v>
      </c>
      <c r="H1276" s="86">
        <v>3</v>
      </c>
      <c r="I1276" s="86">
        <v>4</v>
      </c>
      <c r="J1276" s="86">
        <v>3</v>
      </c>
      <c r="K1276" s="86">
        <v>2</v>
      </c>
      <c r="L1276" s="86">
        <f>SUM(Table3[[#This Row],[Strategic priority segment]:[Propensity to buy/ buyer readiness]])</f>
        <v>15</v>
      </c>
      <c r="M1276" s="86" t="s">
        <v>191</v>
      </c>
      <c r="N1276" s="84" t="s">
        <v>135</v>
      </c>
      <c r="O1276" s="84" t="s">
        <v>153</v>
      </c>
      <c r="P1276" s="87"/>
      <c r="Q1276" s="87"/>
      <c r="R1276" s="84"/>
      <c r="S1276" s="84"/>
      <c r="T1276" s="87"/>
      <c r="U1276" s="84">
        <v>1</v>
      </c>
      <c r="V1276" s="84">
        <v>0</v>
      </c>
      <c r="W1276" s="84">
        <v>0</v>
      </c>
      <c r="X1276" s="84">
        <v>0</v>
      </c>
      <c r="Y1276" s="84">
        <v>0</v>
      </c>
      <c r="Z1276" s="84">
        <v>0</v>
      </c>
      <c r="AA1276" s="84">
        <v>0</v>
      </c>
      <c r="AB1276" s="84">
        <v>0</v>
      </c>
      <c r="AC1276" s="84">
        <v>0</v>
      </c>
      <c r="AD1276" s="84">
        <v>0</v>
      </c>
      <c r="AE1276" s="84">
        <v>0</v>
      </c>
      <c r="AF1276" s="84">
        <v>0</v>
      </c>
      <c r="AG1276" s="84">
        <v>0</v>
      </c>
      <c r="AH1276" s="84">
        <v>1</v>
      </c>
      <c r="AI1276" s="84">
        <v>1</v>
      </c>
      <c r="AJ1276" s="84">
        <v>1</v>
      </c>
      <c r="AK1276" s="84">
        <v>1</v>
      </c>
      <c r="AL1276" s="84" cm="1">
        <f t="array" ref="AL12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6" s="84" cm="1">
        <f t="array" ref="AM12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6" s="84" cm="1">
        <f t="array" ref="AN12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6" s="84" cm="1">
        <f t="array" ref="AO12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6" s="84" cm="1">
        <f t="array" ref="AP12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6" s="84" cm="1">
        <f t="array" ref="AQ12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6" s="84" cm="1">
        <f t="array" ref="AR12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6" s="84" cm="1">
        <f t="array" ref="AS12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6" s="84" cm="1">
        <f t="array" ref="AT12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6" s="84" cm="1">
        <f t="array" ref="AU12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6" s="84" cm="1">
        <f t="array" ref="AV12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6" s="84" cm="1">
        <f t="array" ref="AW12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6" s="84" cm="1">
        <f t="array" ref="AX12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6" s="84" cm="1">
        <f t="array" ref="AY12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76" s="84" cm="1">
        <f t="array" ref="AZ12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76" s="84" cm="1">
        <f t="array" ref="BA12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76" s="84" cm="1">
        <f t="array" ref="BB12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76" s="84">
        <f>IF(SUM(Table3[[#This Row],[Column2]:[Column18]])&gt;Table3[[#This Row],[Column19]],Table3[[#This Row],[Column19]],SUM(Table3[[#This Row],[Column2]:[Column18]]))</f>
        <v>10000</v>
      </c>
      <c r="BD1276" s="2">
        <f>Table3[[#This Row],[Total Spend]]/SUM(Table3[[#This Row],[Column2]:[Column18]])</f>
        <v>0.18365472910927455</v>
      </c>
    </row>
    <row r="1277" spans="1:56">
      <c r="A1277" s="84" t="s">
        <v>1352</v>
      </c>
      <c r="B1277" s="84" t="s">
        <v>57</v>
      </c>
      <c r="C1277" s="84"/>
      <c r="D1277" s="85">
        <v>45566</v>
      </c>
      <c r="E1277" s="85" t="s">
        <v>92</v>
      </c>
      <c r="F1277" s="84">
        <f>INDEX(Definitions!$G$13:$G$17,MATCH(Table3[[#This Row],[Propensity to buy/ buyer readiness]],Definitions!$A$13:$A$17,0))</f>
        <v>10000</v>
      </c>
      <c r="G1277" s="86">
        <v>3</v>
      </c>
      <c r="H1277" s="86">
        <v>3</v>
      </c>
      <c r="I1277" s="86">
        <v>4</v>
      </c>
      <c r="J1277" s="86">
        <v>3</v>
      </c>
      <c r="K1277" s="86">
        <v>2</v>
      </c>
      <c r="L1277" s="86">
        <f>SUM(Table3[[#This Row],[Strategic priority segment]:[Propensity to buy/ buyer readiness]])</f>
        <v>15</v>
      </c>
      <c r="M1277" s="86" t="s">
        <v>152</v>
      </c>
      <c r="N1277" s="84" t="s">
        <v>264</v>
      </c>
      <c r="O1277" s="84"/>
      <c r="P1277" s="87"/>
      <c r="Q1277" s="87"/>
      <c r="R1277" s="84"/>
      <c r="S1277" s="84"/>
      <c r="T1277" s="87"/>
      <c r="U1277" s="84">
        <v>1</v>
      </c>
      <c r="V1277" s="84">
        <v>0</v>
      </c>
      <c r="W1277" s="84">
        <v>0</v>
      </c>
      <c r="X1277" s="84">
        <v>0</v>
      </c>
      <c r="Y1277" s="84">
        <v>0</v>
      </c>
      <c r="Z1277" s="84">
        <v>0</v>
      </c>
      <c r="AA1277" s="84">
        <v>0</v>
      </c>
      <c r="AB1277" s="84">
        <v>0</v>
      </c>
      <c r="AC1277" s="84">
        <v>0</v>
      </c>
      <c r="AD1277" s="84">
        <v>0</v>
      </c>
      <c r="AE1277" s="84">
        <v>0</v>
      </c>
      <c r="AF1277" s="84">
        <v>0</v>
      </c>
      <c r="AG1277" s="84">
        <v>0</v>
      </c>
      <c r="AH1277" s="84">
        <v>0</v>
      </c>
      <c r="AI1277" s="84">
        <v>0</v>
      </c>
      <c r="AJ1277" s="84">
        <v>0</v>
      </c>
      <c r="AK1277" s="84">
        <v>0</v>
      </c>
      <c r="AL1277" s="84" cm="1">
        <f t="array" ref="AL12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7" s="84" cm="1">
        <f t="array" ref="AM12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7" s="84" cm="1">
        <f t="array" ref="AN12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7" s="84" cm="1">
        <f t="array" ref="AO12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7" s="84" cm="1">
        <f t="array" ref="AP12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7" s="84" cm="1">
        <f t="array" ref="AQ12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7" s="84" cm="1">
        <f t="array" ref="AR12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7" s="84" cm="1">
        <f t="array" ref="AS12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7" s="84" cm="1">
        <f t="array" ref="AT12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7" s="84" cm="1">
        <f t="array" ref="AU12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7" s="84" cm="1">
        <f t="array" ref="AV12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7" s="84" cm="1">
        <f t="array" ref="AW12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7" s="84" cm="1">
        <f t="array" ref="AX12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7" s="84" cm="1">
        <f t="array" ref="AY12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7" s="84" cm="1">
        <f t="array" ref="AZ12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7" s="84" cm="1">
        <f t="array" ref="BA12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77" s="84" cm="1">
        <f t="array" ref="BB12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7" s="84">
        <f>IF(SUM(Table3[[#This Row],[Column2]:[Column18]])&gt;Table3[[#This Row],[Column19]],Table3[[#This Row],[Column19]],SUM(Table3[[#This Row],[Column2]:[Column18]]))</f>
        <v>8100</v>
      </c>
      <c r="BD1277" s="2">
        <f>Table3[[#This Row],[Total Spend]]/SUM(Table3[[#This Row],[Column2]:[Column18]])</f>
        <v>1</v>
      </c>
    </row>
    <row r="1278" spans="1:56">
      <c r="A1278" s="84" t="s">
        <v>1353</v>
      </c>
      <c r="B1278" s="84"/>
      <c r="C1278" s="84"/>
      <c r="D1278" s="85">
        <v>45566</v>
      </c>
      <c r="E1278" s="85" t="s">
        <v>58</v>
      </c>
      <c r="F1278" s="84">
        <f>INDEX(Definitions!$G$13:$G$17,MATCH(Table3[[#This Row],[Propensity to buy/ buyer readiness]],Definitions!$A$13:$A$17,0))</f>
        <v>50000</v>
      </c>
      <c r="G1278" s="86">
        <v>3</v>
      </c>
      <c r="H1278" s="86">
        <v>3</v>
      </c>
      <c r="I1278" s="86">
        <v>3</v>
      </c>
      <c r="J1278" s="86">
        <v>3</v>
      </c>
      <c r="K1278" s="86">
        <v>3</v>
      </c>
      <c r="L1278" s="86">
        <f>SUM(Table3[[#This Row],[Strategic priority segment]:[Propensity to buy/ buyer readiness]])</f>
        <v>15</v>
      </c>
      <c r="M1278" s="86" t="s">
        <v>152</v>
      </c>
      <c r="N1278" s="84" t="s">
        <v>130</v>
      </c>
      <c r="O1278" s="84"/>
      <c r="P1278" s="84"/>
      <c r="Q1278" s="84"/>
      <c r="R1278" s="84"/>
      <c r="S1278" s="84"/>
      <c r="T1278" s="87"/>
      <c r="U1278" s="84">
        <v>1</v>
      </c>
      <c r="V1278" s="84">
        <v>0</v>
      </c>
      <c r="W1278" s="84">
        <v>0</v>
      </c>
      <c r="X1278" s="84">
        <v>0</v>
      </c>
      <c r="Y1278" s="84">
        <v>0</v>
      </c>
      <c r="Z1278" s="84">
        <v>0</v>
      </c>
      <c r="AA1278" s="84">
        <v>0</v>
      </c>
      <c r="AB1278" s="84">
        <v>0</v>
      </c>
      <c r="AC1278" s="84">
        <v>0</v>
      </c>
      <c r="AD1278" s="84">
        <v>0</v>
      </c>
      <c r="AE1278" s="84">
        <v>0</v>
      </c>
      <c r="AF1278" s="84">
        <v>0</v>
      </c>
      <c r="AG1278" s="84">
        <v>0</v>
      </c>
      <c r="AH1278" s="84">
        <v>0</v>
      </c>
      <c r="AI1278" s="84">
        <v>0</v>
      </c>
      <c r="AJ1278" s="84">
        <v>0</v>
      </c>
      <c r="AK1278" s="84">
        <v>0</v>
      </c>
      <c r="AL1278" s="84" cm="1">
        <f t="array" ref="AL12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78" s="84" cm="1">
        <f t="array" ref="AM12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8" s="84" cm="1">
        <f t="array" ref="AN12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8" s="84" cm="1">
        <f t="array" ref="AO12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8" s="84" cm="1">
        <f t="array" ref="AP12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8" s="84" cm="1">
        <f t="array" ref="AQ12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8" s="84" cm="1">
        <f t="array" ref="AR12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8" s="84" cm="1">
        <f t="array" ref="AS12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8" s="84" cm="1">
        <f t="array" ref="AT12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8" s="84" cm="1">
        <f t="array" ref="AU12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8" s="84" cm="1">
        <f t="array" ref="AV12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8" s="84" cm="1">
        <f t="array" ref="AW12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8" s="84" cm="1">
        <f t="array" ref="AX12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8" s="84" cm="1">
        <f t="array" ref="AY12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78" s="84" cm="1">
        <f t="array" ref="AZ12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78" s="84" cm="1">
        <f t="array" ref="BA12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78" s="84" cm="1">
        <f t="array" ref="BB12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78" s="84">
        <f>IF(SUM(Table3[[#This Row],[Column2]:[Column18]])&gt;Table3[[#This Row],[Column19]],Table3[[#This Row],[Column19]],SUM(Table3[[#This Row],[Column2]:[Column18]]))</f>
        <v>10800</v>
      </c>
      <c r="BD1278" s="2">
        <f>Table3[[#This Row],[Total Spend]]/SUM(Table3[[#This Row],[Column2]:[Column18]])</f>
        <v>1</v>
      </c>
    </row>
    <row r="1279" spans="1:56">
      <c r="A1279" s="84" t="s">
        <v>1354</v>
      </c>
      <c r="B1279" s="84" t="s">
        <v>57</v>
      </c>
      <c r="C1279" s="84"/>
      <c r="D1279" s="85">
        <v>45566</v>
      </c>
      <c r="E1279" s="85" t="s">
        <v>92</v>
      </c>
      <c r="F1279" s="84">
        <f>INDEX(Definitions!$G$13:$G$17,MATCH(Table3[[#This Row],[Propensity to buy/ buyer readiness]],Definitions!$A$13:$A$17,0))</f>
        <v>10000</v>
      </c>
      <c r="G1279" s="86">
        <v>3</v>
      </c>
      <c r="H1279" s="86">
        <v>3</v>
      </c>
      <c r="I1279" s="86">
        <v>4</v>
      </c>
      <c r="J1279" s="86">
        <v>3</v>
      </c>
      <c r="K1279" s="86">
        <v>2</v>
      </c>
      <c r="L1279" s="86">
        <f>SUM(Table3[[#This Row],[Strategic priority segment]:[Propensity to buy/ buyer readiness]])</f>
        <v>15</v>
      </c>
      <c r="M1279" s="86" t="s">
        <v>191</v>
      </c>
      <c r="N1279" s="84" t="s">
        <v>135</v>
      </c>
      <c r="O1279" s="84" t="s">
        <v>153</v>
      </c>
      <c r="P1279" s="87"/>
      <c r="Q1279" s="87"/>
      <c r="R1279" s="84"/>
      <c r="S1279" s="84"/>
      <c r="T1279" s="84"/>
      <c r="U1279" s="84">
        <v>1</v>
      </c>
      <c r="V1279" s="84">
        <v>0</v>
      </c>
      <c r="W1279" s="84">
        <v>0</v>
      </c>
      <c r="X1279" s="84">
        <v>0</v>
      </c>
      <c r="Y1279" s="84">
        <v>0</v>
      </c>
      <c r="Z1279" s="84">
        <v>0</v>
      </c>
      <c r="AA1279" s="84">
        <v>0</v>
      </c>
      <c r="AB1279" s="84">
        <v>0</v>
      </c>
      <c r="AC1279" s="84">
        <v>0</v>
      </c>
      <c r="AD1279" s="84">
        <v>0</v>
      </c>
      <c r="AE1279" s="84">
        <v>0</v>
      </c>
      <c r="AF1279" s="84">
        <v>0</v>
      </c>
      <c r="AG1279" s="84">
        <v>0</v>
      </c>
      <c r="AH1279" s="84">
        <v>1</v>
      </c>
      <c r="AI1279" s="84">
        <v>1</v>
      </c>
      <c r="AJ1279" s="84">
        <v>1</v>
      </c>
      <c r="AK1279" s="84">
        <v>1</v>
      </c>
      <c r="AL1279" s="84" cm="1">
        <f t="array" ref="AL12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79" s="84" cm="1">
        <f t="array" ref="AM12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79" s="84" cm="1">
        <f t="array" ref="AN12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79" s="84" cm="1">
        <f t="array" ref="AO12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79" s="84" cm="1">
        <f t="array" ref="AP12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79" s="84" cm="1">
        <f t="array" ref="AQ12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79" s="84" cm="1">
        <f t="array" ref="AR12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79" s="84" cm="1">
        <f t="array" ref="AS12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79" s="84" cm="1">
        <f t="array" ref="AT12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79" s="84" cm="1">
        <f t="array" ref="AU12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79" s="84" cm="1">
        <f t="array" ref="AV12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79" s="84" cm="1">
        <f t="array" ref="AW12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79" s="84" cm="1">
        <f t="array" ref="AX12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79" s="84" cm="1">
        <f t="array" ref="AY12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79" s="84" cm="1">
        <f t="array" ref="AZ12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79" s="84" cm="1">
        <f t="array" ref="BA12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79" s="84" cm="1">
        <f t="array" ref="BB12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79" s="84">
        <f>IF(SUM(Table3[[#This Row],[Column2]:[Column18]])&gt;Table3[[#This Row],[Column19]],Table3[[#This Row],[Column19]],SUM(Table3[[#This Row],[Column2]:[Column18]]))</f>
        <v>10000</v>
      </c>
      <c r="BD1279" s="2">
        <f>Table3[[#This Row],[Total Spend]]/SUM(Table3[[#This Row],[Column2]:[Column18]])</f>
        <v>0.18365472910927455</v>
      </c>
    </row>
    <row r="1280" spans="1:56">
      <c r="A1280" s="84" t="s">
        <v>1355</v>
      </c>
      <c r="B1280" s="84"/>
      <c r="C1280" s="84"/>
      <c r="D1280" s="85">
        <v>45566</v>
      </c>
      <c r="E1280" s="85" t="s">
        <v>58</v>
      </c>
      <c r="F1280" s="84">
        <f>INDEX(Definitions!$G$13:$G$17,MATCH(Table3[[#This Row],[Propensity to buy/ buyer readiness]],Definitions!$A$13:$A$17,0))</f>
        <v>50000</v>
      </c>
      <c r="G1280" s="86">
        <v>3</v>
      </c>
      <c r="H1280" s="86">
        <v>3</v>
      </c>
      <c r="I1280" s="86">
        <v>3</v>
      </c>
      <c r="J1280" s="86">
        <v>3</v>
      </c>
      <c r="K1280" s="86">
        <v>3</v>
      </c>
      <c r="L1280" s="86">
        <f>SUM(Table3[[#This Row],[Strategic priority segment]:[Propensity to buy/ buyer readiness]])</f>
        <v>15</v>
      </c>
      <c r="M1280" s="86" t="s">
        <v>152</v>
      </c>
      <c r="N1280" s="84" t="s">
        <v>130</v>
      </c>
      <c r="O1280" s="84"/>
      <c r="P1280" s="84"/>
      <c r="Q1280" s="84"/>
      <c r="R1280" s="84"/>
      <c r="S1280" s="84"/>
      <c r="T1280" s="87"/>
      <c r="U1280" s="84">
        <v>1</v>
      </c>
      <c r="V1280" s="84">
        <v>0</v>
      </c>
      <c r="W1280" s="84">
        <v>0</v>
      </c>
      <c r="X1280" s="84">
        <v>0</v>
      </c>
      <c r="Y1280" s="84">
        <v>0</v>
      </c>
      <c r="Z1280" s="84">
        <v>0</v>
      </c>
      <c r="AA1280" s="84">
        <v>0</v>
      </c>
      <c r="AB1280" s="84">
        <v>0</v>
      </c>
      <c r="AC1280" s="84">
        <v>0</v>
      </c>
      <c r="AD1280" s="84">
        <v>0</v>
      </c>
      <c r="AE1280" s="84">
        <v>0</v>
      </c>
      <c r="AF1280" s="84">
        <v>0</v>
      </c>
      <c r="AG1280" s="84">
        <v>0</v>
      </c>
      <c r="AH1280" s="84">
        <v>0</v>
      </c>
      <c r="AI1280" s="84">
        <v>0</v>
      </c>
      <c r="AJ1280" s="84">
        <v>0</v>
      </c>
      <c r="AK1280" s="84">
        <v>0</v>
      </c>
      <c r="AL1280" s="84" cm="1">
        <f t="array" ref="AL12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80" s="84" cm="1">
        <f t="array" ref="AM12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0" s="84" cm="1">
        <f t="array" ref="AN12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0" s="84" cm="1">
        <f t="array" ref="AO12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0" s="84" cm="1">
        <f t="array" ref="AP12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0" s="84" cm="1">
        <f t="array" ref="AQ12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80" s="84" cm="1">
        <f t="array" ref="AR12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0" s="84" cm="1">
        <f t="array" ref="AS12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80" s="84" cm="1">
        <f t="array" ref="AT12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0" s="84" cm="1">
        <f t="array" ref="AU12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80" s="84" cm="1">
        <f t="array" ref="AV12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0" s="84" cm="1">
        <f t="array" ref="AW12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80" s="84" cm="1">
        <f t="array" ref="AX12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0" s="84" cm="1">
        <f t="array" ref="AY12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0" s="84" cm="1">
        <f t="array" ref="AZ12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0" s="84" cm="1">
        <f t="array" ref="BA12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0" s="84" cm="1">
        <f t="array" ref="BB12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0" s="84">
        <f>IF(SUM(Table3[[#This Row],[Column2]:[Column18]])&gt;Table3[[#This Row],[Column19]],Table3[[#This Row],[Column19]],SUM(Table3[[#This Row],[Column2]:[Column18]]))</f>
        <v>10800</v>
      </c>
      <c r="BD1280" s="2">
        <f>Table3[[#This Row],[Total Spend]]/SUM(Table3[[#This Row],[Column2]:[Column18]])</f>
        <v>1</v>
      </c>
    </row>
    <row r="1281" spans="1:56">
      <c r="A1281" s="84" t="s">
        <v>1356</v>
      </c>
      <c r="B1281" s="84"/>
      <c r="C1281" s="84"/>
      <c r="D1281" s="85">
        <v>45566</v>
      </c>
      <c r="E1281" s="85" t="s">
        <v>58</v>
      </c>
      <c r="F1281" s="84">
        <f>INDEX(Definitions!$G$13:$G$17,MATCH(Table3[[#This Row],[Propensity to buy/ buyer readiness]],Definitions!$A$13:$A$17,0))</f>
        <v>150000</v>
      </c>
      <c r="G1281" s="86">
        <v>3</v>
      </c>
      <c r="H1281" s="86">
        <v>3</v>
      </c>
      <c r="I1281" s="86">
        <v>2</v>
      </c>
      <c r="J1281" s="86">
        <v>3</v>
      </c>
      <c r="K1281" s="86">
        <v>4</v>
      </c>
      <c r="L1281" s="86">
        <f>SUM(Table3[[#This Row],[Strategic priority segment]:[Propensity to buy/ buyer readiness]])</f>
        <v>15</v>
      </c>
      <c r="M1281" s="86" t="s">
        <v>152</v>
      </c>
      <c r="N1281" s="84" t="s">
        <v>122</v>
      </c>
      <c r="O1281" s="84"/>
      <c r="P1281" s="87"/>
      <c r="Q1281" s="87"/>
      <c r="R1281" s="84"/>
      <c r="S1281" s="87"/>
      <c r="T1281" s="84"/>
      <c r="U1281" s="84">
        <v>1</v>
      </c>
      <c r="V1281" s="84">
        <v>0</v>
      </c>
      <c r="W1281" s="84">
        <v>0</v>
      </c>
      <c r="X1281" s="84">
        <v>0</v>
      </c>
      <c r="Y1281" s="84">
        <v>0</v>
      </c>
      <c r="Z1281" s="84">
        <v>1</v>
      </c>
      <c r="AA1281" s="84">
        <v>0</v>
      </c>
      <c r="AB1281" s="84">
        <v>1</v>
      </c>
      <c r="AC1281" s="84">
        <v>0</v>
      </c>
      <c r="AD1281" s="84">
        <v>1</v>
      </c>
      <c r="AE1281" s="84">
        <v>0</v>
      </c>
      <c r="AF1281" s="84">
        <v>1</v>
      </c>
      <c r="AG1281" s="84">
        <v>0</v>
      </c>
      <c r="AH1281" s="84">
        <v>0</v>
      </c>
      <c r="AI1281" s="84">
        <v>0</v>
      </c>
      <c r="AJ1281" s="84">
        <v>0</v>
      </c>
      <c r="AK1281" s="84">
        <v>0</v>
      </c>
      <c r="AL1281" s="84" cm="1">
        <f t="array" ref="AL12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81" s="84" cm="1">
        <f t="array" ref="AM12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1" s="84" cm="1">
        <f t="array" ref="AN12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1" s="84" cm="1">
        <f t="array" ref="AO12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1" s="84" cm="1">
        <f t="array" ref="AP12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1" s="84" cm="1">
        <f t="array" ref="AQ12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81" s="84" cm="1">
        <f t="array" ref="AR12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1" s="84" cm="1">
        <f t="array" ref="AS12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81" s="84" cm="1">
        <f t="array" ref="AT12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1" s="84" cm="1">
        <f t="array" ref="AU12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81" s="84" cm="1">
        <f t="array" ref="AV12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1" s="84" cm="1">
        <f t="array" ref="AW12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81" s="84" cm="1">
        <f t="array" ref="AX12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1" s="84" cm="1">
        <f t="array" ref="AY12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1" s="84" cm="1">
        <f t="array" ref="AZ12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1" s="84" cm="1">
        <f t="array" ref="BA12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1" s="84" cm="1">
        <f t="array" ref="BB12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1" s="84">
        <f>IF(SUM(Table3[[#This Row],[Column2]:[Column18]])&gt;Table3[[#This Row],[Column19]],Table3[[#This Row],[Column19]],SUM(Table3[[#This Row],[Column2]:[Column18]]))</f>
        <v>150000</v>
      </c>
      <c r="BD1281" s="2">
        <f>Table3[[#This Row],[Total Spend]]/SUM(Table3[[#This Row],[Column2]:[Column18]])</f>
        <v>0.89605734767025091</v>
      </c>
    </row>
    <row r="1282" spans="1:56">
      <c r="A1282" s="84" t="s">
        <v>1357</v>
      </c>
      <c r="B1282" s="84"/>
      <c r="C1282" s="84"/>
      <c r="D1282" s="85">
        <v>45566</v>
      </c>
      <c r="E1282" s="85" t="s">
        <v>58</v>
      </c>
      <c r="F1282" s="84">
        <f>INDEX(Definitions!$G$13:$G$17,MATCH(Table3[[#This Row],[Propensity to buy/ buyer readiness]],Definitions!$A$13:$A$17,0))</f>
        <v>150000</v>
      </c>
      <c r="G1282" s="86">
        <v>3</v>
      </c>
      <c r="H1282" s="86">
        <v>3</v>
      </c>
      <c r="I1282" s="86">
        <v>2</v>
      </c>
      <c r="J1282" s="86">
        <v>3</v>
      </c>
      <c r="K1282" s="86">
        <v>4</v>
      </c>
      <c r="L1282" s="86">
        <f>SUM(Table3[[#This Row],[Strategic priority segment]:[Propensity to buy/ buyer readiness]])</f>
        <v>15</v>
      </c>
      <c r="M1282" s="86" t="s">
        <v>152</v>
      </c>
      <c r="N1282" s="84" t="s">
        <v>122</v>
      </c>
      <c r="O1282" s="84"/>
      <c r="P1282" s="87"/>
      <c r="Q1282" s="87"/>
      <c r="R1282" s="84"/>
      <c r="S1282" s="87"/>
      <c r="T1282" s="84"/>
      <c r="U1282" s="84">
        <v>1</v>
      </c>
      <c r="V1282" s="84">
        <v>0</v>
      </c>
      <c r="W1282" s="84">
        <v>0</v>
      </c>
      <c r="X1282" s="84">
        <v>0</v>
      </c>
      <c r="Y1282" s="84">
        <v>0</v>
      </c>
      <c r="Z1282" s="84">
        <v>1</v>
      </c>
      <c r="AA1282" s="84">
        <v>0</v>
      </c>
      <c r="AB1282" s="84">
        <v>1</v>
      </c>
      <c r="AC1282" s="84">
        <v>0</v>
      </c>
      <c r="AD1282" s="84">
        <v>1</v>
      </c>
      <c r="AE1282" s="84">
        <v>0</v>
      </c>
      <c r="AF1282" s="84">
        <v>1</v>
      </c>
      <c r="AG1282" s="84">
        <v>0</v>
      </c>
      <c r="AH1282" s="84">
        <v>0</v>
      </c>
      <c r="AI1282" s="84">
        <v>0</v>
      </c>
      <c r="AJ1282" s="84">
        <v>0</v>
      </c>
      <c r="AK1282" s="84">
        <v>0</v>
      </c>
      <c r="AL1282" s="84" cm="1">
        <f t="array" ref="AL12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82" s="84" cm="1">
        <f t="array" ref="AM12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2" s="84" cm="1">
        <f t="array" ref="AN12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2" s="84" cm="1">
        <f t="array" ref="AO12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2" s="84" cm="1">
        <f t="array" ref="AP12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2" s="84" cm="1">
        <f t="array" ref="AQ12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82" s="84" cm="1">
        <f t="array" ref="AR12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2" s="84" cm="1">
        <f t="array" ref="AS12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82" s="84" cm="1">
        <f t="array" ref="AT12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2" s="84" cm="1">
        <f t="array" ref="AU12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82" s="84" cm="1">
        <f t="array" ref="AV12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2" s="84" cm="1">
        <f t="array" ref="AW12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82" s="84" cm="1">
        <f t="array" ref="AX12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2" s="84" cm="1">
        <f t="array" ref="AY12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2" s="84" cm="1">
        <f t="array" ref="AZ12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2" s="84" cm="1">
        <f t="array" ref="BA12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2" s="84" cm="1">
        <f t="array" ref="BB12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2" s="84">
        <f>IF(SUM(Table3[[#This Row],[Column2]:[Column18]])&gt;Table3[[#This Row],[Column19]],Table3[[#This Row],[Column19]],SUM(Table3[[#This Row],[Column2]:[Column18]]))</f>
        <v>150000</v>
      </c>
      <c r="BD1282" s="2">
        <f>Table3[[#This Row],[Total Spend]]/SUM(Table3[[#This Row],[Column2]:[Column18]])</f>
        <v>0.89605734767025091</v>
      </c>
    </row>
    <row r="1283" spans="1:56">
      <c r="A1283" s="84" t="s">
        <v>1358</v>
      </c>
      <c r="B1283" s="84" t="s">
        <v>57</v>
      </c>
      <c r="C1283" s="84"/>
      <c r="D1283" s="85">
        <v>45566</v>
      </c>
      <c r="E1283" s="85" t="s">
        <v>92</v>
      </c>
      <c r="F1283" s="84">
        <f>INDEX(Definitions!$G$13:$G$17,MATCH(Table3[[#This Row],[Propensity to buy/ buyer readiness]],Definitions!$A$13:$A$17,0))</f>
        <v>10000</v>
      </c>
      <c r="G1283" s="86">
        <v>3</v>
      </c>
      <c r="H1283" s="86">
        <v>3</v>
      </c>
      <c r="I1283" s="86">
        <v>4</v>
      </c>
      <c r="J1283" s="86">
        <v>3</v>
      </c>
      <c r="K1283" s="86">
        <v>2</v>
      </c>
      <c r="L1283" s="86">
        <f>SUM(Table3[[#This Row],[Strategic priority segment]:[Propensity to buy/ buyer readiness]])</f>
        <v>15</v>
      </c>
      <c r="M1283" s="86" t="s">
        <v>152</v>
      </c>
      <c r="N1283" s="84" t="s">
        <v>264</v>
      </c>
      <c r="O1283" s="84"/>
      <c r="P1283" s="87"/>
      <c r="Q1283" s="87"/>
      <c r="R1283" s="84"/>
      <c r="S1283" s="84"/>
      <c r="T1283" s="84"/>
      <c r="U1283" s="84">
        <v>1</v>
      </c>
      <c r="V1283" s="84">
        <v>0</v>
      </c>
      <c r="W1283" s="84">
        <v>0</v>
      </c>
      <c r="X1283" s="84">
        <v>0</v>
      </c>
      <c r="Y1283" s="84">
        <v>0</v>
      </c>
      <c r="Z1283" s="84">
        <v>0</v>
      </c>
      <c r="AA1283" s="84">
        <v>0</v>
      </c>
      <c r="AB1283" s="84">
        <v>0</v>
      </c>
      <c r="AC1283" s="84">
        <v>0</v>
      </c>
      <c r="AD1283" s="84">
        <v>0</v>
      </c>
      <c r="AE1283" s="84">
        <v>0</v>
      </c>
      <c r="AF1283" s="84">
        <v>0</v>
      </c>
      <c r="AG1283" s="84">
        <v>0</v>
      </c>
      <c r="AH1283" s="84">
        <v>0</v>
      </c>
      <c r="AI1283" s="84">
        <v>0</v>
      </c>
      <c r="AJ1283" s="84">
        <v>0</v>
      </c>
      <c r="AK1283" s="84">
        <v>0</v>
      </c>
      <c r="AL1283" s="84" cm="1">
        <f t="array" ref="AL12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83" s="84" cm="1">
        <f t="array" ref="AM12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3" s="84" cm="1">
        <f t="array" ref="AN12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3" s="84" cm="1">
        <f t="array" ref="AO12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3" s="84" cm="1">
        <f t="array" ref="AP12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3" s="84" cm="1">
        <f t="array" ref="AQ12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83" s="84" cm="1">
        <f t="array" ref="AR12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3" s="84" cm="1">
        <f t="array" ref="AS12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83" s="84" cm="1">
        <f t="array" ref="AT12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3" s="84" cm="1">
        <f t="array" ref="AU12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83" s="84" cm="1">
        <f t="array" ref="AV12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3" s="84" cm="1">
        <f t="array" ref="AW12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83" s="84" cm="1">
        <f t="array" ref="AX12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3" s="84" cm="1">
        <f t="array" ref="AY12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3" s="84" cm="1">
        <f t="array" ref="AZ12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3" s="84" cm="1">
        <f t="array" ref="BA12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3" s="84" cm="1">
        <f t="array" ref="BB12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3" s="84">
        <f>IF(SUM(Table3[[#This Row],[Column2]:[Column18]])&gt;Table3[[#This Row],[Column19]],Table3[[#This Row],[Column19]],SUM(Table3[[#This Row],[Column2]:[Column18]]))</f>
        <v>8100</v>
      </c>
      <c r="BD1283" s="2">
        <f>Table3[[#This Row],[Total Spend]]/SUM(Table3[[#This Row],[Column2]:[Column18]])</f>
        <v>1</v>
      </c>
    </row>
    <row r="1284" spans="1:56">
      <c r="A1284" s="84" t="s">
        <v>1359</v>
      </c>
      <c r="B1284" s="84" t="s">
        <v>57</v>
      </c>
      <c r="C1284" s="84"/>
      <c r="D1284" s="85">
        <v>45566</v>
      </c>
      <c r="E1284" s="85" t="s">
        <v>92</v>
      </c>
      <c r="F1284" s="84">
        <f>INDEX(Definitions!$G$13:$G$17,MATCH(Table3[[#This Row],[Propensity to buy/ buyer readiness]],Definitions!$A$13:$A$17,0))</f>
        <v>10000</v>
      </c>
      <c r="G1284" s="86">
        <v>3</v>
      </c>
      <c r="H1284" s="86">
        <v>3</v>
      </c>
      <c r="I1284" s="86">
        <v>4</v>
      </c>
      <c r="J1284" s="86">
        <v>3</v>
      </c>
      <c r="K1284" s="86">
        <v>2</v>
      </c>
      <c r="L1284" s="86">
        <f>SUM(Table3[[#This Row],[Strategic priority segment]:[Propensity to buy/ buyer readiness]])</f>
        <v>15</v>
      </c>
      <c r="M1284" s="86" t="s">
        <v>191</v>
      </c>
      <c r="N1284" s="84" t="s">
        <v>135</v>
      </c>
      <c r="O1284" s="84"/>
      <c r="P1284" s="87"/>
      <c r="Q1284" s="87"/>
      <c r="R1284" s="84"/>
      <c r="S1284" s="84"/>
      <c r="T1284" s="87"/>
      <c r="U1284" s="84">
        <v>0</v>
      </c>
      <c r="V1284" s="84">
        <v>0</v>
      </c>
      <c r="W1284" s="84">
        <v>0</v>
      </c>
      <c r="X1284" s="84">
        <v>0</v>
      </c>
      <c r="Y1284" s="84">
        <v>0</v>
      </c>
      <c r="Z1284" s="84">
        <v>0</v>
      </c>
      <c r="AA1284" s="84">
        <v>0</v>
      </c>
      <c r="AB1284" s="84">
        <v>0</v>
      </c>
      <c r="AC1284" s="84">
        <v>0</v>
      </c>
      <c r="AD1284" s="84">
        <v>0</v>
      </c>
      <c r="AE1284" s="84">
        <v>0</v>
      </c>
      <c r="AF1284" s="84">
        <v>0</v>
      </c>
      <c r="AG1284" s="84">
        <v>0</v>
      </c>
      <c r="AH1284" s="84">
        <v>1</v>
      </c>
      <c r="AI1284" s="84">
        <v>1</v>
      </c>
      <c r="AJ1284" s="84">
        <v>1</v>
      </c>
      <c r="AK1284" s="84">
        <v>1</v>
      </c>
      <c r="AL1284" s="84" cm="1">
        <f t="array" ref="AL12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84" s="84" cm="1">
        <f t="array" ref="AM12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4" s="84" cm="1">
        <f t="array" ref="AN12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4" s="84" cm="1">
        <f t="array" ref="AO12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4" s="84" cm="1">
        <f t="array" ref="AP12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4" s="84" cm="1">
        <f t="array" ref="AQ12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84" s="84" cm="1">
        <f t="array" ref="AR12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4" s="84" cm="1">
        <f t="array" ref="AS12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84" s="84" cm="1">
        <f t="array" ref="AT12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4" s="84" cm="1">
        <f t="array" ref="AU12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84" s="84" cm="1">
        <f t="array" ref="AV12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4" s="84" cm="1">
        <f t="array" ref="AW12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84" s="84" cm="1">
        <f t="array" ref="AX12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4" s="84" cm="1">
        <f t="array" ref="AY12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84" s="84" cm="1">
        <f t="array" ref="AZ12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84" s="84" cm="1">
        <f t="array" ref="BA12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84" s="84" cm="1">
        <f t="array" ref="BB12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84" s="84">
        <f>IF(SUM(Table3[[#This Row],[Column2]:[Column18]])&gt;Table3[[#This Row],[Column19]],Table3[[#This Row],[Column19]],SUM(Table3[[#This Row],[Column2]:[Column18]]))</f>
        <v>10000</v>
      </c>
      <c r="BD1284" s="2">
        <f>Table3[[#This Row],[Total Spend]]/SUM(Table3[[#This Row],[Column2]:[Column18]])</f>
        <v>0.21574973031283712</v>
      </c>
    </row>
    <row r="1285" spans="1:56">
      <c r="A1285" s="84" t="s">
        <v>1360</v>
      </c>
      <c r="B1285" s="84" t="s">
        <v>57</v>
      </c>
      <c r="C1285" s="84"/>
      <c r="D1285" s="85">
        <v>45566</v>
      </c>
      <c r="E1285" s="85" t="s">
        <v>92</v>
      </c>
      <c r="F1285" s="84">
        <f>INDEX(Definitions!$G$13:$G$17,MATCH(Table3[[#This Row],[Propensity to buy/ buyer readiness]],Definitions!$A$13:$A$17,0))</f>
        <v>10000</v>
      </c>
      <c r="G1285" s="86">
        <v>3</v>
      </c>
      <c r="H1285" s="86">
        <v>3</v>
      </c>
      <c r="I1285" s="86">
        <v>4</v>
      </c>
      <c r="J1285" s="86">
        <v>3</v>
      </c>
      <c r="K1285" s="86">
        <v>2</v>
      </c>
      <c r="L1285" s="86">
        <f>SUM(Table3[[#This Row],[Strategic priority segment]:[Propensity to buy/ buyer readiness]])</f>
        <v>15</v>
      </c>
      <c r="M1285" s="86" t="s">
        <v>66</v>
      </c>
      <c r="N1285" s="84" t="s">
        <v>1133</v>
      </c>
      <c r="O1285" s="84"/>
      <c r="P1285" s="87"/>
      <c r="Q1285" s="87"/>
      <c r="R1285" s="84"/>
      <c r="S1285" s="84"/>
      <c r="T1285" s="87"/>
      <c r="U1285" s="84">
        <v>1</v>
      </c>
      <c r="V1285" s="84">
        <v>0</v>
      </c>
      <c r="W1285" s="84">
        <v>0</v>
      </c>
      <c r="X1285" s="84">
        <v>0</v>
      </c>
      <c r="Y1285" s="84">
        <v>0</v>
      </c>
      <c r="Z1285" s="84">
        <v>0</v>
      </c>
      <c r="AA1285" s="84">
        <v>0</v>
      </c>
      <c r="AB1285" s="84">
        <v>0</v>
      </c>
      <c r="AC1285" s="84">
        <v>0</v>
      </c>
      <c r="AD1285" s="84">
        <v>0</v>
      </c>
      <c r="AE1285" s="84">
        <v>0</v>
      </c>
      <c r="AF1285" s="84">
        <v>0</v>
      </c>
      <c r="AG1285" s="84">
        <v>0</v>
      </c>
      <c r="AH1285" s="84">
        <v>0</v>
      </c>
      <c r="AI1285" s="84">
        <v>0</v>
      </c>
      <c r="AJ1285" s="84">
        <v>0</v>
      </c>
      <c r="AK1285" s="84">
        <v>0</v>
      </c>
      <c r="AL1285" s="84" cm="1">
        <f t="array" ref="AL12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85" s="84" cm="1">
        <f t="array" ref="AM12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5" s="84" cm="1">
        <f t="array" ref="AN12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5" s="84" cm="1">
        <f t="array" ref="AO12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5" s="84" cm="1">
        <f t="array" ref="AP12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5" s="84" cm="1">
        <f t="array" ref="AQ12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85" s="84" cm="1">
        <f t="array" ref="AR12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5" s="84" cm="1">
        <f t="array" ref="AS12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85" s="84" cm="1">
        <f t="array" ref="AT12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5" s="84" cm="1">
        <f t="array" ref="AU12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85" s="84" cm="1">
        <f t="array" ref="AV12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5" s="84" cm="1">
        <f t="array" ref="AW12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85" s="84" cm="1">
        <f t="array" ref="AX12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5" s="84" cm="1">
        <f t="array" ref="AY12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5" s="84" cm="1">
        <f t="array" ref="AZ12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5" s="84" cm="1">
        <f t="array" ref="BA12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5" s="84" cm="1">
        <f t="array" ref="BB12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5" s="84">
        <f>IF(SUM(Table3[[#This Row],[Column2]:[Column18]])&gt;Table3[[#This Row],[Column19]],Table3[[#This Row],[Column19]],SUM(Table3[[#This Row],[Column2]:[Column18]]))</f>
        <v>8100</v>
      </c>
      <c r="BD1285" s="2">
        <f>Table3[[#This Row],[Total Spend]]/SUM(Table3[[#This Row],[Column2]:[Column18]])</f>
        <v>1</v>
      </c>
    </row>
    <row r="1286" spans="1:56">
      <c r="A1286" s="84" t="s">
        <v>1361</v>
      </c>
      <c r="B1286" s="84"/>
      <c r="C1286" s="84"/>
      <c r="D1286" s="85">
        <v>45566</v>
      </c>
      <c r="E1286" s="85" t="s">
        <v>58</v>
      </c>
      <c r="F1286" s="84">
        <f>INDEX(Definitions!$G$13:$G$17,MATCH(Table3[[#This Row],[Propensity to buy/ buyer readiness]],Definitions!$A$13:$A$17,0))</f>
        <v>150000</v>
      </c>
      <c r="G1286" s="86">
        <v>3</v>
      </c>
      <c r="H1286" s="86">
        <v>3</v>
      </c>
      <c r="I1286" s="86">
        <v>2</v>
      </c>
      <c r="J1286" s="86">
        <v>3</v>
      </c>
      <c r="K1286" s="86">
        <v>4</v>
      </c>
      <c r="L1286" s="86">
        <f>SUM(Table3[[#This Row],[Strategic priority segment]:[Propensity to buy/ buyer readiness]])</f>
        <v>15</v>
      </c>
      <c r="M1286" s="86" t="s">
        <v>152</v>
      </c>
      <c r="N1286" s="84" t="s">
        <v>122</v>
      </c>
      <c r="O1286" s="84"/>
      <c r="P1286" s="87"/>
      <c r="Q1286" s="87"/>
      <c r="R1286" s="84"/>
      <c r="S1286" s="87"/>
      <c r="T1286" s="84"/>
      <c r="U1286" s="84">
        <v>1</v>
      </c>
      <c r="V1286" s="84">
        <v>0</v>
      </c>
      <c r="W1286" s="84">
        <v>0</v>
      </c>
      <c r="X1286" s="84">
        <v>0</v>
      </c>
      <c r="Y1286" s="84">
        <v>0</v>
      </c>
      <c r="Z1286" s="84">
        <v>1</v>
      </c>
      <c r="AA1286" s="84">
        <v>0</v>
      </c>
      <c r="AB1286" s="84">
        <v>1</v>
      </c>
      <c r="AC1286" s="84">
        <v>0</v>
      </c>
      <c r="AD1286" s="84">
        <v>1</v>
      </c>
      <c r="AE1286" s="84">
        <v>0</v>
      </c>
      <c r="AF1286" s="84">
        <v>1</v>
      </c>
      <c r="AG1286" s="84">
        <v>0</v>
      </c>
      <c r="AH1286" s="84">
        <v>0</v>
      </c>
      <c r="AI1286" s="84">
        <v>0</v>
      </c>
      <c r="AJ1286" s="84">
        <v>0</v>
      </c>
      <c r="AK1286" s="84">
        <v>0</v>
      </c>
      <c r="AL1286" s="84" cm="1">
        <f t="array" ref="AL12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86" s="84" cm="1">
        <f t="array" ref="AM12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6" s="84" cm="1">
        <f t="array" ref="AN12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6" s="84" cm="1">
        <f t="array" ref="AO12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6" s="84" cm="1">
        <f t="array" ref="AP12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6" s="84" cm="1">
        <f t="array" ref="AQ12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86" s="84" cm="1">
        <f t="array" ref="AR12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6" s="84" cm="1">
        <f t="array" ref="AS12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86" s="84" cm="1">
        <f t="array" ref="AT12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6" s="84" cm="1">
        <f t="array" ref="AU12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86" s="84" cm="1">
        <f t="array" ref="AV12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6" s="84" cm="1">
        <f t="array" ref="AW12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86" s="84" cm="1">
        <f t="array" ref="AX12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6" s="84" cm="1">
        <f t="array" ref="AY12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6" s="84" cm="1">
        <f t="array" ref="AZ12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6" s="84" cm="1">
        <f t="array" ref="BA12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6" s="84" cm="1">
        <f t="array" ref="BB12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6" s="84">
        <f>IF(SUM(Table3[[#This Row],[Column2]:[Column18]])&gt;Table3[[#This Row],[Column19]],Table3[[#This Row],[Column19]],SUM(Table3[[#This Row],[Column2]:[Column18]]))</f>
        <v>150000</v>
      </c>
      <c r="BD1286" s="2">
        <f>Table3[[#This Row],[Total Spend]]/SUM(Table3[[#This Row],[Column2]:[Column18]])</f>
        <v>0.89605734767025091</v>
      </c>
    </row>
    <row r="1287" spans="1:56">
      <c r="A1287" s="84" t="s">
        <v>1362</v>
      </c>
      <c r="B1287" s="84"/>
      <c r="C1287" s="84"/>
      <c r="D1287" s="85">
        <v>45566</v>
      </c>
      <c r="E1287" s="85" t="s">
        <v>92</v>
      </c>
      <c r="F1287" s="84">
        <f>INDEX(Definitions!$G$13:$G$17,MATCH(Table3[[#This Row],[Propensity to buy/ buyer readiness]],Definitions!$A$13:$A$17,0))</f>
        <v>50000</v>
      </c>
      <c r="G1287" s="86">
        <v>3</v>
      </c>
      <c r="H1287" s="86">
        <v>3</v>
      </c>
      <c r="I1287" s="86">
        <v>3</v>
      </c>
      <c r="J1287" s="86">
        <v>3</v>
      </c>
      <c r="K1287" s="86">
        <v>3</v>
      </c>
      <c r="L1287" s="86">
        <f>SUM(Table3[[#This Row],[Strategic priority segment]:[Propensity to buy/ buyer readiness]])</f>
        <v>15</v>
      </c>
      <c r="M1287" s="86" t="s">
        <v>152</v>
      </c>
      <c r="N1287" s="84" t="s">
        <v>153</v>
      </c>
      <c r="O1287" s="87" t="s">
        <v>135</v>
      </c>
      <c r="P1287" s="87"/>
      <c r="Q1287" s="87"/>
      <c r="R1287" s="87"/>
      <c r="S1287" s="87"/>
      <c r="T1287" s="87"/>
      <c r="U1287" s="84">
        <v>1</v>
      </c>
      <c r="V1287" s="84">
        <v>0</v>
      </c>
      <c r="W1287" s="84">
        <v>0</v>
      </c>
      <c r="X1287" s="84">
        <v>0</v>
      </c>
      <c r="Y1287" s="84">
        <v>0</v>
      </c>
      <c r="Z1287" s="84">
        <v>0</v>
      </c>
      <c r="AA1287" s="84">
        <v>0</v>
      </c>
      <c r="AB1287" s="84">
        <v>0</v>
      </c>
      <c r="AC1287" s="84">
        <v>0</v>
      </c>
      <c r="AD1287" s="84">
        <v>0</v>
      </c>
      <c r="AE1287" s="84">
        <v>0</v>
      </c>
      <c r="AF1287" s="84">
        <v>0</v>
      </c>
      <c r="AG1287" s="84">
        <v>0</v>
      </c>
      <c r="AH1287" s="84">
        <v>1</v>
      </c>
      <c r="AI1287" s="84">
        <v>1</v>
      </c>
      <c r="AJ1287" s="84">
        <v>1</v>
      </c>
      <c r="AK1287" s="84">
        <v>1</v>
      </c>
      <c r="AL1287" s="84" cm="1">
        <f t="array" ref="AL12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87" s="84" cm="1">
        <f t="array" ref="AM12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7" s="84" cm="1">
        <f t="array" ref="AN12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7" s="84" cm="1">
        <f t="array" ref="AO12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7" s="84" cm="1">
        <f t="array" ref="AP12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7" s="84" cm="1">
        <f t="array" ref="AQ12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87" s="84" cm="1">
        <f t="array" ref="AR12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7" s="84" cm="1">
        <f t="array" ref="AS12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87" s="84" cm="1">
        <f t="array" ref="AT12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7" s="84" cm="1">
        <f t="array" ref="AU12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87" s="84" cm="1">
        <f t="array" ref="AV12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7" s="84" cm="1">
        <f t="array" ref="AW12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87" s="84" cm="1">
        <f t="array" ref="AX12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7" s="84" cm="1">
        <f t="array" ref="AY12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87" s="84" cm="1">
        <f t="array" ref="AZ12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87" s="84" cm="1">
        <f t="array" ref="BA12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87" s="84" cm="1">
        <f t="array" ref="BB12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87" s="84">
        <f>IF(SUM(Table3[[#This Row],[Column2]:[Column18]])&gt;Table3[[#This Row],[Column19]],Table3[[#This Row],[Column19]],SUM(Table3[[#This Row],[Column2]:[Column18]]))</f>
        <v>50000</v>
      </c>
      <c r="BD1287" s="2">
        <f>Table3[[#This Row],[Total Spend]]/SUM(Table3[[#This Row],[Column2]:[Column18]])</f>
        <v>0.91827364554637281</v>
      </c>
    </row>
    <row r="1288" spans="1:56">
      <c r="A1288" s="84" t="s">
        <v>1363</v>
      </c>
      <c r="B1288" s="84"/>
      <c r="C1288" s="84"/>
      <c r="D1288" s="85">
        <v>45566</v>
      </c>
      <c r="E1288" s="85" t="s">
        <v>58</v>
      </c>
      <c r="F1288" s="84">
        <f>INDEX(Definitions!$G$13:$G$17,MATCH(Table3[[#This Row],[Propensity to buy/ buyer readiness]],Definitions!$A$13:$A$17,0))</f>
        <v>150000</v>
      </c>
      <c r="G1288" s="86">
        <v>3</v>
      </c>
      <c r="H1288" s="86">
        <v>3</v>
      </c>
      <c r="I1288" s="86">
        <v>2</v>
      </c>
      <c r="J1288" s="86">
        <v>3</v>
      </c>
      <c r="K1288" s="86">
        <v>4</v>
      </c>
      <c r="L1288" s="86">
        <f>SUM(Table3[[#This Row],[Strategic priority segment]:[Propensity to buy/ buyer readiness]])</f>
        <v>15</v>
      </c>
      <c r="M1288" s="86" t="s">
        <v>152</v>
      </c>
      <c r="N1288" s="84" t="s">
        <v>122</v>
      </c>
      <c r="O1288" s="84"/>
      <c r="P1288" s="87"/>
      <c r="Q1288" s="87"/>
      <c r="R1288" s="84"/>
      <c r="S1288" s="87"/>
      <c r="T1288" s="84"/>
      <c r="U1288" s="84">
        <v>1</v>
      </c>
      <c r="V1288" s="84">
        <v>0</v>
      </c>
      <c r="W1288" s="84">
        <v>0</v>
      </c>
      <c r="X1288" s="84">
        <v>0</v>
      </c>
      <c r="Y1288" s="84">
        <v>0</v>
      </c>
      <c r="Z1288" s="84">
        <v>1</v>
      </c>
      <c r="AA1288" s="84">
        <v>0</v>
      </c>
      <c r="AB1288" s="84">
        <v>1</v>
      </c>
      <c r="AC1288" s="84">
        <v>0</v>
      </c>
      <c r="AD1288" s="84">
        <v>1</v>
      </c>
      <c r="AE1288" s="84">
        <v>0</v>
      </c>
      <c r="AF1288" s="84">
        <v>1</v>
      </c>
      <c r="AG1288" s="84">
        <v>0</v>
      </c>
      <c r="AH1288" s="84">
        <v>0</v>
      </c>
      <c r="AI1288" s="84">
        <v>0</v>
      </c>
      <c r="AJ1288" s="84">
        <v>0</v>
      </c>
      <c r="AK1288" s="84">
        <v>0</v>
      </c>
      <c r="AL1288" s="84" cm="1">
        <f t="array" ref="AL12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88" s="84" cm="1">
        <f t="array" ref="AM12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8" s="84" cm="1">
        <f t="array" ref="AN12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8" s="84" cm="1">
        <f t="array" ref="AO12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8" s="84" cm="1">
        <f t="array" ref="AP12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8" s="84" cm="1">
        <f t="array" ref="AQ12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88" s="84" cm="1">
        <f t="array" ref="AR12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8" s="84" cm="1">
        <f t="array" ref="AS12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88" s="84" cm="1">
        <f t="array" ref="AT12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8" s="84" cm="1">
        <f t="array" ref="AU12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88" s="84" cm="1">
        <f t="array" ref="AV12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8" s="84" cm="1">
        <f t="array" ref="AW12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88" s="84" cm="1">
        <f t="array" ref="AX12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8" s="84" cm="1">
        <f t="array" ref="AY12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8" s="84" cm="1">
        <f t="array" ref="AZ12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8" s="84" cm="1">
        <f t="array" ref="BA12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8" s="84" cm="1">
        <f t="array" ref="BB12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8" s="84">
        <f>IF(SUM(Table3[[#This Row],[Column2]:[Column18]])&gt;Table3[[#This Row],[Column19]],Table3[[#This Row],[Column19]],SUM(Table3[[#This Row],[Column2]:[Column18]]))</f>
        <v>150000</v>
      </c>
      <c r="BD1288" s="2">
        <f>Table3[[#This Row],[Total Spend]]/SUM(Table3[[#This Row],[Column2]:[Column18]])</f>
        <v>0.89605734767025091</v>
      </c>
    </row>
    <row r="1289" spans="1:56">
      <c r="A1289" s="84" t="s">
        <v>1364</v>
      </c>
      <c r="B1289" s="84" t="s">
        <v>57</v>
      </c>
      <c r="C1289" s="84"/>
      <c r="D1289" s="85">
        <v>45566</v>
      </c>
      <c r="E1289" s="85" t="s">
        <v>92</v>
      </c>
      <c r="F1289" s="84">
        <f>INDEX(Definitions!$G$13:$G$17,MATCH(Table3[[#This Row],[Propensity to buy/ buyer readiness]],Definitions!$A$13:$A$17,0))</f>
        <v>50000</v>
      </c>
      <c r="G1289" s="86">
        <v>3</v>
      </c>
      <c r="H1289" s="86">
        <v>3</v>
      </c>
      <c r="I1289" s="86">
        <v>3</v>
      </c>
      <c r="J1289" s="86">
        <v>3</v>
      </c>
      <c r="K1289" s="86">
        <v>3</v>
      </c>
      <c r="L1289" s="86">
        <f>SUM(Table3[[#This Row],[Strategic priority segment]:[Propensity to buy/ buyer readiness]])</f>
        <v>15</v>
      </c>
      <c r="M1289" s="86" t="s">
        <v>152</v>
      </c>
      <c r="N1289" s="84" t="s">
        <v>153</v>
      </c>
      <c r="O1289" s="84"/>
      <c r="P1289" s="87"/>
      <c r="Q1289" s="87"/>
      <c r="R1289" s="84"/>
      <c r="S1289" s="84"/>
      <c r="T1289" s="87"/>
      <c r="U1289" s="84">
        <v>1</v>
      </c>
      <c r="V1289" s="84">
        <v>0</v>
      </c>
      <c r="W1289" s="84">
        <v>0</v>
      </c>
      <c r="X1289" s="84">
        <v>0</v>
      </c>
      <c r="Y1289" s="84">
        <v>0</v>
      </c>
      <c r="Z1289" s="84">
        <v>0</v>
      </c>
      <c r="AA1289" s="84">
        <v>0</v>
      </c>
      <c r="AB1289" s="84">
        <v>0</v>
      </c>
      <c r="AC1289" s="84">
        <v>0</v>
      </c>
      <c r="AD1289" s="84">
        <v>0</v>
      </c>
      <c r="AE1289" s="84">
        <v>0</v>
      </c>
      <c r="AF1289" s="84">
        <v>0</v>
      </c>
      <c r="AG1289" s="84">
        <v>0</v>
      </c>
      <c r="AH1289" s="84">
        <v>0</v>
      </c>
      <c r="AI1289" s="84">
        <v>0</v>
      </c>
      <c r="AJ1289" s="84">
        <v>0</v>
      </c>
      <c r="AK1289" s="84">
        <v>0</v>
      </c>
      <c r="AL1289" s="84" cm="1">
        <f t="array" ref="AL12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89" s="84" cm="1">
        <f t="array" ref="AM12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89" s="84" cm="1">
        <f t="array" ref="AN12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89" s="84" cm="1">
        <f t="array" ref="AO12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89" s="84" cm="1">
        <f t="array" ref="AP12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89" s="84" cm="1">
        <f t="array" ref="AQ12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89" s="84" cm="1">
        <f t="array" ref="AR12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89" s="84" cm="1">
        <f t="array" ref="AS12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89" s="84" cm="1">
        <f t="array" ref="AT12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89" s="84" cm="1">
        <f t="array" ref="AU12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89" s="84" cm="1">
        <f t="array" ref="AV12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89" s="84" cm="1">
        <f t="array" ref="AW12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89" s="84" cm="1">
        <f t="array" ref="AX12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89" s="84" cm="1">
        <f t="array" ref="AY12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89" s="84" cm="1">
        <f t="array" ref="AZ12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89" s="84" cm="1">
        <f t="array" ref="BA12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89" s="84" cm="1">
        <f t="array" ref="BB12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89" s="84">
        <f>IF(SUM(Table3[[#This Row],[Column2]:[Column18]])&gt;Table3[[#This Row],[Column19]],Table3[[#This Row],[Column19]],SUM(Table3[[#This Row],[Column2]:[Column18]]))</f>
        <v>8100</v>
      </c>
      <c r="BD1289" s="2">
        <f>Table3[[#This Row],[Total Spend]]/SUM(Table3[[#This Row],[Column2]:[Column18]])</f>
        <v>1</v>
      </c>
    </row>
    <row r="1290" spans="1:56">
      <c r="A1290" s="84" t="s">
        <v>1365</v>
      </c>
      <c r="B1290" s="84" t="s">
        <v>57</v>
      </c>
      <c r="C1290" s="84" t="s">
        <v>57</v>
      </c>
      <c r="D1290" s="85">
        <v>45566</v>
      </c>
      <c r="E1290" s="85" t="s">
        <v>92</v>
      </c>
      <c r="F1290" s="84">
        <f>INDEX(Definitions!$G$13:$G$17,MATCH(Table3[[#This Row],[Propensity to buy/ buyer readiness]],Definitions!$A$13:$A$17,0))</f>
        <v>10000</v>
      </c>
      <c r="G1290" s="86">
        <v>3</v>
      </c>
      <c r="H1290" s="86">
        <v>3</v>
      </c>
      <c r="I1290" s="86">
        <v>4</v>
      </c>
      <c r="J1290" s="86">
        <v>3</v>
      </c>
      <c r="K1290" s="86">
        <v>2</v>
      </c>
      <c r="L1290" s="86">
        <f>SUM(Table3[[#This Row],[Strategic priority segment]:[Propensity to buy/ buyer readiness]])</f>
        <v>15</v>
      </c>
      <c r="M1290" s="86" t="s">
        <v>152</v>
      </c>
      <c r="N1290" s="84" t="s">
        <v>1133</v>
      </c>
      <c r="O1290" s="84" t="s">
        <v>153</v>
      </c>
      <c r="P1290" s="87"/>
      <c r="Q1290" s="87"/>
      <c r="R1290" s="84"/>
      <c r="S1290" s="84"/>
      <c r="T1290" s="84"/>
      <c r="U1290" s="84">
        <v>1</v>
      </c>
      <c r="V1290" s="84">
        <v>0</v>
      </c>
      <c r="W1290" s="84">
        <v>0</v>
      </c>
      <c r="X1290" s="84">
        <v>0</v>
      </c>
      <c r="Y1290" s="84">
        <v>0</v>
      </c>
      <c r="Z1290" s="84">
        <v>0</v>
      </c>
      <c r="AA1290" s="84">
        <v>0</v>
      </c>
      <c r="AB1290" s="84">
        <v>0</v>
      </c>
      <c r="AC1290" s="84">
        <v>0</v>
      </c>
      <c r="AD1290" s="84">
        <v>0</v>
      </c>
      <c r="AE1290" s="84">
        <v>0</v>
      </c>
      <c r="AF1290" s="84">
        <v>0</v>
      </c>
      <c r="AG1290" s="84">
        <v>0</v>
      </c>
      <c r="AH1290" s="84">
        <v>0</v>
      </c>
      <c r="AI1290" s="84">
        <v>0</v>
      </c>
      <c r="AJ1290" s="84">
        <v>0</v>
      </c>
      <c r="AK1290" s="84">
        <v>0</v>
      </c>
      <c r="AL1290" s="84" cm="1">
        <f t="array" ref="AL12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90" s="84" cm="1">
        <f t="array" ref="AM12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0" s="84" cm="1">
        <f t="array" ref="AN12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0" s="84" cm="1">
        <f t="array" ref="AO12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0" s="84" cm="1">
        <f t="array" ref="AP12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0" s="84" cm="1">
        <f t="array" ref="AQ12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0" s="84" cm="1">
        <f t="array" ref="AR12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0" s="84" cm="1">
        <f t="array" ref="AS12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0" s="84" cm="1">
        <f t="array" ref="AT12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0" s="84" cm="1">
        <f t="array" ref="AU12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0" s="84" cm="1">
        <f t="array" ref="AV12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0" s="84" cm="1">
        <f t="array" ref="AW12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0" s="84" cm="1">
        <f t="array" ref="AX12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0" s="84" cm="1">
        <f t="array" ref="AY12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0" s="84" cm="1">
        <f t="array" ref="AZ12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0" s="84" cm="1">
        <f t="array" ref="BA12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0" s="84" cm="1">
        <f t="array" ref="BB12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0" s="84">
        <f>IF(SUM(Table3[[#This Row],[Column2]:[Column18]])&gt;Table3[[#This Row],[Column19]],Table3[[#This Row],[Column19]],SUM(Table3[[#This Row],[Column2]:[Column18]]))</f>
        <v>8100</v>
      </c>
      <c r="BD1290" s="2">
        <f>Table3[[#This Row],[Total Spend]]/SUM(Table3[[#This Row],[Column2]:[Column18]])</f>
        <v>1</v>
      </c>
    </row>
    <row r="1291" spans="1:56">
      <c r="A1291" s="84" t="s">
        <v>1366</v>
      </c>
      <c r="B1291" s="84" t="s">
        <v>57</v>
      </c>
      <c r="C1291" s="84"/>
      <c r="D1291" s="85">
        <v>45566</v>
      </c>
      <c r="E1291" s="85" t="s">
        <v>58</v>
      </c>
      <c r="F1291" s="84">
        <f>INDEX(Definitions!$G$13:$G$17,MATCH(Table3[[#This Row],[Propensity to buy/ buyer readiness]],Definitions!$A$13:$A$17,0))</f>
        <v>50000</v>
      </c>
      <c r="G1291" s="86">
        <v>3</v>
      </c>
      <c r="H1291" s="86">
        <v>3</v>
      </c>
      <c r="I1291" s="86">
        <v>3</v>
      </c>
      <c r="J1291" s="86">
        <v>3</v>
      </c>
      <c r="K1291" s="86">
        <v>3</v>
      </c>
      <c r="L1291" s="86">
        <f>SUM(Table3[[#This Row],[Strategic priority segment]:[Propensity to buy/ buyer readiness]])</f>
        <v>15</v>
      </c>
      <c r="M1291" s="86" t="s">
        <v>102</v>
      </c>
      <c r="N1291" s="84" t="s">
        <v>153</v>
      </c>
      <c r="O1291" s="84"/>
      <c r="P1291" s="87"/>
      <c r="Q1291" s="87"/>
      <c r="R1291" s="84"/>
      <c r="S1291" s="84"/>
      <c r="T1291" s="84"/>
      <c r="U1291" s="84">
        <v>1</v>
      </c>
      <c r="V1291" s="84">
        <v>0</v>
      </c>
      <c r="W1291" s="84">
        <v>0</v>
      </c>
      <c r="X1291" s="84">
        <v>0</v>
      </c>
      <c r="Y1291" s="84">
        <v>0</v>
      </c>
      <c r="Z1291" s="84">
        <v>0</v>
      </c>
      <c r="AA1291" s="84">
        <v>0</v>
      </c>
      <c r="AB1291" s="84">
        <v>0</v>
      </c>
      <c r="AC1291" s="84">
        <v>0</v>
      </c>
      <c r="AD1291" s="84">
        <v>0</v>
      </c>
      <c r="AE1291" s="84">
        <v>0</v>
      </c>
      <c r="AF1291" s="84">
        <v>0</v>
      </c>
      <c r="AG1291" s="84">
        <v>0</v>
      </c>
      <c r="AH1291" s="84">
        <v>0</v>
      </c>
      <c r="AI1291" s="84">
        <v>0</v>
      </c>
      <c r="AJ1291" s="84">
        <v>0</v>
      </c>
      <c r="AK1291" s="84">
        <v>0</v>
      </c>
      <c r="AL1291" s="84" cm="1">
        <f t="array" ref="AL12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91" s="84" cm="1">
        <f t="array" ref="AM12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1" s="84" cm="1">
        <f t="array" ref="AN12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1" s="84" cm="1">
        <f t="array" ref="AO12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1" s="84" cm="1">
        <f t="array" ref="AP12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1" s="84" cm="1">
        <f t="array" ref="AQ12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1" s="84" cm="1">
        <f t="array" ref="AR12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1" s="84" cm="1">
        <f t="array" ref="AS12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1" s="84" cm="1">
        <f t="array" ref="AT12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1" s="84" cm="1">
        <f t="array" ref="AU12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1" s="84" cm="1">
        <f t="array" ref="AV12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1" s="84" cm="1">
        <f t="array" ref="AW12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1" s="84" cm="1">
        <f t="array" ref="AX12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1" s="84" cm="1">
        <f t="array" ref="AY12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1" s="84" cm="1">
        <f t="array" ref="AZ12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1" s="84" cm="1">
        <f t="array" ref="BA12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1" s="84" cm="1">
        <f t="array" ref="BB12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1" s="84">
        <f>IF(SUM(Table3[[#This Row],[Column2]:[Column18]])&gt;Table3[[#This Row],[Column19]],Table3[[#This Row],[Column19]],SUM(Table3[[#This Row],[Column2]:[Column18]]))</f>
        <v>10800</v>
      </c>
      <c r="BD1291" s="2">
        <f>Table3[[#This Row],[Total Spend]]/SUM(Table3[[#This Row],[Column2]:[Column18]])</f>
        <v>1</v>
      </c>
    </row>
    <row r="1292" spans="1:56">
      <c r="A1292" s="84" t="s">
        <v>1367</v>
      </c>
      <c r="B1292" s="84" t="s">
        <v>57</v>
      </c>
      <c r="C1292" s="84"/>
      <c r="D1292" s="85">
        <v>45566</v>
      </c>
      <c r="E1292" s="85" t="s">
        <v>92</v>
      </c>
      <c r="F1292" s="84">
        <f>INDEX(Definitions!$G$13:$G$17,MATCH(Table3[[#This Row],[Propensity to buy/ buyer readiness]],Definitions!$A$13:$A$17,0))</f>
        <v>10000</v>
      </c>
      <c r="G1292" s="86">
        <v>3</v>
      </c>
      <c r="H1292" s="86">
        <v>3</v>
      </c>
      <c r="I1292" s="86">
        <v>4</v>
      </c>
      <c r="J1292" s="86">
        <v>3</v>
      </c>
      <c r="K1292" s="86">
        <v>2</v>
      </c>
      <c r="L1292" s="86">
        <f>SUM(Table3[[#This Row],[Strategic priority segment]:[Propensity to buy/ buyer readiness]])</f>
        <v>15</v>
      </c>
      <c r="M1292" s="86" t="s">
        <v>191</v>
      </c>
      <c r="N1292" s="84" t="s">
        <v>135</v>
      </c>
      <c r="O1292" s="84"/>
      <c r="P1292" s="87"/>
      <c r="Q1292" s="87"/>
      <c r="R1292" s="84"/>
      <c r="S1292" s="87"/>
      <c r="T1292" s="87"/>
      <c r="U1292" s="84">
        <v>0</v>
      </c>
      <c r="V1292" s="84">
        <v>0</v>
      </c>
      <c r="W1292" s="84">
        <v>0</v>
      </c>
      <c r="X1292" s="84">
        <v>0</v>
      </c>
      <c r="Y1292" s="84">
        <v>0</v>
      </c>
      <c r="Z1292" s="84">
        <v>0</v>
      </c>
      <c r="AA1292" s="84">
        <v>0</v>
      </c>
      <c r="AB1292" s="84">
        <v>0</v>
      </c>
      <c r="AC1292" s="84">
        <v>0</v>
      </c>
      <c r="AD1292" s="84">
        <v>0</v>
      </c>
      <c r="AE1292" s="84">
        <v>0</v>
      </c>
      <c r="AF1292" s="84">
        <v>0</v>
      </c>
      <c r="AG1292" s="84">
        <v>0</v>
      </c>
      <c r="AH1292" s="84">
        <v>1</v>
      </c>
      <c r="AI1292" s="84">
        <v>1</v>
      </c>
      <c r="AJ1292" s="84">
        <v>1</v>
      </c>
      <c r="AK1292" s="84">
        <v>1</v>
      </c>
      <c r="AL1292" s="84" cm="1">
        <f t="array" ref="AL12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92" s="84" cm="1">
        <f t="array" ref="AM12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2" s="84" cm="1">
        <f t="array" ref="AN12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2" s="84" cm="1">
        <f t="array" ref="AO12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2" s="84" cm="1">
        <f t="array" ref="AP12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2" s="84" cm="1">
        <f t="array" ref="AQ12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2" s="84" cm="1">
        <f t="array" ref="AR12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2" s="84" cm="1">
        <f t="array" ref="AS12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2" s="84" cm="1">
        <f t="array" ref="AT12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2" s="84" cm="1">
        <f t="array" ref="AU12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2" s="84" cm="1">
        <f t="array" ref="AV12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2" s="84" cm="1">
        <f t="array" ref="AW12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2" s="84" cm="1">
        <f t="array" ref="AX12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2" s="84" cm="1">
        <f t="array" ref="AY12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92" s="84" cm="1">
        <f t="array" ref="AZ12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92" s="84" cm="1">
        <f t="array" ref="BA12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92" s="84" cm="1">
        <f t="array" ref="BB12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292" s="84">
        <f>IF(SUM(Table3[[#This Row],[Column2]:[Column18]])&gt;Table3[[#This Row],[Column19]],Table3[[#This Row],[Column19]],SUM(Table3[[#This Row],[Column2]:[Column18]]))</f>
        <v>10000</v>
      </c>
      <c r="BD1292" s="2">
        <f>Table3[[#This Row],[Total Spend]]/SUM(Table3[[#This Row],[Column2]:[Column18]])</f>
        <v>0.21574973031283712</v>
      </c>
    </row>
    <row r="1293" spans="1:56">
      <c r="A1293" s="84" t="s">
        <v>1368</v>
      </c>
      <c r="B1293" s="84"/>
      <c r="C1293" s="84"/>
      <c r="D1293" s="85">
        <v>45566</v>
      </c>
      <c r="E1293" s="85" t="s">
        <v>92</v>
      </c>
      <c r="F1293" s="84">
        <f>INDEX(Definitions!$G$13:$G$17,MATCH(Table3[[#This Row],[Propensity to buy/ buyer readiness]],Definitions!$A$13:$A$17,0))</f>
        <v>50000</v>
      </c>
      <c r="G1293" s="86">
        <v>3</v>
      </c>
      <c r="H1293" s="86">
        <v>3</v>
      </c>
      <c r="I1293" s="86">
        <v>3</v>
      </c>
      <c r="J1293" s="86">
        <v>3</v>
      </c>
      <c r="K1293" s="86">
        <v>3</v>
      </c>
      <c r="L1293" s="86">
        <f>SUM(Table3[[#This Row],[Strategic priority segment]:[Propensity to buy/ buyer readiness]])</f>
        <v>15</v>
      </c>
      <c r="M1293" s="86" t="s">
        <v>152</v>
      </c>
      <c r="N1293" s="84" t="s">
        <v>130</v>
      </c>
      <c r="O1293" s="84"/>
      <c r="P1293" s="84"/>
      <c r="Q1293" s="84"/>
      <c r="R1293" s="84"/>
      <c r="S1293" s="84"/>
      <c r="T1293" s="84"/>
      <c r="U1293" s="84">
        <v>1</v>
      </c>
      <c r="V1293" s="84">
        <v>0</v>
      </c>
      <c r="W1293" s="84">
        <v>0</v>
      </c>
      <c r="X1293" s="84">
        <v>0</v>
      </c>
      <c r="Y1293" s="84">
        <v>0</v>
      </c>
      <c r="Z1293" s="84">
        <v>0</v>
      </c>
      <c r="AA1293" s="84">
        <v>0</v>
      </c>
      <c r="AB1293" s="84">
        <v>0</v>
      </c>
      <c r="AC1293" s="84">
        <v>0</v>
      </c>
      <c r="AD1293" s="84">
        <v>0</v>
      </c>
      <c r="AE1293" s="84">
        <v>0</v>
      </c>
      <c r="AF1293" s="84">
        <v>0</v>
      </c>
      <c r="AG1293" s="84">
        <v>0</v>
      </c>
      <c r="AH1293" s="84">
        <v>0</v>
      </c>
      <c r="AI1293" s="84">
        <v>0</v>
      </c>
      <c r="AJ1293" s="84">
        <v>0</v>
      </c>
      <c r="AK1293" s="84">
        <v>0</v>
      </c>
      <c r="AL1293" s="84" cm="1">
        <f t="array" ref="AL12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93" s="84" cm="1">
        <f t="array" ref="AM12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3" s="84" cm="1">
        <f t="array" ref="AN12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3" s="84" cm="1">
        <f t="array" ref="AO12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3" s="84" cm="1">
        <f t="array" ref="AP12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3" s="84" cm="1">
        <f t="array" ref="AQ12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3" s="84" cm="1">
        <f t="array" ref="AR12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3" s="84" cm="1">
        <f t="array" ref="AS12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3" s="84" cm="1">
        <f t="array" ref="AT12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3" s="84" cm="1">
        <f t="array" ref="AU12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3" s="84" cm="1">
        <f t="array" ref="AV12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3" s="84" cm="1">
        <f t="array" ref="AW12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3" s="84" cm="1">
        <f t="array" ref="AX12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3" s="84" cm="1">
        <f t="array" ref="AY12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3" s="84" cm="1">
        <f t="array" ref="AZ12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3" s="84" cm="1">
        <f t="array" ref="BA12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3" s="84" cm="1">
        <f t="array" ref="BB12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3" s="84">
        <f>IF(SUM(Table3[[#This Row],[Column2]:[Column18]])&gt;Table3[[#This Row],[Column19]],Table3[[#This Row],[Column19]],SUM(Table3[[#This Row],[Column2]:[Column18]]))</f>
        <v>8100</v>
      </c>
      <c r="BD1293" s="2">
        <f>Table3[[#This Row],[Total Spend]]/SUM(Table3[[#This Row],[Column2]:[Column18]])</f>
        <v>1</v>
      </c>
    </row>
    <row r="1294" spans="1:56">
      <c r="A1294" s="84" t="s">
        <v>1369</v>
      </c>
      <c r="B1294" s="84" t="s">
        <v>57</v>
      </c>
      <c r="C1294" s="84"/>
      <c r="D1294" s="85">
        <v>45566</v>
      </c>
      <c r="E1294" s="85" t="s">
        <v>92</v>
      </c>
      <c r="F1294" s="84">
        <f>INDEX(Definitions!$G$13:$G$17,MATCH(Table3[[#This Row],[Propensity to buy/ buyer readiness]],Definitions!$A$13:$A$17,0))</f>
        <v>10000</v>
      </c>
      <c r="G1294" s="86">
        <v>3</v>
      </c>
      <c r="H1294" s="86">
        <v>3</v>
      </c>
      <c r="I1294" s="86">
        <v>4</v>
      </c>
      <c r="J1294" s="86">
        <v>3</v>
      </c>
      <c r="K1294" s="86">
        <v>2</v>
      </c>
      <c r="L1294" s="86">
        <f>SUM(Table3[[#This Row],[Strategic priority segment]:[Propensity to buy/ buyer readiness]])</f>
        <v>15</v>
      </c>
      <c r="M1294" s="86" t="s">
        <v>66</v>
      </c>
      <c r="N1294" s="84" t="s">
        <v>1133</v>
      </c>
      <c r="O1294" s="84"/>
      <c r="P1294" s="87"/>
      <c r="Q1294" s="87"/>
      <c r="R1294" s="84"/>
      <c r="S1294" s="84"/>
      <c r="T1294" s="84"/>
      <c r="U1294" s="84">
        <v>1</v>
      </c>
      <c r="V1294" s="84">
        <v>0</v>
      </c>
      <c r="W1294" s="84">
        <v>0</v>
      </c>
      <c r="X1294" s="84">
        <v>0</v>
      </c>
      <c r="Y1294" s="84">
        <v>0</v>
      </c>
      <c r="Z1294" s="84">
        <v>0</v>
      </c>
      <c r="AA1294" s="84">
        <v>0</v>
      </c>
      <c r="AB1294" s="84">
        <v>0</v>
      </c>
      <c r="AC1294" s="84">
        <v>0</v>
      </c>
      <c r="AD1294" s="84">
        <v>0</v>
      </c>
      <c r="AE1294" s="84">
        <v>0</v>
      </c>
      <c r="AF1294" s="84">
        <v>0</v>
      </c>
      <c r="AG1294" s="84">
        <v>0</v>
      </c>
      <c r="AH1294" s="84">
        <v>0</v>
      </c>
      <c r="AI1294" s="84">
        <v>0</v>
      </c>
      <c r="AJ1294" s="84">
        <v>0</v>
      </c>
      <c r="AK1294" s="84">
        <v>0</v>
      </c>
      <c r="AL1294" s="84" cm="1">
        <f t="array" ref="AL12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94" s="84" cm="1">
        <f t="array" ref="AM12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4" s="84" cm="1">
        <f t="array" ref="AN12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4" s="84" cm="1">
        <f t="array" ref="AO12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4" s="84" cm="1">
        <f t="array" ref="AP12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4" s="84" cm="1">
        <f t="array" ref="AQ12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4" s="84" cm="1">
        <f t="array" ref="AR12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4" s="84" cm="1">
        <f t="array" ref="AS12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4" s="84" cm="1">
        <f t="array" ref="AT12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4" s="84" cm="1">
        <f t="array" ref="AU12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4" s="84" cm="1">
        <f t="array" ref="AV12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4" s="84" cm="1">
        <f t="array" ref="AW12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4" s="84" cm="1">
        <f t="array" ref="AX12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4" s="84" cm="1">
        <f t="array" ref="AY12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4" s="84" cm="1">
        <f t="array" ref="AZ12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4" s="84" cm="1">
        <f t="array" ref="BA12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4" s="84" cm="1">
        <f t="array" ref="BB12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4" s="84">
        <f>IF(SUM(Table3[[#This Row],[Column2]:[Column18]])&gt;Table3[[#This Row],[Column19]],Table3[[#This Row],[Column19]],SUM(Table3[[#This Row],[Column2]:[Column18]]))</f>
        <v>8100</v>
      </c>
      <c r="BD1294" s="2">
        <f>Table3[[#This Row],[Total Spend]]/SUM(Table3[[#This Row],[Column2]:[Column18]])</f>
        <v>1</v>
      </c>
    </row>
    <row r="1295" spans="1:56">
      <c r="A1295" s="84" t="s">
        <v>1370</v>
      </c>
      <c r="B1295" s="84"/>
      <c r="C1295" s="84"/>
      <c r="D1295" s="85">
        <v>45566</v>
      </c>
      <c r="E1295" s="85" t="s">
        <v>92</v>
      </c>
      <c r="F1295" s="84">
        <f>INDEX(Definitions!$G$13:$G$17,MATCH(Table3[[#This Row],[Propensity to buy/ buyer readiness]],Definitions!$A$13:$A$17,0))</f>
        <v>50000</v>
      </c>
      <c r="G1295" s="86">
        <v>3</v>
      </c>
      <c r="H1295" s="86">
        <v>3</v>
      </c>
      <c r="I1295" s="86">
        <v>3</v>
      </c>
      <c r="J1295" s="86">
        <v>3</v>
      </c>
      <c r="K1295" s="86">
        <v>3</v>
      </c>
      <c r="L1295" s="86">
        <f>SUM(Table3[[#This Row],[Strategic priority segment]:[Propensity to buy/ buyer readiness]])</f>
        <v>15</v>
      </c>
      <c r="M1295" s="86" t="s">
        <v>152</v>
      </c>
      <c r="N1295" s="84" t="s">
        <v>122</v>
      </c>
      <c r="O1295" s="84"/>
      <c r="P1295" s="87"/>
      <c r="Q1295" s="87"/>
      <c r="R1295" s="84"/>
      <c r="S1295" s="87"/>
      <c r="T1295" s="87"/>
      <c r="U1295" s="84">
        <v>1</v>
      </c>
      <c r="V1295" s="84">
        <v>0</v>
      </c>
      <c r="W1295" s="84">
        <v>0</v>
      </c>
      <c r="X1295" s="84">
        <v>0</v>
      </c>
      <c r="Y1295" s="84">
        <v>0</v>
      </c>
      <c r="Z1295" s="84">
        <v>1</v>
      </c>
      <c r="AA1295" s="84">
        <v>0</v>
      </c>
      <c r="AB1295" s="84">
        <v>1</v>
      </c>
      <c r="AC1295" s="84">
        <v>0</v>
      </c>
      <c r="AD1295" s="84">
        <v>1</v>
      </c>
      <c r="AE1295" s="84">
        <v>0</v>
      </c>
      <c r="AF1295" s="84">
        <v>1</v>
      </c>
      <c r="AG1295" s="84">
        <v>0</v>
      </c>
      <c r="AH1295" s="84">
        <v>0</v>
      </c>
      <c r="AI1295" s="84">
        <v>0</v>
      </c>
      <c r="AJ1295" s="84">
        <v>0</v>
      </c>
      <c r="AK1295" s="84">
        <v>0</v>
      </c>
      <c r="AL1295" s="84" cm="1">
        <f t="array" ref="AL12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95" s="84" cm="1">
        <f t="array" ref="AM12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5" s="84" cm="1">
        <f t="array" ref="AN12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5" s="84" cm="1">
        <f t="array" ref="AO12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5" s="84" cm="1">
        <f t="array" ref="AP12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5" s="84" cm="1">
        <f t="array" ref="AQ12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295" s="84" cm="1">
        <f t="array" ref="AR12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5" s="84" cm="1">
        <f t="array" ref="AS12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295" s="84" cm="1">
        <f t="array" ref="AT12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5" s="84" cm="1">
        <f t="array" ref="AU12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295" s="84" cm="1">
        <f t="array" ref="AV12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5" s="84" cm="1">
        <f t="array" ref="AW12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295" s="84" cm="1">
        <f t="array" ref="AX12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5" s="84" cm="1">
        <f t="array" ref="AY12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5" s="84" cm="1">
        <f t="array" ref="AZ12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5" s="84" cm="1">
        <f t="array" ref="BA12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5" s="84" cm="1">
        <f t="array" ref="BB12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5" s="84">
        <f>IF(SUM(Table3[[#This Row],[Column2]:[Column18]])&gt;Table3[[#This Row],[Column19]],Table3[[#This Row],[Column19]],SUM(Table3[[#This Row],[Column2]:[Column18]]))</f>
        <v>50000</v>
      </c>
      <c r="BD1295" s="2">
        <f>Table3[[#This Row],[Total Spend]]/SUM(Table3[[#This Row],[Column2]:[Column18]])</f>
        <v>0.41459369817578773</v>
      </c>
    </row>
    <row r="1296" spans="1:56">
      <c r="A1296" s="84" t="s">
        <v>1371</v>
      </c>
      <c r="B1296" s="84"/>
      <c r="C1296" s="84"/>
      <c r="D1296" s="85">
        <v>45566</v>
      </c>
      <c r="E1296" s="85" t="s">
        <v>58</v>
      </c>
      <c r="F1296" s="84">
        <f>INDEX(Definitions!$G$13:$G$17,MATCH(Table3[[#This Row],[Propensity to buy/ buyer readiness]],Definitions!$A$13:$A$17,0))</f>
        <v>150000</v>
      </c>
      <c r="G1296" s="86">
        <v>3</v>
      </c>
      <c r="H1296" s="86">
        <v>3</v>
      </c>
      <c r="I1296" s="86">
        <v>2</v>
      </c>
      <c r="J1296" s="86">
        <v>3</v>
      </c>
      <c r="K1296" s="86">
        <v>4</v>
      </c>
      <c r="L1296" s="86">
        <f>SUM(Table3[[#This Row],[Strategic priority segment]:[Propensity to buy/ buyer readiness]])</f>
        <v>15</v>
      </c>
      <c r="M1296" s="86" t="s">
        <v>152</v>
      </c>
      <c r="N1296" s="84" t="s">
        <v>122</v>
      </c>
      <c r="O1296" s="84"/>
      <c r="P1296" s="87"/>
      <c r="Q1296" s="87"/>
      <c r="R1296" s="84"/>
      <c r="S1296" s="87"/>
      <c r="T1296" s="87"/>
      <c r="U1296" s="84">
        <v>1</v>
      </c>
      <c r="V1296" s="84">
        <v>0</v>
      </c>
      <c r="W1296" s="84">
        <v>0</v>
      </c>
      <c r="X1296" s="84">
        <v>0</v>
      </c>
      <c r="Y1296" s="84">
        <v>0</v>
      </c>
      <c r="Z1296" s="84">
        <v>1</v>
      </c>
      <c r="AA1296" s="84">
        <v>0</v>
      </c>
      <c r="AB1296" s="84">
        <v>1</v>
      </c>
      <c r="AC1296" s="84">
        <v>0</v>
      </c>
      <c r="AD1296" s="84">
        <v>1</v>
      </c>
      <c r="AE1296" s="84">
        <v>0</v>
      </c>
      <c r="AF1296" s="84">
        <v>1</v>
      </c>
      <c r="AG1296" s="84">
        <v>0</v>
      </c>
      <c r="AH1296" s="84">
        <v>0</v>
      </c>
      <c r="AI1296" s="84">
        <v>0</v>
      </c>
      <c r="AJ1296" s="84">
        <v>0</v>
      </c>
      <c r="AK1296" s="84">
        <v>0</v>
      </c>
      <c r="AL1296" s="84" cm="1">
        <f t="array" ref="AL12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96" s="84" cm="1">
        <f t="array" ref="AM12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6" s="84" cm="1">
        <f t="array" ref="AN12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6" s="84" cm="1">
        <f t="array" ref="AO12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6" s="84" cm="1">
        <f t="array" ref="AP12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6" s="84" cm="1">
        <f t="array" ref="AQ12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96" s="84" cm="1">
        <f t="array" ref="AR12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6" s="84" cm="1">
        <f t="array" ref="AS12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96" s="84" cm="1">
        <f t="array" ref="AT12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6" s="84" cm="1">
        <f t="array" ref="AU12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96" s="84" cm="1">
        <f t="array" ref="AV12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6" s="84" cm="1">
        <f t="array" ref="AW12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96" s="84" cm="1">
        <f t="array" ref="AX12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6" s="84" cm="1">
        <f t="array" ref="AY12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6" s="84" cm="1">
        <f t="array" ref="AZ12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6" s="84" cm="1">
        <f t="array" ref="BA12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6" s="84" cm="1">
        <f t="array" ref="BB12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6" s="84">
        <f>IF(SUM(Table3[[#This Row],[Column2]:[Column18]])&gt;Table3[[#This Row],[Column19]],Table3[[#This Row],[Column19]],SUM(Table3[[#This Row],[Column2]:[Column18]]))</f>
        <v>150000</v>
      </c>
      <c r="BD1296" s="2">
        <f>Table3[[#This Row],[Total Spend]]/SUM(Table3[[#This Row],[Column2]:[Column18]])</f>
        <v>0.89605734767025091</v>
      </c>
    </row>
    <row r="1297" spans="1:56">
      <c r="A1297" s="84" t="s">
        <v>1372</v>
      </c>
      <c r="B1297" s="84"/>
      <c r="C1297" s="84"/>
      <c r="D1297" s="85">
        <v>45566</v>
      </c>
      <c r="E1297" s="85" t="s">
        <v>92</v>
      </c>
      <c r="F1297" s="84">
        <f>INDEX(Definitions!$G$13:$G$17,MATCH(Table3[[#This Row],[Propensity to buy/ buyer readiness]],Definitions!$A$13:$A$17,0))</f>
        <v>50000</v>
      </c>
      <c r="G1297" s="86">
        <v>3</v>
      </c>
      <c r="H1297" s="86">
        <v>3</v>
      </c>
      <c r="I1297" s="86">
        <v>3</v>
      </c>
      <c r="J1297" s="86">
        <v>3</v>
      </c>
      <c r="K1297" s="86">
        <v>3</v>
      </c>
      <c r="L1297" s="86">
        <f>SUM(Table3[[#This Row],[Strategic priority segment]:[Propensity to buy/ buyer readiness]])</f>
        <v>15</v>
      </c>
      <c r="M1297" s="86" t="s">
        <v>191</v>
      </c>
      <c r="N1297" s="84" t="s">
        <v>76</v>
      </c>
      <c r="O1297" s="84"/>
      <c r="P1297" s="84"/>
      <c r="Q1297" s="84"/>
      <c r="R1297" s="84"/>
      <c r="S1297" s="87"/>
      <c r="T1297" s="87"/>
      <c r="U1297" s="84">
        <v>0</v>
      </c>
      <c r="V1297" s="84">
        <v>0</v>
      </c>
      <c r="W1297" s="84">
        <v>0</v>
      </c>
      <c r="X1297" s="84">
        <v>0</v>
      </c>
      <c r="Y1297" s="84">
        <v>0</v>
      </c>
      <c r="Z1297" s="84">
        <v>0</v>
      </c>
      <c r="AA1297" s="84">
        <v>0</v>
      </c>
      <c r="AB1297" s="84">
        <v>0</v>
      </c>
      <c r="AC1297" s="84">
        <v>0</v>
      </c>
      <c r="AD1297" s="84">
        <v>0</v>
      </c>
      <c r="AE1297" s="84">
        <v>0</v>
      </c>
      <c r="AF1297" s="84">
        <v>0</v>
      </c>
      <c r="AG1297" s="84">
        <v>0</v>
      </c>
      <c r="AH1297" s="84">
        <v>1</v>
      </c>
      <c r="AI1297" s="84">
        <v>0</v>
      </c>
      <c r="AJ1297" s="84">
        <v>1</v>
      </c>
      <c r="AK1297" s="84">
        <v>0</v>
      </c>
      <c r="AL1297" s="84" cm="1">
        <f t="array" ref="AL12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297" s="84" cm="1">
        <f t="array" ref="AM12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7" s="84" cm="1">
        <f t="array" ref="AN12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7" s="84" cm="1">
        <f t="array" ref="AO12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7" s="84" cm="1">
        <f t="array" ref="AP12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7" s="84" cm="1">
        <f t="array" ref="AQ12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7" s="84" cm="1">
        <f t="array" ref="AR12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7" s="84" cm="1">
        <f t="array" ref="AS12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7" s="84" cm="1">
        <f t="array" ref="AT12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7" s="84" cm="1">
        <f t="array" ref="AU12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7" s="84" cm="1">
        <f t="array" ref="AV12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7" s="84" cm="1">
        <f t="array" ref="AW12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7" s="84" cm="1">
        <f t="array" ref="AX12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7" s="84" cm="1">
        <f t="array" ref="AY12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297" s="84" cm="1">
        <f t="array" ref="AZ12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7" s="84" cm="1">
        <f t="array" ref="BA12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297" s="84" cm="1">
        <f t="array" ref="BB12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7" s="84">
        <f>IF(SUM(Table3[[#This Row],[Column2]:[Column18]])&gt;Table3[[#This Row],[Column19]],Table3[[#This Row],[Column19]],SUM(Table3[[#This Row],[Column2]:[Column18]]))</f>
        <v>30600</v>
      </c>
      <c r="BD1297" s="2">
        <f>Table3[[#This Row],[Total Spend]]/SUM(Table3[[#This Row],[Column2]:[Column18]])</f>
        <v>1</v>
      </c>
    </row>
    <row r="1298" spans="1:56">
      <c r="A1298" s="84" t="s">
        <v>1373</v>
      </c>
      <c r="B1298" s="84"/>
      <c r="C1298" s="84"/>
      <c r="D1298" s="85">
        <v>45566</v>
      </c>
      <c r="E1298" s="85" t="s">
        <v>58</v>
      </c>
      <c r="F1298" s="84">
        <f>INDEX(Definitions!$G$13:$G$17,MATCH(Table3[[#This Row],[Propensity to buy/ buyer readiness]],Definitions!$A$13:$A$17,0))</f>
        <v>150000</v>
      </c>
      <c r="G1298" s="86">
        <v>3</v>
      </c>
      <c r="H1298" s="86">
        <v>3</v>
      </c>
      <c r="I1298" s="86">
        <v>2</v>
      </c>
      <c r="J1298" s="86">
        <v>3</v>
      </c>
      <c r="K1298" s="86">
        <v>4</v>
      </c>
      <c r="L1298" s="86">
        <f>SUM(Table3[[#This Row],[Strategic priority segment]:[Propensity to buy/ buyer readiness]])</f>
        <v>15</v>
      </c>
      <c r="M1298" s="86" t="s">
        <v>152</v>
      </c>
      <c r="N1298" s="84" t="s">
        <v>122</v>
      </c>
      <c r="O1298" s="84"/>
      <c r="P1298" s="87"/>
      <c r="Q1298" s="87"/>
      <c r="R1298" s="84"/>
      <c r="S1298" s="87"/>
      <c r="T1298" s="84"/>
      <c r="U1298" s="84">
        <v>1</v>
      </c>
      <c r="V1298" s="84">
        <v>0</v>
      </c>
      <c r="W1298" s="84">
        <v>0</v>
      </c>
      <c r="X1298" s="84">
        <v>0</v>
      </c>
      <c r="Y1298" s="84">
        <v>0</v>
      </c>
      <c r="Z1298" s="84">
        <v>1</v>
      </c>
      <c r="AA1298" s="84">
        <v>0</v>
      </c>
      <c r="AB1298" s="84">
        <v>1</v>
      </c>
      <c r="AC1298" s="84">
        <v>0</v>
      </c>
      <c r="AD1298" s="84">
        <v>1</v>
      </c>
      <c r="AE1298" s="84">
        <v>0</v>
      </c>
      <c r="AF1298" s="84">
        <v>1</v>
      </c>
      <c r="AG1298" s="84">
        <v>0</v>
      </c>
      <c r="AH1298" s="84">
        <v>0</v>
      </c>
      <c r="AI1298" s="84">
        <v>0</v>
      </c>
      <c r="AJ1298" s="84">
        <v>0</v>
      </c>
      <c r="AK1298" s="84">
        <v>0</v>
      </c>
      <c r="AL1298" s="84" cm="1">
        <f t="array" ref="AL12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298" s="84" cm="1">
        <f t="array" ref="AM12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298" s="84" cm="1">
        <f t="array" ref="AN12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298" s="84" cm="1">
        <f t="array" ref="AO12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298" s="84" cm="1">
        <f t="array" ref="AP12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8" s="84" cm="1">
        <f t="array" ref="AQ12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298" s="84" cm="1">
        <f t="array" ref="AR12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8" s="84" cm="1">
        <f t="array" ref="AS12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298" s="84" cm="1">
        <f t="array" ref="AT12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8" s="84" cm="1">
        <f t="array" ref="AU12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298" s="84" cm="1">
        <f t="array" ref="AV12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8" s="84" cm="1">
        <f t="array" ref="AW12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298" s="84" cm="1">
        <f t="array" ref="AX12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8" s="84" cm="1">
        <f t="array" ref="AY12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8" s="84" cm="1">
        <f t="array" ref="AZ12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298" s="84" cm="1">
        <f t="array" ref="BA12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8" s="84" cm="1">
        <f t="array" ref="BB12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8" s="84">
        <f>IF(SUM(Table3[[#This Row],[Column2]:[Column18]])&gt;Table3[[#This Row],[Column19]],Table3[[#This Row],[Column19]],SUM(Table3[[#This Row],[Column2]:[Column18]]))</f>
        <v>150000</v>
      </c>
      <c r="BD1298" s="2">
        <f>Table3[[#This Row],[Total Spend]]/SUM(Table3[[#This Row],[Column2]:[Column18]])</f>
        <v>0.89605734767025091</v>
      </c>
    </row>
    <row r="1299" spans="1:56">
      <c r="A1299" s="84" t="s">
        <v>1374</v>
      </c>
      <c r="B1299" s="84"/>
      <c r="C1299" s="84"/>
      <c r="D1299" s="85">
        <v>45566</v>
      </c>
      <c r="E1299" s="85" t="s">
        <v>92</v>
      </c>
      <c r="F1299" s="84">
        <f>INDEX(Definitions!$G$13:$G$17,MATCH(Table3[[#This Row],[Propensity to buy/ buyer readiness]],Definitions!$A$13:$A$17,0))</f>
        <v>10000</v>
      </c>
      <c r="G1299" s="86">
        <v>3</v>
      </c>
      <c r="H1299" s="86">
        <v>3</v>
      </c>
      <c r="I1299" s="86">
        <v>3</v>
      </c>
      <c r="J1299" s="86">
        <v>4</v>
      </c>
      <c r="K1299" s="86">
        <v>2</v>
      </c>
      <c r="L1299" s="86">
        <f>SUM(Table3[[#This Row],[Strategic priority segment]:[Propensity to buy/ buyer readiness]])</f>
        <v>15</v>
      </c>
      <c r="M1299" s="86" t="s">
        <v>59</v>
      </c>
      <c r="N1299" s="84" t="s">
        <v>265</v>
      </c>
      <c r="O1299" s="84"/>
      <c r="P1299" s="87"/>
      <c r="Q1299" s="87"/>
      <c r="R1299" s="84"/>
      <c r="S1299" s="87"/>
      <c r="T1299" s="87"/>
      <c r="U1299" s="84">
        <v>1</v>
      </c>
      <c r="V1299" s="84">
        <v>1</v>
      </c>
      <c r="W1299" s="84">
        <v>1</v>
      </c>
      <c r="X1299" s="84">
        <v>1</v>
      </c>
      <c r="Y1299" s="84">
        <v>0</v>
      </c>
      <c r="Z1299" s="84">
        <v>0</v>
      </c>
      <c r="AA1299" s="84">
        <v>0</v>
      </c>
      <c r="AB1299" s="84">
        <v>0</v>
      </c>
      <c r="AC1299" s="84">
        <v>0</v>
      </c>
      <c r="AD1299" s="84">
        <v>0</v>
      </c>
      <c r="AE1299" s="84">
        <v>0</v>
      </c>
      <c r="AF1299" s="84">
        <v>0</v>
      </c>
      <c r="AG1299" s="84">
        <v>0</v>
      </c>
      <c r="AH1299" s="84">
        <v>0</v>
      </c>
      <c r="AI1299" s="84">
        <v>1</v>
      </c>
      <c r="AJ1299" s="84">
        <v>0</v>
      </c>
      <c r="AK1299" s="84">
        <v>0</v>
      </c>
      <c r="AL1299" s="84" cm="1">
        <f t="array" ref="AL12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299" s="84" cm="1">
        <f t="array" ref="AM12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299" s="84" cm="1">
        <f t="array" ref="AN12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299" s="84" cm="1">
        <f t="array" ref="AO12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299" s="84" cm="1">
        <f t="array" ref="AP12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299" s="84" cm="1">
        <f t="array" ref="AQ12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299" s="84" cm="1">
        <f t="array" ref="AR12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299" s="84" cm="1">
        <f t="array" ref="AS12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299" s="84" cm="1">
        <f t="array" ref="AT12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299" s="84" cm="1">
        <f t="array" ref="AU12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299" s="84" cm="1">
        <f t="array" ref="AV12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299" s="84" cm="1">
        <f t="array" ref="AW12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299" s="84" cm="1">
        <f t="array" ref="AX12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299" s="84" cm="1">
        <f t="array" ref="AY12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299" s="84" cm="1">
        <f t="array" ref="AZ12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299" s="84" cm="1">
        <f t="array" ref="BA12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299" s="84" cm="1">
        <f t="array" ref="BB12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299" s="84">
        <f>IF(SUM(Table3[[#This Row],[Column2]:[Column18]])&gt;Table3[[#This Row],[Column19]],Table3[[#This Row],[Column19]],SUM(Table3[[#This Row],[Column2]:[Column18]]))</f>
        <v>10000</v>
      </c>
      <c r="BD1299" s="2">
        <f>Table3[[#This Row],[Total Spend]]/SUM(Table3[[#This Row],[Column2]:[Column18]])</f>
        <v>7.2859744990892539E-2</v>
      </c>
    </row>
    <row r="1300" spans="1:56">
      <c r="A1300" s="84" t="s">
        <v>1375</v>
      </c>
      <c r="B1300" s="84"/>
      <c r="C1300" s="84"/>
      <c r="D1300" s="85">
        <v>45566</v>
      </c>
      <c r="E1300" s="85" t="s">
        <v>58</v>
      </c>
      <c r="F1300" s="84">
        <f>INDEX(Definitions!$G$13:$G$17,MATCH(Table3[[#This Row],[Propensity to buy/ buyer readiness]],Definitions!$A$13:$A$17,0))</f>
        <v>50000</v>
      </c>
      <c r="G1300" s="86">
        <v>3</v>
      </c>
      <c r="H1300" s="86">
        <v>3</v>
      </c>
      <c r="I1300" s="86">
        <v>3</v>
      </c>
      <c r="J1300" s="86">
        <v>3</v>
      </c>
      <c r="K1300" s="86">
        <v>3</v>
      </c>
      <c r="L1300" s="86">
        <f>SUM(Table3[[#This Row],[Strategic priority segment]:[Propensity to buy/ buyer readiness]])</f>
        <v>15</v>
      </c>
      <c r="M1300" s="86" t="s">
        <v>152</v>
      </c>
      <c r="N1300" s="84" t="s">
        <v>130</v>
      </c>
      <c r="O1300" s="84"/>
      <c r="P1300" s="84"/>
      <c r="Q1300" s="84"/>
      <c r="R1300" s="84"/>
      <c r="S1300" s="84"/>
      <c r="T1300" s="87"/>
      <c r="U1300" s="84">
        <v>1</v>
      </c>
      <c r="V1300" s="84">
        <v>0</v>
      </c>
      <c r="W1300" s="84">
        <v>0</v>
      </c>
      <c r="X1300" s="84">
        <v>0</v>
      </c>
      <c r="Y1300" s="84">
        <v>0</v>
      </c>
      <c r="Z1300" s="84">
        <v>0</v>
      </c>
      <c r="AA1300" s="84">
        <v>0</v>
      </c>
      <c r="AB1300" s="84">
        <v>0</v>
      </c>
      <c r="AC1300" s="84">
        <v>0</v>
      </c>
      <c r="AD1300" s="84">
        <v>0</v>
      </c>
      <c r="AE1300" s="84">
        <v>0</v>
      </c>
      <c r="AF1300" s="84">
        <v>0</v>
      </c>
      <c r="AG1300" s="84">
        <v>0</v>
      </c>
      <c r="AH1300" s="84">
        <v>0</v>
      </c>
      <c r="AI1300" s="84">
        <v>0</v>
      </c>
      <c r="AJ1300" s="84">
        <v>0</v>
      </c>
      <c r="AK1300" s="84">
        <v>0</v>
      </c>
      <c r="AL1300" s="84" cm="1">
        <f t="array" ref="AL13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00" s="84" cm="1">
        <f t="array" ref="AM13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0" s="84" cm="1">
        <f t="array" ref="AN13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0" s="84" cm="1">
        <f t="array" ref="AO13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0" s="84" cm="1">
        <f t="array" ref="AP13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0" s="84" cm="1">
        <f t="array" ref="AQ13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0" s="84" cm="1">
        <f t="array" ref="AR13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0" s="84" cm="1">
        <f t="array" ref="AS13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0" s="84" cm="1">
        <f t="array" ref="AT13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0" s="84" cm="1">
        <f t="array" ref="AU13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0" s="84" cm="1">
        <f t="array" ref="AV13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0" s="84" cm="1">
        <f t="array" ref="AW13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0" s="84" cm="1">
        <f t="array" ref="AX13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0" s="84" cm="1">
        <f t="array" ref="AY13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0" s="84" cm="1">
        <f t="array" ref="AZ13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0" s="84" cm="1">
        <f t="array" ref="BA13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0" s="84" cm="1">
        <f t="array" ref="BB13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0" s="84">
        <f>IF(SUM(Table3[[#This Row],[Column2]:[Column18]])&gt;Table3[[#This Row],[Column19]],Table3[[#This Row],[Column19]],SUM(Table3[[#This Row],[Column2]:[Column18]]))</f>
        <v>10800</v>
      </c>
      <c r="BD1300" s="2">
        <f>Table3[[#This Row],[Total Spend]]/SUM(Table3[[#This Row],[Column2]:[Column18]])</f>
        <v>1</v>
      </c>
    </row>
    <row r="1301" spans="1:56">
      <c r="A1301" s="84" t="s">
        <v>1376</v>
      </c>
      <c r="B1301" s="84"/>
      <c r="C1301" s="84" t="s">
        <v>57</v>
      </c>
      <c r="D1301" s="85">
        <v>45566</v>
      </c>
      <c r="E1301" s="85" t="s">
        <v>58</v>
      </c>
      <c r="F1301" s="84">
        <f>INDEX(Definitions!$G$13:$G$17,MATCH(Table3[[#This Row],[Propensity to buy/ buyer readiness]],Definitions!$A$13:$A$17,0))</f>
        <v>50000</v>
      </c>
      <c r="G1301" s="86">
        <v>3</v>
      </c>
      <c r="H1301" s="86">
        <v>3</v>
      </c>
      <c r="I1301" s="86">
        <v>3</v>
      </c>
      <c r="J1301" s="86">
        <v>3</v>
      </c>
      <c r="K1301" s="86">
        <v>3</v>
      </c>
      <c r="L1301" s="86">
        <f>SUM(Table3[[#This Row],[Strategic priority segment]:[Propensity to buy/ buyer readiness]])</f>
        <v>15</v>
      </c>
      <c r="M1301" s="86" t="s">
        <v>152</v>
      </c>
      <c r="N1301" s="84" t="s">
        <v>153</v>
      </c>
      <c r="O1301" s="84"/>
      <c r="P1301" s="87"/>
      <c r="Q1301" s="87"/>
      <c r="R1301" s="84"/>
      <c r="S1301" s="87"/>
      <c r="T1301" s="87"/>
      <c r="U1301" s="84">
        <v>1</v>
      </c>
      <c r="V1301" s="84">
        <v>0</v>
      </c>
      <c r="W1301" s="84">
        <v>0</v>
      </c>
      <c r="X1301" s="84">
        <v>0</v>
      </c>
      <c r="Y1301" s="84">
        <v>0</v>
      </c>
      <c r="Z1301" s="84">
        <v>0</v>
      </c>
      <c r="AA1301" s="84">
        <v>0</v>
      </c>
      <c r="AB1301" s="84">
        <v>0</v>
      </c>
      <c r="AC1301" s="84">
        <v>0</v>
      </c>
      <c r="AD1301" s="84">
        <v>0</v>
      </c>
      <c r="AE1301" s="84">
        <v>0</v>
      </c>
      <c r="AF1301" s="84">
        <v>0</v>
      </c>
      <c r="AG1301" s="84">
        <v>0</v>
      </c>
      <c r="AH1301" s="84">
        <v>0</v>
      </c>
      <c r="AI1301" s="84">
        <v>0</v>
      </c>
      <c r="AJ1301" s="84">
        <v>0</v>
      </c>
      <c r="AK1301" s="84">
        <v>0</v>
      </c>
      <c r="AL1301" s="84" cm="1">
        <f t="array" ref="AL13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01" s="84" cm="1">
        <f t="array" ref="AM13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1" s="84" cm="1">
        <f t="array" ref="AN13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1" s="84" cm="1">
        <f t="array" ref="AO13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1" s="84" cm="1">
        <f t="array" ref="AP13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1" s="84" cm="1">
        <f t="array" ref="AQ13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1" s="84" cm="1">
        <f t="array" ref="AR13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1" s="84" cm="1">
        <f t="array" ref="AS13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1" s="84" cm="1">
        <f t="array" ref="AT13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1" s="84" cm="1">
        <f t="array" ref="AU13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1" s="84" cm="1">
        <f t="array" ref="AV13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1" s="84" cm="1">
        <f t="array" ref="AW13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1" s="84" cm="1">
        <f t="array" ref="AX13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1" s="84" cm="1">
        <f t="array" ref="AY13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1" s="84" cm="1">
        <f t="array" ref="AZ13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1" s="84" cm="1">
        <f t="array" ref="BA13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1" s="84" cm="1">
        <f t="array" ref="BB13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1" s="84">
        <f>IF(SUM(Table3[[#This Row],[Column2]:[Column18]])&gt;Table3[[#This Row],[Column19]],Table3[[#This Row],[Column19]],SUM(Table3[[#This Row],[Column2]:[Column18]]))</f>
        <v>10800</v>
      </c>
      <c r="BD1301" s="2">
        <f>Table3[[#This Row],[Total Spend]]/SUM(Table3[[#This Row],[Column2]:[Column18]])</f>
        <v>1</v>
      </c>
    </row>
    <row r="1302" spans="1:56">
      <c r="A1302" s="84" t="s">
        <v>1377</v>
      </c>
      <c r="B1302" s="84" t="s">
        <v>57</v>
      </c>
      <c r="C1302" s="84"/>
      <c r="D1302" s="85">
        <v>45566</v>
      </c>
      <c r="E1302" s="85" t="s">
        <v>92</v>
      </c>
      <c r="F1302" s="84">
        <f>INDEX(Definitions!$G$13:$G$17,MATCH(Table3[[#This Row],[Propensity to buy/ buyer readiness]],Definitions!$A$13:$A$17,0))</f>
        <v>10000</v>
      </c>
      <c r="G1302" s="86">
        <v>3</v>
      </c>
      <c r="H1302" s="86">
        <v>3</v>
      </c>
      <c r="I1302" s="86">
        <v>4</v>
      </c>
      <c r="J1302" s="86">
        <v>3</v>
      </c>
      <c r="K1302" s="86">
        <v>2</v>
      </c>
      <c r="L1302" s="86">
        <f>SUM(Table3[[#This Row],[Strategic priority segment]:[Propensity to buy/ buyer readiness]])</f>
        <v>15</v>
      </c>
      <c r="M1302" s="86" t="s">
        <v>191</v>
      </c>
      <c r="N1302" s="84" t="s">
        <v>135</v>
      </c>
      <c r="O1302" s="84"/>
      <c r="P1302" s="87"/>
      <c r="Q1302" s="87"/>
      <c r="R1302" s="84"/>
      <c r="S1302" s="84"/>
      <c r="T1302" s="87"/>
      <c r="U1302" s="84">
        <v>0</v>
      </c>
      <c r="V1302" s="84">
        <v>0</v>
      </c>
      <c r="W1302" s="84">
        <v>0</v>
      </c>
      <c r="X1302" s="84">
        <v>0</v>
      </c>
      <c r="Y1302" s="84">
        <v>0</v>
      </c>
      <c r="Z1302" s="84">
        <v>0</v>
      </c>
      <c r="AA1302" s="84">
        <v>0</v>
      </c>
      <c r="AB1302" s="84">
        <v>0</v>
      </c>
      <c r="AC1302" s="84">
        <v>0</v>
      </c>
      <c r="AD1302" s="84">
        <v>0</v>
      </c>
      <c r="AE1302" s="84">
        <v>0</v>
      </c>
      <c r="AF1302" s="84">
        <v>0</v>
      </c>
      <c r="AG1302" s="84">
        <v>0</v>
      </c>
      <c r="AH1302" s="84">
        <v>1</v>
      </c>
      <c r="AI1302" s="84">
        <v>1</v>
      </c>
      <c r="AJ1302" s="84">
        <v>1</v>
      </c>
      <c r="AK1302" s="84">
        <v>1</v>
      </c>
      <c r="AL1302" s="84" cm="1">
        <f t="array" ref="AL13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02" s="84" cm="1">
        <f t="array" ref="AM13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2" s="84" cm="1">
        <f t="array" ref="AN13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2" s="84" cm="1">
        <f t="array" ref="AO13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2" s="84" cm="1">
        <f t="array" ref="AP13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2" s="84" cm="1">
        <f t="array" ref="AQ13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2" s="84" cm="1">
        <f t="array" ref="AR13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2" s="84" cm="1">
        <f t="array" ref="AS13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2" s="84" cm="1">
        <f t="array" ref="AT13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2" s="84" cm="1">
        <f t="array" ref="AU13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2" s="84" cm="1">
        <f t="array" ref="AV13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2" s="84" cm="1">
        <f t="array" ref="AW13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2" s="84" cm="1">
        <f t="array" ref="AX13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2" s="84" cm="1">
        <f t="array" ref="AY13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02" s="84" cm="1">
        <f t="array" ref="AZ13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02" s="84" cm="1">
        <f t="array" ref="BA13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02" s="84" cm="1">
        <f t="array" ref="BB13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02" s="84">
        <f>IF(SUM(Table3[[#This Row],[Column2]:[Column18]])&gt;Table3[[#This Row],[Column19]],Table3[[#This Row],[Column19]],SUM(Table3[[#This Row],[Column2]:[Column18]]))</f>
        <v>10000</v>
      </c>
      <c r="BD1302" s="2">
        <f>Table3[[#This Row],[Total Spend]]/SUM(Table3[[#This Row],[Column2]:[Column18]])</f>
        <v>0.21574973031283712</v>
      </c>
    </row>
    <row r="1303" spans="1:56">
      <c r="A1303" s="84" t="s">
        <v>1378</v>
      </c>
      <c r="B1303" s="84"/>
      <c r="C1303" s="84"/>
      <c r="D1303" s="85">
        <v>45566</v>
      </c>
      <c r="E1303" s="85" t="s">
        <v>92</v>
      </c>
      <c r="F1303" s="84">
        <f>INDEX(Definitions!$G$13:$G$17,MATCH(Table3[[#This Row],[Propensity to buy/ buyer readiness]],Definitions!$A$13:$A$17,0))</f>
        <v>10000</v>
      </c>
      <c r="G1303" s="86">
        <v>3</v>
      </c>
      <c r="H1303" s="86">
        <v>3</v>
      </c>
      <c r="I1303" s="86">
        <v>3</v>
      </c>
      <c r="J1303" s="86">
        <v>4</v>
      </c>
      <c r="K1303" s="86">
        <v>2</v>
      </c>
      <c r="L1303" s="86">
        <f>SUM(Table3[[#This Row],[Strategic priority segment]:[Propensity to buy/ buyer readiness]])</f>
        <v>15</v>
      </c>
      <c r="M1303" s="86" t="s">
        <v>59</v>
      </c>
      <c r="N1303" s="84" t="s">
        <v>265</v>
      </c>
      <c r="O1303" s="84"/>
      <c r="P1303" s="87"/>
      <c r="Q1303" s="87"/>
      <c r="R1303" s="84"/>
      <c r="S1303" s="87"/>
      <c r="T1303" s="87"/>
      <c r="U1303" s="84">
        <v>1</v>
      </c>
      <c r="V1303" s="84">
        <v>1</v>
      </c>
      <c r="W1303" s="84">
        <v>1</v>
      </c>
      <c r="X1303" s="84">
        <v>1</v>
      </c>
      <c r="Y1303" s="84">
        <v>0</v>
      </c>
      <c r="Z1303" s="84">
        <v>0</v>
      </c>
      <c r="AA1303" s="84">
        <v>0</v>
      </c>
      <c r="AB1303" s="84">
        <v>0</v>
      </c>
      <c r="AC1303" s="84">
        <v>0</v>
      </c>
      <c r="AD1303" s="84">
        <v>0</v>
      </c>
      <c r="AE1303" s="84">
        <v>0</v>
      </c>
      <c r="AF1303" s="84">
        <v>0</v>
      </c>
      <c r="AG1303" s="84">
        <v>0</v>
      </c>
      <c r="AH1303" s="84">
        <v>0</v>
      </c>
      <c r="AI1303" s="84">
        <v>1</v>
      </c>
      <c r="AJ1303" s="84">
        <v>0</v>
      </c>
      <c r="AK1303" s="84">
        <v>0</v>
      </c>
      <c r="AL1303" s="84" cm="1">
        <f t="array" ref="AL13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03" s="84" cm="1">
        <f t="array" ref="AM13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303" s="84" cm="1">
        <f t="array" ref="AN13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303" s="84" cm="1">
        <f t="array" ref="AO13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303" s="84" cm="1">
        <f t="array" ref="AP13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3" s="84" cm="1">
        <f t="array" ref="AQ13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3" s="84" cm="1">
        <f t="array" ref="AR13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3" s="84" cm="1">
        <f t="array" ref="AS13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3" s="84" cm="1">
        <f t="array" ref="AT13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3" s="84" cm="1">
        <f t="array" ref="AU13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3" s="84" cm="1">
        <f t="array" ref="AV13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3" s="84" cm="1">
        <f t="array" ref="AW13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3" s="84" cm="1">
        <f t="array" ref="AX13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3" s="84" cm="1">
        <f t="array" ref="AY13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3" s="84" cm="1">
        <f t="array" ref="AZ13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03" s="84" cm="1">
        <f t="array" ref="BA13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3" s="84" cm="1">
        <f t="array" ref="BB13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3" s="84">
        <f>IF(SUM(Table3[[#This Row],[Column2]:[Column18]])&gt;Table3[[#This Row],[Column19]],Table3[[#This Row],[Column19]],SUM(Table3[[#This Row],[Column2]:[Column18]]))</f>
        <v>10000</v>
      </c>
      <c r="BD1303" s="2">
        <f>Table3[[#This Row],[Total Spend]]/SUM(Table3[[#This Row],[Column2]:[Column18]])</f>
        <v>7.2859744990892539E-2</v>
      </c>
    </row>
    <row r="1304" spans="1:56">
      <c r="A1304" s="84" t="s">
        <v>1379</v>
      </c>
      <c r="B1304" s="84"/>
      <c r="C1304" s="84"/>
      <c r="D1304" s="85">
        <v>45566</v>
      </c>
      <c r="E1304" s="85" t="s">
        <v>92</v>
      </c>
      <c r="F1304" s="84">
        <f>INDEX(Definitions!$G$13:$G$17,MATCH(Table3[[#This Row],[Propensity to buy/ buyer readiness]],Definitions!$A$13:$A$17,0))</f>
        <v>50000</v>
      </c>
      <c r="G1304" s="86">
        <v>3</v>
      </c>
      <c r="H1304" s="86">
        <v>3</v>
      </c>
      <c r="I1304" s="86">
        <v>3</v>
      </c>
      <c r="J1304" s="86">
        <v>3</v>
      </c>
      <c r="K1304" s="86">
        <v>3</v>
      </c>
      <c r="L1304" s="86">
        <f>SUM(Table3[[#This Row],[Strategic priority segment]:[Propensity to buy/ buyer readiness]])</f>
        <v>15</v>
      </c>
      <c r="M1304" s="86" t="s">
        <v>152</v>
      </c>
      <c r="N1304" s="84" t="s">
        <v>122</v>
      </c>
      <c r="O1304" s="84"/>
      <c r="P1304" s="87"/>
      <c r="Q1304" s="87"/>
      <c r="R1304" s="84"/>
      <c r="S1304" s="87"/>
      <c r="T1304" s="87"/>
      <c r="U1304" s="84">
        <v>1</v>
      </c>
      <c r="V1304" s="84">
        <v>0</v>
      </c>
      <c r="W1304" s="84">
        <v>0</v>
      </c>
      <c r="X1304" s="84">
        <v>0</v>
      </c>
      <c r="Y1304" s="84">
        <v>0</v>
      </c>
      <c r="Z1304" s="84">
        <v>1</v>
      </c>
      <c r="AA1304" s="84">
        <v>0</v>
      </c>
      <c r="AB1304" s="84">
        <v>1</v>
      </c>
      <c r="AC1304" s="84">
        <v>0</v>
      </c>
      <c r="AD1304" s="84">
        <v>1</v>
      </c>
      <c r="AE1304" s="84">
        <v>0</v>
      </c>
      <c r="AF1304" s="84">
        <v>1</v>
      </c>
      <c r="AG1304" s="84">
        <v>0</v>
      </c>
      <c r="AH1304" s="84">
        <v>0</v>
      </c>
      <c r="AI1304" s="84">
        <v>0</v>
      </c>
      <c r="AJ1304" s="84">
        <v>0</v>
      </c>
      <c r="AK1304" s="84">
        <v>0</v>
      </c>
      <c r="AL1304" s="84" cm="1">
        <f t="array" ref="AL13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04" s="84" cm="1">
        <f t="array" ref="AM13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4" s="84" cm="1">
        <f t="array" ref="AN13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4" s="84" cm="1">
        <f t="array" ref="AO13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4" s="84" cm="1">
        <f t="array" ref="AP13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4" s="84" cm="1">
        <f t="array" ref="AQ13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04" s="84" cm="1">
        <f t="array" ref="AR13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4" s="84" cm="1">
        <f t="array" ref="AS13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04" s="84" cm="1">
        <f t="array" ref="AT13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4" s="84" cm="1">
        <f t="array" ref="AU13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04" s="84" cm="1">
        <f t="array" ref="AV13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4" s="84" cm="1">
        <f t="array" ref="AW13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04" s="84" cm="1">
        <f t="array" ref="AX13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4" s="84" cm="1">
        <f t="array" ref="AY13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4" s="84" cm="1">
        <f t="array" ref="AZ13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4" s="84" cm="1">
        <f t="array" ref="BA13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4" s="84" cm="1">
        <f t="array" ref="BB13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4" s="84">
        <f>IF(SUM(Table3[[#This Row],[Column2]:[Column18]])&gt;Table3[[#This Row],[Column19]],Table3[[#This Row],[Column19]],SUM(Table3[[#This Row],[Column2]:[Column18]]))</f>
        <v>50000</v>
      </c>
      <c r="BD1304" s="2">
        <f>Table3[[#This Row],[Total Spend]]/SUM(Table3[[#This Row],[Column2]:[Column18]])</f>
        <v>0.41459369817578773</v>
      </c>
    </row>
    <row r="1305" spans="1:56">
      <c r="A1305" s="84" t="s">
        <v>1380</v>
      </c>
      <c r="B1305" s="84" t="s">
        <v>57</v>
      </c>
      <c r="C1305" s="84"/>
      <c r="D1305" s="85">
        <v>45566</v>
      </c>
      <c r="E1305" s="85" t="s">
        <v>92</v>
      </c>
      <c r="F1305" s="84">
        <f>INDEX(Definitions!$G$13:$G$17,MATCH(Table3[[#This Row],[Propensity to buy/ buyer readiness]],Definitions!$A$13:$A$17,0))</f>
        <v>10000</v>
      </c>
      <c r="G1305" s="86">
        <v>3</v>
      </c>
      <c r="H1305" s="86">
        <v>3</v>
      </c>
      <c r="I1305" s="86">
        <v>4</v>
      </c>
      <c r="J1305" s="86">
        <v>3</v>
      </c>
      <c r="K1305" s="86">
        <v>2</v>
      </c>
      <c r="L1305" s="86">
        <f>SUM(Table3[[#This Row],[Strategic priority segment]:[Propensity to buy/ buyer readiness]])</f>
        <v>15</v>
      </c>
      <c r="M1305" s="86" t="s">
        <v>152</v>
      </c>
      <c r="N1305" s="84" t="s">
        <v>264</v>
      </c>
      <c r="O1305" s="84"/>
      <c r="P1305" s="87"/>
      <c r="Q1305" s="87"/>
      <c r="R1305" s="84"/>
      <c r="S1305" s="84"/>
      <c r="T1305" s="87"/>
      <c r="U1305" s="84">
        <v>1</v>
      </c>
      <c r="V1305" s="84">
        <v>0</v>
      </c>
      <c r="W1305" s="84">
        <v>0</v>
      </c>
      <c r="X1305" s="84">
        <v>0</v>
      </c>
      <c r="Y1305" s="84">
        <v>0</v>
      </c>
      <c r="Z1305" s="84">
        <v>0</v>
      </c>
      <c r="AA1305" s="84">
        <v>0</v>
      </c>
      <c r="AB1305" s="84">
        <v>0</v>
      </c>
      <c r="AC1305" s="84">
        <v>0</v>
      </c>
      <c r="AD1305" s="84">
        <v>0</v>
      </c>
      <c r="AE1305" s="84">
        <v>0</v>
      </c>
      <c r="AF1305" s="84">
        <v>0</v>
      </c>
      <c r="AG1305" s="84">
        <v>0</v>
      </c>
      <c r="AH1305" s="84">
        <v>0</v>
      </c>
      <c r="AI1305" s="84">
        <v>0</v>
      </c>
      <c r="AJ1305" s="84">
        <v>0</v>
      </c>
      <c r="AK1305" s="84">
        <v>0</v>
      </c>
      <c r="AL1305" s="84" cm="1">
        <f t="array" ref="AL13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05" s="84" cm="1">
        <f t="array" ref="AM13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5" s="84" cm="1">
        <f t="array" ref="AN13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5" s="84" cm="1">
        <f t="array" ref="AO13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5" s="84" cm="1">
        <f t="array" ref="AP13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5" s="84" cm="1">
        <f t="array" ref="AQ13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5" s="84" cm="1">
        <f t="array" ref="AR13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5" s="84" cm="1">
        <f t="array" ref="AS13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5" s="84" cm="1">
        <f t="array" ref="AT13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5" s="84" cm="1">
        <f t="array" ref="AU13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5" s="84" cm="1">
        <f t="array" ref="AV13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5" s="84" cm="1">
        <f t="array" ref="AW13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5" s="84" cm="1">
        <f t="array" ref="AX13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5" s="84" cm="1">
        <f t="array" ref="AY13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5" s="84" cm="1">
        <f t="array" ref="AZ13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5" s="84" cm="1">
        <f t="array" ref="BA13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5" s="84" cm="1">
        <f t="array" ref="BB13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5" s="84">
        <f>IF(SUM(Table3[[#This Row],[Column2]:[Column18]])&gt;Table3[[#This Row],[Column19]],Table3[[#This Row],[Column19]],SUM(Table3[[#This Row],[Column2]:[Column18]]))</f>
        <v>8100</v>
      </c>
      <c r="BD1305" s="2">
        <f>Table3[[#This Row],[Total Spend]]/SUM(Table3[[#This Row],[Column2]:[Column18]])</f>
        <v>1</v>
      </c>
    </row>
    <row r="1306" spans="1:56">
      <c r="A1306" s="84" t="s">
        <v>1381</v>
      </c>
      <c r="B1306" s="84"/>
      <c r="C1306" s="84"/>
      <c r="D1306" s="85">
        <v>45566</v>
      </c>
      <c r="E1306" s="85" t="s">
        <v>92</v>
      </c>
      <c r="F1306" s="84">
        <f>INDEX(Definitions!$G$13:$G$17,MATCH(Table3[[#This Row],[Propensity to buy/ buyer readiness]],Definitions!$A$13:$A$17,0))</f>
        <v>50000</v>
      </c>
      <c r="G1306" s="86">
        <v>3</v>
      </c>
      <c r="H1306" s="86">
        <v>3</v>
      </c>
      <c r="I1306" s="86">
        <v>3</v>
      </c>
      <c r="J1306" s="86">
        <v>3</v>
      </c>
      <c r="K1306" s="86">
        <v>3</v>
      </c>
      <c r="L1306" s="86">
        <f>SUM(Table3[[#This Row],[Strategic priority segment]:[Propensity to buy/ buyer readiness]])</f>
        <v>15</v>
      </c>
      <c r="M1306" s="86" t="s">
        <v>191</v>
      </c>
      <c r="N1306" s="84" t="s">
        <v>76</v>
      </c>
      <c r="O1306" s="84"/>
      <c r="P1306" s="84"/>
      <c r="Q1306" s="84"/>
      <c r="R1306" s="84"/>
      <c r="S1306" s="87"/>
      <c r="T1306" s="87"/>
      <c r="U1306" s="84">
        <v>0</v>
      </c>
      <c r="V1306" s="84">
        <v>0</v>
      </c>
      <c r="W1306" s="84">
        <v>0</v>
      </c>
      <c r="X1306" s="84">
        <v>0</v>
      </c>
      <c r="Y1306" s="84">
        <v>0</v>
      </c>
      <c r="Z1306" s="84">
        <v>0</v>
      </c>
      <c r="AA1306" s="84">
        <v>0</v>
      </c>
      <c r="AB1306" s="84">
        <v>0</v>
      </c>
      <c r="AC1306" s="84">
        <v>0</v>
      </c>
      <c r="AD1306" s="84">
        <v>0</v>
      </c>
      <c r="AE1306" s="84">
        <v>0</v>
      </c>
      <c r="AF1306" s="84">
        <v>0</v>
      </c>
      <c r="AG1306" s="84">
        <v>0</v>
      </c>
      <c r="AH1306" s="84">
        <v>1</v>
      </c>
      <c r="AI1306" s="84">
        <v>0</v>
      </c>
      <c r="AJ1306" s="84">
        <v>1</v>
      </c>
      <c r="AK1306" s="84">
        <v>0</v>
      </c>
      <c r="AL1306" s="84" cm="1">
        <f t="array" ref="AL13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06" s="84" cm="1">
        <f t="array" ref="AM13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6" s="84" cm="1">
        <f t="array" ref="AN13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6" s="84" cm="1">
        <f t="array" ref="AO13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6" s="84" cm="1">
        <f t="array" ref="AP13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6" s="84" cm="1">
        <f t="array" ref="AQ13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6" s="84" cm="1">
        <f t="array" ref="AR13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6" s="84" cm="1">
        <f t="array" ref="AS13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6" s="84" cm="1">
        <f t="array" ref="AT13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6" s="84" cm="1">
        <f t="array" ref="AU13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6" s="84" cm="1">
        <f t="array" ref="AV13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6" s="84" cm="1">
        <f t="array" ref="AW13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6" s="84" cm="1">
        <f t="array" ref="AX13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6" s="84" cm="1">
        <f t="array" ref="AY13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06" s="84" cm="1">
        <f t="array" ref="AZ13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6" s="84" cm="1">
        <f t="array" ref="BA13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06" s="84" cm="1">
        <f t="array" ref="BB13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6" s="84">
        <f>IF(SUM(Table3[[#This Row],[Column2]:[Column18]])&gt;Table3[[#This Row],[Column19]],Table3[[#This Row],[Column19]],SUM(Table3[[#This Row],[Column2]:[Column18]]))</f>
        <v>30600</v>
      </c>
      <c r="BD1306" s="2">
        <f>Table3[[#This Row],[Total Spend]]/SUM(Table3[[#This Row],[Column2]:[Column18]])</f>
        <v>1</v>
      </c>
    </row>
    <row r="1307" spans="1:56">
      <c r="A1307" s="84" t="s">
        <v>1382</v>
      </c>
      <c r="B1307" s="84"/>
      <c r="C1307" s="84"/>
      <c r="D1307" s="85">
        <v>45566</v>
      </c>
      <c r="E1307" s="85" t="s">
        <v>92</v>
      </c>
      <c r="F1307" s="84">
        <f>INDEX(Definitions!$G$13:$G$17,MATCH(Table3[[#This Row],[Propensity to buy/ buyer readiness]],Definitions!$A$13:$A$17,0))</f>
        <v>50000</v>
      </c>
      <c r="G1307" s="86">
        <v>3</v>
      </c>
      <c r="H1307" s="86">
        <v>3</v>
      </c>
      <c r="I1307" s="86">
        <v>3</v>
      </c>
      <c r="J1307" s="86">
        <v>3</v>
      </c>
      <c r="K1307" s="86">
        <v>3</v>
      </c>
      <c r="L1307" s="86">
        <f>SUM(Table3[[#This Row],[Strategic priority segment]:[Propensity to buy/ buyer readiness]])</f>
        <v>15</v>
      </c>
      <c r="M1307" s="86" t="s">
        <v>191</v>
      </c>
      <c r="N1307" s="84" t="s">
        <v>76</v>
      </c>
      <c r="O1307" s="84"/>
      <c r="P1307" s="84"/>
      <c r="Q1307" s="84"/>
      <c r="R1307" s="84"/>
      <c r="S1307" s="87"/>
      <c r="T1307" s="87"/>
      <c r="U1307" s="84">
        <v>0</v>
      </c>
      <c r="V1307" s="84">
        <v>0</v>
      </c>
      <c r="W1307" s="84">
        <v>0</v>
      </c>
      <c r="X1307" s="84">
        <v>0</v>
      </c>
      <c r="Y1307" s="84">
        <v>0</v>
      </c>
      <c r="Z1307" s="84">
        <v>0</v>
      </c>
      <c r="AA1307" s="84">
        <v>0</v>
      </c>
      <c r="AB1307" s="84">
        <v>0</v>
      </c>
      <c r="AC1307" s="84">
        <v>0</v>
      </c>
      <c r="AD1307" s="84">
        <v>0</v>
      </c>
      <c r="AE1307" s="84">
        <v>0</v>
      </c>
      <c r="AF1307" s="84">
        <v>0</v>
      </c>
      <c r="AG1307" s="84">
        <v>0</v>
      </c>
      <c r="AH1307" s="84">
        <v>1</v>
      </c>
      <c r="AI1307" s="84">
        <v>0</v>
      </c>
      <c r="AJ1307" s="84">
        <v>1</v>
      </c>
      <c r="AK1307" s="84">
        <v>0</v>
      </c>
      <c r="AL1307" s="84" cm="1">
        <f t="array" ref="AL13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07" s="84" cm="1">
        <f t="array" ref="AM13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7" s="84" cm="1">
        <f t="array" ref="AN13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7" s="84" cm="1">
        <f t="array" ref="AO13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7" s="84" cm="1">
        <f t="array" ref="AP13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7" s="84" cm="1">
        <f t="array" ref="AQ13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7" s="84" cm="1">
        <f t="array" ref="AR13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7" s="84" cm="1">
        <f t="array" ref="AS13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7" s="84" cm="1">
        <f t="array" ref="AT13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7" s="84" cm="1">
        <f t="array" ref="AU13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7" s="84" cm="1">
        <f t="array" ref="AV13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7" s="84" cm="1">
        <f t="array" ref="AW13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7" s="84" cm="1">
        <f t="array" ref="AX13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7" s="84" cm="1">
        <f t="array" ref="AY13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07" s="84" cm="1">
        <f t="array" ref="AZ13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07" s="84" cm="1">
        <f t="array" ref="BA13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07" s="84" cm="1">
        <f t="array" ref="BB13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7" s="84">
        <f>IF(SUM(Table3[[#This Row],[Column2]:[Column18]])&gt;Table3[[#This Row],[Column19]],Table3[[#This Row],[Column19]],SUM(Table3[[#This Row],[Column2]:[Column18]]))</f>
        <v>30600</v>
      </c>
      <c r="BD1307" s="2">
        <f>Table3[[#This Row],[Total Spend]]/SUM(Table3[[#This Row],[Column2]:[Column18]])</f>
        <v>1</v>
      </c>
    </row>
    <row r="1308" spans="1:56">
      <c r="A1308" s="84" t="s">
        <v>1383</v>
      </c>
      <c r="B1308" s="84" t="s">
        <v>57</v>
      </c>
      <c r="C1308" s="84"/>
      <c r="D1308" s="85">
        <v>45566</v>
      </c>
      <c r="E1308" s="85" t="s">
        <v>92</v>
      </c>
      <c r="F1308" s="84">
        <f>INDEX(Definitions!$G$13:$G$17,MATCH(Table3[[#This Row],[Propensity to buy/ buyer readiness]],Definitions!$A$13:$A$17,0))</f>
        <v>10000</v>
      </c>
      <c r="G1308" s="86">
        <v>3</v>
      </c>
      <c r="H1308" s="86">
        <v>3</v>
      </c>
      <c r="I1308" s="86">
        <v>4</v>
      </c>
      <c r="J1308" s="86">
        <v>3</v>
      </c>
      <c r="K1308" s="86">
        <v>2</v>
      </c>
      <c r="L1308" s="86">
        <f>SUM(Table3[[#This Row],[Strategic priority segment]:[Propensity to buy/ buyer readiness]])</f>
        <v>15</v>
      </c>
      <c r="M1308" s="86" t="s">
        <v>191</v>
      </c>
      <c r="N1308" s="84" t="s">
        <v>135</v>
      </c>
      <c r="O1308" s="84" t="s">
        <v>153</v>
      </c>
      <c r="P1308" s="87"/>
      <c r="Q1308" s="87"/>
      <c r="R1308" s="84"/>
      <c r="S1308" s="84"/>
      <c r="T1308" s="87"/>
      <c r="U1308" s="84">
        <v>1</v>
      </c>
      <c r="V1308" s="84">
        <v>0</v>
      </c>
      <c r="W1308" s="84">
        <v>0</v>
      </c>
      <c r="X1308" s="84">
        <v>0</v>
      </c>
      <c r="Y1308" s="84">
        <v>0</v>
      </c>
      <c r="Z1308" s="84">
        <v>0</v>
      </c>
      <c r="AA1308" s="84">
        <v>0</v>
      </c>
      <c r="AB1308" s="84">
        <v>0</v>
      </c>
      <c r="AC1308" s="84">
        <v>0</v>
      </c>
      <c r="AD1308" s="84">
        <v>0</v>
      </c>
      <c r="AE1308" s="84">
        <v>0</v>
      </c>
      <c r="AF1308" s="84">
        <v>0</v>
      </c>
      <c r="AG1308" s="84">
        <v>0</v>
      </c>
      <c r="AH1308" s="84">
        <v>1</v>
      </c>
      <c r="AI1308" s="84">
        <v>1</v>
      </c>
      <c r="AJ1308" s="84">
        <v>1</v>
      </c>
      <c r="AK1308" s="84">
        <v>1</v>
      </c>
      <c r="AL1308" s="84" cm="1">
        <f t="array" ref="AL13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08" s="84" cm="1">
        <f t="array" ref="AM13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08" s="84" cm="1">
        <f t="array" ref="AN13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08" s="84" cm="1">
        <f t="array" ref="AO13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08" s="84" cm="1">
        <f t="array" ref="AP13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8" s="84" cm="1">
        <f t="array" ref="AQ13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8" s="84" cm="1">
        <f t="array" ref="AR13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8" s="84" cm="1">
        <f t="array" ref="AS13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8" s="84" cm="1">
        <f t="array" ref="AT13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8" s="84" cm="1">
        <f t="array" ref="AU13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8" s="84" cm="1">
        <f t="array" ref="AV13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8" s="84" cm="1">
        <f t="array" ref="AW13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8" s="84" cm="1">
        <f t="array" ref="AX13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8" s="84" cm="1">
        <f t="array" ref="AY13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08" s="84" cm="1">
        <f t="array" ref="AZ13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08" s="84" cm="1">
        <f t="array" ref="BA13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08" s="84" cm="1">
        <f t="array" ref="BB13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08" s="84">
        <f>IF(SUM(Table3[[#This Row],[Column2]:[Column18]])&gt;Table3[[#This Row],[Column19]],Table3[[#This Row],[Column19]],SUM(Table3[[#This Row],[Column2]:[Column18]]))</f>
        <v>10000</v>
      </c>
      <c r="BD1308" s="2">
        <f>Table3[[#This Row],[Total Spend]]/SUM(Table3[[#This Row],[Column2]:[Column18]])</f>
        <v>0.18365472910927455</v>
      </c>
    </row>
    <row r="1309" spans="1:56">
      <c r="A1309" s="84" t="s">
        <v>1384</v>
      </c>
      <c r="B1309" s="84"/>
      <c r="C1309" s="84"/>
      <c r="D1309" s="85">
        <v>45566</v>
      </c>
      <c r="E1309" s="85" t="s">
        <v>92</v>
      </c>
      <c r="F1309" s="84">
        <f>INDEX(Definitions!$G$13:$G$17,MATCH(Table3[[#This Row],[Propensity to buy/ buyer readiness]],Definitions!$A$13:$A$17,0))</f>
        <v>10000</v>
      </c>
      <c r="G1309" s="86">
        <v>3</v>
      </c>
      <c r="H1309" s="86">
        <v>3</v>
      </c>
      <c r="I1309" s="86">
        <v>3</v>
      </c>
      <c r="J1309" s="86">
        <v>4</v>
      </c>
      <c r="K1309" s="86">
        <v>2</v>
      </c>
      <c r="L1309" s="86">
        <f>SUM(Table3[[#This Row],[Strategic priority segment]:[Propensity to buy/ buyer readiness]])</f>
        <v>15</v>
      </c>
      <c r="M1309" s="86" t="s">
        <v>59</v>
      </c>
      <c r="N1309" s="84" t="s">
        <v>265</v>
      </c>
      <c r="O1309" s="84"/>
      <c r="P1309" s="87"/>
      <c r="Q1309" s="87"/>
      <c r="R1309" s="84"/>
      <c r="S1309" s="87"/>
      <c r="T1309" s="87"/>
      <c r="U1309" s="84">
        <v>1</v>
      </c>
      <c r="V1309" s="84">
        <v>1</v>
      </c>
      <c r="W1309" s="84">
        <v>1</v>
      </c>
      <c r="X1309" s="84">
        <v>1</v>
      </c>
      <c r="Y1309" s="84">
        <v>0</v>
      </c>
      <c r="Z1309" s="84">
        <v>0</v>
      </c>
      <c r="AA1309" s="84">
        <v>0</v>
      </c>
      <c r="AB1309" s="84">
        <v>0</v>
      </c>
      <c r="AC1309" s="84">
        <v>0</v>
      </c>
      <c r="AD1309" s="84">
        <v>0</v>
      </c>
      <c r="AE1309" s="84">
        <v>0</v>
      </c>
      <c r="AF1309" s="84">
        <v>0</v>
      </c>
      <c r="AG1309" s="84">
        <v>0</v>
      </c>
      <c r="AH1309" s="84">
        <v>0</v>
      </c>
      <c r="AI1309" s="84">
        <v>1</v>
      </c>
      <c r="AJ1309" s="84">
        <v>0</v>
      </c>
      <c r="AK1309" s="84">
        <v>0</v>
      </c>
      <c r="AL1309" s="84" cm="1">
        <f t="array" ref="AL13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09" s="84" cm="1">
        <f t="array" ref="AM13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309" s="84" cm="1">
        <f t="array" ref="AN13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309" s="84" cm="1">
        <f t="array" ref="AO13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309" s="84" cm="1">
        <f t="array" ref="AP13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09" s="84" cm="1">
        <f t="array" ref="AQ13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09" s="84" cm="1">
        <f t="array" ref="AR13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09" s="84" cm="1">
        <f t="array" ref="AS13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09" s="84" cm="1">
        <f t="array" ref="AT13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09" s="84" cm="1">
        <f t="array" ref="AU13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09" s="84" cm="1">
        <f t="array" ref="AV13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09" s="84" cm="1">
        <f t="array" ref="AW13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09" s="84" cm="1">
        <f t="array" ref="AX13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09" s="84" cm="1">
        <f t="array" ref="AY13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09" s="84" cm="1">
        <f t="array" ref="AZ13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09" s="84" cm="1">
        <f t="array" ref="BA13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09" s="84" cm="1">
        <f t="array" ref="BB13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09" s="84">
        <f>IF(SUM(Table3[[#This Row],[Column2]:[Column18]])&gt;Table3[[#This Row],[Column19]],Table3[[#This Row],[Column19]],SUM(Table3[[#This Row],[Column2]:[Column18]]))</f>
        <v>10000</v>
      </c>
      <c r="BD1309" s="2">
        <f>Table3[[#This Row],[Total Spend]]/SUM(Table3[[#This Row],[Column2]:[Column18]])</f>
        <v>7.2859744990892539E-2</v>
      </c>
    </row>
    <row r="1310" spans="1:56">
      <c r="A1310" s="84" t="s">
        <v>1385</v>
      </c>
      <c r="B1310" s="84" t="s">
        <v>57</v>
      </c>
      <c r="C1310" s="84"/>
      <c r="D1310" s="85">
        <v>45566</v>
      </c>
      <c r="E1310" s="85" t="s">
        <v>92</v>
      </c>
      <c r="F1310" s="84">
        <f>INDEX(Definitions!$G$13:$G$17,MATCH(Table3[[#This Row],[Propensity to buy/ buyer readiness]],Definitions!$A$13:$A$17,0))</f>
        <v>10000</v>
      </c>
      <c r="G1310" s="86">
        <v>3</v>
      </c>
      <c r="H1310" s="86">
        <v>3</v>
      </c>
      <c r="I1310" s="86">
        <v>4</v>
      </c>
      <c r="J1310" s="86">
        <v>3</v>
      </c>
      <c r="K1310" s="86">
        <v>2</v>
      </c>
      <c r="L1310" s="86">
        <f>SUM(Table3[[#This Row],[Strategic priority segment]:[Propensity to buy/ buyer readiness]])</f>
        <v>15</v>
      </c>
      <c r="M1310" s="86" t="s">
        <v>191</v>
      </c>
      <c r="N1310" s="84" t="s">
        <v>135</v>
      </c>
      <c r="O1310" s="84" t="s">
        <v>61</v>
      </c>
      <c r="P1310" s="87"/>
      <c r="Q1310" s="87"/>
      <c r="R1310" s="84"/>
      <c r="S1310" s="84"/>
      <c r="T1310" s="87"/>
      <c r="U1310" s="84">
        <v>1</v>
      </c>
      <c r="V1310" s="84">
        <v>0</v>
      </c>
      <c r="W1310" s="84">
        <v>0</v>
      </c>
      <c r="X1310" s="84">
        <v>0</v>
      </c>
      <c r="Y1310" s="84">
        <v>0</v>
      </c>
      <c r="Z1310" s="84">
        <v>1</v>
      </c>
      <c r="AA1310" s="84">
        <v>1</v>
      </c>
      <c r="AB1310" s="84">
        <v>1</v>
      </c>
      <c r="AC1310" s="84">
        <v>1</v>
      </c>
      <c r="AD1310" s="84">
        <v>0</v>
      </c>
      <c r="AE1310" s="84">
        <v>0</v>
      </c>
      <c r="AF1310" s="84">
        <v>0</v>
      </c>
      <c r="AG1310" s="84">
        <v>0</v>
      </c>
      <c r="AH1310" s="84">
        <v>1</v>
      </c>
      <c r="AI1310" s="84">
        <v>1</v>
      </c>
      <c r="AJ1310" s="84">
        <v>1</v>
      </c>
      <c r="AK1310" s="84">
        <v>1</v>
      </c>
      <c r="AL1310" s="84" cm="1">
        <f t="array" ref="AL13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0" s="84" cm="1">
        <f t="array" ref="AM13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0" s="84" cm="1">
        <f t="array" ref="AN13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0" s="84" cm="1">
        <f t="array" ref="AO13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0" s="84" cm="1">
        <f t="array" ref="AP13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0" s="84" cm="1">
        <f t="array" ref="AQ13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10" s="84" cm="1">
        <f t="array" ref="AR13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310" s="84" cm="1">
        <f t="array" ref="AS13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10" s="84" cm="1">
        <f t="array" ref="AT13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310" s="84" cm="1">
        <f t="array" ref="AU13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0" s="84" cm="1">
        <f t="array" ref="AV13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0" s="84" cm="1">
        <f t="array" ref="AW13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0" s="84" cm="1">
        <f t="array" ref="AX13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0" s="84" cm="1">
        <f t="array" ref="AY13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10" s="84" cm="1">
        <f t="array" ref="AZ13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10" s="84" cm="1">
        <f t="array" ref="BA13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10" s="84" cm="1">
        <f t="array" ref="BB13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10" s="84">
        <f>IF(SUM(Table3[[#This Row],[Column2]:[Column18]])&gt;Table3[[#This Row],[Column19]],Table3[[#This Row],[Column19]],SUM(Table3[[#This Row],[Column2]:[Column18]]))</f>
        <v>10000</v>
      </c>
      <c r="BD1310" s="2">
        <f>Table3[[#This Row],[Total Spend]]/SUM(Table3[[#This Row],[Column2]:[Column18]])</f>
        <v>6.7544748395812232E-2</v>
      </c>
    </row>
    <row r="1311" spans="1:56">
      <c r="A1311" s="84" t="s">
        <v>1386</v>
      </c>
      <c r="B1311" s="84" t="s">
        <v>57</v>
      </c>
      <c r="C1311" s="84"/>
      <c r="D1311" s="85">
        <v>45566</v>
      </c>
      <c r="E1311" s="85" t="s">
        <v>92</v>
      </c>
      <c r="F1311" s="84">
        <f>INDEX(Definitions!$G$13:$G$17,MATCH(Table3[[#This Row],[Propensity to buy/ buyer readiness]],Definitions!$A$13:$A$17,0))</f>
        <v>10000</v>
      </c>
      <c r="G1311" s="86">
        <v>3</v>
      </c>
      <c r="H1311" s="86">
        <v>3</v>
      </c>
      <c r="I1311" s="86">
        <v>4</v>
      </c>
      <c r="J1311" s="86">
        <v>3</v>
      </c>
      <c r="K1311" s="86">
        <v>2</v>
      </c>
      <c r="L1311" s="86">
        <f>SUM(Table3[[#This Row],[Strategic priority segment]:[Propensity to buy/ buyer readiness]])</f>
        <v>15</v>
      </c>
      <c r="M1311" s="86" t="s">
        <v>191</v>
      </c>
      <c r="N1311" s="84" t="s">
        <v>135</v>
      </c>
      <c r="O1311" s="84" t="s">
        <v>153</v>
      </c>
      <c r="P1311" s="87"/>
      <c r="Q1311" s="87"/>
      <c r="R1311" s="84"/>
      <c r="S1311" s="84"/>
      <c r="T1311" s="87"/>
      <c r="U1311" s="84">
        <v>1</v>
      </c>
      <c r="V1311" s="84">
        <v>0</v>
      </c>
      <c r="W1311" s="84">
        <v>0</v>
      </c>
      <c r="X1311" s="84">
        <v>0</v>
      </c>
      <c r="Y1311" s="84">
        <v>0</v>
      </c>
      <c r="Z1311" s="84">
        <v>0</v>
      </c>
      <c r="AA1311" s="84">
        <v>0</v>
      </c>
      <c r="AB1311" s="84">
        <v>0</v>
      </c>
      <c r="AC1311" s="84">
        <v>0</v>
      </c>
      <c r="AD1311" s="84">
        <v>0</v>
      </c>
      <c r="AE1311" s="84">
        <v>0</v>
      </c>
      <c r="AF1311" s="84">
        <v>0</v>
      </c>
      <c r="AG1311" s="84">
        <v>0</v>
      </c>
      <c r="AH1311" s="84">
        <v>1</v>
      </c>
      <c r="AI1311" s="84">
        <v>1</v>
      </c>
      <c r="AJ1311" s="84">
        <v>1</v>
      </c>
      <c r="AK1311" s="84">
        <v>1</v>
      </c>
      <c r="AL1311" s="84" cm="1">
        <f t="array" ref="AL13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1" s="84" cm="1">
        <f t="array" ref="AM13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1" s="84" cm="1">
        <f t="array" ref="AN13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1" s="84" cm="1">
        <f t="array" ref="AO13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1" s="84" cm="1">
        <f t="array" ref="AP13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1" s="84" cm="1">
        <f t="array" ref="AQ13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1" s="84" cm="1">
        <f t="array" ref="AR13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1" s="84" cm="1">
        <f t="array" ref="AS13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1" s="84" cm="1">
        <f t="array" ref="AT13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1" s="84" cm="1">
        <f t="array" ref="AU13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1" s="84" cm="1">
        <f t="array" ref="AV13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1" s="84" cm="1">
        <f t="array" ref="AW13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1" s="84" cm="1">
        <f t="array" ref="AX13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1" s="84" cm="1">
        <f t="array" ref="AY13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11" s="84" cm="1">
        <f t="array" ref="AZ13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11" s="84" cm="1">
        <f t="array" ref="BA13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11" s="84" cm="1">
        <f t="array" ref="BB13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11" s="84">
        <f>IF(SUM(Table3[[#This Row],[Column2]:[Column18]])&gt;Table3[[#This Row],[Column19]],Table3[[#This Row],[Column19]],SUM(Table3[[#This Row],[Column2]:[Column18]]))</f>
        <v>10000</v>
      </c>
      <c r="BD1311" s="2">
        <f>Table3[[#This Row],[Total Spend]]/SUM(Table3[[#This Row],[Column2]:[Column18]])</f>
        <v>0.18365472910927455</v>
      </c>
    </row>
    <row r="1312" spans="1:56">
      <c r="A1312" s="84" t="s">
        <v>1387</v>
      </c>
      <c r="B1312" s="84" t="s">
        <v>57</v>
      </c>
      <c r="C1312" s="84"/>
      <c r="D1312" s="85">
        <v>45566</v>
      </c>
      <c r="E1312" s="85" t="s">
        <v>92</v>
      </c>
      <c r="F1312" s="84">
        <f>INDEX(Definitions!$G$13:$G$17,MATCH(Table3[[#This Row],[Propensity to buy/ buyer readiness]],Definitions!$A$13:$A$17,0))</f>
        <v>10000</v>
      </c>
      <c r="G1312" s="86">
        <v>3</v>
      </c>
      <c r="H1312" s="86">
        <v>3</v>
      </c>
      <c r="I1312" s="86">
        <v>4</v>
      </c>
      <c r="J1312" s="86">
        <v>3</v>
      </c>
      <c r="K1312" s="86">
        <v>2</v>
      </c>
      <c r="L1312" s="86">
        <f>SUM(Table3[[#This Row],[Strategic priority segment]:[Propensity to buy/ buyer readiness]])</f>
        <v>15</v>
      </c>
      <c r="M1312" s="86" t="s">
        <v>191</v>
      </c>
      <c r="N1312" s="84" t="s">
        <v>135</v>
      </c>
      <c r="O1312" s="84"/>
      <c r="P1312" s="87"/>
      <c r="Q1312" s="87"/>
      <c r="R1312" s="84"/>
      <c r="S1312" s="84"/>
      <c r="T1312" s="87"/>
      <c r="U1312" s="84">
        <v>0</v>
      </c>
      <c r="V1312" s="84">
        <v>0</v>
      </c>
      <c r="W1312" s="84">
        <v>0</v>
      </c>
      <c r="X1312" s="84">
        <v>0</v>
      </c>
      <c r="Y1312" s="84">
        <v>0</v>
      </c>
      <c r="Z1312" s="84">
        <v>0</v>
      </c>
      <c r="AA1312" s="84">
        <v>0</v>
      </c>
      <c r="AB1312" s="84">
        <v>0</v>
      </c>
      <c r="AC1312" s="84">
        <v>0</v>
      </c>
      <c r="AD1312" s="84">
        <v>0</v>
      </c>
      <c r="AE1312" s="84">
        <v>0</v>
      </c>
      <c r="AF1312" s="84">
        <v>0</v>
      </c>
      <c r="AG1312" s="84">
        <v>0</v>
      </c>
      <c r="AH1312" s="84">
        <v>1</v>
      </c>
      <c r="AI1312" s="84">
        <v>1</v>
      </c>
      <c r="AJ1312" s="84">
        <v>1</v>
      </c>
      <c r="AK1312" s="84">
        <v>1</v>
      </c>
      <c r="AL1312" s="84" cm="1">
        <f t="array" ref="AL13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12" s="84" cm="1">
        <f t="array" ref="AM13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2" s="84" cm="1">
        <f t="array" ref="AN13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2" s="84" cm="1">
        <f t="array" ref="AO13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2" s="84" cm="1">
        <f t="array" ref="AP13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2" s="84" cm="1">
        <f t="array" ref="AQ13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2" s="84" cm="1">
        <f t="array" ref="AR13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2" s="84" cm="1">
        <f t="array" ref="AS13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2" s="84" cm="1">
        <f t="array" ref="AT13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2" s="84" cm="1">
        <f t="array" ref="AU13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2" s="84" cm="1">
        <f t="array" ref="AV13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2" s="84" cm="1">
        <f t="array" ref="AW13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2" s="84" cm="1">
        <f t="array" ref="AX13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2" s="84" cm="1">
        <f t="array" ref="AY13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12" s="84" cm="1">
        <f t="array" ref="AZ13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12" s="84" cm="1">
        <f t="array" ref="BA13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12" s="84" cm="1">
        <f t="array" ref="BB13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12" s="84">
        <f>IF(SUM(Table3[[#This Row],[Column2]:[Column18]])&gt;Table3[[#This Row],[Column19]],Table3[[#This Row],[Column19]],SUM(Table3[[#This Row],[Column2]:[Column18]]))</f>
        <v>10000</v>
      </c>
      <c r="BD1312" s="2">
        <f>Table3[[#This Row],[Total Spend]]/SUM(Table3[[#This Row],[Column2]:[Column18]])</f>
        <v>0.21574973031283712</v>
      </c>
    </row>
    <row r="1313" spans="1:56">
      <c r="A1313" s="84" t="s">
        <v>1388</v>
      </c>
      <c r="B1313" s="84" t="s">
        <v>57</v>
      </c>
      <c r="C1313" s="84"/>
      <c r="D1313" s="85">
        <v>45566</v>
      </c>
      <c r="E1313" s="85" t="s">
        <v>92</v>
      </c>
      <c r="F1313" s="84">
        <f>INDEX(Definitions!$G$13:$G$17,MATCH(Table3[[#This Row],[Propensity to buy/ buyer readiness]],Definitions!$A$13:$A$17,0))</f>
        <v>10000</v>
      </c>
      <c r="G1313" s="86">
        <v>3</v>
      </c>
      <c r="H1313" s="86">
        <v>3</v>
      </c>
      <c r="I1313" s="86">
        <v>4</v>
      </c>
      <c r="J1313" s="86">
        <v>3</v>
      </c>
      <c r="K1313" s="86">
        <v>2</v>
      </c>
      <c r="L1313" s="86">
        <f>SUM(Table3[[#This Row],[Strategic priority segment]:[Propensity to buy/ buyer readiness]])</f>
        <v>15</v>
      </c>
      <c r="M1313" s="86" t="s">
        <v>191</v>
      </c>
      <c r="N1313" s="84" t="s">
        <v>135</v>
      </c>
      <c r="O1313" s="84" t="s">
        <v>153</v>
      </c>
      <c r="P1313" s="87"/>
      <c r="Q1313" s="87"/>
      <c r="R1313" s="84"/>
      <c r="S1313" s="84"/>
      <c r="T1313" s="87"/>
      <c r="U1313" s="84">
        <v>1</v>
      </c>
      <c r="V1313" s="84">
        <v>0</v>
      </c>
      <c r="W1313" s="84">
        <v>0</v>
      </c>
      <c r="X1313" s="84">
        <v>0</v>
      </c>
      <c r="Y1313" s="84">
        <v>0</v>
      </c>
      <c r="Z1313" s="84">
        <v>0</v>
      </c>
      <c r="AA1313" s="84">
        <v>0</v>
      </c>
      <c r="AB1313" s="84">
        <v>0</v>
      </c>
      <c r="AC1313" s="84">
        <v>0</v>
      </c>
      <c r="AD1313" s="84">
        <v>0</v>
      </c>
      <c r="AE1313" s="84">
        <v>0</v>
      </c>
      <c r="AF1313" s="84">
        <v>0</v>
      </c>
      <c r="AG1313" s="84">
        <v>0</v>
      </c>
      <c r="AH1313" s="84">
        <v>1</v>
      </c>
      <c r="AI1313" s="84">
        <v>1</v>
      </c>
      <c r="AJ1313" s="84">
        <v>1</v>
      </c>
      <c r="AK1313" s="84">
        <v>1</v>
      </c>
      <c r="AL1313" s="84" cm="1">
        <f t="array" ref="AL13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3" s="84" cm="1">
        <f t="array" ref="AM13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3" s="84" cm="1">
        <f t="array" ref="AN13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3" s="84" cm="1">
        <f t="array" ref="AO13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3" s="84" cm="1">
        <f t="array" ref="AP13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3" s="84" cm="1">
        <f t="array" ref="AQ13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3" s="84" cm="1">
        <f t="array" ref="AR13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3" s="84" cm="1">
        <f t="array" ref="AS13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3" s="84" cm="1">
        <f t="array" ref="AT13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3" s="84" cm="1">
        <f t="array" ref="AU13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3" s="84" cm="1">
        <f t="array" ref="AV13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3" s="84" cm="1">
        <f t="array" ref="AW13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3" s="84" cm="1">
        <f t="array" ref="AX13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3" s="84" cm="1">
        <f t="array" ref="AY13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13" s="84" cm="1">
        <f t="array" ref="AZ13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13" s="84" cm="1">
        <f t="array" ref="BA13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13" s="84" cm="1">
        <f t="array" ref="BB13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13" s="84">
        <f>IF(SUM(Table3[[#This Row],[Column2]:[Column18]])&gt;Table3[[#This Row],[Column19]],Table3[[#This Row],[Column19]],SUM(Table3[[#This Row],[Column2]:[Column18]]))</f>
        <v>10000</v>
      </c>
      <c r="BD1313" s="2">
        <f>Table3[[#This Row],[Total Spend]]/SUM(Table3[[#This Row],[Column2]:[Column18]])</f>
        <v>0.18365472910927455</v>
      </c>
    </row>
    <row r="1314" spans="1:56">
      <c r="A1314" s="84" t="s">
        <v>1389</v>
      </c>
      <c r="B1314" s="84" t="s">
        <v>57</v>
      </c>
      <c r="C1314" s="84" t="s">
        <v>57</v>
      </c>
      <c r="D1314" s="85">
        <v>45566</v>
      </c>
      <c r="E1314" s="85" t="s">
        <v>92</v>
      </c>
      <c r="F1314" s="84">
        <f>INDEX(Definitions!$G$13:$G$17,MATCH(Table3[[#This Row],[Propensity to buy/ buyer readiness]],Definitions!$A$13:$A$17,0))</f>
        <v>10000</v>
      </c>
      <c r="G1314" s="86">
        <v>3</v>
      </c>
      <c r="H1314" s="86">
        <v>3</v>
      </c>
      <c r="I1314" s="86">
        <v>4</v>
      </c>
      <c r="J1314" s="86">
        <v>3</v>
      </c>
      <c r="K1314" s="86">
        <v>2</v>
      </c>
      <c r="L1314" s="86">
        <f>SUM(Table3[[#This Row],[Strategic priority segment]:[Propensity to buy/ buyer readiness]])</f>
        <v>15</v>
      </c>
      <c r="M1314" s="86" t="s">
        <v>191</v>
      </c>
      <c r="N1314" s="84" t="s">
        <v>135</v>
      </c>
      <c r="O1314" s="84" t="s">
        <v>153</v>
      </c>
      <c r="P1314" s="87"/>
      <c r="Q1314" s="87"/>
      <c r="R1314" s="84"/>
      <c r="S1314" s="84"/>
      <c r="T1314" s="84"/>
      <c r="U1314" s="84">
        <v>1</v>
      </c>
      <c r="V1314" s="84">
        <v>0</v>
      </c>
      <c r="W1314" s="84">
        <v>0</v>
      </c>
      <c r="X1314" s="84">
        <v>0</v>
      </c>
      <c r="Y1314" s="84">
        <v>0</v>
      </c>
      <c r="Z1314" s="84">
        <v>0</v>
      </c>
      <c r="AA1314" s="84">
        <v>0</v>
      </c>
      <c r="AB1314" s="84">
        <v>0</v>
      </c>
      <c r="AC1314" s="84">
        <v>0</v>
      </c>
      <c r="AD1314" s="84">
        <v>0</v>
      </c>
      <c r="AE1314" s="84">
        <v>0</v>
      </c>
      <c r="AF1314" s="84">
        <v>0</v>
      </c>
      <c r="AG1314" s="84">
        <v>0</v>
      </c>
      <c r="AH1314" s="84">
        <v>1</v>
      </c>
      <c r="AI1314" s="84">
        <v>1</v>
      </c>
      <c r="AJ1314" s="84">
        <v>1</v>
      </c>
      <c r="AK1314" s="84">
        <v>1</v>
      </c>
      <c r="AL1314" s="84" cm="1">
        <f t="array" ref="AL13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4" s="84" cm="1">
        <f t="array" ref="AM13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4" s="84" cm="1">
        <f t="array" ref="AN13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4" s="84" cm="1">
        <f t="array" ref="AO13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4" s="84" cm="1">
        <f t="array" ref="AP13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4" s="84" cm="1">
        <f t="array" ref="AQ13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4" s="84" cm="1">
        <f t="array" ref="AR13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4" s="84" cm="1">
        <f t="array" ref="AS13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4" s="84" cm="1">
        <f t="array" ref="AT13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4" s="84" cm="1">
        <f t="array" ref="AU13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4" s="84" cm="1">
        <f t="array" ref="AV13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4" s="84" cm="1">
        <f t="array" ref="AW13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4" s="84" cm="1">
        <f t="array" ref="AX13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4" s="84" cm="1">
        <f t="array" ref="AY13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14" s="84" cm="1">
        <f t="array" ref="AZ13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14" s="84" cm="1">
        <f t="array" ref="BA13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14" s="84" cm="1">
        <f t="array" ref="BB13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14" s="84">
        <f>IF(SUM(Table3[[#This Row],[Column2]:[Column18]])&gt;Table3[[#This Row],[Column19]],Table3[[#This Row],[Column19]],SUM(Table3[[#This Row],[Column2]:[Column18]]))</f>
        <v>10000</v>
      </c>
      <c r="BD1314" s="2">
        <f>Table3[[#This Row],[Total Spend]]/SUM(Table3[[#This Row],[Column2]:[Column18]])</f>
        <v>0.18365472910927455</v>
      </c>
    </row>
    <row r="1315" spans="1:56">
      <c r="A1315" s="84" t="s">
        <v>1390</v>
      </c>
      <c r="B1315" s="84"/>
      <c r="C1315" s="84"/>
      <c r="D1315" s="85">
        <v>45566</v>
      </c>
      <c r="E1315" s="85" t="s">
        <v>58</v>
      </c>
      <c r="F1315" s="84">
        <f>INDEX(Definitions!$G$13:$G$17,MATCH(Table3[[#This Row],[Propensity to buy/ buyer readiness]],Definitions!$A$13:$A$17,0))</f>
        <v>50000</v>
      </c>
      <c r="G1315" s="86">
        <v>3</v>
      </c>
      <c r="H1315" s="86">
        <v>3</v>
      </c>
      <c r="I1315" s="86">
        <v>3</v>
      </c>
      <c r="J1315" s="86">
        <v>3</v>
      </c>
      <c r="K1315" s="86">
        <v>3</v>
      </c>
      <c r="L1315" s="86">
        <f>SUM(Table3[[#This Row],[Strategic priority segment]:[Propensity to buy/ buyer readiness]])</f>
        <v>15</v>
      </c>
      <c r="M1315" s="86" t="s">
        <v>152</v>
      </c>
      <c r="N1315" s="84" t="s">
        <v>130</v>
      </c>
      <c r="O1315" s="84"/>
      <c r="P1315" s="84"/>
      <c r="Q1315" s="84"/>
      <c r="R1315" s="84"/>
      <c r="S1315" s="84"/>
      <c r="T1315" s="87"/>
      <c r="U1315" s="84">
        <v>1</v>
      </c>
      <c r="V1315" s="84">
        <v>0</v>
      </c>
      <c r="W1315" s="84">
        <v>0</v>
      </c>
      <c r="X1315" s="84">
        <v>0</v>
      </c>
      <c r="Y1315" s="84">
        <v>0</v>
      </c>
      <c r="Z1315" s="84">
        <v>0</v>
      </c>
      <c r="AA1315" s="84">
        <v>0</v>
      </c>
      <c r="AB1315" s="84">
        <v>0</v>
      </c>
      <c r="AC1315" s="84">
        <v>0</v>
      </c>
      <c r="AD1315" s="84">
        <v>0</v>
      </c>
      <c r="AE1315" s="84">
        <v>0</v>
      </c>
      <c r="AF1315" s="84">
        <v>0</v>
      </c>
      <c r="AG1315" s="84">
        <v>0</v>
      </c>
      <c r="AH1315" s="84">
        <v>0</v>
      </c>
      <c r="AI1315" s="84">
        <v>0</v>
      </c>
      <c r="AJ1315" s="84">
        <v>0</v>
      </c>
      <c r="AK1315" s="84">
        <v>0</v>
      </c>
      <c r="AL1315" s="84" cm="1">
        <f t="array" ref="AL13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15" s="84" cm="1">
        <f t="array" ref="AM13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5" s="84" cm="1">
        <f t="array" ref="AN13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5" s="84" cm="1">
        <f t="array" ref="AO13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5" s="84" cm="1">
        <f t="array" ref="AP13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5" s="84" cm="1">
        <f t="array" ref="AQ13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5" s="84" cm="1">
        <f t="array" ref="AR13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5" s="84" cm="1">
        <f t="array" ref="AS13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5" s="84" cm="1">
        <f t="array" ref="AT13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5" s="84" cm="1">
        <f t="array" ref="AU13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5" s="84" cm="1">
        <f t="array" ref="AV13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5" s="84" cm="1">
        <f t="array" ref="AW13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5" s="84" cm="1">
        <f t="array" ref="AX13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5" s="84" cm="1">
        <f t="array" ref="AY13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15" s="84" cm="1">
        <f t="array" ref="AZ13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15" s="84" cm="1">
        <f t="array" ref="BA13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15" s="84" cm="1">
        <f t="array" ref="BB13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15" s="84">
        <f>IF(SUM(Table3[[#This Row],[Column2]:[Column18]])&gt;Table3[[#This Row],[Column19]],Table3[[#This Row],[Column19]],SUM(Table3[[#This Row],[Column2]:[Column18]]))</f>
        <v>10800</v>
      </c>
      <c r="BD1315" s="2">
        <f>Table3[[#This Row],[Total Spend]]/SUM(Table3[[#This Row],[Column2]:[Column18]])</f>
        <v>1</v>
      </c>
    </row>
    <row r="1316" spans="1:56">
      <c r="A1316" s="84" t="s">
        <v>1391</v>
      </c>
      <c r="B1316" s="84"/>
      <c r="C1316" s="84"/>
      <c r="D1316" s="85">
        <v>45566</v>
      </c>
      <c r="E1316" s="85" t="s">
        <v>58</v>
      </c>
      <c r="F1316" s="84">
        <f>INDEX(Definitions!$G$13:$G$17,MATCH(Table3[[#This Row],[Propensity to buy/ buyer readiness]],Definitions!$A$13:$A$17,0))</f>
        <v>150000</v>
      </c>
      <c r="G1316" s="86">
        <v>3</v>
      </c>
      <c r="H1316" s="86">
        <v>3</v>
      </c>
      <c r="I1316" s="86">
        <v>2</v>
      </c>
      <c r="J1316" s="86">
        <v>3</v>
      </c>
      <c r="K1316" s="86">
        <v>4</v>
      </c>
      <c r="L1316" s="86">
        <f>SUM(Table3[[#This Row],[Strategic priority segment]:[Propensity to buy/ buyer readiness]])</f>
        <v>15</v>
      </c>
      <c r="M1316" s="86" t="s">
        <v>152</v>
      </c>
      <c r="N1316" s="84" t="s">
        <v>122</v>
      </c>
      <c r="O1316" s="84"/>
      <c r="P1316" s="87"/>
      <c r="Q1316" s="87"/>
      <c r="R1316" s="84"/>
      <c r="S1316" s="87"/>
      <c r="T1316" s="84"/>
      <c r="U1316" s="84">
        <v>1</v>
      </c>
      <c r="V1316" s="84">
        <v>0</v>
      </c>
      <c r="W1316" s="84">
        <v>0</v>
      </c>
      <c r="X1316" s="84">
        <v>0</v>
      </c>
      <c r="Y1316" s="84">
        <v>0</v>
      </c>
      <c r="Z1316" s="84">
        <v>1</v>
      </c>
      <c r="AA1316" s="84">
        <v>0</v>
      </c>
      <c r="AB1316" s="84">
        <v>1</v>
      </c>
      <c r="AC1316" s="84">
        <v>0</v>
      </c>
      <c r="AD1316" s="84">
        <v>1</v>
      </c>
      <c r="AE1316" s="84">
        <v>0</v>
      </c>
      <c r="AF1316" s="84">
        <v>1</v>
      </c>
      <c r="AG1316" s="84">
        <v>0</v>
      </c>
      <c r="AH1316" s="84">
        <v>0</v>
      </c>
      <c r="AI1316" s="84">
        <v>0</v>
      </c>
      <c r="AJ1316" s="84">
        <v>0</v>
      </c>
      <c r="AK1316" s="84">
        <v>0</v>
      </c>
      <c r="AL1316" s="84" cm="1">
        <f t="array" ref="AL13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16" s="84" cm="1">
        <f t="array" ref="AM13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6" s="84" cm="1">
        <f t="array" ref="AN13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6" s="84" cm="1">
        <f t="array" ref="AO13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6" s="84" cm="1">
        <f t="array" ref="AP13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6" s="84" cm="1">
        <f t="array" ref="AQ13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23400</v>
      </c>
      <c r="AR1316" s="84" cm="1">
        <f t="array" ref="AR13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6" s="84" cm="1">
        <f t="array" ref="AS13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59400</v>
      </c>
      <c r="AT1316" s="84" cm="1">
        <f t="array" ref="AT13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6" s="84" cm="1">
        <f t="array" ref="AU13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29700</v>
      </c>
      <c r="AV1316" s="84" cm="1">
        <f t="array" ref="AV13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6" s="84" cm="1">
        <f t="array" ref="AW13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44100</v>
      </c>
      <c r="AX1316" s="84" cm="1">
        <f t="array" ref="AX13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6" s="84" cm="1">
        <f t="array" ref="AY13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16" s="84" cm="1">
        <f t="array" ref="AZ13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16" s="84" cm="1">
        <f t="array" ref="BA13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16" s="84" cm="1">
        <f t="array" ref="BB13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16" s="84">
        <f>IF(SUM(Table3[[#This Row],[Column2]:[Column18]])&gt;Table3[[#This Row],[Column19]],Table3[[#This Row],[Column19]],SUM(Table3[[#This Row],[Column2]:[Column18]]))</f>
        <v>150000</v>
      </c>
      <c r="BD1316" s="2">
        <f>Table3[[#This Row],[Total Spend]]/SUM(Table3[[#This Row],[Column2]:[Column18]])</f>
        <v>0.89605734767025091</v>
      </c>
    </row>
    <row r="1317" spans="1:56">
      <c r="A1317" s="84" t="s">
        <v>1392</v>
      </c>
      <c r="B1317" s="84" t="s">
        <v>57</v>
      </c>
      <c r="C1317" s="84"/>
      <c r="D1317" s="85">
        <v>45566</v>
      </c>
      <c r="E1317" s="85" t="s">
        <v>92</v>
      </c>
      <c r="F1317" s="84">
        <f>INDEX(Definitions!$G$13:$G$17,MATCH(Table3[[#This Row],[Propensity to buy/ buyer readiness]],Definitions!$A$13:$A$17,0))</f>
        <v>10000</v>
      </c>
      <c r="G1317" s="86">
        <v>3</v>
      </c>
      <c r="H1317" s="86">
        <v>3</v>
      </c>
      <c r="I1317" s="86">
        <v>4</v>
      </c>
      <c r="J1317" s="86">
        <v>3</v>
      </c>
      <c r="K1317" s="86">
        <v>2</v>
      </c>
      <c r="L1317" s="86">
        <f>SUM(Table3[[#This Row],[Strategic priority segment]:[Propensity to buy/ buyer readiness]])</f>
        <v>15</v>
      </c>
      <c r="M1317" s="86" t="s">
        <v>152</v>
      </c>
      <c r="N1317" s="84" t="s">
        <v>264</v>
      </c>
      <c r="O1317" s="84"/>
      <c r="P1317" s="87"/>
      <c r="Q1317" s="87"/>
      <c r="R1317" s="84"/>
      <c r="S1317" s="84"/>
      <c r="T1317" s="84"/>
      <c r="U1317" s="84">
        <v>1</v>
      </c>
      <c r="V1317" s="84">
        <v>0</v>
      </c>
      <c r="W1317" s="84">
        <v>0</v>
      </c>
      <c r="X1317" s="84">
        <v>0</v>
      </c>
      <c r="Y1317" s="84">
        <v>0</v>
      </c>
      <c r="Z1317" s="84">
        <v>0</v>
      </c>
      <c r="AA1317" s="84">
        <v>0</v>
      </c>
      <c r="AB1317" s="84">
        <v>0</v>
      </c>
      <c r="AC1317" s="84">
        <v>0</v>
      </c>
      <c r="AD1317" s="84">
        <v>0</v>
      </c>
      <c r="AE1317" s="84">
        <v>0</v>
      </c>
      <c r="AF1317" s="84">
        <v>0</v>
      </c>
      <c r="AG1317" s="84">
        <v>0</v>
      </c>
      <c r="AH1317" s="84">
        <v>0</v>
      </c>
      <c r="AI1317" s="84">
        <v>0</v>
      </c>
      <c r="AJ1317" s="84">
        <v>0</v>
      </c>
      <c r="AK1317" s="84">
        <v>0</v>
      </c>
      <c r="AL1317" s="84" cm="1">
        <f t="array" ref="AL13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7" s="84" cm="1">
        <f t="array" ref="AM13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7" s="84" cm="1">
        <f t="array" ref="AN13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7" s="84" cm="1">
        <f t="array" ref="AO13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7" s="84" cm="1">
        <f t="array" ref="AP13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7" s="84" cm="1">
        <f t="array" ref="AQ13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7" s="84" cm="1">
        <f t="array" ref="AR13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7" s="84" cm="1">
        <f t="array" ref="AS13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7" s="84" cm="1">
        <f t="array" ref="AT13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7" s="84" cm="1">
        <f t="array" ref="AU13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7" s="84" cm="1">
        <f t="array" ref="AV13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7" s="84" cm="1">
        <f t="array" ref="AW13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7" s="84" cm="1">
        <f t="array" ref="AX13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7" s="84" cm="1">
        <f t="array" ref="AY13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17" s="84" cm="1">
        <f t="array" ref="AZ13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17" s="84" cm="1">
        <f t="array" ref="BA13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17" s="84" cm="1">
        <f t="array" ref="BB13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17" s="84">
        <f>IF(SUM(Table3[[#This Row],[Column2]:[Column18]])&gt;Table3[[#This Row],[Column19]],Table3[[#This Row],[Column19]],SUM(Table3[[#This Row],[Column2]:[Column18]]))</f>
        <v>8100</v>
      </c>
      <c r="BD1317" s="2">
        <f>Table3[[#This Row],[Total Spend]]/SUM(Table3[[#This Row],[Column2]:[Column18]])</f>
        <v>1</v>
      </c>
    </row>
    <row r="1318" spans="1:56">
      <c r="A1318" s="84" t="s">
        <v>1393</v>
      </c>
      <c r="B1318" s="84" t="s">
        <v>57</v>
      </c>
      <c r="C1318" s="84"/>
      <c r="D1318" s="85">
        <v>45566</v>
      </c>
      <c r="E1318" s="85" t="s">
        <v>92</v>
      </c>
      <c r="F1318" s="84">
        <f>INDEX(Definitions!$G$13:$G$17,MATCH(Table3[[#This Row],[Propensity to buy/ buyer readiness]],Definitions!$A$13:$A$17,0))</f>
        <v>10000</v>
      </c>
      <c r="G1318" s="86">
        <v>3</v>
      </c>
      <c r="H1318" s="86">
        <v>3</v>
      </c>
      <c r="I1318" s="86">
        <v>4</v>
      </c>
      <c r="J1318" s="86">
        <v>3</v>
      </c>
      <c r="K1318" s="86">
        <v>2</v>
      </c>
      <c r="L1318" s="86">
        <f>SUM(Table3[[#This Row],[Strategic priority segment]:[Propensity to buy/ buyer readiness]])</f>
        <v>15</v>
      </c>
      <c r="M1318" s="86" t="s">
        <v>152</v>
      </c>
      <c r="N1318" s="84" t="s">
        <v>264</v>
      </c>
      <c r="O1318" s="84"/>
      <c r="P1318" s="87"/>
      <c r="Q1318" s="87"/>
      <c r="R1318" s="84"/>
      <c r="S1318" s="84"/>
      <c r="T1318" s="84"/>
      <c r="U1318" s="84">
        <v>1</v>
      </c>
      <c r="V1318" s="84">
        <v>0</v>
      </c>
      <c r="W1318" s="84">
        <v>0</v>
      </c>
      <c r="X1318" s="84">
        <v>0</v>
      </c>
      <c r="Y1318" s="84">
        <v>0</v>
      </c>
      <c r="Z1318" s="84">
        <v>0</v>
      </c>
      <c r="AA1318" s="84">
        <v>0</v>
      </c>
      <c r="AB1318" s="84">
        <v>0</v>
      </c>
      <c r="AC1318" s="84">
        <v>0</v>
      </c>
      <c r="AD1318" s="84">
        <v>0</v>
      </c>
      <c r="AE1318" s="84">
        <v>0</v>
      </c>
      <c r="AF1318" s="84">
        <v>0</v>
      </c>
      <c r="AG1318" s="84">
        <v>0</v>
      </c>
      <c r="AH1318" s="84">
        <v>0</v>
      </c>
      <c r="AI1318" s="84">
        <v>0</v>
      </c>
      <c r="AJ1318" s="84">
        <v>0</v>
      </c>
      <c r="AK1318" s="84">
        <v>0</v>
      </c>
      <c r="AL1318" s="84" cm="1">
        <f t="array" ref="AL13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8" s="84" cm="1">
        <f t="array" ref="AM13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8" s="84" cm="1">
        <f t="array" ref="AN13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8" s="84" cm="1">
        <f t="array" ref="AO13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8" s="84" cm="1">
        <f t="array" ref="AP13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8" s="84" cm="1">
        <f t="array" ref="AQ13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8" s="84" cm="1">
        <f t="array" ref="AR13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8" s="84" cm="1">
        <f t="array" ref="AS13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8" s="84" cm="1">
        <f t="array" ref="AT13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8" s="84" cm="1">
        <f t="array" ref="AU13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8" s="84" cm="1">
        <f t="array" ref="AV13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8" s="84" cm="1">
        <f t="array" ref="AW13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8" s="84" cm="1">
        <f t="array" ref="AX13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8" s="84" cm="1">
        <f t="array" ref="AY13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18" s="84" cm="1">
        <f t="array" ref="AZ13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18" s="84" cm="1">
        <f t="array" ref="BA13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18" s="84" cm="1">
        <f t="array" ref="BB13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18" s="84">
        <f>IF(SUM(Table3[[#This Row],[Column2]:[Column18]])&gt;Table3[[#This Row],[Column19]],Table3[[#This Row],[Column19]],SUM(Table3[[#This Row],[Column2]:[Column18]]))</f>
        <v>8100</v>
      </c>
      <c r="BD1318" s="2">
        <f>Table3[[#This Row],[Total Spend]]/SUM(Table3[[#This Row],[Column2]:[Column18]])</f>
        <v>1</v>
      </c>
    </row>
    <row r="1319" spans="1:56">
      <c r="A1319" s="84" t="s">
        <v>1394</v>
      </c>
      <c r="B1319" s="84" t="s">
        <v>57</v>
      </c>
      <c r="C1319" s="84"/>
      <c r="D1319" s="85">
        <v>45566</v>
      </c>
      <c r="E1319" s="85" t="s">
        <v>92</v>
      </c>
      <c r="F1319" s="84">
        <f>INDEX(Definitions!$G$13:$G$17,MATCH(Table3[[#This Row],[Propensity to buy/ buyer readiness]],Definitions!$A$13:$A$17,0))</f>
        <v>10000</v>
      </c>
      <c r="G1319" s="86">
        <v>3</v>
      </c>
      <c r="H1319" s="86">
        <v>3</v>
      </c>
      <c r="I1319" s="86">
        <v>4</v>
      </c>
      <c r="J1319" s="86">
        <v>3</v>
      </c>
      <c r="K1319" s="86">
        <v>2</v>
      </c>
      <c r="L1319" s="86">
        <f>SUM(Table3[[#This Row],[Strategic priority segment]:[Propensity to buy/ buyer readiness]])</f>
        <v>15</v>
      </c>
      <c r="M1319" s="86" t="s">
        <v>191</v>
      </c>
      <c r="N1319" s="84" t="s">
        <v>135</v>
      </c>
      <c r="O1319" s="84" t="s">
        <v>153</v>
      </c>
      <c r="P1319" s="87"/>
      <c r="Q1319" s="87"/>
      <c r="R1319" s="84"/>
      <c r="S1319" s="84"/>
      <c r="T1319" s="87"/>
      <c r="U1319" s="84">
        <v>1</v>
      </c>
      <c r="V1319" s="84">
        <v>0</v>
      </c>
      <c r="W1319" s="84">
        <v>0</v>
      </c>
      <c r="X1319" s="84">
        <v>0</v>
      </c>
      <c r="Y1319" s="84">
        <v>0</v>
      </c>
      <c r="Z1319" s="84">
        <v>0</v>
      </c>
      <c r="AA1319" s="84">
        <v>0</v>
      </c>
      <c r="AB1319" s="84">
        <v>0</v>
      </c>
      <c r="AC1319" s="84">
        <v>0</v>
      </c>
      <c r="AD1319" s="84">
        <v>0</v>
      </c>
      <c r="AE1319" s="84">
        <v>0</v>
      </c>
      <c r="AF1319" s="84">
        <v>0</v>
      </c>
      <c r="AG1319" s="84">
        <v>0</v>
      </c>
      <c r="AH1319" s="84">
        <v>1</v>
      </c>
      <c r="AI1319" s="84">
        <v>1</v>
      </c>
      <c r="AJ1319" s="84">
        <v>1</v>
      </c>
      <c r="AK1319" s="84">
        <v>1</v>
      </c>
      <c r="AL1319" s="84" cm="1">
        <f t="array" ref="AL13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19" s="84" cm="1">
        <f t="array" ref="AM13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19" s="84" cm="1">
        <f t="array" ref="AN13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19" s="84" cm="1">
        <f t="array" ref="AO13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19" s="84" cm="1">
        <f t="array" ref="AP13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19" s="84" cm="1">
        <f t="array" ref="AQ13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19" s="84" cm="1">
        <f t="array" ref="AR13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19" s="84" cm="1">
        <f t="array" ref="AS13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19" s="84" cm="1">
        <f t="array" ref="AT13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19" s="84" cm="1">
        <f t="array" ref="AU13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19" s="84" cm="1">
        <f t="array" ref="AV13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19" s="84" cm="1">
        <f t="array" ref="AW13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19" s="84" cm="1">
        <f t="array" ref="AX13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19" s="84" cm="1">
        <f t="array" ref="AY13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19" s="84" cm="1">
        <f t="array" ref="AZ13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19" s="84" cm="1">
        <f t="array" ref="BA13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19" s="84" cm="1">
        <f t="array" ref="BB13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19" s="84">
        <f>IF(SUM(Table3[[#This Row],[Column2]:[Column18]])&gt;Table3[[#This Row],[Column19]],Table3[[#This Row],[Column19]],SUM(Table3[[#This Row],[Column2]:[Column18]]))</f>
        <v>10000</v>
      </c>
      <c r="BD1319" s="2">
        <f>Table3[[#This Row],[Total Spend]]/SUM(Table3[[#This Row],[Column2]:[Column18]])</f>
        <v>0.18365472910927455</v>
      </c>
    </row>
    <row r="1320" spans="1:56">
      <c r="A1320" s="84" t="s">
        <v>1395</v>
      </c>
      <c r="B1320" s="84" t="s">
        <v>57</v>
      </c>
      <c r="C1320" s="84"/>
      <c r="D1320" s="85">
        <v>45566</v>
      </c>
      <c r="E1320" s="85" t="s">
        <v>92</v>
      </c>
      <c r="F1320" s="84">
        <f>INDEX(Definitions!$G$13:$G$17,MATCH(Table3[[#This Row],[Propensity to buy/ buyer readiness]],Definitions!$A$13:$A$17,0))</f>
        <v>50000</v>
      </c>
      <c r="G1320" s="86">
        <v>3</v>
      </c>
      <c r="H1320" s="86">
        <v>3</v>
      </c>
      <c r="I1320" s="86">
        <v>3</v>
      </c>
      <c r="J1320" s="86">
        <v>3</v>
      </c>
      <c r="K1320" s="86">
        <v>3</v>
      </c>
      <c r="L1320" s="86">
        <f>SUM(Table3[[#This Row],[Strategic priority segment]:[Propensity to buy/ buyer readiness]])</f>
        <v>15</v>
      </c>
      <c r="M1320" s="86" t="s">
        <v>152</v>
      </c>
      <c r="N1320" s="84" t="s">
        <v>153</v>
      </c>
      <c r="O1320" s="84"/>
      <c r="P1320" s="87"/>
      <c r="Q1320" s="87"/>
      <c r="R1320" s="84"/>
      <c r="S1320" s="84"/>
      <c r="T1320" s="87"/>
      <c r="U1320" s="84">
        <v>1</v>
      </c>
      <c r="V1320" s="84">
        <v>0</v>
      </c>
      <c r="W1320" s="84">
        <v>0</v>
      </c>
      <c r="X1320" s="84">
        <v>0</v>
      </c>
      <c r="Y1320" s="84">
        <v>0</v>
      </c>
      <c r="Z1320" s="84">
        <v>0</v>
      </c>
      <c r="AA1320" s="84">
        <v>0</v>
      </c>
      <c r="AB1320" s="84">
        <v>0</v>
      </c>
      <c r="AC1320" s="84">
        <v>0</v>
      </c>
      <c r="AD1320" s="84">
        <v>0</v>
      </c>
      <c r="AE1320" s="84">
        <v>0</v>
      </c>
      <c r="AF1320" s="84">
        <v>0</v>
      </c>
      <c r="AG1320" s="84">
        <v>0</v>
      </c>
      <c r="AH1320" s="84">
        <v>0</v>
      </c>
      <c r="AI1320" s="84">
        <v>0</v>
      </c>
      <c r="AJ1320" s="84">
        <v>0</v>
      </c>
      <c r="AK1320" s="84">
        <v>0</v>
      </c>
      <c r="AL1320" s="84" cm="1">
        <f t="array" ref="AL13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20" s="84" cm="1">
        <f t="array" ref="AM13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0" s="84" cm="1">
        <f t="array" ref="AN13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0" s="84" cm="1">
        <f t="array" ref="AO13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0" s="84" cm="1">
        <f t="array" ref="AP13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0" s="84" cm="1">
        <f t="array" ref="AQ13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0" s="84" cm="1">
        <f t="array" ref="AR13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0" s="84" cm="1">
        <f t="array" ref="AS13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0" s="84" cm="1">
        <f t="array" ref="AT13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0" s="84" cm="1">
        <f t="array" ref="AU13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0" s="84" cm="1">
        <f t="array" ref="AV13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0" s="84" cm="1">
        <f t="array" ref="AW13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0" s="84" cm="1">
        <f t="array" ref="AX13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0" s="84" cm="1">
        <f t="array" ref="AY13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0" s="84" cm="1">
        <f t="array" ref="AZ13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0" s="84" cm="1">
        <f t="array" ref="BA13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0" s="84" cm="1">
        <f t="array" ref="BB13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0" s="84">
        <f>IF(SUM(Table3[[#This Row],[Column2]:[Column18]])&gt;Table3[[#This Row],[Column19]],Table3[[#This Row],[Column19]],SUM(Table3[[#This Row],[Column2]:[Column18]]))</f>
        <v>8100</v>
      </c>
      <c r="BD1320" s="2">
        <f>Table3[[#This Row],[Total Spend]]/SUM(Table3[[#This Row],[Column2]:[Column18]])</f>
        <v>1</v>
      </c>
    </row>
    <row r="1321" spans="1:56">
      <c r="A1321" s="84" t="s">
        <v>1396</v>
      </c>
      <c r="B1321" s="84"/>
      <c r="C1321" s="84"/>
      <c r="D1321" s="85">
        <v>45566</v>
      </c>
      <c r="E1321" s="85" t="s">
        <v>92</v>
      </c>
      <c r="F1321" s="84">
        <f>INDEX(Definitions!$G$13:$G$17,MATCH(Table3[[#This Row],[Propensity to buy/ buyer readiness]],Definitions!$A$13:$A$17,0))</f>
        <v>50000</v>
      </c>
      <c r="G1321" s="86">
        <v>3</v>
      </c>
      <c r="H1321" s="86">
        <v>3</v>
      </c>
      <c r="I1321" s="86">
        <v>3</v>
      </c>
      <c r="J1321" s="86">
        <v>3</v>
      </c>
      <c r="K1321" s="86">
        <v>3</v>
      </c>
      <c r="L1321" s="86">
        <f>SUM(Table3[[#This Row],[Strategic priority segment]:[Propensity to buy/ buyer readiness]])</f>
        <v>15</v>
      </c>
      <c r="M1321" s="86" t="s">
        <v>191</v>
      </c>
      <c r="N1321" s="84" t="s">
        <v>76</v>
      </c>
      <c r="O1321" s="84"/>
      <c r="P1321" s="87"/>
      <c r="Q1321" s="87"/>
      <c r="R1321" s="84"/>
      <c r="S1321" s="87"/>
      <c r="T1321" s="87"/>
      <c r="U1321" s="84">
        <v>0</v>
      </c>
      <c r="V1321" s="84">
        <v>0</v>
      </c>
      <c r="W1321" s="84">
        <v>0</v>
      </c>
      <c r="X1321" s="84">
        <v>0</v>
      </c>
      <c r="Y1321" s="84">
        <v>0</v>
      </c>
      <c r="Z1321" s="84">
        <v>0</v>
      </c>
      <c r="AA1321" s="84">
        <v>0</v>
      </c>
      <c r="AB1321" s="84">
        <v>0</v>
      </c>
      <c r="AC1321" s="84">
        <v>0</v>
      </c>
      <c r="AD1321" s="84">
        <v>0</v>
      </c>
      <c r="AE1321" s="84">
        <v>0</v>
      </c>
      <c r="AF1321" s="84">
        <v>0</v>
      </c>
      <c r="AG1321" s="84">
        <v>0</v>
      </c>
      <c r="AH1321" s="84">
        <v>1</v>
      </c>
      <c r="AI1321" s="84">
        <v>0</v>
      </c>
      <c r="AJ1321" s="84">
        <v>1</v>
      </c>
      <c r="AK1321" s="84">
        <v>0</v>
      </c>
      <c r="AL1321" s="84" cm="1">
        <f t="array" ref="AL13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21" s="84" cm="1">
        <f t="array" ref="AM13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1" s="84" cm="1">
        <f t="array" ref="AN13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1" s="84" cm="1">
        <f t="array" ref="AO13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1" s="84" cm="1">
        <f t="array" ref="AP13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1" s="84" cm="1">
        <f t="array" ref="AQ13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1" s="84" cm="1">
        <f t="array" ref="AR13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1" s="84" cm="1">
        <f t="array" ref="AS13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1" s="84" cm="1">
        <f t="array" ref="AT13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1" s="84" cm="1">
        <f t="array" ref="AU13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1" s="84" cm="1">
        <f t="array" ref="AV13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1" s="84" cm="1">
        <f t="array" ref="AW13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1" s="84" cm="1">
        <f t="array" ref="AX13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1" s="84" cm="1">
        <f t="array" ref="AY13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21" s="84" cm="1">
        <f t="array" ref="AZ13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1" s="84" cm="1">
        <f t="array" ref="BA13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21" s="84" cm="1">
        <f t="array" ref="BB13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1" s="84">
        <f>IF(SUM(Table3[[#This Row],[Column2]:[Column18]])&gt;Table3[[#This Row],[Column19]],Table3[[#This Row],[Column19]],SUM(Table3[[#This Row],[Column2]:[Column18]]))</f>
        <v>30600</v>
      </c>
      <c r="BD1321" s="2">
        <f>Table3[[#This Row],[Total Spend]]/SUM(Table3[[#This Row],[Column2]:[Column18]])</f>
        <v>1</v>
      </c>
    </row>
    <row r="1322" spans="1:56">
      <c r="A1322" s="84" t="s">
        <v>1397</v>
      </c>
      <c r="B1322" s="84"/>
      <c r="C1322" s="84"/>
      <c r="D1322" s="85">
        <v>45566</v>
      </c>
      <c r="E1322" s="85" t="s">
        <v>92</v>
      </c>
      <c r="F1322" s="84">
        <f>INDEX(Definitions!$G$13:$G$17,MATCH(Table3[[#This Row],[Propensity to buy/ buyer readiness]],Definitions!$A$13:$A$17,0))</f>
        <v>50000</v>
      </c>
      <c r="G1322" s="86">
        <v>3</v>
      </c>
      <c r="H1322" s="86">
        <v>3</v>
      </c>
      <c r="I1322" s="86">
        <v>3</v>
      </c>
      <c r="J1322" s="86">
        <v>3</v>
      </c>
      <c r="K1322" s="86">
        <v>3</v>
      </c>
      <c r="L1322" s="86">
        <f>SUM(Table3[[#This Row],[Strategic priority segment]:[Propensity to buy/ buyer readiness]])</f>
        <v>15</v>
      </c>
      <c r="M1322" s="86" t="s">
        <v>152</v>
      </c>
      <c r="N1322" s="84" t="s">
        <v>122</v>
      </c>
      <c r="O1322" s="84" t="s">
        <v>76</v>
      </c>
      <c r="P1322" s="87"/>
      <c r="Q1322" s="87"/>
      <c r="R1322" s="84"/>
      <c r="S1322" s="87"/>
      <c r="T1322" s="87"/>
      <c r="U1322" s="84">
        <v>1</v>
      </c>
      <c r="V1322" s="84">
        <v>0</v>
      </c>
      <c r="W1322" s="84">
        <v>0</v>
      </c>
      <c r="X1322" s="84">
        <v>0</v>
      </c>
      <c r="Y1322" s="84">
        <v>0</v>
      </c>
      <c r="Z1322" s="84">
        <v>1</v>
      </c>
      <c r="AA1322" s="84">
        <v>0</v>
      </c>
      <c r="AB1322" s="84">
        <v>1</v>
      </c>
      <c r="AC1322" s="84">
        <v>0</v>
      </c>
      <c r="AD1322" s="84">
        <v>1</v>
      </c>
      <c r="AE1322" s="84">
        <v>0</v>
      </c>
      <c r="AF1322" s="84">
        <v>1</v>
      </c>
      <c r="AG1322" s="84">
        <v>0</v>
      </c>
      <c r="AH1322" s="84">
        <v>1</v>
      </c>
      <c r="AI1322" s="84">
        <v>0</v>
      </c>
      <c r="AJ1322" s="84">
        <v>1</v>
      </c>
      <c r="AK1322" s="84">
        <v>0</v>
      </c>
      <c r="AL1322" s="84" cm="1">
        <f t="array" ref="AL13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22" s="84" cm="1">
        <f t="array" ref="AM13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2" s="84" cm="1">
        <f t="array" ref="AN13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2" s="84" cm="1">
        <f t="array" ref="AO13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2" s="84" cm="1">
        <f t="array" ref="AP13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2" s="84" cm="1">
        <f t="array" ref="AQ13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22" s="84" cm="1">
        <f t="array" ref="AR13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2" s="84" cm="1">
        <f t="array" ref="AS13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22" s="84" cm="1">
        <f t="array" ref="AT13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2" s="84" cm="1">
        <f t="array" ref="AU13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22" s="84" cm="1">
        <f t="array" ref="AV13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2" s="84" cm="1">
        <f t="array" ref="AW13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22" s="84" cm="1">
        <f t="array" ref="AX13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2" s="84" cm="1">
        <f t="array" ref="AY13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22" s="84" cm="1">
        <f t="array" ref="AZ13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2" s="84" cm="1">
        <f t="array" ref="BA13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22" s="84" cm="1">
        <f t="array" ref="BB13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2" s="84">
        <f>IF(SUM(Table3[[#This Row],[Column2]:[Column18]])&gt;Table3[[#This Row],[Column19]],Table3[[#This Row],[Column19]],SUM(Table3[[#This Row],[Column2]:[Column18]]))</f>
        <v>50000</v>
      </c>
      <c r="BD1322" s="2">
        <f>Table3[[#This Row],[Total Spend]]/SUM(Table3[[#This Row],[Column2]:[Column18]])</f>
        <v>0.3306878306878307</v>
      </c>
    </row>
    <row r="1323" spans="1:56">
      <c r="A1323" s="84" t="s">
        <v>1398</v>
      </c>
      <c r="B1323" s="84"/>
      <c r="C1323" s="84"/>
      <c r="D1323" s="85">
        <v>45566</v>
      </c>
      <c r="E1323" s="85" t="s">
        <v>92</v>
      </c>
      <c r="F1323" s="84">
        <f>INDEX(Definitions!$G$13:$G$17,MATCH(Table3[[#This Row],[Propensity to buy/ buyer readiness]],Definitions!$A$13:$A$17,0))</f>
        <v>50000</v>
      </c>
      <c r="G1323" s="86">
        <v>3</v>
      </c>
      <c r="H1323" s="86">
        <v>2</v>
      </c>
      <c r="I1323" s="86">
        <v>3</v>
      </c>
      <c r="J1323" s="86">
        <v>3</v>
      </c>
      <c r="K1323" s="86">
        <v>3</v>
      </c>
      <c r="L1323" s="86">
        <f>SUM(Table3[[#This Row],[Strategic priority segment]:[Propensity to buy/ buyer readiness]])</f>
        <v>14</v>
      </c>
      <c r="M1323" s="86" t="s">
        <v>152</v>
      </c>
      <c r="N1323" s="84" t="s">
        <v>122</v>
      </c>
      <c r="O1323" s="87"/>
      <c r="P1323" s="87"/>
      <c r="Q1323" s="87"/>
      <c r="R1323" s="87"/>
      <c r="S1323" s="87"/>
      <c r="T1323" s="87"/>
      <c r="U1323" s="84">
        <v>1</v>
      </c>
      <c r="V1323" s="84">
        <v>0</v>
      </c>
      <c r="W1323" s="84">
        <v>0</v>
      </c>
      <c r="X1323" s="84">
        <v>0</v>
      </c>
      <c r="Y1323" s="84">
        <v>0</v>
      </c>
      <c r="Z1323" s="84">
        <v>1</v>
      </c>
      <c r="AA1323" s="84">
        <v>0</v>
      </c>
      <c r="AB1323" s="84">
        <v>1</v>
      </c>
      <c r="AC1323" s="84">
        <v>0</v>
      </c>
      <c r="AD1323" s="84">
        <v>1</v>
      </c>
      <c r="AE1323" s="84">
        <v>0</v>
      </c>
      <c r="AF1323" s="84">
        <v>1</v>
      </c>
      <c r="AG1323" s="84">
        <v>0</v>
      </c>
      <c r="AH1323" s="84">
        <v>0</v>
      </c>
      <c r="AI1323" s="84">
        <v>0</v>
      </c>
      <c r="AJ1323" s="84">
        <v>0</v>
      </c>
      <c r="AK1323" s="84">
        <v>0</v>
      </c>
      <c r="AL1323" s="84" cm="1">
        <f t="array" ref="AL13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23" s="84" cm="1">
        <f t="array" ref="AM13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3" s="84" cm="1">
        <f t="array" ref="AN13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3" s="84" cm="1">
        <f t="array" ref="AO13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3" s="84" cm="1">
        <f t="array" ref="AP13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3" s="84" cm="1">
        <f t="array" ref="AQ13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23" s="84" cm="1">
        <f t="array" ref="AR13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3" s="84" cm="1">
        <f t="array" ref="AS13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23" s="84" cm="1">
        <f t="array" ref="AT13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3" s="84" cm="1">
        <f t="array" ref="AU13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23" s="84" cm="1">
        <f t="array" ref="AV13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3" s="84" cm="1">
        <f t="array" ref="AW13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23" s="84" cm="1">
        <f t="array" ref="AX13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3" s="84" cm="1">
        <f t="array" ref="AY13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3" s="84" cm="1">
        <f t="array" ref="AZ13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3" s="84" cm="1">
        <f t="array" ref="BA13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3" s="84" cm="1">
        <f t="array" ref="BB13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3" s="84">
        <f>IF(SUM(Table3[[#This Row],[Column2]:[Column18]])&gt;Table3[[#This Row],[Column19]],Table3[[#This Row],[Column19]],SUM(Table3[[#This Row],[Column2]:[Column18]]))</f>
        <v>50000</v>
      </c>
      <c r="BD1323" s="2">
        <f>Table3[[#This Row],[Total Spend]]/SUM(Table3[[#This Row],[Column2]:[Column18]])</f>
        <v>0.41459369817578773</v>
      </c>
    </row>
    <row r="1324" spans="1:56">
      <c r="A1324" s="84" t="s">
        <v>1399</v>
      </c>
      <c r="B1324" s="84" t="s">
        <v>57</v>
      </c>
      <c r="C1324" s="84"/>
      <c r="D1324" s="85">
        <v>45566</v>
      </c>
      <c r="E1324" s="85" t="s">
        <v>58</v>
      </c>
      <c r="F1324" s="84">
        <f>INDEX(Definitions!$G$13:$G$17,MATCH(Table3[[#This Row],[Propensity to buy/ buyer readiness]],Definitions!$A$13:$A$17,0))</f>
        <v>50000</v>
      </c>
      <c r="G1324" s="86">
        <v>1</v>
      </c>
      <c r="H1324" s="86">
        <v>3</v>
      </c>
      <c r="I1324" s="86">
        <v>4</v>
      </c>
      <c r="J1324" s="86">
        <v>3</v>
      </c>
      <c r="K1324" s="86">
        <v>3</v>
      </c>
      <c r="L1324" s="86">
        <f>SUM(Table3[[#This Row],[Strategic priority segment]:[Propensity to buy/ buyer readiness]])</f>
        <v>14</v>
      </c>
      <c r="M1324" s="86" t="s">
        <v>152</v>
      </c>
      <c r="N1324" s="84" t="s">
        <v>264</v>
      </c>
      <c r="O1324" s="84"/>
      <c r="P1324" s="87"/>
      <c r="Q1324" s="87"/>
      <c r="R1324" s="84"/>
      <c r="S1324" s="87"/>
      <c r="T1324" s="87"/>
      <c r="U1324" s="84">
        <v>1</v>
      </c>
      <c r="V1324" s="84">
        <v>0</v>
      </c>
      <c r="W1324" s="84">
        <v>0</v>
      </c>
      <c r="X1324" s="84">
        <v>0</v>
      </c>
      <c r="Y1324" s="84">
        <v>0</v>
      </c>
      <c r="Z1324" s="84">
        <v>0</v>
      </c>
      <c r="AA1324" s="84">
        <v>0</v>
      </c>
      <c r="AB1324" s="84">
        <v>0</v>
      </c>
      <c r="AC1324" s="84">
        <v>0</v>
      </c>
      <c r="AD1324" s="84">
        <v>0</v>
      </c>
      <c r="AE1324" s="84">
        <v>0</v>
      </c>
      <c r="AF1324" s="84">
        <v>0</v>
      </c>
      <c r="AG1324" s="84">
        <v>0</v>
      </c>
      <c r="AH1324" s="84">
        <v>0</v>
      </c>
      <c r="AI1324" s="84">
        <v>0</v>
      </c>
      <c r="AJ1324" s="84">
        <v>0</v>
      </c>
      <c r="AK1324" s="84">
        <v>0</v>
      </c>
      <c r="AL1324" s="84" cm="1">
        <f t="array" ref="AL13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24" s="84" cm="1">
        <f t="array" ref="AM13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4" s="84" cm="1">
        <f t="array" ref="AN13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4" s="84" cm="1">
        <f t="array" ref="AO13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4" s="84" cm="1">
        <f t="array" ref="AP13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4" s="84" cm="1">
        <f t="array" ref="AQ13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4" s="84" cm="1">
        <f t="array" ref="AR13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4" s="84" cm="1">
        <f t="array" ref="AS13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4" s="84" cm="1">
        <f t="array" ref="AT13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4" s="84" cm="1">
        <f t="array" ref="AU13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4" s="84" cm="1">
        <f t="array" ref="AV13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4" s="84" cm="1">
        <f t="array" ref="AW13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4" s="84" cm="1">
        <f t="array" ref="AX13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4" s="84" cm="1">
        <f t="array" ref="AY13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4" s="84" cm="1">
        <f t="array" ref="AZ13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4" s="84" cm="1">
        <f t="array" ref="BA13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4" s="84" cm="1">
        <f t="array" ref="BB13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4" s="84">
        <f>IF(SUM(Table3[[#This Row],[Column2]:[Column18]])&gt;Table3[[#This Row],[Column19]],Table3[[#This Row],[Column19]],SUM(Table3[[#This Row],[Column2]:[Column18]]))</f>
        <v>10800</v>
      </c>
      <c r="BD1324" s="2">
        <f>Table3[[#This Row],[Total Spend]]/SUM(Table3[[#This Row],[Column2]:[Column18]])</f>
        <v>1</v>
      </c>
    </row>
    <row r="1325" spans="1:56">
      <c r="A1325" s="84" t="s">
        <v>1400</v>
      </c>
      <c r="B1325" s="84"/>
      <c r="C1325" s="84"/>
      <c r="D1325" s="85">
        <v>45566</v>
      </c>
      <c r="E1325" s="85" t="s">
        <v>58</v>
      </c>
      <c r="F1325" s="84">
        <f>INDEX(Definitions!$G$13:$G$17,MATCH(Table3[[#This Row],[Propensity to buy/ buyer readiness]],Definitions!$A$13:$A$17,0))</f>
        <v>50000</v>
      </c>
      <c r="G1325" s="86">
        <v>3</v>
      </c>
      <c r="H1325" s="86">
        <v>3</v>
      </c>
      <c r="I1325" s="86">
        <v>2</v>
      </c>
      <c r="J1325" s="86">
        <v>3</v>
      </c>
      <c r="K1325" s="86">
        <v>3</v>
      </c>
      <c r="L1325" s="86">
        <f>SUM(Table3[[#This Row],[Strategic priority segment]:[Propensity to buy/ buyer readiness]])</f>
        <v>14</v>
      </c>
      <c r="M1325" s="86" t="s">
        <v>152</v>
      </c>
      <c r="N1325" s="84" t="s">
        <v>264</v>
      </c>
      <c r="O1325" s="84"/>
      <c r="P1325" s="84"/>
      <c r="Q1325" s="84"/>
      <c r="R1325" s="84"/>
      <c r="S1325" s="87"/>
      <c r="T1325" s="87"/>
      <c r="U1325" s="84">
        <v>1</v>
      </c>
      <c r="V1325" s="84">
        <v>0</v>
      </c>
      <c r="W1325" s="84">
        <v>0</v>
      </c>
      <c r="X1325" s="84">
        <v>0</v>
      </c>
      <c r="Y1325" s="84">
        <v>0</v>
      </c>
      <c r="Z1325" s="84">
        <v>0</v>
      </c>
      <c r="AA1325" s="84">
        <v>0</v>
      </c>
      <c r="AB1325" s="84">
        <v>0</v>
      </c>
      <c r="AC1325" s="84">
        <v>0</v>
      </c>
      <c r="AD1325" s="84">
        <v>0</v>
      </c>
      <c r="AE1325" s="84">
        <v>0</v>
      </c>
      <c r="AF1325" s="84">
        <v>0</v>
      </c>
      <c r="AG1325" s="84">
        <v>0</v>
      </c>
      <c r="AH1325" s="84">
        <v>0</v>
      </c>
      <c r="AI1325" s="84">
        <v>0</v>
      </c>
      <c r="AJ1325" s="84">
        <v>0</v>
      </c>
      <c r="AK1325" s="84">
        <v>0</v>
      </c>
      <c r="AL1325" s="84" cm="1">
        <f t="array" ref="AL13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25" s="84" cm="1">
        <f t="array" ref="AM13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5" s="84" cm="1">
        <f t="array" ref="AN13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5" s="84" cm="1">
        <f t="array" ref="AO13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5" s="84" cm="1">
        <f t="array" ref="AP13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5" s="84" cm="1">
        <f t="array" ref="AQ13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5" s="84" cm="1">
        <f t="array" ref="AR13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5" s="84" cm="1">
        <f t="array" ref="AS13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5" s="84" cm="1">
        <f t="array" ref="AT13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5" s="84" cm="1">
        <f t="array" ref="AU13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5" s="84" cm="1">
        <f t="array" ref="AV13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5" s="84" cm="1">
        <f t="array" ref="AW13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5" s="84" cm="1">
        <f t="array" ref="AX13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5" s="84" cm="1">
        <f t="array" ref="AY13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5" s="84" cm="1">
        <f t="array" ref="AZ13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5" s="84" cm="1">
        <f t="array" ref="BA13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5" s="84" cm="1">
        <f t="array" ref="BB13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5" s="84">
        <f>IF(SUM(Table3[[#This Row],[Column2]:[Column18]])&gt;Table3[[#This Row],[Column19]],Table3[[#This Row],[Column19]],SUM(Table3[[#This Row],[Column2]:[Column18]]))</f>
        <v>10800</v>
      </c>
      <c r="BD1325" s="2">
        <f>Table3[[#This Row],[Total Spend]]/SUM(Table3[[#This Row],[Column2]:[Column18]])</f>
        <v>1</v>
      </c>
    </row>
    <row r="1326" spans="1:56">
      <c r="A1326" s="84" t="s">
        <v>1401</v>
      </c>
      <c r="B1326" s="84"/>
      <c r="C1326" s="84"/>
      <c r="D1326" s="85">
        <v>45566</v>
      </c>
      <c r="E1326" s="85" t="s">
        <v>58</v>
      </c>
      <c r="F1326" s="84">
        <f>INDEX(Definitions!$G$13:$G$17,MATCH(Table3[[#This Row],[Propensity to buy/ buyer readiness]],Definitions!$A$13:$A$17,0))</f>
        <v>50000</v>
      </c>
      <c r="G1326" s="86">
        <v>3</v>
      </c>
      <c r="H1326" s="86">
        <v>3</v>
      </c>
      <c r="I1326" s="86">
        <v>2</v>
      </c>
      <c r="J1326" s="86">
        <v>3</v>
      </c>
      <c r="K1326" s="86">
        <v>3</v>
      </c>
      <c r="L1326" s="86">
        <f>SUM(Table3[[#This Row],[Strategic priority segment]:[Propensity to buy/ buyer readiness]])</f>
        <v>14</v>
      </c>
      <c r="M1326" s="86" t="s">
        <v>152</v>
      </c>
      <c r="N1326" s="84" t="s">
        <v>264</v>
      </c>
      <c r="O1326" s="84"/>
      <c r="P1326" s="84"/>
      <c r="Q1326" s="84"/>
      <c r="R1326" s="84"/>
      <c r="S1326" s="87"/>
      <c r="T1326" s="87"/>
      <c r="U1326" s="84">
        <v>1</v>
      </c>
      <c r="V1326" s="84">
        <v>0</v>
      </c>
      <c r="W1326" s="84">
        <v>0</v>
      </c>
      <c r="X1326" s="84">
        <v>0</v>
      </c>
      <c r="Y1326" s="84">
        <v>0</v>
      </c>
      <c r="Z1326" s="84">
        <v>0</v>
      </c>
      <c r="AA1326" s="84">
        <v>0</v>
      </c>
      <c r="AB1326" s="84">
        <v>0</v>
      </c>
      <c r="AC1326" s="84">
        <v>0</v>
      </c>
      <c r="AD1326" s="84">
        <v>0</v>
      </c>
      <c r="AE1326" s="84">
        <v>0</v>
      </c>
      <c r="AF1326" s="84">
        <v>0</v>
      </c>
      <c r="AG1326" s="84">
        <v>0</v>
      </c>
      <c r="AH1326" s="84">
        <v>0</v>
      </c>
      <c r="AI1326" s="84">
        <v>0</v>
      </c>
      <c r="AJ1326" s="84">
        <v>0</v>
      </c>
      <c r="AK1326" s="84">
        <v>0</v>
      </c>
      <c r="AL1326" s="84" cm="1">
        <f t="array" ref="AL13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26" s="84" cm="1">
        <f t="array" ref="AM13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6" s="84" cm="1">
        <f t="array" ref="AN13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6" s="84" cm="1">
        <f t="array" ref="AO13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6" s="84" cm="1">
        <f t="array" ref="AP13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6" s="84" cm="1">
        <f t="array" ref="AQ13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6" s="84" cm="1">
        <f t="array" ref="AR13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6" s="84" cm="1">
        <f t="array" ref="AS13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6" s="84" cm="1">
        <f t="array" ref="AT13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6" s="84" cm="1">
        <f t="array" ref="AU13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6" s="84" cm="1">
        <f t="array" ref="AV13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6" s="84" cm="1">
        <f t="array" ref="AW13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6" s="84" cm="1">
        <f t="array" ref="AX13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6" s="84" cm="1">
        <f t="array" ref="AY13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6" s="84" cm="1">
        <f t="array" ref="AZ13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6" s="84" cm="1">
        <f t="array" ref="BA13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6" s="84" cm="1">
        <f t="array" ref="BB13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6" s="84">
        <f>IF(SUM(Table3[[#This Row],[Column2]:[Column18]])&gt;Table3[[#This Row],[Column19]],Table3[[#This Row],[Column19]],SUM(Table3[[#This Row],[Column2]:[Column18]]))</f>
        <v>10800</v>
      </c>
      <c r="BD1326" s="2">
        <f>Table3[[#This Row],[Total Spend]]/SUM(Table3[[#This Row],[Column2]:[Column18]])</f>
        <v>1</v>
      </c>
    </row>
    <row r="1327" spans="1:56">
      <c r="A1327" s="84" t="s">
        <v>1402</v>
      </c>
      <c r="B1327" s="84"/>
      <c r="C1327" s="84"/>
      <c r="D1327" s="85">
        <v>45566</v>
      </c>
      <c r="E1327" s="85" t="s">
        <v>58</v>
      </c>
      <c r="F1327" s="84">
        <f>INDEX(Definitions!$G$13:$G$17,MATCH(Table3[[#This Row],[Propensity to buy/ buyer readiness]],Definitions!$A$13:$A$17,0))</f>
        <v>50000</v>
      </c>
      <c r="G1327" s="86">
        <v>3</v>
      </c>
      <c r="H1327" s="86">
        <v>3</v>
      </c>
      <c r="I1327" s="86">
        <v>2</v>
      </c>
      <c r="J1327" s="86">
        <v>3</v>
      </c>
      <c r="K1327" s="86">
        <v>3</v>
      </c>
      <c r="L1327" s="86">
        <f>SUM(Table3[[#This Row],[Strategic priority segment]:[Propensity to buy/ buyer readiness]])</f>
        <v>14</v>
      </c>
      <c r="M1327" s="86" t="s">
        <v>152</v>
      </c>
      <c r="N1327" s="84" t="s">
        <v>264</v>
      </c>
      <c r="O1327" s="84"/>
      <c r="P1327" s="84" t="s">
        <v>135</v>
      </c>
      <c r="Q1327" s="84"/>
      <c r="R1327" s="84"/>
      <c r="S1327" s="87"/>
      <c r="T1327" s="87"/>
      <c r="U1327" s="84">
        <v>1</v>
      </c>
      <c r="V1327" s="84">
        <v>0</v>
      </c>
      <c r="W1327" s="84">
        <v>0</v>
      </c>
      <c r="X1327" s="84">
        <v>0</v>
      </c>
      <c r="Y1327" s="84">
        <v>0</v>
      </c>
      <c r="Z1327" s="84">
        <v>0</v>
      </c>
      <c r="AA1327" s="84">
        <v>0</v>
      </c>
      <c r="AB1327" s="84">
        <v>0</v>
      </c>
      <c r="AC1327" s="84">
        <v>0</v>
      </c>
      <c r="AD1327" s="84">
        <v>0</v>
      </c>
      <c r="AE1327" s="84">
        <v>0</v>
      </c>
      <c r="AF1327" s="84">
        <v>0</v>
      </c>
      <c r="AG1327" s="84">
        <v>0</v>
      </c>
      <c r="AH1327" s="84">
        <v>1</v>
      </c>
      <c r="AI1327" s="84">
        <v>1</v>
      </c>
      <c r="AJ1327" s="84">
        <v>1</v>
      </c>
      <c r="AK1327" s="84">
        <v>1</v>
      </c>
      <c r="AL1327" s="84" cm="1">
        <f t="array" ref="AL13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27" s="84" cm="1">
        <f t="array" ref="AM13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7" s="84" cm="1">
        <f t="array" ref="AN13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7" s="84" cm="1">
        <f t="array" ref="AO13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7" s="84" cm="1">
        <f t="array" ref="AP13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7" s="84" cm="1">
        <f t="array" ref="AQ13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7" s="84" cm="1">
        <f t="array" ref="AR13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7" s="84" cm="1">
        <f t="array" ref="AS13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7" s="84" cm="1">
        <f t="array" ref="AT13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7" s="84" cm="1">
        <f t="array" ref="AU13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7" s="84" cm="1">
        <f t="array" ref="AV13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7" s="84" cm="1">
        <f t="array" ref="AW13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7" s="84" cm="1">
        <f t="array" ref="AX13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7" s="84" cm="1">
        <f t="array" ref="AY13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15300</v>
      </c>
      <c r="AZ1327" s="84" cm="1">
        <f t="array" ref="AZ13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15750</v>
      </c>
      <c r="BA1327" s="84" cm="1">
        <f t="array" ref="BA13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27000</v>
      </c>
      <c r="BB1327" s="84" cm="1">
        <f t="array" ref="BB13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6300</v>
      </c>
      <c r="BC1327" s="84">
        <f>IF(SUM(Table3[[#This Row],[Column2]:[Column18]])&gt;Table3[[#This Row],[Column19]],Table3[[#This Row],[Column19]],SUM(Table3[[#This Row],[Column2]:[Column18]]))</f>
        <v>50000</v>
      </c>
      <c r="BD1327" s="2">
        <f>Table3[[#This Row],[Total Spend]]/SUM(Table3[[#This Row],[Column2]:[Column18]])</f>
        <v>0.66533599467731208</v>
      </c>
    </row>
    <row r="1328" spans="1:56">
      <c r="A1328" s="84" t="s">
        <v>1403</v>
      </c>
      <c r="B1328" s="84"/>
      <c r="C1328" s="84"/>
      <c r="D1328" s="85">
        <v>45566</v>
      </c>
      <c r="E1328" s="85" t="s">
        <v>58</v>
      </c>
      <c r="F1328" s="84">
        <f>INDEX(Definitions!$G$13:$G$17,MATCH(Table3[[#This Row],[Propensity to buy/ buyer readiness]],Definitions!$A$13:$A$17,0))</f>
        <v>50000</v>
      </c>
      <c r="G1328" s="86">
        <v>3</v>
      </c>
      <c r="H1328" s="86">
        <v>3</v>
      </c>
      <c r="I1328" s="86">
        <v>2</v>
      </c>
      <c r="J1328" s="86">
        <v>3</v>
      </c>
      <c r="K1328" s="86">
        <v>3</v>
      </c>
      <c r="L1328" s="86">
        <f>SUM(Table3[[#This Row],[Strategic priority segment]:[Propensity to buy/ buyer readiness]])</f>
        <v>14</v>
      </c>
      <c r="M1328" s="86" t="s">
        <v>152</v>
      </c>
      <c r="N1328" s="84" t="s">
        <v>264</v>
      </c>
      <c r="O1328" s="84"/>
      <c r="P1328" s="84"/>
      <c r="Q1328" s="84"/>
      <c r="R1328" s="84"/>
      <c r="S1328" s="87"/>
      <c r="T1328" s="87"/>
      <c r="U1328" s="84">
        <v>1</v>
      </c>
      <c r="V1328" s="84">
        <v>0</v>
      </c>
      <c r="W1328" s="84">
        <v>0</v>
      </c>
      <c r="X1328" s="84">
        <v>0</v>
      </c>
      <c r="Y1328" s="84">
        <v>0</v>
      </c>
      <c r="Z1328" s="84">
        <v>0</v>
      </c>
      <c r="AA1328" s="84">
        <v>0</v>
      </c>
      <c r="AB1328" s="84">
        <v>0</v>
      </c>
      <c r="AC1328" s="84">
        <v>0</v>
      </c>
      <c r="AD1328" s="84">
        <v>0</v>
      </c>
      <c r="AE1328" s="84">
        <v>0</v>
      </c>
      <c r="AF1328" s="84">
        <v>0</v>
      </c>
      <c r="AG1328" s="84">
        <v>0</v>
      </c>
      <c r="AH1328" s="84">
        <v>0</v>
      </c>
      <c r="AI1328" s="84">
        <v>0</v>
      </c>
      <c r="AJ1328" s="84">
        <v>0</v>
      </c>
      <c r="AK1328" s="84">
        <v>0</v>
      </c>
      <c r="AL1328" s="84" cm="1">
        <f t="array" ref="AL13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28" s="84" cm="1">
        <f t="array" ref="AM13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8" s="84" cm="1">
        <f t="array" ref="AN13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8" s="84" cm="1">
        <f t="array" ref="AO13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8" s="84" cm="1">
        <f t="array" ref="AP13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8" s="84" cm="1">
        <f t="array" ref="AQ13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8" s="84" cm="1">
        <f t="array" ref="AR13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8" s="84" cm="1">
        <f t="array" ref="AS13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8" s="84" cm="1">
        <f t="array" ref="AT13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8" s="84" cm="1">
        <f t="array" ref="AU13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8" s="84" cm="1">
        <f t="array" ref="AV13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8" s="84" cm="1">
        <f t="array" ref="AW13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8" s="84" cm="1">
        <f t="array" ref="AX13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8" s="84" cm="1">
        <f t="array" ref="AY13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8" s="84" cm="1">
        <f t="array" ref="AZ13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8" s="84" cm="1">
        <f t="array" ref="BA13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8" s="84" cm="1">
        <f t="array" ref="BB13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8" s="84">
        <f>IF(SUM(Table3[[#This Row],[Column2]:[Column18]])&gt;Table3[[#This Row],[Column19]],Table3[[#This Row],[Column19]],SUM(Table3[[#This Row],[Column2]:[Column18]]))</f>
        <v>10800</v>
      </c>
      <c r="BD1328" s="2">
        <f>Table3[[#This Row],[Total Spend]]/SUM(Table3[[#This Row],[Column2]:[Column18]])</f>
        <v>1</v>
      </c>
    </row>
    <row r="1329" spans="1:56">
      <c r="A1329" s="84" t="s">
        <v>1404</v>
      </c>
      <c r="B1329" s="84"/>
      <c r="C1329" s="84"/>
      <c r="D1329" s="85">
        <v>45566</v>
      </c>
      <c r="E1329" s="85" t="s">
        <v>58</v>
      </c>
      <c r="F1329" s="84">
        <f>INDEX(Definitions!$G$13:$G$17,MATCH(Table3[[#This Row],[Propensity to buy/ buyer readiness]],Definitions!$A$13:$A$17,0))</f>
        <v>50000</v>
      </c>
      <c r="G1329" s="86">
        <v>3</v>
      </c>
      <c r="H1329" s="86">
        <v>3</v>
      </c>
      <c r="I1329" s="86">
        <v>2</v>
      </c>
      <c r="J1329" s="86">
        <v>3</v>
      </c>
      <c r="K1329" s="86">
        <v>3</v>
      </c>
      <c r="L1329" s="86">
        <f>SUM(Table3[[#This Row],[Strategic priority segment]:[Propensity to buy/ buyer readiness]])</f>
        <v>14</v>
      </c>
      <c r="M1329" s="86" t="s">
        <v>152</v>
      </c>
      <c r="N1329" s="84" t="s">
        <v>264</v>
      </c>
      <c r="O1329" s="84"/>
      <c r="P1329" s="87"/>
      <c r="Q1329" s="87"/>
      <c r="R1329" s="84"/>
      <c r="S1329" s="87"/>
      <c r="T1329" s="87"/>
      <c r="U1329" s="84">
        <v>1</v>
      </c>
      <c r="V1329" s="84">
        <v>0</v>
      </c>
      <c r="W1329" s="84">
        <v>0</v>
      </c>
      <c r="X1329" s="84">
        <v>0</v>
      </c>
      <c r="Y1329" s="84">
        <v>0</v>
      </c>
      <c r="Z1329" s="84">
        <v>0</v>
      </c>
      <c r="AA1329" s="84">
        <v>0</v>
      </c>
      <c r="AB1329" s="84">
        <v>0</v>
      </c>
      <c r="AC1329" s="84">
        <v>0</v>
      </c>
      <c r="AD1329" s="84">
        <v>0</v>
      </c>
      <c r="AE1329" s="84">
        <v>0</v>
      </c>
      <c r="AF1329" s="84">
        <v>0</v>
      </c>
      <c r="AG1329" s="84">
        <v>0</v>
      </c>
      <c r="AH1329" s="84">
        <v>0</v>
      </c>
      <c r="AI1329" s="84">
        <v>0</v>
      </c>
      <c r="AJ1329" s="84">
        <v>0</v>
      </c>
      <c r="AK1329" s="84">
        <v>0</v>
      </c>
      <c r="AL1329" s="84" cm="1">
        <f t="array" ref="AL13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29" s="84" cm="1">
        <f t="array" ref="AM13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29" s="84" cm="1">
        <f t="array" ref="AN13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29" s="84" cm="1">
        <f t="array" ref="AO13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29" s="84" cm="1">
        <f t="array" ref="AP13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29" s="84" cm="1">
        <f t="array" ref="AQ13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29" s="84" cm="1">
        <f t="array" ref="AR13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29" s="84" cm="1">
        <f t="array" ref="AS13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29" s="84" cm="1">
        <f t="array" ref="AT13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29" s="84" cm="1">
        <f t="array" ref="AU13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29" s="84" cm="1">
        <f t="array" ref="AV13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29" s="84" cm="1">
        <f t="array" ref="AW13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29" s="84" cm="1">
        <f t="array" ref="AX13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29" s="84" cm="1">
        <f t="array" ref="AY13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29" s="84" cm="1">
        <f t="array" ref="AZ13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29" s="84" cm="1">
        <f t="array" ref="BA13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29" s="84" cm="1">
        <f t="array" ref="BB13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29" s="84">
        <f>IF(SUM(Table3[[#This Row],[Column2]:[Column18]])&gt;Table3[[#This Row],[Column19]],Table3[[#This Row],[Column19]],SUM(Table3[[#This Row],[Column2]:[Column18]]))</f>
        <v>10800</v>
      </c>
      <c r="BD1329" s="2">
        <f>Table3[[#This Row],[Total Spend]]/SUM(Table3[[#This Row],[Column2]:[Column18]])</f>
        <v>1</v>
      </c>
    </row>
    <row r="1330" spans="1:56">
      <c r="A1330" s="84" t="s">
        <v>1405</v>
      </c>
      <c r="B1330" s="84"/>
      <c r="C1330" s="84"/>
      <c r="D1330" s="85">
        <v>45566</v>
      </c>
      <c r="E1330" s="85" t="s">
        <v>58</v>
      </c>
      <c r="F1330" s="84">
        <f>INDEX(Definitions!$G$13:$G$17,MATCH(Table3[[#This Row],[Propensity to buy/ buyer readiness]],Definitions!$A$13:$A$17,0))</f>
        <v>50000</v>
      </c>
      <c r="G1330" s="86">
        <v>3</v>
      </c>
      <c r="H1330" s="86">
        <v>3</v>
      </c>
      <c r="I1330" s="86">
        <v>2</v>
      </c>
      <c r="J1330" s="86">
        <v>3</v>
      </c>
      <c r="K1330" s="86">
        <v>3</v>
      </c>
      <c r="L1330" s="86">
        <f>SUM(Table3[[#This Row],[Strategic priority segment]:[Propensity to buy/ buyer readiness]])</f>
        <v>14</v>
      </c>
      <c r="M1330" s="86" t="s">
        <v>152</v>
      </c>
      <c r="N1330" s="84" t="s">
        <v>264</v>
      </c>
      <c r="O1330" s="84"/>
      <c r="P1330" s="84"/>
      <c r="Q1330" s="84"/>
      <c r="R1330" s="84"/>
      <c r="S1330" s="87"/>
      <c r="T1330" s="87"/>
      <c r="U1330" s="84">
        <v>1</v>
      </c>
      <c r="V1330" s="84">
        <v>0</v>
      </c>
      <c r="W1330" s="84">
        <v>0</v>
      </c>
      <c r="X1330" s="84">
        <v>0</v>
      </c>
      <c r="Y1330" s="84">
        <v>0</v>
      </c>
      <c r="Z1330" s="84">
        <v>0</v>
      </c>
      <c r="AA1330" s="84">
        <v>0</v>
      </c>
      <c r="AB1330" s="84">
        <v>0</v>
      </c>
      <c r="AC1330" s="84">
        <v>0</v>
      </c>
      <c r="AD1330" s="84">
        <v>0</v>
      </c>
      <c r="AE1330" s="84">
        <v>0</v>
      </c>
      <c r="AF1330" s="84">
        <v>0</v>
      </c>
      <c r="AG1330" s="84">
        <v>0</v>
      </c>
      <c r="AH1330" s="84">
        <v>0</v>
      </c>
      <c r="AI1330" s="84">
        <v>0</v>
      </c>
      <c r="AJ1330" s="84">
        <v>0</v>
      </c>
      <c r="AK1330" s="84">
        <v>0</v>
      </c>
      <c r="AL1330" s="84" cm="1">
        <f t="array" ref="AL13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30" s="84" cm="1">
        <f t="array" ref="AM13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0" s="84" cm="1">
        <f t="array" ref="AN13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0" s="84" cm="1">
        <f t="array" ref="AO13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0" s="84" cm="1">
        <f t="array" ref="AP13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0" s="84" cm="1">
        <f t="array" ref="AQ13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30" s="84" cm="1">
        <f t="array" ref="AR13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0" s="84" cm="1">
        <f t="array" ref="AS13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30" s="84" cm="1">
        <f t="array" ref="AT13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0" s="84" cm="1">
        <f t="array" ref="AU13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0" s="84" cm="1">
        <f t="array" ref="AV13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0" s="84" cm="1">
        <f t="array" ref="AW13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0" s="84" cm="1">
        <f t="array" ref="AX13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0" s="84" cm="1">
        <f t="array" ref="AY13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0" s="84" cm="1">
        <f t="array" ref="AZ13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0" s="84" cm="1">
        <f t="array" ref="BA13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0" s="84" cm="1">
        <f t="array" ref="BB13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0" s="84">
        <f>IF(SUM(Table3[[#This Row],[Column2]:[Column18]])&gt;Table3[[#This Row],[Column19]],Table3[[#This Row],[Column19]],SUM(Table3[[#This Row],[Column2]:[Column18]]))</f>
        <v>10800</v>
      </c>
      <c r="BD1330" s="2">
        <f>Table3[[#This Row],[Total Spend]]/SUM(Table3[[#This Row],[Column2]:[Column18]])</f>
        <v>1</v>
      </c>
    </row>
    <row r="1331" spans="1:56">
      <c r="A1331" s="84" t="s">
        <v>1406</v>
      </c>
      <c r="B1331" s="84"/>
      <c r="C1331" s="84"/>
      <c r="D1331" s="85">
        <v>45566</v>
      </c>
      <c r="E1331" s="85" t="s">
        <v>58</v>
      </c>
      <c r="F1331" s="84">
        <f>INDEX(Definitions!$G$13:$G$17,MATCH(Table3[[#This Row],[Propensity to buy/ buyer readiness]],Definitions!$A$13:$A$17,0))</f>
        <v>50000</v>
      </c>
      <c r="G1331" s="86">
        <v>3</v>
      </c>
      <c r="H1331" s="86">
        <v>3</v>
      </c>
      <c r="I1331" s="86">
        <v>2</v>
      </c>
      <c r="J1331" s="86">
        <v>3</v>
      </c>
      <c r="K1331" s="86">
        <v>3</v>
      </c>
      <c r="L1331" s="86">
        <f>SUM(Table3[[#This Row],[Strategic priority segment]:[Propensity to buy/ buyer readiness]])</f>
        <v>14</v>
      </c>
      <c r="M1331" s="86" t="s">
        <v>152</v>
      </c>
      <c r="N1331" s="84" t="s">
        <v>264</v>
      </c>
      <c r="O1331" s="84"/>
      <c r="P1331" s="87"/>
      <c r="Q1331" s="87"/>
      <c r="R1331" s="84"/>
      <c r="S1331" s="87"/>
      <c r="T1331" s="87"/>
      <c r="U1331" s="84">
        <v>1</v>
      </c>
      <c r="V1331" s="84">
        <v>0</v>
      </c>
      <c r="W1331" s="84">
        <v>0</v>
      </c>
      <c r="X1331" s="84">
        <v>0</v>
      </c>
      <c r="Y1331" s="84">
        <v>0</v>
      </c>
      <c r="Z1331" s="84">
        <v>0</v>
      </c>
      <c r="AA1331" s="84">
        <v>0</v>
      </c>
      <c r="AB1331" s="84">
        <v>0</v>
      </c>
      <c r="AC1331" s="84">
        <v>0</v>
      </c>
      <c r="AD1331" s="84">
        <v>0</v>
      </c>
      <c r="AE1331" s="84">
        <v>0</v>
      </c>
      <c r="AF1331" s="84">
        <v>0</v>
      </c>
      <c r="AG1331" s="84">
        <v>0</v>
      </c>
      <c r="AH1331" s="84">
        <v>0</v>
      </c>
      <c r="AI1331" s="84">
        <v>0</v>
      </c>
      <c r="AJ1331" s="84">
        <v>0</v>
      </c>
      <c r="AK1331" s="84">
        <v>0</v>
      </c>
      <c r="AL1331" s="84" cm="1">
        <f t="array" ref="AL13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31" s="84" cm="1">
        <f t="array" ref="AM13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1" s="84" cm="1">
        <f t="array" ref="AN13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1" s="84" cm="1">
        <f t="array" ref="AO13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1" s="84" cm="1">
        <f t="array" ref="AP13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1" s="84" cm="1">
        <f t="array" ref="AQ13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31" s="84" cm="1">
        <f t="array" ref="AR13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1" s="84" cm="1">
        <f t="array" ref="AS13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31" s="84" cm="1">
        <f t="array" ref="AT13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1" s="84" cm="1">
        <f t="array" ref="AU13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1" s="84" cm="1">
        <f t="array" ref="AV13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1" s="84" cm="1">
        <f t="array" ref="AW13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1" s="84" cm="1">
        <f t="array" ref="AX13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1" s="84" cm="1">
        <f t="array" ref="AY13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1" s="84" cm="1">
        <f t="array" ref="AZ13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1" s="84" cm="1">
        <f t="array" ref="BA13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1" s="84" cm="1">
        <f t="array" ref="BB13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1" s="84">
        <f>IF(SUM(Table3[[#This Row],[Column2]:[Column18]])&gt;Table3[[#This Row],[Column19]],Table3[[#This Row],[Column19]],SUM(Table3[[#This Row],[Column2]:[Column18]]))</f>
        <v>10800</v>
      </c>
      <c r="BD1331" s="2">
        <f>Table3[[#This Row],[Total Spend]]/SUM(Table3[[#This Row],[Column2]:[Column18]])</f>
        <v>1</v>
      </c>
    </row>
    <row r="1332" spans="1:56">
      <c r="A1332" s="84" t="s">
        <v>1407</v>
      </c>
      <c r="B1332" s="84"/>
      <c r="C1332" s="84"/>
      <c r="D1332" s="85">
        <v>45566</v>
      </c>
      <c r="E1332" s="85" t="s">
        <v>92</v>
      </c>
      <c r="F1332" s="84">
        <f>INDEX(Definitions!$G$13:$G$17,MATCH(Table3[[#This Row],[Propensity to buy/ buyer readiness]],Definitions!$A$13:$A$17,0))</f>
        <v>50000</v>
      </c>
      <c r="G1332" s="86">
        <v>3</v>
      </c>
      <c r="H1332" s="86">
        <v>3</v>
      </c>
      <c r="I1332" s="86">
        <v>2</v>
      </c>
      <c r="J1332" s="86">
        <v>3</v>
      </c>
      <c r="K1332" s="86">
        <v>3</v>
      </c>
      <c r="L1332" s="86">
        <f>SUM(Table3[[#This Row],[Strategic priority segment]:[Propensity to buy/ buyer readiness]])</f>
        <v>14</v>
      </c>
      <c r="M1332" s="86" t="s">
        <v>152</v>
      </c>
      <c r="N1332" s="84" t="s">
        <v>122</v>
      </c>
      <c r="O1332" s="84"/>
      <c r="P1332" s="87"/>
      <c r="Q1332" s="87"/>
      <c r="R1332" s="84"/>
      <c r="S1332" s="87"/>
      <c r="T1332" s="87"/>
      <c r="U1332" s="84">
        <v>1</v>
      </c>
      <c r="V1332" s="84">
        <v>0</v>
      </c>
      <c r="W1332" s="84">
        <v>0</v>
      </c>
      <c r="X1332" s="84">
        <v>0</v>
      </c>
      <c r="Y1332" s="84">
        <v>0</v>
      </c>
      <c r="Z1332" s="84">
        <v>1</v>
      </c>
      <c r="AA1332" s="84">
        <v>0</v>
      </c>
      <c r="AB1332" s="84">
        <v>1</v>
      </c>
      <c r="AC1332" s="84">
        <v>0</v>
      </c>
      <c r="AD1332" s="84">
        <v>1</v>
      </c>
      <c r="AE1332" s="84">
        <v>0</v>
      </c>
      <c r="AF1332" s="84">
        <v>1</v>
      </c>
      <c r="AG1332" s="84">
        <v>0</v>
      </c>
      <c r="AH1332" s="84">
        <v>0</v>
      </c>
      <c r="AI1332" s="84">
        <v>0</v>
      </c>
      <c r="AJ1332" s="84">
        <v>0</v>
      </c>
      <c r="AK1332" s="84">
        <v>0</v>
      </c>
      <c r="AL1332" s="84" cm="1">
        <f t="array" ref="AL13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2" s="84" cm="1">
        <f t="array" ref="AM13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2" s="84" cm="1">
        <f t="array" ref="AN13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2" s="84" cm="1">
        <f t="array" ref="AO13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2" s="84" cm="1">
        <f t="array" ref="AP13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2" s="84" cm="1">
        <f t="array" ref="AQ13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32" s="84" cm="1">
        <f t="array" ref="AR13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2" s="84" cm="1">
        <f t="array" ref="AS13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32" s="84" cm="1">
        <f t="array" ref="AT13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2" s="84" cm="1">
        <f t="array" ref="AU13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32" s="84" cm="1">
        <f t="array" ref="AV13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2" s="84" cm="1">
        <f t="array" ref="AW13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32" s="84" cm="1">
        <f t="array" ref="AX13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2" s="84" cm="1">
        <f t="array" ref="AY13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2" s="84" cm="1">
        <f t="array" ref="AZ13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2" s="84" cm="1">
        <f t="array" ref="BA13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2" s="84" cm="1">
        <f t="array" ref="BB13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2" s="84">
        <f>IF(SUM(Table3[[#This Row],[Column2]:[Column18]])&gt;Table3[[#This Row],[Column19]],Table3[[#This Row],[Column19]],SUM(Table3[[#This Row],[Column2]:[Column18]]))</f>
        <v>50000</v>
      </c>
      <c r="BD1332" s="2">
        <f>Table3[[#This Row],[Total Spend]]/SUM(Table3[[#This Row],[Column2]:[Column18]])</f>
        <v>0.41459369817578773</v>
      </c>
    </row>
    <row r="1333" spans="1:56">
      <c r="A1333" s="84" t="s">
        <v>1408</v>
      </c>
      <c r="B1333" s="84"/>
      <c r="C1333" s="84"/>
      <c r="D1333" s="85">
        <v>45566</v>
      </c>
      <c r="E1333" s="85" t="s">
        <v>92</v>
      </c>
      <c r="F1333" s="84">
        <f>INDEX(Definitions!$G$13:$G$17,MATCH(Table3[[#This Row],[Propensity to buy/ buyer readiness]],Definitions!$A$13:$A$17,0))</f>
        <v>50000</v>
      </c>
      <c r="G1333" s="86">
        <v>3</v>
      </c>
      <c r="H1333" s="86">
        <v>3</v>
      </c>
      <c r="I1333" s="86">
        <v>2</v>
      </c>
      <c r="J1333" s="86">
        <v>3</v>
      </c>
      <c r="K1333" s="86">
        <v>3</v>
      </c>
      <c r="L1333" s="86">
        <f>SUM(Table3[[#This Row],[Strategic priority segment]:[Propensity to buy/ buyer readiness]])</f>
        <v>14</v>
      </c>
      <c r="M1333" s="86" t="s">
        <v>152</v>
      </c>
      <c r="N1333" s="84" t="s">
        <v>122</v>
      </c>
      <c r="O1333" s="84"/>
      <c r="P1333" s="87"/>
      <c r="Q1333" s="87"/>
      <c r="R1333" s="84"/>
      <c r="S1333" s="87"/>
      <c r="T1333" s="87"/>
      <c r="U1333" s="84">
        <v>1</v>
      </c>
      <c r="V1333" s="84">
        <v>0</v>
      </c>
      <c r="W1333" s="84">
        <v>0</v>
      </c>
      <c r="X1333" s="84">
        <v>0</v>
      </c>
      <c r="Y1333" s="84">
        <v>0</v>
      </c>
      <c r="Z1333" s="84">
        <v>1</v>
      </c>
      <c r="AA1333" s="84">
        <v>0</v>
      </c>
      <c r="AB1333" s="84">
        <v>1</v>
      </c>
      <c r="AC1333" s="84">
        <v>0</v>
      </c>
      <c r="AD1333" s="84">
        <v>1</v>
      </c>
      <c r="AE1333" s="84">
        <v>0</v>
      </c>
      <c r="AF1333" s="84">
        <v>1</v>
      </c>
      <c r="AG1333" s="84">
        <v>0</v>
      </c>
      <c r="AH1333" s="84">
        <v>0</v>
      </c>
      <c r="AI1333" s="84">
        <v>0</v>
      </c>
      <c r="AJ1333" s="84">
        <v>0</v>
      </c>
      <c r="AK1333" s="84">
        <v>0</v>
      </c>
      <c r="AL1333" s="84" cm="1">
        <f t="array" ref="AL13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3" s="84" cm="1">
        <f t="array" ref="AM13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3" s="84" cm="1">
        <f t="array" ref="AN13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3" s="84" cm="1">
        <f t="array" ref="AO13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3" s="84" cm="1">
        <f t="array" ref="AP13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3" s="84" cm="1">
        <f t="array" ref="AQ13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33" s="84" cm="1">
        <f t="array" ref="AR13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3" s="84" cm="1">
        <f t="array" ref="AS13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33" s="84" cm="1">
        <f t="array" ref="AT13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3" s="84" cm="1">
        <f t="array" ref="AU13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33" s="84" cm="1">
        <f t="array" ref="AV13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3" s="84" cm="1">
        <f t="array" ref="AW13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33" s="84" cm="1">
        <f t="array" ref="AX13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3" s="84" cm="1">
        <f t="array" ref="AY13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3" s="84" cm="1">
        <f t="array" ref="AZ13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3" s="84" cm="1">
        <f t="array" ref="BA13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3" s="84" cm="1">
        <f t="array" ref="BB13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3" s="84">
        <f>IF(SUM(Table3[[#This Row],[Column2]:[Column18]])&gt;Table3[[#This Row],[Column19]],Table3[[#This Row],[Column19]],SUM(Table3[[#This Row],[Column2]:[Column18]]))</f>
        <v>50000</v>
      </c>
      <c r="BD1333" s="2">
        <f>Table3[[#This Row],[Total Spend]]/SUM(Table3[[#This Row],[Column2]:[Column18]])</f>
        <v>0.41459369817578773</v>
      </c>
    </row>
    <row r="1334" spans="1:56">
      <c r="A1334" s="84" t="s">
        <v>1409</v>
      </c>
      <c r="B1334" s="84"/>
      <c r="C1334" s="84"/>
      <c r="D1334" s="85">
        <v>45566</v>
      </c>
      <c r="E1334" s="85" t="s">
        <v>58</v>
      </c>
      <c r="F1334" s="84">
        <f>INDEX(Definitions!$G$13:$G$17,MATCH(Table3[[#This Row],[Propensity to buy/ buyer readiness]],Definitions!$A$13:$A$17,0))</f>
        <v>50000</v>
      </c>
      <c r="G1334" s="86">
        <v>3</v>
      </c>
      <c r="H1334" s="86">
        <v>3</v>
      </c>
      <c r="I1334" s="86">
        <v>2</v>
      </c>
      <c r="J1334" s="86">
        <v>3</v>
      </c>
      <c r="K1334" s="86">
        <v>3</v>
      </c>
      <c r="L1334" s="86">
        <f>SUM(Table3[[#This Row],[Strategic priority segment]:[Propensity to buy/ buyer readiness]])</f>
        <v>14</v>
      </c>
      <c r="M1334" s="86" t="s">
        <v>152</v>
      </c>
      <c r="N1334" s="84" t="s">
        <v>264</v>
      </c>
      <c r="O1334" s="84"/>
      <c r="P1334" s="87"/>
      <c r="Q1334" s="87"/>
      <c r="R1334" s="84"/>
      <c r="S1334" s="87"/>
      <c r="T1334" s="87"/>
      <c r="U1334" s="84">
        <v>1</v>
      </c>
      <c r="V1334" s="84">
        <v>0</v>
      </c>
      <c r="W1334" s="84">
        <v>0</v>
      </c>
      <c r="X1334" s="84">
        <v>0</v>
      </c>
      <c r="Y1334" s="84">
        <v>0</v>
      </c>
      <c r="Z1334" s="84">
        <v>0</v>
      </c>
      <c r="AA1334" s="84">
        <v>0</v>
      </c>
      <c r="AB1334" s="84">
        <v>0</v>
      </c>
      <c r="AC1334" s="84">
        <v>0</v>
      </c>
      <c r="AD1334" s="84">
        <v>0</v>
      </c>
      <c r="AE1334" s="84">
        <v>0</v>
      </c>
      <c r="AF1334" s="84">
        <v>0</v>
      </c>
      <c r="AG1334" s="84">
        <v>0</v>
      </c>
      <c r="AH1334" s="84">
        <v>0</v>
      </c>
      <c r="AI1334" s="84">
        <v>0</v>
      </c>
      <c r="AJ1334" s="84">
        <v>0</v>
      </c>
      <c r="AK1334" s="84">
        <v>0</v>
      </c>
      <c r="AL1334" s="84" cm="1">
        <f t="array" ref="AL13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34" s="84" cm="1">
        <f t="array" ref="AM13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4" s="84" cm="1">
        <f t="array" ref="AN13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4" s="84" cm="1">
        <f t="array" ref="AO13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4" s="84" cm="1">
        <f t="array" ref="AP13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4" s="84" cm="1">
        <f t="array" ref="AQ13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34" s="84" cm="1">
        <f t="array" ref="AR13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4" s="84" cm="1">
        <f t="array" ref="AS13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34" s="84" cm="1">
        <f t="array" ref="AT13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4" s="84" cm="1">
        <f t="array" ref="AU13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4" s="84" cm="1">
        <f t="array" ref="AV13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4" s="84" cm="1">
        <f t="array" ref="AW13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4" s="84" cm="1">
        <f t="array" ref="AX13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4" s="84" cm="1">
        <f t="array" ref="AY13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4" s="84" cm="1">
        <f t="array" ref="AZ13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4" s="84" cm="1">
        <f t="array" ref="BA13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4" s="84" cm="1">
        <f t="array" ref="BB13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4" s="84">
        <f>IF(SUM(Table3[[#This Row],[Column2]:[Column18]])&gt;Table3[[#This Row],[Column19]],Table3[[#This Row],[Column19]],SUM(Table3[[#This Row],[Column2]:[Column18]]))</f>
        <v>10800</v>
      </c>
      <c r="BD1334" s="2">
        <f>Table3[[#This Row],[Total Spend]]/SUM(Table3[[#This Row],[Column2]:[Column18]])</f>
        <v>1</v>
      </c>
    </row>
    <row r="1335" spans="1:56">
      <c r="A1335" s="84" t="s">
        <v>1410</v>
      </c>
      <c r="B1335" s="84"/>
      <c r="C1335" s="84" t="s">
        <v>57</v>
      </c>
      <c r="D1335" s="85">
        <v>45566</v>
      </c>
      <c r="E1335" s="85" t="s">
        <v>92</v>
      </c>
      <c r="F1335" s="84">
        <f>INDEX(Definitions!$G$13:$G$17,MATCH(Table3[[#This Row],[Propensity to buy/ buyer readiness]],Definitions!$A$13:$A$17,0))</f>
        <v>10000</v>
      </c>
      <c r="G1335" s="86">
        <v>3</v>
      </c>
      <c r="H1335" s="86">
        <v>3</v>
      </c>
      <c r="I1335" s="86">
        <v>3</v>
      </c>
      <c r="J1335" s="86">
        <v>3</v>
      </c>
      <c r="K1335" s="86">
        <v>2</v>
      </c>
      <c r="L1335" s="86">
        <f>SUM(Table3[[#This Row],[Strategic priority segment]:[Propensity to buy/ buyer readiness]])</f>
        <v>14</v>
      </c>
      <c r="M1335" s="86" t="s">
        <v>152</v>
      </c>
      <c r="N1335" s="84" t="s">
        <v>1133</v>
      </c>
      <c r="O1335" s="84" t="s">
        <v>76</v>
      </c>
      <c r="P1335" s="87"/>
      <c r="Q1335" s="87"/>
      <c r="R1335" s="84"/>
      <c r="S1335" s="87"/>
      <c r="T1335" s="87"/>
      <c r="U1335" s="84">
        <v>1</v>
      </c>
      <c r="V1335" s="84">
        <v>0</v>
      </c>
      <c r="W1335" s="84">
        <v>0</v>
      </c>
      <c r="X1335" s="84">
        <v>0</v>
      </c>
      <c r="Y1335" s="84">
        <v>0</v>
      </c>
      <c r="Z1335" s="84">
        <v>0</v>
      </c>
      <c r="AA1335" s="84">
        <v>0</v>
      </c>
      <c r="AB1335" s="84">
        <v>0</v>
      </c>
      <c r="AC1335" s="84">
        <v>0</v>
      </c>
      <c r="AD1335" s="84">
        <v>0</v>
      </c>
      <c r="AE1335" s="84">
        <v>0</v>
      </c>
      <c r="AF1335" s="84">
        <v>0</v>
      </c>
      <c r="AG1335" s="84">
        <v>0</v>
      </c>
      <c r="AH1335" s="84">
        <v>1</v>
      </c>
      <c r="AI1335" s="84">
        <v>0</v>
      </c>
      <c r="AJ1335" s="84">
        <v>1</v>
      </c>
      <c r="AK1335" s="84">
        <v>0</v>
      </c>
      <c r="AL1335" s="84" cm="1">
        <f t="array" ref="AL13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5" s="84" cm="1">
        <f t="array" ref="AM13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5" s="84" cm="1">
        <f t="array" ref="AN13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5" s="84" cm="1">
        <f t="array" ref="AO13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5" s="84" cm="1">
        <f t="array" ref="AP13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5" s="84" cm="1">
        <f t="array" ref="AQ13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35" s="84" cm="1">
        <f t="array" ref="AR13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5" s="84" cm="1">
        <f t="array" ref="AS13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35" s="84" cm="1">
        <f t="array" ref="AT13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5" s="84" cm="1">
        <f t="array" ref="AU13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5" s="84" cm="1">
        <f t="array" ref="AV13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5" s="84" cm="1">
        <f t="array" ref="AW13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5" s="84" cm="1">
        <f t="array" ref="AX13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5" s="84" cm="1">
        <f t="array" ref="AY13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35" s="84" cm="1">
        <f t="array" ref="AZ13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5" s="84" cm="1">
        <f t="array" ref="BA13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35" s="84" cm="1">
        <f t="array" ref="BB13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5" s="84">
        <f>IF(SUM(Table3[[#This Row],[Column2]:[Column18]])&gt;Table3[[#This Row],[Column19]],Table3[[#This Row],[Column19]],SUM(Table3[[#This Row],[Column2]:[Column18]]))</f>
        <v>10000</v>
      </c>
      <c r="BD1335" s="2">
        <f>Table3[[#This Row],[Total Spend]]/SUM(Table3[[#This Row],[Column2]:[Column18]])</f>
        <v>0.25839793281653745</v>
      </c>
    </row>
    <row r="1336" spans="1:56">
      <c r="A1336" s="84" t="s">
        <v>1411</v>
      </c>
      <c r="B1336" s="84"/>
      <c r="C1336" s="84"/>
      <c r="D1336" s="85">
        <v>45566</v>
      </c>
      <c r="E1336" s="85" t="s">
        <v>92</v>
      </c>
      <c r="F1336" s="84">
        <f>INDEX(Definitions!$G$13:$G$17,MATCH(Table3[[#This Row],[Propensity to buy/ buyer readiness]],Definitions!$A$13:$A$17,0))</f>
        <v>50000</v>
      </c>
      <c r="G1336" s="86">
        <v>3</v>
      </c>
      <c r="H1336" s="86">
        <v>3</v>
      </c>
      <c r="I1336" s="86">
        <v>2</v>
      </c>
      <c r="J1336" s="86">
        <v>3</v>
      </c>
      <c r="K1336" s="86">
        <v>3</v>
      </c>
      <c r="L1336" s="86">
        <f>SUM(Table3[[#This Row],[Strategic priority segment]:[Propensity to buy/ buyer readiness]])</f>
        <v>14</v>
      </c>
      <c r="M1336" s="86" t="s">
        <v>152</v>
      </c>
      <c r="N1336" s="84" t="s">
        <v>122</v>
      </c>
      <c r="O1336" s="87"/>
      <c r="P1336" s="87"/>
      <c r="Q1336" s="87"/>
      <c r="R1336" s="87"/>
      <c r="S1336" s="87"/>
      <c r="T1336" s="87"/>
      <c r="U1336" s="84">
        <v>1</v>
      </c>
      <c r="V1336" s="84">
        <v>0</v>
      </c>
      <c r="W1336" s="84">
        <v>0</v>
      </c>
      <c r="X1336" s="84">
        <v>0</v>
      </c>
      <c r="Y1336" s="84">
        <v>0</v>
      </c>
      <c r="Z1336" s="84">
        <v>1</v>
      </c>
      <c r="AA1336" s="84">
        <v>0</v>
      </c>
      <c r="AB1336" s="84">
        <v>1</v>
      </c>
      <c r="AC1336" s="84">
        <v>0</v>
      </c>
      <c r="AD1336" s="84">
        <v>1</v>
      </c>
      <c r="AE1336" s="84">
        <v>0</v>
      </c>
      <c r="AF1336" s="84">
        <v>1</v>
      </c>
      <c r="AG1336" s="84">
        <v>0</v>
      </c>
      <c r="AH1336" s="84">
        <v>0</v>
      </c>
      <c r="AI1336" s="84">
        <v>0</v>
      </c>
      <c r="AJ1336" s="84">
        <v>0</v>
      </c>
      <c r="AK1336" s="84">
        <v>0</v>
      </c>
      <c r="AL1336" s="84" cm="1">
        <f t="array" ref="AL13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6" s="84" cm="1">
        <f t="array" ref="AM13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6" s="84" cm="1">
        <f t="array" ref="AN13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6" s="84" cm="1">
        <f t="array" ref="AO13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6" s="84" cm="1">
        <f t="array" ref="AP13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6" s="84" cm="1">
        <f t="array" ref="AQ13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36" s="84" cm="1">
        <f t="array" ref="AR13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6" s="84" cm="1">
        <f t="array" ref="AS13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36" s="84" cm="1">
        <f t="array" ref="AT13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6" s="84" cm="1">
        <f t="array" ref="AU13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36" s="84" cm="1">
        <f t="array" ref="AV13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6" s="84" cm="1">
        <f t="array" ref="AW13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36" s="84" cm="1">
        <f t="array" ref="AX13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6" s="84" cm="1">
        <f t="array" ref="AY13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6" s="84" cm="1">
        <f t="array" ref="AZ13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6" s="84" cm="1">
        <f t="array" ref="BA13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6" s="84" cm="1">
        <f t="array" ref="BB13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6" s="84">
        <f>IF(SUM(Table3[[#This Row],[Column2]:[Column18]])&gt;Table3[[#This Row],[Column19]],Table3[[#This Row],[Column19]],SUM(Table3[[#This Row],[Column2]:[Column18]]))</f>
        <v>50000</v>
      </c>
      <c r="BD1336" s="2">
        <f>Table3[[#This Row],[Total Spend]]/SUM(Table3[[#This Row],[Column2]:[Column18]])</f>
        <v>0.41459369817578773</v>
      </c>
    </row>
    <row r="1337" spans="1:56" ht="42.75">
      <c r="A1337" s="87" t="s">
        <v>1412</v>
      </c>
      <c r="B1337" s="87"/>
      <c r="C1337" s="87" t="s">
        <v>57</v>
      </c>
      <c r="D1337" s="85">
        <v>45566</v>
      </c>
      <c r="E1337" s="85" t="s">
        <v>92</v>
      </c>
      <c r="F1337" s="84">
        <f>INDEX(Definitions!$G$13:$G$17,MATCH(Table3[[#This Row],[Propensity to buy/ buyer readiness]],Definitions!$A$13:$A$17,0))</f>
        <v>10000</v>
      </c>
      <c r="G1337" s="86">
        <v>3</v>
      </c>
      <c r="H1337" s="86">
        <v>3</v>
      </c>
      <c r="I1337" s="86">
        <v>3</v>
      </c>
      <c r="J1337" s="86">
        <v>3</v>
      </c>
      <c r="K1337" s="86">
        <v>2</v>
      </c>
      <c r="L1337" s="86">
        <f>SUM(Table3[[#This Row],[Strategic priority segment]:[Propensity to buy/ buyer readiness]])</f>
        <v>14</v>
      </c>
      <c r="M1337" s="86" t="s">
        <v>191</v>
      </c>
      <c r="N1337" s="84" t="s">
        <v>135</v>
      </c>
      <c r="O1337" s="87"/>
      <c r="P1337" s="87"/>
      <c r="Q1337" s="87"/>
      <c r="R1337" s="84"/>
      <c r="S1337" s="87"/>
      <c r="T1337" s="87"/>
      <c r="U1337" s="84">
        <v>0</v>
      </c>
      <c r="V1337" s="84">
        <v>0</v>
      </c>
      <c r="W1337" s="84">
        <v>0</v>
      </c>
      <c r="X1337" s="84">
        <v>0</v>
      </c>
      <c r="Y1337" s="84">
        <v>0</v>
      </c>
      <c r="Z1337" s="84">
        <v>0</v>
      </c>
      <c r="AA1337" s="84">
        <v>0</v>
      </c>
      <c r="AB1337" s="84">
        <v>0</v>
      </c>
      <c r="AC1337" s="84">
        <v>0</v>
      </c>
      <c r="AD1337" s="84">
        <v>0</v>
      </c>
      <c r="AE1337" s="84">
        <v>0</v>
      </c>
      <c r="AF1337" s="84">
        <v>0</v>
      </c>
      <c r="AG1337" s="84">
        <v>0</v>
      </c>
      <c r="AH1337" s="84">
        <v>1</v>
      </c>
      <c r="AI1337" s="84">
        <v>1</v>
      </c>
      <c r="AJ1337" s="84">
        <v>1</v>
      </c>
      <c r="AK1337" s="84">
        <v>1</v>
      </c>
      <c r="AL1337" s="84" cm="1">
        <f t="array" ref="AL13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37" s="84" cm="1">
        <f t="array" ref="AM13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7" s="84" cm="1">
        <f t="array" ref="AN13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7" s="84" cm="1">
        <f t="array" ref="AO13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7" s="84" cm="1">
        <f t="array" ref="AP13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7" s="84" cm="1">
        <f t="array" ref="AQ13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37" s="84" cm="1">
        <f t="array" ref="AR13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7" s="84" cm="1">
        <f t="array" ref="AS13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37" s="84" cm="1">
        <f t="array" ref="AT13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7" s="84" cm="1">
        <f t="array" ref="AU13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7" s="84" cm="1">
        <f t="array" ref="AV13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7" s="84" cm="1">
        <f t="array" ref="AW13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7" s="84" cm="1">
        <f t="array" ref="AX13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7" s="84" cm="1">
        <f t="array" ref="AY13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37" s="84" cm="1">
        <f t="array" ref="AZ13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37" s="84" cm="1">
        <f t="array" ref="BA13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37" s="84" cm="1">
        <f t="array" ref="BB13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37" s="84">
        <f>IF(SUM(Table3[[#This Row],[Column2]:[Column18]])&gt;Table3[[#This Row],[Column19]],Table3[[#This Row],[Column19]],SUM(Table3[[#This Row],[Column2]:[Column18]]))</f>
        <v>10000</v>
      </c>
      <c r="BD1337" s="2">
        <f>Table3[[#This Row],[Total Spend]]/SUM(Table3[[#This Row],[Column2]:[Column18]])</f>
        <v>0.21574973031283712</v>
      </c>
    </row>
    <row r="1338" spans="1:56">
      <c r="A1338" s="88" t="s">
        <v>1413</v>
      </c>
      <c r="B1338" s="88"/>
      <c r="C1338" s="88"/>
      <c r="D1338" s="85">
        <v>45566</v>
      </c>
      <c r="E1338" s="85" t="s">
        <v>92</v>
      </c>
      <c r="F1338" s="84">
        <f>INDEX(Definitions!$G$13:$G$17,MATCH(Table3[[#This Row],[Propensity to buy/ buyer readiness]],Definitions!$A$13:$A$17,0))</f>
        <v>50000</v>
      </c>
      <c r="G1338" s="86">
        <v>3</v>
      </c>
      <c r="H1338" s="86">
        <v>3</v>
      </c>
      <c r="I1338" s="86">
        <v>2</v>
      </c>
      <c r="J1338" s="86">
        <v>3</v>
      </c>
      <c r="K1338" s="86">
        <v>3</v>
      </c>
      <c r="L1338" s="86">
        <f>SUM(Table3[[#This Row],[Strategic priority segment]:[Propensity to buy/ buyer readiness]])</f>
        <v>14</v>
      </c>
      <c r="M1338" s="86" t="s">
        <v>152</v>
      </c>
      <c r="N1338" s="84" t="s">
        <v>122</v>
      </c>
      <c r="O1338" s="84"/>
      <c r="P1338" s="87"/>
      <c r="Q1338" s="87"/>
      <c r="R1338" s="84"/>
      <c r="S1338" s="87"/>
      <c r="T1338" s="87"/>
      <c r="U1338" s="84">
        <v>1</v>
      </c>
      <c r="V1338" s="84">
        <v>0</v>
      </c>
      <c r="W1338" s="84">
        <v>0</v>
      </c>
      <c r="X1338" s="84">
        <v>0</v>
      </c>
      <c r="Y1338" s="84">
        <v>0</v>
      </c>
      <c r="Z1338" s="84">
        <v>1</v>
      </c>
      <c r="AA1338" s="84">
        <v>0</v>
      </c>
      <c r="AB1338" s="84">
        <v>1</v>
      </c>
      <c r="AC1338" s="84">
        <v>0</v>
      </c>
      <c r="AD1338" s="84">
        <v>1</v>
      </c>
      <c r="AE1338" s="84">
        <v>0</v>
      </c>
      <c r="AF1338" s="84">
        <v>1</v>
      </c>
      <c r="AG1338" s="84">
        <v>0</v>
      </c>
      <c r="AH1338" s="84">
        <v>0</v>
      </c>
      <c r="AI1338" s="84">
        <v>0</v>
      </c>
      <c r="AJ1338" s="84">
        <v>0</v>
      </c>
      <c r="AK1338" s="84">
        <v>0</v>
      </c>
      <c r="AL1338" s="84" cm="1">
        <f t="array" ref="AL13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8" s="84" cm="1">
        <f t="array" ref="AM13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8" s="84" cm="1">
        <f t="array" ref="AN13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8" s="84" cm="1">
        <f t="array" ref="AO13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8" s="84" cm="1">
        <f t="array" ref="AP13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8" s="84" cm="1">
        <f t="array" ref="AQ13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38" s="84" cm="1">
        <f t="array" ref="AR13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8" s="84" cm="1">
        <f t="array" ref="AS13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38" s="84" cm="1">
        <f t="array" ref="AT13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8" s="84" cm="1">
        <f t="array" ref="AU13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38" s="84" cm="1">
        <f t="array" ref="AV13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8" s="84" cm="1">
        <f t="array" ref="AW13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38" s="84" cm="1">
        <f t="array" ref="AX13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8" s="84" cm="1">
        <f t="array" ref="AY13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38" s="84" cm="1">
        <f t="array" ref="AZ13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38" s="84" cm="1">
        <f t="array" ref="BA13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38" s="84" cm="1">
        <f t="array" ref="BB13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38" s="84">
        <f>IF(SUM(Table3[[#This Row],[Column2]:[Column18]])&gt;Table3[[#This Row],[Column19]],Table3[[#This Row],[Column19]],SUM(Table3[[#This Row],[Column2]:[Column18]]))</f>
        <v>50000</v>
      </c>
      <c r="BD1338" s="2">
        <f>Table3[[#This Row],[Total Spend]]/SUM(Table3[[#This Row],[Column2]:[Column18]])</f>
        <v>0.41459369817578773</v>
      </c>
    </row>
    <row r="1339" spans="1:56">
      <c r="A1339" s="84" t="s">
        <v>1414</v>
      </c>
      <c r="B1339" s="84"/>
      <c r="C1339" s="84"/>
      <c r="D1339" s="85">
        <v>45566</v>
      </c>
      <c r="E1339" s="85" t="s">
        <v>92</v>
      </c>
      <c r="F1339" s="84">
        <f>INDEX(Definitions!$G$13:$G$17,MATCH(Table3[[#This Row],[Propensity to buy/ buyer readiness]],Definitions!$A$13:$A$17,0))</f>
        <v>50000</v>
      </c>
      <c r="G1339" s="86">
        <v>3</v>
      </c>
      <c r="H1339" s="86">
        <v>2</v>
      </c>
      <c r="I1339" s="86">
        <v>3</v>
      </c>
      <c r="J1339" s="86">
        <v>3</v>
      </c>
      <c r="K1339" s="86">
        <v>3</v>
      </c>
      <c r="L1339" s="86">
        <f>SUM(Table3[[#This Row],[Strategic priority segment]:[Propensity to buy/ buyer readiness]])</f>
        <v>14</v>
      </c>
      <c r="M1339" s="86" t="s">
        <v>152</v>
      </c>
      <c r="N1339" s="84" t="s">
        <v>153</v>
      </c>
      <c r="O1339" s="84" t="s">
        <v>135</v>
      </c>
      <c r="P1339" s="84"/>
      <c r="Q1339" s="84"/>
      <c r="R1339" s="84"/>
      <c r="S1339" s="84"/>
      <c r="T1339" s="87"/>
      <c r="U1339" s="84">
        <v>1</v>
      </c>
      <c r="V1339" s="84">
        <v>0</v>
      </c>
      <c r="W1339" s="84">
        <v>0</v>
      </c>
      <c r="X1339" s="84">
        <v>0</v>
      </c>
      <c r="Y1339" s="84">
        <v>0</v>
      </c>
      <c r="Z1339" s="84">
        <v>0</v>
      </c>
      <c r="AA1339" s="84">
        <v>0</v>
      </c>
      <c r="AB1339" s="84">
        <v>0</v>
      </c>
      <c r="AC1339" s="84">
        <v>0</v>
      </c>
      <c r="AD1339" s="84">
        <v>0</v>
      </c>
      <c r="AE1339" s="84">
        <v>0</v>
      </c>
      <c r="AF1339" s="84">
        <v>0</v>
      </c>
      <c r="AG1339" s="84">
        <v>0</v>
      </c>
      <c r="AH1339" s="84">
        <v>1</v>
      </c>
      <c r="AI1339" s="84">
        <v>1</v>
      </c>
      <c r="AJ1339" s="84">
        <v>1</v>
      </c>
      <c r="AK1339" s="84">
        <v>1</v>
      </c>
      <c r="AL1339" s="84" cm="1">
        <f t="array" ref="AL13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39" s="84" cm="1">
        <f t="array" ref="AM13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39" s="84" cm="1">
        <f t="array" ref="AN13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39" s="84" cm="1">
        <f t="array" ref="AO13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39" s="84" cm="1">
        <f t="array" ref="AP13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39" s="84" cm="1">
        <f t="array" ref="AQ13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39" s="84" cm="1">
        <f t="array" ref="AR13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39" s="84" cm="1">
        <f t="array" ref="AS13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39" s="84" cm="1">
        <f t="array" ref="AT13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39" s="84" cm="1">
        <f t="array" ref="AU13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39" s="84" cm="1">
        <f t="array" ref="AV13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39" s="84" cm="1">
        <f t="array" ref="AW13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39" s="84" cm="1">
        <f t="array" ref="AX13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39" s="84" cm="1">
        <f t="array" ref="AY13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39" s="84" cm="1">
        <f t="array" ref="AZ13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39" s="84" cm="1">
        <f t="array" ref="BA13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39" s="84" cm="1">
        <f t="array" ref="BB13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39" s="84">
        <f>IF(SUM(Table3[[#This Row],[Column2]:[Column18]])&gt;Table3[[#This Row],[Column19]],Table3[[#This Row],[Column19]],SUM(Table3[[#This Row],[Column2]:[Column18]]))</f>
        <v>50000</v>
      </c>
      <c r="BD1339" s="2">
        <f>Table3[[#This Row],[Total Spend]]/SUM(Table3[[#This Row],[Column2]:[Column18]])</f>
        <v>0.91827364554637281</v>
      </c>
    </row>
    <row r="1340" spans="1:56">
      <c r="A1340" s="84" t="s">
        <v>1415</v>
      </c>
      <c r="B1340" s="84"/>
      <c r="C1340" s="84" t="s">
        <v>57</v>
      </c>
      <c r="D1340" s="85">
        <v>45566</v>
      </c>
      <c r="E1340" s="85" t="s">
        <v>92</v>
      </c>
      <c r="F1340" s="84">
        <f>INDEX(Definitions!$G$13:$G$17,MATCH(Table3[[#This Row],[Propensity to buy/ buyer readiness]],Definitions!$A$13:$A$17,0))</f>
        <v>10000</v>
      </c>
      <c r="G1340" s="86">
        <v>3</v>
      </c>
      <c r="H1340" s="86">
        <v>3</v>
      </c>
      <c r="I1340" s="86">
        <v>3</v>
      </c>
      <c r="J1340" s="86">
        <v>3</v>
      </c>
      <c r="K1340" s="86">
        <v>2</v>
      </c>
      <c r="L1340" s="86">
        <f>SUM(Table3[[#This Row],[Strategic priority segment]:[Propensity to buy/ buyer readiness]])</f>
        <v>14</v>
      </c>
      <c r="M1340" s="86" t="s">
        <v>191</v>
      </c>
      <c r="N1340" s="84" t="s">
        <v>135</v>
      </c>
      <c r="O1340" s="84" t="s">
        <v>62</v>
      </c>
      <c r="P1340" s="84" t="s">
        <v>153</v>
      </c>
      <c r="Q1340" s="87"/>
      <c r="R1340" s="84"/>
      <c r="S1340" s="87"/>
      <c r="T1340" s="87"/>
      <c r="U1340" s="84">
        <v>1</v>
      </c>
      <c r="V1340" s="84">
        <v>0</v>
      </c>
      <c r="W1340" s="84">
        <v>0</v>
      </c>
      <c r="X1340" s="84">
        <v>0</v>
      </c>
      <c r="Y1340" s="84">
        <v>0</v>
      </c>
      <c r="Z1340" s="84">
        <v>0</v>
      </c>
      <c r="AA1340" s="84">
        <v>0</v>
      </c>
      <c r="AB1340" s="84">
        <v>0</v>
      </c>
      <c r="AC1340" s="84">
        <v>0</v>
      </c>
      <c r="AD1340" s="84">
        <v>1</v>
      </c>
      <c r="AE1340" s="84">
        <v>1</v>
      </c>
      <c r="AF1340" s="84">
        <v>1</v>
      </c>
      <c r="AG1340" s="84">
        <v>1</v>
      </c>
      <c r="AH1340" s="84">
        <v>1</v>
      </c>
      <c r="AI1340" s="84">
        <v>1</v>
      </c>
      <c r="AJ1340" s="84">
        <v>1</v>
      </c>
      <c r="AK1340" s="84">
        <v>1</v>
      </c>
      <c r="AL1340" s="84" cm="1">
        <f t="array" ref="AL13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0" s="84" cm="1">
        <f t="array" ref="AM13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0" s="84" cm="1">
        <f t="array" ref="AN13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0" s="84" cm="1">
        <f t="array" ref="AO13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0" s="84" cm="1">
        <f t="array" ref="AP13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0" s="84" cm="1">
        <f t="array" ref="AQ13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0" s="84" cm="1">
        <f t="array" ref="AR13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0" s="84" cm="1">
        <f t="array" ref="AS13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0" s="84" cm="1">
        <f t="array" ref="AT13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0" s="84" cm="1">
        <f t="array" ref="AU13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40" s="84" cm="1">
        <f t="array" ref="AV13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7650</v>
      </c>
      <c r="AW1340" s="84" cm="1">
        <f t="array" ref="AW13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40" s="84" cm="1">
        <f t="array" ref="AX13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25200</v>
      </c>
      <c r="AY1340" s="84" cm="1">
        <f t="array" ref="AY13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40" s="84" cm="1">
        <f t="array" ref="AZ13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40" s="84" cm="1">
        <f t="array" ref="BA13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40" s="84" cm="1">
        <f t="array" ref="BB13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40" s="84">
        <f>IF(SUM(Table3[[#This Row],[Column2]:[Column18]])&gt;Table3[[#This Row],[Column19]],Table3[[#This Row],[Column19]],SUM(Table3[[#This Row],[Column2]:[Column18]]))</f>
        <v>10000</v>
      </c>
      <c r="BD1340" s="2">
        <f>Table3[[#This Row],[Total Spend]]/SUM(Table3[[#This Row],[Column2]:[Column18]])</f>
        <v>7.1225071225071226E-2</v>
      </c>
    </row>
    <row r="1341" spans="1:56">
      <c r="A1341" s="84" t="s">
        <v>1416</v>
      </c>
      <c r="B1341" s="84" t="s">
        <v>57</v>
      </c>
      <c r="C1341" s="84" t="s">
        <v>57</v>
      </c>
      <c r="D1341" s="85">
        <v>45566</v>
      </c>
      <c r="E1341" s="85" t="s">
        <v>92</v>
      </c>
      <c r="F1341" s="84">
        <f>INDEX(Definitions!$G$13:$G$17,MATCH(Table3[[#This Row],[Propensity to buy/ buyer readiness]],Definitions!$A$13:$A$17,0))</f>
        <v>10000</v>
      </c>
      <c r="G1341" s="86">
        <v>2</v>
      </c>
      <c r="H1341" s="86">
        <v>3</v>
      </c>
      <c r="I1341" s="86">
        <v>4</v>
      </c>
      <c r="J1341" s="86">
        <v>3</v>
      </c>
      <c r="K1341" s="86">
        <v>2</v>
      </c>
      <c r="L1341" s="86">
        <f>SUM(Table3[[#This Row],[Strategic priority segment]:[Propensity to buy/ buyer readiness]])</f>
        <v>14</v>
      </c>
      <c r="M1341" s="86" t="s">
        <v>152</v>
      </c>
      <c r="N1341" s="84" t="s">
        <v>264</v>
      </c>
      <c r="O1341" s="84"/>
      <c r="P1341" s="87"/>
      <c r="Q1341" s="87"/>
      <c r="R1341" s="84"/>
      <c r="S1341" s="87"/>
      <c r="T1341" s="87"/>
      <c r="U1341" s="84">
        <v>1</v>
      </c>
      <c r="V1341" s="84">
        <v>0</v>
      </c>
      <c r="W1341" s="84">
        <v>0</v>
      </c>
      <c r="X1341" s="84">
        <v>0</v>
      </c>
      <c r="Y1341" s="84">
        <v>0</v>
      </c>
      <c r="Z1341" s="84">
        <v>0</v>
      </c>
      <c r="AA1341" s="84">
        <v>0</v>
      </c>
      <c r="AB1341" s="84">
        <v>0</v>
      </c>
      <c r="AC1341" s="84">
        <v>0</v>
      </c>
      <c r="AD1341" s="84">
        <v>0</v>
      </c>
      <c r="AE1341" s="84">
        <v>0</v>
      </c>
      <c r="AF1341" s="84">
        <v>0</v>
      </c>
      <c r="AG1341" s="84">
        <v>0</v>
      </c>
      <c r="AH1341" s="84">
        <v>0</v>
      </c>
      <c r="AI1341" s="84">
        <v>0</v>
      </c>
      <c r="AJ1341" s="84">
        <v>0</v>
      </c>
      <c r="AK1341" s="84">
        <v>0</v>
      </c>
      <c r="AL1341" s="84" cm="1">
        <f t="array" ref="AL13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1" s="84" cm="1">
        <f t="array" ref="AM13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1" s="84" cm="1">
        <f t="array" ref="AN13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1" s="84" cm="1">
        <f t="array" ref="AO13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1" s="84" cm="1">
        <f t="array" ref="AP13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1" s="84" cm="1">
        <f t="array" ref="AQ13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1" s="84" cm="1">
        <f t="array" ref="AR13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1" s="84" cm="1">
        <f t="array" ref="AS13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1" s="84" cm="1">
        <f t="array" ref="AT13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1" s="84" cm="1">
        <f t="array" ref="AU13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41" s="84" cm="1">
        <f t="array" ref="AV13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1" s="84" cm="1">
        <f t="array" ref="AW13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41" s="84" cm="1">
        <f t="array" ref="AX13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1" s="84" cm="1">
        <f t="array" ref="AY13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1" s="84" cm="1">
        <f t="array" ref="AZ13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1" s="84" cm="1">
        <f t="array" ref="BA13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1" s="84" cm="1">
        <f t="array" ref="BB13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1" s="84">
        <f>IF(SUM(Table3[[#This Row],[Column2]:[Column18]])&gt;Table3[[#This Row],[Column19]],Table3[[#This Row],[Column19]],SUM(Table3[[#This Row],[Column2]:[Column18]]))</f>
        <v>8100</v>
      </c>
      <c r="BD1341" s="2">
        <f>Table3[[#This Row],[Total Spend]]/SUM(Table3[[#This Row],[Column2]:[Column18]])</f>
        <v>1</v>
      </c>
    </row>
    <row r="1342" spans="1:56">
      <c r="A1342" s="84" t="s">
        <v>1417</v>
      </c>
      <c r="B1342" s="84"/>
      <c r="C1342" s="84" t="s">
        <v>57</v>
      </c>
      <c r="D1342" s="85">
        <v>45566</v>
      </c>
      <c r="E1342" s="85" t="s">
        <v>92</v>
      </c>
      <c r="F1342" s="84">
        <f>INDEX(Definitions!$G$13:$G$17,MATCH(Table3[[#This Row],[Propensity to buy/ buyer readiness]],Definitions!$A$13:$A$17,0))</f>
        <v>10000</v>
      </c>
      <c r="G1342" s="86">
        <v>3</v>
      </c>
      <c r="H1342" s="86">
        <v>3</v>
      </c>
      <c r="I1342" s="86">
        <v>3</v>
      </c>
      <c r="J1342" s="86">
        <v>3</v>
      </c>
      <c r="K1342" s="86">
        <v>2</v>
      </c>
      <c r="L1342" s="86">
        <f>SUM(Table3[[#This Row],[Strategic priority segment]:[Propensity to buy/ buyer readiness]])</f>
        <v>14</v>
      </c>
      <c r="M1342" s="86" t="s">
        <v>191</v>
      </c>
      <c r="N1342" s="84" t="s">
        <v>135</v>
      </c>
      <c r="O1342" s="84" t="s">
        <v>1133</v>
      </c>
      <c r="P1342" s="87"/>
      <c r="Q1342" s="87"/>
      <c r="R1342" s="84"/>
      <c r="S1342" s="87"/>
      <c r="T1342" s="87"/>
      <c r="U1342" s="84">
        <v>1</v>
      </c>
      <c r="V1342" s="84">
        <v>0</v>
      </c>
      <c r="W1342" s="84">
        <v>0</v>
      </c>
      <c r="X1342" s="84">
        <v>0</v>
      </c>
      <c r="Y1342" s="84">
        <v>0</v>
      </c>
      <c r="Z1342" s="84">
        <v>0</v>
      </c>
      <c r="AA1342" s="84">
        <v>0</v>
      </c>
      <c r="AB1342" s="84">
        <v>0</v>
      </c>
      <c r="AC1342" s="84">
        <v>0</v>
      </c>
      <c r="AD1342" s="84">
        <v>0</v>
      </c>
      <c r="AE1342" s="84">
        <v>0</v>
      </c>
      <c r="AF1342" s="84">
        <v>0</v>
      </c>
      <c r="AG1342" s="84">
        <v>0</v>
      </c>
      <c r="AH1342" s="84">
        <v>1</v>
      </c>
      <c r="AI1342" s="84">
        <v>1</v>
      </c>
      <c r="AJ1342" s="84">
        <v>1</v>
      </c>
      <c r="AK1342" s="84">
        <v>1</v>
      </c>
      <c r="AL1342" s="84" cm="1">
        <f t="array" ref="AL13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2" s="84" cm="1">
        <f t="array" ref="AM13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2" s="84" cm="1">
        <f t="array" ref="AN13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2" s="84" cm="1">
        <f t="array" ref="AO13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2" s="84" cm="1">
        <f t="array" ref="AP13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2" s="84" cm="1">
        <f t="array" ref="AQ13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2" s="84" cm="1">
        <f t="array" ref="AR13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2" s="84" cm="1">
        <f t="array" ref="AS13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2" s="84" cm="1">
        <f t="array" ref="AT13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2" s="84" cm="1">
        <f t="array" ref="AU13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42" s="84" cm="1">
        <f t="array" ref="AV13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2" s="84" cm="1">
        <f t="array" ref="AW13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42" s="84" cm="1">
        <f t="array" ref="AX13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2" s="84" cm="1">
        <f t="array" ref="AY13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42" s="84" cm="1">
        <f t="array" ref="AZ13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42" s="84" cm="1">
        <f t="array" ref="BA13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42" s="84" cm="1">
        <f t="array" ref="BB13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42" s="84">
        <f>IF(SUM(Table3[[#This Row],[Column2]:[Column18]])&gt;Table3[[#This Row],[Column19]],Table3[[#This Row],[Column19]],SUM(Table3[[#This Row],[Column2]:[Column18]]))</f>
        <v>10000</v>
      </c>
      <c r="BD1342" s="2">
        <f>Table3[[#This Row],[Total Spend]]/SUM(Table3[[#This Row],[Column2]:[Column18]])</f>
        <v>0.18365472910927455</v>
      </c>
    </row>
    <row r="1343" spans="1:56">
      <c r="A1343" s="84" t="s">
        <v>1418</v>
      </c>
      <c r="B1343" s="84"/>
      <c r="C1343" s="84"/>
      <c r="D1343" s="85">
        <v>45566</v>
      </c>
      <c r="E1343" s="85" t="s">
        <v>92</v>
      </c>
      <c r="F1343" s="84">
        <f>INDEX(Definitions!$G$13:$G$17,MATCH(Table3[[#This Row],[Propensity to buy/ buyer readiness]],Definitions!$A$13:$A$17,0))</f>
        <v>50000</v>
      </c>
      <c r="G1343" s="86">
        <v>3</v>
      </c>
      <c r="H1343" s="86">
        <v>3</v>
      </c>
      <c r="I1343" s="86">
        <v>2</v>
      </c>
      <c r="J1343" s="86">
        <v>3</v>
      </c>
      <c r="K1343" s="86">
        <v>3</v>
      </c>
      <c r="L1343" s="86">
        <f>SUM(Table3[[#This Row],[Strategic priority segment]:[Propensity to buy/ buyer readiness]])</f>
        <v>14</v>
      </c>
      <c r="M1343" s="86" t="s">
        <v>152</v>
      </c>
      <c r="N1343" s="84" t="s">
        <v>122</v>
      </c>
      <c r="O1343" s="84"/>
      <c r="P1343" s="87"/>
      <c r="Q1343" s="87"/>
      <c r="R1343" s="84"/>
      <c r="S1343" s="87"/>
      <c r="T1343" s="87"/>
      <c r="U1343" s="84">
        <v>1</v>
      </c>
      <c r="V1343" s="84">
        <v>0</v>
      </c>
      <c r="W1343" s="84">
        <v>0</v>
      </c>
      <c r="X1343" s="84">
        <v>0</v>
      </c>
      <c r="Y1343" s="84">
        <v>0</v>
      </c>
      <c r="Z1343" s="84">
        <v>1</v>
      </c>
      <c r="AA1343" s="84">
        <v>0</v>
      </c>
      <c r="AB1343" s="84">
        <v>1</v>
      </c>
      <c r="AC1343" s="84">
        <v>0</v>
      </c>
      <c r="AD1343" s="84">
        <v>1</v>
      </c>
      <c r="AE1343" s="84">
        <v>0</v>
      </c>
      <c r="AF1343" s="84">
        <v>1</v>
      </c>
      <c r="AG1343" s="84">
        <v>0</v>
      </c>
      <c r="AH1343" s="84">
        <v>0</v>
      </c>
      <c r="AI1343" s="84">
        <v>0</v>
      </c>
      <c r="AJ1343" s="84">
        <v>0</v>
      </c>
      <c r="AK1343" s="84">
        <v>0</v>
      </c>
      <c r="AL1343" s="84" cm="1">
        <f t="array" ref="AL13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3" s="84" cm="1">
        <f t="array" ref="AM13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3" s="84" cm="1">
        <f t="array" ref="AN13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3" s="84" cm="1">
        <f t="array" ref="AO13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3" s="84" cm="1">
        <f t="array" ref="AP13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3" s="84" cm="1">
        <f t="array" ref="AQ13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43" s="84" cm="1">
        <f t="array" ref="AR13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3" s="84" cm="1">
        <f t="array" ref="AS13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43" s="84" cm="1">
        <f t="array" ref="AT13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3" s="84" cm="1">
        <f t="array" ref="AU13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43" s="84" cm="1">
        <f t="array" ref="AV13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3" s="84" cm="1">
        <f t="array" ref="AW13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43" s="84" cm="1">
        <f t="array" ref="AX13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3" s="84" cm="1">
        <f t="array" ref="AY13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3" s="84" cm="1">
        <f t="array" ref="AZ13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3" s="84" cm="1">
        <f t="array" ref="BA13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3" s="84" cm="1">
        <f t="array" ref="BB13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3" s="84">
        <f>IF(SUM(Table3[[#This Row],[Column2]:[Column18]])&gt;Table3[[#This Row],[Column19]],Table3[[#This Row],[Column19]],SUM(Table3[[#This Row],[Column2]:[Column18]]))</f>
        <v>50000</v>
      </c>
      <c r="BD1343" s="2">
        <f>Table3[[#This Row],[Total Spend]]/SUM(Table3[[#This Row],[Column2]:[Column18]])</f>
        <v>0.41459369817578773</v>
      </c>
    </row>
    <row r="1344" spans="1:56">
      <c r="A1344" s="84" t="s">
        <v>1419</v>
      </c>
      <c r="B1344" s="84"/>
      <c r="C1344" s="84"/>
      <c r="D1344" s="85">
        <v>45566</v>
      </c>
      <c r="E1344" s="85" t="s">
        <v>92</v>
      </c>
      <c r="F1344" s="84">
        <f>INDEX(Definitions!$G$13:$G$17,MATCH(Table3[[#This Row],[Propensity to buy/ buyer readiness]],Definitions!$A$13:$A$17,0))</f>
        <v>10000</v>
      </c>
      <c r="G1344" s="86">
        <v>4</v>
      </c>
      <c r="H1344" s="86">
        <v>3</v>
      </c>
      <c r="I1344" s="86">
        <v>2</v>
      </c>
      <c r="J1344" s="86">
        <v>3</v>
      </c>
      <c r="K1344" s="86">
        <v>2</v>
      </c>
      <c r="L1344" s="86">
        <f>SUM(Table3[[#This Row],[Strategic priority segment]:[Propensity to buy/ buyer readiness]])</f>
        <v>14</v>
      </c>
      <c r="M1344" s="86" t="s">
        <v>152</v>
      </c>
      <c r="N1344" s="84" t="s">
        <v>264</v>
      </c>
      <c r="O1344" s="84" t="s">
        <v>122</v>
      </c>
      <c r="P1344" s="87"/>
      <c r="Q1344" s="87"/>
      <c r="R1344" s="84"/>
      <c r="S1344" s="87"/>
      <c r="T1344" s="87"/>
      <c r="U1344" s="84">
        <v>1</v>
      </c>
      <c r="V1344" s="84">
        <v>0</v>
      </c>
      <c r="W1344" s="84">
        <v>0</v>
      </c>
      <c r="X1344" s="84">
        <v>0</v>
      </c>
      <c r="Y1344" s="84">
        <v>0</v>
      </c>
      <c r="Z1344" s="84">
        <v>1</v>
      </c>
      <c r="AA1344" s="84">
        <v>0</v>
      </c>
      <c r="AB1344" s="84">
        <v>1</v>
      </c>
      <c r="AC1344" s="84">
        <v>0</v>
      </c>
      <c r="AD1344" s="84">
        <v>1</v>
      </c>
      <c r="AE1344" s="84">
        <v>0</v>
      </c>
      <c r="AF1344" s="84">
        <v>1</v>
      </c>
      <c r="AG1344" s="84">
        <v>0</v>
      </c>
      <c r="AH1344" s="84">
        <v>0</v>
      </c>
      <c r="AI1344" s="84">
        <v>0</v>
      </c>
      <c r="AJ1344" s="84">
        <v>0</v>
      </c>
      <c r="AK1344" s="84">
        <v>0</v>
      </c>
      <c r="AL1344" s="84" cm="1">
        <f t="array" ref="AL13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4" s="84" cm="1">
        <f t="array" ref="AM13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4" s="84" cm="1">
        <f t="array" ref="AN13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4" s="84" cm="1">
        <f t="array" ref="AO13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4" s="84" cm="1">
        <f t="array" ref="AP13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4" s="84" cm="1">
        <f t="array" ref="AQ13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44" s="84" cm="1">
        <f t="array" ref="AR13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4" s="84" cm="1">
        <f t="array" ref="AS13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44" s="84" cm="1">
        <f t="array" ref="AT13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4" s="84" cm="1">
        <f t="array" ref="AU13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44" s="84" cm="1">
        <f t="array" ref="AV13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4" s="84" cm="1">
        <f t="array" ref="AW13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44" s="84" cm="1">
        <f t="array" ref="AX13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4" s="84" cm="1">
        <f t="array" ref="AY13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4" s="84" cm="1">
        <f t="array" ref="AZ13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4" s="84" cm="1">
        <f t="array" ref="BA13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4" s="84" cm="1">
        <f t="array" ref="BB13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4" s="84">
        <f>IF(SUM(Table3[[#This Row],[Column2]:[Column18]])&gt;Table3[[#This Row],[Column19]],Table3[[#This Row],[Column19]],SUM(Table3[[#This Row],[Column2]:[Column18]]))</f>
        <v>10000</v>
      </c>
      <c r="BD1344" s="2">
        <f>Table3[[#This Row],[Total Spend]]/SUM(Table3[[#This Row],[Column2]:[Column18]])</f>
        <v>8.2918739635157543E-2</v>
      </c>
    </row>
    <row r="1345" spans="1:56">
      <c r="A1345" s="84" t="s">
        <v>1420</v>
      </c>
      <c r="B1345" s="84"/>
      <c r="C1345" s="84"/>
      <c r="D1345" s="85">
        <v>45566</v>
      </c>
      <c r="E1345" s="85" t="s">
        <v>58</v>
      </c>
      <c r="F1345" s="84">
        <f>INDEX(Definitions!$G$13:$G$17,MATCH(Table3[[#This Row],[Propensity to buy/ buyer readiness]],Definitions!$A$13:$A$17,0))</f>
        <v>50000</v>
      </c>
      <c r="G1345" s="86">
        <v>3</v>
      </c>
      <c r="H1345" s="86">
        <v>3</v>
      </c>
      <c r="I1345" s="86">
        <v>2</v>
      </c>
      <c r="J1345" s="86">
        <v>3</v>
      </c>
      <c r="K1345" s="86">
        <v>3</v>
      </c>
      <c r="L1345" s="86">
        <f>SUM(Table3[[#This Row],[Strategic priority segment]:[Propensity to buy/ buyer readiness]])</f>
        <v>14</v>
      </c>
      <c r="M1345" s="86" t="s">
        <v>152</v>
      </c>
      <c r="N1345" s="84" t="s">
        <v>264</v>
      </c>
      <c r="O1345" s="84"/>
      <c r="P1345" s="84"/>
      <c r="Q1345" s="84"/>
      <c r="R1345" s="84"/>
      <c r="S1345" s="87"/>
      <c r="T1345" s="87"/>
      <c r="U1345" s="84">
        <v>1</v>
      </c>
      <c r="V1345" s="84">
        <v>0</v>
      </c>
      <c r="W1345" s="84">
        <v>0</v>
      </c>
      <c r="X1345" s="84">
        <v>0</v>
      </c>
      <c r="Y1345" s="84">
        <v>0</v>
      </c>
      <c r="Z1345" s="84">
        <v>0</v>
      </c>
      <c r="AA1345" s="84">
        <v>0</v>
      </c>
      <c r="AB1345" s="84">
        <v>0</v>
      </c>
      <c r="AC1345" s="84">
        <v>0</v>
      </c>
      <c r="AD1345" s="84">
        <v>0</v>
      </c>
      <c r="AE1345" s="84">
        <v>0</v>
      </c>
      <c r="AF1345" s="84">
        <v>0</v>
      </c>
      <c r="AG1345" s="84">
        <v>0</v>
      </c>
      <c r="AH1345" s="84">
        <v>0</v>
      </c>
      <c r="AI1345" s="84">
        <v>0</v>
      </c>
      <c r="AJ1345" s="84">
        <v>0</v>
      </c>
      <c r="AK1345" s="84">
        <v>0</v>
      </c>
      <c r="AL1345" s="84" cm="1">
        <f t="array" ref="AL13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45" s="84" cm="1">
        <f t="array" ref="AM13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5" s="84" cm="1">
        <f t="array" ref="AN13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5" s="84" cm="1">
        <f t="array" ref="AO13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5" s="84" cm="1">
        <f t="array" ref="AP13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5" s="84" cm="1">
        <f t="array" ref="AQ13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5" s="84" cm="1">
        <f t="array" ref="AR13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5" s="84" cm="1">
        <f t="array" ref="AS13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5" s="84" cm="1">
        <f t="array" ref="AT13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5" s="84" cm="1">
        <f t="array" ref="AU13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45" s="84" cm="1">
        <f t="array" ref="AV13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5" s="84" cm="1">
        <f t="array" ref="AW13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45" s="84" cm="1">
        <f t="array" ref="AX13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5" s="84" cm="1">
        <f t="array" ref="AY13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5" s="84" cm="1">
        <f t="array" ref="AZ13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5" s="84" cm="1">
        <f t="array" ref="BA13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5" s="84" cm="1">
        <f t="array" ref="BB13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5" s="84">
        <f>IF(SUM(Table3[[#This Row],[Column2]:[Column18]])&gt;Table3[[#This Row],[Column19]],Table3[[#This Row],[Column19]],SUM(Table3[[#This Row],[Column2]:[Column18]]))</f>
        <v>10800</v>
      </c>
      <c r="BD1345" s="2">
        <f>Table3[[#This Row],[Total Spend]]/SUM(Table3[[#This Row],[Column2]:[Column18]])</f>
        <v>1</v>
      </c>
    </row>
    <row r="1346" spans="1:56">
      <c r="A1346" s="84" t="s">
        <v>1421</v>
      </c>
      <c r="B1346" s="84"/>
      <c r="C1346" s="84"/>
      <c r="D1346" s="85">
        <v>45566</v>
      </c>
      <c r="E1346" s="85" t="s">
        <v>92</v>
      </c>
      <c r="F1346" s="84">
        <f>INDEX(Definitions!$G$13:$G$17,MATCH(Table3[[#This Row],[Propensity to buy/ buyer readiness]],Definitions!$A$13:$A$17,0))</f>
        <v>50000</v>
      </c>
      <c r="G1346" s="86">
        <v>3</v>
      </c>
      <c r="H1346" s="86">
        <v>3</v>
      </c>
      <c r="I1346" s="86">
        <v>2</v>
      </c>
      <c r="J1346" s="86">
        <v>3</v>
      </c>
      <c r="K1346" s="86">
        <v>3</v>
      </c>
      <c r="L1346" s="86">
        <f>SUM(Table3[[#This Row],[Strategic priority segment]:[Propensity to buy/ buyer readiness]])</f>
        <v>14</v>
      </c>
      <c r="M1346" s="86" t="s">
        <v>152</v>
      </c>
      <c r="N1346" s="84" t="s">
        <v>122</v>
      </c>
      <c r="O1346" s="84"/>
      <c r="P1346" s="87"/>
      <c r="Q1346" s="87"/>
      <c r="R1346" s="84"/>
      <c r="S1346" s="87"/>
      <c r="T1346" s="87"/>
      <c r="U1346" s="84">
        <v>1</v>
      </c>
      <c r="V1346" s="84">
        <v>0</v>
      </c>
      <c r="W1346" s="84">
        <v>0</v>
      </c>
      <c r="X1346" s="84">
        <v>0</v>
      </c>
      <c r="Y1346" s="84">
        <v>0</v>
      </c>
      <c r="Z1346" s="84">
        <v>1</v>
      </c>
      <c r="AA1346" s="84">
        <v>0</v>
      </c>
      <c r="AB1346" s="84">
        <v>1</v>
      </c>
      <c r="AC1346" s="84">
        <v>0</v>
      </c>
      <c r="AD1346" s="84">
        <v>1</v>
      </c>
      <c r="AE1346" s="84">
        <v>0</v>
      </c>
      <c r="AF1346" s="84">
        <v>1</v>
      </c>
      <c r="AG1346" s="84">
        <v>0</v>
      </c>
      <c r="AH1346" s="84">
        <v>0</v>
      </c>
      <c r="AI1346" s="84">
        <v>0</v>
      </c>
      <c r="AJ1346" s="84">
        <v>0</v>
      </c>
      <c r="AK1346" s="84">
        <v>0</v>
      </c>
      <c r="AL1346" s="84" cm="1">
        <f t="array" ref="AL13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6" s="84" cm="1">
        <f t="array" ref="AM13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6" s="84" cm="1">
        <f t="array" ref="AN13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6" s="84" cm="1">
        <f t="array" ref="AO13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6" s="84" cm="1">
        <f t="array" ref="AP13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6" s="84" cm="1">
        <f t="array" ref="AQ13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46" s="84" cm="1">
        <f t="array" ref="AR13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6" s="84" cm="1">
        <f t="array" ref="AS13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46" s="84" cm="1">
        <f t="array" ref="AT13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6" s="84" cm="1">
        <f t="array" ref="AU13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46" s="84" cm="1">
        <f t="array" ref="AV13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6" s="84" cm="1">
        <f t="array" ref="AW13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46" s="84" cm="1">
        <f t="array" ref="AX13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6" s="84" cm="1">
        <f t="array" ref="AY13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6" s="84" cm="1">
        <f t="array" ref="AZ13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6" s="84" cm="1">
        <f t="array" ref="BA13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6" s="84" cm="1">
        <f t="array" ref="BB13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6" s="84">
        <f>IF(SUM(Table3[[#This Row],[Column2]:[Column18]])&gt;Table3[[#This Row],[Column19]],Table3[[#This Row],[Column19]],SUM(Table3[[#This Row],[Column2]:[Column18]]))</f>
        <v>50000</v>
      </c>
      <c r="BD1346" s="2">
        <f>Table3[[#This Row],[Total Spend]]/SUM(Table3[[#This Row],[Column2]:[Column18]])</f>
        <v>0.41459369817578773</v>
      </c>
    </row>
    <row r="1347" spans="1:56">
      <c r="A1347" s="84" t="s">
        <v>1422</v>
      </c>
      <c r="B1347" s="84"/>
      <c r="C1347" s="84"/>
      <c r="D1347" s="85">
        <v>45566</v>
      </c>
      <c r="E1347" s="85" t="s">
        <v>58</v>
      </c>
      <c r="F1347" s="84">
        <f>INDEX(Definitions!$G$13:$G$17,MATCH(Table3[[#This Row],[Propensity to buy/ buyer readiness]],Definitions!$A$13:$A$17,0))</f>
        <v>50000</v>
      </c>
      <c r="G1347" s="86">
        <v>3</v>
      </c>
      <c r="H1347" s="86">
        <v>3</v>
      </c>
      <c r="I1347" s="86">
        <v>2</v>
      </c>
      <c r="J1347" s="86">
        <v>3</v>
      </c>
      <c r="K1347" s="86">
        <v>3</v>
      </c>
      <c r="L1347" s="86">
        <f>SUM(Table3[[#This Row],[Strategic priority segment]:[Propensity to buy/ buyer readiness]])</f>
        <v>14</v>
      </c>
      <c r="M1347" s="86" t="s">
        <v>152</v>
      </c>
      <c r="N1347" s="84" t="s">
        <v>264</v>
      </c>
      <c r="O1347" s="84"/>
      <c r="P1347" s="87"/>
      <c r="Q1347" s="87"/>
      <c r="R1347" s="84"/>
      <c r="S1347" s="87"/>
      <c r="T1347" s="87"/>
      <c r="U1347" s="84">
        <v>1</v>
      </c>
      <c r="V1347" s="84">
        <v>0</v>
      </c>
      <c r="W1347" s="84">
        <v>0</v>
      </c>
      <c r="X1347" s="84">
        <v>0</v>
      </c>
      <c r="Y1347" s="84">
        <v>0</v>
      </c>
      <c r="Z1347" s="84">
        <v>0</v>
      </c>
      <c r="AA1347" s="84">
        <v>0</v>
      </c>
      <c r="AB1347" s="84">
        <v>0</v>
      </c>
      <c r="AC1347" s="84">
        <v>0</v>
      </c>
      <c r="AD1347" s="84">
        <v>0</v>
      </c>
      <c r="AE1347" s="84">
        <v>0</v>
      </c>
      <c r="AF1347" s="84">
        <v>0</v>
      </c>
      <c r="AG1347" s="84">
        <v>0</v>
      </c>
      <c r="AH1347" s="84">
        <v>0</v>
      </c>
      <c r="AI1347" s="84">
        <v>0</v>
      </c>
      <c r="AJ1347" s="84">
        <v>0</v>
      </c>
      <c r="AK1347" s="84">
        <v>0</v>
      </c>
      <c r="AL1347" s="84" cm="1">
        <f t="array" ref="AL13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47" s="84" cm="1">
        <f t="array" ref="AM13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7" s="84" cm="1">
        <f t="array" ref="AN13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7" s="84" cm="1">
        <f t="array" ref="AO13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7" s="84" cm="1">
        <f t="array" ref="AP13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47" s="84" cm="1">
        <f t="array" ref="AQ13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7" s="84" cm="1">
        <f t="array" ref="AR13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7" s="84" cm="1">
        <f t="array" ref="AS13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7" s="84" cm="1">
        <f t="array" ref="AT13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7" s="84" cm="1">
        <f t="array" ref="AU13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47" s="84" cm="1">
        <f t="array" ref="AV13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7" s="84" cm="1">
        <f t="array" ref="AW13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47" s="84" cm="1">
        <f t="array" ref="AX13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7" s="84" cm="1">
        <f t="array" ref="AY13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7" s="84" cm="1">
        <f t="array" ref="AZ13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7" s="84" cm="1">
        <f t="array" ref="BA13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7" s="84" cm="1">
        <f t="array" ref="BB13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7" s="84">
        <f>IF(SUM(Table3[[#This Row],[Column2]:[Column18]])&gt;Table3[[#This Row],[Column19]],Table3[[#This Row],[Column19]],SUM(Table3[[#This Row],[Column2]:[Column18]]))</f>
        <v>10800</v>
      </c>
      <c r="BD1347" s="2">
        <f>Table3[[#This Row],[Total Spend]]/SUM(Table3[[#This Row],[Column2]:[Column18]])</f>
        <v>1</v>
      </c>
    </row>
    <row r="1348" spans="1:56">
      <c r="A1348" s="84" t="s">
        <v>1423</v>
      </c>
      <c r="B1348" s="84"/>
      <c r="C1348" s="84"/>
      <c r="D1348" s="85">
        <v>45566</v>
      </c>
      <c r="E1348" s="85" t="s">
        <v>92</v>
      </c>
      <c r="F1348" s="84">
        <f>INDEX(Definitions!$G$13:$G$17,MATCH(Table3[[#This Row],[Propensity to buy/ buyer readiness]],Definitions!$A$13:$A$17,0))</f>
        <v>10000</v>
      </c>
      <c r="G1348" s="86">
        <v>3</v>
      </c>
      <c r="H1348" s="86">
        <v>3</v>
      </c>
      <c r="I1348" s="86">
        <v>3</v>
      </c>
      <c r="J1348" s="86">
        <v>3</v>
      </c>
      <c r="K1348" s="86">
        <v>2</v>
      </c>
      <c r="L1348" s="86">
        <f>SUM(Table3[[#This Row],[Strategic priority segment]:[Propensity to buy/ buyer readiness]])</f>
        <v>14</v>
      </c>
      <c r="M1348" s="86" t="s">
        <v>59</v>
      </c>
      <c r="N1348" s="84" t="s">
        <v>85</v>
      </c>
      <c r="O1348" s="87"/>
      <c r="P1348" s="87"/>
      <c r="Q1348" s="87"/>
      <c r="R1348" s="87"/>
      <c r="S1348" s="87"/>
      <c r="T1348" s="87"/>
      <c r="U1348" s="84">
        <v>1</v>
      </c>
      <c r="V1348" s="84">
        <v>0</v>
      </c>
      <c r="W1348" s="84">
        <v>0</v>
      </c>
      <c r="X1348" s="84">
        <v>0</v>
      </c>
      <c r="Y1348" s="84">
        <v>1</v>
      </c>
      <c r="Z1348" s="84">
        <v>0</v>
      </c>
      <c r="AA1348" s="84">
        <v>0</v>
      </c>
      <c r="AB1348" s="84">
        <v>0</v>
      </c>
      <c r="AC1348" s="84">
        <v>0</v>
      </c>
      <c r="AD1348" s="84">
        <v>0</v>
      </c>
      <c r="AE1348" s="84">
        <v>0</v>
      </c>
      <c r="AF1348" s="84">
        <v>0</v>
      </c>
      <c r="AG1348" s="84">
        <v>0</v>
      </c>
      <c r="AH1348" s="84">
        <v>0</v>
      </c>
      <c r="AI1348" s="84">
        <v>0</v>
      </c>
      <c r="AJ1348" s="84">
        <v>0</v>
      </c>
      <c r="AK1348" s="84">
        <v>0</v>
      </c>
      <c r="AL1348" s="84" cm="1">
        <f t="array" ref="AL13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8" s="84" cm="1">
        <f t="array" ref="AM13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8" s="84" cm="1">
        <f t="array" ref="AN13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8" s="84" cm="1">
        <f t="array" ref="AO13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8" s="84" cm="1">
        <f t="array" ref="AP13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348" s="84" cm="1">
        <f t="array" ref="AQ13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8" s="84" cm="1">
        <f t="array" ref="AR13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8" s="84" cm="1">
        <f t="array" ref="AS13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8" s="84" cm="1">
        <f t="array" ref="AT13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8" s="84" cm="1">
        <f t="array" ref="AU13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48" s="84" cm="1">
        <f t="array" ref="AV13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8" s="84" cm="1">
        <f t="array" ref="AW13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48" s="84" cm="1">
        <f t="array" ref="AX13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8" s="84" cm="1">
        <f t="array" ref="AY13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8" s="84" cm="1">
        <f t="array" ref="AZ13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8" s="84" cm="1">
        <f t="array" ref="BA13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48" s="84" cm="1">
        <f t="array" ref="BB13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8" s="84">
        <f>IF(SUM(Table3[[#This Row],[Column2]:[Column18]])&gt;Table3[[#This Row],[Column19]],Table3[[#This Row],[Column19]],SUM(Table3[[#This Row],[Column2]:[Column18]]))</f>
        <v>10000</v>
      </c>
      <c r="BD1348" s="2">
        <f>Table3[[#This Row],[Total Spend]]/SUM(Table3[[#This Row],[Column2]:[Column18]])</f>
        <v>0.20964360587002095</v>
      </c>
    </row>
    <row r="1349" spans="1:56">
      <c r="A1349" s="87" t="s">
        <v>1424</v>
      </c>
      <c r="B1349" s="87"/>
      <c r="C1349" s="87"/>
      <c r="D1349" s="89">
        <v>45809</v>
      </c>
      <c r="E1349" s="89" t="s">
        <v>92</v>
      </c>
      <c r="F1349" s="87">
        <f>INDEX(Definitions!$G$13:$G$17,MATCH(Table3[[#This Row],[Propensity to buy/ buyer readiness]],Definitions!$A$13:$A$17,0))</f>
        <v>10000</v>
      </c>
      <c r="G1349" s="90">
        <v>3</v>
      </c>
      <c r="H1349" s="90">
        <v>3</v>
      </c>
      <c r="I1349" s="90">
        <v>3</v>
      </c>
      <c r="J1349" s="90">
        <v>3</v>
      </c>
      <c r="K1349" s="90">
        <v>2</v>
      </c>
      <c r="L1349" s="90">
        <f>SUM(Table3[[#This Row],[Strategic priority segment]:[Propensity to buy/ buyer readiness]])</f>
        <v>14</v>
      </c>
      <c r="M1349" s="86" t="s">
        <v>59</v>
      </c>
      <c r="N1349" s="84" t="s">
        <v>85</v>
      </c>
      <c r="O1349" s="87" t="s">
        <v>144</v>
      </c>
      <c r="P1349" s="87"/>
      <c r="Q1349" s="87"/>
      <c r="R1349" s="84"/>
      <c r="S1349" s="87"/>
      <c r="T1349" s="87"/>
      <c r="U1349" s="84">
        <v>1</v>
      </c>
      <c r="V1349" s="84">
        <v>0</v>
      </c>
      <c r="W1349" s="84">
        <v>0</v>
      </c>
      <c r="X1349" s="84">
        <v>0</v>
      </c>
      <c r="Y1349" s="84">
        <v>1</v>
      </c>
      <c r="Z1349" s="84">
        <v>0</v>
      </c>
      <c r="AA1349" s="84">
        <v>0</v>
      </c>
      <c r="AB1349" s="84">
        <v>0</v>
      </c>
      <c r="AC1349" s="84">
        <v>0</v>
      </c>
      <c r="AD1349" s="84">
        <v>0</v>
      </c>
      <c r="AE1349" s="84">
        <v>0</v>
      </c>
      <c r="AF1349" s="84">
        <v>1</v>
      </c>
      <c r="AG1349" s="84">
        <v>0</v>
      </c>
      <c r="AH1349" s="84">
        <v>0</v>
      </c>
      <c r="AI1349" s="84">
        <v>0</v>
      </c>
      <c r="AJ1349" s="84">
        <v>1</v>
      </c>
      <c r="AK1349" s="84">
        <v>0</v>
      </c>
      <c r="AL1349" s="84" cm="1">
        <f t="array" ref="AL13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49" s="84" cm="1">
        <f t="array" ref="AM13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49" s="84" cm="1">
        <f t="array" ref="AN13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49" s="84" cm="1">
        <f t="array" ref="AO13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49" s="84" cm="1">
        <f t="array" ref="AP13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349" s="84" cm="1">
        <f t="array" ref="AQ13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49" s="84" cm="1">
        <f t="array" ref="AR13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49" s="84" cm="1">
        <f t="array" ref="AS13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49" s="84" cm="1">
        <f t="array" ref="AT13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49" s="84" cm="1">
        <f t="array" ref="AU13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49" s="84" cm="1">
        <f t="array" ref="AV13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49" s="84" cm="1">
        <f t="array" ref="AW13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49" s="84" cm="1">
        <f t="array" ref="AX13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49" s="84" cm="1">
        <f t="array" ref="AY13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49" s="84" cm="1">
        <f t="array" ref="AZ13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49" s="84" cm="1">
        <f t="array" ref="BA13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49" s="84" cm="1">
        <f t="array" ref="BB13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49" s="84">
        <f>IF(SUM(Table3[[#This Row],[Column2]:[Column18]])&gt;Table3[[#This Row],[Column19]],Table3[[#This Row],[Column19]],SUM(Table3[[#This Row],[Column2]:[Column18]]))</f>
        <v>10000</v>
      </c>
      <c r="BD1349" s="2">
        <f>Table3[[#This Row],[Total Spend]]/SUM(Table3[[#This Row],[Column2]:[Column18]])</f>
        <v>0.10101010101010101</v>
      </c>
    </row>
    <row r="1350" spans="1:56">
      <c r="A1350" s="84" t="s">
        <v>1425</v>
      </c>
      <c r="B1350" s="84"/>
      <c r="C1350" s="84" t="s">
        <v>57</v>
      </c>
      <c r="D1350" s="85">
        <v>45566</v>
      </c>
      <c r="E1350" s="85" t="s">
        <v>92</v>
      </c>
      <c r="F1350" s="84">
        <f>INDEX(Definitions!$G$13:$G$17,MATCH(Table3[[#This Row],[Propensity to buy/ buyer readiness]],Definitions!$A$13:$A$17,0))</f>
        <v>10000</v>
      </c>
      <c r="G1350" s="86">
        <v>3</v>
      </c>
      <c r="H1350" s="86">
        <v>3</v>
      </c>
      <c r="I1350" s="86">
        <v>3</v>
      </c>
      <c r="J1350" s="86">
        <v>3</v>
      </c>
      <c r="K1350" s="86">
        <v>2</v>
      </c>
      <c r="L1350" s="86">
        <f>SUM(Table3[[#This Row],[Strategic priority segment]:[Propensity to buy/ buyer readiness]])</f>
        <v>14</v>
      </c>
      <c r="M1350" s="86" t="s">
        <v>152</v>
      </c>
      <c r="N1350" s="84" t="s">
        <v>264</v>
      </c>
      <c r="O1350" s="84"/>
      <c r="P1350" s="87"/>
      <c r="Q1350" s="87"/>
      <c r="R1350" s="84"/>
      <c r="S1350" s="87"/>
      <c r="T1350" s="87"/>
      <c r="U1350" s="84">
        <v>1</v>
      </c>
      <c r="V1350" s="84">
        <v>0</v>
      </c>
      <c r="W1350" s="84">
        <v>0</v>
      </c>
      <c r="X1350" s="84">
        <v>0</v>
      </c>
      <c r="Y1350" s="84">
        <v>0</v>
      </c>
      <c r="Z1350" s="84">
        <v>0</v>
      </c>
      <c r="AA1350" s="84">
        <v>0</v>
      </c>
      <c r="AB1350" s="84">
        <v>0</v>
      </c>
      <c r="AC1350" s="84">
        <v>0</v>
      </c>
      <c r="AD1350" s="84">
        <v>0</v>
      </c>
      <c r="AE1350" s="84">
        <v>0</v>
      </c>
      <c r="AF1350" s="84">
        <v>0</v>
      </c>
      <c r="AG1350" s="84">
        <v>0</v>
      </c>
      <c r="AH1350" s="84">
        <v>0</v>
      </c>
      <c r="AI1350" s="84">
        <v>0</v>
      </c>
      <c r="AJ1350" s="84">
        <v>0</v>
      </c>
      <c r="AK1350" s="84">
        <v>0</v>
      </c>
      <c r="AL1350" s="84" cm="1">
        <f t="array" ref="AL13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0" s="84" cm="1">
        <f t="array" ref="AM13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0" s="84" cm="1">
        <f t="array" ref="AN13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0" s="84" cm="1">
        <f t="array" ref="AO13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0" s="84" cm="1">
        <f t="array" ref="AP13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0" s="84" cm="1">
        <f t="array" ref="AQ13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50" s="84" cm="1">
        <f t="array" ref="AR13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0" s="84" cm="1">
        <f t="array" ref="AS13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50" s="84" cm="1">
        <f t="array" ref="AT13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0" s="84" cm="1">
        <f t="array" ref="AU13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50" s="84" cm="1">
        <f t="array" ref="AV13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0" s="84" cm="1">
        <f t="array" ref="AW13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50" s="84" cm="1">
        <f t="array" ref="AX13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0" s="84" cm="1">
        <f t="array" ref="AY13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0" s="84" cm="1">
        <f t="array" ref="AZ13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0" s="84" cm="1">
        <f t="array" ref="BA13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0" s="84" cm="1">
        <f t="array" ref="BB13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0" s="84">
        <f>IF(SUM(Table3[[#This Row],[Column2]:[Column18]])&gt;Table3[[#This Row],[Column19]],Table3[[#This Row],[Column19]],SUM(Table3[[#This Row],[Column2]:[Column18]]))</f>
        <v>8100</v>
      </c>
      <c r="BD1350" s="2">
        <f>Table3[[#This Row],[Total Spend]]/SUM(Table3[[#This Row],[Column2]:[Column18]])</f>
        <v>1</v>
      </c>
    </row>
    <row r="1351" spans="1:56">
      <c r="A1351" s="84" t="s">
        <v>1426</v>
      </c>
      <c r="B1351" s="84"/>
      <c r="C1351" s="84"/>
      <c r="D1351" s="85">
        <v>45566</v>
      </c>
      <c r="E1351" s="85" t="s">
        <v>92</v>
      </c>
      <c r="F1351" s="84">
        <f>INDEX(Definitions!$G$13:$G$17,MATCH(Table3[[#This Row],[Propensity to buy/ buyer readiness]],Definitions!$A$13:$A$17,0))</f>
        <v>50000</v>
      </c>
      <c r="G1351" s="86">
        <v>3</v>
      </c>
      <c r="H1351" s="86">
        <v>3</v>
      </c>
      <c r="I1351" s="86">
        <v>2</v>
      </c>
      <c r="J1351" s="86">
        <v>3</v>
      </c>
      <c r="K1351" s="86">
        <v>3</v>
      </c>
      <c r="L1351" s="86">
        <f>SUM(Table3[[#This Row],[Strategic priority segment]:[Propensity to buy/ buyer readiness]])</f>
        <v>14</v>
      </c>
      <c r="M1351" s="86" t="s">
        <v>152</v>
      </c>
      <c r="N1351" s="84" t="s">
        <v>122</v>
      </c>
      <c r="O1351" s="84"/>
      <c r="P1351" s="87"/>
      <c r="Q1351" s="87"/>
      <c r="R1351" s="84"/>
      <c r="S1351" s="87"/>
      <c r="T1351" s="87"/>
      <c r="U1351" s="84">
        <v>1</v>
      </c>
      <c r="V1351" s="84">
        <v>0</v>
      </c>
      <c r="W1351" s="84">
        <v>0</v>
      </c>
      <c r="X1351" s="84">
        <v>0</v>
      </c>
      <c r="Y1351" s="84">
        <v>0</v>
      </c>
      <c r="Z1351" s="84">
        <v>1</v>
      </c>
      <c r="AA1351" s="84">
        <v>0</v>
      </c>
      <c r="AB1351" s="84">
        <v>1</v>
      </c>
      <c r="AC1351" s="84">
        <v>0</v>
      </c>
      <c r="AD1351" s="84">
        <v>1</v>
      </c>
      <c r="AE1351" s="84">
        <v>0</v>
      </c>
      <c r="AF1351" s="84">
        <v>1</v>
      </c>
      <c r="AG1351" s="84">
        <v>0</v>
      </c>
      <c r="AH1351" s="84">
        <v>0</v>
      </c>
      <c r="AI1351" s="84">
        <v>0</v>
      </c>
      <c r="AJ1351" s="84">
        <v>0</v>
      </c>
      <c r="AK1351" s="84">
        <v>0</v>
      </c>
      <c r="AL1351" s="84" cm="1">
        <f t="array" ref="AL13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1" s="84" cm="1">
        <f t="array" ref="AM13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1" s="84" cm="1">
        <f t="array" ref="AN13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1" s="84" cm="1">
        <f t="array" ref="AO13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1" s="84" cm="1">
        <f t="array" ref="AP13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1" s="84" cm="1">
        <f t="array" ref="AQ13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51" s="84" cm="1">
        <f t="array" ref="AR13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1" s="84" cm="1">
        <f t="array" ref="AS13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51" s="84" cm="1">
        <f t="array" ref="AT13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1" s="84" cm="1">
        <f t="array" ref="AU13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51" s="84" cm="1">
        <f t="array" ref="AV13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1" s="84" cm="1">
        <f t="array" ref="AW13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51" s="84" cm="1">
        <f t="array" ref="AX13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1" s="84" cm="1">
        <f t="array" ref="AY13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1" s="84" cm="1">
        <f t="array" ref="AZ13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1" s="84" cm="1">
        <f t="array" ref="BA13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1" s="84" cm="1">
        <f t="array" ref="BB13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1" s="84">
        <f>IF(SUM(Table3[[#This Row],[Column2]:[Column18]])&gt;Table3[[#This Row],[Column19]],Table3[[#This Row],[Column19]],SUM(Table3[[#This Row],[Column2]:[Column18]]))</f>
        <v>50000</v>
      </c>
      <c r="BD1351" s="2">
        <f>Table3[[#This Row],[Total Spend]]/SUM(Table3[[#This Row],[Column2]:[Column18]])</f>
        <v>0.41459369817578773</v>
      </c>
    </row>
    <row r="1352" spans="1:56">
      <c r="A1352" s="84" t="s">
        <v>1427</v>
      </c>
      <c r="B1352" s="84"/>
      <c r="C1352" s="84"/>
      <c r="D1352" s="85">
        <v>45566</v>
      </c>
      <c r="E1352" s="85" t="s">
        <v>58</v>
      </c>
      <c r="F1352" s="84">
        <f>INDEX(Definitions!$G$13:$G$17,MATCH(Table3[[#This Row],[Propensity to buy/ buyer readiness]],Definitions!$A$13:$A$17,0))</f>
        <v>50000</v>
      </c>
      <c r="G1352" s="86">
        <v>3</v>
      </c>
      <c r="H1352" s="86">
        <v>3</v>
      </c>
      <c r="I1352" s="86">
        <v>2</v>
      </c>
      <c r="J1352" s="86">
        <v>3</v>
      </c>
      <c r="K1352" s="86">
        <v>3</v>
      </c>
      <c r="L1352" s="86">
        <f>SUM(Table3[[#This Row],[Strategic priority segment]:[Propensity to buy/ buyer readiness]])</f>
        <v>14</v>
      </c>
      <c r="M1352" s="86" t="s">
        <v>152</v>
      </c>
      <c r="N1352" s="84" t="s">
        <v>264</v>
      </c>
      <c r="O1352" s="84"/>
      <c r="P1352" s="84"/>
      <c r="Q1352" s="84"/>
      <c r="R1352" s="84"/>
      <c r="S1352" s="87"/>
      <c r="T1352" s="87"/>
      <c r="U1352" s="84">
        <v>1</v>
      </c>
      <c r="V1352" s="84">
        <v>0</v>
      </c>
      <c r="W1352" s="84">
        <v>0</v>
      </c>
      <c r="X1352" s="84">
        <v>0</v>
      </c>
      <c r="Y1352" s="84">
        <v>0</v>
      </c>
      <c r="Z1352" s="84">
        <v>0</v>
      </c>
      <c r="AA1352" s="84">
        <v>0</v>
      </c>
      <c r="AB1352" s="84">
        <v>0</v>
      </c>
      <c r="AC1352" s="84">
        <v>0</v>
      </c>
      <c r="AD1352" s="84">
        <v>0</v>
      </c>
      <c r="AE1352" s="84">
        <v>0</v>
      </c>
      <c r="AF1352" s="84">
        <v>0</v>
      </c>
      <c r="AG1352" s="84">
        <v>0</v>
      </c>
      <c r="AH1352" s="84">
        <v>0</v>
      </c>
      <c r="AI1352" s="84">
        <v>0</v>
      </c>
      <c r="AJ1352" s="84">
        <v>0</v>
      </c>
      <c r="AK1352" s="84">
        <v>0</v>
      </c>
      <c r="AL1352" s="84" cm="1">
        <f t="array" ref="AL13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52" s="84" cm="1">
        <f t="array" ref="AM13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2" s="84" cm="1">
        <f t="array" ref="AN13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2" s="84" cm="1">
        <f t="array" ref="AO13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2" s="84" cm="1">
        <f t="array" ref="AP13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2" s="84" cm="1">
        <f t="array" ref="AQ13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52" s="84" cm="1">
        <f t="array" ref="AR13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2" s="84" cm="1">
        <f t="array" ref="AS13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52" s="84" cm="1">
        <f t="array" ref="AT13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2" s="84" cm="1">
        <f t="array" ref="AU13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52" s="84" cm="1">
        <f t="array" ref="AV13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2" s="84" cm="1">
        <f t="array" ref="AW13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52" s="84" cm="1">
        <f t="array" ref="AX13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2" s="84" cm="1">
        <f t="array" ref="AY13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2" s="84" cm="1">
        <f t="array" ref="AZ13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2" s="84" cm="1">
        <f t="array" ref="BA13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2" s="84" cm="1">
        <f t="array" ref="BB13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2" s="84">
        <f>IF(SUM(Table3[[#This Row],[Column2]:[Column18]])&gt;Table3[[#This Row],[Column19]],Table3[[#This Row],[Column19]],SUM(Table3[[#This Row],[Column2]:[Column18]]))</f>
        <v>10800</v>
      </c>
      <c r="BD1352" s="2">
        <f>Table3[[#This Row],[Total Spend]]/SUM(Table3[[#This Row],[Column2]:[Column18]])</f>
        <v>1</v>
      </c>
    </row>
    <row r="1353" spans="1:56">
      <c r="A1353" s="84" t="s">
        <v>1428</v>
      </c>
      <c r="B1353" s="84"/>
      <c r="C1353" s="84"/>
      <c r="D1353" s="85">
        <v>45566</v>
      </c>
      <c r="E1353" s="85" t="s">
        <v>58</v>
      </c>
      <c r="F1353" s="84">
        <f>INDEX(Definitions!$G$13:$G$17,MATCH(Table3[[#This Row],[Propensity to buy/ buyer readiness]],Definitions!$A$13:$A$17,0))</f>
        <v>50000</v>
      </c>
      <c r="G1353" s="86">
        <v>3</v>
      </c>
      <c r="H1353" s="86">
        <v>3</v>
      </c>
      <c r="I1353" s="86">
        <v>2</v>
      </c>
      <c r="J1353" s="86">
        <v>3</v>
      </c>
      <c r="K1353" s="86">
        <v>3</v>
      </c>
      <c r="L1353" s="86">
        <f>SUM(Table3[[#This Row],[Strategic priority segment]:[Propensity to buy/ buyer readiness]])</f>
        <v>14</v>
      </c>
      <c r="M1353" s="86" t="s">
        <v>152</v>
      </c>
      <c r="N1353" s="84" t="s">
        <v>264</v>
      </c>
      <c r="O1353" s="84"/>
      <c r="P1353" s="84"/>
      <c r="Q1353" s="84"/>
      <c r="R1353" s="84"/>
      <c r="S1353" s="87"/>
      <c r="T1353" s="87"/>
      <c r="U1353" s="84">
        <v>1</v>
      </c>
      <c r="V1353" s="84">
        <v>0</v>
      </c>
      <c r="W1353" s="84">
        <v>0</v>
      </c>
      <c r="X1353" s="84">
        <v>0</v>
      </c>
      <c r="Y1353" s="84">
        <v>0</v>
      </c>
      <c r="Z1353" s="84">
        <v>0</v>
      </c>
      <c r="AA1353" s="84">
        <v>0</v>
      </c>
      <c r="AB1353" s="84">
        <v>0</v>
      </c>
      <c r="AC1353" s="84">
        <v>0</v>
      </c>
      <c r="AD1353" s="84">
        <v>0</v>
      </c>
      <c r="AE1353" s="84">
        <v>0</v>
      </c>
      <c r="AF1353" s="84">
        <v>0</v>
      </c>
      <c r="AG1353" s="84">
        <v>0</v>
      </c>
      <c r="AH1353" s="84">
        <v>0</v>
      </c>
      <c r="AI1353" s="84">
        <v>0</v>
      </c>
      <c r="AJ1353" s="84">
        <v>0</v>
      </c>
      <c r="AK1353" s="84">
        <v>0</v>
      </c>
      <c r="AL1353" s="84" cm="1">
        <f t="array" ref="AL13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53" s="84" cm="1">
        <f t="array" ref="AM13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3" s="84" cm="1">
        <f t="array" ref="AN13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3" s="84" cm="1">
        <f t="array" ref="AO13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3" s="84" cm="1">
        <f t="array" ref="AP13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3" s="84" cm="1">
        <f t="array" ref="AQ13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53" s="84" cm="1">
        <f t="array" ref="AR13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3" s="84" cm="1">
        <f t="array" ref="AS13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53" s="84" cm="1">
        <f t="array" ref="AT13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3" s="84" cm="1">
        <f t="array" ref="AU13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53" s="84" cm="1">
        <f t="array" ref="AV13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3" s="84" cm="1">
        <f t="array" ref="AW13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53" s="84" cm="1">
        <f t="array" ref="AX13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3" s="84" cm="1">
        <f t="array" ref="AY13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3" s="84" cm="1">
        <f t="array" ref="AZ13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3" s="84" cm="1">
        <f t="array" ref="BA13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3" s="84" cm="1">
        <f t="array" ref="BB13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3" s="84">
        <f>IF(SUM(Table3[[#This Row],[Column2]:[Column18]])&gt;Table3[[#This Row],[Column19]],Table3[[#This Row],[Column19]],SUM(Table3[[#This Row],[Column2]:[Column18]]))</f>
        <v>10800</v>
      </c>
      <c r="BD1353" s="2">
        <f>Table3[[#This Row],[Total Spend]]/SUM(Table3[[#This Row],[Column2]:[Column18]])</f>
        <v>1</v>
      </c>
    </row>
    <row r="1354" spans="1:56">
      <c r="A1354" s="84" t="s">
        <v>1429</v>
      </c>
      <c r="B1354" s="84"/>
      <c r="C1354" s="84"/>
      <c r="D1354" s="85">
        <v>45566</v>
      </c>
      <c r="E1354" s="85" t="s">
        <v>92</v>
      </c>
      <c r="F1354" s="84">
        <f>INDEX(Definitions!$G$13:$G$17,MATCH(Table3[[#This Row],[Propensity to buy/ buyer readiness]],Definitions!$A$13:$A$17,0))</f>
        <v>50000</v>
      </c>
      <c r="G1354" s="86">
        <v>3</v>
      </c>
      <c r="H1354" s="86">
        <v>3</v>
      </c>
      <c r="I1354" s="86">
        <v>2</v>
      </c>
      <c r="J1354" s="86">
        <v>3</v>
      </c>
      <c r="K1354" s="86">
        <v>3</v>
      </c>
      <c r="L1354" s="86">
        <f>SUM(Table3[[#This Row],[Strategic priority segment]:[Propensity to buy/ buyer readiness]])</f>
        <v>14</v>
      </c>
      <c r="M1354" s="86" t="s">
        <v>152</v>
      </c>
      <c r="N1354" s="84" t="s">
        <v>122</v>
      </c>
      <c r="O1354" s="87"/>
      <c r="P1354" s="87"/>
      <c r="Q1354" s="87"/>
      <c r="R1354" s="87"/>
      <c r="S1354" s="87"/>
      <c r="T1354" s="87"/>
      <c r="U1354" s="84">
        <v>1</v>
      </c>
      <c r="V1354" s="84">
        <v>0</v>
      </c>
      <c r="W1354" s="84">
        <v>0</v>
      </c>
      <c r="X1354" s="84">
        <v>0</v>
      </c>
      <c r="Y1354" s="84">
        <v>0</v>
      </c>
      <c r="Z1354" s="84">
        <v>1</v>
      </c>
      <c r="AA1354" s="84">
        <v>0</v>
      </c>
      <c r="AB1354" s="84">
        <v>1</v>
      </c>
      <c r="AC1354" s="84">
        <v>0</v>
      </c>
      <c r="AD1354" s="84">
        <v>1</v>
      </c>
      <c r="AE1354" s="84">
        <v>0</v>
      </c>
      <c r="AF1354" s="84">
        <v>1</v>
      </c>
      <c r="AG1354" s="84">
        <v>0</v>
      </c>
      <c r="AH1354" s="84">
        <v>0</v>
      </c>
      <c r="AI1354" s="84">
        <v>0</v>
      </c>
      <c r="AJ1354" s="84">
        <v>0</v>
      </c>
      <c r="AK1354" s="84">
        <v>0</v>
      </c>
      <c r="AL1354" s="84" cm="1">
        <f t="array" ref="AL13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4" s="84" cm="1">
        <f t="array" ref="AM13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4" s="84" cm="1">
        <f t="array" ref="AN13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4" s="84" cm="1">
        <f t="array" ref="AO13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4" s="84" cm="1">
        <f t="array" ref="AP13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4" s="84" cm="1">
        <f t="array" ref="AQ13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54" s="84" cm="1">
        <f t="array" ref="AR13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4" s="84" cm="1">
        <f t="array" ref="AS13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54" s="84" cm="1">
        <f t="array" ref="AT13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4" s="84" cm="1">
        <f t="array" ref="AU13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54" s="84" cm="1">
        <f t="array" ref="AV13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4" s="84" cm="1">
        <f t="array" ref="AW13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54" s="84" cm="1">
        <f t="array" ref="AX13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4" s="84" cm="1">
        <f t="array" ref="AY13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4" s="84" cm="1">
        <f t="array" ref="AZ13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4" s="84" cm="1">
        <f t="array" ref="BA13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4" s="84" cm="1">
        <f t="array" ref="BB13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4" s="84">
        <f>IF(SUM(Table3[[#This Row],[Column2]:[Column18]])&gt;Table3[[#This Row],[Column19]],Table3[[#This Row],[Column19]],SUM(Table3[[#This Row],[Column2]:[Column18]]))</f>
        <v>50000</v>
      </c>
      <c r="BD1354" s="2">
        <f>Table3[[#This Row],[Total Spend]]/SUM(Table3[[#This Row],[Column2]:[Column18]])</f>
        <v>0.41459369817578773</v>
      </c>
    </row>
    <row r="1355" spans="1:56">
      <c r="A1355" s="84" t="s">
        <v>1430</v>
      </c>
      <c r="B1355" s="84"/>
      <c r="C1355" s="84" t="s">
        <v>57</v>
      </c>
      <c r="D1355" s="85">
        <v>45566</v>
      </c>
      <c r="E1355" s="85" t="s">
        <v>92</v>
      </c>
      <c r="F1355" s="84">
        <f>INDEX(Definitions!$G$13:$G$17,MATCH(Table3[[#This Row],[Propensity to buy/ buyer readiness]],Definitions!$A$13:$A$17,0))</f>
        <v>10000</v>
      </c>
      <c r="G1355" s="86">
        <v>3</v>
      </c>
      <c r="H1355" s="86">
        <v>3</v>
      </c>
      <c r="I1355" s="86">
        <v>3</v>
      </c>
      <c r="J1355" s="86">
        <v>3</v>
      </c>
      <c r="K1355" s="86">
        <v>2</v>
      </c>
      <c r="L1355" s="86">
        <f>SUM(Table3[[#This Row],[Strategic priority segment]:[Propensity to buy/ buyer readiness]])</f>
        <v>14</v>
      </c>
      <c r="M1355" s="86" t="s">
        <v>152</v>
      </c>
      <c r="N1355" s="84" t="s">
        <v>264</v>
      </c>
      <c r="O1355" s="84"/>
      <c r="P1355" s="87"/>
      <c r="Q1355" s="87"/>
      <c r="R1355" s="84"/>
      <c r="S1355" s="87"/>
      <c r="T1355" s="87"/>
      <c r="U1355" s="84">
        <v>1</v>
      </c>
      <c r="V1355" s="84">
        <v>0</v>
      </c>
      <c r="W1355" s="84">
        <v>0</v>
      </c>
      <c r="X1355" s="84">
        <v>0</v>
      </c>
      <c r="Y1355" s="84">
        <v>0</v>
      </c>
      <c r="Z1355" s="84">
        <v>0</v>
      </c>
      <c r="AA1355" s="84">
        <v>0</v>
      </c>
      <c r="AB1355" s="84">
        <v>0</v>
      </c>
      <c r="AC1355" s="84">
        <v>0</v>
      </c>
      <c r="AD1355" s="84">
        <v>0</v>
      </c>
      <c r="AE1355" s="84">
        <v>0</v>
      </c>
      <c r="AF1355" s="84">
        <v>0</v>
      </c>
      <c r="AG1355" s="84">
        <v>0</v>
      </c>
      <c r="AH1355" s="84">
        <v>0</v>
      </c>
      <c r="AI1355" s="84">
        <v>0</v>
      </c>
      <c r="AJ1355" s="84">
        <v>0</v>
      </c>
      <c r="AK1355" s="84">
        <v>0</v>
      </c>
      <c r="AL1355" s="84" cm="1">
        <f t="array" ref="AL13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5" s="84" cm="1">
        <f t="array" ref="AM13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5" s="84" cm="1">
        <f t="array" ref="AN13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5" s="84" cm="1">
        <f t="array" ref="AO13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5" s="84" cm="1">
        <f t="array" ref="AP13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5" s="84" cm="1">
        <f t="array" ref="AQ13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55" s="84" cm="1">
        <f t="array" ref="AR13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5" s="84" cm="1">
        <f t="array" ref="AS13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55" s="84" cm="1">
        <f t="array" ref="AT13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5" s="84" cm="1">
        <f t="array" ref="AU13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55" s="84" cm="1">
        <f t="array" ref="AV13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5" s="84" cm="1">
        <f t="array" ref="AW13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55" s="84" cm="1">
        <f t="array" ref="AX13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5" s="84" cm="1">
        <f t="array" ref="AY13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5" s="84" cm="1">
        <f t="array" ref="AZ13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5" s="84" cm="1">
        <f t="array" ref="BA13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5" s="84" cm="1">
        <f t="array" ref="BB13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5" s="84">
        <f>IF(SUM(Table3[[#This Row],[Column2]:[Column18]])&gt;Table3[[#This Row],[Column19]],Table3[[#This Row],[Column19]],SUM(Table3[[#This Row],[Column2]:[Column18]]))</f>
        <v>8100</v>
      </c>
      <c r="BD1355" s="2">
        <f>Table3[[#This Row],[Total Spend]]/SUM(Table3[[#This Row],[Column2]:[Column18]])</f>
        <v>1</v>
      </c>
    </row>
    <row r="1356" spans="1:56">
      <c r="A1356" s="84" t="s">
        <v>1431</v>
      </c>
      <c r="B1356" s="84"/>
      <c r="C1356" s="84"/>
      <c r="D1356" s="85">
        <v>45809</v>
      </c>
      <c r="E1356" s="85" t="s">
        <v>92</v>
      </c>
      <c r="F1356" s="84">
        <f>INDEX(Definitions!$G$13:$G$17,MATCH(Table3[[#This Row],[Propensity to buy/ buyer readiness]],Definitions!$A$13:$A$17,0))</f>
        <v>50000</v>
      </c>
      <c r="G1356" s="86">
        <v>3</v>
      </c>
      <c r="H1356" s="86">
        <v>3</v>
      </c>
      <c r="I1356" s="86">
        <v>2</v>
      </c>
      <c r="J1356" s="86">
        <v>3</v>
      </c>
      <c r="K1356" s="86">
        <v>3</v>
      </c>
      <c r="L1356" s="86">
        <f>SUM(Table3[[#This Row],[Strategic priority segment]:[Propensity to buy/ buyer readiness]])</f>
        <v>14</v>
      </c>
      <c r="M1356" s="86" t="s">
        <v>152</v>
      </c>
      <c r="N1356" s="84" t="s">
        <v>122</v>
      </c>
      <c r="O1356" s="84"/>
      <c r="P1356" s="87"/>
      <c r="Q1356" s="87"/>
      <c r="R1356" s="84"/>
      <c r="S1356" s="87"/>
      <c r="T1356" s="87"/>
      <c r="U1356" s="84">
        <v>1</v>
      </c>
      <c r="V1356" s="84">
        <v>0</v>
      </c>
      <c r="W1356" s="84">
        <v>0</v>
      </c>
      <c r="X1356" s="84">
        <v>0</v>
      </c>
      <c r="Y1356" s="84">
        <v>0</v>
      </c>
      <c r="Z1356" s="84">
        <v>1</v>
      </c>
      <c r="AA1356" s="84">
        <v>0</v>
      </c>
      <c r="AB1356" s="84">
        <v>1</v>
      </c>
      <c r="AC1356" s="84">
        <v>0</v>
      </c>
      <c r="AD1356" s="84">
        <v>1</v>
      </c>
      <c r="AE1356" s="84">
        <v>0</v>
      </c>
      <c r="AF1356" s="84">
        <v>1</v>
      </c>
      <c r="AG1356" s="84">
        <v>0</v>
      </c>
      <c r="AH1356" s="84">
        <v>0</v>
      </c>
      <c r="AI1356" s="84">
        <v>0</v>
      </c>
      <c r="AJ1356" s="84">
        <v>0</v>
      </c>
      <c r="AK1356" s="84">
        <v>0</v>
      </c>
      <c r="AL1356" s="84" cm="1">
        <f t="array" ref="AL13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6" s="84" cm="1">
        <f t="array" ref="AM13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6" s="84" cm="1">
        <f t="array" ref="AN13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6" s="84" cm="1">
        <f t="array" ref="AO13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6" s="84" cm="1">
        <f t="array" ref="AP13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6" s="84" cm="1">
        <f t="array" ref="AQ13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56" s="84" cm="1">
        <f t="array" ref="AR13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6" s="84" cm="1">
        <f t="array" ref="AS13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56" s="84" cm="1">
        <f t="array" ref="AT13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6" s="84" cm="1">
        <f t="array" ref="AU13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56" s="84" cm="1">
        <f t="array" ref="AV13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6" s="84" cm="1">
        <f t="array" ref="AW13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56" s="84" cm="1">
        <f t="array" ref="AX13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6" s="84" cm="1">
        <f t="array" ref="AY13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6" s="84" cm="1">
        <f t="array" ref="AZ13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6" s="84" cm="1">
        <f t="array" ref="BA13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6" s="84" cm="1">
        <f t="array" ref="BB13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6" s="84">
        <f>IF(SUM(Table3[[#This Row],[Column2]:[Column18]])&gt;Table3[[#This Row],[Column19]],Table3[[#This Row],[Column19]],SUM(Table3[[#This Row],[Column2]:[Column18]]))</f>
        <v>50000</v>
      </c>
      <c r="BD1356" s="2">
        <f>Table3[[#This Row],[Total Spend]]/SUM(Table3[[#This Row],[Column2]:[Column18]])</f>
        <v>0.41459369817578773</v>
      </c>
    </row>
    <row r="1357" spans="1:56">
      <c r="A1357" s="84" t="s">
        <v>1432</v>
      </c>
      <c r="B1357" s="84"/>
      <c r="C1357" s="84"/>
      <c r="D1357" s="85">
        <v>45566</v>
      </c>
      <c r="E1357" s="85" t="s">
        <v>58</v>
      </c>
      <c r="F1357" s="84">
        <f>INDEX(Definitions!$G$13:$G$17,MATCH(Table3[[#This Row],[Propensity to buy/ buyer readiness]],Definitions!$A$13:$A$17,0))</f>
        <v>50000</v>
      </c>
      <c r="G1357" s="86">
        <v>3</v>
      </c>
      <c r="H1357" s="86">
        <v>3</v>
      </c>
      <c r="I1357" s="86">
        <v>2</v>
      </c>
      <c r="J1357" s="86">
        <v>3</v>
      </c>
      <c r="K1357" s="86">
        <v>3</v>
      </c>
      <c r="L1357" s="86">
        <f>SUM(Table3[[#This Row],[Strategic priority segment]:[Propensity to buy/ buyer readiness]])</f>
        <v>14</v>
      </c>
      <c r="M1357" s="86" t="s">
        <v>152</v>
      </c>
      <c r="N1357" s="84" t="s">
        <v>264</v>
      </c>
      <c r="O1357" s="84"/>
      <c r="P1357" s="84"/>
      <c r="Q1357" s="84"/>
      <c r="R1357" s="84"/>
      <c r="S1357" s="87"/>
      <c r="T1357" s="84"/>
      <c r="U1357" s="84">
        <v>1</v>
      </c>
      <c r="V1357" s="84">
        <v>0</v>
      </c>
      <c r="W1357" s="84">
        <v>0</v>
      </c>
      <c r="X1357" s="84">
        <v>0</v>
      </c>
      <c r="Y1357" s="84">
        <v>0</v>
      </c>
      <c r="Z1357" s="84">
        <v>0</v>
      </c>
      <c r="AA1357" s="84">
        <v>0</v>
      </c>
      <c r="AB1357" s="84">
        <v>0</v>
      </c>
      <c r="AC1357" s="84">
        <v>0</v>
      </c>
      <c r="AD1357" s="84">
        <v>0</v>
      </c>
      <c r="AE1357" s="84">
        <v>0</v>
      </c>
      <c r="AF1357" s="84">
        <v>0</v>
      </c>
      <c r="AG1357" s="84">
        <v>0</v>
      </c>
      <c r="AH1357" s="84">
        <v>0</v>
      </c>
      <c r="AI1357" s="84">
        <v>0</v>
      </c>
      <c r="AJ1357" s="84">
        <v>0</v>
      </c>
      <c r="AK1357" s="84">
        <v>0</v>
      </c>
      <c r="AL1357" s="84" cm="1">
        <f t="array" ref="AL13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57" s="84" cm="1">
        <f t="array" ref="AM13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7" s="84" cm="1">
        <f t="array" ref="AN13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7" s="84" cm="1">
        <f t="array" ref="AO13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7" s="84" cm="1">
        <f t="array" ref="AP13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7" s="84" cm="1">
        <f t="array" ref="AQ13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57" s="84" cm="1">
        <f t="array" ref="AR13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7" s="84" cm="1">
        <f t="array" ref="AS13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57" s="84" cm="1">
        <f t="array" ref="AT13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7" s="84" cm="1">
        <f t="array" ref="AU13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57" s="84" cm="1">
        <f t="array" ref="AV13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7" s="84" cm="1">
        <f t="array" ref="AW13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57" s="84" cm="1">
        <f t="array" ref="AX13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7" s="84" cm="1">
        <f t="array" ref="AY13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7" s="84" cm="1">
        <f t="array" ref="AZ13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7" s="84" cm="1">
        <f t="array" ref="BA13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7" s="84" cm="1">
        <f t="array" ref="BB13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7" s="84">
        <f>IF(SUM(Table3[[#This Row],[Column2]:[Column18]])&gt;Table3[[#This Row],[Column19]],Table3[[#This Row],[Column19]],SUM(Table3[[#This Row],[Column2]:[Column18]]))</f>
        <v>10800</v>
      </c>
      <c r="BD1357" s="2">
        <f>Table3[[#This Row],[Total Spend]]/SUM(Table3[[#This Row],[Column2]:[Column18]])</f>
        <v>1</v>
      </c>
    </row>
    <row r="1358" spans="1:56">
      <c r="A1358" s="84" t="s">
        <v>1433</v>
      </c>
      <c r="B1358" s="84"/>
      <c r="C1358" s="84"/>
      <c r="D1358" s="85">
        <v>45566</v>
      </c>
      <c r="E1358" s="85" t="s">
        <v>92</v>
      </c>
      <c r="F1358" s="84">
        <f>INDEX(Definitions!$G$13:$G$17,MATCH(Table3[[#This Row],[Propensity to buy/ buyer readiness]],Definitions!$A$13:$A$17,0))</f>
        <v>50000</v>
      </c>
      <c r="G1358" s="86">
        <v>3</v>
      </c>
      <c r="H1358" s="86">
        <v>3</v>
      </c>
      <c r="I1358" s="86">
        <v>2</v>
      </c>
      <c r="J1358" s="86">
        <v>3</v>
      </c>
      <c r="K1358" s="86">
        <v>3</v>
      </c>
      <c r="L1358" s="86">
        <f>SUM(Table3[[#This Row],[Strategic priority segment]:[Propensity to buy/ buyer readiness]])</f>
        <v>14</v>
      </c>
      <c r="M1358" s="86" t="s">
        <v>152</v>
      </c>
      <c r="N1358" s="84" t="s">
        <v>122</v>
      </c>
      <c r="O1358" s="87"/>
      <c r="P1358" s="87"/>
      <c r="Q1358" s="87"/>
      <c r="R1358" s="87"/>
      <c r="S1358" s="87"/>
      <c r="T1358" s="87"/>
      <c r="U1358" s="84">
        <v>1</v>
      </c>
      <c r="V1358" s="84">
        <v>0</v>
      </c>
      <c r="W1358" s="84">
        <v>0</v>
      </c>
      <c r="X1358" s="84">
        <v>0</v>
      </c>
      <c r="Y1358" s="84">
        <v>0</v>
      </c>
      <c r="Z1358" s="84">
        <v>1</v>
      </c>
      <c r="AA1358" s="84">
        <v>0</v>
      </c>
      <c r="AB1358" s="84">
        <v>1</v>
      </c>
      <c r="AC1358" s="84">
        <v>0</v>
      </c>
      <c r="AD1358" s="84">
        <v>1</v>
      </c>
      <c r="AE1358" s="84">
        <v>0</v>
      </c>
      <c r="AF1358" s="84">
        <v>1</v>
      </c>
      <c r="AG1358" s="84">
        <v>0</v>
      </c>
      <c r="AH1358" s="84">
        <v>0</v>
      </c>
      <c r="AI1358" s="84">
        <v>0</v>
      </c>
      <c r="AJ1358" s="84">
        <v>0</v>
      </c>
      <c r="AK1358" s="84">
        <v>0</v>
      </c>
      <c r="AL1358" s="84" cm="1">
        <f t="array" ref="AL13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8" s="84" cm="1">
        <f t="array" ref="AM13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8" s="84" cm="1">
        <f t="array" ref="AN13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8" s="84" cm="1">
        <f t="array" ref="AO13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8" s="84" cm="1">
        <f t="array" ref="AP13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8" s="84" cm="1">
        <f t="array" ref="AQ13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58" s="84" cm="1">
        <f t="array" ref="AR13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8" s="84" cm="1">
        <f t="array" ref="AS13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58" s="84" cm="1">
        <f t="array" ref="AT13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8" s="84" cm="1">
        <f t="array" ref="AU13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58" s="84" cm="1">
        <f t="array" ref="AV13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8" s="84" cm="1">
        <f t="array" ref="AW13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58" s="84" cm="1">
        <f t="array" ref="AX13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8" s="84" cm="1">
        <f t="array" ref="AY13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8" s="84" cm="1">
        <f t="array" ref="AZ13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8" s="84" cm="1">
        <f t="array" ref="BA13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8" s="84" cm="1">
        <f t="array" ref="BB13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8" s="84">
        <f>IF(SUM(Table3[[#This Row],[Column2]:[Column18]])&gt;Table3[[#This Row],[Column19]],Table3[[#This Row],[Column19]],SUM(Table3[[#This Row],[Column2]:[Column18]]))</f>
        <v>50000</v>
      </c>
      <c r="BD1358" s="2">
        <f>Table3[[#This Row],[Total Spend]]/SUM(Table3[[#This Row],[Column2]:[Column18]])</f>
        <v>0.41459369817578773</v>
      </c>
    </row>
    <row r="1359" spans="1:56">
      <c r="A1359" s="84" t="s">
        <v>1434</v>
      </c>
      <c r="B1359" s="84"/>
      <c r="C1359" s="84"/>
      <c r="D1359" s="85">
        <v>45566</v>
      </c>
      <c r="E1359" s="85" t="s">
        <v>92</v>
      </c>
      <c r="F1359" s="84">
        <f>INDEX(Definitions!$G$13:$G$17,MATCH(Table3[[#This Row],[Propensity to buy/ buyer readiness]],Definitions!$A$13:$A$17,0))</f>
        <v>50000</v>
      </c>
      <c r="G1359" s="86">
        <v>3</v>
      </c>
      <c r="H1359" s="86">
        <v>3</v>
      </c>
      <c r="I1359" s="86">
        <v>2</v>
      </c>
      <c r="J1359" s="86">
        <v>3</v>
      </c>
      <c r="K1359" s="86">
        <v>3</v>
      </c>
      <c r="L1359" s="86">
        <f>SUM(Table3[[#This Row],[Strategic priority segment]:[Propensity to buy/ buyer readiness]])</f>
        <v>14</v>
      </c>
      <c r="M1359" s="86" t="s">
        <v>152</v>
      </c>
      <c r="N1359" s="84" t="s">
        <v>122</v>
      </c>
      <c r="O1359" s="84"/>
      <c r="P1359" s="87"/>
      <c r="Q1359" s="87"/>
      <c r="R1359" s="84"/>
      <c r="S1359" s="87"/>
      <c r="T1359" s="84"/>
      <c r="U1359" s="84">
        <v>1</v>
      </c>
      <c r="V1359" s="84">
        <v>0</v>
      </c>
      <c r="W1359" s="84">
        <v>0</v>
      </c>
      <c r="X1359" s="84">
        <v>0</v>
      </c>
      <c r="Y1359" s="84">
        <v>0</v>
      </c>
      <c r="Z1359" s="84">
        <v>1</v>
      </c>
      <c r="AA1359" s="84">
        <v>0</v>
      </c>
      <c r="AB1359" s="84">
        <v>1</v>
      </c>
      <c r="AC1359" s="84">
        <v>0</v>
      </c>
      <c r="AD1359" s="84">
        <v>1</v>
      </c>
      <c r="AE1359" s="84">
        <v>0</v>
      </c>
      <c r="AF1359" s="84">
        <v>1</v>
      </c>
      <c r="AG1359" s="84">
        <v>0</v>
      </c>
      <c r="AH1359" s="84">
        <v>0</v>
      </c>
      <c r="AI1359" s="84">
        <v>0</v>
      </c>
      <c r="AJ1359" s="84">
        <v>0</v>
      </c>
      <c r="AK1359" s="84">
        <v>0</v>
      </c>
      <c r="AL1359" s="84" cm="1">
        <f t="array" ref="AL13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59" s="84" cm="1">
        <f t="array" ref="AM13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59" s="84" cm="1">
        <f t="array" ref="AN13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59" s="84" cm="1">
        <f t="array" ref="AO13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59" s="84" cm="1">
        <f t="array" ref="AP13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59" s="84" cm="1">
        <f t="array" ref="AQ13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59" s="84" cm="1">
        <f t="array" ref="AR13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59" s="84" cm="1">
        <f t="array" ref="AS13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59" s="84" cm="1">
        <f t="array" ref="AT13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59" s="84" cm="1">
        <f t="array" ref="AU13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59" s="84" cm="1">
        <f t="array" ref="AV13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59" s="84" cm="1">
        <f t="array" ref="AW13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59" s="84" cm="1">
        <f t="array" ref="AX13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59" s="84" cm="1">
        <f t="array" ref="AY13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59" s="84" cm="1">
        <f t="array" ref="AZ13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59" s="84" cm="1">
        <f t="array" ref="BA13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59" s="84" cm="1">
        <f t="array" ref="BB13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59" s="84">
        <f>IF(SUM(Table3[[#This Row],[Column2]:[Column18]])&gt;Table3[[#This Row],[Column19]],Table3[[#This Row],[Column19]],SUM(Table3[[#This Row],[Column2]:[Column18]]))</f>
        <v>50000</v>
      </c>
      <c r="BD1359" s="2">
        <f>Table3[[#This Row],[Total Spend]]/SUM(Table3[[#This Row],[Column2]:[Column18]])</f>
        <v>0.41459369817578773</v>
      </c>
    </row>
    <row r="1360" spans="1:56">
      <c r="A1360" s="84" t="s">
        <v>1435</v>
      </c>
      <c r="B1360" s="84" t="s">
        <v>57</v>
      </c>
      <c r="C1360" s="84"/>
      <c r="D1360" s="85">
        <v>45566</v>
      </c>
      <c r="E1360" s="85" t="s">
        <v>58</v>
      </c>
      <c r="F1360" s="84">
        <f>INDEX(Definitions!$G$13:$G$17,MATCH(Table3[[#This Row],[Propensity to buy/ buyer readiness]],Definitions!$A$13:$A$17,0))</f>
        <v>50000</v>
      </c>
      <c r="G1360" s="86">
        <v>1</v>
      </c>
      <c r="H1360" s="86">
        <v>3</v>
      </c>
      <c r="I1360" s="86">
        <v>4</v>
      </c>
      <c r="J1360" s="86">
        <v>3</v>
      </c>
      <c r="K1360" s="86">
        <v>3</v>
      </c>
      <c r="L1360" s="86">
        <f>SUM(Table3[[#This Row],[Strategic priority segment]:[Propensity to buy/ buyer readiness]])</f>
        <v>14</v>
      </c>
      <c r="M1360" s="86" t="s">
        <v>152</v>
      </c>
      <c r="N1360" s="84" t="s">
        <v>264</v>
      </c>
      <c r="O1360" s="84"/>
      <c r="P1360" s="87"/>
      <c r="Q1360" s="87"/>
      <c r="R1360" s="84"/>
      <c r="S1360" s="84"/>
      <c r="T1360" s="87"/>
      <c r="U1360" s="84">
        <v>1</v>
      </c>
      <c r="V1360" s="84">
        <v>0</v>
      </c>
      <c r="W1360" s="84">
        <v>0</v>
      </c>
      <c r="X1360" s="84">
        <v>0</v>
      </c>
      <c r="Y1360" s="84">
        <v>0</v>
      </c>
      <c r="Z1360" s="84">
        <v>0</v>
      </c>
      <c r="AA1360" s="84">
        <v>0</v>
      </c>
      <c r="AB1360" s="84">
        <v>0</v>
      </c>
      <c r="AC1360" s="84">
        <v>0</v>
      </c>
      <c r="AD1360" s="84">
        <v>0</v>
      </c>
      <c r="AE1360" s="84">
        <v>0</v>
      </c>
      <c r="AF1360" s="84">
        <v>0</v>
      </c>
      <c r="AG1360" s="84">
        <v>0</v>
      </c>
      <c r="AH1360" s="84">
        <v>0</v>
      </c>
      <c r="AI1360" s="84">
        <v>0</v>
      </c>
      <c r="AJ1360" s="84">
        <v>0</v>
      </c>
      <c r="AK1360" s="84">
        <v>0</v>
      </c>
      <c r="AL1360" s="84" cm="1">
        <f t="array" ref="AL13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60" s="84" cm="1">
        <f t="array" ref="AM13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0" s="84" cm="1">
        <f t="array" ref="AN13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0" s="84" cm="1">
        <f t="array" ref="AO13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0" s="84" cm="1">
        <f t="array" ref="AP13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0" s="84" cm="1">
        <f t="array" ref="AQ13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0" s="84" cm="1">
        <f t="array" ref="AR13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0" s="84" cm="1">
        <f t="array" ref="AS13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0" s="84" cm="1">
        <f t="array" ref="AT13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0" s="84" cm="1">
        <f t="array" ref="AU13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0" s="84" cm="1">
        <f t="array" ref="AV13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0" s="84" cm="1">
        <f t="array" ref="AW13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0" s="84" cm="1">
        <f t="array" ref="AX13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0" s="84" cm="1">
        <f t="array" ref="AY13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0" s="84" cm="1">
        <f t="array" ref="AZ13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0" s="84" cm="1">
        <f t="array" ref="BA13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0" s="84" cm="1">
        <f t="array" ref="BB13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0" s="84">
        <f>IF(SUM(Table3[[#This Row],[Column2]:[Column18]])&gt;Table3[[#This Row],[Column19]],Table3[[#This Row],[Column19]],SUM(Table3[[#This Row],[Column2]:[Column18]]))</f>
        <v>10800</v>
      </c>
      <c r="BD1360" s="2">
        <f>Table3[[#This Row],[Total Spend]]/SUM(Table3[[#This Row],[Column2]:[Column18]])</f>
        <v>1</v>
      </c>
    </row>
    <row r="1361" spans="1:56">
      <c r="A1361" s="84" t="s">
        <v>1436</v>
      </c>
      <c r="B1361" s="84"/>
      <c r="C1361" s="84"/>
      <c r="D1361" s="85">
        <v>45566</v>
      </c>
      <c r="E1361" s="85" t="s">
        <v>58</v>
      </c>
      <c r="F1361" s="84">
        <f>INDEX(Definitions!$G$13:$G$17,MATCH(Table3[[#This Row],[Propensity to buy/ buyer readiness]],Definitions!$A$13:$A$17,0))</f>
        <v>50000</v>
      </c>
      <c r="G1361" s="86">
        <v>3</v>
      </c>
      <c r="H1361" s="86">
        <v>3</v>
      </c>
      <c r="I1361" s="86">
        <v>2</v>
      </c>
      <c r="J1361" s="86">
        <v>3</v>
      </c>
      <c r="K1361" s="86">
        <v>3</v>
      </c>
      <c r="L1361" s="86">
        <f>SUM(Table3[[#This Row],[Strategic priority segment]:[Propensity to buy/ buyer readiness]])</f>
        <v>14</v>
      </c>
      <c r="M1361" s="86" t="s">
        <v>152</v>
      </c>
      <c r="N1361" s="84" t="s">
        <v>264</v>
      </c>
      <c r="O1361" s="84"/>
      <c r="P1361" s="84"/>
      <c r="Q1361" s="84"/>
      <c r="R1361" s="84"/>
      <c r="S1361" s="87"/>
      <c r="T1361" s="87"/>
      <c r="U1361" s="84">
        <v>1</v>
      </c>
      <c r="V1361" s="84">
        <v>0</v>
      </c>
      <c r="W1361" s="84">
        <v>0</v>
      </c>
      <c r="X1361" s="84">
        <v>0</v>
      </c>
      <c r="Y1361" s="84">
        <v>0</v>
      </c>
      <c r="Z1361" s="84">
        <v>0</v>
      </c>
      <c r="AA1361" s="84">
        <v>0</v>
      </c>
      <c r="AB1361" s="84">
        <v>0</v>
      </c>
      <c r="AC1361" s="84">
        <v>0</v>
      </c>
      <c r="AD1361" s="84">
        <v>0</v>
      </c>
      <c r="AE1361" s="84">
        <v>0</v>
      </c>
      <c r="AF1361" s="84">
        <v>0</v>
      </c>
      <c r="AG1361" s="84">
        <v>0</v>
      </c>
      <c r="AH1361" s="84">
        <v>0</v>
      </c>
      <c r="AI1361" s="84">
        <v>0</v>
      </c>
      <c r="AJ1361" s="84">
        <v>0</v>
      </c>
      <c r="AK1361" s="84">
        <v>0</v>
      </c>
      <c r="AL1361" s="84" cm="1">
        <f t="array" ref="AL13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61" s="84" cm="1">
        <f t="array" ref="AM13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1" s="84" cm="1">
        <f t="array" ref="AN13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1" s="84" cm="1">
        <f t="array" ref="AO13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1" s="84" cm="1">
        <f t="array" ref="AP13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1" s="84" cm="1">
        <f t="array" ref="AQ13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1" s="84" cm="1">
        <f t="array" ref="AR13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1" s="84" cm="1">
        <f t="array" ref="AS13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1" s="84" cm="1">
        <f t="array" ref="AT13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1" s="84" cm="1">
        <f t="array" ref="AU13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1" s="84" cm="1">
        <f t="array" ref="AV13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1" s="84" cm="1">
        <f t="array" ref="AW13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1" s="84" cm="1">
        <f t="array" ref="AX13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1" s="84" cm="1">
        <f t="array" ref="AY13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1" s="84" cm="1">
        <f t="array" ref="AZ13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1" s="84" cm="1">
        <f t="array" ref="BA13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1" s="84" cm="1">
        <f t="array" ref="BB13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1" s="84">
        <f>IF(SUM(Table3[[#This Row],[Column2]:[Column18]])&gt;Table3[[#This Row],[Column19]],Table3[[#This Row],[Column19]],SUM(Table3[[#This Row],[Column2]:[Column18]]))</f>
        <v>10800</v>
      </c>
      <c r="BD1361" s="2">
        <f>Table3[[#This Row],[Total Spend]]/SUM(Table3[[#This Row],[Column2]:[Column18]])</f>
        <v>1</v>
      </c>
    </row>
    <row r="1362" spans="1:56">
      <c r="A1362" s="84" t="s">
        <v>1437</v>
      </c>
      <c r="B1362" s="84"/>
      <c r="C1362" s="84" t="s">
        <v>57</v>
      </c>
      <c r="D1362" s="85">
        <v>45566</v>
      </c>
      <c r="E1362" s="85" t="s">
        <v>92</v>
      </c>
      <c r="F1362" s="84">
        <f>INDEX(Definitions!$G$13:$G$17,MATCH(Table3[[#This Row],[Propensity to buy/ buyer readiness]],Definitions!$A$13:$A$17,0))</f>
        <v>10000</v>
      </c>
      <c r="G1362" s="86">
        <v>3</v>
      </c>
      <c r="H1362" s="86">
        <v>3</v>
      </c>
      <c r="I1362" s="86">
        <v>3</v>
      </c>
      <c r="J1362" s="86">
        <v>3</v>
      </c>
      <c r="K1362" s="86">
        <v>2</v>
      </c>
      <c r="L1362" s="86">
        <f>SUM(Table3[[#This Row],[Strategic priority segment]:[Propensity to buy/ buyer readiness]])</f>
        <v>14</v>
      </c>
      <c r="M1362" s="86" t="s">
        <v>191</v>
      </c>
      <c r="N1362" s="84" t="s">
        <v>135</v>
      </c>
      <c r="O1362" s="84" t="s">
        <v>153</v>
      </c>
      <c r="P1362" s="87"/>
      <c r="Q1362" s="87"/>
      <c r="R1362" s="84"/>
      <c r="S1362" s="87"/>
      <c r="T1362" s="87"/>
      <c r="U1362" s="84">
        <v>1</v>
      </c>
      <c r="V1362" s="84">
        <v>0</v>
      </c>
      <c r="W1362" s="84">
        <v>0</v>
      </c>
      <c r="X1362" s="84">
        <v>0</v>
      </c>
      <c r="Y1362" s="84">
        <v>0</v>
      </c>
      <c r="Z1362" s="84">
        <v>0</v>
      </c>
      <c r="AA1362" s="84">
        <v>0</v>
      </c>
      <c r="AB1362" s="84">
        <v>0</v>
      </c>
      <c r="AC1362" s="84">
        <v>0</v>
      </c>
      <c r="AD1362" s="84">
        <v>0</v>
      </c>
      <c r="AE1362" s="84">
        <v>0</v>
      </c>
      <c r="AF1362" s="84">
        <v>0</v>
      </c>
      <c r="AG1362" s="84">
        <v>0</v>
      </c>
      <c r="AH1362" s="84">
        <v>1</v>
      </c>
      <c r="AI1362" s="84">
        <v>1</v>
      </c>
      <c r="AJ1362" s="84">
        <v>1</v>
      </c>
      <c r="AK1362" s="84">
        <v>1</v>
      </c>
      <c r="AL1362" s="84" cm="1">
        <f t="array" ref="AL13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62" s="84" cm="1">
        <f t="array" ref="AM13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2" s="84" cm="1">
        <f t="array" ref="AN13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2" s="84" cm="1">
        <f t="array" ref="AO13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2" s="84" cm="1">
        <f t="array" ref="AP13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2" s="84" cm="1">
        <f t="array" ref="AQ13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2" s="84" cm="1">
        <f t="array" ref="AR13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2" s="84" cm="1">
        <f t="array" ref="AS13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2" s="84" cm="1">
        <f t="array" ref="AT13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2" s="84" cm="1">
        <f t="array" ref="AU13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2" s="84" cm="1">
        <f t="array" ref="AV13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2" s="84" cm="1">
        <f t="array" ref="AW13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2" s="84" cm="1">
        <f t="array" ref="AX13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2" s="84" cm="1">
        <f t="array" ref="AY13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62" s="84" cm="1">
        <f t="array" ref="AZ13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62" s="84" cm="1">
        <f t="array" ref="BA13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62" s="84" cm="1">
        <f t="array" ref="BB13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62" s="84">
        <f>IF(SUM(Table3[[#This Row],[Column2]:[Column18]])&gt;Table3[[#This Row],[Column19]],Table3[[#This Row],[Column19]],SUM(Table3[[#This Row],[Column2]:[Column18]]))</f>
        <v>10000</v>
      </c>
      <c r="BD1362" s="2">
        <f>Table3[[#This Row],[Total Spend]]/SUM(Table3[[#This Row],[Column2]:[Column18]])</f>
        <v>0.18365472910927455</v>
      </c>
    </row>
    <row r="1363" spans="1:56">
      <c r="A1363" s="84" t="s">
        <v>1438</v>
      </c>
      <c r="B1363" s="84"/>
      <c r="C1363" s="84"/>
      <c r="D1363" s="85">
        <v>45809</v>
      </c>
      <c r="E1363" s="85" t="s">
        <v>92</v>
      </c>
      <c r="F1363" s="84">
        <f>INDEX(Definitions!$G$13:$G$17,MATCH(Table3[[#This Row],[Propensity to buy/ buyer readiness]],Definitions!$A$13:$A$17,0))</f>
        <v>10000</v>
      </c>
      <c r="G1363" s="86">
        <v>3</v>
      </c>
      <c r="H1363" s="86">
        <v>3</v>
      </c>
      <c r="I1363" s="86">
        <v>3</v>
      </c>
      <c r="J1363" s="86">
        <v>3</v>
      </c>
      <c r="K1363" s="86">
        <v>2</v>
      </c>
      <c r="L1363" s="86">
        <f>SUM(Table3[[#This Row],[Strategic priority segment]:[Propensity to buy/ buyer readiness]])</f>
        <v>14</v>
      </c>
      <c r="M1363" s="86" t="s">
        <v>152</v>
      </c>
      <c r="N1363" s="84" t="s">
        <v>1133</v>
      </c>
      <c r="O1363" s="84" t="s">
        <v>135</v>
      </c>
      <c r="P1363" s="87"/>
      <c r="Q1363" s="87"/>
      <c r="R1363" s="84"/>
      <c r="S1363" s="87"/>
      <c r="T1363" s="87"/>
      <c r="U1363" s="84">
        <v>1</v>
      </c>
      <c r="V1363" s="84">
        <v>0</v>
      </c>
      <c r="W1363" s="84">
        <v>0</v>
      </c>
      <c r="X1363" s="84">
        <v>0</v>
      </c>
      <c r="Y1363" s="84">
        <v>0</v>
      </c>
      <c r="Z1363" s="84">
        <v>0</v>
      </c>
      <c r="AA1363" s="84">
        <v>0</v>
      </c>
      <c r="AB1363" s="84">
        <v>0</v>
      </c>
      <c r="AC1363" s="84">
        <v>0</v>
      </c>
      <c r="AD1363" s="84">
        <v>0</v>
      </c>
      <c r="AE1363" s="84">
        <v>0</v>
      </c>
      <c r="AF1363" s="84">
        <v>0</v>
      </c>
      <c r="AG1363" s="84">
        <v>0</v>
      </c>
      <c r="AH1363" s="84">
        <v>1</v>
      </c>
      <c r="AI1363" s="84">
        <v>1</v>
      </c>
      <c r="AJ1363" s="84">
        <v>1</v>
      </c>
      <c r="AK1363" s="84">
        <v>1</v>
      </c>
      <c r="AL1363" s="84" cm="1">
        <f t="array" ref="AL13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63" s="84" cm="1">
        <f t="array" ref="AM13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3" s="84" cm="1">
        <f t="array" ref="AN13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3" s="84" cm="1">
        <f t="array" ref="AO13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3" s="84" cm="1">
        <f t="array" ref="AP13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3" s="84" cm="1">
        <f t="array" ref="AQ13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3" s="84" cm="1">
        <f t="array" ref="AR13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3" s="84" cm="1">
        <f t="array" ref="AS13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3" s="84" cm="1">
        <f t="array" ref="AT13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3" s="84" cm="1">
        <f t="array" ref="AU13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3" s="84" cm="1">
        <f t="array" ref="AV13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3" s="84" cm="1">
        <f t="array" ref="AW13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3" s="84" cm="1">
        <f t="array" ref="AX13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3" s="84" cm="1">
        <f t="array" ref="AY13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63" s="84" cm="1">
        <f t="array" ref="AZ13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63" s="84" cm="1">
        <f t="array" ref="BA13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63" s="84" cm="1">
        <f t="array" ref="BB13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63" s="84">
        <f>IF(SUM(Table3[[#This Row],[Column2]:[Column18]])&gt;Table3[[#This Row],[Column19]],Table3[[#This Row],[Column19]],SUM(Table3[[#This Row],[Column2]:[Column18]]))</f>
        <v>10000</v>
      </c>
      <c r="BD1363" s="2">
        <f>Table3[[#This Row],[Total Spend]]/SUM(Table3[[#This Row],[Column2]:[Column18]])</f>
        <v>0.18365472910927455</v>
      </c>
    </row>
    <row r="1364" spans="1:56">
      <c r="A1364" s="84" t="s">
        <v>1439</v>
      </c>
      <c r="B1364" s="84"/>
      <c r="C1364" s="84"/>
      <c r="D1364" s="85">
        <v>45566</v>
      </c>
      <c r="E1364" s="85" t="s">
        <v>92</v>
      </c>
      <c r="F1364" s="84">
        <f>INDEX(Definitions!$G$13:$G$17,MATCH(Table3[[#This Row],[Propensity to buy/ buyer readiness]],Definitions!$A$13:$A$17,0))</f>
        <v>50000</v>
      </c>
      <c r="G1364" s="86">
        <v>3</v>
      </c>
      <c r="H1364" s="86">
        <v>3</v>
      </c>
      <c r="I1364" s="86">
        <v>2</v>
      </c>
      <c r="J1364" s="86">
        <v>3</v>
      </c>
      <c r="K1364" s="86">
        <v>3</v>
      </c>
      <c r="L1364" s="86">
        <f>SUM(Table3[[#This Row],[Strategic priority segment]:[Propensity to buy/ buyer readiness]])</f>
        <v>14</v>
      </c>
      <c r="M1364" s="86" t="s">
        <v>152</v>
      </c>
      <c r="N1364" s="84" t="s">
        <v>122</v>
      </c>
      <c r="O1364" s="84"/>
      <c r="P1364" s="87"/>
      <c r="Q1364" s="87"/>
      <c r="R1364" s="84"/>
      <c r="S1364" s="87"/>
      <c r="T1364" s="84"/>
      <c r="U1364" s="84">
        <v>1</v>
      </c>
      <c r="V1364" s="84">
        <v>0</v>
      </c>
      <c r="W1364" s="84">
        <v>0</v>
      </c>
      <c r="X1364" s="84">
        <v>0</v>
      </c>
      <c r="Y1364" s="84">
        <v>0</v>
      </c>
      <c r="Z1364" s="84">
        <v>1</v>
      </c>
      <c r="AA1364" s="84">
        <v>0</v>
      </c>
      <c r="AB1364" s="84">
        <v>1</v>
      </c>
      <c r="AC1364" s="84">
        <v>0</v>
      </c>
      <c r="AD1364" s="84">
        <v>1</v>
      </c>
      <c r="AE1364" s="84">
        <v>0</v>
      </c>
      <c r="AF1364" s="84">
        <v>1</v>
      </c>
      <c r="AG1364" s="84">
        <v>0</v>
      </c>
      <c r="AH1364" s="84">
        <v>0</v>
      </c>
      <c r="AI1364" s="84">
        <v>0</v>
      </c>
      <c r="AJ1364" s="84">
        <v>0</v>
      </c>
      <c r="AK1364" s="84">
        <v>0</v>
      </c>
      <c r="AL1364" s="84" cm="1">
        <f t="array" ref="AL13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64" s="84" cm="1">
        <f t="array" ref="AM13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4" s="84" cm="1">
        <f t="array" ref="AN13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4" s="84" cm="1">
        <f t="array" ref="AO13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4" s="84" cm="1">
        <f t="array" ref="AP13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4" s="84" cm="1">
        <f t="array" ref="AQ13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64" s="84" cm="1">
        <f t="array" ref="AR13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4" s="84" cm="1">
        <f t="array" ref="AS13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64" s="84" cm="1">
        <f t="array" ref="AT13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4" s="84" cm="1">
        <f t="array" ref="AU13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64" s="84" cm="1">
        <f t="array" ref="AV13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4" s="84" cm="1">
        <f t="array" ref="AW13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64" s="84" cm="1">
        <f t="array" ref="AX13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4" s="84" cm="1">
        <f t="array" ref="AY13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4" s="84" cm="1">
        <f t="array" ref="AZ13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4" s="84" cm="1">
        <f t="array" ref="BA13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4" s="84" cm="1">
        <f t="array" ref="BB13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4" s="84">
        <f>IF(SUM(Table3[[#This Row],[Column2]:[Column18]])&gt;Table3[[#This Row],[Column19]],Table3[[#This Row],[Column19]],SUM(Table3[[#This Row],[Column2]:[Column18]]))</f>
        <v>50000</v>
      </c>
      <c r="BD1364" s="2">
        <f>Table3[[#This Row],[Total Spend]]/SUM(Table3[[#This Row],[Column2]:[Column18]])</f>
        <v>0.41459369817578773</v>
      </c>
    </row>
    <row r="1365" spans="1:56">
      <c r="A1365" s="84" t="s">
        <v>1440</v>
      </c>
      <c r="B1365" s="84"/>
      <c r="C1365" s="84"/>
      <c r="D1365" s="85">
        <v>45566</v>
      </c>
      <c r="E1365" s="85" t="s">
        <v>58</v>
      </c>
      <c r="F1365" s="84">
        <f>INDEX(Definitions!$G$13:$G$17,MATCH(Table3[[#This Row],[Propensity to buy/ buyer readiness]],Definitions!$A$13:$A$17,0))</f>
        <v>50000</v>
      </c>
      <c r="G1365" s="86">
        <v>3</v>
      </c>
      <c r="H1365" s="86">
        <v>3</v>
      </c>
      <c r="I1365" s="86">
        <v>2</v>
      </c>
      <c r="J1365" s="86">
        <v>3</v>
      </c>
      <c r="K1365" s="86">
        <v>3</v>
      </c>
      <c r="L1365" s="86">
        <f>SUM(Table3[[#This Row],[Strategic priority segment]:[Propensity to buy/ buyer readiness]])</f>
        <v>14</v>
      </c>
      <c r="M1365" s="86" t="s">
        <v>152</v>
      </c>
      <c r="N1365" s="84" t="s">
        <v>264</v>
      </c>
      <c r="O1365" s="84"/>
      <c r="P1365" s="84"/>
      <c r="Q1365" s="84"/>
      <c r="R1365" s="84"/>
      <c r="S1365" s="87"/>
      <c r="T1365" s="84"/>
      <c r="U1365" s="84">
        <v>1</v>
      </c>
      <c r="V1365" s="84">
        <v>0</v>
      </c>
      <c r="W1365" s="84">
        <v>0</v>
      </c>
      <c r="X1365" s="84">
        <v>0</v>
      </c>
      <c r="Y1365" s="84">
        <v>0</v>
      </c>
      <c r="Z1365" s="84">
        <v>0</v>
      </c>
      <c r="AA1365" s="84">
        <v>0</v>
      </c>
      <c r="AB1365" s="84">
        <v>0</v>
      </c>
      <c r="AC1365" s="84">
        <v>0</v>
      </c>
      <c r="AD1365" s="84">
        <v>0</v>
      </c>
      <c r="AE1365" s="84">
        <v>0</v>
      </c>
      <c r="AF1365" s="84">
        <v>0</v>
      </c>
      <c r="AG1365" s="84">
        <v>0</v>
      </c>
      <c r="AH1365" s="84">
        <v>0</v>
      </c>
      <c r="AI1365" s="84">
        <v>0</v>
      </c>
      <c r="AJ1365" s="84">
        <v>0</v>
      </c>
      <c r="AK1365" s="84">
        <v>0</v>
      </c>
      <c r="AL1365" s="84" cm="1">
        <f t="array" ref="AL13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65" s="84" cm="1">
        <f t="array" ref="AM13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5" s="84" cm="1">
        <f t="array" ref="AN13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5" s="84" cm="1">
        <f t="array" ref="AO13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5" s="84" cm="1">
        <f t="array" ref="AP13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5" s="84" cm="1">
        <f t="array" ref="AQ13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5" s="84" cm="1">
        <f t="array" ref="AR13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5" s="84" cm="1">
        <f t="array" ref="AS13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5" s="84" cm="1">
        <f t="array" ref="AT13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5" s="84" cm="1">
        <f t="array" ref="AU13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5" s="84" cm="1">
        <f t="array" ref="AV13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5" s="84" cm="1">
        <f t="array" ref="AW13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5" s="84" cm="1">
        <f t="array" ref="AX13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5" s="84" cm="1">
        <f t="array" ref="AY13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5" s="84" cm="1">
        <f t="array" ref="AZ13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5" s="84" cm="1">
        <f t="array" ref="BA13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5" s="84" cm="1">
        <f t="array" ref="BB13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5" s="84">
        <f>IF(SUM(Table3[[#This Row],[Column2]:[Column18]])&gt;Table3[[#This Row],[Column19]],Table3[[#This Row],[Column19]],SUM(Table3[[#This Row],[Column2]:[Column18]]))</f>
        <v>10800</v>
      </c>
      <c r="BD1365" s="2">
        <f>Table3[[#This Row],[Total Spend]]/SUM(Table3[[#This Row],[Column2]:[Column18]])</f>
        <v>1</v>
      </c>
    </row>
    <row r="1366" spans="1:56">
      <c r="A1366" s="84" t="s">
        <v>1441</v>
      </c>
      <c r="B1366" s="84"/>
      <c r="C1366" s="84"/>
      <c r="D1366" s="85">
        <v>45566</v>
      </c>
      <c r="E1366" s="85" t="s">
        <v>92</v>
      </c>
      <c r="F1366" s="84">
        <f>INDEX(Definitions!$G$13:$G$17,MATCH(Table3[[#This Row],[Propensity to buy/ buyer readiness]],Definitions!$A$13:$A$17,0))</f>
        <v>50000</v>
      </c>
      <c r="G1366" s="86">
        <v>3</v>
      </c>
      <c r="H1366" s="86">
        <v>3</v>
      </c>
      <c r="I1366" s="86">
        <v>2</v>
      </c>
      <c r="J1366" s="86">
        <v>3</v>
      </c>
      <c r="K1366" s="86">
        <v>3</v>
      </c>
      <c r="L1366" s="86">
        <f>SUM(Table3[[#This Row],[Strategic priority segment]:[Propensity to buy/ buyer readiness]])</f>
        <v>14</v>
      </c>
      <c r="M1366" s="86" t="s">
        <v>152</v>
      </c>
      <c r="N1366" s="84" t="s">
        <v>122</v>
      </c>
      <c r="O1366" s="84"/>
      <c r="P1366" s="84"/>
      <c r="Q1366" s="84"/>
      <c r="R1366" s="84"/>
      <c r="S1366" s="84"/>
      <c r="T1366" s="87"/>
      <c r="U1366" s="84">
        <v>1</v>
      </c>
      <c r="V1366" s="84">
        <v>0</v>
      </c>
      <c r="W1366" s="84">
        <v>0</v>
      </c>
      <c r="X1366" s="84">
        <v>0</v>
      </c>
      <c r="Y1366" s="84">
        <v>0</v>
      </c>
      <c r="Z1366" s="84">
        <v>1</v>
      </c>
      <c r="AA1366" s="84">
        <v>0</v>
      </c>
      <c r="AB1366" s="84">
        <v>1</v>
      </c>
      <c r="AC1366" s="84">
        <v>0</v>
      </c>
      <c r="AD1366" s="84">
        <v>1</v>
      </c>
      <c r="AE1366" s="84">
        <v>0</v>
      </c>
      <c r="AF1366" s="84">
        <v>1</v>
      </c>
      <c r="AG1366" s="84">
        <v>0</v>
      </c>
      <c r="AH1366" s="84">
        <v>0</v>
      </c>
      <c r="AI1366" s="84">
        <v>0</v>
      </c>
      <c r="AJ1366" s="84">
        <v>0</v>
      </c>
      <c r="AK1366" s="84">
        <v>0</v>
      </c>
      <c r="AL1366" s="84" cm="1">
        <f t="array" ref="AL13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66" s="84" cm="1">
        <f t="array" ref="AM13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6" s="84" cm="1">
        <f t="array" ref="AN13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6" s="84" cm="1">
        <f t="array" ref="AO13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6" s="84" cm="1">
        <f t="array" ref="AP13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6" s="84" cm="1">
        <f t="array" ref="AQ13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66" s="84" cm="1">
        <f t="array" ref="AR13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6" s="84" cm="1">
        <f t="array" ref="AS13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66" s="84" cm="1">
        <f t="array" ref="AT13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6" s="84" cm="1">
        <f t="array" ref="AU13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66" s="84" cm="1">
        <f t="array" ref="AV13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6" s="84" cm="1">
        <f t="array" ref="AW13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66" s="84" cm="1">
        <f t="array" ref="AX13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6" s="84" cm="1">
        <f t="array" ref="AY13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6" s="84" cm="1">
        <f t="array" ref="AZ13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6" s="84" cm="1">
        <f t="array" ref="BA13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6" s="84" cm="1">
        <f t="array" ref="BB13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6" s="84">
        <f>IF(SUM(Table3[[#This Row],[Column2]:[Column18]])&gt;Table3[[#This Row],[Column19]],Table3[[#This Row],[Column19]],SUM(Table3[[#This Row],[Column2]:[Column18]]))</f>
        <v>50000</v>
      </c>
      <c r="BD1366" s="2">
        <f>Table3[[#This Row],[Total Spend]]/SUM(Table3[[#This Row],[Column2]:[Column18]])</f>
        <v>0.41459369817578773</v>
      </c>
    </row>
    <row r="1367" spans="1:56">
      <c r="A1367" s="84" t="s">
        <v>1442</v>
      </c>
      <c r="B1367" s="84" t="s">
        <v>57</v>
      </c>
      <c r="C1367" s="84"/>
      <c r="D1367" s="85">
        <v>45566</v>
      </c>
      <c r="E1367" s="85" t="s">
        <v>92</v>
      </c>
      <c r="F1367" s="84">
        <f>INDEX(Definitions!$G$13:$G$17,MATCH(Table3[[#This Row],[Propensity to buy/ buyer readiness]],Definitions!$A$13:$A$17,0))</f>
        <v>10000</v>
      </c>
      <c r="G1367" s="86">
        <v>3</v>
      </c>
      <c r="H1367" s="86">
        <v>3</v>
      </c>
      <c r="I1367" s="86">
        <v>3</v>
      </c>
      <c r="J1367" s="86">
        <v>3</v>
      </c>
      <c r="K1367" s="86">
        <v>2</v>
      </c>
      <c r="L1367" s="86">
        <f>SUM(Table3[[#This Row],[Strategic priority segment]:[Propensity to buy/ buyer readiness]])</f>
        <v>14</v>
      </c>
      <c r="M1367" s="86" t="s">
        <v>152</v>
      </c>
      <c r="N1367" s="84" t="s">
        <v>1133</v>
      </c>
      <c r="O1367" s="84"/>
      <c r="P1367" s="87"/>
      <c r="Q1367" s="87"/>
      <c r="R1367" s="84"/>
      <c r="S1367" s="84"/>
      <c r="T1367" s="84"/>
      <c r="U1367" s="84">
        <v>1</v>
      </c>
      <c r="V1367" s="84">
        <v>0</v>
      </c>
      <c r="W1367" s="84">
        <v>0</v>
      </c>
      <c r="X1367" s="84">
        <v>0</v>
      </c>
      <c r="Y1367" s="84">
        <v>0</v>
      </c>
      <c r="Z1367" s="84">
        <v>0</v>
      </c>
      <c r="AA1367" s="84">
        <v>0</v>
      </c>
      <c r="AB1367" s="84">
        <v>0</v>
      </c>
      <c r="AC1367" s="84">
        <v>0</v>
      </c>
      <c r="AD1367" s="84">
        <v>0</v>
      </c>
      <c r="AE1367" s="84">
        <v>0</v>
      </c>
      <c r="AF1367" s="84">
        <v>0</v>
      </c>
      <c r="AG1367" s="84">
        <v>0</v>
      </c>
      <c r="AH1367" s="84">
        <v>0</v>
      </c>
      <c r="AI1367" s="84">
        <v>0</v>
      </c>
      <c r="AJ1367" s="84">
        <v>0</v>
      </c>
      <c r="AK1367" s="84">
        <v>0</v>
      </c>
      <c r="AL1367" s="84" cm="1">
        <f t="array" ref="AL13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67" s="84" cm="1">
        <f t="array" ref="AM13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7" s="84" cm="1">
        <f t="array" ref="AN13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7" s="84" cm="1">
        <f t="array" ref="AO13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7" s="84" cm="1">
        <f t="array" ref="AP13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7" s="84" cm="1">
        <f t="array" ref="AQ13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7" s="84" cm="1">
        <f t="array" ref="AR13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7" s="84" cm="1">
        <f t="array" ref="AS13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7" s="84" cm="1">
        <f t="array" ref="AT13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7" s="84" cm="1">
        <f t="array" ref="AU13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7" s="84" cm="1">
        <f t="array" ref="AV13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7" s="84" cm="1">
        <f t="array" ref="AW13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7" s="84" cm="1">
        <f t="array" ref="AX13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7" s="84" cm="1">
        <f t="array" ref="AY13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7" s="84" cm="1">
        <f t="array" ref="AZ13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7" s="84" cm="1">
        <f t="array" ref="BA13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7" s="84" cm="1">
        <f t="array" ref="BB13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7" s="84">
        <f>IF(SUM(Table3[[#This Row],[Column2]:[Column18]])&gt;Table3[[#This Row],[Column19]],Table3[[#This Row],[Column19]],SUM(Table3[[#This Row],[Column2]:[Column18]]))</f>
        <v>8100</v>
      </c>
      <c r="BD1367" s="2">
        <f>Table3[[#This Row],[Total Spend]]/SUM(Table3[[#This Row],[Column2]:[Column18]])</f>
        <v>1</v>
      </c>
    </row>
    <row r="1368" spans="1:56">
      <c r="A1368" s="84" t="s">
        <v>1443</v>
      </c>
      <c r="B1368" s="84"/>
      <c r="C1368" s="84" t="s">
        <v>57</v>
      </c>
      <c r="D1368" s="85">
        <v>45566</v>
      </c>
      <c r="E1368" s="85" t="s">
        <v>92</v>
      </c>
      <c r="F1368" s="84">
        <f>INDEX(Definitions!$G$13:$G$17,MATCH(Table3[[#This Row],[Propensity to buy/ buyer readiness]],Definitions!$A$13:$A$17,0))</f>
        <v>10000</v>
      </c>
      <c r="G1368" s="86">
        <v>3</v>
      </c>
      <c r="H1368" s="86">
        <v>3</v>
      </c>
      <c r="I1368" s="86">
        <v>3</v>
      </c>
      <c r="J1368" s="86">
        <v>3</v>
      </c>
      <c r="K1368" s="86">
        <v>2</v>
      </c>
      <c r="L1368" s="86">
        <f>SUM(Table3[[#This Row],[Strategic priority segment]:[Propensity to buy/ buyer readiness]])</f>
        <v>14</v>
      </c>
      <c r="M1368" s="86" t="s">
        <v>191</v>
      </c>
      <c r="N1368" s="84" t="s">
        <v>135</v>
      </c>
      <c r="O1368" s="84" t="s">
        <v>153</v>
      </c>
      <c r="P1368" s="87"/>
      <c r="Q1368" s="87"/>
      <c r="R1368" s="84"/>
      <c r="S1368" s="87"/>
      <c r="T1368" s="87"/>
      <c r="U1368" s="84">
        <v>1</v>
      </c>
      <c r="V1368" s="84">
        <v>0</v>
      </c>
      <c r="W1368" s="84">
        <v>0</v>
      </c>
      <c r="X1368" s="84">
        <v>0</v>
      </c>
      <c r="Y1368" s="84">
        <v>0</v>
      </c>
      <c r="Z1368" s="84">
        <v>0</v>
      </c>
      <c r="AA1368" s="84">
        <v>0</v>
      </c>
      <c r="AB1368" s="84">
        <v>0</v>
      </c>
      <c r="AC1368" s="84">
        <v>0</v>
      </c>
      <c r="AD1368" s="84">
        <v>0</v>
      </c>
      <c r="AE1368" s="84">
        <v>0</v>
      </c>
      <c r="AF1368" s="84">
        <v>0</v>
      </c>
      <c r="AG1368" s="84">
        <v>0</v>
      </c>
      <c r="AH1368" s="84">
        <v>1</v>
      </c>
      <c r="AI1368" s="84">
        <v>1</v>
      </c>
      <c r="AJ1368" s="84">
        <v>1</v>
      </c>
      <c r="AK1368" s="84">
        <v>1</v>
      </c>
      <c r="AL1368" s="84" cm="1">
        <f t="array" ref="AL13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68" s="84" cm="1">
        <f t="array" ref="AM13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8" s="84" cm="1">
        <f t="array" ref="AN13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8" s="84" cm="1">
        <f t="array" ref="AO13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8" s="84" cm="1">
        <f t="array" ref="AP13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8" s="84" cm="1">
        <f t="array" ref="AQ13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8" s="84" cm="1">
        <f t="array" ref="AR13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8" s="84" cm="1">
        <f t="array" ref="AS13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8" s="84" cm="1">
        <f t="array" ref="AT13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8" s="84" cm="1">
        <f t="array" ref="AU13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8" s="84" cm="1">
        <f t="array" ref="AV13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8" s="84" cm="1">
        <f t="array" ref="AW13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8" s="84" cm="1">
        <f t="array" ref="AX13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8" s="84" cm="1">
        <f t="array" ref="AY13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68" s="84" cm="1">
        <f t="array" ref="AZ13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68" s="84" cm="1">
        <f t="array" ref="BA13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68" s="84" cm="1">
        <f t="array" ref="BB13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68" s="84">
        <f>IF(SUM(Table3[[#This Row],[Column2]:[Column18]])&gt;Table3[[#This Row],[Column19]],Table3[[#This Row],[Column19]],SUM(Table3[[#This Row],[Column2]:[Column18]]))</f>
        <v>10000</v>
      </c>
      <c r="BD1368" s="2">
        <f>Table3[[#This Row],[Total Spend]]/SUM(Table3[[#This Row],[Column2]:[Column18]])</f>
        <v>0.18365472910927455</v>
      </c>
    </row>
    <row r="1369" spans="1:56">
      <c r="A1369" s="84" t="s">
        <v>1444</v>
      </c>
      <c r="B1369" s="84"/>
      <c r="C1369" s="84"/>
      <c r="D1369" s="85">
        <v>45566</v>
      </c>
      <c r="E1369" s="85" t="s">
        <v>58</v>
      </c>
      <c r="F1369" s="84">
        <f>INDEX(Definitions!$G$13:$G$17,MATCH(Table3[[#This Row],[Propensity to buy/ buyer readiness]],Definitions!$A$13:$A$17,0))</f>
        <v>50000</v>
      </c>
      <c r="G1369" s="86">
        <v>3</v>
      </c>
      <c r="H1369" s="86">
        <v>3</v>
      </c>
      <c r="I1369" s="86">
        <v>2</v>
      </c>
      <c r="J1369" s="86">
        <v>3</v>
      </c>
      <c r="K1369" s="86">
        <v>3</v>
      </c>
      <c r="L1369" s="86">
        <f>SUM(Table3[[#This Row],[Strategic priority segment]:[Propensity to buy/ buyer readiness]])</f>
        <v>14</v>
      </c>
      <c r="M1369" s="86" t="s">
        <v>152</v>
      </c>
      <c r="N1369" s="84" t="s">
        <v>264</v>
      </c>
      <c r="O1369" s="84"/>
      <c r="P1369" s="84"/>
      <c r="Q1369" s="84"/>
      <c r="R1369" s="84"/>
      <c r="S1369" s="87"/>
      <c r="T1369" s="84"/>
      <c r="U1369" s="84">
        <v>1</v>
      </c>
      <c r="V1369" s="84">
        <v>0</v>
      </c>
      <c r="W1369" s="84">
        <v>0</v>
      </c>
      <c r="X1369" s="84">
        <v>0</v>
      </c>
      <c r="Y1369" s="84">
        <v>0</v>
      </c>
      <c r="Z1369" s="84">
        <v>0</v>
      </c>
      <c r="AA1369" s="84">
        <v>0</v>
      </c>
      <c r="AB1369" s="84">
        <v>0</v>
      </c>
      <c r="AC1369" s="84">
        <v>0</v>
      </c>
      <c r="AD1369" s="84">
        <v>0</v>
      </c>
      <c r="AE1369" s="84">
        <v>0</v>
      </c>
      <c r="AF1369" s="84">
        <v>0</v>
      </c>
      <c r="AG1369" s="84">
        <v>0</v>
      </c>
      <c r="AH1369" s="84">
        <v>0</v>
      </c>
      <c r="AI1369" s="84">
        <v>0</v>
      </c>
      <c r="AJ1369" s="84">
        <v>0</v>
      </c>
      <c r="AK1369" s="84">
        <v>0</v>
      </c>
      <c r="AL1369" s="84" cm="1">
        <f t="array" ref="AL13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69" s="84" cm="1">
        <f t="array" ref="AM13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69" s="84" cm="1">
        <f t="array" ref="AN13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69" s="84" cm="1">
        <f t="array" ref="AO13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69" s="84" cm="1">
        <f t="array" ref="AP13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69" s="84" cm="1">
        <f t="array" ref="AQ13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69" s="84" cm="1">
        <f t="array" ref="AR13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69" s="84" cm="1">
        <f t="array" ref="AS13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69" s="84" cm="1">
        <f t="array" ref="AT13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69" s="84" cm="1">
        <f t="array" ref="AU13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69" s="84" cm="1">
        <f t="array" ref="AV13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69" s="84" cm="1">
        <f t="array" ref="AW13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69" s="84" cm="1">
        <f t="array" ref="AX13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69" s="84" cm="1">
        <f t="array" ref="AY13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69" s="84" cm="1">
        <f t="array" ref="AZ13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69" s="84" cm="1">
        <f t="array" ref="BA13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69" s="84" cm="1">
        <f t="array" ref="BB13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69" s="84">
        <f>IF(SUM(Table3[[#This Row],[Column2]:[Column18]])&gt;Table3[[#This Row],[Column19]],Table3[[#This Row],[Column19]],SUM(Table3[[#This Row],[Column2]:[Column18]]))</f>
        <v>10800</v>
      </c>
      <c r="BD1369" s="2">
        <f>Table3[[#This Row],[Total Spend]]/SUM(Table3[[#This Row],[Column2]:[Column18]])</f>
        <v>1</v>
      </c>
    </row>
    <row r="1370" spans="1:56">
      <c r="A1370" s="84" t="s">
        <v>1445</v>
      </c>
      <c r="B1370" s="84"/>
      <c r="C1370" s="84" t="s">
        <v>57</v>
      </c>
      <c r="D1370" s="85">
        <v>45566</v>
      </c>
      <c r="E1370" s="85" t="s">
        <v>92</v>
      </c>
      <c r="F1370" s="84">
        <f>INDEX(Definitions!$G$13:$G$17,MATCH(Table3[[#This Row],[Propensity to buy/ buyer readiness]],Definitions!$A$13:$A$17,0))</f>
        <v>10000</v>
      </c>
      <c r="G1370" s="86">
        <v>3</v>
      </c>
      <c r="H1370" s="86">
        <v>3</v>
      </c>
      <c r="I1370" s="86">
        <v>3</v>
      </c>
      <c r="J1370" s="86">
        <v>3</v>
      </c>
      <c r="K1370" s="86">
        <v>2</v>
      </c>
      <c r="L1370" s="86">
        <f>SUM(Table3[[#This Row],[Strategic priority segment]:[Propensity to buy/ buyer readiness]])</f>
        <v>14</v>
      </c>
      <c r="M1370" s="86" t="s">
        <v>152</v>
      </c>
      <c r="N1370" s="84" t="s">
        <v>264</v>
      </c>
      <c r="O1370" s="84"/>
      <c r="P1370" s="87"/>
      <c r="Q1370" s="87"/>
      <c r="R1370" s="84"/>
      <c r="S1370" s="87"/>
      <c r="T1370" s="87"/>
      <c r="U1370" s="84">
        <v>1</v>
      </c>
      <c r="V1370" s="84">
        <v>0</v>
      </c>
      <c r="W1370" s="84">
        <v>0</v>
      </c>
      <c r="X1370" s="84">
        <v>0</v>
      </c>
      <c r="Y1370" s="84">
        <v>0</v>
      </c>
      <c r="Z1370" s="84">
        <v>0</v>
      </c>
      <c r="AA1370" s="84">
        <v>0</v>
      </c>
      <c r="AB1370" s="84">
        <v>0</v>
      </c>
      <c r="AC1370" s="84">
        <v>0</v>
      </c>
      <c r="AD1370" s="84">
        <v>0</v>
      </c>
      <c r="AE1370" s="84">
        <v>0</v>
      </c>
      <c r="AF1370" s="84">
        <v>0</v>
      </c>
      <c r="AG1370" s="84">
        <v>0</v>
      </c>
      <c r="AH1370" s="84">
        <v>0</v>
      </c>
      <c r="AI1370" s="84">
        <v>0</v>
      </c>
      <c r="AJ1370" s="84">
        <v>0</v>
      </c>
      <c r="AK1370" s="84">
        <v>0</v>
      </c>
      <c r="AL1370" s="84" cm="1">
        <f t="array" ref="AL13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70" s="84" cm="1">
        <f t="array" ref="AM13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0" s="84" cm="1">
        <f t="array" ref="AN13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0" s="84" cm="1">
        <f t="array" ref="AO13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0" s="84" cm="1">
        <f t="array" ref="AP13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0" s="84" cm="1">
        <f t="array" ref="AQ13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0" s="84" cm="1">
        <f t="array" ref="AR13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0" s="84" cm="1">
        <f t="array" ref="AS13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0" s="84" cm="1">
        <f t="array" ref="AT13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0" s="84" cm="1">
        <f t="array" ref="AU13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0" s="84" cm="1">
        <f t="array" ref="AV13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0" s="84" cm="1">
        <f t="array" ref="AW13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0" s="84" cm="1">
        <f t="array" ref="AX13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0" s="84" cm="1">
        <f t="array" ref="AY13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0" s="84" cm="1">
        <f t="array" ref="AZ13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0" s="84" cm="1">
        <f t="array" ref="BA13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0" s="84" cm="1">
        <f t="array" ref="BB13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0" s="84">
        <f>IF(SUM(Table3[[#This Row],[Column2]:[Column18]])&gt;Table3[[#This Row],[Column19]],Table3[[#This Row],[Column19]],SUM(Table3[[#This Row],[Column2]:[Column18]]))</f>
        <v>8100</v>
      </c>
      <c r="BD1370" s="2">
        <f>Table3[[#This Row],[Total Spend]]/SUM(Table3[[#This Row],[Column2]:[Column18]])</f>
        <v>1</v>
      </c>
    </row>
    <row r="1371" spans="1:56">
      <c r="A1371" s="84" t="s">
        <v>1446</v>
      </c>
      <c r="B1371" s="84"/>
      <c r="C1371" s="84"/>
      <c r="D1371" s="85">
        <v>45566</v>
      </c>
      <c r="E1371" s="85" t="s">
        <v>58</v>
      </c>
      <c r="F1371" s="84">
        <f>INDEX(Definitions!$G$13:$G$17,MATCH(Table3[[#This Row],[Propensity to buy/ buyer readiness]],Definitions!$A$13:$A$17,0))</f>
        <v>50000</v>
      </c>
      <c r="G1371" s="86">
        <v>3</v>
      </c>
      <c r="H1371" s="86">
        <v>3</v>
      </c>
      <c r="I1371" s="86">
        <v>2</v>
      </c>
      <c r="J1371" s="86">
        <v>3</v>
      </c>
      <c r="K1371" s="86">
        <v>3</v>
      </c>
      <c r="L1371" s="86">
        <f>SUM(Table3[[#This Row],[Strategic priority segment]:[Propensity to buy/ buyer readiness]])</f>
        <v>14</v>
      </c>
      <c r="M1371" s="86" t="s">
        <v>152</v>
      </c>
      <c r="N1371" s="84" t="s">
        <v>264</v>
      </c>
      <c r="O1371" s="84"/>
      <c r="P1371" s="87"/>
      <c r="Q1371" s="87"/>
      <c r="R1371" s="84"/>
      <c r="S1371" s="87"/>
      <c r="T1371" s="84"/>
      <c r="U1371" s="84">
        <v>1</v>
      </c>
      <c r="V1371" s="84">
        <v>0</v>
      </c>
      <c r="W1371" s="84">
        <v>0</v>
      </c>
      <c r="X1371" s="84">
        <v>0</v>
      </c>
      <c r="Y1371" s="84">
        <v>0</v>
      </c>
      <c r="Z1371" s="84">
        <v>0</v>
      </c>
      <c r="AA1371" s="84">
        <v>0</v>
      </c>
      <c r="AB1371" s="84">
        <v>0</v>
      </c>
      <c r="AC1371" s="84">
        <v>0</v>
      </c>
      <c r="AD1371" s="84">
        <v>0</v>
      </c>
      <c r="AE1371" s="84">
        <v>0</v>
      </c>
      <c r="AF1371" s="84">
        <v>0</v>
      </c>
      <c r="AG1371" s="84">
        <v>0</v>
      </c>
      <c r="AH1371" s="84">
        <v>0</v>
      </c>
      <c r="AI1371" s="84">
        <v>0</v>
      </c>
      <c r="AJ1371" s="84">
        <v>0</v>
      </c>
      <c r="AK1371" s="84">
        <v>0</v>
      </c>
      <c r="AL1371" s="84" cm="1">
        <f t="array" ref="AL13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71" s="84" cm="1">
        <f t="array" ref="AM13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1" s="84" cm="1">
        <f t="array" ref="AN13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1" s="84" cm="1">
        <f t="array" ref="AO13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1" s="84" cm="1">
        <f t="array" ref="AP13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1" s="84" cm="1">
        <f t="array" ref="AQ13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1" s="84" cm="1">
        <f t="array" ref="AR13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1" s="84" cm="1">
        <f t="array" ref="AS13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1" s="84" cm="1">
        <f t="array" ref="AT13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1" s="84" cm="1">
        <f t="array" ref="AU13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1" s="84" cm="1">
        <f t="array" ref="AV13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1" s="84" cm="1">
        <f t="array" ref="AW13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1" s="84" cm="1">
        <f t="array" ref="AX13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1" s="84" cm="1">
        <f t="array" ref="AY13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1" s="84" cm="1">
        <f t="array" ref="AZ13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1" s="84" cm="1">
        <f t="array" ref="BA13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1" s="84" cm="1">
        <f t="array" ref="BB13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1" s="84">
        <f>IF(SUM(Table3[[#This Row],[Column2]:[Column18]])&gt;Table3[[#This Row],[Column19]],Table3[[#This Row],[Column19]],SUM(Table3[[#This Row],[Column2]:[Column18]]))</f>
        <v>10800</v>
      </c>
      <c r="BD1371" s="2">
        <f>Table3[[#This Row],[Total Spend]]/SUM(Table3[[#This Row],[Column2]:[Column18]])</f>
        <v>1</v>
      </c>
    </row>
    <row r="1372" spans="1:56">
      <c r="A1372" s="84" t="s">
        <v>1447</v>
      </c>
      <c r="B1372" s="84"/>
      <c r="C1372" s="84"/>
      <c r="D1372" s="85">
        <v>45566</v>
      </c>
      <c r="E1372" s="85" t="s">
        <v>58</v>
      </c>
      <c r="F1372" s="84">
        <f>INDEX(Definitions!$G$13:$G$17,MATCH(Table3[[#This Row],[Propensity to buy/ buyer readiness]],Definitions!$A$13:$A$17,0))</f>
        <v>50000</v>
      </c>
      <c r="G1372" s="86">
        <v>3</v>
      </c>
      <c r="H1372" s="86">
        <v>3</v>
      </c>
      <c r="I1372" s="86">
        <v>2</v>
      </c>
      <c r="J1372" s="86">
        <v>3</v>
      </c>
      <c r="K1372" s="86">
        <v>3</v>
      </c>
      <c r="L1372" s="86">
        <f>SUM(Table3[[#This Row],[Strategic priority segment]:[Propensity to buy/ buyer readiness]])</f>
        <v>14</v>
      </c>
      <c r="M1372" s="86" t="s">
        <v>152</v>
      </c>
      <c r="N1372" s="84" t="s">
        <v>264</v>
      </c>
      <c r="O1372" s="84"/>
      <c r="P1372" s="84"/>
      <c r="Q1372" s="84"/>
      <c r="R1372" s="84"/>
      <c r="S1372" s="87"/>
      <c r="T1372" s="87"/>
      <c r="U1372" s="84">
        <v>1</v>
      </c>
      <c r="V1372" s="84">
        <v>0</v>
      </c>
      <c r="W1372" s="84">
        <v>0</v>
      </c>
      <c r="X1372" s="84">
        <v>0</v>
      </c>
      <c r="Y1372" s="84">
        <v>0</v>
      </c>
      <c r="Z1372" s="84">
        <v>0</v>
      </c>
      <c r="AA1372" s="84">
        <v>0</v>
      </c>
      <c r="AB1372" s="84">
        <v>0</v>
      </c>
      <c r="AC1372" s="84">
        <v>0</v>
      </c>
      <c r="AD1372" s="84">
        <v>0</v>
      </c>
      <c r="AE1372" s="84">
        <v>0</v>
      </c>
      <c r="AF1372" s="84">
        <v>0</v>
      </c>
      <c r="AG1372" s="84">
        <v>0</v>
      </c>
      <c r="AH1372" s="84">
        <v>0</v>
      </c>
      <c r="AI1372" s="84">
        <v>0</v>
      </c>
      <c r="AJ1372" s="84">
        <v>0</v>
      </c>
      <c r="AK1372" s="84">
        <v>0</v>
      </c>
      <c r="AL1372" s="84" cm="1">
        <f t="array" ref="AL13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72" s="84" cm="1">
        <f t="array" ref="AM13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2" s="84" cm="1">
        <f t="array" ref="AN13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2" s="84" cm="1">
        <f t="array" ref="AO13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2" s="84" cm="1">
        <f t="array" ref="AP13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2" s="84" cm="1">
        <f t="array" ref="AQ13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2" s="84" cm="1">
        <f t="array" ref="AR13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2" s="84" cm="1">
        <f t="array" ref="AS13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2" s="84" cm="1">
        <f t="array" ref="AT13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2" s="84" cm="1">
        <f t="array" ref="AU13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2" s="84" cm="1">
        <f t="array" ref="AV13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2" s="84" cm="1">
        <f t="array" ref="AW13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2" s="84" cm="1">
        <f t="array" ref="AX13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2" s="84" cm="1">
        <f t="array" ref="AY13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2" s="84" cm="1">
        <f t="array" ref="AZ13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2" s="84" cm="1">
        <f t="array" ref="BA13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2" s="84" cm="1">
        <f t="array" ref="BB13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2" s="84">
        <f>IF(SUM(Table3[[#This Row],[Column2]:[Column18]])&gt;Table3[[#This Row],[Column19]],Table3[[#This Row],[Column19]],SUM(Table3[[#This Row],[Column2]:[Column18]]))</f>
        <v>10800</v>
      </c>
      <c r="BD1372" s="2">
        <f>Table3[[#This Row],[Total Spend]]/SUM(Table3[[#This Row],[Column2]:[Column18]])</f>
        <v>1</v>
      </c>
    </row>
    <row r="1373" spans="1:56">
      <c r="A1373" s="84" t="s">
        <v>1448</v>
      </c>
      <c r="B1373" s="84"/>
      <c r="C1373" s="84"/>
      <c r="D1373" s="85">
        <v>45566</v>
      </c>
      <c r="E1373" s="85" t="s">
        <v>58</v>
      </c>
      <c r="F1373" s="84">
        <f>INDEX(Definitions!$G$13:$G$17,MATCH(Table3[[#This Row],[Propensity to buy/ buyer readiness]],Definitions!$A$13:$A$17,0))</f>
        <v>50000</v>
      </c>
      <c r="G1373" s="86">
        <v>3</v>
      </c>
      <c r="H1373" s="86">
        <v>3</v>
      </c>
      <c r="I1373" s="86">
        <v>2</v>
      </c>
      <c r="J1373" s="86">
        <v>3</v>
      </c>
      <c r="K1373" s="86">
        <v>3</v>
      </c>
      <c r="L1373" s="86">
        <f>SUM(Table3[[#This Row],[Strategic priority segment]:[Propensity to buy/ buyer readiness]])</f>
        <v>14</v>
      </c>
      <c r="M1373" s="86" t="s">
        <v>152</v>
      </c>
      <c r="N1373" s="84" t="s">
        <v>264</v>
      </c>
      <c r="O1373" s="84"/>
      <c r="P1373" s="84"/>
      <c r="Q1373" s="84"/>
      <c r="R1373" s="84"/>
      <c r="S1373" s="87"/>
      <c r="T1373" s="87"/>
      <c r="U1373" s="84">
        <v>1</v>
      </c>
      <c r="V1373" s="84">
        <v>0</v>
      </c>
      <c r="W1373" s="84">
        <v>0</v>
      </c>
      <c r="X1373" s="84">
        <v>0</v>
      </c>
      <c r="Y1373" s="84">
        <v>0</v>
      </c>
      <c r="Z1373" s="84">
        <v>0</v>
      </c>
      <c r="AA1373" s="84">
        <v>0</v>
      </c>
      <c r="AB1373" s="84">
        <v>0</v>
      </c>
      <c r="AC1373" s="84">
        <v>0</v>
      </c>
      <c r="AD1373" s="84">
        <v>0</v>
      </c>
      <c r="AE1373" s="84">
        <v>0</v>
      </c>
      <c r="AF1373" s="84">
        <v>0</v>
      </c>
      <c r="AG1373" s="84">
        <v>0</v>
      </c>
      <c r="AH1373" s="84">
        <v>0</v>
      </c>
      <c r="AI1373" s="84">
        <v>0</v>
      </c>
      <c r="AJ1373" s="84">
        <v>0</v>
      </c>
      <c r="AK1373" s="84">
        <v>0</v>
      </c>
      <c r="AL1373" s="84" cm="1">
        <f t="array" ref="AL13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73" s="84" cm="1">
        <f t="array" ref="AM13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3" s="84" cm="1">
        <f t="array" ref="AN13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3" s="84" cm="1">
        <f t="array" ref="AO13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3" s="84" cm="1">
        <f t="array" ref="AP13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3" s="84" cm="1">
        <f t="array" ref="AQ13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3" s="84" cm="1">
        <f t="array" ref="AR13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3" s="84" cm="1">
        <f t="array" ref="AS13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3" s="84" cm="1">
        <f t="array" ref="AT13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3" s="84" cm="1">
        <f t="array" ref="AU13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3" s="84" cm="1">
        <f t="array" ref="AV13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3" s="84" cm="1">
        <f t="array" ref="AW13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3" s="84" cm="1">
        <f t="array" ref="AX13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3" s="84" cm="1">
        <f t="array" ref="AY13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3" s="84" cm="1">
        <f t="array" ref="AZ13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3" s="84" cm="1">
        <f t="array" ref="BA13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3" s="84" cm="1">
        <f t="array" ref="BB13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3" s="84">
        <f>IF(SUM(Table3[[#This Row],[Column2]:[Column18]])&gt;Table3[[#This Row],[Column19]],Table3[[#This Row],[Column19]],SUM(Table3[[#This Row],[Column2]:[Column18]]))</f>
        <v>10800</v>
      </c>
      <c r="BD1373" s="2">
        <f>Table3[[#This Row],[Total Spend]]/SUM(Table3[[#This Row],[Column2]:[Column18]])</f>
        <v>1</v>
      </c>
    </row>
    <row r="1374" spans="1:56">
      <c r="A1374" s="84" t="s">
        <v>1449</v>
      </c>
      <c r="B1374" s="84"/>
      <c r="C1374" s="84"/>
      <c r="D1374" s="85">
        <v>45566</v>
      </c>
      <c r="E1374" s="85" t="s">
        <v>92</v>
      </c>
      <c r="F1374" s="84">
        <f>INDEX(Definitions!$G$13:$G$17,MATCH(Table3[[#This Row],[Propensity to buy/ buyer readiness]],Definitions!$A$13:$A$17,0))</f>
        <v>50000</v>
      </c>
      <c r="G1374" s="86">
        <v>3</v>
      </c>
      <c r="H1374" s="86">
        <v>3</v>
      </c>
      <c r="I1374" s="86">
        <v>2</v>
      </c>
      <c r="J1374" s="86">
        <v>3</v>
      </c>
      <c r="K1374" s="86">
        <v>3</v>
      </c>
      <c r="L1374" s="86">
        <f>SUM(Table3[[#This Row],[Strategic priority segment]:[Propensity to buy/ buyer readiness]])</f>
        <v>14</v>
      </c>
      <c r="M1374" s="86" t="s">
        <v>152</v>
      </c>
      <c r="N1374" s="84" t="s">
        <v>122</v>
      </c>
      <c r="O1374" s="84"/>
      <c r="P1374" s="87"/>
      <c r="Q1374" s="87"/>
      <c r="R1374" s="84"/>
      <c r="S1374" s="87"/>
      <c r="T1374" s="84"/>
      <c r="U1374" s="84">
        <v>1</v>
      </c>
      <c r="V1374" s="84">
        <v>0</v>
      </c>
      <c r="W1374" s="84">
        <v>0</v>
      </c>
      <c r="X1374" s="84">
        <v>0</v>
      </c>
      <c r="Y1374" s="84">
        <v>0</v>
      </c>
      <c r="Z1374" s="84">
        <v>1</v>
      </c>
      <c r="AA1374" s="84">
        <v>0</v>
      </c>
      <c r="AB1374" s="84">
        <v>1</v>
      </c>
      <c r="AC1374" s="84">
        <v>0</v>
      </c>
      <c r="AD1374" s="84">
        <v>1</v>
      </c>
      <c r="AE1374" s="84">
        <v>0</v>
      </c>
      <c r="AF1374" s="84">
        <v>1</v>
      </c>
      <c r="AG1374" s="84">
        <v>0</v>
      </c>
      <c r="AH1374" s="84">
        <v>0</v>
      </c>
      <c r="AI1374" s="84">
        <v>0</v>
      </c>
      <c r="AJ1374" s="84">
        <v>0</v>
      </c>
      <c r="AK1374" s="84">
        <v>0</v>
      </c>
      <c r="AL1374" s="84" cm="1">
        <f t="array" ref="AL13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74" s="84" cm="1">
        <f t="array" ref="AM13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4" s="84" cm="1">
        <f t="array" ref="AN13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4" s="84" cm="1">
        <f t="array" ref="AO13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4" s="84" cm="1">
        <f t="array" ref="AP13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4" s="84" cm="1">
        <f t="array" ref="AQ13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74" s="84" cm="1">
        <f t="array" ref="AR13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4" s="84" cm="1">
        <f t="array" ref="AS13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74" s="84" cm="1">
        <f t="array" ref="AT13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4" s="84" cm="1">
        <f t="array" ref="AU13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74" s="84" cm="1">
        <f t="array" ref="AV13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4" s="84" cm="1">
        <f t="array" ref="AW13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74" s="84" cm="1">
        <f t="array" ref="AX13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4" s="84" cm="1">
        <f t="array" ref="AY13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4" s="84" cm="1">
        <f t="array" ref="AZ13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4" s="84" cm="1">
        <f t="array" ref="BA13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4" s="84" cm="1">
        <f t="array" ref="BB13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4" s="84">
        <f>IF(SUM(Table3[[#This Row],[Column2]:[Column18]])&gt;Table3[[#This Row],[Column19]],Table3[[#This Row],[Column19]],SUM(Table3[[#This Row],[Column2]:[Column18]]))</f>
        <v>50000</v>
      </c>
      <c r="BD1374" s="2">
        <f>Table3[[#This Row],[Total Spend]]/SUM(Table3[[#This Row],[Column2]:[Column18]])</f>
        <v>0.41459369817578773</v>
      </c>
    </row>
    <row r="1375" spans="1:56">
      <c r="A1375" s="84" t="s">
        <v>1450</v>
      </c>
      <c r="B1375" s="84"/>
      <c r="C1375" s="84"/>
      <c r="D1375" s="85">
        <v>45566</v>
      </c>
      <c r="E1375" s="85" t="s">
        <v>92</v>
      </c>
      <c r="F1375" s="84">
        <f>INDEX(Definitions!$G$13:$G$17,MATCH(Table3[[#This Row],[Propensity to buy/ buyer readiness]],Definitions!$A$13:$A$17,0))</f>
        <v>50000</v>
      </c>
      <c r="G1375" s="86">
        <v>3</v>
      </c>
      <c r="H1375" s="86">
        <v>3</v>
      </c>
      <c r="I1375" s="86">
        <v>2</v>
      </c>
      <c r="J1375" s="86">
        <v>3</v>
      </c>
      <c r="K1375" s="86">
        <v>3</v>
      </c>
      <c r="L1375" s="86">
        <f>SUM(Table3[[#This Row],[Strategic priority segment]:[Propensity to buy/ buyer readiness]])</f>
        <v>14</v>
      </c>
      <c r="M1375" s="86" t="s">
        <v>152</v>
      </c>
      <c r="N1375" s="84" t="s">
        <v>122</v>
      </c>
      <c r="O1375" s="84"/>
      <c r="P1375" s="84"/>
      <c r="Q1375" s="84"/>
      <c r="R1375" s="84"/>
      <c r="S1375" s="84"/>
      <c r="T1375" s="84"/>
      <c r="U1375" s="84">
        <v>1</v>
      </c>
      <c r="V1375" s="84">
        <v>0</v>
      </c>
      <c r="W1375" s="84">
        <v>0</v>
      </c>
      <c r="X1375" s="84">
        <v>0</v>
      </c>
      <c r="Y1375" s="84">
        <v>0</v>
      </c>
      <c r="Z1375" s="84">
        <v>1</v>
      </c>
      <c r="AA1375" s="84">
        <v>0</v>
      </c>
      <c r="AB1375" s="84">
        <v>1</v>
      </c>
      <c r="AC1375" s="84">
        <v>0</v>
      </c>
      <c r="AD1375" s="84">
        <v>1</v>
      </c>
      <c r="AE1375" s="84">
        <v>0</v>
      </c>
      <c r="AF1375" s="84">
        <v>1</v>
      </c>
      <c r="AG1375" s="84">
        <v>0</v>
      </c>
      <c r="AH1375" s="84">
        <v>0</v>
      </c>
      <c r="AI1375" s="84">
        <v>0</v>
      </c>
      <c r="AJ1375" s="84">
        <v>0</v>
      </c>
      <c r="AK1375" s="84">
        <v>0</v>
      </c>
      <c r="AL1375" s="84" cm="1">
        <f t="array" ref="AL13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75" s="84" cm="1">
        <f t="array" ref="AM13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5" s="84" cm="1">
        <f t="array" ref="AN13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5" s="84" cm="1">
        <f t="array" ref="AO13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5" s="84" cm="1">
        <f t="array" ref="AP13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5" s="84" cm="1">
        <f t="array" ref="AQ13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75" s="84" cm="1">
        <f t="array" ref="AR13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5" s="84" cm="1">
        <f t="array" ref="AS13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75" s="84" cm="1">
        <f t="array" ref="AT13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5" s="84" cm="1">
        <f t="array" ref="AU13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75" s="84" cm="1">
        <f t="array" ref="AV13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5" s="84" cm="1">
        <f t="array" ref="AW13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75" s="84" cm="1">
        <f t="array" ref="AX13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5" s="84" cm="1">
        <f t="array" ref="AY13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5" s="84" cm="1">
        <f t="array" ref="AZ13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5" s="84" cm="1">
        <f t="array" ref="BA13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5" s="84" cm="1">
        <f t="array" ref="BB13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5" s="84">
        <f>IF(SUM(Table3[[#This Row],[Column2]:[Column18]])&gt;Table3[[#This Row],[Column19]],Table3[[#This Row],[Column19]],SUM(Table3[[#This Row],[Column2]:[Column18]]))</f>
        <v>50000</v>
      </c>
      <c r="BD1375" s="2">
        <f>Table3[[#This Row],[Total Spend]]/SUM(Table3[[#This Row],[Column2]:[Column18]])</f>
        <v>0.41459369817578773</v>
      </c>
    </row>
    <row r="1376" spans="1:56">
      <c r="A1376" s="84" t="s">
        <v>1451</v>
      </c>
      <c r="B1376" s="84"/>
      <c r="C1376" s="84"/>
      <c r="D1376" s="85">
        <v>45566</v>
      </c>
      <c r="E1376" s="85" t="s">
        <v>92</v>
      </c>
      <c r="F1376" s="84">
        <f>INDEX(Definitions!$G$13:$G$17,MATCH(Table3[[#This Row],[Propensity to buy/ buyer readiness]],Definitions!$A$13:$A$17,0))</f>
        <v>50000</v>
      </c>
      <c r="G1376" s="86">
        <v>3</v>
      </c>
      <c r="H1376" s="86">
        <v>3</v>
      </c>
      <c r="I1376" s="86">
        <v>2</v>
      </c>
      <c r="J1376" s="86">
        <v>3</v>
      </c>
      <c r="K1376" s="86">
        <v>3</v>
      </c>
      <c r="L1376" s="86">
        <f>SUM(Table3[[#This Row],[Strategic priority segment]:[Propensity to buy/ buyer readiness]])</f>
        <v>14</v>
      </c>
      <c r="M1376" s="86" t="s">
        <v>152</v>
      </c>
      <c r="N1376" s="84" t="s">
        <v>122</v>
      </c>
      <c r="O1376" s="84"/>
      <c r="P1376" s="87"/>
      <c r="Q1376" s="87"/>
      <c r="R1376" s="84"/>
      <c r="S1376" s="87"/>
      <c r="T1376" s="87"/>
      <c r="U1376" s="84">
        <v>1</v>
      </c>
      <c r="V1376" s="84">
        <v>0</v>
      </c>
      <c r="W1376" s="84">
        <v>0</v>
      </c>
      <c r="X1376" s="84">
        <v>0</v>
      </c>
      <c r="Y1376" s="84">
        <v>0</v>
      </c>
      <c r="Z1376" s="84">
        <v>1</v>
      </c>
      <c r="AA1376" s="84">
        <v>0</v>
      </c>
      <c r="AB1376" s="84">
        <v>1</v>
      </c>
      <c r="AC1376" s="84">
        <v>0</v>
      </c>
      <c r="AD1376" s="84">
        <v>1</v>
      </c>
      <c r="AE1376" s="84">
        <v>0</v>
      </c>
      <c r="AF1376" s="84">
        <v>1</v>
      </c>
      <c r="AG1376" s="84">
        <v>0</v>
      </c>
      <c r="AH1376" s="84">
        <v>0</v>
      </c>
      <c r="AI1376" s="84">
        <v>0</v>
      </c>
      <c r="AJ1376" s="84">
        <v>0</v>
      </c>
      <c r="AK1376" s="84">
        <v>0</v>
      </c>
      <c r="AL1376" s="84" cm="1">
        <f t="array" ref="AL13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76" s="84" cm="1">
        <f t="array" ref="AM13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6" s="84" cm="1">
        <f t="array" ref="AN13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6" s="84" cm="1">
        <f t="array" ref="AO13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6" s="84" cm="1">
        <f t="array" ref="AP13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6" s="84" cm="1">
        <f t="array" ref="AQ13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76" s="84" cm="1">
        <f t="array" ref="AR13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6" s="84" cm="1">
        <f t="array" ref="AS13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76" s="84" cm="1">
        <f t="array" ref="AT13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6" s="84" cm="1">
        <f t="array" ref="AU13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76" s="84" cm="1">
        <f t="array" ref="AV13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6" s="84" cm="1">
        <f t="array" ref="AW13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76" s="84" cm="1">
        <f t="array" ref="AX13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6" s="84" cm="1">
        <f t="array" ref="AY13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6" s="84" cm="1">
        <f t="array" ref="AZ13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6" s="84" cm="1">
        <f t="array" ref="BA13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6" s="84" cm="1">
        <f t="array" ref="BB13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6" s="84">
        <f>IF(SUM(Table3[[#This Row],[Column2]:[Column18]])&gt;Table3[[#This Row],[Column19]],Table3[[#This Row],[Column19]],SUM(Table3[[#This Row],[Column2]:[Column18]]))</f>
        <v>50000</v>
      </c>
      <c r="BD1376" s="2">
        <f>Table3[[#This Row],[Total Spend]]/SUM(Table3[[#This Row],[Column2]:[Column18]])</f>
        <v>0.41459369817578773</v>
      </c>
    </row>
    <row r="1377" spans="1:56">
      <c r="A1377" s="84" t="s">
        <v>1452</v>
      </c>
      <c r="B1377" s="84"/>
      <c r="C1377" s="84" t="s">
        <v>57</v>
      </c>
      <c r="D1377" s="85">
        <v>45566</v>
      </c>
      <c r="E1377" s="85" t="s">
        <v>92</v>
      </c>
      <c r="F1377" s="84">
        <f>INDEX(Definitions!$G$13:$G$17,MATCH(Table3[[#This Row],[Propensity to buy/ buyer readiness]],Definitions!$A$13:$A$17,0))</f>
        <v>10000</v>
      </c>
      <c r="G1377" s="86">
        <v>3</v>
      </c>
      <c r="H1377" s="86">
        <v>3</v>
      </c>
      <c r="I1377" s="86">
        <v>3</v>
      </c>
      <c r="J1377" s="86">
        <v>3</v>
      </c>
      <c r="K1377" s="86">
        <v>2</v>
      </c>
      <c r="L1377" s="86">
        <f>SUM(Table3[[#This Row],[Strategic priority segment]:[Propensity to buy/ buyer readiness]])</f>
        <v>14</v>
      </c>
      <c r="M1377" s="86" t="s">
        <v>191</v>
      </c>
      <c r="N1377" s="84" t="s">
        <v>135</v>
      </c>
      <c r="O1377" s="84"/>
      <c r="P1377" s="87"/>
      <c r="Q1377" s="87"/>
      <c r="R1377" s="84"/>
      <c r="S1377" s="87"/>
      <c r="T1377" s="87"/>
      <c r="U1377" s="84">
        <v>0</v>
      </c>
      <c r="V1377" s="84">
        <v>0</v>
      </c>
      <c r="W1377" s="84">
        <v>0</v>
      </c>
      <c r="X1377" s="84">
        <v>0</v>
      </c>
      <c r="Y1377" s="84">
        <v>0</v>
      </c>
      <c r="Z1377" s="84">
        <v>0</v>
      </c>
      <c r="AA1377" s="84">
        <v>0</v>
      </c>
      <c r="AB1377" s="84">
        <v>0</v>
      </c>
      <c r="AC1377" s="84">
        <v>0</v>
      </c>
      <c r="AD1377" s="84">
        <v>0</v>
      </c>
      <c r="AE1377" s="84">
        <v>0</v>
      </c>
      <c r="AF1377" s="84">
        <v>0</v>
      </c>
      <c r="AG1377" s="84">
        <v>0</v>
      </c>
      <c r="AH1377" s="84">
        <v>1</v>
      </c>
      <c r="AI1377" s="84">
        <v>1</v>
      </c>
      <c r="AJ1377" s="84">
        <v>1</v>
      </c>
      <c r="AK1377" s="84">
        <v>1</v>
      </c>
      <c r="AL1377" s="84" cm="1">
        <f t="array" ref="AL13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77" s="84" cm="1">
        <f t="array" ref="AM13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7" s="84" cm="1">
        <f t="array" ref="AN13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7" s="84" cm="1">
        <f t="array" ref="AO13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7" s="84" cm="1">
        <f t="array" ref="AP13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7" s="84" cm="1">
        <f t="array" ref="AQ13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7" s="84" cm="1">
        <f t="array" ref="AR13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7" s="84" cm="1">
        <f t="array" ref="AS13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7" s="84" cm="1">
        <f t="array" ref="AT13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7" s="84" cm="1">
        <f t="array" ref="AU13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7" s="84" cm="1">
        <f t="array" ref="AV13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7" s="84" cm="1">
        <f t="array" ref="AW13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7" s="84" cm="1">
        <f t="array" ref="AX13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7" s="84" cm="1">
        <f t="array" ref="AY13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77" s="84" cm="1">
        <f t="array" ref="AZ13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77" s="84" cm="1">
        <f t="array" ref="BA13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77" s="84" cm="1">
        <f t="array" ref="BB13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77" s="84">
        <f>IF(SUM(Table3[[#This Row],[Column2]:[Column18]])&gt;Table3[[#This Row],[Column19]],Table3[[#This Row],[Column19]],SUM(Table3[[#This Row],[Column2]:[Column18]]))</f>
        <v>10000</v>
      </c>
      <c r="BD1377" s="2">
        <f>Table3[[#This Row],[Total Spend]]/SUM(Table3[[#This Row],[Column2]:[Column18]])</f>
        <v>0.21574973031283712</v>
      </c>
    </row>
    <row r="1378" spans="1:56">
      <c r="A1378" s="84" t="s">
        <v>1453</v>
      </c>
      <c r="B1378" s="84"/>
      <c r="C1378" s="84" t="s">
        <v>57</v>
      </c>
      <c r="D1378" s="85">
        <v>45566</v>
      </c>
      <c r="E1378" s="85" t="s">
        <v>92</v>
      </c>
      <c r="F1378" s="84">
        <f>INDEX(Definitions!$G$13:$G$17,MATCH(Table3[[#This Row],[Propensity to buy/ buyer readiness]],Definitions!$A$13:$A$17,0))</f>
        <v>10000</v>
      </c>
      <c r="G1378" s="86">
        <v>3</v>
      </c>
      <c r="H1378" s="86">
        <v>3</v>
      </c>
      <c r="I1378" s="86">
        <v>3</v>
      </c>
      <c r="J1378" s="86">
        <v>3</v>
      </c>
      <c r="K1378" s="86">
        <v>2</v>
      </c>
      <c r="L1378" s="86">
        <f>SUM(Table3[[#This Row],[Strategic priority segment]:[Propensity to buy/ buyer readiness]])</f>
        <v>14</v>
      </c>
      <c r="M1378" s="86" t="s">
        <v>152</v>
      </c>
      <c r="N1378" s="84" t="s">
        <v>264</v>
      </c>
      <c r="O1378" s="84"/>
      <c r="P1378" s="87"/>
      <c r="Q1378" s="87"/>
      <c r="R1378" s="84"/>
      <c r="S1378" s="87"/>
      <c r="T1378" s="87"/>
      <c r="U1378" s="84">
        <v>1</v>
      </c>
      <c r="V1378" s="84">
        <v>0</v>
      </c>
      <c r="W1378" s="84">
        <v>0</v>
      </c>
      <c r="X1378" s="84">
        <v>0</v>
      </c>
      <c r="Y1378" s="84">
        <v>0</v>
      </c>
      <c r="Z1378" s="84">
        <v>0</v>
      </c>
      <c r="AA1378" s="84">
        <v>0</v>
      </c>
      <c r="AB1378" s="84">
        <v>0</v>
      </c>
      <c r="AC1378" s="84">
        <v>0</v>
      </c>
      <c r="AD1378" s="84">
        <v>0</v>
      </c>
      <c r="AE1378" s="84">
        <v>0</v>
      </c>
      <c r="AF1378" s="84">
        <v>0</v>
      </c>
      <c r="AG1378" s="84">
        <v>0</v>
      </c>
      <c r="AH1378" s="84">
        <v>0</v>
      </c>
      <c r="AI1378" s="84">
        <v>0</v>
      </c>
      <c r="AJ1378" s="84">
        <v>0</v>
      </c>
      <c r="AK1378" s="84">
        <v>0</v>
      </c>
      <c r="AL1378" s="84" cm="1">
        <f t="array" ref="AL13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78" s="84" cm="1">
        <f t="array" ref="AM13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8" s="84" cm="1">
        <f t="array" ref="AN13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8" s="84" cm="1">
        <f t="array" ref="AO13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8" s="84" cm="1">
        <f t="array" ref="AP13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8" s="84" cm="1">
        <f t="array" ref="AQ13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8" s="84" cm="1">
        <f t="array" ref="AR13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8" s="84" cm="1">
        <f t="array" ref="AS13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8" s="84" cm="1">
        <f t="array" ref="AT13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8" s="84" cm="1">
        <f t="array" ref="AU13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8" s="84" cm="1">
        <f t="array" ref="AV13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8" s="84" cm="1">
        <f t="array" ref="AW13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8" s="84" cm="1">
        <f t="array" ref="AX13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8" s="84" cm="1">
        <f t="array" ref="AY13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8" s="84" cm="1">
        <f t="array" ref="AZ13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8" s="84" cm="1">
        <f t="array" ref="BA13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8" s="84" cm="1">
        <f t="array" ref="BB13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8" s="84">
        <f>IF(SUM(Table3[[#This Row],[Column2]:[Column18]])&gt;Table3[[#This Row],[Column19]],Table3[[#This Row],[Column19]],SUM(Table3[[#This Row],[Column2]:[Column18]]))</f>
        <v>8100</v>
      </c>
      <c r="BD1378" s="2">
        <f>Table3[[#This Row],[Total Spend]]/SUM(Table3[[#This Row],[Column2]:[Column18]])</f>
        <v>1</v>
      </c>
    </row>
    <row r="1379" spans="1:56">
      <c r="A1379" s="84" t="s">
        <v>1454</v>
      </c>
      <c r="B1379" s="84"/>
      <c r="C1379" s="84"/>
      <c r="D1379" s="85">
        <v>45566</v>
      </c>
      <c r="E1379" s="85" t="s">
        <v>58</v>
      </c>
      <c r="F1379" s="84">
        <f>INDEX(Definitions!$G$13:$G$17,MATCH(Table3[[#This Row],[Propensity to buy/ buyer readiness]],Definitions!$A$13:$A$17,0))</f>
        <v>50000</v>
      </c>
      <c r="G1379" s="86">
        <v>3</v>
      </c>
      <c r="H1379" s="86">
        <v>3</v>
      </c>
      <c r="I1379" s="86">
        <v>2</v>
      </c>
      <c r="J1379" s="86">
        <v>3</v>
      </c>
      <c r="K1379" s="86">
        <v>3</v>
      </c>
      <c r="L1379" s="86">
        <f>SUM(Table3[[#This Row],[Strategic priority segment]:[Propensity to buy/ buyer readiness]])</f>
        <v>14</v>
      </c>
      <c r="M1379" s="86" t="s">
        <v>152</v>
      </c>
      <c r="N1379" s="84" t="s">
        <v>264</v>
      </c>
      <c r="O1379" s="84"/>
      <c r="P1379" s="87"/>
      <c r="Q1379" s="87"/>
      <c r="R1379" s="84"/>
      <c r="S1379" s="87"/>
      <c r="T1379" s="84"/>
      <c r="U1379" s="84">
        <v>1</v>
      </c>
      <c r="V1379" s="84">
        <v>0</v>
      </c>
      <c r="W1379" s="84">
        <v>0</v>
      </c>
      <c r="X1379" s="84">
        <v>0</v>
      </c>
      <c r="Y1379" s="84">
        <v>0</v>
      </c>
      <c r="Z1379" s="84">
        <v>0</v>
      </c>
      <c r="AA1379" s="84">
        <v>0</v>
      </c>
      <c r="AB1379" s="84">
        <v>0</v>
      </c>
      <c r="AC1379" s="84">
        <v>0</v>
      </c>
      <c r="AD1379" s="84">
        <v>0</v>
      </c>
      <c r="AE1379" s="84">
        <v>0</v>
      </c>
      <c r="AF1379" s="84">
        <v>0</v>
      </c>
      <c r="AG1379" s="84">
        <v>0</v>
      </c>
      <c r="AH1379" s="84">
        <v>0</v>
      </c>
      <c r="AI1379" s="84">
        <v>0</v>
      </c>
      <c r="AJ1379" s="84">
        <v>0</v>
      </c>
      <c r="AK1379" s="84">
        <v>0</v>
      </c>
      <c r="AL1379" s="84" cm="1">
        <f t="array" ref="AL13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79" s="84" cm="1">
        <f t="array" ref="AM13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79" s="84" cm="1">
        <f t="array" ref="AN13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79" s="84" cm="1">
        <f t="array" ref="AO13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79" s="84" cm="1">
        <f t="array" ref="AP13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79" s="84" cm="1">
        <f t="array" ref="AQ13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79" s="84" cm="1">
        <f t="array" ref="AR13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79" s="84" cm="1">
        <f t="array" ref="AS13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79" s="84" cm="1">
        <f t="array" ref="AT13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79" s="84" cm="1">
        <f t="array" ref="AU13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79" s="84" cm="1">
        <f t="array" ref="AV13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79" s="84" cm="1">
        <f t="array" ref="AW13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79" s="84" cm="1">
        <f t="array" ref="AX13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79" s="84" cm="1">
        <f t="array" ref="AY13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79" s="84" cm="1">
        <f t="array" ref="AZ13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79" s="84" cm="1">
        <f t="array" ref="BA13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79" s="84" cm="1">
        <f t="array" ref="BB13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79" s="84">
        <f>IF(SUM(Table3[[#This Row],[Column2]:[Column18]])&gt;Table3[[#This Row],[Column19]],Table3[[#This Row],[Column19]],SUM(Table3[[#This Row],[Column2]:[Column18]]))</f>
        <v>10800</v>
      </c>
      <c r="BD1379" s="2">
        <f>Table3[[#This Row],[Total Spend]]/SUM(Table3[[#This Row],[Column2]:[Column18]])</f>
        <v>1</v>
      </c>
    </row>
    <row r="1380" spans="1:56">
      <c r="A1380" s="84" t="s">
        <v>1455</v>
      </c>
      <c r="B1380" s="84"/>
      <c r="C1380" s="84"/>
      <c r="D1380" s="85">
        <v>45566</v>
      </c>
      <c r="E1380" s="85" t="s">
        <v>58</v>
      </c>
      <c r="F1380" s="84">
        <f>INDEX(Definitions!$G$13:$G$17,MATCH(Table3[[#This Row],[Propensity to buy/ buyer readiness]],Definitions!$A$13:$A$17,0))</f>
        <v>50000</v>
      </c>
      <c r="G1380" s="86">
        <v>3</v>
      </c>
      <c r="H1380" s="86">
        <v>3</v>
      </c>
      <c r="I1380" s="86">
        <v>2</v>
      </c>
      <c r="J1380" s="86">
        <v>3</v>
      </c>
      <c r="K1380" s="86">
        <v>3</v>
      </c>
      <c r="L1380" s="86">
        <f>SUM(Table3[[#This Row],[Strategic priority segment]:[Propensity to buy/ buyer readiness]])</f>
        <v>14</v>
      </c>
      <c r="M1380" s="86" t="s">
        <v>152</v>
      </c>
      <c r="N1380" s="84" t="s">
        <v>264</v>
      </c>
      <c r="O1380" s="84"/>
      <c r="P1380" s="87"/>
      <c r="Q1380" s="87"/>
      <c r="R1380" s="84"/>
      <c r="S1380" s="87"/>
      <c r="T1380" s="87"/>
      <c r="U1380" s="84">
        <v>1</v>
      </c>
      <c r="V1380" s="84">
        <v>0</v>
      </c>
      <c r="W1380" s="84">
        <v>0</v>
      </c>
      <c r="X1380" s="84">
        <v>0</v>
      </c>
      <c r="Y1380" s="84">
        <v>0</v>
      </c>
      <c r="Z1380" s="84">
        <v>0</v>
      </c>
      <c r="AA1380" s="84">
        <v>0</v>
      </c>
      <c r="AB1380" s="84">
        <v>0</v>
      </c>
      <c r="AC1380" s="84">
        <v>0</v>
      </c>
      <c r="AD1380" s="84">
        <v>0</v>
      </c>
      <c r="AE1380" s="84">
        <v>0</v>
      </c>
      <c r="AF1380" s="84">
        <v>0</v>
      </c>
      <c r="AG1380" s="84">
        <v>0</v>
      </c>
      <c r="AH1380" s="84">
        <v>0</v>
      </c>
      <c r="AI1380" s="84">
        <v>0</v>
      </c>
      <c r="AJ1380" s="84">
        <v>0</v>
      </c>
      <c r="AK1380" s="84">
        <v>0</v>
      </c>
      <c r="AL1380" s="84" cm="1">
        <f t="array" ref="AL13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80" s="84" cm="1">
        <f t="array" ref="AM13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0" s="84" cm="1">
        <f t="array" ref="AN13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0" s="84" cm="1">
        <f t="array" ref="AO13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0" s="84" cm="1">
        <f t="array" ref="AP13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0" s="84" cm="1">
        <f t="array" ref="AQ13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0" s="84" cm="1">
        <f t="array" ref="AR13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0" s="84" cm="1">
        <f t="array" ref="AS13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0" s="84" cm="1">
        <f t="array" ref="AT13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0" s="84" cm="1">
        <f t="array" ref="AU13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0" s="84" cm="1">
        <f t="array" ref="AV13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0" s="84" cm="1">
        <f t="array" ref="AW13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0" s="84" cm="1">
        <f t="array" ref="AX13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0" s="84" cm="1">
        <f t="array" ref="AY13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80" s="84" cm="1">
        <f t="array" ref="AZ13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80" s="84" cm="1">
        <f t="array" ref="BA13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80" s="84" cm="1">
        <f t="array" ref="BB13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80" s="84">
        <f>IF(SUM(Table3[[#This Row],[Column2]:[Column18]])&gt;Table3[[#This Row],[Column19]],Table3[[#This Row],[Column19]],SUM(Table3[[#This Row],[Column2]:[Column18]]))</f>
        <v>10800</v>
      </c>
      <c r="BD1380" s="2">
        <f>Table3[[#This Row],[Total Spend]]/SUM(Table3[[#This Row],[Column2]:[Column18]])</f>
        <v>1</v>
      </c>
    </row>
    <row r="1381" spans="1:56" ht="28.5">
      <c r="A1381" s="87" t="s">
        <v>1456</v>
      </c>
      <c r="B1381" s="87"/>
      <c r="C1381" s="87" t="s">
        <v>57</v>
      </c>
      <c r="D1381" s="85">
        <v>45566</v>
      </c>
      <c r="E1381" s="85" t="s">
        <v>92</v>
      </c>
      <c r="F1381" s="84">
        <f>INDEX(Definitions!$G$13:$G$17,MATCH(Table3[[#This Row],[Propensity to buy/ buyer readiness]],Definitions!$A$13:$A$17,0))</f>
        <v>10000</v>
      </c>
      <c r="G1381" s="86">
        <v>3</v>
      </c>
      <c r="H1381" s="86">
        <v>3</v>
      </c>
      <c r="I1381" s="86">
        <v>3</v>
      </c>
      <c r="J1381" s="86">
        <v>3</v>
      </c>
      <c r="K1381" s="86">
        <v>2</v>
      </c>
      <c r="L1381" s="86">
        <f>SUM(Table3[[#This Row],[Strategic priority segment]:[Propensity to buy/ buyer readiness]])</f>
        <v>14</v>
      </c>
      <c r="M1381" s="86" t="s">
        <v>191</v>
      </c>
      <c r="N1381" s="84" t="s">
        <v>135</v>
      </c>
      <c r="O1381" s="87" t="s">
        <v>76</v>
      </c>
      <c r="P1381" s="87"/>
      <c r="Q1381" s="87"/>
      <c r="R1381" s="84"/>
      <c r="S1381" s="87"/>
      <c r="T1381" s="87"/>
      <c r="U1381" s="84">
        <v>0</v>
      </c>
      <c r="V1381" s="84">
        <v>0</v>
      </c>
      <c r="W1381" s="84">
        <v>0</v>
      </c>
      <c r="X1381" s="84">
        <v>0</v>
      </c>
      <c r="Y1381" s="84">
        <v>0</v>
      </c>
      <c r="Z1381" s="84">
        <v>0</v>
      </c>
      <c r="AA1381" s="84">
        <v>0</v>
      </c>
      <c r="AB1381" s="84">
        <v>0</v>
      </c>
      <c r="AC1381" s="84">
        <v>0</v>
      </c>
      <c r="AD1381" s="84">
        <v>0</v>
      </c>
      <c r="AE1381" s="84">
        <v>0</v>
      </c>
      <c r="AF1381" s="84">
        <v>0</v>
      </c>
      <c r="AG1381" s="84">
        <v>0</v>
      </c>
      <c r="AH1381" s="84">
        <v>1</v>
      </c>
      <c r="AI1381" s="84">
        <v>1</v>
      </c>
      <c r="AJ1381" s="84">
        <v>1</v>
      </c>
      <c r="AK1381" s="84">
        <v>1</v>
      </c>
      <c r="AL1381" s="84" cm="1">
        <f t="array" ref="AL13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81" s="84" cm="1">
        <f t="array" ref="AM13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1" s="84" cm="1">
        <f t="array" ref="AN13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1" s="84" cm="1">
        <f t="array" ref="AO13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1" s="84" cm="1">
        <f t="array" ref="AP13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1" s="84" cm="1">
        <f t="array" ref="AQ13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1" s="84" cm="1">
        <f t="array" ref="AR13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1" s="84" cm="1">
        <f t="array" ref="AS13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1" s="84" cm="1">
        <f t="array" ref="AT13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1" s="84" cm="1">
        <f t="array" ref="AU13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1" s="84" cm="1">
        <f t="array" ref="AV13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1" s="84" cm="1">
        <f t="array" ref="AW13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1" s="84" cm="1">
        <f t="array" ref="AX13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1" s="84" cm="1">
        <f t="array" ref="AY13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81" s="84" cm="1">
        <f t="array" ref="AZ13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81" s="84" cm="1">
        <f t="array" ref="BA13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81" s="84" cm="1">
        <f t="array" ref="BB13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81" s="84">
        <f>IF(SUM(Table3[[#This Row],[Column2]:[Column18]])&gt;Table3[[#This Row],[Column19]],Table3[[#This Row],[Column19]],SUM(Table3[[#This Row],[Column2]:[Column18]]))</f>
        <v>10000</v>
      </c>
      <c r="BD1381" s="2">
        <f>Table3[[#This Row],[Total Spend]]/SUM(Table3[[#This Row],[Column2]:[Column18]])</f>
        <v>0.21574973031283712</v>
      </c>
    </row>
    <row r="1382" spans="1:56">
      <c r="A1382" s="84" t="s">
        <v>1457</v>
      </c>
      <c r="B1382" s="84"/>
      <c r="C1382" s="84" t="s">
        <v>57</v>
      </c>
      <c r="D1382" s="85">
        <v>45809</v>
      </c>
      <c r="E1382" s="85" t="s">
        <v>92</v>
      </c>
      <c r="F1382" s="84">
        <f>INDEX(Definitions!$G$13:$G$17,MATCH(Table3[[#This Row],[Propensity to buy/ buyer readiness]],Definitions!$A$13:$A$17,0))</f>
        <v>10000</v>
      </c>
      <c r="G1382" s="86">
        <v>3</v>
      </c>
      <c r="H1382" s="86">
        <v>3</v>
      </c>
      <c r="I1382" s="86">
        <v>3</v>
      </c>
      <c r="J1382" s="86">
        <v>3</v>
      </c>
      <c r="K1382" s="86">
        <v>2</v>
      </c>
      <c r="L1382" s="86">
        <f>SUM(Table3[[#This Row],[Strategic priority segment]:[Propensity to buy/ buyer readiness]])</f>
        <v>14</v>
      </c>
      <c r="M1382" s="86" t="s">
        <v>191</v>
      </c>
      <c r="N1382" s="84" t="s">
        <v>135</v>
      </c>
      <c r="O1382" s="84"/>
      <c r="P1382" s="87"/>
      <c r="Q1382" s="87"/>
      <c r="R1382" s="84"/>
      <c r="S1382" s="84"/>
      <c r="T1382" s="84"/>
      <c r="U1382" s="84">
        <v>0</v>
      </c>
      <c r="V1382" s="84">
        <v>0</v>
      </c>
      <c r="W1382" s="84">
        <v>0</v>
      </c>
      <c r="X1382" s="84">
        <v>0</v>
      </c>
      <c r="Y1382" s="84">
        <v>0</v>
      </c>
      <c r="Z1382" s="84">
        <v>0</v>
      </c>
      <c r="AA1382" s="84">
        <v>0</v>
      </c>
      <c r="AB1382" s="84">
        <v>0</v>
      </c>
      <c r="AC1382" s="84">
        <v>0</v>
      </c>
      <c r="AD1382" s="84">
        <v>0</v>
      </c>
      <c r="AE1382" s="84">
        <v>0</v>
      </c>
      <c r="AF1382" s="84">
        <v>0</v>
      </c>
      <c r="AG1382" s="84">
        <v>0</v>
      </c>
      <c r="AH1382" s="84">
        <v>1</v>
      </c>
      <c r="AI1382" s="84">
        <v>1</v>
      </c>
      <c r="AJ1382" s="84">
        <v>1</v>
      </c>
      <c r="AK1382" s="84">
        <v>1</v>
      </c>
      <c r="AL1382" s="84" cm="1">
        <f t="array" ref="AL13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82" s="84" cm="1">
        <f t="array" ref="AM13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2" s="84" cm="1">
        <f t="array" ref="AN13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2" s="84" cm="1">
        <f t="array" ref="AO13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2" s="84" cm="1">
        <f t="array" ref="AP13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2" s="84" cm="1">
        <f t="array" ref="AQ13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2" s="84" cm="1">
        <f t="array" ref="AR13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2" s="84" cm="1">
        <f t="array" ref="AS13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2" s="84" cm="1">
        <f t="array" ref="AT13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2" s="84" cm="1">
        <f t="array" ref="AU13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2" s="84" cm="1">
        <f t="array" ref="AV13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2" s="84" cm="1">
        <f t="array" ref="AW13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2" s="84" cm="1">
        <f t="array" ref="AX13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2" s="84" cm="1">
        <f t="array" ref="AY13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82" s="84" cm="1">
        <f t="array" ref="AZ13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82" s="84" cm="1">
        <f t="array" ref="BA13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82" s="84" cm="1">
        <f t="array" ref="BB13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82" s="84">
        <f>IF(SUM(Table3[[#This Row],[Column2]:[Column18]])&gt;Table3[[#This Row],[Column19]],Table3[[#This Row],[Column19]],SUM(Table3[[#This Row],[Column2]:[Column18]]))</f>
        <v>10000</v>
      </c>
      <c r="BD1382" s="2">
        <f>Table3[[#This Row],[Total Spend]]/SUM(Table3[[#This Row],[Column2]:[Column18]])</f>
        <v>0.21574973031283712</v>
      </c>
    </row>
    <row r="1383" spans="1:56">
      <c r="A1383" s="84" t="s">
        <v>1458</v>
      </c>
      <c r="B1383" s="84"/>
      <c r="C1383" s="84"/>
      <c r="D1383" s="85">
        <v>45566</v>
      </c>
      <c r="E1383" s="85" t="s">
        <v>92</v>
      </c>
      <c r="F1383" s="84">
        <f>INDEX(Definitions!$G$13:$G$17,MATCH(Table3[[#This Row],[Propensity to buy/ buyer readiness]],Definitions!$A$13:$A$17,0))</f>
        <v>50000</v>
      </c>
      <c r="G1383" s="86">
        <v>3</v>
      </c>
      <c r="H1383" s="86">
        <v>3</v>
      </c>
      <c r="I1383" s="86">
        <v>2</v>
      </c>
      <c r="J1383" s="86">
        <v>3</v>
      </c>
      <c r="K1383" s="86">
        <v>3</v>
      </c>
      <c r="L1383" s="86">
        <f>SUM(Table3[[#This Row],[Strategic priority segment]:[Propensity to buy/ buyer readiness]])</f>
        <v>14</v>
      </c>
      <c r="M1383" s="86" t="s">
        <v>152</v>
      </c>
      <c r="N1383" s="84" t="s">
        <v>122</v>
      </c>
      <c r="O1383" s="84"/>
      <c r="P1383" s="87"/>
      <c r="Q1383" s="87"/>
      <c r="R1383" s="84"/>
      <c r="S1383" s="87"/>
      <c r="T1383" s="84"/>
      <c r="U1383" s="84">
        <v>1</v>
      </c>
      <c r="V1383" s="84">
        <v>0</v>
      </c>
      <c r="W1383" s="84">
        <v>0</v>
      </c>
      <c r="X1383" s="84">
        <v>0</v>
      </c>
      <c r="Y1383" s="84">
        <v>0</v>
      </c>
      <c r="Z1383" s="84">
        <v>1</v>
      </c>
      <c r="AA1383" s="84">
        <v>0</v>
      </c>
      <c r="AB1383" s="84">
        <v>1</v>
      </c>
      <c r="AC1383" s="84">
        <v>0</v>
      </c>
      <c r="AD1383" s="84">
        <v>1</v>
      </c>
      <c r="AE1383" s="84">
        <v>0</v>
      </c>
      <c r="AF1383" s="84">
        <v>1</v>
      </c>
      <c r="AG1383" s="84">
        <v>0</v>
      </c>
      <c r="AH1383" s="84">
        <v>0</v>
      </c>
      <c r="AI1383" s="84">
        <v>0</v>
      </c>
      <c r="AJ1383" s="84">
        <v>0</v>
      </c>
      <c r="AK1383" s="84">
        <v>0</v>
      </c>
      <c r="AL1383" s="84" cm="1">
        <f t="array" ref="AL13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83" s="84" cm="1">
        <f t="array" ref="AM13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3" s="84" cm="1">
        <f t="array" ref="AN13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3" s="84" cm="1">
        <f t="array" ref="AO13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3" s="84" cm="1">
        <f t="array" ref="AP13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3" s="84" cm="1">
        <f t="array" ref="AQ13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383" s="84" cm="1">
        <f t="array" ref="AR13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3" s="84" cm="1">
        <f t="array" ref="AS13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383" s="84" cm="1">
        <f t="array" ref="AT13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3" s="84" cm="1">
        <f t="array" ref="AU13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383" s="84" cm="1">
        <f t="array" ref="AV13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3" s="84" cm="1">
        <f t="array" ref="AW13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383" s="84" cm="1">
        <f t="array" ref="AX13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3" s="84" cm="1">
        <f t="array" ref="AY13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83" s="84" cm="1">
        <f t="array" ref="AZ13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83" s="84" cm="1">
        <f t="array" ref="BA13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83" s="84" cm="1">
        <f t="array" ref="BB13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83" s="84">
        <f>IF(SUM(Table3[[#This Row],[Column2]:[Column18]])&gt;Table3[[#This Row],[Column19]],Table3[[#This Row],[Column19]],SUM(Table3[[#This Row],[Column2]:[Column18]]))</f>
        <v>50000</v>
      </c>
      <c r="BD1383" s="2">
        <f>Table3[[#This Row],[Total Spend]]/SUM(Table3[[#This Row],[Column2]:[Column18]])</f>
        <v>0.41459369817578773</v>
      </c>
    </row>
    <row r="1384" spans="1:56">
      <c r="A1384" s="87" t="s">
        <v>1459</v>
      </c>
      <c r="B1384" s="87"/>
      <c r="C1384" s="87" t="s">
        <v>57</v>
      </c>
      <c r="D1384" s="85">
        <v>45566</v>
      </c>
      <c r="E1384" s="85" t="s">
        <v>92</v>
      </c>
      <c r="F1384" s="84">
        <f>INDEX(Definitions!$G$13:$G$17,MATCH(Table3[[#This Row],[Propensity to buy/ buyer readiness]],Definitions!$A$13:$A$17,0))</f>
        <v>10000</v>
      </c>
      <c r="G1384" s="86">
        <v>3</v>
      </c>
      <c r="H1384" s="86">
        <v>3</v>
      </c>
      <c r="I1384" s="86">
        <v>3</v>
      </c>
      <c r="J1384" s="86">
        <v>3</v>
      </c>
      <c r="K1384" s="86">
        <v>2</v>
      </c>
      <c r="L1384" s="86">
        <f>SUM(Table3[[#This Row],[Strategic priority segment]:[Propensity to buy/ buyer readiness]])</f>
        <v>14</v>
      </c>
      <c r="M1384" s="86" t="s">
        <v>191</v>
      </c>
      <c r="N1384" s="84" t="s">
        <v>135</v>
      </c>
      <c r="O1384" s="87"/>
      <c r="P1384" s="87"/>
      <c r="Q1384" s="87"/>
      <c r="R1384" s="84"/>
      <c r="S1384" s="87"/>
      <c r="T1384" s="87"/>
      <c r="U1384" s="84">
        <v>0</v>
      </c>
      <c r="V1384" s="84">
        <v>0</v>
      </c>
      <c r="W1384" s="84">
        <v>0</v>
      </c>
      <c r="X1384" s="84">
        <v>0</v>
      </c>
      <c r="Y1384" s="84">
        <v>0</v>
      </c>
      <c r="Z1384" s="84">
        <v>0</v>
      </c>
      <c r="AA1384" s="84">
        <v>0</v>
      </c>
      <c r="AB1384" s="84">
        <v>0</v>
      </c>
      <c r="AC1384" s="84">
        <v>0</v>
      </c>
      <c r="AD1384" s="84">
        <v>0</v>
      </c>
      <c r="AE1384" s="84">
        <v>0</v>
      </c>
      <c r="AF1384" s="84">
        <v>0</v>
      </c>
      <c r="AG1384" s="84">
        <v>0</v>
      </c>
      <c r="AH1384" s="84">
        <v>1</v>
      </c>
      <c r="AI1384" s="84">
        <v>1</v>
      </c>
      <c r="AJ1384" s="84">
        <v>1</v>
      </c>
      <c r="AK1384" s="84">
        <v>1</v>
      </c>
      <c r="AL1384" s="84" cm="1">
        <f t="array" ref="AL13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84" s="84" cm="1">
        <f t="array" ref="AM13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4" s="84" cm="1">
        <f t="array" ref="AN13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4" s="84" cm="1">
        <f t="array" ref="AO13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4" s="84" cm="1">
        <f t="array" ref="AP13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4" s="84" cm="1">
        <f t="array" ref="AQ13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4" s="84" cm="1">
        <f t="array" ref="AR13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4" s="84" cm="1">
        <f t="array" ref="AS13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4" s="84" cm="1">
        <f t="array" ref="AT13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4" s="84" cm="1">
        <f t="array" ref="AU13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4" s="84" cm="1">
        <f t="array" ref="AV13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4" s="84" cm="1">
        <f t="array" ref="AW13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4" s="84" cm="1">
        <f t="array" ref="AX13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4" s="84" cm="1">
        <f t="array" ref="AY13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84" s="84" cm="1">
        <f t="array" ref="AZ13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84" s="84" cm="1">
        <f t="array" ref="BA13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84" s="84" cm="1">
        <f t="array" ref="BB13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84" s="84">
        <f>IF(SUM(Table3[[#This Row],[Column2]:[Column18]])&gt;Table3[[#This Row],[Column19]],Table3[[#This Row],[Column19]],SUM(Table3[[#This Row],[Column2]:[Column18]]))</f>
        <v>10000</v>
      </c>
      <c r="BD1384" s="2">
        <f>Table3[[#This Row],[Total Spend]]/SUM(Table3[[#This Row],[Column2]:[Column18]])</f>
        <v>0.21574973031283712</v>
      </c>
    </row>
    <row r="1385" spans="1:56">
      <c r="A1385" s="87" t="s">
        <v>1460</v>
      </c>
      <c r="B1385" s="87"/>
      <c r="C1385" s="87" t="s">
        <v>57</v>
      </c>
      <c r="D1385" s="85">
        <v>45566</v>
      </c>
      <c r="E1385" s="85" t="s">
        <v>92</v>
      </c>
      <c r="F1385" s="84">
        <f>INDEX(Definitions!$G$13:$G$17,MATCH(Table3[[#This Row],[Propensity to buy/ buyer readiness]],Definitions!$A$13:$A$17,0))</f>
        <v>10000</v>
      </c>
      <c r="G1385" s="86">
        <v>3</v>
      </c>
      <c r="H1385" s="86">
        <v>3</v>
      </c>
      <c r="I1385" s="86">
        <v>3</v>
      </c>
      <c r="J1385" s="86">
        <v>3</v>
      </c>
      <c r="K1385" s="86">
        <v>2</v>
      </c>
      <c r="L1385" s="86">
        <f>SUM(Table3[[#This Row],[Strategic priority segment]:[Propensity to buy/ buyer readiness]])</f>
        <v>14</v>
      </c>
      <c r="M1385" s="86" t="s">
        <v>191</v>
      </c>
      <c r="N1385" s="84" t="s">
        <v>135</v>
      </c>
      <c r="O1385" s="87"/>
      <c r="P1385" s="87"/>
      <c r="Q1385" s="87"/>
      <c r="R1385" s="84"/>
      <c r="S1385" s="87"/>
      <c r="T1385" s="87"/>
      <c r="U1385" s="84">
        <v>0</v>
      </c>
      <c r="V1385" s="84">
        <v>0</v>
      </c>
      <c r="W1385" s="84">
        <v>0</v>
      </c>
      <c r="X1385" s="84">
        <v>0</v>
      </c>
      <c r="Y1385" s="84">
        <v>0</v>
      </c>
      <c r="Z1385" s="84">
        <v>0</v>
      </c>
      <c r="AA1385" s="84">
        <v>0</v>
      </c>
      <c r="AB1385" s="84">
        <v>0</v>
      </c>
      <c r="AC1385" s="84">
        <v>0</v>
      </c>
      <c r="AD1385" s="84">
        <v>0</v>
      </c>
      <c r="AE1385" s="84">
        <v>0</v>
      </c>
      <c r="AF1385" s="84">
        <v>0</v>
      </c>
      <c r="AG1385" s="84">
        <v>0</v>
      </c>
      <c r="AH1385" s="84">
        <v>1</v>
      </c>
      <c r="AI1385" s="84">
        <v>1</v>
      </c>
      <c r="AJ1385" s="84">
        <v>1</v>
      </c>
      <c r="AK1385" s="84">
        <v>1</v>
      </c>
      <c r="AL1385" s="84" cm="1">
        <f t="array" ref="AL13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85" s="84" cm="1">
        <f t="array" ref="AM13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5" s="84" cm="1">
        <f t="array" ref="AN13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5" s="84" cm="1">
        <f t="array" ref="AO13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5" s="84" cm="1">
        <f t="array" ref="AP13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5" s="84" cm="1">
        <f t="array" ref="AQ13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5" s="84" cm="1">
        <f t="array" ref="AR13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5" s="84" cm="1">
        <f t="array" ref="AS13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5" s="84" cm="1">
        <f t="array" ref="AT13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5" s="84" cm="1">
        <f t="array" ref="AU13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5" s="84" cm="1">
        <f t="array" ref="AV13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5" s="84" cm="1">
        <f t="array" ref="AW13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5" s="84" cm="1">
        <f t="array" ref="AX13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5" s="84" cm="1">
        <f t="array" ref="AY13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85" s="84" cm="1">
        <f t="array" ref="AZ13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85" s="84" cm="1">
        <f t="array" ref="BA13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85" s="84" cm="1">
        <f t="array" ref="BB13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85" s="84">
        <f>IF(SUM(Table3[[#This Row],[Column2]:[Column18]])&gt;Table3[[#This Row],[Column19]],Table3[[#This Row],[Column19]],SUM(Table3[[#This Row],[Column2]:[Column18]]))</f>
        <v>10000</v>
      </c>
      <c r="BD1385" s="2">
        <f>Table3[[#This Row],[Total Spend]]/SUM(Table3[[#This Row],[Column2]:[Column18]])</f>
        <v>0.21574973031283712</v>
      </c>
    </row>
    <row r="1386" spans="1:56">
      <c r="A1386" s="84" t="s">
        <v>1461</v>
      </c>
      <c r="B1386" s="84"/>
      <c r="C1386" s="84"/>
      <c r="D1386" s="85">
        <v>45566</v>
      </c>
      <c r="E1386" s="85" t="s">
        <v>58</v>
      </c>
      <c r="F1386" s="84">
        <f>INDEX(Definitions!$G$13:$G$17,MATCH(Table3[[#This Row],[Propensity to buy/ buyer readiness]],Definitions!$A$13:$A$17,0))</f>
        <v>50000</v>
      </c>
      <c r="G1386" s="86">
        <v>3</v>
      </c>
      <c r="H1386" s="86">
        <v>3</v>
      </c>
      <c r="I1386" s="86">
        <v>2</v>
      </c>
      <c r="J1386" s="86">
        <v>3</v>
      </c>
      <c r="K1386" s="86">
        <v>3</v>
      </c>
      <c r="L1386" s="86">
        <f>SUM(Table3[[#This Row],[Strategic priority segment]:[Propensity to buy/ buyer readiness]])</f>
        <v>14</v>
      </c>
      <c r="M1386" s="86" t="s">
        <v>152</v>
      </c>
      <c r="N1386" s="84" t="s">
        <v>264</v>
      </c>
      <c r="O1386" s="84"/>
      <c r="P1386" s="87"/>
      <c r="Q1386" s="87"/>
      <c r="R1386" s="84"/>
      <c r="S1386" s="87"/>
      <c r="T1386" s="87"/>
      <c r="U1386" s="84">
        <v>1</v>
      </c>
      <c r="V1386" s="84">
        <v>0</v>
      </c>
      <c r="W1386" s="84">
        <v>0</v>
      </c>
      <c r="X1386" s="84">
        <v>0</v>
      </c>
      <c r="Y1386" s="84">
        <v>0</v>
      </c>
      <c r="Z1386" s="84">
        <v>0</v>
      </c>
      <c r="AA1386" s="84">
        <v>0</v>
      </c>
      <c r="AB1386" s="84">
        <v>0</v>
      </c>
      <c r="AC1386" s="84">
        <v>0</v>
      </c>
      <c r="AD1386" s="84">
        <v>0</v>
      </c>
      <c r="AE1386" s="84">
        <v>0</v>
      </c>
      <c r="AF1386" s="84">
        <v>0</v>
      </c>
      <c r="AG1386" s="84">
        <v>0</v>
      </c>
      <c r="AH1386" s="84">
        <v>0</v>
      </c>
      <c r="AI1386" s="84">
        <v>0</v>
      </c>
      <c r="AJ1386" s="84">
        <v>0</v>
      </c>
      <c r="AK1386" s="84">
        <v>0</v>
      </c>
      <c r="AL1386" s="84" cm="1">
        <f t="array" ref="AL13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86" s="84" cm="1">
        <f t="array" ref="AM13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6" s="84" cm="1">
        <f t="array" ref="AN13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6" s="84" cm="1">
        <f t="array" ref="AO13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6" s="84" cm="1">
        <f t="array" ref="AP13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6" s="84" cm="1">
        <f t="array" ref="AQ13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6" s="84" cm="1">
        <f t="array" ref="AR13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6" s="84" cm="1">
        <f t="array" ref="AS13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6" s="84" cm="1">
        <f t="array" ref="AT13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6" s="84" cm="1">
        <f t="array" ref="AU13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6" s="84" cm="1">
        <f t="array" ref="AV13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6" s="84" cm="1">
        <f t="array" ref="AW13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6" s="84" cm="1">
        <f t="array" ref="AX13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6" s="84" cm="1">
        <f t="array" ref="AY13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86" s="84" cm="1">
        <f t="array" ref="AZ13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86" s="84" cm="1">
        <f t="array" ref="BA13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86" s="84" cm="1">
        <f t="array" ref="BB13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86" s="84">
        <f>IF(SUM(Table3[[#This Row],[Column2]:[Column18]])&gt;Table3[[#This Row],[Column19]],Table3[[#This Row],[Column19]],SUM(Table3[[#This Row],[Column2]:[Column18]]))</f>
        <v>10800</v>
      </c>
      <c r="BD1386" s="2">
        <f>Table3[[#This Row],[Total Spend]]/SUM(Table3[[#This Row],[Column2]:[Column18]])</f>
        <v>1</v>
      </c>
    </row>
    <row r="1387" spans="1:56">
      <c r="A1387" s="84" t="s">
        <v>1462</v>
      </c>
      <c r="B1387" s="84"/>
      <c r="C1387" s="84" t="s">
        <v>57</v>
      </c>
      <c r="D1387" s="85">
        <v>45566</v>
      </c>
      <c r="E1387" s="85" t="s">
        <v>92</v>
      </c>
      <c r="F1387" s="84">
        <f>INDEX(Definitions!$G$13:$G$17,MATCH(Table3[[#This Row],[Propensity to buy/ buyer readiness]],Definitions!$A$13:$A$17,0))</f>
        <v>10000</v>
      </c>
      <c r="G1387" s="86">
        <v>3</v>
      </c>
      <c r="H1387" s="86">
        <v>3</v>
      </c>
      <c r="I1387" s="86">
        <v>3</v>
      </c>
      <c r="J1387" s="86">
        <v>3</v>
      </c>
      <c r="K1387" s="86">
        <v>2</v>
      </c>
      <c r="L1387" s="86">
        <f>SUM(Table3[[#This Row],[Strategic priority segment]:[Propensity to buy/ buyer readiness]])</f>
        <v>14</v>
      </c>
      <c r="M1387" s="86" t="s">
        <v>191</v>
      </c>
      <c r="N1387" s="84" t="s">
        <v>135</v>
      </c>
      <c r="O1387" s="84"/>
      <c r="P1387" s="87"/>
      <c r="Q1387" s="87"/>
      <c r="R1387" s="84"/>
      <c r="S1387" s="87"/>
      <c r="T1387" s="87"/>
      <c r="U1387" s="84">
        <v>0</v>
      </c>
      <c r="V1387" s="84">
        <v>0</v>
      </c>
      <c r="W1387" s="84">
        <v>0</v>
      </c>
      <c r="X1387" s="84">
        <v>0</v>
      </c>
      <c r="Y1387" s="84">
        <v>0</v>
      </c>
      <c r="Z1387" s="84">
        <v>0</v>
      </c>
      <c r="AA1387" s="84">
        <v>0</v>
      </c>
      <c r="AB1387" s="84">
        <v>0</v>
      </c>
      <c r="AC1387" s="84">
        <v>0</v>
      </c>
      <c r="AD1387" s="84">
        <v>0</v>
      </c>
      <c r="AE1387" s="84">
        <v>0</v>
      </c>
      <c r="AF1387" s="84">
        <v>0</v>
      </c>
      <c r="AG1387" s="84">
        <v>0</v>
      </c>
      <c r="AH1387" s="84">
        <v>1</v>
      </c>
      <c r="AI1387" s="84">
        <v>1</v>
      </c>
      <c r="AJ1387" s="84">
        <v>1</v>
      </c>
      <c r="AK1387" s="84">
        <v>1</v>
      </c>
      <c r="AL1387" s="84" cm="1">
        <f t="array" ref="AL13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87" s="84" cm="1">
        <f t="array" ref="AM13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7" s="84" cm="1">
        <f t="array" ref="AN13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7" s="84" cm="1">
        <f t="array" ref="AO13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7" s="84" cm="1">
        <f t="array" ref="AP13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7" s="84" cm="1">
        <f t="array" ref="AQ13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7" s="84" cm="1">
        <f t="array" ref="AR13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7" s="84" cm="1">
        <f t="array" ref="AS13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7" s="84" cm="1">
        <f t="array" ref="AT13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7" s="84" cm="1">
        <f t="array" ref="AU13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7" s="84" cm="1">
        <f t="array" ref="AV13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7" s="84" cm="1">
        <f t="array" ref="AW13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7" s="84" cm="1">
        <f t="array" ref="AX13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7" s="84" cm="1">
        <f t="array" ref="AY13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87" s="84" cm="1">
        <f t="array" ref="AZ13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87" s="84" cm="1">
        <f t="array" ref="BA13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87" s="84" cm="1">
        <f t="array" ref="BB13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87" s="84">
        <f>IF(SUM(Table3[[#This Row],[Column2]:[Column18]])&gt;Table3[[#This Row],[Column19]],Table3[[#This Row],[Column19]],SUM(Table3[[#This Row],[Column2]:[Column18]]))</f>
        <v>10000</v>
      </c>
      <c r="BD1387" s="2">
        <f>Table3[[#This Row],[Total Spend]]/SUM(Table3[[#This Row],[Column2]:[Column18]])</f>
        <v>0.21574973031283712</v>
      </c>
    </row>
    <row r="1388" spans="1:56">
      <c r="A1388" s="87" t="s">
        <v>1463</v>
      </c>
      <c r="B1388" s="87"/>
      <c r="C1388" s="87"/>
      <c r="D1388" s="85">
        <v>45566</v>
      </c>
      <c r="E1388" s="85" t="s">
        <v>92</v>
      </c>
      <c r="F1388" s="84">
        <f>INDEX(Definitions!$G$13:$G$17,MATCH(Table3[[#This Row],[Propensity to buy/ buyer readiness]],Definitions!$A$13:$A$17,0))</f>
        <v>10000</v>
      </c>
      <c r="G1388" s="86">
        <v>3</v>
      </c>
      <c r="H1388" s="86">
        <v>3</v>
      </c>
      <c r="I1388" s="86">
        <v>2</v>
      </c>
      <c r="J1388" s="86">
        <v>3</v>
      </c>
      <c r="K1388" s="86">
        <v>2</v>
      </c>
      <c r="L1388" s="86">
        <f>SUM(Table3[[#This Row],[Strategic priority segment]:[Propensity to buy/ buyer readiness]])</f>
        <v>13</v>
      </c>
      <c r="M1388" s="86" t="s">
        <v>191</v>
      </c>
      <c r="N1388" s="84" t="s">
        <v>135</v>
      </c>
      <c r="O1388" s="84"/>
      <c r="P1388" s="84"/>
      <c r="Q1388" s="84"/>
      <c r="R1388" s="84"/>
      <c r="S1388" s="87"/>
      <c r="T1388" s="87"/>
      <c r="U1388" s="84">
        <v>0</v>
      </c>
      <c r="V1388" s="84">
        <v>0</v>
      </c>
      <c r="W1388" s="84">
        <v>0</v>
      </c>
      <c r="X1388" s="84">
        <v>0</v>
      </c>
      <c r="Y1388" s="84">
        <v>0</v>
      </c>
      <c r="Z1388" s="84">
        <v>0</v>
      </c>
      <c r="AA1388" s="84">
        <v>0</v>
      </c>
      <c r="AB1388" s="84">
        <v>0</v>
      </c>
      <c r="AC1388" s="84">
        <v>0</v>
      </c>
      <c r="AD1388" s="84">
        <v>0</v>
      </c>
      <c r="AE1388" s="84">
        <v>0</v>
      </c>
      <c r="AF1388" s="84">
        <v>0</v>
      </c>
      <c r="AG1388" s="84">
        <v>0</v>
      </c>
      <c r="AH1388" s="84">
        <v>1</v>
      </c>
      <c r="AI1388" s="84">
        <v>1</v>
      </c>
      <c r="AJ1388" s="84">
        <v>1</v>
      </c>
      <c r="AK1388" s="84">
        <v>1</v>
      </c>
      <c r="AL1388" s="84" cm="1">
        <f t="array" ref="AL13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88" s="84" cm="1">
        <f t="array" ref="AM13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8" s="84" cm="1">
        <f t="array" ref="AN13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8" s="84" cm="1">
        <f t="array" ref="AO13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8" s="84" cm="1">
        <f t="array" ref="AP13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8" s="84" cm="1">
        <f t="array" ref="AQ13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8" s="84" cm="1">
        <f t="array" ref="AR13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8" s="84" cm="1">
        <f t="array" ref="AS13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8" s="84" cm="1">
        <f t="array" ref="AT13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8" s="84" cm="1">
        <f t="array" ref="AU13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8" s="84" cm="1">
        <f t="array" ref="AV13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8" s="84" cm="1">
        <f t="array" ref="AW13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8" s="84" cm="1">
        <f t="array" ref="AX13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8" s="84" cm="1">
        <f t="array" ref="AY13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88" s="84" cm="1">
        <f t="array" ref="AZ13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88" s="84" cm="1">
        <f t="array" ref="BA13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88" s="84" cm="1">
        <f t="array" ref="BB13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88" s="84">
        <f>IF(SUM(Table3[[#This Row],[Column2]:[Column18]])&gt;Table3[[#This Row],[Column19]],Table3[[#This Row],[Column19]],SUM(Table3[[#This Row],[Column2]:[Column18]]))</f>
        <v>10000</v>
      </c>
      <c r="BD1388" s="2">
        <f>Table3[[#This Row],[Total Spend]]/SUM(Table3[[#This Row],[Column2]:[Column18]])</f>
        <v>0.21574973031283712</v>
      </c>
    </row>
    <row r="1389" spans="1:56">
      <c r="A1389" s="84" t="s">
        <v>1464</v>
      </c>
      <c r="B1389" s="84"/>
      <c r="C1389" s="84"/>
      <c r="D1389" s="85">
        <v>45566</v>
      </c>
      <c r="E1389" s="85" t="s">
        <v>92</v>
      </c>
      <c r="F1389" s="84">
        <f>INDEX(Definitions!$G$13:$G$17,MATCH(Table3[[#This Row],[Propensity to buy/ buyer readiness]],Definitions!$A$13:$A$17,0))</f>
        <v>10000</v>
      </c>
      <c r="G1389" s="86">
        <v>3</v>
      </c>
      <c r="H1389" s="86">
        <v>3</v>
      </c>
      <c r="I1389" s="86">
        <v>2</v>
      </c>
      <c r="J1389" s="86">
        <v>3</v>
      </c>
      <c r="K1389" s="86">
        <v>2</v>
      </c>
      <c r="L1389" s="86">
        <f>SUM(Table3[[#This Row],[Strategic priority segment]:[Propensity to buy/ buyer readiness]])</f>
        <v>13</v>
      </c>
      <c r="M1389" s="86" t="s">
        <v>152</v>
      </c>
      <c r="N1389" s="84" t="s">
        <v>264</v>
      </c>
      <c r="O1389" s="84"/>
      <c r="P1389" s="84"/>
      <c r="Q1389" s="84"/>
      <c r="R1389" s="84"/>
      <c r="S1389" s="87"/>
      <c r="T1389" s="87"/>
      <c r="U1389" s="84">
        <v>1</v>
      </c>
      <c r="V1389" s="84">
        <v>0</v>
      </c>
      <c r="W1389" s="84">
        <v>0</v>
      </c>
      <c r="X1389" s="84">
        <v>0</v>
      </c>
      <c r="Y1389" s="84">
        <v>0</v>
      </c>
      <c r="Z1389" s="84">
        <v>0</v>
      </c>
      <c r="AA1389" s="84">
        <v>0</v>
      </c>
      <c r="AB1389" s="84">
        <v>0</v>
      </c>
      <c r="AC1389" s="84">
        <v>0</v>
      </c>
      <c r="AD1389" s="84">
        <v>0</v>
      </c>
      <c r="AE1389" s="84">
        <v>0</v>
      </c>
      <c r="AF1389" s="84">
        <v>0</v>
      </c>
      <c r="AG1389" s="84">
        <v>0</v>
      </c>
      <c r="AH1389" s="84">
        <v>0</v>
      </c>
      <c r="AI1389" s="84">
        <v>0</v>
      </c>
      <c r="AJ1389" s="84">
        <v>0</v>
      </c>
      <c r="AK1389" s="84">
        <v>0</v>
      </c>
      <c r="AL1389" s="84" cm="1">
        <f t="array" ref="AL13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89" s="84" cm="1">
        <f t="array" ref="AM13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89" s="84" cm="1">
        <f t="array" ref="AN13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89" s="84" cm="1">
        <f t="array" ref="AO13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89" s="84" cm="1">
        <f t="array" ref="AP13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89" s="84" cm="1">
        <f t="array" ref="AQ13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89" s="84" cm="1">
        <f t="array" ref="AR13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89" s="84" cm="1">
        <f t="array" ref="AS13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89" s="84" cm="1">
        <f t="array" ref="AT13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89" s="84" cm="1">
        <f t="array" ref="AU13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89" s="84" cm="1">
        <f t="array" ref="AV13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89" s="84" cm="1">
        <f t="array" ref="AW13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89" s="84" cm="1">
        <f t="array" ref="AX13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89" s="84" cm="1">
        <f t="array" ref="AY13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89" s="84" cm="1">
        <f t="array" ref="AZ13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89" s="84" cm="1">
        <f t="array" ref="BA13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89" s="84" cm="1">
        <f t="array" ref="BB13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89" s="84">
        <f>IF(SUM(Table3[[#This Row],[Column2]:[Column18]])&gt;Table3[[#This Row],[Column19]],Table3[[#This Row],[Column19]],SUM(Table3[[#This Row],[Column2]:[Column18]]))</f>
        <v>8100</v>
      </c>
      <c r="BD1389" s="2">
        <f>Table3[[#This Row],[Total Spend]]/SUM(Table3[[#This Row],[Column2]:[Column18]])</f>
        <v>1</v>
      </c>
    </row>
    <row r="1390" spans="1:56" ht="28.5">
      <c r="A1390" s="87" t="s">
        <v>1465</v>
      </c>
      <c r="B1390" s="87"/>
      <c r="C1390" s="87"/>
      <c r="D1390" s="85">
        <v>45566</v>
      </c>
      <c r="E1390" s="85" t="s">
        <v>92</v>
      </c>
      <c r="F1390" s="84">
        <f>INDEX(Definitions!$G$13:$G$17,MATCH(Table3[[#This Row],[Propensity to buy/ buyer readiness]],Definitions!$A$13:$A$17,0))</f>
        <v>10000</v>
      </c>
      <c r="G1390" s="86">
        <v>3</v>
      </c>
      <c r="H1390" s="86">
        <v>3</v>
      </c>
      <c r="I1390" s="86">
        <v>2</v>
      </c>
      <c r="J1390" s="86">
        <v>3</v>
      </c>
      <c r="K1390" s="86">
        <v>2</v>
      </c>
      <c r="L1390" s="86">
        <f>SUM(Table3[[#This Row],[Strategic priority segment]:[Propensity to buy/ buyer readiness]])</f>
        <v>13</v>
      </c>
      <c r="M1390" s="86" t="s">
        <v>191</v>
      </c>
      <c r="N1390" s="84" t="s">
        <v>135</v>
      </c>
      <c r="O1390" s="87"/>
      <c r="P1390" s="87"/>
      <c r="Q1390" s="87"/>
      <c r="R1390" s="84"/>
      <c r="S1390" s="87"/>
      <c r="T1390" s="87"/>
      <c r="U1390" s="84">
        <v>0</v>
      </c>
      <c r="V1390" s="84">
        <v>0</v>
      </c>
      <c r="W1390" s="84">
        <v>0</v>
      </c>
      <c r="X1390" s="84">
        <v>0</v>
      </c>
      <c r="Y1390" s="84">
        <v>0</v>
      </c>
      <c r="Z1390" s="84">
        <v>0</v>
      </c>
      <c r="AA1390" s="84">
        <v>0</v>
      </c>
      <c r="AB1390" s="84">
        <v>0</v>
      </c>
      <c r="AC1390" s="84">
        <v>0</v>
      </c>
      <c r="AD1390" s="84">
        <v>0</v>
      </c>
      <c r="AE1390" s="84">
        <v>0</v>
      </c>
      <c r="AF1390" s="84">
        <v>0</v>
      </c>
      <c r="AG1390" s="84">
        <v>0</v>
      </c>
      <c r="AH1390" s="84">
        <v>1</v>
      </c>
      <c r="AI1390" s="84">
        <v>1</v>
      </c>
      <c r="AJ1390" s="84">
        <v>1</v>
      </c>
      <c r="AK1390" s="84">
        <v>1</v>
      </c>
      <c r="AL1390" s="84" cm="1">
        <f t="array" ref="AL13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90" s="84" cm="1">
        <f t="array" ref="AM13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0" s="84" cm="1">
        <f t="array" ref="AN13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0" s="84" cm="1">
        <f t="array" ref="AO13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0" s="84" cm="1">
        <f t="array" ref="AP13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0" s="84" cm="1">
        <f t="array" ref="AQ13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0" s="84" cm="1">
        <f t="array" ref="AR13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0" s="84" cm="1">
        <f t="array" ref="AS13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0" s="84" cm="1">
        <f t="array" ref="AT13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0" s="84" cm="1">
        <f t="array" ref="AU13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0" s="84" cm="1">
        <f t="array" ref="AV13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0" s="84" cm="1">
        <f t="array" ref="AW13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0" s="84" cm="1">
        <f t="array" ref="AX13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0" s="84" cm="1">
        <f t="array" ref="AY13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90" s="84" cm="1">
        <f t="array" ref="AZ13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90" s="84" cm="1">
        <f t="array" ref="BA13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90" s="84" cm="1">
        <f t="array" ref="BB13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90" s="84">
        <f>IF(SUM(Table3[[#This Row],[Column2]:[Column18]])&gt;Table3[[#This Row],[Column19]],Table3[[#This Row],[Column19]],SUM(Table3[[#This Row],[Column2]:[Column18]]))</f>
        <v>10000</v>
      </c>
      <c r="BD1390" s="2">
        <f>Table3[[#This Row],[Total Spend]]/SUM(Table3[[#This Row],[Column2]:[Column18]])</f>
        <v>0.21574973031283712</v>
      </c>
    </row>
    <row r="1391" spans="1:56">
      <c r="A1391" s="84" t="s">
        <v>1466</v>
      </c>
      <c r="B1391" s="84"/>
      <c r="C1391" s="84"/>
      <c r="D1391" s="85">
        <v>45566</v>
      </c>
      <c r="E1391" s="85" t="s">
        <v>92</v>
      </c>
      <c r="F1391" s="84">
        <f>INDEX(Definitions!$G$13:$G$17,MATCH(Table3[[#This Row],[Propensity to buy/ buyer readiness]],Definitions!$A$13:$A$17,0))</f>
        <v>10000</v>
      </c>
      <c r="G1391" s="86">
        <v>3</v>
      </c>
      <c r="H1391" s="86">
        <v>3</v>
      </c>
      <c r="I1391" s="86">
        <v>2</v>
      </c>
      <c r="J1391" s="86">
        <v>3</v>
      </c>
      <c r="K1391" s="86">
        <v>2</v>
      </c>
      <c r="L1391" s="86">
        <f>SUM(Table3[[#This Row],[Strategic priority segment]:[Propensity to buy/ buyer readiness]])</f>
        <v>13</v>
      </c>
      <c r="M1391" s="86" t="s">
        <v>152</v>
      </c>
      <c r="N1391" s="84" t="s">
        <v>264</v>
      </c>
      <c r="O1391" s="87"/>
      <c r="P1391" s="87"/>
      <c r="Q1391" s="87"/>
      <c r="R1391" s="87"/>
      <c r="S1391" s="87"/>
      <c r="T1391" s="87"/>
      <c r="U1391" s="84">
        <v>1</v>
      </c>
      <c r="V1391" s="84">
        <v>0</v>
      </c>
      <c r="W1391" s="84">
        <v>0</v>
      </c>
      <c r="X1391" s="84">
        <v>0</v>
      </c>
      <c r="Y1391" s="84">
        <v>0</v>
      </c>
      <c r="Z1391" s="84">
        <v>0</v>
      </c>
      <c r="AA1391" s="84">
        <v>0</v>
      </c>
      <c r="AB1391" s="84">
        <v>0</v>
      </c>
      <c r="AC1391" s="84">
        <v>0</v>
      </c>
      <c r="AD1391" s="84">
        <v>0</v>
      </c>
      <c r="AE1391" s="84">
        <v>0</v>
      </c>
      <c r="AF1391" s="84">
        <v>0</v>
      </c>
      <c r="AG1391" s="84">
        <v>0</v>
      </c>
      <c r="AH1391" s="84">
        <v>0</v>
      </c>
      <c r="AI1391" s="84">
        <v>0</v>
      </c>
      <c r="AJ1391" s="84">
        <v>0</v>
      </c>
      <c r="AK1391" s="84">
        <v>0</v>
      </c>
      <c r="AL1391" s="84" cm="1">
        <f t="array" ref="AL13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91" s="84" cm="1">
        <f t="array" ref="AM13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1" s="84" cm="1">
        <f t="array" ref="AN13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1" s="84" cm="1">
        <f t="array" ref="AO13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1" s="84" cm="1">
        <f t="array" ref="AP13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1" s="84" cm="1">
        <f t="array" ref="AQ13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1" s="84" cm="1">
        <f t="array" ref="AR13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1" s="84" cm="1">
        <f t="array" ref="AS13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1" s="84" cm="1">
        <f t="array" ref="AT13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1" s="84" cm="1">
        <f t="array" ref="AU13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1" s="84" cm="1">
        <f t="array" ref="AV13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1" s="84" cm="1">
        <f t="array" ref="AW13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1" s="84" cm="1">
        <f t="array" ref="AX13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1" s="84" cm="1">
        <f t="array" ref="AY13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1" s="84" cm="1">
        <f t="array" ref="AZ13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1" s="84" cm="1">
        <f t="array" ref="BA13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1" s="84" cm="1">
        <f t="array" ref="BB13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1" s="84">
        <f>IF(SUM(Table3[[#This Row],[Column2]:[Column18]])&gt;Table3[[#This Row],[Column19]],Table3[[#This Row],[Column19]],SUM(Table3[[#This Row],[Column2]:[Column18]]))</f>
        <v>8100</v>
      </c>
      <c r="BD1391" s="2">
        <f>Table3[[#This Row],[Total Spend]]/SUM(Table3[[#This Row],[Column2]:[Column18]])</f>
        <v>1</v>
      </c>
    </row>
    <row r="1392" spans="1:56">
      <c r="A1392" s="84" t="s">
        <v>1467</v>
      </c>
      <c r="B1392" s="84"/>
      <c r="C1392" s="84"/>
      <c r="D1392" s="85">
        <v>45566</v>
      </c>
      <c r="E1392" s="85" t="s">
        <v>92</v>
      </c>
      <c r="F1392" s="84">
        <f>INDEX(Definitions!$G$13:$G$17,MATCH(Table3[[#This Row],[Propensity to buy/ buyer readiness]],Definitions!$A$13:$A$17,0))</f>
        <v>10000</v>
      </c>
      <c r="G1392" s="86">
        <v>3</v>
      </c>
      <c r="H1392" s="86">
        <v>3</v>
      </c>
      <c r="I1392" s="86">
        <v>2</v>
      </c>
      <c r="J1392" s="86">
        <v>3</v>
      </c>
      <c r="K1392" s="86">
        <v>2</v>
      </c>
      <c r="L1392" s="86">
        <f>SUM(Table3[[#This Row],[Strategic priority segment]:[Propensity to buy/ buyer readiness]])</f>
        <v>13</v>
      </c>
      <c r="M1392" s="86" t="s">
        <v>152</v>
      </c>
      <c r="N1392" s="84" t="s">
        <v>264</v>
      </c>
      <c r="O1392" s="84"/>
      <c r="P1392" s="84"/>
      <c r="Q1392" s="84"/>
      <c r="R1392" s="84"/>
      <c r="S1392" s="87"/>
      <c r="T1392" s="87"/>
      <c r="U1392" s="84">
        <v>1</v>
      </c>
      <c r="V1392" s="84">
        <v>0</v>
      </c>
      <c r="W1392" s="84">
        <v>0</v>
      </c>
      <c r="X1392" s="84">
        <v>0</v>
      </c>
      <c r="Y1392" s="84">
        <v>0</v>
      </c>
      <c r="Z1392" s="84">
        <v>0</v>
      </c>
      <c r="AA1392" s="84">
        <v>0</v>
      </c>
      <c r="AB1392" s="84">
        <v>0</v>
      </c>
      <c r="AC1392" s="84">
        <v>0</v>
      </c>
      <c r="AD1392" s="84">
        <v>0</v>
      </c>
      <c r="AE1392" s="84">
        <v>0</v>
      </c>
      <c r="AF1392" s="84">
        <v>0</v>
      </c>
      <c r="AG1392" s="84">
        <v>0</v>
      </c>
      <c r="AH1392" s="84">
        <v>0</v>
      </c>
      <c r="AI1392" s="84">
        <v>0</v>
      </c>
      <c r="AJ1392" s="84">
        <v>0</v>
      </c>
      <c r="AK1392" s="84">
        <v>0</v>
      </c>
      <c r="AL1392" s="84" cm="1">
        <f t="array" ref="AL13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92" s="84" cm="1">
        <f t="array" ref="AM13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2" s="84" cm="1">
        <f t="array" ref="AN13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2" s="84" cm="1">
        <f t="array" ref="AO13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2" s="84" cm="1">
        <f t="array" ref="AP13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2" s="84" cm="1">
        <f t="array" ref="AQ13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2" s="84" cm="1">
        <f t="array" ref="AR13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2" s="84" cm="1">
        <f t="array" ref="AS13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2" s="84" cm="1">
        <f t="array" ref="AT13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2" s="84" cm="1">
        <f t="array" ref="AU13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2" s="84" cm="1">
        <f t="array" ref="AV13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2" s="84" cm="1">
        <f t="array" ref="AW13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2" s="84" cm="1">
        <f t="array" ref="AX13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2" s="84" cm="1">
        <f t="array" ref="AY13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2" s="84" cm="1">
        <f t="array" ref="AZ13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2" s="84" cm="1">
        <f t="array" ref="BA13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2" s="84" cm="1">
        <f t="array" ref="BB13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2" s="84">
        <f>IF(SUM(Table3[[#This Row],[Column2]:[Column18]])&gt;Table3[[#This Row],[Column19]],Table3[[#This Row],[Column19]],SUM(Table3[[#This Row],[Column2]:[Column18]]))</f>
        <v>8100</v>
      </c>
      <c r="BD1392" s="2">
        <f>Table3[[#This Row],[Total Spend]]/SUM(Table3[[#This Row],[Column2]:[Column18]])</f>
        <v>1</v>
      </c>
    </row>
    <row r="1393" spans="1:56">
      <c r="A1393" s="84" t="s">
        <v>1468</v>
      </c>
      <c r="B1393" s="84"/>
      <c r="C1393" s="84"/>
      <c r="D1393" s="85">
        <v>45566</v>
      </c>
      <c r="E1393" s="85" t="s">
        <v>92</v>
      </c>
      <c r="F1393" s="84">
        <f>INDEX(Definitions!$G$13:$G$17,MATCH(Table3[[#This Row],[Propensity to buy/ buyer readiness]],Definitions!$A$13:$A$17,0))</f>
        <v>10000</v>
      </c>
      <c r="G1393" s="86">
        <v>3</v>
      </c>
      <c r="H1393" s="86">
        <v>3</v>
      </c>
      <c r="I1393" s="86">
        <v>2</v>
      </c>
      <c r="J1393" s="86">
        <v>3</v>
      </c>
      <c r="K1393" s="86">
        <v>2</v>
      </c>
      <c r="L1393" s="86">
        <f>SUM(Table3[[#This Row],[Strategic priority segment]:[Propensity to buy/ buyer readiness]])</f>
        <v>13</v>
      </c>
      <c r="M1393" s="86" t="s">
        <v>191</v>
      </c>
      <c r="N1393" s="84" t="s">
        <v>135</v>
      </c>
      <c r="O1393" s="84"/>
      <c r="P1393" s="84"/>
      <c r="Q1393" s="84"/>
      <c r="R1393" s="84"/>
      <c r="S1393" s="87"/>
      <c r="T1393" s="87"/>
      <c r="U1393" s="84">
        <v>0</v>
      </c>
      <c r="V1393" s="84">
        <v>0</v>
      </c>
      <c r="W1393" s="84">
        <v>0</v>
      </c>
      <c r="X1393" s="84">
        <v>0</v>
      </c>
      <c r="Y1393" s="84">
        <v>0</v>
      </c>
      <c r="Z1393" s="84">
        <v>0</v>
      </c>
      <c r="AA1393" s="84">
        <v>0</v>
      </c>
      <c r="AB1393" s="84">
        <v>0</v>
      </c>
      <c r="AC1393" s="84">
        <v>0</v>
      </c>
      <c r="AD1393" s="84">
        <v>0</v>
      </c>
      <c r="AE1393" s="84">
        <v>0</v>
      </c>
      <c r="AF1393" s="84">
        <v>0</v>
      </c>
      <c r="AG1393" s="84">
        <v>0</v>
      </c>
      <c r="AH1393" s="84">
        <v>1</v>
      </c>
      <c r="AI1393" s="84">
        <v>1</v>
      </c>
      <c r="AJ1393" s="84">
        <v>1</v>
      </c>
      <c r="AK1393" s="84">
        <v>1</v>
      </c>
      <c r="AL1393" s="84" cm="1">
        <f t="array" ref="AL13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93" s="84" cm="1">
        <f t="array" ref="AM13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3" s="84" cm="1">
        <f t="array" ref="AN13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3" s="84" cm="1">
        <f t="array" ref="AO13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3" s="84" cm="1">
        <f t="array" ref="AP13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3" s="84" cm="1">
        <f t="array" ref="AQ13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3" s="84" cm="1">
        <f t="array" ref="AR13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3" s="84" cm="1">
        <f t="array" ref="AS13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3" s="84" cm="1">
        <f t="array" ref="AT13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3" s="84" cm="1">
        <f t="array" ref="AU13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3" s="84" cm="1">
        <f t="array" ref="AV13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3" s="84" cm="1">
        <f t="array" ref="AW13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3" s="84" cm="1">
        <f t="array" ref="AX13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3" s="84" cm="1">
        <f t="array" ref="AY13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93" s="84" cm="1">
        <f t="array" ref="AZ13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93" s="84" cm="1">
        <f t="array" ref="BA13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93" s="84" cm="1">
        <f t="array" ref="BB13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93" s="84">
        <f>IF(SUM(Table3[[#This Row],[Column2]:[Column18]])&gt;Table3[[#This Row],[Column19]],Table3[[#This Row],[Column19]],SUM(Table3[[#This Row],[Column2]:[Column18]]))</f>
        <v>10000</v>
      </c>
      <c r="BD1393" s="2">
        <f>Table3[[#This Row],[Total Spend]]/SUM(Table3[[#This Row],[Column2]:[Column18]])</f>
        <v>0.21574973031283712</v>
      </c>
    </row>
    <row r="1394" spans="1:56">
      <c r="A1394" s="84" t="s">
        <v>1469</v>
      </c>
      <c r="B1394" s="84"/>
      <c r="C1394" s="84"/>
      <c r="D1394" s="85">
        <v>45566</v>
      </c>
      <c r="E1394" s="85" t="s">
        <v>92</v>
      </c>
      <c r="F1394" s="84">
        <f>INDEX(Definitions!$G$13:$G$17,MATCH(Table3[[#This Row],[Propensity to buy/ buyer readiness]],Definitions!$A$13:$A$17,0))</f>
        <v>10000</v>
      </c>
      <c r="G1394" s="86">
        <v>3</v>
      </c>
      <c r="H1394" s="86">
        <v>3</v>
      </c>
      <c r="I1394" s="86">
        <v>2</v>
      </c>
      <c r="J1394" s="86">
        <v>3</v>
      </c>
      <c r="K1394" s="86">
        <v>2</v>
      </c>
      <c r="L1394" s="86">
        <f>SUM(Table3[[#This Row],[Strategic priority segment]:[Propensity to buy/ buyer readiness]])</f>
        <v>13</v>
      </c>
      <c r="M1394" s="86" t="s">
        <v>152</v>
      </c>
      <c r="N1394" s="84" t="s">
        <v>264</v>
      </c>
      <c r="O1394" s="84"/>
      <c r="P1394" s="84"/>
      <c r="Q1394" s="84"/>
      <c r="R1394" s="84"/>
      <c r="S1394" s="87"/>
      <c r="T1394" s="87"/>
      <c r="U1394" s="84">
        <v>1</v>
      </c>
      <c r="V1394" s="84">
        <v>0</v>
      </c>
      <c r="W1394" s="84">
        <v>0</v>
      </c>
      <c r="X1394" s="84">
        <v>0</v>
      </c>
      <c r="Y1394" s="84">
        <v>0</v>
      </c>
      <c r="Z1394" s="84">
        <v>0</v>
      </c>
      <c r="AA1394" s="84">
        <v>0</v>
      </c>
      <c r="AB1394" s="84">
        <v>0</v>
      </c>
      <c r="AC1394" s="84">
        <v>0</v>
      </c>
      <c r="AD1394" s="84">
        <v>0</v>
      </c>
      <c r="AE1394" s="84">
        <v>0</v>
      </c>
      <c r="AF1394" s="84">
        <v>0</v>
      </c>
      <c r="AG1394" s="84">
        <v>0</v>
      </c>
      <c r="AH1394" s="84">
        <v>0</v>
      </c>
      <c r="AI1394" s="84">
        <v>0</v>
      </c>
      <c r="AJ1394" s="84">
        <v>0</v>
      </c>
      <c r="AK1394" s="84">
        <v>0</v>
      </c>
      <c r="AL1394" s="84" cm="1">
        <f t="array" ref="AL13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94" s="84" cm="1">
        <f t="array" ref="AM13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4" s="84" cm="1">
        <f t="array" ref="AN13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4" s="84" cm="1">
        <f t="array" ref="AO13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4" s="84" cm="1">
        <f t="array" ref="AP13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4" s="84" cm="1">
        <f t="array" ref="AQ13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4" s="84" cm="1">
        <f t="array" ref="AR13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4" s="84" cm="1">
        <f t="array" ref="AS13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4" s="84" cm="1">
        <f t="array" ref="AT13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4" s="84" cm="1">
        <f t="array" ref="AU13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4" s="84" cm="1">
        <f t="array" ref="AV13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4" s="84" cm="1">
        <f t="array" ref="AW13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4" s="84" cm="1">
        <f t="array" ref="AX13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4" s="84" cm="1">
        <f t="array" ref="AY13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4" s="84" cm="1">
        <f t="array" ref="AZ13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4" s="84" cm="1">
        <f t="array" ref="BA13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4" s="84" cm="1">
        <f t="array" ref="BB13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4" s="84">
        <f>IF(SUM(Table3[[#This Row],[Column2]:[Column18]])&gt;Table3[[#This Row],[Column19]],Table3[[#This Row],[Column19]],SUM(Table3[[#This Row],[Column2]:[Column18]]))</f>
        <v>8100</v>
      </c>
      <c r="BD1394" s="2">
        <f>Table3[[#This Row],[Total Spend]]/SUM(Table3[[#This Row],[Column2]:[Column18]])</f>
        <v>1</v>
      </c>
    </row>
    <row r="1395" spans="1:56" ht="42.75">
      <c r="A1395" s="87" t="s">
        <v>1470</v>
      </c>
      <c r="B1395" s="87"/>
      <c r="C1395" s="87"/>
      <c r="D1395" s="85">
        <v>45566</v>
      </c>
      <c r="E1395" s="85" t="s">
        <v>92</v>
      </c>
      <c r="F1395" s="84">
        <f>INDEX(Definitions!$G$13:$G$17,MATCH(Table3[[#This Row],[Propensity to buy/ buyer readiness]],Definitions!$A$13:$A$17,0))</f>
        <v>10000</v>
      </c>
      <c r="G1395" s="86">
        <v>3</v>
      </c>
      <c r="H1395" s="86">
        <v>3</v>
      </c>
      <c r="I1395" s="86">
        <v>2</v>
      </c>
      <c r="J1395" s="86">
        <v>3</v>
      </c>
      <c r="K1395" s="86">
        <v>2</v>
      </c>
      <c r="L1395" s="86">
        <f>SUM(Table3[[#This Row],[Strategic priority segment]:[Propensity to buy/ buyer readiness]])</f>
        <v>13</v>
      </c>
      <c r="M1395" s="86" t="s">
        <v>191</v>
      </c>
      <c r="N1395" s="84" t="s">
        <v>135</v>
      </c>
      <c r="O1395" s="87"/>
      <c r="P1395" s="87"/>
      <c r="Q1395" s="87"/>
      <c r="R1395" s="84"/>
      <c r="S1395" s="87"/>
      <c r="T1395" s="87"/>
      <c r="U1395" s="84">
        <v>0</v>
      </c>
      <c r="V1395" s="84">
        <v>0</v>
      </c>
      <c r="W1395" s="84">
        <v>0</v>
      </c>
      <c r="X1395" s="84">
        <v>0</v>
      </c>
      <c r="Y1395" s="84">
        <v>0</v>
      </c>
      <c r="Z1395" s="84">
        <v>0</v>
      </c>
      <c r="AA1395" s="84">
        <v>0</v>
      </c>
      <c r="AB1395" s="84">
        <v>0</v>
      </c>
      <c r="AC1395" s="84">
        <v>0</v>
      </c>
      <c r="AD1395" s="84">
        <v>0</v>
      </c>
      <c r="AE1395" s="84">
        <v>0</v>
      </c>
      <c r="AF1395" s="84">
        <v>0</v>
      </c>
      <c r="AG1395" s="84">
        <v>0</v>
      </c>
      <c r="AH1395" s="84">
        <v>1</v>
      </c>
      <c r="AI1395" s="84">
        <v>1</v>
      </c>
      <c r="AJ1395" s="84">
        <v>1</v>
      </c>
      <c r="AK1395" s="84">
        <v>1</v>
      </c>
      <c r="AL1395" s="84" cm="1">
        <f t="array" ref="AL13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95" s="84" cm="1">
        <f t="array" ref="AM13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5" s="84" cm="1">
        <f t="array" ref="AN13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5" s="84" cm="1">
        <f t="array" ref="AO13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5" s="84" cm="1">
        <f t="array" ref="AP13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5" s="84" cm="1">
        <f t="array" ref="AQ13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5" s="84" cm="1">
        <f t="array" ref="AR13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5" s="84" cm="1">
        <f t="array" ref="AS13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5" s="84" cm="1">
        <f t="array" ref="AT13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5" s="84" cm="1">
        <f t="array" ref="AU13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5" s="84" cm="1">
        <f t="array" ref="AV13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5" s="84" cm="1">
        <f t="array" ref="AW13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5" s="84" cm="1">
        <f t="array" ref="AX13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5" s="84" cm="1">
        <f t="array" ref="AY13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95" s="84" cm="1">
        <f t="array" ref="AZ13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95" s="84" cm="1">
        <f t="array" ref="BA13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95" s="84" cm="1">
        <f t="array" ref="BB13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95" s="84">
        <f>IF(SUM(Table3[[#This Row],[Column2]:[Column18]])&gt;Table3[[#This Row],[Column19]],Table3[[#This Row],[Column19]],SUM(Table3[[#This Row],[Column2]:[Column18]]))</f>
        <v>10000</v>
      </c>
      <c r="BD1395" s="2">
        <f>Table3[[#This Row],[Total Spend]]/SUM(Table3[[#This Row],[Column2]:[Column18]])</f>
        <v>0.21574973031283712</v>
      </c>
    </row>
    <row r="1396" spans="1:56">
      <c r="A1396" s="87" t="s">
        <v>1471</v>
      </c>
      <c r="B1396" s="87"/>
      <c r="C1396" s="87"/>
      <c r="D1396" s="85">
        <v>45809</v>
      </c>
      <c r="E1396" s="85" t="s">
        <v>92</v>
      </c>
      <c r="F1396" s="84">
        <f>INDEX(Definitions!$G$13:$G$17,MATCH(Table3[[#This Row],[Propensity to buy/ buyer readiness]],Definitions!$A$13:$A$17,0))</f>
        <v>10000</v>
      </c>
      <c r="G1396" s="86">
        <v>3</v>
      </c>
      <c r="H1396" s="86">
        <v>3</v>
      </c>
      <c r="I1396" s="86">
        <v>2</v>
      </c>
      <c r="J1396" s="86">
        <v>3</v>
      </c>
      <c r="K1396" s="86">
        <v>2</v>
      </c>
      <c r="L1396" s="86">
        <f>SUM(Table3[[#This Row],[Strategic priority segment]:[Propensity to buy/ buyer readiness]])</f>
        <v>13</v>
      </c>
      <c r="M1396" s="86" t="s">
        <v>152</v>
      </c>
      <c r="N1396" s="84" t="s">
        <v>264</v>
      </c>
      <c r="O1396" s="87"/>
      <c r="P1396" s="87"/>
      <c r="Q1396" s="87"/>
      <c r="R1396" s="84"/>
      <c r="S1396" s="87"/>
      <c r="T1396" s="87"/>
      <c r="U1396" s="84">
        <v>1</v>
      </c>
      <c r="V1396" s="84">
        <v>0</v>
      </c>
      <c r="W1396" s="84">
        <v>0</v>
      </c>
      <c r="X1396" s="84">
        <v>0</v>
      </c>
      <c r="Y1396" s="84">
        <v>0</v>
      </c>
      <c r="Z1396" s="84">
        <v>0</v>
      </c>
      <c r="AA1396" s="84">
        <v>0</v>
      </c>
      <c r="AB1396" s="84">
        <v>0</v>
      </c>
      <c r="AC1396" s="84">
        <v>0</v>
      </c>
      <c r="AD1396" s="84">
        <v>0</v>
      </c>
      <c r="AE1396" s="84">
        <v>0</v>
      </c>
      <c r="AF1396" s="84">
        <v>0</v>
      </c>
      <c r="AG1396" s="84">
        <v>0</v>
      </c>
      <c r="AH1396" s="84">
        <v>0</v>
      </c>
      <c r="AI1396" s="84">
        <v>0</v>
      </c>
      <c r="AJ1396" s="84">
        <v>0</v>
      </c>
      <c r="AK1396" s="84">
        <v>0</v>
      </c>
      <c r="AL1396" s="84" cm="1">
        <f t="array" ref="AL13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96" s="84" cm="1">
        <f t="array" ref="AM13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6" s="84" cm="1">
        <f t="array" ref="AN13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6" s="84" cm="1">
        <f t="array" ref="AO13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6" s="84" cm="1">
        <f t="array" ref="AP13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6" s="84" cm="1">
        <f t="array" ref="AQ13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6" s="84" cm="1">
        <f t="array" ref="AR13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6" s="84" cm="1">
        <f t="array" ref="AS13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6" s="84" cm="1">
        <f t="array" ref="AT13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6" s="84" cm="1">
        <f t="array" ref="AU13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6" s="84" cm="1">
        <f t="array" ref="AV13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6" s="84" cm="1">
        <f t="array" ref="AW13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6" s="84" cm="1">
        <f t="array" ref="AX13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6" s="84" cm="1">
        <f t="array" ref="AY13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6" s="84" cm="1">
        <f t="array" ref="AZ13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6" s="84" cm="1">
        <f t="array" ref="BA13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6" s="84" cm="1">
        <f t="array" ref="BB13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6" s="84">
        <f>IF(SUM(Table3[[#This Row],[Column2]:[Column18]])&gt;Table3[[#This Row],[Column19]],Table3[[#This Row],[Column19]],SUM(Table3[[#This Row],[Column2]:[Column18]]))</f>
        <v>8100</v>
      </c>
      <c r="BD1396" s="2">
        <f>Table3[[#This Row],[Total Spend]]/SUM(Table3[[#This Row],[Column2]:[Column18]])</f>
        <v>1</v>
      </c>
    </row>
    <row r="1397" spans="1:56">
      <c r="A1397" s="84" t="s">
        <v>1472</v>
      </c>
      <c r="B1397" s="84"/>
      <c r="C1397" s="84"/>
      <c r="D1397" s="85">
        <v>45566</v>
      </c>
      <c r="E1397" s="85" t="s">
        <v>92</v>
      </c>
      <c r="F1397" s="84">
        <f>INDEX(Definitions!$G$13:$G$17,MATCH(Table3[[#This Row],[Propensity to buy/ buyer readiness]],Definitions!$A$13:$A$17,0))</f>
        <v>10000</v>
      </c>
      <c r="G1397" s="86">
        <v>3</v>
      </c>
      <c r="H1397" s="86">
        <v>3</v>
      </c>
      <c r="I1397" s="86">
        <v>2</v>
      </c>
      <c r="J1397" s="86">
        <v>3</v>
      </c>
      <c r="K1397" s="86">
        <v>2</v>
      </c>
      <c r="L1397" s="86">
        <f>SUM(Table3[[#This Row],[Strategic priority segment]:[Propensity to buy/ buyer readiness]])</f>
        <v>13</v>
      </c>
      <c r="M1397" s="86" t="s">
        <v>152</v>
      </c>
      <c r="N1397" s="84" t="s">
        <v>264</v>
      </c>
      <c r="O1397" s="84"/>
      <c r="P1397" s="87"/>
      <c r="Q1397" s="87"/>
      <c r="R1397" s="84"/>
      <c r="S1397" s="87"/>
      <c r="T1397" s="87"/>
      <c r="U1397" s="84">
        <v>1</v>
      </c>
      <c r="V1397" s="84">
        <v>0</v>
      </c>
      <c r="W1397" s="84">
        <v>0</v>
      </c>
      <c r="X1397" s="84">
        <v>0</v>
      </c>
      <c r="Y1397" s="84">
        <v>0</v>
      </c>
      <c r="Z1397" s="84">
        <v>0</v>
      </c>
      <c r="AA1397" s="84">
        <v>0</v>
      </c>
      <c r="AB1397" s="84">
        <v>0</v>
      </c>
      <c r="AC1397" s="84">
        <v>0</v>
      </c>
      <c r="AD1397" s="84">
        <v>0</v>
      </c>
      <c r="AE1397" s="84">
        <v>0</v>
      </c>
      <c r="AF1397" s="84">
        <v>0</v>
      </c>
      <c r="AG1397" s="84">
        <v>0</v>
      </c>
      <c r="AH1397" s="84">
        <v>0</v>
      </c>
      <c r="AI1397" s="84">
        <v>0</v>
      </c>
      <c r="AJ1397" s="84">
        <v>0</v>
      </c>
      <c r="AK1397" s="84">
        <v>0</v>
      </c>
      <c r="AL1397" s="84" cm="1">
        <f t="array" ref="AL13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397" s="84" cm="1">
        <f t="array" ref="AM13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7" s="84" cm="1">
        <f t="array" ref="AN13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7" s="84" cm="1">
        <f t="array" ref="AO13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7" s="84" cm="1">
        <f t="array" ref="AP13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7" s="84" cm="1">
        <f t="array" ref="AQ13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7" s="84" cm="1">
        <f t="array" ref="AR13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7" s="84" cm="1">
        <f t="array" ref="AS13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7" s="84" cm="1">
        <f t="array" ref="AT13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7" s="84" cm="1">
        <f t="array" ref="AU13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7" s="84" cm="1">
        <f t="array" ref="AV13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7" s="84" cm="1">
        <f t="array" ref="AW13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7" s="84" cm="1">
        <f t="array" ref="AX13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7" s="84" cm="1">
        <f t="array" ref="AY13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7" s="84" cm="1">
        <f t="array" ref="AZ13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7" s="84" cm="1">
        <f t="array" ref="BA13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7" s="84" cm="1">
        <f t="array" ref="BB13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7" s="84">
        <f>IF(SUM(Table3[[#This Row],[Column2]:[Column18]])&gt;Table3[[#This Row],[Column19]],Table3[[#This Row],[Column19]],SUM(Table3[[#This Row],[Column2]:[Column18]]))</f>
        <v>8100</v>
      </c>
      <c r="BD1397" s="2">
        <f>Table3[[#This Row],[Total Spend]]/SUM(Table3[[#This Row],[Column2]:[Column18]])</f>
        <v>1</v>
      </c>
    </row>
    <row r="1398" spans="1:56">
      <c r="A1398" s="84" t="s">
        <v>1473</v>
      </c>
      <c r="B1398" s="84"/>
      <c r="C1398" s="84"/>
      <c r="D1398" s="85">
        <v>45566</v>
      </c>
      <c r="E1398" s="85" t="s">
        <v>58</v>
      </c>
      <c r="F1398" s="84">
        <f>INDEX(Definitions!$G$13:$G$17,MATCH(Table3[[#This Row],[Propensity to buy/ buyer readiness]],Definitions!$A$13:$A$17,0))</f>
        <v>50000</v>
      </c>
      <c r="G1398" s="86">
        <v>1</v>
      </c>
      <c r="H1398" s="86">
        <v>3</v>
      </c>
      <c r="I1398" s="86">
        <v>3</v>
      </c>
      <c r="J1398" s="86">
        <v>3</v>
      </c>
      <c r="K1398" s="86">
        <v>3</v>
      </c>
      <c r="L1398" s="86">
        <f>SUM(Table3[[#This Row],[Strategic priority segment]:[Propensity to buy/ buyer readiness]])</f>
        <v>13</v>
      </c>
      <c r="M1398" s="86" t="s">
        <v>152</v>
      </c>
      <c r="N1398" s="84" t="s">
        <v>264</v>
      </c>
      <c r="O1398" s="84"/>
      <c r="P1398" s="87"/>
      <c r="Q1398" s="87"/>
      <c r="R1398" s="84"/>
      <c r="S1398" s="87"/>
      <c r="T1398" s="87"/>
      <c r="U1398" s="84">
        <v>1</v>
      </c>
      <c r="V1398" s="84">
        <v>0</v>
      </c>
      <c r="W1398" s="84">
        <v>0</v>
      </c>
      <c r="X1398" s="84">
        <v>0</v>
      </c>
      <c r="Y1398" s="84">
        <v>0</v>
      </c>
      <c r="Z1398" s="84">
        <v>0</v>
      </c>
      <c r="AA1398" s="84">
        <v>0</v>
      </c>
      <c r="AB1398" s="84">
        <v>0</v>
      </c>
      <c r="AC1398" s="84">
        <v>0</v>
      </c>
      <c r="AD1398" s="84">
        <v>0</v>
      </c>
      <c r="AE1398" s="84">
        <v>0</v>
      </c>
      <c r="AF1398" s="84">
        <v>0</v>
      </c>
      <c r="AG1398" s="84">
        <v>0</v>
      </c>
      <c r="AH1398" s="84">
        <v>0</v>
      </c>
      <c r="AI1398" s="84">
        <v>0</v>
      </c>
      <c r="AJ1398" s="84">
        <v>0</v>
      </c>
      <c r="AK1398" s="84">
        <v>0</v>
      </c>
      <c r="AL1398" s="84" cm="1">
        <f t="array" ref="AL13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398" s="84" cm="1">
        <f t="array" ref="AM13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8" s="84" cm="1">
        <f t="array" ref="AN13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8" s="84" cm="1">
        <f t="array" ref="AO13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8" s="84" cm="1">
        <f t="array" ref="AP13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8" s="84" cm="1">
        <f t="array" ref="AQ13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8" s="84" cm="1">
        <f t="array" ref="AR13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8" s="84" cm="1">
        <f t="array" ref="AS13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8" s="84" cm="1">
        <f t="array" ref="AT13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8" s="84" cm="1">
        <f t="array" ref="AU13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8" s="84" cm="1">
        <f t="array" ref="AV13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8" s="84" cm="1">
        <f t="array" ref="AW13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8" s="84" cm="1">
        <f t="array" ref="AX13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8" s="84" cm="1">
        <f t="array" ref="AY13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398" s="84" cm="1">
        <f t="array" ref="AZ13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398" s="84" cm="1">
        <f t="array" ref="BA13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398" s="84" cm="1">
        <f t="array" ref="BB13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398" s="84">
        <f>IF(SUM(Table3[[#This Row],[Column2]:[Column18]])&gt;Table3[[#This Row],[Column19]],Table3[[#This Row],[Column19]],SUM(Table3[[#This Row],[Column2]:[Column18]]))</f>
        <v>10800</v>
      </c>
      <c r="BD1398" s="2">
        <f>Table3[[#This Row],[Total Spend]]/SUM(Table3[[#This Row],[Column2]:[Column18]])</f>
        <v>1</v>
      </c>
    </row>
    <row r="1399" spans="1:56">
      <c r="A1399" s="87" t="s">
        <v>1474</v>
      </c>
      <c r="B1399" s="87"/>
      <c r="C1399" s="87"/>
      <c r="D1399" s="85">
        <v>45566</v>
      </c>
      <c r="E1399" s="85" t="s">
        <v>92</v>
      </c>
      <c r="F1399" s="84">
        <f>INDEX(Definitions!$G$13:$G$17,MATCH(Table3[[#This Row],[Propensity to buy/ buyer readiness]],Definitions!$A$13:$A$17,0))</f>
        <v>10000</v>
      </c>
      <c r="G1399" s="86">
        <v>3</v>
      </c>
      <c r="H1399" s="86">
        <v>3</v>
      </c>
      <c r="I1399" s="86">
        <v>2</v>
      </c>
      <c r="J1399" s="86">
        <v>3</v>
      </c>
      <c r="K1399" s="86">
        <v>2</v>
      </c>
      <c r="L1399" s="86">
        <f>SUM(Table3[[#This Row],[Strategic priority segment]:[Propensity to buy/ buyer readiness]])</f>
        <v>13</v>
      </c>
      <c r="M1399" s="86" t="s">
        <v>191</v>
      </c>
      <c r="N1399" s="84" t="s">
        <v>135</v>
      </c>
      <c r="O1399" s="87"/>
      <c r="P1399" s="87"/>
      <c r="Q1399" s="87"/>
      <c r="R1399" s="84"/>
      <c r="S1399" s="87"/>
      <c r="T1399" s="87"/>
      <c r="U1399" s="84">
        <v>0</v>
      </c>
      <c r="V1399" s="84">
        <v>0</v>
      </c>
      <c r="W1399" s="84">
        <v>0</v>
      </c>
      <c r="X1399" s="84">
        <v>0</v>
      </c>
      <c r="Y1399" s="84">
        <v>0</v>
      </c>
      <c r="Z1399" s="84">
        <v>0</v>
      </c>
      <c r="AA1399" s="84">
        <v>0</v>
      </c>
      <c r="AB1399" s="84">
        <v>0</v>
      </c>
      <c r="AC1399" s="84">
        <v>0</v>
      </c>
      <c r="AD1399" s="84">
        <v>0</v>
      </c>
      <c r="AE1399" s="84">
        <v>0</v>
      </c>
      <c r="AF1399" s="84">
        <v>0</v>
      </c>
      <c r="AG1399" s="84">
        <v>0</v>
      </c>
      <c r="AH1399" s="84">
        <v>1</v>
      </c>
      <c r="AI1399" s="84">
        <v>1</v>
      </c>
      <c r="AJ1399" s="84">
        <v>1</v>
      </c>
      <c r="AK1399" s="84">
        <v>1</v>
      </c>
      <c r="AL1399" s="84" cm="1">
        <f t="array" ref="AL13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399" s="84" cm="1">
        <f t="array" ref="AM13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399" s="84" cm="1">
        <f t="array" ref="AN13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399" s="84" cm="1">
        <f t="array" ref="AO13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399" s="84" cm="1">
        <f t="array" ref="AP13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399" s="84" cm="1">
        <f t="array" ref="AQ13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399" s="84" cm="1">
        <f t="array" ref="AR13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399" s="84" cm="1">
        <f t="array" ref="AS13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399" s="84" cm="1">
        <f t="array" ref="AT13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399" s="84" cm="1">
        <f t="array" ref="AU13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399" s="84" cm="1">
        <f t="array" ref="AV13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399" s="84" cm="1">
        <f t="array" ref="AW13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399" s="84" cm="1">
        <f t="array" ref="AX13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399" s="84" cm="1">
        <f t="array" ref="AY13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399" s="84" cm="1">
        <f t="array" ref="AZ13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399" s="84" cm="1">
        <f t="array" ref="BA13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399" s="84" cm="1">
        <f t="array" ref="BB13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399" s="84">
        <f>IF(SUM(Table3[[#This Row],[Column2]:[Column18]])&gt;Table3[[#This Row],[Column19]],Table3[[#This Row],[Column19]],SUM(Table3[[#This Row],[Column2]:[Column18]]))</f>
        <v>10000</v>
      </c>
      <c r="BD1399" s="2">
        <f>Table3[[#This Row],[Total Spend]]/SUM(Table3[[#This Row],[Column2]:[Column18]])</f>
        <v>0.21574973031283712</v>
      </c>
    </row>
    <row r="1400" spans="1:56" ht="28.5">
      <c r="A1400" s="87" t="s">
        <v>1475</v>
      </c>
      <c r="B1400" s="87"/>
      <c r="C1400" s="87"/>
      <c r="D1400" s="85">
        <v>45566</v>
      </c>
      <c r="E1400" s="85" t="s">
        <v>92</v>
      </c>
      <c r="F1400" s="84">
        <f>INDEX(Definitions!$G$13:$G$17,MATCH(Table3[[#This Row],[Propensity to buy/ buyer readiness]],Definitions!$A$13:$A$17,0))</f>
        <v>10000</v>
      </c>
      <c r="G1400" s="86">
        <v>3</v>
      </c>
      <c r="H1400" s="86">
        <v>3</v>
      </c>
      <c r="I1400" s="86">
        <v>2</v>
      </c>
      <c r="J1400" s="86">
        <v>3</v>
      </c>
      <c r="K1400" s="86">
        <v>2</v>
      </c>
      <c r="L1400" s="86">
        <f>SUM(Table3[[#This Row],[Strategic priority segment]:[Propensity to buy/ buyer readiness]])</f>
        <v>13</v>
      </c>
      <c r="M1400" s="86" t="s">
        <v>191</v>
      </c>
      <c r="N1400" s="84" t="s">
        <v>135</v>
      </c>
      <c r="O1400" s="87"/>
      <c r="P1400" s="84" t="s">
        <v>135</v>
      </c>
      <c r="Q1400" s="87"/>
      <c r="R1400" s="84"/>
      <c r="S1400" s="87"/>
      <c r="T1400" s="87"/>
      <c r="U1400" s="84">
        <v>0</v>
      </c>
      <c r="V1400" s="84">
        <v>0</v>
      </c>
      <c r="W1400" s="84">
        <v>0</v>
      </c>
      <c r="X1400" s="84">
        <v>0</v>
      </c>
      <c r="Y1400" s="84">
        <v>0</v>
      </c>
      <c r="Z1400" s="84">
        <v>0</v>
      </c>
      <c r="AA1400" s="84">
        <v>0</v>
      </c>
      <c r="AB1400" s="84">
        <v>0</v>
      </c>
      <c r="AC1400" s="84">
        <v>0</v>
      </c>
      <c r="AD1400" s="84">
        <v>0</v>
      </c>
      <c r="AE1400" s="84">
        <v>0</v>
      </c>
      <c r="AF1400" s="84">
        <v>0</v>
      </c>
      <c r="AG1400" s="84">
        <v>0</v>
      </c>
      <c r="AH1400" s="84">
        <v>1</v>
      </c>
      <c r="AI1400" s="84">
        <v>1</v>
      </c>
      <c r="AJ1400" s="84">
        <v>1</v>
      </c>
      <c r="AK1400" s="84">
        <v>1</v>
      </c>
      <c r="AL1400" s="84" cm="1">
        <f t="array" ref="AL14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0" s="84" cm="1">
        <f t="array" ref="AM14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0" s="84" cm="1">
        <f t="array" ref="AN14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0" s="84" cm="1">
        <f t="array" ref="AO14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0" s="84" cm="1">
        <f t="array" ref="AP14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0" s="84" cm="1">
        <f t="array" ref="AQ14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0" s="84" cm="1">
        <f t="array" ref="AR14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0" s="84" cm="1">
        <f t="array" ref="AS14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0" s="84" cm="1">
        <f t="array" ref="AT14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0" s="84" cm="1">
        <f t="array" ref="AU14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0" s="84" cm="1">
        <f t="array" ref="AV14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0" s="84" cm="1">
        <f t="array" ref="AW14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0" s="84" cm="1">
        <f t="array" ref="AX14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0" s="84" cm="1">
        <f t="array" ref="AY14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0" s="84" cm="1">
        <f t="array" ref="AZ14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0" s="84" cm="1">
        <f t="array" ref="BA14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0" s="84" cm="1">
        <f t="array" ref="BB14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0" s="84">
        <f>IF(SUM(Table3[[#This Row],[Column2]:[Column18]])&gt;Table3[[#This Row],[Column19]],Table3[[#This Row],[Column19]],SUM(Table3[[#This Row],[Column2]:[Column18]]))</f>
        <v>10000</v>
      </c>
      <c r="BD1400" s="2">
        <f>Table3[[#This Row],[Total Spend]]/SUM(Table3[[#This Row],[Column2]:[Column18]])</f>
        <v>0.21574973031283712</v>
      </c>
    </row>
    <row r="1401" spans="1:56">
      <c r="A1401" s="84" t="s">
        <v>1476</v>
      </c>
      <c r="B1401" s="84"/>
      <c r="C1401" s="84"/>
      <c r="D1401" s="85">
        <v>45566</v>
      </c>
      <c r="E1401" s="85" t="s">
        <v>92</v>
      </c>
      <c r="F1401" s="84">
        <f>INDEX(Definitions!$G$13:$G$17,MATCH(Table3[[#This Row],[Propensity to buy/ buyer readiness]],Definitions!$A$13:$A$17,0))</f>
        <v>10000</v>
      </c>
      <c r="G1401" s="86">
        <v>3</v>
      </c>
      <c r="H1401" s="86">
        <v>3</v>
      </c>
      <c r="I1401" s="86">
        <v>2</v>
      </c>
      <c r="J1401" s="86">
        <v>3</v>
      </c>
      <c r="K1401" s="86">
        <v>2</v>
      </c>
      <c r="L1401" s="86">
        <f>SUM(Table3[[#This Row],[Strategic priority segment]:[Propensity to buy/ buyer readiness]])</f>
        <v>13</v>
      </c>
      <c r="M1401" s="86" t="s">
        <v>152</v>
      </c>
      <c r="N1401" s="84" t="s">
        <v>264</v>
      </c>
      <c r="O1401" s="84"/>
      <c r="P1401" s="84"/>
      <c r="Q1401" s="84"/>
      <c r="R1401" s="84"/>
      <c r="S1401" s="87"/>
      <c r="T1401" s="87"/>
      <c r="U1401" s="84">
        <v>1</v>
      </c>
      <c r="V1401" s="84">
        <v>0</v>
      </c>
      <c r="W1401" s="84">
        <v>0</v>
      </c>
      <c r="X1401" s="84">
        <v>0</v>
      </c>
      <c r="Y1401" s="84">
        <v>0</v>
      </c>
      <c r="Z1401" s="84">
        <v>0</v>
      </c>
      <c r="AA1401" s="84">
        <v>0</v>
      </c>
      <c r="AB1401" s="84">
        <v>0</v>
      </c>
      <c r="AC1401" s="84">
        <v>0</v>
      </c>
      <c r="AD1401" s="84">
        <v>0</v>
      </c>
      <c r="AE1401" s="84">
        <v>0</v>
      </c>
      <c r="AF1401" s="84">
        <v>0</v>
      </c>
      <c r="AG1401" s="84">
        <v>0</v>
      </c>
      <c r="AH1401" s="84">
        <v>0</v>
      </c>
      <c r="AI1401" s="84">
        <v>0</v>
      </c>
      <c r="AJ1401" s="84">
        <v>0</v>
      </c>
      <c r="AK1401" s="84">
        <v>0</v>
      </c>
      <c r="AL1401" s="84" cm="1">
        <f t="array" ref="AL14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01" s="84" cm="1">
        <f t="array" ref="AM14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1" s="84" cm="1">
        <f t="array" ref="AN14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1" s="84" cm="1">
        <f t="array" ref="AO14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1" s="84" cm="1">
        <f t="array" ref="AP14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1" s="84" cm="1">
        <f t="array" ref="AQ14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1" s="84" cm="1">
        <f t="array" ref="AR14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1" s="84" cm="1">
        <f t="array" ref="AS14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1" s="84" cm="1">
        <f t="array" ref="AT14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1" s="84" cm="1">
        <f t="array" ref="AU14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1" s="84" cm="1">
        <f t="array" ref="AV14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1" s="84" cm="1">
        <f t="array" ref="AW14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1" s="84" cm="1">
        <f t="array" ref="AX14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1" s="84" cm="1">
        <f t="array" ref="AY14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01" s="84" cm="1">
        <f t="array" ref="AZ14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01" s="84" cm="1">
        <f t="array" ref="BA14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01" s="84" cm="1">
        <f t="array" ref="BB14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01" s="84">
        <f>IF(SUM(Table3[[#This Row],[Column2]:[Column18]])&gt;Table3[[#This Row],[Column19]],Table3[[#This Row],[Column19]],SUM(Table3[[#This Row],[Column2]:[Column18]]))</f>
        <v>8100</v>
      </c>
      <c r="BD1401" s="2">
        <f>Table3[[#This Row],[Total Spend]]/SUM(Table3[[#This Row],[Column2]:[Column18]])</f>
        <v>1</v>
      </c>
    </row>
    <row r="1402" spans="1:56" ht="42.75">
      <c r="A1402" s="87" t="s">
        <v>1477</v>
      </c>
      <c r="B1402" s="87"/>
      <c r="C1402" s="87"/>
      <c r="D1402" s="85">
        <v>45566</v>
      </c>
      <c r="E1402" s="85" t="s">
        <v>92</v>
      </c>
      <c r="F1402" s="84">
        <f>INDEX(Definitions!$G$13:$G$17,MATCH(Table3[[#This Row],[Propensity to buy/ buyer readiness]],Definitions!$A$13:$A$17,0))</f>
        <v>10000</v>
      </c>
      <c r="G1402" s="86">
        <v>3</v>
      </c>
      <c r="H1402" s="86">
        <v>3</v>
      </c>
      <c r="I1402" s="86">
        <v>2</v>
      </c>
      <c r="J1402" s="86">
        <v>3</v>
      </c>
      <c r="K1402" s="86">
        <v>2</v>
      </c>
      <c r="L1402" s="86">
        <f>SUM(Table3[[#This Row],[Strategic priority segment]:[Propensity to buy/ buyer readiness]])</f>
        <v>13</v>
      </c>
      <c r="M1402" s="86" t="s">
        <v>191</v>
      </c>
      <c r="N1402" s="84" t="s">
        <v>135</v>
      </c>
      <c r="O1402" s="87"/>
      <c r="P1402" s="87"/>
      <c r="Q1402" s="87"/>
      <c r="R1402" s="84"/>
      <c r="S1402" s="87"/>
      <c r="T1402" s="87"/>
      <c r="U1402" s="84">
        <v>0</v>
      </c>
      <c r="V1402" s="84">
        <v>0</v>
      </c>
      <c r="W1402" s="84">
        <v>0</v>
      </c>
      <c r="X1402" s="84">
        <v>0</v>
      </c>
      <c r="Y1402" s="84">
        <v>0</v>
      </c>
      <c r="Z1402" s="84">
        <v>0</v>
      </c>
      <c r="AA1402" s="84">
        <v>0</v>
      </c>
      <c r="AB1402" s="84">
        <v>0</v>
      </c>
      <c r="AC1402" s="84">
        <v>0</v>
      </c>
      <c r="AD1402" s="84">
        <v>0</v>
      </c>
      <c r="AE1402" s="84">
        <v>0</v>
      </c>
      <c r="AF1402" s="84">
        <v>0</v>
      </c>
      <c r="AG1402" s="84">
        <v>0</v>
      </c>
      <c r="AH1402" s="84">
        <v>1</v>
      </c>
      <c r="AI1402" s="84">
        <v>1</v>
      </c>
      <c r="AJ1402" s="84">
        <v>1</v>
      </c>
      <c r="AK1402" s="84">
        <v>1</v>
      </c>
      <c r="AL1402" s="84" cm="1">
        <f t="array" ref="AL14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2" s="84" cm="1">
        <f t="array" ref="AM14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2" s="84" cm="1">
        <f t="array" ref="AN14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2" s="84" cm="1">
        <f t="array" ref="AO14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2" s="84" cm="1">
        <f t="array" ref="AP14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2" s="84" cm="1">
        <f t="array" ref="AQ14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2" s="84" cm="1">
        <f t="array" ref="AR14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2" s="84" cm="1">
        <f t="array" ref="AS14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2" s="84" cm="1">
        <f t="array" ref="AT14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2" s="84" cm="1">
        <f t="array" ref="AU14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2" s="84" cm="1">
        <f t="array" ref="AV14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2" s="84" cm="1">
        <f t="array" ref="AW14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2" s="84" cm="1">
        <f t="array" ref="AX14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2" s="84" cm="1">
        <f t="array" ref="AY14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2" s="84" cm="1">
        <f t="array" ref="AZ14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2" s="84" cm="1">
        <f t="array" ref="BA14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2" s="84" cm="1">
        <f t="array" ref="BB14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2" s="84">
        <f>IF(SUM(Table3[[#This Row],[Column2]:[Column18]])&gt;Table3[[#This Row],[Column19]],Table3[[#This Row],[Column19]],SUM(Table3[[#This Row],[Column2]:[Column18]]))</f>
        <v>10000</v>
      </c>
      <c r="BD1402" s="2">
        <f>Table3[[#This Row],[Total Spend]]/SUM(Table3[[#This Row],[Column2]:[Column18]])</f>
        <v>0.21574973031283712</v>
      </c>
    </row>
    <row r="1403" spans="1:56">
      <c r="A1403" s="87" t="s">
        <v>1478</v>
      </c>
      <c r="B1403" s="87"/>
      <c r="C1403" s="87"/>
      <c r="D1403" s="85">
        <v>45566</v>
      </c>
      <c r="E1403" s="85" t="s">
        <v>92</v>
      </c>
      <c r="F1403" s="84">
        <f>INDEX(Definitions!$G$13:$G$17,MATCH(Table3[[#This Row],[Propensity to buy/ buyer readiness]],Definitions!$A$13:$A$17,0))</f>
        <v>10000</v>
      </c>
      <c r="G1403" s="86">
        <v>3</v>
      </c>
      <c r="H1403" s="86">
        <v>3</v>
      </c>
      <c r="I1403" s="86">
        <v>2</v>
      </c>
      <c r="J1403" s="86">
        <v>3</v>
      </c>
      <c r="K1403" s="86">
        <v>2</v>
      </c>
      <c r="L1403" s="86">
        <f>SUM(Table3[[#This Row],[Strategic priority segment]:[Propensity to buy/ buyer readiness]])</f>
        <v>13</v>
      </c>
      <c r="M1403" s="86" t="s">
        <v>191</v>
      </c>
      <c r="N1403" s="84" t="s">
        <v>135</v>
      </c>
      <c r="O1403" s="87"/>
      <c r="P1403" s="87"/>
      <c r="Q1403" s="87"/>
      <c r="R1403" s="84"/>
      <c r="S1403" s="87"/>
      <c r="T1403" s="87"/>
      <c r="U1403" s="84">
        <v>0</v>
      </c>
      <c r="V1403" s="84">
        <v>0</v>
      </c>
      <c r="W1403" s="84">
        <v>0</v>
      </c>
      <c r="X1403" s="84">
        <v>0</v>
      </c>
      <c r="Y1403" s="84">
        <v>0</v>
      </c>
      <c r="Z1403" s="84">
        <v>0</v>
      </c>
      <c r="AA1403" s="84">
        <v>0</v>
      </c>
      <c r="AB1403" s="84">
        <v>0</v>
      </c>
      <c r="AC1403" s="84">
        <v>0</v>
      </c>
      <c r="AD1403" s="84">
        <v>0</v>
      </c>
      <c r="AE1403" s="84">
        <v>0</v>
      </c>
      <c r="AF1403" s="84">
        <v>0</v>
      </c>
      <c r="AG1403" s="84">
        <v>0</v>
      </c>
      <c r="AH1403" s="84">
        <v>1</v>
      </c>
      <c r="AI1403" s="84">
        <v>1</v>
      </c>
      <c r="AJ1403" s="84">
        <v>1</v>
      </c>
      <c r="AK1403" s="84">
        <v>1</v>
      </c>
      <c r="AL1403" s="84" cm="1">
        <f t="array" ref="AL14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3" s="84" cm="1">
        <f t="array" ref="AM14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3" s="84" cm="1">
        <f t="array" ref="AN14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3" s="84" cm="1">
        <f t="array" ref="AO14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3" s="84" cm="1">
        <f t="array" ref="AP14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3" s="84" cm="1">
        <f t="array" ref="AQ14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3" s="84" cm="1">
        <f t="array" ref="AR14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3" s="84" cm="1">
        <f t="array" ref="AS14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3" s="84" cm="1">
        <f t="array" ref="AT14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3" s="84" cm="1">
        <f t="array" ref="AU14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3" s="84" cm="1">
        <f t="array" ref="AV14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3" s="84" cm="1">
        <f t="array" ref="AW14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3" s="84" cm="1">
        <f t="array" ref="AX14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3" s="84" cm="1">
        <f t="array" ref="AY14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3" s="84" cm="1">
        <f t="array" ref="AZ14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3" s="84" cm="1">
        <f t="array" ref="BA14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3" s="84" cm="1">
        <f t="array" ref="BB14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3" s="84">
        <f>IF(SUM(Table3[[#This Row],[Column2]:[Column18]])&gt;Table3[[#This Row],[Column19]],Table3[[#This Row],[Column19]],SUM(Table3[[#This Row],[Column2]:[Column18]]))</f>
        <v>10000</v>
      </c>
      <c r="BD1403" s="2">
        <f>Table3[[#This Row],[Total Spend]]/SUM(Table3[[#This Row],[Column2]:[Column18]])</f>
        <v>0.21574973031283712</v>
      </c>
    </row>
    <row r="1404" spans="1:56" ht="42.75">
      <c r="A1404" s="87" t="s">
        <v>1479</v>
      </c>
      <c r="B1404" s="87"/>
      <c r="C1404" s="87"/>
      <c r="D1404" s="85">
        <v>45566</v>
      </c>
      <c r="E1404" s="85" t="s">
        <v>92</v>
      </c>
      <c r="F1404" s="84">
        <f>INDEX(Definitions!$G$13:$G$17,MATCH(Table3[[#This Row],[Propensity to buy/ buyer readiness]],Definitions!$A$13:$A$17,0))</f>
        <v>10000</v>
      </c>
      <c r="G1404" s="86">
        <v>3</v>
      </c>
      <c r="H1404" s="86">
        <v>3</v>
      </c>
      <c r="I1404" s="86">
        <v>2</v>
      </c>
      <c r="J1404" s="86">
        <v>3</v>
      </c>
      <c r="K1404" s="86">
        <v>2</v>
      </c>
      <c r="L1404" s="86">
        <f>SUM(Table3[[#This Row],[Strategic priority segment]:[Propensity to buy/ buyer readiness]])</f>
        <v>13</v>
      </c>
      <c r="M1404" s="86" t="s">
        <v>191</v>
      </c>
      <c r="N1404" s="84" t="s">
        <v>135</v>
      </c>
      <c r="O1404" s="87"/>
      <c r="P1404" s="87"/>
      <c r="Q1404" s="87"/>
      <c r="R1404" s="84"/>
      <c r="S1404" s="87"/>
      <c r="T1404" s="87"/>
      <c r="U1404" s="84">
        <v>0</v>
      </c>
      <c r="V1404" s="84">
        <v>0</v>
      </c>
      <c r="W1404" s="84">
        <v>0</v>
      </c>
      <c r="X1404" s="84">
        <v>0</v>
      </c>
      <c r="Y1404" s="84">
        <v>0</v>
      </c>
      <c r="Z1404" s="84">
        <v>0</v>
      </c>
      <c r="AA1404" s="84">
        <v>0</v>
      </c>
      <c r="AB1404" s="84">
        <v>0</v>
      </c>
      <c r="AC1404" s="84">
        <v>0</v>
      </c>
      <c r="AD1404" s="84">
        <v>0</v>
      </c>
      <c r="AE1404" s="84">
        <v>0</v>
      </c>
      <c r="AF1404" s="84">
        <v>0</v>
      </c>
      <c r="AG1404" s="84">
        <v>0</v>
      </c>
      <c r="AH1404" s="84">
        <v>1</v>
      </c>
      <c r="AI1404" s="84">
        <v>1</v>
      </c>
      <c r="AJ1404" s="84">
        <v>1</v>
      </c>
      <c r="AK1404" s="84">
        <v>1</v>
      </c>
      <c r="AL1404" s="84" cm="1">
        <f t="array" ref="AL14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4" s="84" cm="1">
        <f t="array" ref="AM14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4" s="84" cm="1">
        <f t="array" ref="AN14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4" s="84" cm="1">
        <f t="array" ref="AO14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4" s="84" cm="1">
        <f t="array" ref="AP14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4" s="84" cm="1">
        <f t="array" ref="AQ14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4" s="84" cm="1">
        <f t="array" ref="AR14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4" s="84" cm="1">
        <f t="array" ref="AS14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4" s="84" cm="1">
        <f t="array" ref="AT14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4" s="84" cm="1">
        <f t="array" ref="AU14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4" s="84" cm="1">
        <f t="array" ref="AV14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4" s="84" cm="1">
        <f t="array" ref="AW14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4" s="84" cm="1">
        <f t="array" ref="AX14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4" s="84" cm="1">
        <f t="array" ref="AY14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4" s="84" cm="1">
        <f t="array" ref="AZ14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4" s="84" cm="1">
        <f t="array" ref="BA14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4" s="84" cm="1">
        <f t="array" ref="BB14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4" s="84">
        <f>IF(SUM(Table3[[#This Row],[Column2]:[Column18]])&gt;Table3[[#This Row],[Column19]],Table3[[#This Row],[Column19]],SUM(Table3[[#This Row],[Column2]:[Column18]]))</f>
        <v>10000</v>
      </c>
      <c r="BD1404" s="2">
        <f>Table3[[#This Row],[Total Spend]]/SUM(Table3[[#This Row],[Column2]:[Column18]])</f>
        <v>0.21574973031283712</v>
      </c>
    </row>
    <row r="1405" spans="1:56">
      <c r="A1405" s="84" t="s">
        <v>1480</v>
      </c>
      <c r="B1405" s="84"/>
      <c r="C1405" s="84"/>
      <c r="D1405" s="85">
        <v>45566</v>
      </c>
      <c r="E1405" s="85" t="s">
        <v>92</v>
      </c>
      <c r="F1405" s="84">
        <f>INDEX(Definitions!$G$13:$G$17,MATCH(Table3[[#This Row],[Propensity to buy/ buyer readiness]],Definitions!$A$13:$A$17,0))</f>
        <v>10000</v>
      </c>
      <c r="G1405" s="86">
        <v>3</v>
      </c>
      <c r="H1405" s="86">
        <v>3</v>
      </c>
      <c r="I1405" s="86">
        <v>2</v>
      </c>
      <c r="J1405" s="86">
        <v>3</v>
      </c>
      <c r="K1405" s="86">
        <v>2</v>
      </c>
      <c r="L1405" s="86">
        <f>SUM(Table3[[#This Row],[Strategic priority segment]:[Propensity to buy/ buyer readiness]])</f>
        <v>13</v>
      </c>
      <c r="M1405" s="86" t="s">
        <v>152</v>
      </c>
      <c r="N1405" s="84" t="s">
        <v>264</v>
      </c>
      <c r="O1405" s="84"/>
      <c r="P1405" s="87"/>
      <c r="Q1405" s="87"/>
      <c r="R1405" s="84"/>
      <c r="S1405" s="87"/>
      <c r="T1405" s="87"/>
      <c r="U1405" s="84">
        <v>1</v>
      </c>
      <c r="V1405" s="84">
        <v>0</v>
      </c>
      <c r="W1405" s="84">
        <v>0</v>
      </c>
      <c r="X1405" s="84">
        <v>0</v>
      </c>
      <c r="Y1405" s="84">
        <v>0</v>
      </c>
      <c r="Z1405" s="84">
        <v>0</v>
      </c>
      <c r="AA1405" s="84">
        <v>0</v>
      </c>
      <c r="AB1405" s="84">
        <v>0</v>
      </c>
      <c r="AC1405" s="84">
        <v>0</v>
      </c>
      <c r="AD1405" s="84">
        <v>0</v>
      </c>
      <c r="AE1405" s="84">
        <v>0</v>
      </c>
      <c r="AF1405" s="84">
        <v>0</v>
      </c>
      <c r="AG1405" s="84">
        <v>0</v>
      </c>
      <c r="AH1405" s="84">
        <v>0</v>
      </c>
      <c r="AI1405" s="84">
        <v>0</v>
      </c>
      <c r="AJ1405" s="84">
        <v>0</v>
      </c>
      <c r="AK1405" s="84">
        <v>0</v>
      </c>
      <c r="AL1405" s="84" cm="1">
        <f t="array" ref="AL14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05" s="84" cm="1">
        <f t="array" ref="AM14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5" s="84" cm="1">
        <f t="array" ref="AN14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5" s="84" cm="1">
        <f t="array" ref="AO14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5" s="84" cm="1">
        <f t="array" ref="AP14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5" s="84" cm="1">
        <f t="array" ref="AQ14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5" s="84" cm="1">
        <f t="array" ref="AR14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5" s="84" cm="1">
        <f t="array" ref="AS14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5" s="84" cm="1">
        <f t="array" ref="AT14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5" s="84" cm="1">
        <f t="array" ref="AU14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5" s="84" cm="1">
        <f t="array" ref="AV14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5" s="84" cm="1">
        <f t="array" ref="AW14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5" s="84" cm="1">
        <f t="array" ref="AX14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5" s="84" cm="1">
        <f t="array" ref="AY14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05" s="84" cm="1">
        <f t="array" ref="AZ14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05" s="84" cm="1">
        <f t="array" ref="BA14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05" s="84" cm="1">
        <f t="array" ref="BB14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05" s="84">
        <f>IF(SUM(Table3[[#This Row],[Column2]:[Column18]])&gt;Table3[[#This Row],[Column19]],Table3[[#This Row],[Column19]],SUM(Table3[[#This Row],[Column2]:[Column18]]))</f>
        <v>8100</v>
      </c>
      <c r="BD1405" s="2">
        <f>Table3[[#This Row],[Total Spend]]/SUM(Table3[[#This Row],[Column2]:[Column18]])</f>
        <v>1</v>
      </c>
    </row>
    <row r="1406" spans="1:56">
      <c r="A1406" s="84" t="s">
        <v>1481</v>
      </c>
      <c r="B1406" s="84"/>
      <c r="C1406" s="84"/>
      <c r="D1406" s="85">
        <v>45566</v>
      </c>
      <c r="E1406" s="85" t="s">
        <v>92</v>
      </c>
      <c r="F1406" s="84">
        <f>INDEX(Definitions!$G$13:$G$17,MATCH(Table3[[#This Row],[Propensity to buy/ buyer readiness]],Definitions!$A$13:$A$17,0))</f>
        <v>10000</v>
      </c>
      <c r="G1406" s="86">
        <v>3</v>
      </c>
      <c r="H1406" s="86">
        <v>3</v>
      </c>
      <c r="I1406" s="86">
        <v>2</v>
      </c>
      <c r="J1406" s="86">
        <v>3</v>
      </c>
      <c r="K1406" s="86">
        <v>2</v>
      </c>
      <c r="L1406" s="86">
        <f>SUM(Table3[[#This Row],[Strategic priority segment]:[Propensity to buy/ buyer readiness]])</f>
        <v>13</v>
      </c>
      <c r="M1406" s="86" t="s">
        <v>152</v>
      </c>
      <c r="N1406" s="84" t="s">
        <v>264</v>
      </c>
      <c r="O1406" s="87" t="s">
        <v>85</v>
      </c>
      <c r="P1406" s="87"/>
      <c r="Q1406" s="87"/>
      <c r="R1406" s="87"/>
      <c r="S1406" s="87"/>
      <c r="T1406" s="87"/>
      <c r="U1406" s="84">
        <v>1</v>
      </c>
      <c r="V1406" s="84">
        <v>0</v>
      </c>
      <c r="W1406" s="84">
        <v>0</v>
      </c>
      <c r="X1406" s="84">
        <v>0</v>
      </c>
      <c r="Y1406" s="84">
        <v>1</v>
      </c>
      <c r="Z1406" s="84">
        <v>0</v>
      </c>
      <c r="AA1406" s="84">
        <v>0</v>
      </c>
      <c r="AB1406" s="84">
        <v>0</v>
      </c>
      <c r="AC1406" s="84">
        <v>0</v>
      </c>
      <c r="AD1406" s="84">
        <v>0</v>
      </c>
      <c r="AE1406" s="84">
        <v>0</v>
      </c>
      <c r="AF1406" s="84">
        <v>0</v>
      </c>
      <c r="AG1406" s="84">
        <v>0</v>
      </c>
      <c r="AH1406" s="84">
        <v>0</v>
      </c>
      <c r="AI1406" s="84">
        <v>0</v>
      </c>
      <c r="AJ1406" s="84">
        <v>0</v>
      </c>
      <c r="AK1406" s="84">
        <v>0</v>
      </c>
      <c r="AL1406" s="84" cm="1">
        <f t="array" ref="AL14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06" s="84" cm="1">
        <f t="array" ref="AM14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6" s="84" cm="1">
        <f t="array" ref="AN14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6" s="84" cm="1">
        <f t="array" ref="AO14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6" s="84" cm="1">
        <f t="array" ref="AP14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39600</v>
      </c>
      <c r="AQ1406" s="84" cm="1">
        <f t="array" ref="AQ14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6" s="84" cm="1">
        <f t="array" ref="AR14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6" s="84" cm="1">
        <f t="array" ref="AS14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6" s="84" cm="1">
        <f t="array" ref="AT14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6" s="84" cm="1">
        <f t="array" ref="AU14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6" s="84" cm="1">
        <f t="array" ref="AV14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6" s="84" cm="1">
        <f t="array" ref="AW14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6" s="84" cm="1">
        <f t="array" ref="AX14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6" s="84" cm="1">
        <f t="array" ref="AY14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06" s="84" cm="1">
        <f t="array" ref="AZ14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06" s="84" cm="1">
        <f t="array" ref="BA14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06" s="84" cm="1">
        <f t="array" ref="BB14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06" s="84">
        <f>IF(SUM(Table3[[#This Row],[Column2]:[Column18]])&gt;Table3[[#This Row],[Column19]],Table3[[#This Row],[Column19]],SUM(Table3[[#This Row],[Column2]:[Column18]]))</f>
        <v>10000</v>
      </c>
      <c r="BD1406" s="2">
        <f>Table3[[#This Row],[Total Spend]]/SUM(Table3[[#This Row],[Column2]:[Column18]])</f>
        <v>0.20964360587002095</v>
      </c>
    </row>
    <row r="1407" spans="1:56">
      <c r="A1407" s="84" t="s">
        <v>1482</v>
      </c>
      <c r="B1407" s="84"/>
      <c r="C1407" s="84"/>
      <c r="D1407" s="85">
        <v>45566</v>
      </c>
      <c r="E1407" s="85" t="s">
        <v>92</v>
      </c>
      <c r="F1407" s="84">
        <f>INDEX(Definitions!$G$13:$G$17,MATCH(Table3[[#This Row],[Propensity to buy/ buyer readiness]],Definitions!$A$13:$A$17,0))</f>
        <v>10000</v>
      </c>
      <c r="G1407" s="86">
        <v>3</v>
      </c>
      <c r="H1407" s="86">
        <v>3</v>
      </c>
      <c r="I1407" s="86">
        <v>2</v>
      </c>
      <c r="J1407" s="86">
        <v>3</v>
      </c>
      <c r="K1407" s="86">
        <v>2</v>
      </c>
      <c r="L1407" s="86">
        <f>SUM(Table3[[#This Row],[Strategic priority segment]:[Propensity to buy/ buyer readiness]])</f>
        <v>13</v>
      </c>
      <c r="M1407" s="86" t="s">
        <v>191</v>
      </c>
      <c r="N1407" s="84" t="s">
        <v>135</v>
      </c>
      <c r="O1407" s="87"/>
      <c r="P1407" s="87"/>
      <c r="Q1407" s="87"/>
      <c r="R1407" s="87"/>
      <c r="S1407" s="87"/>
      <c r="T1407" s="87"/>
      <c r="U1407" s="84">
        <v>0</v>
      </c>
      <c r="V1407" s="84">
        <v>0</v>
      </c>
      <c r="W1407" s="84">
        <v>0</v>
      </c>
      <c r="X1407" s="84">
        <v>0</v>
      </c>
      <c r="Y1407" s="84">
        <v>0</v>
      </c>
      <c r="Z1407" s="84">
        <v>0</v>
      </c>
      <c r="AA1407" s="84">
        <v>0</v>
      </c>
      <c r="AB1407" s="84">
        <v>0</v>
      </c>
      <c r="AC1407" s="84">
        <v>0</v>
      </c>
      <c r="AD1407" s="84">
        <v>0</v>
      </c>
      <c r="AE1407" s="84">
        <v>0</v>
      </c>
      <c r="AF1407" s="84">
        <v>0</v>
      </c>
      <c r="AG1407" s="84">
        <v>0</v>
      </c>
      <c r="AH1407" s="84">
        <v>1</v>
      </c>
      <c r="AI1407" s="84">
        <v>1</v>
      </c>
      <c r="AJ1407" s="84">
        <v>1</v>
      </c>
      <c r="AK1407" s="84">
        <v>1</v>
      </c>
      <c r="AL1407" s="84" cm="1">
        <f t="array" ref="AL14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7" s="84" cm="1">
        <f t="array" ref="AM14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7" s="84" cm="1">
        <f t="array" ref="AN14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7" s="84" cm="1">
        <f t="array" ref="AO14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7" s="84" cm="1">
        <f t="array" ref="AP14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7" s="84" cm="1">
        <f t="array" ref="AQ14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7" s="84" cm="1">
        <f t="array" ref="AR14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7" s="84" cm="1">
        <f t="array" ref="AS14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7" s="84" cm="1">
        <f t="array" ref="AT14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7" s="84" cm="1">
        <f t="array" ref="AU14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7" s="84" cm="1">
        <f t="array" ref="AV14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7" s="84" cm="1">
        <f t="array" ref="AW14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7" s="84" cm="1">
        <f t="array" ref="AX14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7" s="84" cm="1">
        <f t="array" ref="AY14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7" s="84" cm="1">
        <f t="array" ref="AZ14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7" s="84" cm="1">
        <f t="array" ref="BA14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7" s="84" cm="1">
        <f t="array" ref="BB14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7" s="84">
        <f>IF(SUM(Table3[[#This Row],[Column2]:[Column18]])&gt;Table3[[#This Row],[Column19]],Table3[[#This Row],[Column19]],SUM(Table3[[#This Row],[Column2]:[Column18]]))</f>
        <v>10000</v>
      </c>
      <c r="BD1407" s="2">
        <f>Table3[[#This Row],[Total Spend]]/SUM(Table3[[#This Row],[Column2]:[Column18]])</f>
        <v>0.21574973031283712</v>
      </c>
    </row>
    <row r="1408" spans="1:56">
      <c r="A1408" s="84" t="s">
        <v>1483</v>
      </c>
      <c r="B1408" s="84"/>
      <c r="C1408" s="84"/>
      <c r="D1408" s="85">
        <v>45566</v>
      </c>
      <c r="E1408" s="85" t="s">
        <v>92</v>
      </c>
      <c r="F1408" s="84">
        <f>INDEX(Definitions!$G$13:$G$17,MATCH(Table3[[#This Row],[Propensity to buy/ buyer readiness]],Definitions!$A$13:$A$17,0))</f>
        <v>10000</v>
      </c>
      <c r="G1408" s="86">
        <v>3</v>
      </c>
      <c r="H1408" s="86">
        <v>3</v>
      </c>
      <c r="I1408" s="86">
        <v>2</v>
      </c>
      <c r="J1408" s="86">
        <v>3</v>
      </c>
      <c r="K1408" s="86">
        <v>2</v>
      </c>
      <c r="L1408" s="86">
        <f>SUM(Table3[[#This Row],[Strategic priority segment]:[Propensity to buy/ buyer readiness]])</f>
        <v>13</v>
      </c>
      <c r="M1408" s="86" t="s">
        <v>191</v>
      </c>
      <c r="N1408" s="84" t="s">
        <v>135</v>
      </c>
      <c r="O1408" s="87"/>
      <c r="P1408" s="87"/>
      <c r="Q1408" s="87"/>
      <c r="R1408" s="84"/>
      <c r="S1408" s="87"/>
      <c r="T1408" s="87"/>
      <c r="U1408" s="84">
        <v>0</v>
      </c>
      <c r="V1408" s="84">
        <v>0</v>
      </c>
      <c r="W1408" s="84">
        <v>0</v>
      </c>
      <c r="X1408" s="84">
        <v>0</v>
      </c>
      <c r="Y1408" s="84">
        <v>0</v>
      </c>
      <c r="Z1408" s="84">
        <v>0</v>
      </c>
      <c r="AA1408" s="84">
        <v>0</v>
      </c>
      <c r="AB1408" s="84">
        <v>0</v>
      </c>
      <c r="AC1408" s="84">
        <v>0</v>
      </c>
      <c r="AD1408" s="84">
        <v>0</v>
      </c>
      <c r="AE1408" s="84">
        <v>0</v>
      </c>
      <c r="AF1408" s="84">
        <v>0</v>
      </c>
      <c r="AG1408" s="84">
        <v>0</v>
      </c>
      <c r="AH1408" s="84">
        <v>1</v>
      </c>
      <c r="AI1408" s="84">
        <v>1</v>
      </c>
      <c r="AJ1408" s="84">
        <v>1</v>
      </c>
      <c r="AK1408" s="84">
        <v>1</v>
      </c>
      <c r="AL1408" s="84" cm="1">
        <f t="array" ref="AL14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8" s="84" cm="1">
        <f t="array" ref="AM14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8" s="84" cm="1">
        <f t="array" ref="AN14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8" s="84" cm="1">
        <f t="array" ref="AO14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8" s="84" cm="1">
        <f t="array" ref="AP14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8" s="84" cm="1">
        <f t="array" ref="AQ14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8" s="84" cm="1">
        <f t="array" ref="AR14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8" s="84" cm="1">
        <f t="array" ref="AS14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8" s="84" cm="1">
        <f t="array" ref="AT14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8" s="84" cm="1">
        <f t="array" ref="AU14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8" s="84" cm="1">
        <f t="array" ref="AV14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8" s="84" cm="1">
        <f t="array" ref="AW14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8" s="84" cm="1">
        <f t="array" ref="AX14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8" s="84" cm="1">
        <f t="array" ref="AY14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8" s="84" cm="1">
        <f t="array" ref="AZ14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8" s="84" cm="1">
        <f t="array" ref="BA14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8" s="84" cm="1">
        <f t="array" ref="BB14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8" s="84">
        <f>IF(SUM(Table3[[#This Row],[Column2]:[Column18]])&gt;Table3[[#This Row],[Column19]],Table3[[#This Row],[Column19]],SUM(Table3[[#This Row],[Column2]:[Column18]]))</f>
        <v>10000</v>
      </c>
      <c r="BD1408" s="2">
        <f>Table3[[#This Row],[Total Spend]]/SUM(Table3[[#This Row],[Column2]:[Column18]])</f>
        <v>0.21574973031283712</v>
      </c>
    </row>
    <row r="1409" spans="1:56">
      <c r="A1409" s="87" t="s">
        <v>1484</v>
      </c>
      <c r="B1409" s="87"/>
      <c r="C1409" s="87"/>
      <c r="D1409" s="85">
        <v>45566</v>
      </c>
      <c r="E1409" s="85" t="s">
        <v>92</v>
      </c>
      <c r="F1409" s="84">
        <f>INDEX(Definitions!$G$13:$G$17,MATCH(Table3[[#This Row],[Propensity to buy/ buyer readiness]],Definitions!$A$13:$A$17,0))</f>
        <v>10000</v>
      </c>
      <c r="G1409" s="86">
        <v>3</v>
      </c>
      <c r="H1409" s="86">
        <v>3</v>
      </c>
      <c r="I1409" s="86">
        <v>2</v>
      </c>
      <c r="J1409" s="86">
        <v>3</v>
      </c>
      <c r="K1409" s="86">
        <v>2</v>
      </c>
      <c r="L1409" s="86">
        <f>SUM(Table3[[#This Row],[Strategic priority segment]:[Propensity to buy/ buyer readiness]])</f>
        <v>13</v>
      </c>
      <c r="M1409" s="86" t="s">
        <v>191</v>
      </c>
      <c r="N1409" s="84" t="s">
        <v>135</v>
      </c>
      <c r="O1409" s="87"/>
      <c r="P1409" s="87"/>
      <c r="Q1409" s="87"/>
      <c r="R1409" s="84"/>
      <c r="S1409" s="87"/>
      <c r="T1409" s="87"/>
      <c r="U1409" s="84">
        <v>0</v>
      </c>
      <c r="V1409" s="84">
        <v>0</v>
      </c>
      <c r="W1409" s="84">
        <v>0</v>
      </c>
      <c r="X1409" s="84">
        <v>0</v>
      </c>
      <c r="Y1409" s="84">
        <v>0</v>
      </c>
      <c r="Z1409" s="84">
        <v>0</v>
      </c>
      <c r="AA1409" s="84">
        <v>0</v>
      </c>
      <c r="AB1409" s="84">
        <v>0</v>
      </c>
      <c r="AC1409" s="84">
        <v>0</v>
      </c>
      <c r="AD1409" s="84">
        <v>0</v>
      </c>
      <c r="AE1409" s="84">
        <v>0</v>
      </c>
      <c r="AF1409" s="84">
        <v>0</v>
      </c>
      <c r="AG1409" s="84">
        <v>0</v>
      </c>
      <c r="AH1409" s="84">
        <v>1</v>
      </c>
      <c r="AI1409" s="84">
        <v>1</v>
      </c>
      <c r="AJ1409" s="84">
        <v>1</v>
      </c>
      <c r="AK1409" s="84">
        <v>1</v>
      </c>
      <c r="AL1409" s="84" cm="1">
        <f t="array" ref="AL14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09" s="84" cm="1">
        <f t="array" ref="AM14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09" s="84" cm="1">
        <f t="array" ref="AN14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09" s="84" cm="1">
        <f t="array" ref="AO14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09" s="84" cm="1">
        <f t="array" ref="AP14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09" s="84" cm="1">
        <f t="array" ref="AQ14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09" s="84" cm="1">
        <f t="array" ref="AR14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09" s="84" cm="1">
        <f t="array" ref="AS14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09" s="84" cm="1">
        <f t="array" ref="AT14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09" s="84" cm="1">
        <f t="array" ref="AU14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09" s="84" cm="1">
        <f t="array" ref="AV14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09" s="84" cm="1">
        <f t="array" ref="AW14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09" s="84" cm="1">
        <f t="array" ref="AX14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09" s="84" cm="1">
        <f t="array" ref="AY14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09" s="84" cm="1">
        <f t="array" ref="AZ14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09" s="84" cm="1">
        <f t="array" ref="BA14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09" s="84" cm="1">
        <f t="array" ref="BB14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09" s="84">
        <f>IF(SUM(Table3[[#This Row],[Column2]:[Column18]])&gt;Table3[[#This Row],[Column19]],Table3[[#This Row],[Column19]],SUM(Table3[[#This Row],[Column2]:[Column18]]))</f>
        <v>10000</v>
      </c>
      <c r="BD1409" s="2">
        <f>Table3[[#This Row],[Total Spend]]/SUM(Table3[[#This Row],[Column2]:[Column18]])</f>
        <v>0.21574973031283712</v>
      </c>
    </row>
    <row r="1410" spans="1:56" ht="28.5">
      <c r="A1410" s="87" t="s">
        <v>1485</v>
      </c>
      <c r="B1410" s="87"/>
      <c r="C1410" s="87"/>
      <c r="D1410" s="85">
        <v>45566</v>
      </c>
      <c r="E1410" s="85" t="s">
        <v>92</v>
      </c>
      <c r="F1410" s="84">
        <f>INDEX(Definitions!$G$13:$G$17,MATCH(Table3[[#This Row],[Propensity to buy/ buyer readiness]],Definitions!$A$13:$A$17,0))</f>
        <v>10000</v>
      </c>
      <c r="G1410" s="86">
        <v>3</v>
      </c>
      <c r="H1410" s="86">
        <v>3</v>
      </c>
      <c r="I1410" s="86">
        <v>2</v>
      </c>
      <c r="J1410" s="86">
        <v>3</v>
      </c>
      <c r="K1410" s="86">
        <v>2</v>
      </c>
      <c r="L1410" s="86">
        <f>SUM(Table3[[#This Row],[Strategic priority segment]:[Propensity to buy/ buyer readiness]])</f>
        <v>13</v>
      </c>
      <c r="M1410" s="86" t="s">
        <v>191</v>
      </c>
      <c r="N1410" s="84" t="s">
        <v>135</v>
      </c>
      <c r="O1410" s="87"/>
      <c r="P1410" s="87"/>
      <c r="Q1410" s="87"/>
      <c r="R1410" s="84"/>
      <c r="S1410" s="87"/>
      <c r="T1410" s="87"/>
      <c r="U1410" s="84">
        <v>0</v>
      </c>
      <c r="V1410" s="84">
        <v>0</v>
      </c>
      <c r="W1410" s="84">
        <v>0</v>
      </c>
      <c r="X1410" s="84">
        <v>0</v>
      </c>
      <c r="Y1410" s="84">
        <v>0</v>
      </c>
      <c r="Z1410" s="84">
        <v>0</v>
      </c>
      <c r="AA1410" s="84">
        <v>0</v>
      </c>
      <c r="AB1410" s="84">
        <v>0</v>
      </c>
      <c r="AC1410" s="84">
        <v>0</v>
      </c>
      <c r="AD1410" s="84">
        <v>0</v>
      </c>
      <c r="AE1410" s="84">
        <v>0</v>
      </c>
      <c r="AF1410" s="84">
        <v>0</v>
      </c>
      <c r="AG1410" s="84">
        <v>0</v>
      </c>
      <c r="AH1410" s="84">
        <v>1</v>
      </c>
      <c r="AI1410" s="84">
        <v>1</v>
      </c>
      <c r="AJ1410" s="84">
        <v>1</v>
      </c>
      <c r="AK1410" s="84">
        <v>1</v>
      </c>
      <c r="AL1410" s="84" cm="1">
        <f t="array" ref="AL14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0" s="84" cm="1">
        <f t="array" ref="AM14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0" s="84" cm="1">
        <f t="array" ref="AN14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0" s="84" cm="1">
        <f t="array" ref="AO14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0" s="84" cm="1">
        <f t="array" ref="AP14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0" s="84" cm="1">
        <f t="array" ref="AQ14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0" s="84" cm="1">
        <f t="array" ref="AR14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0" s="84" cm="1">
        <f t="array" ref="AS14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0" s="84" cm="1">
        <f t="array" ref="AT14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0" s="84" cm="1">
        <f t="array" ref="AU14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0" s="84" cm="1">
        <f t="array" ref="AV14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0" s="84" cm="1">
        <f t="array" ref="AW14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0" s="84" cm="1">
        <f t="array" ref="AX14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0" s="84" cm="1">
        <f t="array" ref="AY14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0" s="84" cm="1">
        <f t="array" ref="AZ14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0" s="84" cm="1">
        <f t="array" ref="BA14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0" s="84" cm="1">
        <f t="array" ref="BB14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0" s="84">
        <f>IF(SUM(Table3[[#This Row],[Column2]:[Column18]])&gt;Table3[[#This Row],[Column19]],Table3[[#This Row],[Column19]],SUM(Table3[[#This Row],[Column2]:[Column18]]))</f>
        <v>10000</v>
      </c>
      <c r="BD1410" s="2">
        <f>Table3[[#This Row],[Total Spend]]/SUM(Table3[[#This Row],[Column2]:[Column18]])</f>
        <v>0.21574973031283712</v>
      </c>
    </row>
    <row r="1411" spans="1:56">
      <c r="A1411" s="87" t="s">
        <v>1486</v>
      </c>
      <c r="B1411" s="87"/>
      <c r="C1411" s="87"/>
      <c r="D1411" s="85">
        <v>45566</v>
      </c>
      <c r="E1411" s="85" t="s">
        <v>92</v>
      </c>
      <c r="F1411" s="84">
        <f>INDEX(Definitions!$G$13:$G$17,MATCH(Table3[[#This Row],[Propensity to buy/ buyer readiness]],Definitions!$A$13:$A$17,0))</f>
        <v>10000</v>
      </c>
      <c r="G1411" s="86">
        <v>3</v>
      </c>
      <c r="H1411" s="86">
        <v>3</v>
      </c>
      <c r="I1411" s="86">
        <v>2</v>
      </c>
      <c r="J1411" s="86">
        <v>3</v>
      </c>
      <c r="K1411" s="86">
        <v>2</v>
      </c>
      <c r="L1411" s="86">
        <f>SUM(Table3[[#This Row],[Strategic priority segment]:[Propensity to buy/ buyer readiness]])</f>
        <v>13</v>
      </c>
      <c r="M1411" s="86" t="s">
        <v>191</v>
      </c>
      <c r="N1411" s="84" t="s">
        <v>135</v>
      </c>
      <c r="O1411" s="87"/>
      <c r="P1411" s="87"/>
      <c r="Q1411" s="87"/>
      <c r="R1411" s="84"/>
      <c r="S1411" s="87"/>
      <c r="T1411" s="87"/>
      <c r="U1411" s="84">
        <v>0</v>
      </c>
      <c r="V1411" s="84">
        <v>0</v>
      </c>
      <c r="W1411" s="84">
        <v>0</v>
      </c>
      <c r="X1411" s="84">
        <v>0</v>
      </c>
      <c r="Y1411" s="84">
        <v>0</v>
      </c>
      <c r="Z1411" s="84">
        <v>0</v>
      </c>
      <c r="AA1411" s="84">
        <v>0</v>
      </c>
      <c r="AB1411" s="84">
        <v>0</v>
      </c>
      <c r="AC1411" s="84">
        <v>0</v>
      </c>
      <c r="AD1411" s="84">
        <v>0</v>
      </c>
      <c r="AE1411" s="84">
        <v>0</v>
      </c>
      <c r="AF1411" s="84">
        <v>0</v>
      </c>
      <c r="AG1411" s="84">
        <v>0</v>
      </c>
      <c r="AH1411" s="84">
        <v>1</v>
      </c>
      <c r="AI1411" s="84">
        <v>1</v>
      </c>
      <c r="AJ1411" s="84">
        <v>1</v>
      </c>
      <c r="AK1411" s="84">
        <v>1</v>
      </c>
      <c r="AL1411" s="84" cm="1">
        <f t="array" ref="AL14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1" s="84" cm="1">
        <f t="array" ref="AM14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1" s="84" cm="1">
        <f t="array" ref="AN14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1" s="84" cm="1">
        <f t="array" ref="AO14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1" s="84" cm="1">
        <f t="array" ref="AP14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1" s="84" cm="1">
        <f t="array" ref="AQ14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1" s="84" cm="1">
        <f t="array" ref="AR14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1" s="84" cm="1">
        <f t="array" ref="AS14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1" s="84" cm="1">
        <f t="array" ref="AT14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1" s="84" cm="1">
        <f t="array" ref="AU14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1" s="84" cm="1">
        <f t="array" ref="AV14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1" s="84" cm="1">
        <f t="array" ref="AW14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1" s="84" cm="1">
        <f t="array" ref="AX14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1" s="84" cm="1">
        <f t="array" ref="AY14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1" s="84" cm="1">
        <f t="array" ref="AZ14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1" s="84" cm="1">
        <f t="array" ref="BA14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1" s="84" cm="1">
        <f t="array" ref="BB14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1" s="84">
        <f>IF(SUM(Table3[[#This Row],[Column2]:[Column18]])&gt;Table3[[#This Row],[Column19]],Table3[[#This Row],[Column19]],SUM(Table3[[#This Row],[Column2]:[Column18]]))</f>
        <v>10000</v>
      </c>
      <c r="BD1411" s="2">
        <f>Table3[[#This Row],[Total Spend]]/SUM(Table3[[#This Row],[Column2]:[Column18]])</f>
        <v>0.21574973031283712</v>
      </c>
    </row>
    <row r="1412" spans="1:56">
      <c r="A1412" s="84" t="s">
        <v>1487</v>
      </c>
      <c r="B1412" s="84"/>
      <c r="C1412" s="84"/>
      <c r="D1412" s="85">
        <v>45566</v>
      </c>
      <c r="E1412" s="85" t="s">
        <v>92</v>
      </c>
      <c r="F1412" s="84">
        <f>INDEX(Definitions!$G$13:$G$17,MATCH(Table3[[#This Row],[Propensity to buy/ buyer readiness]],Definitions!$A$13:$A$17,0))</f>
        <v>10000</v>
      </c>
      <c r="G1412" s="86">
        <v>3</v>
      </c>
      <c r="H1412" s="86">
        <v>3</v>
      </c>
      <c r="I1412" s="86">
        <v>2</v>
      </c>
      <c r="J1412" s="86">
        <v>3</v>
      </c>
      <c r="K1412" s="86">
        <v>2</v>
      </c>
      <c r="L1412" s="86">
        <f>SUM(Table3[[#This Row],[Strategic priority segment]:[Propensity to buy/ buyer readiness]])</f>
        <v>13</v>
      </c>
      <c r="M1412" s="86" t="s">
        <v>191</v>
      </c>
      <c r="N1412" s="84" t="s">
        <v>135</v>
      </c>
      <c r="O1412" s="87"/>
      <c r="P1412" s="87"/>
      <c r="Q1412" s="87"/>
      <c r="R1412" s="87"/>
      <c r="S1412" s="87"/>
      <c r="T1412" s="87"/>
      <c r="U1412" s="84">
        <v>0</v>
      </c>
      <c r="V1412" s="84">
        <v>0</v>
      </c>
      <c r="W1412" s="84">
        <v>0</v>
      </c>
      <c r="X1412" s="84">
        <v>0</v>
      </c>
      <c r="Y1412" s="84">
        <v>0</v>
      </c>
      <c r="Z1412" s="84">
        <v>0</v>
      </c>
      <c r="AA1412" s="84">
        <v>0</v>
      </c>
      <c r="AB1412" s="84">
        <v>0</v>
      </c>
      <c r="AC1412" s="84">
        <v>0</v>
      </c>
      <c r="AD1412" s="84">
        <v>0</v>
      </c>
      <c r="AE1412" s="84">
        <v>0</v>
      </c>
      <c r="AF1412" s="84">
        <v>0</v>
      </c>
      <c r="AG1412" s="84">
        <v>0</v>
      </c>
      <c r="AH1412" s="84">
        <v>1</v>
      </c>
      <c r="AI1412" s="84">
        <v>1</v>
      </c>
      <c r="AJ1412" s="84">
        <v>1</v>
      </c>
      <c r="AK1412" s="84">
        <v>1</v>
      </c>
      <c r="AL1412" s="84" cm="1">
        <f t="array" ref="AL14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2" s="84" cm="1">
        <f t="array" ref="AM14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2" s="84" cm="1">
        <f t="array" ref="AN14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2" s="84" cm="1">
        <f t="array" ref="AO14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2" s="84" cm="1">
        <f t="array" ref="AP14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2" s="84" cm="1">
        <f t="array" ref="AQ14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2" s="84" cm="1">
        <f t="array" ref="AR14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2" s="84" cm="1">
        <f t="array" ref="AS14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2" s="84" cm="1">
        <f t="array" ref="AT14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2" s="84" cm="1">
        <f t="array" ref="AU14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2" s="84" cm="1">
        <f t="array" ref="AV14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2" s="84" cm="1">
        <f t="array" ref="AW14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2" s="84" cm="1">
        <f t="array" ref="AX14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2" s="84" cm="1">
        <f t="array" ref="AY14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2" s="84" cm="1">
        <f t="array" ref="AZ14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2" s="84" cm="1">
        <f t="array" ref="BA14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2" s="84" cm="1">
        <f t="array" ref="BB14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2" s="84">
        <f>IF(SUM(Table3[[#This Row],[Column2]:[Column18]])&gt;Table3[[#This Row],[Column19]],Table3[[#This Row],[Column19]],SUM(Table3[[#This Row],[Column2]:[Column18]]))</f>
        <v>10000</v>
      </c>
      <c r="BD1412" s="2">
        <f>Table3[[#This Row],[Total Spend]]/SUM(Table3[[#This Row],[Column2]:[Column18]])</f>
        <v>0.21574973031283712</v>
      </c>
    </row>
    <row r="1413" spans="1:56">
      <c r="A1413" s="84" t="s">
        <v>1488</v>
      </c>
      <c r="B1413" s="84"/>
      <c r="C1413" s="84"/>
      <c r="D1413" s="85">
        <v>45566</v>
      </c>
      <c r="E1413" s="85" t="s">
        <v>92</v>
      </c>
      <c r="F1413" s="84">
        <f>INDEX(Definitions!$G$13:$G$17,MATCH(Table3[[#This Row],[Propensity to buy/ buyer readiness]],Definitions!$A$13:$A$17,0))</f>
        <v>10000</v>
      </c>
      <c r="G1413" s="86">
        <v>3</v>
      </c>
      <c r="H1413" s="86">
        <v>3</v>
      </c>
      <c r="I1413" s="86">
        <v>2</v>
      </c>
      <c r="J1413" s="86">
        <v>3</v>
      </c>
      <c r="K1413" s="86">
        <v>2</v>
      </c>
      <c r="L1413" s="86">
        <f>SUM(Table3[[#This Row],[Strategic priority segment]:[Propensity to buy/ buyer readiness]])</f>
        <v>13</v>
      </c>
      <c r="M1413" s="86" t="s">
        <v>152</v>
      </c>
      <c r="N1413" s="84" t="s">
        <v>264</v>
      </c>
      <c r="O1413" s="84"/>
      <c r="P1413" s="84"/>
      <c r="Q1413" s="84"/>
      <c r="R1413" s="84"/>
      <c r="S1413" s="87"/>
      <c r="T1413" s="87"/>
      <c r="U1413" s="84">
        <v>1</v>
      </c>
      <c r="V1413" s="84">
        <v>0</v>
      </c>
      <c r="W1413" s="84">
        <v>0</v>
      </c>
      <c r="X1413" s="84">
        <v>0</v>
      </c>
      <c r="Y1413" s="84">
        <v>0</v>
      </c>
      <c r="Z1413" s="84">
        <v>0</v>
      </c>
      <c r="AA1413" s="84">
        <v>0</v>
      </c>
      <c r="AB1413" s="84">
        <v>0</v>
      </c>
      <c r="AC1413" s="84">
        <v>0</v>
      </c>
      <c r="AD1413" s="84">
        <v>0</v>
      </c>
      <c r="AE1413" s="84">
        <v>0</v>
      </c>
      <c r="AF1413" s="84">
        <v>0</v>
      </c>
      <c r="AG1413" s="84">
        <v>0</v>
      </c>
      <c r="AH1413" s="84">
        <v>0</v>
      </c>
      <c r="AI1413" s="84">
        <v>0</v>
      </c>
      <c r="AJ1413" s="84">
        <v>0</v>
      </c>
      <c r="AK1413" s="84">
        <v>0</v>
      </c>
      <c r="AL1413" s="84" cm="1">
        <f t="array" ref="AL14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13" s="84" cm="1">
        <f t="array" ref="AM14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3" s="84" cm="1">
        <f t="array" ref="AN14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3" s="84" cm="1">
        <f t="array" ref="AO14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3" s="84" cm="1">
        <f t="array" ref="AP14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3" s="84" cm="1">
        <f t="array" ref="AQ14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3" s="84" cm="1">
        <f t="array" ref="AR14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3" s="84" cm="1">
        <f t="array" ref="AS14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3" s="84" cm="1">
        <f t="array" ref="AT14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3" s="84" cm="1">
        <f t="array" ref="AU14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3" s="84" cm="1">
        <f t="array" ref="AV14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3" s="84" cm="1">
        <f t="array" ref="AW14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3" s="84" cm="1">
        <f t="array" ref="AX14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3" s="84" cm="1">
        <f t="array" ref="AY14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13" s="84" cm="1">
        <f t="array" ref="AZ14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13" s="84" cm="1">
        <f t="array" ref="BA14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13" s="84" cm="1">
        <f t="array" ref="BB14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13" s="84">
        <f>IF(SUM(Table3[[#This Row],[Column2]:[Column18]])&gt;Table3[[#This Row],[Column19]],Table3[[#This Row],[Column19]],SUM(Table3[[#This Row],[Column2]:[Column18]]))</f>
        <v>8100</v>
      </c>
      <c r="BD1413" s="2">
        <f>Table3[[#This Row],[Total Spend]]/SUM(Table3[[#This Row],[Column2]:[Column18]])</f>
        <v>1</v>
      </c>
    </row>
    <row r="1414" spans="1:56" ht="42.75">
      <c r="A1414" s="87" t="s">
        <v>1489</v>
      </c>
      <c r="B1414" s="87"/>
      <c r="C1414" s="87"/>
      <c r="D1414" s="85">
        <v>45566</v>
      </c>
      <c r="E1414" s="85" t="s">
        <v>92</v>
      </c>
      <c r="F1414" s="84">
        <f>INDEX(Definitions!$G$13:$G$17,MATCH(Table3[[#This Row],[Propensity to buy/ buyer readiness]],Definitions!$A$13:$A$17,0))</f>
        <v>10000</v>
      </c>
      <c r="G1414" s="86">
        <v>3</v>
      </c>
      <c r="H1414" s="86">
        <v>3</v>
      </c>
      <c r="I1414" s="86">
        <v>2</v>
      </c>
      <c r="J1414" s="86">
        <v>3</v>
      </c>
      <c r="K1414" s="86">
        <v>2</v>
      </c>
      <c r="L1414" s="86">
        <f>SUM(Table3[[#This Row],[Strategic priority segment]:[Propensity to buy/ buyer readiness]])</f>
        <v>13</v>
      </c>
      <c r="M1414" s="86" t="s">
        <v>191</v>
      </c>
      <c r="N1414" s="84" t="s">
        <v>135</v>
      </c>
      <c r="O1414" s="87"/>
      <c r="P1414" s="87"/>
      <c r="Q1414" s="87"/>
      <c r="R1414" s="84"/>
      <c r="S1414" s="87"/>
      <c r="T1414" s="87"/>
      <c r="U1414" s="84">
        <v>0</v>
      </c>
      <c r="V1414" s="84">
        <v>0</v>
      </c>
      <c r="W1414" s="84">
        <v>0</v>
      </c>
      <c r="X1414" s="84">
        <v>0</v>
      </c>
      <c r="Y1414" s="84">
        <v>0</v>
      </c>
      <c r="Z1414" s="84">
        <v>0</v>
      </c>
      <c r="AA1414" s="84">
        <v>0</v>
      </c>
      <c r="AB1414" s="84">
        <v>0</v>
      </c>
      <c r="AC1414" s="84">
        <v>0</v>
      </c>
      <c r="AD1414" s="84">
        <v>0</v>
      </c>
      <c r="AE1414" s="84">
        <v>0</v>
      </c>
      <c r="AF1414" s="84">
        <v>0</v>
      </c>
      <c r="AG1414" s="84">
        <v>0</v>
      </c>
      <c r="AH1414" s="84">
        <v>1</v>
      </c>
      <c r="AI1414" s="84">
        <v>1</v>
      </c>
      <c r="AJ1414" s="84">
        <v>1</v>
      </c>
      <c r="AK1414" s="84">
        <v>1</v>
      </c>
      <c r="AL1414" s="84" cm="1">
        <f t="array" ref="AL14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4" s="84" cm="1">
        <f t="array" ref="AM14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4" s="84" cm="1">
        <f t="array" ref="AN14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4" s="84" cm="1">
        <f t="array" ref="AO14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4" s="84" cm="1">
        <f t="array" ref="AP14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4" s="84" cm="1">
        <f t="array" ref="AQ14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4" s="84" cm="1">
        <f t="array" ref="AR14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4" s="84" cm="1">
        <f t="array" ref="AS14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4" s="84" cm="1">
        <f t="array" ref="AT14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4" s="84" cm="1">
        <f t="array" ref="AU14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4" s="84" cm="1">
        <f t="array" ref="AV14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4" s="84" cm="1">
        <f t="array" ref="AW14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4" s="84" cm="1">
        <f t="array" ref="AX14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4" s="84" cm="1">
        <f t="array" ref="AY14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4" s="84" cm="1">
        <f t="array" ref="AZ14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4" s="84" cm="1">
        <f t="array" ref="BA14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4" s="84" cm="1">
        <f t="array" ref="BB14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4" s="84">
        <f>IF(SUM(Table3[[#This Row],[Column2]:[Column18]])&gt;Table3[[#This Row],[Column19]],Table3[[#This Row],[Column19]],SUM(Table3[[#This Row],[Column2]:[Column18]]))</f>
        <v>10000</v>
      </c>
      <c r="BD1414" s="2">
        <f>Table3[[#This Row],[Total Spend]]/SUM(Table3[[#This Row],[Column2]:[Column18]])</f>
        <v>0.21574973031283712</v>
      </c>
    </row>
    <row r="1415" spans="1:56">
      <c r="A1415" s="87" t="s">
        <v>1490</v>
      </c>
      <c r="B1415" s="87"/>
      <c r="C1415" s="87"/>
      <c r="D1415" s="85">
        <v>45566</v>
      </c>
      <c r="E1415" s="85" t="s">
        <v>92</v>
      </c>
      <c r="F1415" s="84">
        <f>INDEX(Definitions!$G$13:$G$17,MATCH(Table3[[#This Row],[Propensity to buy/ buyer readiness]],Definitions!$A$13:$A$17,0))</f>
        <v>10000</v>
      </c>
      <c r="G1415" s="86">
        <v>3</v>
      </c>
      <c r="H1415" s="86">
        <v>3</v>
      </c>
      <c r="I1415" s="86">
        <v>2</v>
      </c>
      <c r="J1415" s="86">
        <v>3</v>
      </c>
      <c r="K1415" s="86">
        <v>2</v>
      </c>
      <c r="L1415" s="86">
        <f>SUM(Table3[[#This Row],[Strategic priority segment]:[Propensity to buy/ buyer readiness]])</f>
        <v>13</v>
      </c>
      <c r="M1415" s="86" t="s">
        <v>191</v>
      </c>
      <c r="N1415" s="84" t="s">
        <v>135</v>
      </c>
      <c r="O1415" s="87"/>
      <c r="P1415" s="87"/>
      <c r="Q1415" s="87"/>
      <c r="R1415" s="84"/>
      <c r="S1415" s="87"/>
      <c r="T1415" s="87"/>
      <c r="U1415" s="84">
        <v>0</v>
      </c>
      <c r="V1415" s="84">
        <v>0</v>
      </c>
      <c r="W1415" s="84">
        <v>0</v>
      </c>
      <c r="X1415" s="84">
        <v>0</v>
      </c>
      <c r="Y1415" s="84">
        <v>0</v>
      </c>
      <c r="Z1415" s="84">
        <v>0</v>
      </c>
      <c r="AA1415" s="84">
        <v>0</v>
      </c>
      <c r="AB1415" s="84">
        <v>0</v>
      </c>
      <c r="AC1415" s="84">
        <v>0</v>
      </c>
      <c r="AD1415" s="84">
        <v>0</v>
      </c>
      <c r="AE1415" s="84">
        <v>0</v>
      </c>
      <c r="AF1415" s="84">
        <v>0</v>
      </c>
      <c r="AG1415" s="84">
        <v>0</v>
      </c>
      <c r="AH1415" s="84">
        <v>1</v>
      </c>
      <c r="AI1415" s="84">
        <v>1</v>
      </c>
      <c r="AJ1415" s="84">
        <v>1</v>
      </c>
      <c r="AK1415" s="84">
        <v>1</v>
      </c>
      <c r="AL1415" s="84" cm="1">
        <f t="array" ref="AL14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5" s="84" cm="1">
        <f t="array" ref="AM14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5" s="84" cm="1">
        <f t="array" ref="AN14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5" s="84" cm="1">
        <f t="array" ref="AO14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5" s="84" cm="1">
        <f t="array" ref="AP14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5" s="84" cm="1">
        <f t="array" ref="AQ14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5" s="84" cm="1">
        <f t="array" ref="AR14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5" s="84" cm="1">
        <f t="array" ref="AS14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5" s="84" cm="1">
        <f t="array" ref="AT14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5" s="84" cm="1">
        <f t="array" ref="AU14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5" s="84" cm="1">
        <f t="array" ref="AV14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5" s="84" cm="1">
        <f t="array" ref="AW14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5" s="84" cm="1">
        <f t="array" ref="AX14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5" s="84" cm="1">
        <f t="array" ref="AY14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5" s="84" cm="1">
        <f t="array" ref="AZ14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5" s="84" cm="1">
        <f t="array" ref="BA14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5" s="84" cm="1">
        <f t="array" ref="BB14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5" s="84">
        <f>IF(SUM(Table3[[#This Row],[Column2]:[Column18]])&gt;Table3[[#This Row],[Column19]],Table3[[#This Row],[Column19]],SUM(Table3[[#This Row],[Column2]:[Column18]]))</f>
        <v>10000</v>
      </c>
      <c r="BD1415" s="2">
        <f>Table3[[#This Row],[Total Spend]]/SUM(Table3[[#This Row],[Column2]:[Column18]])</f>
        <v>0.21574973031283712</v>
      </c>
    </row>
    <row r="1416" spans="1:56">
      <c r="A1416" s="84" t="s">
        <v>1491</v>
      </c>
      <c r="B1416" s="84"/>
      <c r="C1416" s="84"/>
      <c r="D1416" s="85">
        <v>45566</v>
      </c>
      <c r="E1416" s="85" t="s">
        <v>92</v>
      </c>
      <c r="F1416" s="84">
        <f>INDEX(Definitions!$G$13:$G$17,MATCH(Table3[[#This Row],[Propensity to buy/ buyer readiness]],Definitions!$A$13:$A$17,0))</f>
        <v>10000</v>
      </c>
      <c r="G1416" s="86">
        <v>3</v>
      </c>
      <c r="H1416" s="86">
        <v>3</v>
      </c>
      <c r="I1416" s="86">
        <v>2</v>
      </c>
      <c r="J1416" s="86">
        <v>3</v>
      </c>
      <c r="K1416" s="86">
        <v>2</v>
      </c>
      <c r="L1416" s="86">
        <f>SUM(Table3[[#This Row],[Strategic priority segment]:[Propensity to buy/ buyer readiness]])</f>
        <v>13</v>
      </c>
      <c r="M1416" s="86" t="s">
        <v>152</v>
      </c>
      <c r="N1416" s="84" t="s">
        <v>264</v>
      </c>
      <c r="O1416" s="84"/>
      <c r="P1416" s="87"/>
      <c r="Q1416" s="87"/>
      <c r="R1416" s="84"/>
      <c r="S1416" s="87"/>
      <c r="T1416" s="87"/>
      <c r="U1416" s="84">
        <v>1</v>
      </c>
      <c r="V1416" s="84">
        <v>0</v>
      </c>
      <c r="W1416" s="84">
        <v>0</v>
      </c>
      <c r="X1416" s="84">
        <v>0</v>
      </c>
      <c r="Y1416" s="84">
        <v>0</v>
      </c>
      <c r="Z1416" s="84">
        <v>0</v>
      </c>
      <c r="AA1416" s="84">
        <v>0</v>
      </c>
      <c r="AB1416" s="84">
        <v>0</v>
      </c>
      <c r="AC1416" s="84">
        <v>0</v>
      </c>
      <c r="AD1416" s="84">
        <v>0</v>
      </c>
      <c r="AE1416" s="84">
        <v>0</v>
      </c>
      <c r="AF1416" s="84">
        <v>0</v>
      </c>
      <c r="AG1416" s="84">
        <v>0</v>
      </c>
      <c r="AH1416" s="84">
        <v>0</v>
      </c>
      <c r="AI1416" s="84">
        <v>0</v>
      </c>
      <c r="AJ1416" s="84">
        <v>0</v>
      </c>
      <c r="AK1416" s="84">
        <v>0</v>
      </c>
      <c r="AL1416" s="84" cm="1">
        <f t="array" ref="AL14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16" s="84" cm="1">
        <f t="array" ref="AM14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6" s="84" cm="1">
        <f t="array" ref="AN14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6" s="84" cm="1">
        <f t="array" ref="AO14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6" s="84" cm="1">
        <f t="array" ref="AP14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6" s="84" cm="1">
        <f t="array" ref="AQ14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6" s="84" cm="1">
        <f t="array" ref="AR14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6" s="84" cm="1">
        <f t="array" ref="AS14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6" s="84" cm="1">
        <f t="array" ref="AT14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6" s="84" cm="1">
        <f t="array" ref="AU14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6" s="84" cm="1">
        <f t="array" ref="AV14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6" s="84" cm="1">
        <f t="array" ref="AW14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6" s="84" cm="1">
        <f t="array" ref="AX14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6" s="84" cm="1">
        <f t="array" ref="AY14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16" s="84" cm="1">
        <f t="array" ref="AZ14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16" s="84" cm="1">
        <f t="array" ref="BA14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16" s="84" cm="1">
        <f t="array" ref="BB14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16" s="84">
        <f>IF(SUM(Table3[[#This Row],[Column2]:[Column18]])&gt;Table3[[#This Row],[Column19]],Table3[[#This Row],[Column19]],SUM(Table3[[#This Row],[Column2]:[Column18]]))</f>
        <v>8100</v>
      </c>
      <c r="BD1416" s="2">
        <f>Table3[[#This Row],[Total Spend]]/SUM(Table3[[#This Row],[Column2]:[Column18]])</f>
        <v>1</v>
      </c>
    </row>
    <row r="1417" spans="1:56" ht="42.75">
      <c r="A1417" s="87" t="s">
        <v>1492</v>
      </c>
      <c r="B1417" s="87"/>
      <c r="C1417" s="87"/>
      <c r="D1417" s="85">
        <v>45566</v>
      </c>
      <c r="E1417" s="85" t="s">
        <v>92</v>
      </c>
      <c r="F1417" s="84">
        <f>INDEX(Definitions!$G$13:$G$17,MATCH(Table3[[#This Row],[Propensity to buy/ buyer readiness]],Definitions!$A$13:$A$17,0))</f>
        <v>10000</v>
      </c>
      <c r="G1417" s="86">
        <v>3</v>
      </c>
      <c r="H1417" s="86">
        <v>3</v>
      </c>
      <c r="I1417" s="86">
        <v>2</v>
      </c>
      <c r="J1417" s="86">
        <v>3</v>
      </c>
      <c r="K1417" s="86">
        <v>2</v>
      </c>
      <c r="L1417" s="86">
        <f>SUM(Table3[[#This Row],[Strategic priority segment]:[Propensity to buy/ buyer readiness]])</f>
        <v>13</v>
      </c>
      <c r="M1417" s="86" t="s">
        <v>191</v>
      </c>
      <c r="N1417" s="84" t="s">
        <v>135</v>
      </c>
      <c r="O1417" s="87"/>
      <c r="P1417" s="87"/>
      <c r="Q1417" s="87"/>
      <c r="R1417" s="84"/>
      <c r="S1417" s="87"/>
      <c r="T1417" s="87"/>
      <c r="U1417" s="84">
        <v>0</v>
      </c>
      <c r="V1417" s="84">
        <v>0</v>
      </c>
      <c r="W1417" s="84">
        <v>0</v>
      </c>
      <c r="X1417" s="84">
        <v>0</v>
      </c>
      <c r="Y1417" s="84">
        <v>0</v>
      </c>
      <c r="Z1417" s="84">
        <v>0</v>
      </c>
      <c r="AA1417" s="84">
        <v>0</v>
      </c>
      <c r="AB1417" s="84">
        <v>0</v>
      </c>
      <c r="AC1417" s="84">
        <v>0</v>
      </c>
      <c r="AD1417" s="84">
        <v>0</v>
      </c>
      <c r="AE1417" s="84">
        <v>0</v>
      </c>
      <c r="AF1417" s="84">
        <v>0</v>
      </c>
      <c r="AG1417" s="84">
        <v>0</v>
      </c>
      <c r="AH1417" s="84">
        <v>1</v>
      </c>
      <c r="AI1417" s="84">
        <v>1</v>
      </c>
      <c r="AJ1417" s="84">
        <v>1</v>
      </c>
      <c r="AK1417" s="84">
        <v>1</v>
      </c>
      <c r="AL1417" s="84" cm="1">
        <f t="array" ref="AL14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7" s="84" cm="1">
        <f t="array" ref="AM14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7" s="84" cm="1">
        <f t="array" ref="AN14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7" s="84" cm="1">
        <f t="array" ref="AO14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7" s="84" cm="1">
        <f t="array" ref="AP14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7" s="84" cm="1">
        <f t="array" ref="AQ14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7" s="84" cm="1">
        <f t="array" ref="AR14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7" s="84" cm="1">
        <f t="array" ref="AS14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7" s="84" cm="1">
        <f t="array" ref="AT14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7" s="84" cm="1">
        <f t="array" ref="AU14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7" s="84" cm="1">
        <f t="array" ref="AV14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7" s="84" cm="1">
        <f t="array" ref="AW14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7" s="84" cm="1">
        <f t="array" ref="AX14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7" s="84" cm="1">
        <f t="array" ref="AY14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7" s="84" cm="1">
        <f t="array" ref="AZ14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7" s="84" cm="1">
        <f t="array" ref="BA14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7" s="84" cm="1">
        <f t="array" ref="BB14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7" s="84">
        <f>IF(SUM(Table3[[#This Row],[Column2]:[Column18]])&gt;Table3[[#This Row],[Column19]],Table3[[#This Row],[Column19]],SUM(Table3[[#This Row],[Column2]:[Column18]]))</f>
        <v>10000</v>
      </c>
      <c r="BD1417" s="2">
        <f>Table3[[#This Row],[Total Spend]]/SUM(Table3[[#This Row],[Column2]:[Column18]])</f>
        <v>0.21574973031283712</v>
      </c>
    </row>
    <row r="1418" spans="1:56">
      <c r="A1418" s="87" t="s">
        <v>1493</v>
      </c>
      <c r="B1418" s="87"/>
      <c r="C1418" s="87"/>
      <c r="D1418" s="85">
        <v>45566</v>
      </c>
      <c r="E1418" s="85" t="s">
        <v>92</v>
      </c>
      <c r="F1418" s="84">
        <f>INDEX(Definitions!$G$13:$G$17,MATCH(Table3[[#This Row],[Propensity to buy/ buyer readiness]],Definitions!$A$13:$A$17,0))</f>
        <v>10000</v>
      </c>
      <c r="G1418" s="86">
        <v>3</v>
      </c>
      <c r="H1418" s="86">
        <v>3</v>
      </c>
      <c r="I1418" s="86">
        <v>2</v>
      </c>
      <c r="J1418" s="86">
        <v>3</v>
      </c>
      <c r="K1418" s="86">
        <v>2</v>
      </c>
      <c r="L1418" s="86">
        <f>SUM(Table3[[#This Row],[Strategic priority segment]:[Propensity to buy/ buyer readiness]])</f>
        <v>13</v>
      </c>
      <c r="M1418" s="86" t="s">
        <v>191</v>
      </c>
      <c r="N1418" s="84" t="s">
        <v>135</v>
      </c>
      <c r="O1418" s="87"/>
      <c r="P1418" s="87"/>
      <c r="Q1418" s="87"/>
      <c r="R1418" s="84"/>
      <c r="S1418" s="87"/>
      <c r="T1418" s="87"/>
      <c r="U1418" s="84">
        <v>0</v>
      </c>
      <c r="V1418" s="84">
        <v>0</v>
      </c>
      <c r="W1418" s="84">
        <v>0</v>
      </c>
      <c r="X1418" s="84">
        <v>0</v>
      </c>
      <c r="Y1418" s="84">
        <v>0</v>
      </c>
      <c r="Z1418" s="84">
        <v>0</v>
      </c>
      <c r="AA1418" s="84">
        <v>0</v>
      </c>
      <c r="AB1418" s="84">
        <v>0</v>
      </c>
      <c r="AC1418" s="84">
        <v>0</v>
      </c>
      <c r="AD1418" s="84">
        <v>0</v>
      </c>
      <c r="AE1418" s="84">
        <v>0</v>
      </c>
      <c r="AF1418" s="84">
        <v>0</v>
      </c>
      <c r="AG1418" s="84">
        <v>0</v>
      </c>
      <c r="AH1418" s="84">
        <v>1</v>
      </c>
      <c r="AI1418" s="84">
        <v>1</v>
      </c>
      <c r="AJ1418" s="84">
        <v>1</v>
      </c>
      <c r="AK1418" s="84">
        <v>1</v>
      </c>
      <c r="AL1418" s="84" cm="1">
        <f t="array" ref="AL14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8" s="84" cm="1">
        <f t="array" ref="AM14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8" s="84" cm="1">
        <f t="array" ref="AN14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8" s="84" cm="1">
        <f t="array" ref="AO14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8" s="84" cm="1">
        <f t="array" ref="AP14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8" s="84" cm="1">
        <f t="array" ref="AQ14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8" s="84" cm="1">
        <f t="array" ref="AR14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8" s="84" cm="1">
        <f t="array" ref="AS14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8" s="84" cm="1">
        <f t="array" ref="AT14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8" s="84" cm="1">
        <f t="array" ref="AU14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8" s="84" cm="1">
        <f t="array" ref="AV14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8" s="84" cm="1">
        <f t="array" ref="AW14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8" s="84" cm="1">
        <f t="array" ref="AX14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8" s="84" cm="1">
        <f t="array" ref="AY14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8" s="84" cm="1">
        <f t="array" ref="AZ14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8" s="84" cm="1">
        <f t="array" ref="BA14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8" s="84" cm="1">
        <f t="array" ref="BB14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8" s="84">
        <f>IF(SUM(Table3[[#This Row],[Column2]:[Column18]])&gt;Table3[[#This Row],[Column19]],Table3[[#This Row],[Column19]],SUM(Table3[[#This Row],[Column2]:[Column18]]))</f>
        <v>10000</v>
      </c>
      <c r="BD1418" s="2">
        <f>Table3[[#This Row],[Total Spend]]/SUM(Table3[[#This Row],[Column2]:[Column18]])</f>
        <v>0.21574973031283712</v>
      </c>
    </row>
    <row r="1419" spans="1:56">
      <c r="A1419" s="87" t="s">
        <v>1494</v>
      </c>
      <c r="B1419" s="87"/>
      <c r="C1419" s="87"/>
      <c r="D1419" s="85">
        <v>45566</v>
      </c>
      <c r="E1419" s="85" t="s">
        <v>92</v>
      </c>
      <c r="F1419" s="84">
        <f>INDEX(Definitions!$G$13:$G$17,MATCH(Table3[[#This Row],[Propensity to buy/ buyer readiness]],Definitions!$A$13:$A$17,0))</f>
        <v>10000</v>
      </c>
      <c r="G1419" s="86">
        <v>3</v>
      </c>
      <c r="H1419" s="86">
        <v>3</v>
      </c>
      <c r="I1419" s="86">
        <v>2</v>
      </c>
      <c r="J1419" s="86">
        <v>3</v>
      </c>
      <c r="K1419" s="86">
        <v>2</v>
      </c>
      <c r="L1419" s="86">
        <f>SUM(Table3[[#This Row],[Strategic priority segment]:[Propensity to buy/ buyer readiness]])</f>
        <v>13</v>
      </c>
      <c r="M1419" s="86" t="s">
        <v>191</v>
      </c>
      <c r="N1419" s="84" t="s">
        <v>135</v>
      </c>
      <c r="O1419" s="87"/>
      <c r="P1419" s="87"/>
      <c r="Q1419" s="87"/>
      <c r="R1419" s="84"/>
      <c r="S1419" s="87"/>
      <c r="T1419" s="87"/>
      <c r="U1419" s="84">
        <v>0</v>
      </c>
      <c r="V1419" s="84">
        <v>0</v>
      </c>
      <c r="W1419" s="84">
        <v>0</v>
      </c>
      <c r="X1419" s="84">
        <v>0</v>
      </c>
      <c r="Y1419" s="84">
        <v>0</v>
      </c>
      <c r="Z1419" s="84">
        <v>0</v>
      </c>
      <c r="AA1419" s="84">
        <v>0</v>
      </c>
      <c r="AB1419" s="84">
        <v>0</v>
      </c>
      <c r="AC1419" s="84">
        <v>0</v>
      </c>
      <c r="AD1419" s="84">
        <v>0</v>
      </c>
      <c r="AE1419" s="84">
        <v>0</v>
      </c>
      <c r="AF1419" s="84">
        <v>0</v>
      </c>
      <c r="AG1419" s="84">
        <v>0</v>
      </c>
      <c r="AH1419" s="84">
        <v>1</v>
      </c>
      <c r="AI1419" s="84">
        <v>1</v>
      </c>
      <c r="AJ1419" s="84">
        <v>1</v>
      </c>
      <c r="AK1419" s="84">
        <v>1</v>
      </c>
      <c r="AL1419" s="84" cm="1">
        <f t="array" ref="AL14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19" s="84" cm="1">
        <f t="array" ref="AM14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19" s="84" cm="1">
        <f t="array" ref="AN14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19" s="84" cm="1">
        <f t="array" ref="AO14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19" s="84" cm="1">
        <f t="array" ref="AP14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19" s="84" cm="1">
        <f t="array" ref="AQ14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19" s="84" cm="1">
        <f t="array" ref="AR14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19" s="84" cm="1">
        <f t="array" ref="AS14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19" s="84" cm="1">
        <f t="array" ref="AT14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19" s="84" cm="1">
        <f t="array" ref="AU14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19" s="84" cm="1">
        <f t="array" ref="AV14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19" s="84" cm="1">
        <f t="array" ref="AW14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19" s="84" cm="1">
        <f t="array" ref="AX14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19" s="84" cm="1">
        <f t="array" ref="AY14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19" s="84" cm="1">
        <f t="array" ref="AZ14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19" s="84" cm="1">
        <f t="array" ref="BA14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19" s="84" cm="1">
        <f t="array" ref="BB14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19" s="84">
        <f>IF(SUM(Table3[[#This Row],[Column2]:[Column18]])&gt;Table3[[#This Row],[Column19]],Table3[[#This Row],[Column19]],SUM(Table3[[#This Row],[Column2]:[Column18]]))</f>
        <v>10000</v>
      </c>
      <c r="BD1419" s="2">
        <f>Table3[[#This Row],[Total Spend]]/SUM(Table3[[#This Row],[Column2]:[Column18]])</f>
        <v>0.21574973031283712</v>
      </c>
    </row>
    <row r="1420" spans="1:56" ht="57">
      <c r="A1420" s="87" t="s">
        <v>1495</v>
      </c>
      <c r="B1420" s="87"/>
      <c r="C1420" s="87"/>
      <c r="D1420" s="85">
        <v>45566</v>
      </c>
      <c r="E1420" s="85" t="s">
        <v>92</v>
      </c>
      <c r="F1420" s="84">
        <f>INDEX(Definitions!$G$13:$G$17,MATCH(Table3[[#This Row],[Propensity to buy/ buyer readiness]],Definitions!$A$13:$A$17,0))</f>
        <v>10000</v>
      </c>
      <c r="G1420" s="86">
        <v>3</v>
      </c>
      <c r="H1420" s="86">
        <v>3</v>
      </c>
      <c r="I1420" s="86">
        <v>2</v>
      </c>
      <c r="J1420" s="86">
        <v>3</v>
      </c>
      <c r="K1420" s="86">
        <v>2</v>
      </c>
      <c r="L1420" s="86">
        <f>SUM(Table3[[#This Row],[Strategic priority segment]:[Propensity to buy/ buyer readiness]])</f>
        <v>13</v>
      </c>
      <c r="M1420" s="86" t="s">
        <v>191</v>
      </c>
      <c r="N1420" s="84" t="s">
        <v>135</v>
      </c>
      <c r="O1420" s="87"/>
      <c r="P1420" s="87"/>
      <c r="Q1420" s="87"/>
      <c r="R1420" s="84"/>
      <c r="S1420" s="87"/>
      <c r="T1420" s="87"/>
      <c r="U1420" s="84">
        <v>0</v>
      </c>
      <c r="V1420" s="84">
        <v>0</v>
      </c>
      <c r="W1420" s="84">
        <v>0</v>
      </c>
      <c r="X1420" s="84">
        <v>0</v>
      </c>
      <c r="Y1420" s="84">
        <v>0</v>
      </c>
      <c r="Z1420" s="84">
        <v>0</v>
      </c>
      <c r="AA1420" s="84">
        <v>0</v>
      </c>
      <c r="AB1420" s="84">
        <v>0</v>
      </c>
      <c r="AC1420" s="84">
        <v>0</v>
      </c>
      <c r="AD1420" s="84">
        <v>0</v>
      </c>
      <c r="AE1420" s="84">
        <v>0</v>
      </c>
      <c r="AF1420" s="84">
        <v>0</v>
      </c>
      <c r="AG1420" s="84">
        <v>0</v>
      </c>
      <c r="AH1420" s="84">
        <v>1</v>
      </c>
      <c r="AI1420" s="84">
        <v>1</v>
      </c>
      <c r="AJ1420" s="84">
        <v>1</v>
      </c>
      <c r="AK1420" s="84">
        <v>1</v>
      </c>
      <c r="AL1420" s="84" cm="1">
        <f t="array" ref="AL14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20" s="84" cm="1">
        <f t="array" ref="AM14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0" s="84" cm="1">
        <f t="array" ref="AN14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0" s="84" cm="1">
        <f t="array" ref="AO14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0" s="84" cm="1">
        <f t="array" ref="AP14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0" s="84" cm="1">
        <f t="array" ref="AQ14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0" s="84" cm="1">
        <f t="array" ref="AR14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0" s="84" cm="1">
        <f t="array" ref="AS14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0" s="84" cm="1">
        <f t="array" ref="AT14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0" s="84" cm="1">
        <f t="array" ref="AU14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0" s="84" cm="1">
        <f t="array" ref="AV14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0" s="84" cm="1">
        <f t="array" ref="AW14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0" s="84" cm="1">
        <f t="array" ref="AX14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0" s="84" cm="1">
        <f t="array" ref="AY14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20" s="84" cm="1">
        <f t="array" ref="AZ14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20" s="84" cm="1">
        <f t="array" ref="BA14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20" s="84" cm="1">
        <f t="array" ref="BB14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20" s="84">
        <f>IF(SUM(Table3[[#This Row],[Column2]:[Column18]])&gt;Table3[[#This Row],[Column19]],Table3[[#This Row],[Column19]],SUM(Table3[[#This Row],[Column2]:[Column18]]))</f>
        <v>10000</v>
      </c>
      <c r="BD1420" s="2">
        <f>Table3[[#This Row],[Total Spend]]/SUM(Table3[[#This Row],[Column2]:[Column18]])</f>
        <v>0.21574973031283712</v>
      </c>
    </row>
    <row r="1421" spans="1:56" ht="42.75">
      <c r="A1421" s="87" t="s">
        <v>1496</v>
      </c>
      <c r="B1421" s="87"/>
      <c r="C1421" s="87"/>
      <c r="D1421" s="85">
        <v>45566</v>
      </c>
      <c r="E1421" s="85" t="s">
        <v>92</v>
      </c>
      <c r="F1421" s="84">
        <f>INDEX(Definitions!$G$13:$G$17,MATCH(Table3[[#This Row],[Propensity to buy/ buyer readiness]],Definitions!$A$13:$A$17,0))</f>
        <v>10000</v>
      </c>
      <c r="G1421" s="86">
        <v>3</v>
      </c>
      <c r="H1421" s="86">
        <v>3</v>
      </c>
      <c r="I1421" s="86">
        <v>2</v>
      </c>
      <c r="J1421" s="86">
        <v>3</v>
      </c>
      <c r="K1421" s="86">
        <v>2</v>
      </c>
      <c r="L1421" s="86">
        <f>SUM(Table3[[#This Row],[Strategic priority segment]:[Propensity to buy/ buyer readiness]])</f>
        <v>13</v>
      </c>
      <c r="M1421" s="86" t="s">
        <v>191</v>
      </c>
      <c r="N1421" s="84" t="s">
        <v>135</v>
      </c>
      <c r="O1421" s="87"/>
      <c r="P1421" s="87"/>
      <c r="Q1421" s="87"/>
      <c r="R1421" s="84"/>
      <c r="S1421" s="87"/>
      <c r="T1421" s="87"/>
      <c r="U1421" s="84">
        <v>0</v>
      </c>
      <c r="V1421" s="84">
        <v>0</v>
      </c>
      <c r="W1421" s="84">
        <v>0</v>
      </c>
      <c r="X1421" s="84">
        <v>0</v>
      </c>
      <c r="Y1421" s="84">
        <v>0</v>
      </c>
      <c r="Z1421" s="84">
        <v>0</v>
      </c>
      <c r="AA1421" s="84">
        <v>0</v>
      </c>
      <c r="AB1421" s="84">
        <v>0</v>
      </c>
      <c r="AC1421" s="84">
        <v>0</v>
      </c>
      <c r="AD1421" s="84">
        <v>0</v>
      </c>
      <c r="AE1421" s="84">
        <v>0</v>
      </c>
      <c r="AF1421" s="84">
        <v>0</v>
      </c>
      <c r="AG1421" s="84">
        <v>0</v>
      </c>
      <c r="AH1421" s="84">
        <v>1</v>
      </c>
      <c r="AI1421" s="84">
        <v>1</v>
      </c>
      <c r="AJ1421" s="84">
        <v>1</v>
      </c>
      <c r="AK1421" s="84">
        <v>1</v>
      </c>
      <c r="AL1421" s="84" cm="1">
        <f t="array" ref="AL14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21" s="84" cm="1">
        <f t="array" ref="AM14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1" s="84" cm="1">
        <f t="array" ref="AN14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1" s="84" cm="1">
        <f t="array" ref="AO14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1" s="84" cm="1">
        <f t="array" ref="AP14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1" s="84" cm="1">
        <f t="array" ref="AQ14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1" s="84" cm="1">
        <f t="array" ref="AR14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1" s="84" cm="1">
        <f t="array" ref="AS14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1" s="84" cm="1">
        <f t="array" ref="AT14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1" s="84" cm="1">
        <f t="array" ref="AU14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1" s="84" cm="1">
        <f t="array" ref="AV14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1" s="84" cm="1">
        <f t="array" ref="AW14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1" s="84" cm="1">
        <f t="array" ref="AX14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1" s="84" cm="1">
        <f t="array" ref="AY14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21" s="84" cm="1">
        <f t="array" ref="AZ14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21" s="84" cm="1">
        <f t="array" ref="BA14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21" s="84" cm="1">
        <f t="array" ref="BB14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21" s="84">
        <f>IF(SUM(Table3[[#This Row],[Column2]:[Column18]])&gt;Table3[[#This Row],[Column19]],Table3[[#This Row],[Column19]],SUM(Table3[[#This Row],[Column2]:[Column18]]))</f>
        <v>10000</v>
      </c>
      <c r="BD1421" s="2">
        <f>Table3[[#This Row],[Total Spend]]/SUM(Table3[[#This Row],[Column2]:[Column18]])</f>
        <v>0.21574973031283712</v>
      </c>
    </row>
    <row r="1422" spans="1:56">
      <c r="A1422" s="84" t="s">
        <v>1497</v>
      </c>
      <c r="B1422" s="84"/>
      <c r="C1422" s="84"/>
      <c r="D1422" s="85">
        <v>45566</v>
      </c>
      <c r="E1422" s="85" t="s">
        <v>92</v>
      </c>
      <c r="F1422" s="84">
        <f>INDEX(Definitions!$G$13:$G$17,MATCH(Table3[[#This Row],[Propensity to buy/ buyer readiness]],Definitions!$A$13:$A$17,0))</f>
        <v>10000</v>
      </c>
      <c r="G1422" s="86">
        <v>3</v>
      </c>
      <c r="H1422" s="86">
        <v>3</v>
      </c>
      <c r="I1422" s="86">
        <v>2</v>
      </c>
      <c r="J1422" s="86">
        <v>3</v>
      </c>
      <c r="K1422" s="86">
        <v>2</v>
      </c>
      <c r="L1422" s="86">
        <f>SUM(Table3[[#This Row],[Strategic priority segment]:[Propensity to buy/ buyer readiness]])</f>
        <v>13</v>
      </c>
      <c r="M1422" s="86" t="s">
        <v>152</v>
      </c>
      <c r="N1422" s="84" t="s">
        <v>264</v>
      </c>
      <c r="O1422" s="84"/>
      <c r="P1422" s="87"/>
      <c r="Q1422" s="87"/>
      <c r="R1422" s="84"/>
      <c r="S1422" s="87"/>
      <c r="T1422" s="87"/>
      <c r="U1422" s="84">
        <v>1</v>
      </c>
      <c r="V1422" s="84">
        <v>0</v>
      </c>
      <c r="W1422" s="84">
        <v>0</v>
      </c>
      <c r="X1422" s="84">
        <v>0</v>
      </c>
      <c r="Y1422" s="84">
        <v>0</v>
      </c>
      <c r="Z1422" s="84">
        <v>0</v>
      </c>
      <c r="AA1422" s="84">
        <v>0</v>
      </c>
      <c r="AB1422" s="84">
        <v>0</v>
      </c>
      <c r="AC1422" s="84">
        <v>0</v>
      </c>
      <c r="AD1422" s="84">
        <v>0</v>
      </c>
      <c r="AE1422" s="84">
        <v>0</v>
      </c>
      <c r="AF1422" s="84">
        <v>0</v>
      </c>
      <c r="AG1422" s="84">
        <v>0</v>
      </c>
      <c r="AH1422" s="84">
        <v>0</v>
      </c>
      <c r="AI1422" s="84">
        <v>0</v>
      </c>
      <c r="AJ1422" s="84">
        <v>0</v>
      </c>
      <c r="AK1422" s="84">
        <v>0</v>
      </c>
      <c r="AL1422" s="84" cm="1">
        <f t="array" ref="AL14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22" s="84" cm="1">
        <f t="array" ref="AM14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2" s="84" cm="1">
        <f t="array" ref="AN14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2" s="84" cm="1">
        <f t="array" ref="AO14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2" s="84" cm="1">
        <f t="array" ref="AP14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2" s="84" cm="1">
        <f t="array" ref="AQ14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2" s="84" cm="1">
        <f t="array" ref="AR14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2" s="84" cm="1">
        <f t="array" ref="AS14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2" s="84" cm="1">
        <f t="array" ref="AT14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2" s="84" cm="1">
        <f t="array" ref="AU14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2" s="84" cm="1">
        <f t="array" ref="AV14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2" s="84" cm="1">
        <f t="array" ref="AW14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2" s="84" cm="1">
        <f t="array" ref="AX14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2" s="84" cm="1">
        <f t="array" ref="AY14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2" s="84" cm="1">
        <f t="array" ref="AZ14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22" s="84" cm="1">
        <f t="array" ref="BA14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2" s="84" cm="1">
        <f t="array" ref="BB14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2" s="84">
        <f>IF(SUM(Table3[[#This Row],[Column2]:[Column18]])&gt;Table3[[#This Row],[Column19]],Table3[[#This Row],[Column19]],SUM(Table3[[#This Row],[Column2]:[Column18]]))</f>
        <v>8100</v>
      </c>
      <c r="BD1422" s="2">
        <f>Table3[[#This Row],[Total Spend]]/SUM(Table3[[#This Row],[Column2]:[Column18]])</f>
        <v>1</v>
      </c>
    </row>
    <row r="1423" spans="1:56">
      <c r="A1423" s="84" t="s">
        <v>1498</v>
      </c>
      <c r="B1423" s="84"/>
      <c r="C1423" s="84"/>
      <c r="D1423" s="85">
        <v>45566</v>
      </c>
      <c r="E1423" s="85" t="s">
        <v>92</v>
      </c>
      <c r="F1423" s="84">
        <f>INDEX(Definitions!$G$13:$G$17,MATCH(Table3[[#This Row],[Propensity to buy/ buyer readiness]],Definitions!$A$13:$A$17,0))</f>
        <v>10000</v>
      </c>
      <c r="G1423" s="86">
        <v>3</v>
      </c>
      <c r="H1423" s="86">
        <v>3</v>
      </c>
      <c r="I1423" s="86">
        <v>2</v>
      </c>
      <c r="J1423" s="86">
        <v>3</v>
      </c>
      <c r="K1423" s="86">
        <v>2</v>
      </c>
      <c r="L1423" s="86">
        <f>SUM(Table3[[#This Row],[Strategic priority segment]:[Propensity to buy/ buyer readiness]])</f>
        <v>13</v>
      </c>
      <c r="M1423" s="86" t="s">
        <v>152</v>
      </c>
      <c r="N1423" s="84" t="s">
        <v>264</v>
      </c>
      <c r="O1423" s="87"/>
      <c r="P1423" s="87"/>
      <c r="Q1423" s="87"/>
      <c r="R1423" s="87"/>
      <c r="S1423" s="87"/>
      <c r="T1423" s="87"/>
      <c r="U1423" s="84">
        <v>1</v>
      </c>
      <c r="V1423" s="84">
        <v>0</v>
      </c>
      <c r="W1423" s="84">
        <v>0</v>
      </c>
      <c r="X1423" s="84">
        <v>0</v>
      </c>
      <c r="Y1423" s="84">
        <v>0</v>
      </c>
      <c r="Z1423" s="84">
        <v>0</v>
      </c>
      <c r="AA1423" s="84">
        <v>0</v>
      </c>
      <c r="AB1423" s="84">
        <v>0</v>
      </c>
      <c r="AC1423" s="84">
        <v>0</v>
      </c>
      <c r="AD1423" s="84">
        <v>0</v>
      </c>
      <c r="AE1423" s="84">
        <v>0</v>
      </c>
      <c r="AF1423" s="84">
        <v>0</v>
      </c>
      <c r="AG1423" s="84">
        <v>0</v>
      </c>
      <c r="AH1423" s="84">
        <v>0</v>
      </c>
      <c r="AI1423" s="84">
        <v>0</v>
      </c>
      <c r="AJ1423" s="84">
        <v>0</v>
      </c>
      <c r="AK1423" s="84">
        <v>0</v>
      </c>
      <c r="AL1423" s="84" cm="1">
        <f t="array" ref="AL14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23" s="84" cm="1">
        <f t="array" ref="AM14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3" s="84" cm="1">
        <f t="array" ref="AN14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3" s="84" cm="1">
        <f t="array" ref="AO14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3" s="84" cm="1">
        <f t="array" ref="AP14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3" s="84" cm="1">
        <f t="array" ref="AQ14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3" s="84" cm="1">
        <f t="array" ref="AR14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3" s="84" cm="1">
        <f t="array" ref="AS14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3" s="84" cm="1">
        <f t="array" ref="AT14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3" s="84" cm="1">
        <f t="array" ref="AU14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3" s="84" cm="1">
        <f t="array" ref="AV14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3" s="84" cm="1">
        <f t="array" ref="AW14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3" s="84" cm="1">
        <f t="array" ref="AX14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3" s="84" cm="1">
        <f t="array" ref="AY14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3" s="84" cm="1">
        <f t="array" ref="AZ14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23" s="84" cm="1">
        <f t="array" ref="BA14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3" s="84" cm="1">
        <f t="array" ref="BB14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3" s="84">
        <f>IF(SUM(Table3[[#This Row],[Column2]:[Column18]])&gt;Table3[[#This Row],[Column19]],Table3[[#This Row],[Column19]],SUM(Table3[[#This Row],[Column2]:[Column18]]))</f>
        <v>8100</v>
      </c>
      <c r="BD1423" s="2">
        <f>Table3[[#This Row],[Total Spend]]/SUM(Table3[[#This Row],[Column2]:[Column18]])</f>
        <v>1</v>
      </c>
    </row>
    <row r="1424" spans="1:56">
      <c r="A1424" s="84" t="s">
        <v>1499</v>
      </c>
      <c r="B1424" s="84"/>
      <c r="C1424" s="84"/>
      <c r="D1424" s="85">
        <v>45566</v>
      </c>
      <c r="E1424" s="85" t="s">
        <v>92</v>
      </c>
      <c r="F1424" s="84">
        <f>INDEX(Definitions!$G$13:$G$17,MATCH(Table3[[#This Row],[Propensity to buy/ buyer readiness]],Definitions!$A$13:$A$17,0))</f>
        <v>10000</v>
      </c>
      <c r="G1424" s="86">
        <v>3</v>
      </c>
      <c r="H1424" s="86">
        <v>3</v>
      </c>
      <c r="I1424" s="86">
        <v>2</v>
      </c>
      <c r="J1424" s="86">
        <v>3</v>
      </c>
      <c r="K1424" s="86">
        <v>2</v>
      </c>
      <c r="L1424" s="86">
        <f>SUM(Table3[[#This Row],[Strategic priority segment]:[Propensity to buy/ buyer readiness]])</f>
        <v>13</v>
      </c>
      <c r="M1424" s="86" t="s">
        <v>152</v>
      </c>
      <c r="N1424" s="84" t="s">
        <v>264</v>
      </c>
      <c r="O1424" s="84" t="s">
        <v>265</v>
      </c>
      <c r="P1424" s="87"/>
      <c r="Q1424" s="87"/>
      <c r="R1424" s="84"/>
      <c r="S1424" s="87"/>
      <c r="T1424" s="87"/>
      <c r="U1424" s="84">
        <v>1</v>
      </c>
      <c r="V1424" s="84">
        <v>1</v>
      </c>
      <c r="W1424" s="84">
        <v>1</v>
      </c>
      <c r="X1424" s="84">
        <v>1</v>
      </c>
      <c r="Y1424" s="84">
        <v>0</v>
      </c>
      <c r="Z1424" s="84">
        <v>0</v>
      </c>
      <c r="AA1424" s="84">
        <v>0</v>
      </c>
      <c r="AB1424" s="84">
        <v>0</v>
      </c>
      <c r="AC1424" s="84">
        <v>0</v>
      </c>
      <c r="AD1424" s="84">
        <v>0</v>
      </c>
      <c r="AE1424" s="84">
        <v>0</v>
      </c>
      <c r="AF1424" s="84">
        <v>0</v>
      </c>
      <c r="AG1424" s="84">
        <v>0</v>
      </c>
      <c r="AH1424" s="84">
        <v>0</v>
      </c>
      <c r="AI1424" s="84">
        <v>1</v>
      </c>
      <c r="AJ1424" s="84">
        <v>0</v>
      </c>
      <c r="AK1424" s="84">
        <v>0</v>
      </c>
      <c r="AL1424" s="84" cm="1">
        <f t="array" ref="AL14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24" s="84" cm="1">
        <f t="array" ref="AM14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30600</v>
      </c>
      <c r="AN1424" s="84" cm="1">
        <f t="array" ref="AN14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53100</v>
      </c>
      <c r="AO1424" s="84" cm="1">
        <f t="array" ref="AO14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34200</v>
      </c>
      <c r="AP1424" s="84" cm="1">
        <f t="array" ref="AP14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4" s="84" cm="1">
        <f t="array" ref="AQ14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4" s="84" cm="1">
        <f t="array" ref="AR14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4" s="84" cm="1">
        <f t="array" ref="AS14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4" s="84" cm="1">
        <f t="array" ref="AT14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4" s="84" cm="1">
        <f t="array" ref="AU14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4" s="84" cm="1">
        <f t="array" ref="AV14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4" s="84" cm="1">
        <f t="array" ref="AW14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4" s="84" cm="1">
        <f t="array" ref="AX14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4" s="84" cm="1">
        <f t="array" ref="AY14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4" s="84" cm="1">
        <f t="array" ref="AZ14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24" s="84" cm="1">
        <f t="array" ref="BA14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4" s="84" cm="1">
        <f t="array" ref="BB14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4" s="84">
        <f>IF(SUM(Table3[[#This Row],[Column2]:[Column18]])&gt;Table3[[#This Row],[Column19]],Table3[[#This Row],[Column19]],SUM(Table3[[#This Row],[Column2]:[Column18]]))</f>
        <v>10000</v>
      </c>
      <c r="BD1424" s="2">
        <f>Table3[[#This Row],[Total Spend]]/SUM(Table3[[#This Row],[Column2]:[Column18]])</f>
        <v>7.2859744990892539E-2</v>
      </c>
    </row>
    <row r="1425" spans="1:56" ht="42.75">
      <c r="A1425" s="87" t="s">
        <v>1500</v>
      </c>
      <c r="B1425" s="87"/>
      <c r="C1425" s="87"/>
      <c r="D1425" s="85">
        <v>45566</v>
      </c>
      <c r="E1425" s="85" t="s">
        <v>92</v>
      </c>
      <c r="F1425" s="84">
        <f>INDEX(Definitions!$G$13:$G$17,MATCH(Table3[[#This Row],[Propensity to buy/ buyer readiness]],Definitions!$A$13:$A$17,0))</f>
        <v>10000</v>
      </c>
      <c r="G1425" s="86">
        <v>3</v>
      </c>
      <c r="H1425" s="86">
        <v>3</v>
      </c>
      <c r="I1425" s="86">
        <v>2</v>
      </c>
      <c r="J1425" s="86">
        <v>3</v>
      </c>
      <c r="K1425" s="86">
        <v>2</v>
      </c>
      <c r="L1425" s="86">
        <f>SUM(Table3[[#This Row],[Strategic priority segment]:[Propensity to buy/ buyer readiness]])</f>
        <v>13</v>
      </c>
      <c r="M1425" s="86" t="s">
        <v>191</v>
      </c>
      <c r="N1425" s="84" t="s">
        <v>135</v>
      </c>
      <c r="O1425" s="87"/>
      <c r="P1425" s="87"/>
      <c r="Q1425" s="87"/>
      <c r="R1425" s="84"/>
      <c r="S1425" s="87"/>
      <c r="T1425" s="87"/>
      <c r="U1425" s="84">
        <v>0</v>
      </c>
      <c r="V1425" s="84">
        <v>0</v>
      </c>
      <c r="W1425" s="84">
        <v>0</v>
      </c>
      <c r="X1425" s="84">
        <v>0</v>
      </c>
      <c r="Y1425" s="84">
        <v>0</v>
      </c>
      <c r="Z1425" s="84">
        <v>0</v>
      </c>
      <c r="AA1425" s="84">
        <v>0</v>
      </c>
      <c r="AB1425" s="84">
        <v>0</v>
      </c>
      <c r="AC1425" s="84">
        <v>0</v>
      </c>
      <c r="AD1425" s="84">
        <v>0</v>
      </c>
      <c r="AE1425" s="84">
        <v>0</v>
      </c>
      <c r="AF1425" s="84">
        <v>0</v>
      </c>
      <c r="AG1425" s="84">
        <v>0</v>
      </c>
      <c r="AH1425" s="84">
        <v>1</v>
      </c>
      <c r="AI1425" s="84">
        <v>1</v>
      </c>
      <c r="AJ1425" s="84">
        <v>1</v>
      </c>
      <c r="AK1425" s="84">
        <v>1</v>
      </c>
      <c r="AL1425" s="84" cm="1">
        <f t="array" ref="AL14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25" s="84" cm="1">
        <f t="array" ref="AM14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5" s="84" cm="1">
        <f t="array" ref="AN14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5" s="84" cm="1">
        <f t="array" ref="AO14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5" s="84" cm="1">
        <f t="array" ref="AP14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5" s="84" cm="1">
        <f t="array" ref="AQ14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5" s="84" cm="1">
        <f t="array" ref="AR14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5" s="84" cm="1">
        <f t="array" ref="AS14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5" s="84" cm="1">
        <f t="array" ref="AT14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5" s="84" cm="1">
        <f t="array" ref="AU14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5" s="84" cm="1">
        <f t="array" ref="AV14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5" s="84" cm="1">
        <f t="array" ref="AW14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5" s="84" cm="1">
        <f t="array" ref="AX14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5" s="84" cm="1">
        <f t="array" ref="AY14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25" s="84" cm="1">
        <f t="array" ref="AZ14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25" s="84" cm="1">
        <f t="array" ref="BA14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25" s="84" cm="1">
        <f t="array" ref="BB14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25" s="84">
        <f>IF(SUM(Table3[[#This Row],[Column2]:[Column18]])&gt;Table3[[#This Row],[Column19]],Table3[[#This Row],[Column19]],SUM(Table3[[#This Row],[Column2]:[Column18]]))</f>
        <v>10000</v>
      </c>
      <c r="BD1425" s="2">
        <f>Table3[[#This Row],[Total Spend]]/SUM(Table3[[#This Row],[Column2]:[Column18]])</f>
        <v>0.21574973031283712</v>
      </c>
    </row>
    <row r="1426" spans="1:56">
      <c r="A1426" s="84" t="s">
        <v>1501</v>
      </c>
      <c r="B1426" s="84"/>
      <c r="C1426" s="84"/>
      <c r="D1426" s="85">
        <v>45566</v>
      </c>
      <c r="E1426" s="85" t="s">
        <v>92</v>
      </c>
      <c r="F1426" s="84">
        <f>INDEX(Definitions!$G$13:$G$17,MATCH(Table3[[#This Row],[Propensity to buy/ buyer readiness]],Definitions!$A$13:$A$17,0))</f>
        <v>10000</v>
      </c>
      <c r="G1426" s="86">
        <v>3</v>
      </c>
      <c r="H1426" s="86">
        <v>3</v>
      </c>
      <c r="I1426" s="86">
        <v>2</v>
      </c>
      <c r="J1426" s="86">
        <v>3</v>
      </c>
      <c r="K1426" s="86">
        <v>2</v>
      </c>
      <c r="L1426" s="86">
        <f>SUM(Table3[[#This Row],[Strategic priority segment]:[Propensity to buy/ buyer readiness]])</f>
        <v>13</v>
      </c>
      <c r="M1426" s="86" t="s">
        <v>152</v>
      </c>
      <c r="N1426" s="84" t="s">
        <v>264</v>
      </c>
      <c r="O1426" s="84"/>
      <c r="P1426" s="84"/>
      <c r="Q1426" s="84"/>
      <c r="R1426" s="84"/>
      <c r="S1426" s="87"/>
      <c r="T1426" s="87"/>
      <c r="U1426" s="84">
        <v>1</v>
      </c>
      <c r="V1426" s="84">
        <v>0</v>
      </c>
      <c r="W1426" s="84">
        <v>0</v>
      </c>
      <c r="X1426" s="84">
        <v>0</v>
      </c>
      <c r="Y1426" s="84">
        <v>0</v>
      </c>
      <c r="Z1426" s="84">
        <v>0</v>
      </c>
      <c r="AA1426" s="84">
        <v>0</v>
      </c>
      <c r="AB1426" s="84">
        <v>0</v>
      </c>
      <c r="AC1426" s="84">
        <v>0</v>
      </c>
      <c r="AD1426" s="84">
        <v>0</v>
      </c>
      <c r="AE1426" s="84">
        <v>0</v>
      </c>
      <c r="AF1426" s="84">
        <v>0</v>
      </c>
      <c r="AG1426" s="84">
        <v>0</v>
      </c>
      <c r="AH1426" s="84">
        <v>0</v>
      </c>
      <c r="AI1426" s="84">
        <v>0</v>
      </c>
      <c r="AJ1426" s="84">
        <v>0</v>
      </c>
      <c r="AK1426" s="84">
        <v>0</v>
      </c>
      <c r="AL1426" s="84" cm="1">
        <f t="array" ref="AL14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26" s="84" cm="1">
        <f t="array" ref="AM14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6" s="84" cm="1">
        <f t="array" ref="AN14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6" s="84" cm="1">
        <f t="array" ref="AO14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6" s="84" cm="1">
        <f t="array" ref="AP14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6" s="84" cm="1">
        <f t="array" ref="AQ14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6" s="84" cm="1">
        <f t="array" ref="AR14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6" s="84" cm="1">
        <f t="array" ref="AS14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6" s="84" cm="1">
        <f t="array" ref="AT14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6" s="84" cm="1">
        <f t="array" ref="AU14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6" s="84" cm="1">
        <f t="array" ref="AV14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6" s="84" cm="1">
        <f t="array" ref="AW14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6" s="84" cm="1">
        <f t="array" ref="AX14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6" s="84" cm="1">
        <f t="array" ref="AY14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6" s="84" cm="1">
        <f t="array" ref="AZ14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26" s="84" cm="1">
        <f t="array" ref="BA14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6" s="84" cm="1">
        <f t="array" ref="BB14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6" s="84">
        <f>IF(SUM(Table3[[#This Row],[Column2]:[Column18]])&gt;Table3[[#This Row],[Column19]],Table3[[#This Row],[Column19]],SUM(Table3[[#This Row],[Column2]:[Column18]]))</f>
        <v>8100</v>
      </c>
      <c r="BD1426" s="2">
        <f>Table3[[#This Row],[Total Spend]]/SUM(Table3[[#This Row],[Column2]:[Column18]])</f>
        <v>1</v>
      </c>
    </row>
    <row r="1427" spans="1:56">
      <c r="A1427" s="84" t="s">
        <v>1502</v>
      </c>
      <c r="B1427" s="84"/>
      <c r="C1427" s="84"/>
      <c r="D1427" s="85">
        <v>45566</v>
      </c>
      <c r="E1427" s="85" t="s">
        <v>92</v>
      </c>
      <c r="F1427" s="84">
        <f>INDEX(Definitions!$G$13:$G$17,MATCH(Table3[[#This Row],[Propensity to buy/ buyer readiness]],Definitions!$A$13:$A$17,0))</f>
        <v>10000</v>
      </c>
      <c r="G1427" s="86">
        <v>3</v>
      </c>
      <c r="H1427" s="86">
        <v>3</v>
      </c>
      <c r="I1427" s="86">
        <v>2</v>
      </c>
      <c r="J1427" s="86">
        <v>3</v>
      </c>
      <c r="K1427" s="86">
        <v>2</v>
      </c>
      <c r="L1427" s="86">
        <f>SUM(Table3[[#This Row],[Strategic priority segment]:[Propensity to buy/ buyer readiness]])</f>
        <v>13</v>
      </c>
      <c r="M1427" s="86" t="s">
        <v>152</v>
      </c>
      <c r="N1427" s="84" t="s">
        <v>264</v>
      </c>
      <c r="O1427" s="84"/>
      <c r="P1427" s="87"/>
      <c r="Q1427" s="87"/>
      <c r="R1427" s="84"/>
      <c r="S1427" s="87"/>
      <c r="T1427" s="87"/>
      <c r="U1427" s="84">
        <v>1</v>
      </c>
      <c r="V1427" s="84">
        <v>0</v>
      </c>
      <c r="W1427" s="84">
        <v>0</v>
      </c>
      <c r="X1427" s="84">
        <v>0</v>
      </c>
      <c r="Y1427" s="84">
        <v>0</v>
      </c>
      <c r="Z1427" s="84">
        <v>0</v>
      </c>
      <c r="AA1427" s="84">
        <v>0</v>
      </c>
      <c r="AB1427" s="84">
        <v>0</v>
      </c>
      <c r="AC1427" s="84">
        <v>0</v>
      </c>
      <c r="AD1427" s="84">
        <v>0</v>
      </c>
      <c r="AE1427" s="84">
        <v>0</v>
      </c>
      <c r="AF1427" s="84">
        <v>0</v>
      </c>
      <c r="AG1427" s="84">
        <v>0</v>
      </c>
      <c r="AH1427" s="84">
        <v>0</v>
      </c>
      <c r="AI1427" s="84">
        <v>0</v>
      </c>
      <c r="AJ1427" s="84">
        <v>0</v>
      </c>
      <c r="AK1427" s="84">
        <v>0</v>
      </c>
      <c r="AL1427" s="84" cm="1">
        <f t="array" ref="AL14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27" s="84" cm="1">
        <f t="array" ref="AM14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7" s="84" cm="1">
        <f t="array" ref="AN14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7" s="84" cm="1">
        <f t="array" ref="AO14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7" s="84" cm="1">
        <f t="array" ref="AP14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7" s="84" cm="1">
        <f t="array" ref="AQ14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7" s="84" cm="1">
        <f t="array" ref="AR14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7" s="84" cm="1">
        <f t="array" ref="AS14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7" s="84" cm="1">
        <f t="array" ref="AT14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7" s="84" cm="1">
        <f t="array" ref="AU14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7" s="84" cm="1">
        <f t="array" ref="AV14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7" s="84" cm="1">
        <f t="array" ref="AW14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7" s="84" cm="1">
        <f t="array" ref="AX14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7" s="84" cm="1">
        <f t="array" ref="AY14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7" s="84" cm="1">
        <f t="array" ref="AZ14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27" s="84" cm="1">
        <f t="array" ref="BA14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7" s="84" cm="1">
        <f t="array" ref="BB14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7" s="84">
        <f>IF(SUM(Table3[[#This Row],[Column2]:[Column18]])&gt;Table3[[#This Row],[Column19]],Table3[[#This Row],[Column19]],SUM(Table3[[#This Row],[Column2]:[Column18]]))</f>
        <v>8100</v>
      </c>
      <c r="BD1427" s="2">
        <f>Table3[[#This Row],[Total Spend]]/SUM(Table3[[#This Row],[Column2]:[Column18]])</f>
        <v>1</v>
      </c>
    </row>
    <row r="1428" spans="1:56">
      <c r="A1428" s="84" t="s">
        <v>1503</v>
      </c>
      <c r="B1428" s="84"/>
      <c r="C1428" s="84"/>
      <c r="D1428" s="85">
        <v>45809</v>
      </c>
      <c r="E1428" s="85" t="s">
        <v>92</v>
      </c>
      <c r="F1428" s="84">
        <f>INDEX(Definitions!$G$13:$G$17,MATCH(Table3[[#This Row],[Propensity to buy/ buyer readiness]],Definitions!$A$13:$A$17,0))</f>
        <v>10000</v>
      </c>
      <c r="G1428" s="86">
        <v>3</v>
      </c>
      <c r="H1428" s="86">
        <v>3</v>
      </c>
      <c r="I1428" s="86">
        <v>2</v>
      </c>
      <c r="J1428" s="86">
        <v>3</v>
      </c>
      <c r="K1428" s="86">
        <v>2</v>
      </c>
      <c r="L1428" s="86">
        <f>SUM(Table3[[#This Row],[Strategic priority segment]:[Propensity to buy/ buyer readiness]])</f>
        <v>13</v>
      </c>
      <c r="M1428" s="86" t="s">
        <v>191</v>
      </c>
      <c r="N1428" s="84" t="s">
        <v>135</v>
      </c>
      <c r="O1428" s="84"/>
      <c r="P1428" s="87"/>
      <c r="Q1428" s="87"/>
      <c r="R1428" s="84"/>
      <c r="S1428" s="84"/>
      <c r="T1428" s="84"/>
      <c r="U1428" s="84">
        <v>0</v>
      </c>
      <c r="V1428" s="84">
        <v>0</v>
      </c>
      <c r="W1428" s="84">
        <v>0</v>
      </c>
      <c r="X1428" s="84">
        <v>0</v>
      </c>
      <c r="Y1428" s="84">
        <v>0</v>
      </c>
      <c r="Z1428" s="84">
        <v>0</v>
      </c>
      <c r="AA1428" s="84">
        <v>0</v>
      </c>
      <c r="AB1428" s="84">
        <v>0</v>
      </c>
      <c r="AC1428" s="84">
        <v>0</v>
      </c>
      <c r="AD1428" s="84">
        <v>0</v>
      </c>
      <c r="AE1428" s="84">
        <v>0</v>
      </c>
      <c r="AF1428" s="84">
        <v>0</v>
      </c>
      <c r="AG1428" s="84">
        <v>0</v>
      </c>
      <c r="AH1428" s="84">
        <v>1</v>
      </c>
      <c r="AI1428" s="84">
        <v>1</v>
      </c>
      <c r="AJ1428" s="84">
        <v>1</v>
      </c>
      <c r="AK1428" s="84">
        <v>1</v>
      </c>
      <c r="AL1428" s="84" cm="1">
        <f t="array" ref="AL14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28" s="84" cm="1">
        <f t="array" ref="AM14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8" s="84" cm="1">
        <f t="array" ref="AN14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8" s="84" cm="1">
        <f t="array" ref="AO14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8" s="84" cm="1">
        <f t="array" ref="AP14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8" s="84" cm="1">
        <f t="array" ref="AQ14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8" s="84" cm="1">
        <f t="array" ref="AR14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8" s="84" cm="1">
        <f t="array" ref="AS14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8" s="84" cm="1">
        <f t="array" ref="AT14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8" s="84" cm="1">
        <f t="array" ref="AU14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8" s="84" cm="1">
        <f t="array" ref="AV14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8" s="84" cm="1">
        <f t="array" ref="AW14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8" s="84" cm="1">
        <f t="array" ref="AX14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8" s="84" cm="1">
        <f t="array" ref="AY14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28" s="84" cm="1">
        <f t="array" ref="AZ14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28" s="84" cm="1">
        <f t="array" ref="BA14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28" s="84" cm="1">
        <f t="array" ref="BB14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28" s="84">
        <f>IF(SUM(Table3[[#This Row],[Column2]:[Column18]])&gt;Table3[[#This Row],[Column19]],Table3[[#This Row],[Column19]],SUM(Table3[[#This Row],[Column2]:[Column18]]))</f>
        <v>10000</v>
      </c>
      <c r="BD1428" s="2">
        <f>Table3[[#This Row],[Total Spend]]/SUM(Table3[[#This Row],[Column2]:[Column18]])</f>
        <v>0.21574973031283712</v>
      </c>
    </row>
    <row r="1429" spans="1:56">
      <c r="A1429" s="84" t="s">
        <v>1504</v>
      </c>
      <c r="B1429" s="84"/>
      <c r="C1429" s="84"/>
      <c r="D1429" s="85">
        <v>45566</v>
      </c>
      <c r="E1429" s="85" t="s">
        <v>92</v>
      </c>
      <c r="F1429" s="84">
        <f>INDEX(Definitions!$G$13:$G$17,MATCH(Table3[[#This Row],[Propensity to buy/ buyer readiness]],Definitions!$A$13:$A$17,0))</f>
        <v>10000</v>
      </c>
      <c r="G1429" s="86">
        <v>3</v>
      </c>
      <c r="H1429" s="86">
        <v>3</v>
      </c>
      <c r="I1429" s="86">
        <v>2</v>
      </c>
      <c r="J1429" s="86">
        <v>3</v>
      </c>
      <c r="K1429" s="86">
        <v>2</v>
      </c>
      <c r="L1429" s="86">
        <f>SUM(Table3[[#This Row],[Strategic priority segment]:[Propensity to buy/ buyer readiness]])</f>
        <v>13</v>
      </c>
      <c r="M1429" s="86" t="s">
        <v>152</v>
      </c>
      <c r="N1429" s="84" t="s">
        <v>264</v>
      </c>
      <c r="O1429" s="87"/>
      <c r="P1429" s="87"/>
      <c r="Q1429" s="87"/>
      <c r="R1429" s="87"/>
      <c r="S1429" s="87"/>
      <c r="T1429" s="87"/>
      <c r="U1429" s="84">
        <v>1</v>
      </c>
      <c r="V1429" s="84">
        <v>0</v>
      </c>
      <c r="W1429" s="84">
        <v>0</v>
      </c>
      <c r="X1429" s="84">
        <v>0</v>
      </c>
      <c r="Y1429" s="84">
        <v>0</v>
      </c>
      <c r="Z1429" s="84">
        <v>0</v>
      </c>
      <c r="AA1429" s="84">
        <v>0</v>
      </c>
      <c r="AB1429" s="84">
        <v>0</v>
      </c>
      <c r="AC1429" s="84">
        <v>0</v>
      </c>
      <c r="AD1429" s="84">
        <v>0</v>
      </c>
      <c r="AE1429" s="84">
        <v>0</v>
      </c>
      <c r="AF1429" s="84">
        <v>0</v>
      </c>
      <c r="AG1429" s="84">
        <v>0</v>
      </c>
      <c r="AH1429" s="84">
        <v>0</v>
      </c>
      <c r="AI1429" s="84">
        <v>0</v>
      </c>
      <c r="AJ1429" s="84">
        <v>0</v>
      </c>
      <c r="AK1429" s="84">
        <v>0</v>
      </c>
      <c r="AL1429" s="84" cm="1">
        <f t="array" ref="AL14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29" s="84" cm="1">
        <f t="array" ref="AM14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29" s="84" cm="1">
        <f t="array" ref="AN14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29" s="84" cm="1">
        <f t="array" ref="AO14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29" s="84" cm="1">
        <f t="array" ref="AP14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29" s="84" cm="1">
        <f t="array" ref="AQ14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29" s="84" cm="1">
        <f t="array" ref="AR14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29" s="84" cm="1">
        <f t="array" ref="AS14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29" s="84" cm="1">
        <f t="array" ref="AT14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29" s="84" cm="1">
        <f t="array" ref="AU14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29" s="84" cm="1">
        <f t="array" ref="AV14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29" s="84" cm="1">
        <f t="array" ref="AW14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29" s="84" cm="1">
        <f t="array" ref="AX14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29" s="84" cm="1">
        <f t="array" ref="AY14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29" s="84" cm="1">
        <f t="array" ref="AZ14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29" s="84" cm="1">
        <f t="array" ref="BA14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29" s="84" cm="1">
        <f t="array" ref="BB14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29" s="84">
        <f>IF(SUM(Table3[[#This Row],[Column2]:[Column18]])&gt;Table3[[#This Row],[Column19]],Table3[[#This Row],[Column19]],SUM(Table3[[#This Row],[Column2]:[Column18]]))</f>
        <v>8100</v>
      </c>
      <c r="BD1429" s="2">
        <f>Table3[[#This Row],[Total Spend]]/SUM(Table3[[#This Row],[Column2]:[Column18]])</f>
        <v>1</v>
      </c>
    </row>
    <row r="1430" spans="1:56">
      <c r="A1430" s="84" t="s">
        <v>1505</v>
      </c>
      <c r="B1430" s="84"/>
      <c r="C1430" s="84"/>
      <c r="D1430" s="85">
        <v>45566</v>
      </c>
      <c r="E1430" s="85" t="s">
        <v>92</v>
      </c>
      <c r="F1430" s="84">
        <f>INDEX(Definitions!$G$13:$G$17,MATCH(Table3[[#This Row],[Propensity to buy/ buyer readiness]],Definitions!$A$13:$A$17,0))</f>
        <v>10000</v>
      </c>
      <c r="G1430" s="86">
        <v>3</v>
      </c>
      <c r="H1430" s="86">
        <v>3</v>
      </c>
      <c r="I1430" s="86">
        <v>2</v>
      </c>
      <c r="J1430" s="86">
        <v>3</v>
      </c>
      <c r="K1430" s="86">
        <v>2</v>
      </c>
      <c r="L1430" s="86">
        <f>SUM(Table3[[#This Row],[Strategic priority segment]:[Propensity to buy/ buyer readiness]])</f>
        <v>13</v>
      </c>
      <c r="M1430" s="86" t="s">
        <v>152</v>
      </c>
      <c r="N1430" s="84" t="s">
        <v>264</v>
      </c>
      <c r="O1430" s="84"/>
      <c r="P1430" s="87"/>
      <c r="Q1430" s="87"/>
      <c r="R1430" s="84"/>
      <c r="S1430" s="87"/>
      <c r="T1430" s="87"/>
      <c r="U1430" s="84">
        <v>1</v>
      </c>
      <c r="V1430" s="84">
        <v>0</v>
      </c>
      <c r="W1430" s="84">
        <v>0</v>
      </c>
      <c r="X1430" s="84">
        <v>0</v>
      </c>
      <c r="Y1430" s="84">
        <v>0</v>
      </c>
      <c r="Z1430" s="84">
        <v>0</v>
      </c>
      <c r="AA1430" s="84">
        <v>0</v>
      </c>
      <c r="AB1430" s="84">
        <v>0</v>
      </c>
      <c r="AC1430" s="84">
        <v>0</v>
      </c>
      <c r="AD1430" s="84">
        <v>0</v>
      </c>
      <c r="AE1430" s="84">
        <v>0</v>
      </c>
      <c r="AF1430" s="84">
        <v>0</v>
      </c>
      <c r="AG1430" s="84">
        <v>0</v>
      </c>
      <c r="AH1430" s="84">
        <v>0</v>
      </c>
      <c r="AI1430" s="84">
        <v>0</v>
      </c>
      <c r="AJ1430" s="84">
        <v>0</v>
      </c>
      <c r="AK1430" s="84">
        <v>0</v>
      </c>
      <c r="AL1430" s="84" cm="1">
        <f t="array" ref="AL14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30" s="84" cm="1">
        <f t="array" ref="AM14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0" s="84" cm="1">
        <f t="array" ref="AN14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0" s="84" cm="1">
        <f t="array" ref="AO14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0" s="84" cm="1">
        <f t="array" ref="AP14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0" s="84" cm="1">
        <f t="array" ref="AQ14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0" s="84" cm="1">
        <f t="array" ref="AR14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0" s="84" cm="1">
        <f t="array" ref="AS14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0" s="84" cm="1">
        <f t="array" ref="AT14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0" s="84" cm="1">
        <f t="array" ref="AU14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0" s="84" cm="1">
        <f t="array" ref="AV14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0" s="84" cm="1">
        <f t="array" ref="AW14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0" s="84" cm="1">
        <f t="array" ref="AX14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0" s="84" cm="1">
        <f t="array" ref="AY14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30" s="84" cm="1">
        <f t="array" ref="AZ14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30" s="84" cm="1">
        <f t="array" ref="BA14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30" s="84" cm="1">
        <f t="array" ref="BB14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30" s="84">
        <f>IF(SUM(Table3[[#This Row],[Column2]:[Column18]])&gt;Table3[[#This Row],[Column19]],Table3[[#This Row],[Column19]],SUM(Table3[[#This Row],[Column2]:[Column18]]))</f>
        <v>8100</v>
      </c>
      <c r="BD1430" s="2">
        <f>Table3[[#This Row],[Total Spend]]/SUM(Table3[[#This Row],[Column2]:[Column18]])</f>
        <v>1</v>
      </c>
    </row>
    <row r="1431" spans="1:56" ht="42.75">
      <c r="A1431" s="87" t="s">
        <v>1506</v>
      </c>
      <c r="B1431" s="87"/>
      <c r="C1431" s="87"/>
      <c r="D1431" s="85">
        <v>45566</v>
      </c>
      <c r="E1431" s="85" t="s">
        <v>92</v>
      </c>
      <c r="F1431" s="84">
        <f>INDEX(Definitions!$G$13:$G$17,MATCH(Table3[[#This Row],[Propensity to buy/ buyer readiness]],Definitions!$A$13:$A$17,0))</f>
        <v>10000</v>
      </c>
      <c r="G1431" s="86">
        <v>3</v>
      </c>
      <c r="H1431" s="86">
        <v>3</v>
      </c>
      <c r="I1431" s="86">
        <v>2</v>
      </c>
      <c r="J1431" s="86">
        <v>3</v>
      </c>
      <c r="K1431" s="86">
        <v>2</v>
      </c>
      <c r="L1431" s="86">
        <f>SUM(Table3[[#This Row],[Strategic priority segment]:[Propensity to buy/ buyer readiness]])</f>
        <v>13</v>
      </c>
      <c r="M1431" s="86" t="s">
        <v>191</v>
      </c>
      <c r="N1431" s="84" t="s">
        <v>135</v>
      </c>
      <c r="O1431" s="87"/>
      <c r="P1431" s="87"/>
      <c r="Q1431" s="87"/>
      <c r="R1431" s="84"/>
      <c r="S1431" s="87"/>
      <c r="T1431" s="87"/>
      <c r="U1431" s="84">
        <v>0</v>
      </c>
      <c r="V1431" s="84">
        <v>0</v>
      </c>
      <c r="W1431" s="84">
        <v>0</v>
      </c>
      <c r="X1431" s="84">
        <v>0</v>
      </c>
      <c r="Y1431" s="84">
        <v>0</v>
      </c>
      <c r="Z1431" s="84">
        <v>0</v>
      </c>
      <c r="AA1431" s="84">
        <v>0</v>
      </c>
      <c r="AB1431" s="84">
        <v>0</v>
      </c>
      <c r="AC1431" s="84">
        <v>0</v>
      </c>
      <c r="AD1431" s="84">
        <v>0</v>
      </c>
      <c r="AE1431" s="84">
        <v>0</v>
      </c>
      <c r="AF1431" s="84">
        <v>0</v>
      </c>
      <c r="AG1431" s="84">
        <v>0</v>
      </c>
      <c r="AH1431" s="84">
        <v>1</v>
      </c>
      <c r="AI1431" s="84">
        <v>1</v>
      </c>
      <c r="AJ1431" s="84">
        <v>1</v>
      </c>
      <c r="AK1431" s="84">
        <v>1</v>
      </c>
      <c r="AL1431" s="84" cm="1">
        <f t="array" ref="AL14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31" s="84" cm="1">
        <f t="array" ref="AM14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1" s="84" cm="1">
        <f t="array" ref="AN14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1" s="84" cm="1">
        <f t="array" ref="AO14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1" s="84" cm="1">
        <f t="array" ref="AP14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1" s="84" cm="1">
        <f t="array" ref="AQ14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1" s="84" cm="1">
        <f t="array" ref="AR14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1" s="84" cm="1">
        <f t="array" ref="AS14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1" s="84" cm="1">
        <f t="array" ref="AT14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1" s="84" cm="1">
        <f t="array" ref="AU14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1" s="84" cm="1">
        <f t="array" ref="AV14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1" s="84" cm="1">
        <f t="array" ref="AW14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1" s="84" cm="1">
        <f t="array" ref="AX14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1" s="84" cm="1">
        <f t="array" ref="AY14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31" s="84" cm="1">
        <f t="array" ref="AZ14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31" s="84" cm="1">
        <f t="array" ref="BA14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31" s="84" cm="1">
        <f t="array" ref="BB14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31" s="84">
        <f>IF(SUM(Table3[[#This Row],[Column2]:[Column18]])&gt;Table3[[#This Row],[Column19]],Table3[[#This Row],[Column19]],SUM(Table3[[#This Row],[Column2]:[Column18]]))</f>
        <v>10000</v>
      </c>
      <c r="BD1431" s="2">
        <f>Table3[[#This Row],[Total Spend]]/SUM(Table3[[#This Row],[Column2]:[Column18]])</f>
        <v>0.21574973031283712</v>
      </c>
    </row>
    <row r="1432" spans="1:56">
      <c r="A1432" s="84" t="s">
        <v>1507</v>
      </c>
      <c r="B1432" s="84"/>
      <c r="C1432" s="84"/>
      <c r="D1432" s="85">
        <v>45566</v>
      </c>
      <c r="E1432" s="85" t="s">
        <v>92</v>
      </c>
      <c r="F1432" s="84">
        <f>INDEX(Definitions!$G$13:$G$17,MATCH(Table3[[#This Row],[Propensity to buy/ buyer readiness]],Definitions!$A$13:$A$17,0))</f>
        <v>10000</v>
      </c>
      <c r="G1432" s="86">
        <v>3</v>
      </c>
      <c r="H1432" s="86">
        <v>3</v>
      </c>
      <c r="I1432" s="86">
        <v>2</v>
      </c>
      <c r="J1432" s="86">
        <v>3</v>
      </c>
      <c r="K1432" s="86">
        <v>2</v>
      </c>
      <c r="L1432" s="86">
        <f>SUM(Table3[[#This Row],[Strategic priority segment]:[Propensity to buy/ buyer readiness]])</f>
        <v>13</v>
      </c>
      <c r="M1432" s="86" t="s">
        <v>152</v>
      </c>
      <c r="N1432" s="84" t="s">
        <v>264</v>
      </c>
      <c r="O1432" s="84" t="s">
        <v>122</v>
      </c>
      <c r="P1432" s="87"/>
      <c r="Q1432" s="87"/>
      <c r="R1432" s="84"/>
      <c r="S1432" s="87"/>
      <c r="T1432" s="87"/>
      <c r="U1432" s="84">
        <v>1</v>
      </c>
      <c r="V1432" s="84">
        <v>0</v>
      </c>
      <c r="W1432" s="84">
        <v>0</v>
      </c>
      <c r="X1432" s="84">
        <v>0</v>
      </c>
      <c r="Y1432" s="84">
        <v>0</v>
      </c>
      <c r="Z1432" s="84">
        <v>1</v>
      </c>
      <c r="AA1432" s="84">
        <v>0</v>
      </c>
      <c r="AB1432" s="84">
        <v>1</v>
      </c>
      <c r="AC1432" s="84">
        <v>0</v>
      </c>
      <c r="AD1432" s="84">
        <v>1</v>
      </c>
      <c r="AE1432" s="84">
        <v>0</v>
      </c>
      <c r="AF1432" s="84">
        <v>1</v>
      </c>
      <c r="AG1432" s="84">
        <v>0</v>
      </c>
      <c r="AH1432" s="84">
        <v>0</v>
      </c>
      <c r="AI1432" s="84">
        <v>0</v>
      </c>
      <c r="AJ1432" s="84">
        <v>0</v>
      </c>
      <c r="AK1432" s="84">
        <v>0</v>
      </c>
      <c r="AL1432" s="84" cm="1">
        <f t="array" ref="AL14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32" s="84" cm="1">
        <f t="array" ref="AM14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2" s="84" cm="1">
        <f t="array" ref="AN14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2" s="84" cm="1">
        <f t="array" ref="AO14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2" s="84" cm="1">
        <f t="array" ref="AP14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2" s="84" cm="1">
        <f t="array" ref="AQ14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32" s="84" cm="1">
        <f t="array" ref="AR14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2" s="84" cm="1">
        <f t="array" ref="AS14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32" s="84" cm="1">
        <f t="array" ref="AT14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2" s="84" cm="1">
        <f t="array" ref="AU14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21600</v>
      </c>
      <c r="AV1432" s="84" cm="1">
        <f t="array" ref="AV14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2" s="84" cm="1">
        <f t="array" ref="AW14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31500</v>
      </c>
      <c r="AX1432" s="84" cm="1">
        <f t="array" ref="AX14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2" s="84" cm="1">
        <f t="array" ref="AY14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32" s="84" cm="1">
        <f t="array" ref="AZ14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32" s="84" cm="1">
        <f t="array" ref="BA14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32" s="84" cm="1">
        <f t="array" ref="BB14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32" s="84">
        <f>IF(SUM(Table3[[#This Row],[Column2]:[Column18]])&gt;Table3[[#This Row],[Column19]],Table3[[#This Row],[Column19]],SUM(Table3[[#This Row],[Column2]:[Column18]]))</f>
        <v>10000</v>
      </c>
      <c r="BD1432" s="2">
        <f>Table3[[#This Row],[Total Spend]]/SUM(Table3[[#This Row],[Column2]:[Column18]])</f>
        <v>8.2918739635157543E-2</v>
      </c>
    </row>
    <row r="1433" spans="1:56">
      <c r="A1433" s="84" t="s">
        <v>1508</v>
      </c>
      <c r="B1433" s="84"/>
      <c r="C1433" s="84"/>
      <c r="D1433" s="85">
        <v>45809</v>
      </c>
      <c r="E1433" s="85" t="s">
        <v>92</v>
      </c>
      <c r="F1433" s="84">
        <f>INDEX(Definitions!$G$13:$G$17,MATCH(Table3[[#This Row],[Propensity to buy/ buyer readiness]],Definitions!$A$13:$A$17,0))</f>
        <v>10000</v>
      </c>
      <c r="G1433" s="86">
        <v>3</v>
      </c>
      <c r="H1433" s="86">
        <v>3</v>
      </c>
      <c r="I1433" s="86">
        <v>2</v>
      </c>
      <c r="J1433" s="86">
        <v>3</v>
      </c>
      <c r="K1433" s="86">
        <v>2</v>
      </c>
      <c r="L1433" s="86">
        <f>SUM(Table3[[#This Row],[Strategic priority segment]:[Propensity to buy/ buyer readiness]])</f>
        <v>13</v>
      </c>
      <c r="M1433" s="86" t="s">
        <v>191</v>
      </c>
      <c r="N1433" s="84" t="s">
        <v>135</v>
      </c>
      <c r="O1433" s="84" t="s">
        <v>76</v>
      </c>
      <c r="P1433" s="84"/>
      <c r="Q1433" s="84"/>
      <c r="R1433" s="84"/>
      <c r="S1433" s="84"/>
      <c r="T1433" s="84"/>
      <c r="U1433" s="84">
        <v>0</v>
      </c>
      <c r="V1433" s="84">
        <v>0</v>
      </c>
      <c r="W1433" s="84">
        <v>0</v>
      </c>
      <c r="X1433" s="84">
        <v>0</v>
      </c>
      <c r="Y1433" s="84">
        <v>0</v>
      </c>
      <c r="Z1433" s="84">
        <v>0</v>
      </c>
      <c r="AA1433" s="84">
        <v>0</v>
      </c>
      <c r="AB1433" s="84">
        <v>0</v>
      </c>
      <c r="AC1433" s="84">
        <v>0</v>
      </c>
      <c r="AD1433" s="84">
        <v>0</v>
      </c>
      <c r="AE1433" s="84">
        <v>0</v>
      </c>
      <c r="AF1433" s="84">
        <v>0</v>
      </c>
      <c r="AG1433" s="84">
        <v>0</v>
      </c>
      <c r="AH1433" s="84">
        <v>1</v>
      </c>
      <c r="AI1433" s="84">
        <v>1</v>
      </c>
      <c r="AJ1433" s="84">
        <v>1</v>
      </c>
      <c r="AK1433" s="84">
        <v>1</v>
      </c>
      <c r="AL1433" s="84" cm="1">
        <f t="array" ref="AL14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33" s="84" cm="1">
        <f t="array" ref="AM14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3" s="84" cm="1">
        <f t="array" ref="AN14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3" s="84" cm="1">
        <f t="array" ref="AO14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3" s="84" cm="1">
        <f t="array" ref="AP14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3" s="84" cm="1">
        <f t="array" ref="AQ14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3" s="84" cm="1">
        <f t="array" ref="AR14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3" s="84" cm="1">
        <f t="array" ref="AS14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3" s="84" cm="1">
        <f t="array" ref="AT14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3" s="84" cm="1">
        <f t="array" ref="AU14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3" s="84" cm="1">
        <f t="array" ref="AV14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3" s="84" cm="1">
        <f t="array" ref="AW14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3" s="84" cm="1">
        <f t="array" ref="AX14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3" s="84" cm="1">
        <f t="array" ref="AY14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33" s="84" cm="1">
        <f t="array" ref="AZ14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33" s="84" cm="1">
        <f t="array" ref="BA14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33" s="84" cm="1">
        <f t="array" ref="BB14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33" s="84">
        <f>IF(SUM(Table3[[#This Row],[Column2]:[Column18]])&gt;Table3[[#This Row],[Column19]],Table3[[#This Row],[Column19]],SUM(Table3[[#This Row],[Column2]:[Column18]]))</f>
        <v>10000</v>
      </c>
      <c r="BD1433" s="2">
        <f>Table3[[#This Row],[Total Spend]]/SUM(Table3[[#This Row],[Column2]:[Column18]])</f>
        <v>0.21574973031283712</v>
      </c>
    </row>
    <row r="1434" spans="1:56">
      <c r="A1434" s="84" t="s">
        <v>1509</v>
      </c>
      <c r="B1434" s="84"/>
      <c r="C1434" s="84"/>
      <c r="D1434" s="85">
        <v>45566</v>
      </c>
      <c r="E1434" s="85" t="s">
        <v>92</v>
      </c>
      <c r="F1434" s="84">
        <f>INDEX(Definitions!$G$13:$G$17,MATCH(Table3[[#This Row],[Propensity to buy/ buyer readiness]],Definitions!$A$13:$A$17,0))</f>
        <v>10000</v>
      </c>
      <c r="G1434" s="86">
        <v>3</v>
      </c>
      <c r="H1434" s="86">
        <v>3</v>
      </c>
      <c r="I1434" s="86">
        <v>2</v>
      </c>
      <c r="J1434" s="86">
        <v>3</v>
      </c>
      <c r="K1434" s="86">
        <v>2</v>
      </c>
      <c r="L1434" s="86">
        <f>SUM(Table3[[#This Row],[Strategic priority segment]:[Propensity to buy/ buyer readiness]])</f>
        <v>13</v>
      </c>
      <c r="M1434" s="86" t="s">
        <v>152</v>
      </c>
      <c r="N1434" s="84" t="s">
        <v>264</v>
      </c>
      <c r="O1434" s="84"/>
      <c r="P1434" s="84"/>
      <c r="Q1434" s="84"/>
      <c r="R1434" s="84"/>
      <c r="S1434" s="87"/>
      <c r="T1434" s="87"/>
      <c r="U1434" s="84">
        <v>1</v>
      </c>
      <c r="V1434" s="84">
        <v>0</v>
      </c>
      <c r="W1434" s="84">
        <v>0</v>
      </c>
      <c r="X1434" s="84">
        <v>0</v>
      </c>
      <c r="Y1434" s="84">
        <v>0</v>
      </c>
      <c r="Z1434" s="84">
        <v>0</v>
      </c>
      <c r="AA1434" s="84">
        <v>0</v>
      </c>
      <c r="AB1434" s="84">
        <v>0</v>
      </c>
      <c r="AC1434" s="84">
        <v>0</v>
      </c>
      <c r="AD1434" s="84">
        <v>0</v>
      </c>
      <c r="AE1434" s="84">
        <v>0</v>
      </c>
      <c r="AF1434" s="84">
        <v>0</v>
      </c>
      <c r="AG1434" s="84">
        <v>0</v>
      </c>
      <c r="AH1434" s="84">
        <v>0</v>
      </c>
      <c r="AI1434" s="84">
        <v>0</v>
      </c>
      <c r="AJ1434" s="84">
        <v>0</v>
      </c>
      <c r="AK1434" s="84">
        <v>0</v>
      </c>
      <c r="AL1434" s="84" cm="1">
        <f t="array" ref="AL14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34" s="84" cm="1">
        <f t="array" ref="AM14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4" s="84" cm="1">
        <f t="array" ref="AN14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4" s="84" cm="1">
        <f t="array" ref="AO14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4" s="84" cm="1">
        <f t="array" ref="AP14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4" s="84" cm="1">
        <f t="array" ref="AQ14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4" s="84" cm="1">
        <f t="array" ref="AR14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4" s="84" cm="1">
        <f t="array" ref="AS14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4" s="84" cm="1">
        <f t="array" ref="AT14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4" s="84" cm="1">
        <f t="array" ref="AU14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4" s="84" cm="1">
        <f t="array" ref="AV14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4" s="84" cm="1">
        <f t="array" ref="AW14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4" s="84" cm="1">
        <f t="array" ref="AX14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4" s="84" cm="1">
        <f t="array" ref="AY14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34" s="84" cm="1">
        <f t="array" ref="AZ14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34" s="84" cm="1">
        <f t="array" ref="BA14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34" s="84" cm="1">
        <f t="array" ref="BB14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34" s="84">
        <f>IF(SUM(Table3[[#This Row],[Column2]:[Column18]])&gt;Table3[[#This Row],[Column19]],Table3[[#This Row],[Column19]],SUM(Table3[[#This Row],[Column2]:[Column18]]))</f>
        <v>8100</v>
      </c>
      <c r="BD1434" s="2">
        <f>Table3[[#This Row],[Total Spend]]/SUM(Table3[[#This Row],[Column2]:[Column18]])</f>
        <v>1</v>
      </c>
    </row>
    <row r="1435" spans="1:56" ht="28.5">
      <c r="A1435" s="87" t="s">
        <v>1510</v>
      </c>
      <c r="B1435" s="87"/>
      <c r="C1435" s="87"/>
      <c r="D1435" s="85">
        <v>45566</v>
      </c>
      <c r="E1435" s="85" t="s">
        <v>92</v>
      </c>
      <c r="F1435" s="84">
        <f>INDEX(Definitions!$G$13:$G$17,MATCH(Table3[[#This Row],[Propensity to buy/ buyer readiness]],Definitions!$A$13:$A$17,0))</f>
        <v>10000</v>
      </c>
      <c r="G1435" s="86">
        <v>3</v>
      </c>
      <c r="H1435" s="86">
        <v>3</v>
      </c>
      <c r="I1435" s="86">
        <v>2</v>
      </c>
      <c r="J1435" s="86">
        <v>3</v>
      </c>
      <c r="K1435" s="86">
        <v>2</v>
      </c>
      <c r="L1435" s="86">
        <f>SUM(Table3[[#This Row],[Strategic priority segment]:[Propensity to buy/ buyer readiness]])</f>
        <v>13</v>
      </c>
      <c r="M1435" s="86" t="s">
        <v>191</v>
      </c>
      <c r="N1435" s="84" t="s">
        <v>135</v>
      </c>
      <c r="O1435" s="87"/>
      <c r="P1435" s="87"/>
      <c r="Q1435" s="87"/>
      <c r="R1435" s="84"/>
      <c r="S1435" s="87"/>
      <c r="T1435" s="87"/>
      <c r="U1435" s="84">
        <v>0</v>
      </c>
      <c r="V1435" s="84">
        <v>0</v>
      </c>
      <c r="W1435" s="84">
        <v>0</v>
      </c>
      <c r="X1435" s="84">
        <v>0</v>
      </c>
      <c r="Y1435" s="84">
        <v>0</v>
      </c>
      <c r="Z1435" s="84">
        <v>0</v>
      </c>
      <c r="AA1435" s="84">
        <v>0</v>
      </c>
      <c r="AB1435" s="84">
        <v>0</v>
      </c>
      <c r="AC1435" s="84">
        <v>0</v>
      </c>
      <c r="AD1435" s="84">
        <v>0</v>
      </c>
      <c r="AE1435" s="84">
        <v>0</v>
      </c>
      <c r="AF1435" s="84">
        <v>0</v>
      </c>
      <c r="AG1435" s="84">
        <v>0</v>
      </c>
      <c r="AH1435" s="84">
        <v>1</v>
      </c>
      <c r="AI1435" s="84">
        <v>1</v>
      </c>
      <c r="AJ1435" s="84">
        <v>1</v>
      </c>
      <c r="AK1435" s="84">
        <v>1</v>
      </c>
      <c r="AL1435" s="84" cm="1">
        <f t="array" ref="AL14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35" s="84" cm="1">
        <f t="array" ref="AM14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5" s="84" cm="1">
        <f t="array" ref="AN14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5" s="84" cm="1">
        <f t="array" ref="AO14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5" s="84" cm="1">
        <f t="array" ref="AP14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5" s="84" cm="1">
        <f t="array" ref="AQ14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5" s="84" cm="1">
        <f t="array" ref="AR14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5" s="84" cm="1">
        <f t="array" ref="AS14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5" s="84" cm="1">
        <f t="array" ref="AT14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5" s="84" cm="1">
        <f t="array" ref="AU14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5" s="84" cm="1">
        <f t="array" ref="AV14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5" s="84" cm="1">
        <f t="array" ref="AW14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5" s="84" cm="1">
        <f t="array" ref="AX14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5" s="84" cm="1">
        <f t="array" ref="AY14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35" s="84" cm="1">
        <f t="array" ref="AZ14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35" s="84" cm="1">
        <f t="array" ref="BA14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35" s="84" cm="1">
        <f t="array" ref="BB14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35" s="84">
        <f>IF(SUM(Table3[[#This Row],[Column2]:[Column18]])&gt;Table3[[#This Row],[Column19]],Table3[[#This Row],[Column19]],SUM(Table3[[#This Row],[Column2]:[Column18]]))</f>
        <v>10000</v>
      </c>
      <c r="BD1435" s="2">
        <f>Table3[[#This Row],[Total Spend]]/SUM(Table3[[#This Row],[Column2]:[Column18]])</f>
        <v>0.21574973031283712</v>
      </c>
    </row>
    <row r="1436" spans="1:56">
      <c r="A1436" s="84" t="s">
        <v>1511</v>
      </c>
      <c r="B1436" s="84"/>
      <c r="C1436" s="84"/>
      <c r="D1436" s="85">
        <v>45566</v>
      </c>
      <c r="E1436" s="85" t="s">
        <v>92</v>
      </c>
      <c r="F1436" s="84">
        <f>INDEX(Definitions!$G$13:$G$17,MATCH(Table3[[#This Row],[Propensity to buy/ buyer readiness]],Definitions!$A$13:$A$17,0))</f>
        <v>10000</v>
      </c>
      <c r="G1436" s="86">
        <v>3</v>
      </c>
      <c r="H1436" s="86">
        <v>3</v>
      </c>
      <c r="I1436" s="86">
        <v>2</v>
      </c>
      <c r="J1436" s="86">
        <v>3</v>
      </c>
      <c r="K1436" s="86">
        <v>2</v>
      </c>
      <c r="L1436" s="86">
        <f>SUM(Table3[[#This Row],[Strategic priority segment]:[Propensity to buy/ buyer readiness]])</f>
        <v>13</v>
      </c>
      <c r="M1436" s="86" t="s">
        <v>152</v>
      </c>
      <c r="N1436" s="84" t="s">
        <v>264</v>
      </c>
      <c r="O1436" s="84"/>
      <c r="P1436" s="87"/>
      <c r="Q1436" s="87"/>
      <c r="R1436" s="84"/>
      <c r="S1436" s="87"/>
      <c r="T1436" s="87"/>
      <c r="U1436" s="84">
        <v>1</v>
      </c>
      <c r="V1436" s="84">
        <v>0</v>
      </c>
      <c r="W1436" s="84">
        <v>0</v>
      </c>
      <c r="X1436" s="84">
        <v>0</v>
      </c>
      <c r="Y1436" s="84">
        <v>0</v>
      </c>
      <c r="Z1436" s="84">
        <v>0</v>
      </c>
      <c r="AA1436" s="84">
        <v>0</v>
      </c>
      <c r="AB1436" s="84">
        <v>0</v>
      </c>
      <c r="AC1436" s="84">
        <v>0</v>
      </c>
      <c r="AD1436" s="84">
        <v>0</v>
      </c>
      <c r="AE1436" s="84">
        <v>0</v>
      </c>
      <c r="AF1436" s="84">
        <v>0</v>
      </c>
      <c r="AG1436" s="84">
        <v>0</v>
      </c>
      <c r="AH1436" s="84">
        <v>0</v>
      </c>
      <c r="AI1436" s="84">
        <v>0</v>
      </c>
      <c r="AJ1436" s="84">
        <v>0</v>
      </c>
      <c r="AK1436" s="84">
        <v>0</v>
      </c>
      <c r="AL1436" s="84" cm="1">
        <f t="array" ref="AL14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36" s="84" cm="1">
        <f t="array" ref="AM14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6" s="84" cm="1">
        <f t="array" ref="AN14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6" s="84" cm="1">
        <f t="array" ref="AO14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6" s="84" cm="1">
        <f t="array" ref="AP14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6" s="84" cm="1">
        <f t="array" ref="AQ14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6" s="84" cm="1">
        <f t="array" ref="AR14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6" s="84" cm="1">
        <f t="array" ref="AS14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6" s="84" cm="1">
        <f t="array" ref="AT14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6" s="84" cm="1">
        <f t="array" ref="AU14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6" s="84" cm="1">
        <f t="array" ref="AV14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6" s="84" cm="1">
        <f t="array" ref="AW14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6" s="84" cm="1">
        <f t="array" ref="AX14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6" s="84" cm="1">
        <f t="array" ref="AY14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36" s="84" cm="1">
        <f t="array" ref="AZ14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36" s="84" cm="1">
        <f t="array" ref="BA14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36" s="84" cm="1">
        <f t="array" ref="BB14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36" s="84">
        <f>IF(SUM(Table3[[#This Row],[Column2]:[Column18]])&gt;Table3[[#This Row],[Column19]],Table3[[#This Row],[Column19]],SUM(Table3[[#This Row],[Column2]:[Column18]]))</f>
        <v>8100</v>
      </c>
      <c r="BD1436" s="2">
        <f>Table3[[#This Row],[Total Spend]]/SUM(Table3[[#This Row],[Column2]:[Column18]])</f>
        <v>1</v>
      </c>
    </row>
    <row r="1437" spans="1:56">
      <c r="A1437" s="87" t="s">
        <v>1512</v>
      </c>
      <c r="B1437" s="87"/>
      <c r="C1437" s="87"/>
      <c r="D1437" s="85">
        <v>45566</v>
      </c>
      <c r="E1437" s="85" t="s">
        <v>92</v>
      </c>
      <c r="F1437" s="84">
        <f>INDEX(Definitions!$G$13:$G$17,MATCH(Table3[[#This Row],[Propensity to buy/ buyer readiness]],Definitions!$A$13:$A$17,0))</f>
        <v>10000</v>
      </c>
      <c r="G1437" s="86">
        <v>3</v>
      </c>
      <c r="H1437" s="86">
        <v>3</v>
      </c>
      <c r="I1437" s="86">
        <v>2</v>
      </c>
      <c r="J1437" s="86">
        <v>3</v>
      </c>
      <c r="K1437" s="86">
        <v>2</v>
      </c>
      <c r="L1437" s="86">
        <f>SUM(Table3[[#This Row],[Strategic priority segment]:[Propensity to buy/ buyer readiness]])</f>
        <v>13</v>
      </c>
      <c r="M1437" s="86" t="s">
        <v>191</v>
      </c>
      <c r="N1437" s="84" t="s">
        <v>135</v>
      </c>
      <c r="O1437" s="87"/>
      <c r="P1437" s="87"/>
      <c r="Q1437" s="87"/>
      <c r="R1437" s="84"/>
      <c r="S1437" s="87"/>
      <c r="T1437" s="87"/>
      <c r="U1437" s="84">
        <v>0</v>
      </c>
      <c r="V1437" s="84">
        <v>0</v>
      </c>
      <c r="W1437" s="84">
        <v>0</v>
      </c>
      <c r="X1437" s="84">
        <v>0</v>
      </c>
      <c r="Y1437" s="84">
        <v>0</v>
      </c>
      <c r="Z1437" s="84">
        <v>0</v>
      </c>
      <c r="AA1437" s="84">
        <v>0</v>
      </c>
      <c r="AB1437" s="84">
        <v>0</v>
      </c>
      <c r="AC1437" s="84">
        <v>0</v>
      </c>
      <c r="AD1437" s="84">
        <v>0</v>
      </c>
      <c r="AE1437" s="84">
        <v>0</v>
      </c>
      <c r="AF1437" s="84">
        <v>0</v>
      </c>
      <c r="AG1437" s="84">
        <v>0</v>
      </c>
      <c r="AH1437" s="84">
        <v>1</v>
      </c>
      <c r="AI1437" s="84">
        <v>1</v>
      </c>
      <c r="AJ1437" s="84">
        <v>1</v>
      </c>
      <c r="AK1437" s="84">
        <v>1</v>
      </c>
      <c r="AL1437" s="84" cm="1">
        <f t="array" ref="AL14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37" s="84" cm="1">
        <f t="array" ref="AM14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7" s="84" cm="1">
        <f t="array" ref="AN14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7" s="84" cm="1">
        <f t="array" ref="AO14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7" s="84" cm="1">
        <f t="array" ref="AP14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7" s="84" cm="1">
        <f t="array" ref="AQ14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7" s="84" cm="1">
        <f t="array" ref="AR14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7" s="84" cm="1">
        <f t="array" ref="AS14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7" s="84" cm="1">
        <f t="array" ref="AT14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7" s="84" cm="1">
        <f t="array" ref="AU14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7" s="84" cm="1">
        <f t="array" ref="AV14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7" s="84" cm="1">
        <f t="array" ref="AW14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7" s="84" cm="1">
        <f t="array" ref="AX14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7" s="84" cm="1">
        <f t="array" ref="AY14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37" s="84" cm="1">
        <f t="array" ref="AZ14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37" s="84" cm="1">
        <f t="array" ref="BA14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37" s="84" cm="1">
        <f t="array" ref="BB14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37" s="84">
        <f>IF(SUM(Table3[[#This Row],[Column2]:[Column18]])&gt;Table3[[#This Row],[Column19]],Table3[[#This Row],[Column19]],SUM(Table3[[#This Row],[Column2]:[Column18]]))</f>
        <v>10000</v>
      </c>
      <c r="BD1437" s="2">
        <f>Table3[[#This Row],[Total Spend]]/SUM(Table3[[#This Row],[Column2]:[Column18]])</f>
        <v>0.21574973031283712</v>
      </c>
    </row>
    <row r="1438" spans="1:56">
      <c r="A1438" s="84" t="s">
        <v>1513</v>
      </c>
      <c r="B1438" s="84"/>
      <c r="C1438" s="84"/>
      <c r="D1438" s="85">
        <v>45566</v>
      </c>
      <c r="E1438" s="85" t="s">
        <v>92</v>
      </c>
      <c r="F1438" s="84">
        <f>INDEX(Definitions!$G$13:$G$17,MATCH(Table3[[#This Row],[Propensity to buy/ buyer readiness]],Definitions!$A$13:$A$17,0))</f>
        <v>10000</v>
      </c>
      <c r="G1438" s="86">
        <v>3</v>
      </c>
      <c r="H1438" s="86">
        <v>3</v>
      </c>
      <c r="I1438" s="86">
        <v>2</v>
      </c>
      <c r="J1438" s="86">
        <v>3</v>
      </c>
      <c r="K1438" s="86">
        <v>2</v>
      </c>
      <c r="L1438" s="86">
        <f>SUM(Table3[[#This Row],[Strategic priority segment]:[Propensity to buy/ buyer readiness]])</f>
        <v>13</v>
      </c>
      <c r="M1438" s="86" t="s">
        <v>152</v>
      </c>
      <c r="N1438" s="84" t="s">
        <v>264</v>
      </c>
      <c r="O1438" s="84"/>
      <c r="P1438" s="84"/>
      <c r="Q1438" s="84"/>
      <c r="R1438" s="84"/>
      <c r="S1438" s="87"/>
      <c r="T1438" s="87"/>
      <c r="U1438" s="84">
        <v>1</v>
      </c>
      <c r="V1438" s="84">
        <v>0</v>
      </c>
      <c r="W1438" s="84">
        <v>0</v>
      </c>
      <c r="X1438" s="84">
        <v>0</v>
      </c>
      <c r="Y1438" s="84">
        <v>0</v>
      </c>
      <c r="Z1438" s="84">
        <v>0</v>
      </c>
      <c r="AA1438" s="84">
        <v>0</v>
      </c>
      <c r="AB1438" s="84">
        <v>0</v>
      </c>
      <c r="AC1438" s="84">
        <v>0</v>
      </c>
      <c r="AD1438" s="84">
        <v>0</v>
      </c>
      <c r="AE1438" s="84">
        <v>0</v>
      </c>
      <c r="AF1438" s="84">
        <v>0</v>
      </c>
      <c r="AG1438" s="84">
        <v>0</v>
      </c>
      <c r="AH1438" s="84">
        <v>0</v>
      </c>
      <c r="AI1438" s="84">
        <v>0</v>
      </c>
      <c r="AJ1438" s="84">
        <v>0</v>
      </c>
      <c r="AK1438" s="84">
        <v>0</v>
      </c>
      <c r="AL1438" s="84" cm="1">
        <f t="array" ref="AL14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38" s="84" cm="1">
        <f t="array" ref="AM14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8" s="84" cm="1">
        <f t="array" ref="AN14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8" s="84" cm="1">
        <f t="array" ref="AO14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8" s="84" cm="1">
        <f t="array" ref="AP14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8" s="84" cm="1">
        <f t="array" ref="AQ14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8" s="84" cm="1">
        <f t="array" ref="AR14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8" s="84" cm="1">
        <f t="array" ref="AS14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8" s="84" cm="1">
        <f t="array" ref="AT14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8" s="84" cm="1">
        <f t="array" ref="AU14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8" s="84" cm="1">
        <f t="array" ref="AV14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8" s="84" cm="1">
        <f t="array" ref="AW14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8" s="84" cm="1">
        <f t="array" ref="AX14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8" s="84" cm="1">
        <f t="array" ref="AY14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38" s="84" cm="1">
        <f t="array" ref="AZ14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38" s="84" cm="1">
        <f t="array" ref="BA14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38" s="84" cm="1">
        <f t="array" ref="BB14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38" s="84">
        <f>IF(SUM(Table3[[#This Row],[Column2]:[Column18]])&gt;Table3[[#This Row],[Column19]],Table3[[#This Row],[Column19]],SUM(Table3[[#This Row],[Column2]:[Column18]]))</f>
        <v>8100</v>
      </c>
      <c r="BD1438" s="2">
        <f>Table3[[#This Row],[Total Spend]]/SUM(Table3[[#This Row],[Column2]:[Column18]])</f>
        <v>1</v>
      </c>
    </row>
    <row r="1439" spans="1:56" ht="42.75">
      <c r="A1439" s="87" t="s">
        <v>1514</v>
      </c>
      <c r="B1439" s="87"/>
      <c r="C1439" s="87"/>
      <c r="D1439" s="85">
        <v>45566</v>
      </c>
      <c r="E1439" s="85" t="s">
        <v>92</v>
      </c>
      <c r="F1439" s="84">
        <f>INDEX(Definitions!$G$13:$G$17,MATCH(Table3[[#This Row],[Propensity to buy/ buyer readiness]],Definitions!$A$13:$A$17,0))</f>
        <v>10000</v>
      </c>
      <c r="G1439" s="86">
        <v>3</v>
      </c>
      <c r="H1439" s="86">
        <v>3</v>
      </c>
      <c r="I1439" s="86">
        <v>2</v>
      </c>
      <c r="J1439" s="86">
        <v>3</v>
      </c>
      <c r="K1439" s="86">
        <v>2</v>
      </c>
      <c r="L1439" s="86">
        <f>SUM(Table3[[#This Row],[Strategic priority segment]:[Propensity to buy/ buyer readiness]])</f>
        <v>13</v>
      </c>
      <c r="M1439" s="86" t="s">
        <v>191</v>
      </c>
      <c r="N1439" s="84" t="s">
        <v>135</v>
      </c>
      <c r="O1439" s="87"/>
      <c r="P1439" s="87"/>
      <c r="Q1439" s="87"/>
      <c r="R1439" s="84"/>
      <c r="S1439" s="87"/>
      <c r="T1439" s="87"/>
      <c r="U1439" s="84">
        <v>0</v>
      </c>
      <c r="V1439" s="84">
        <v>0</v>
      </c>
      <c r="W1439" s="84">
        <v>0</v>
      </c>
      <c r="X1439" s="84">
        <v>0</v>
      </c>
      <c r="Y1439" s="84">
        <v>0</v>
      </c>
      <c r="Z1439" s="84">
        <v>0</v>
      </c>
      <c r="AA1439" s="84">
        <v>0</v>
      </c>
      <c r="AB1439" s="84">
        <v>0</v>
      </c>
      <c r="AC1439" s="84">
        <v>0</v>
      </c>
      <c r="AD1439" s="84">
        <v>0</v>
      </c>
      <c r="AE1439" s="84">
        <v>0</v>
      </c>
      <c r="AF1439" s="84">
        <v>0</v>
      </c>
      <c r="AG1439" s="84">
        <v>0</v>
      </c>
      <c r="AH1439" s="84">
        <v>1</v>
      </c>
      <c r="AI1439" s="84">
        <v>1</v>
      </c>
      <c r="AJ1439" s="84">
        <v>1</v>
      </c>
      <c r="AK1439" s="84">
        <v>1</v>
      </c>
      <c r="AL1439" s="84" cm="1">
        <f t="array" ref="AL14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39" s="84" cm="1">
        <f t="array" ref="AM14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39" s="84" cm="1">
        <f t="array" ref="AN14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39" s="84" cm="1">
        <f t="array" ref="AO14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39" s="84" cm="1">
        <f t="array" ref="AP14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39" s="84" cm="1">
        <f t="array" ref="AQ14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39" s="84" cm="1">
        <f t="array" ref="AR14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39" s="84" cm="1">
        <f t="array" ref="AS14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39" s="84" cm="1">
        <f t="array" ref="AT14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39" s="84" cm="1">
        <f t="array" ref="AU14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39" s="84" cm="1">
        <f t="array" ref="AV14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39" s="84" cm="1">
        <f t="array" ref="AW14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39" s="84" cm="1">
        <f t="array" ref="AX14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39" s="84" cm="1">
        <f t="array" ref="AY14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39" s="84" cm="1">
        <f t="array" ref="AZ14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39" s="84" cm="1">
        <f t="array" ref="BA14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39" s="84" cm="1">
        <f t="array" ref="BB14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39" s="84">
        <f>IF(SUM(Table3[[#This Row],[Column2]:[Column18]])&gt;Table3[[#This Row],[Column19]],Table3[[#This Row],[Column19]],SUM(Table3[[#This Row],[Column2]:[Column18]]))</f>
        <v>10000</v>
      </c>
      <c r="BD1439" s="2">
        <f>Table3[[#This Row],[Total Spend]]/SUM(Table3[[#This Row],[Column2]:[Column18]])</f>
        <v>0.21574973031283712</v>
      </c>
    </row>
    <row r="1440" spans="1:56">
      <c r="A1440" s="84" t="s">
        <v>1515</v>
      </c>
      <c r="B1440" s="84"/>
      <c r="C1440" s="84"/>
      <c r="D1440" s="85">
        <v>45566</v>
      </c>
      <c r="E1440" s="85" t="s">
        <v>92</v>
      </c>
      <c r="F1440" s="84">
        <f>INDEX(Definitions!$G$13:$G$17,MATCH(Table3[[#This Row],[Propensity to buy/ buyer readiness]],Definitions!$A$13:$A$17,0))</f>
        <v>10000</v>
      </c>
      <c r="G1440" s="86">
        <v>3</v>
      </c>
      <c r="H1440" s="86">
        <v>3</v>
      </c>
      <c r="I1440" s="86">
        <v>2</v>
      </c>
      <c r="J1440" s="86">
        <v>3</v>
      </c>
      <c r="K1440" s="86">
        <v>2</v>
      </c>
      <c r="L1440" s="86">
        <f>SUM(Table3[[#This Row],[Strategic priority segment]:[Propensity to buy/ buyer readiness]])</f>
        <v>13</v>
      </c>
      <c r="M1440" s="86" t="s">
        <v>152</v>
      </c>
      <c r="N1440" s="84" t="s">
        <v>264</v>
      </c>
      <c r="O1440" s="84"/>
      <c r="P1440" s="87"/>
      <c r="Q1440" s="87"/>
      <c r="R1440" s="84"/>
      <c r="S1440" s="87"/>
      <c r="T1440" s="87"/>
      <c r="U1440" s="84">
        <v>1</v>
      </c>
      <c r="V1440" s="84">
        <v>0</v>
      </c>
      <c r="W1440" s="84">
        <v>0</v>
      </c>
      <c r="X1440" s="84">
        <v>0</v>
      </c>
      <c r="Y1440" s="84">
        <v>0</v>
      </c>
      <c r="Z1440" s="84">
        <v>0</v>
      </c>
      <c r="AA1440" s="84">
        <v>0</v>
      </c>
      <c r="AB1440" s="84">
        <v>0</v>
      </c>
      <c r="AC1440" s="84">
        <v>0</v>
      </c>
      <c r="AD1440" s="84">
        <v>0</v>
      </c>
      <c r="AE1440" s="84">
        <v>0</v>
      </c>
      <c r="AF1440" s="84">
        <v>0</v>
      </c>
      <c r="AG1440" s="84">
        <v>0</v>
      </c>
      <c r="AH1440" s="84">
        <v>0</v>
      </c>
      <c r="AI1440" s="84">
        <v>0</v>
      </c>
      <c r="AJ1440" s="84">
        <v>0</v>
      </c>
      <c r="AK1440" s="84">
        <v>0</v>
      </c>
      <c r="AL1440" s="84" cm="1">
        <f t="array" ref="AL14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40" s="84" cm="1">
        <f t="array" ref="AM14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0" s="84" cm="1">
        <f t="array" ref="AN14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0" s="84" cm="1">
        <f t="array" ref="AO14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0" s="84" cm="1">
        <f t="array" ref="AP14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0" s="84" cm="1">
        <f t="array" ref="AQ14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0" s="84" cm="1">
        <f t="array" ref="AR14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0" s="84" cm="1">
        <f t="array" ref="AS14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0" s="84" cm="1">
        <f t="array" ref="AT14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0" s="84" cm="1">
        <f t="array" ref="AU14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0" s="84" cm="1">
        <f t="array" ref="AV14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0" s="84" cm="1">
        <f t="array" ref="AW14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0" s="84" cm="1">
        <f t="array" ref="AX14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0" s="84" cm="1">
        <f t="array" ref="AY14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40" s="84" cm="1">
        <f t="array" ref="AZ14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40" s="84" cm="1">
        <f t="array" ref="BA14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40" s="84" cm="1">
        <f t="array" ref="BB14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40" s="84">
        <f>IF(SUM(Table3[[#This Row],[Column2]:[Column18]])&gt;Table3[[#This Row],[Column19]],Table3[[#This Row],[Column19]],SUM(Table3[[#This Row],[Column2]:[Column18]]))</f>
        <v>8100</v>
      </c>
      <c r="BD1440" s="2">
        <f>Table3[[#This Row],[Total Spend]]/SUM(Table3[[#This Row],[Column2]:[Column18]])</f>
        <v>1</v>
      </c>
    </row>
    <row r="1441" spans="1:56" ht="42.75">
      <c r="A1441" s="87" t="s">
        <v>1516</v>
      </c>
      <c r="B1441" s="87"/>
      <c r="C1441" s="87"/>
      <c r="D1441" s="85">
        <v>45566</v>
      </c>
      <c r="E1441" s="85" t="s">
        <v>92</v>
      </c>
      <c r="F1441" s="84">
        <f>INDEX(Definitions!$G$13:$G$17,MATCH(Table3[[#This Row],[Propensity to buy/ buyer readiness]],Definitions!$A$13:$A$17,0))</f>
        <v>10000</v>
      </c>
      <c r="G1441" s="86">
        <v>3</v>
      </c>
      <c r="H1441" s="86">
        <v>3</v>
      </c>
      <c r="I1441" s="86">
        <v>2</v>
      </c>
      <c r="J1441" s="86">
        <v>3</v>
      </c>
      <c r="K1441" s="86">
        <v>2</v>
      </c>
      <c r="L1441" s="86">
        <f>SUM(Table3[[#This Row],[Strategic priority segment]:[Propensity to buy/ buyer readiness]])</f>
        <v>13</v>
      </c>
      <c r="M1441" s="86" t="s">
        <v>191</v>
      </c>
      <c r="N1441" s="84" t="s">
        <v>135</v>
      </c>
      <c r="O1441" s="87"/>
      <c r="P1441" s="87"/>
      <c r="Q1441" s="87"/>
      <c r="R1441" s="84"/>
      <c r="S1441" s="87"/>
      <c r="T1441" s="87"/>
      <c r="U1441" s="84">
        <v>0</v>
      </c>
      <c r="V1441" s="84">
        <v>0</v>
      </c>
      <c r="W1441" s="84">
        <v>0</v>
      </c>
      <c r="X1441" s="84">
        <v>0</v>
      </c>
      <c r="Y1441" s="84">
        <v>0</v>
      </c>
      <c r="Z1441" s="84">
        <v>0</v>
      </c>
      <c r="AA1441" s="84">
        <v>0</v>
      </c>
      <c r="AB1441" s="84">
        <v>0</v>
      </c>
      <c r="AC1441" s="84">
        <v>0</v>
      </c>
      <c r="AD1441" s="84">
        <v>0</v>
      </c>
      <c r="AE1441" s="84">
        <v>0</v>
      </c>
      <c r="AF1441" s="84">
        <v>0</v>
      </c>
      <c r="AG1441" s="84">
        <v>0</v>
      </c>
      <c r="AH1441" s="84">
        <v>1</v>
      </c>
      <c r="AI1441" s="84">
        <v>1</v>
      </c>
      <c r="AJ1441" s="84">
        <v>1</v>
      </c>
      <c r="AK1441" s="84">
        <v>1</v>
      </c>
      <c r="AL1441" s="84" cm="1">
        <f t="array" ref="AL14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1" s="84" cm="1">
        <f t="array" ref="AM14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1" s="84" cm="1">
        <f t="array" ref="AN14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1" s="84" cm="1">
        <f t="array" ref="AO14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1" s="84" cm="1">
        <f t="array" ref="AP14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1" s="84" cm="1">
        <f t="array" ref="AQ14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1" s="84" cm="1">
        <f t="array" ref="AR14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1" s="84" cm="1">
        <f t="array" ref="AS14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1" s="84" cm="1">
        <f t="array" ref="AT14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1" s="84" cm="1">
        <f t="array" ref="AU14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1" s="84" cm="1">
        <f t="array" ref="AV14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1" s="84" cm="1">
        <f t="array" ref="AW14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1" s="84" cm="1">
        <f t="array" ref="AX14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1" s="84" cm="1">
        <f t="array" ref="AY14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1" s="84" cm="1">
        <f t="array" ref="AZ14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1" s="84" cm="1">
        <f t="array" ref="BA14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1" s="84" cm="1">
        <f t="array" ref="BB14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1" s="84">
        <f>IF(SUM(Table3[[#This Row],[Column2]:[Column18]])&gt;Table3[[#This Row],[Column19]],Table3[[#This Row],[Column19]],SUM(Table3[[#This Row],[Column2]:[Column18]]))</f>
        <v>10000</v>
      </c>
      <c r="BD1441" s="2">
        <f>Table3[[#This Row],[Total Spend]]/SUM(Table3[[#This Row],[Column2]:[Column18]])</f>
        <v>0.21574973031283712</v>
      </c>
    </row>
    <row r="1442" spans="1:56" ht="28.5">
      <c r="A1442" s="87" t="s">
        <v>1517</v>
      </c>
      <c r="B1442" s="87"/>
      <c r="C1442" s="87"/>
      <c r="D1442" s="85">
        <v>45566</v>
      </c>
      <c r="E1442" s="85" t="s">
        <v>92</v>
      </c>
      <c r="F1442" s="84">
        <f>INDEX(Definitions!$G$13:$G$17,MATCH(Table3[[#This Row],[Propensity to buy/ buyer readiness]],Definitions!$A$13:$A$17,0))</f>
        <v>10000</v>
      </c>
      <c r="G1442" s="86">
        <v>3</v>
      </c>
      <c r="H1442" s="86">
        <v>3</v>
      </c>
      <c r="I1442" s="86">
        <v>2</v>
      </c>
      <c r="J1442" s="86">
        <v>3</v>
      </c>
      <c r="K1442" s="86">
        <v>2</v>
      </c>
      <c r="L1442" s="86">
        <f>SUM(Table3[[#This Row],[Strategic priority segment]:[Propensity to buy/ buyer readiness]])</f>
        <v>13</v>
      </c>
      <c r="M1442" s="86" t="s">
        <v>191</v>
      </c>
      <c r="N1442" s="84" t="s">
        <v>135</v>
      </c>
      <c r="O1442" s="87"/>
      <c r="P1442" s="87"/>
      <c r="Q1442" s="87"/>
      <c r="R1442" s="84"/>
      <c r="S1442" s="87"/>
      <c r="T1442" s="87"/>
      <c r="U1442" s="84">
        <v>0</v>
      </c>
      <c r="V1442" s="84">
        <v>0</v>
      </c>
      <c r="W1442" s="84">
        <v>0</v>
      </c>
      <c r="X1442" s="84">
        <v>0</v>
      </c>
      <c r="Y1442" s="84">
        <v>0</v>
      </c>
      <c r="Z1442" s="84">
        <v>0</v>
      </c>
      <c r="AA1442" s="84">
        <v>0</v>
      </c>
      <c r="AB1442" s="84">
        <v>0</v>
      </c>
      <c r="AC1442" s="84">
        <v>0</v>
      </c>
      <c r="AD1442" s="84">
        <v>0</v>
      </c>
      <c r="AE1442" s="84">
        <v>0</v>
      </c>
      <c r="AF1442" s="84">
        <v>0</v>
      </c>
      <c r="AG1442" s="84">
        <v>0</v>
      </c>
      <c r="AH1442" s="84">
        <v>1</v>
      </c>
      <c r="AI1442" s="84">
        <v>1</v>
      </c>
      <c r="AJ1442" s="84">
        <v>1</v>
      </c>
      <c r="AK1442" s="84">
        <v>1</v>
      </c>
      <c r="AL1442" s="84" cm="1">
        <f t="array" ref="AL14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2" s="84" cm="1">
        <f t="array" ref="AM14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2" s="84" cm="1">
        <f t="array" ref="AN14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2" s="84" cm="1">
        <f t="array" ref="AO14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2" s="84" cm="1">
        <f t="array" ref="AP14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2" s="84" cm="1">
        <f t="array" ref="AQ14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2" s="84" cm="1">
        <f t="array" ref="AR14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2" s="84" cm="1">
        <f t="array" ref="AS14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2" s="84" cm="1">
        <f t="array" ref="AT14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2" s="84" cm="1">
        <f t="array" ref="AU14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2" s="84" cm="1">
        <f t="array" ref="AV14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2" s="84" cm="1">
        <f t="array" ref="AW14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2" s="84" cm="1">
        <f t="array" ref="AX14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2" s="84" cm="1">
        <f t="array" ref="AY14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2" s="84" cm="1">
        <f t="array" ref="AZ14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2" s="84" cm="1">
        <f t="array" ref="BA14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2" s="84" cm="1">
        <f t="array" ref="BB14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2" s="84">
        <f>IF(SUM(Table3[[#This Row],[Column2]:[Column18]])&gt;Table3[[#This Row],[Column19]],Table3[[#This Row],[Column19]],SUM(Table3[[#This Row],[Column2]:[Column18]]))</f>
        <v>10000</v>
      </c>
      <c r="BD1442" s="2">
        <f>Table3[[#This Row],[Total Spend]]/SUM(Table3[[#This Row],[Column2]:[Column18]])</f>
        <v>0.21574973031283712</v>
      </c>
    </row>
    <row r="1443" spans="1:56">
      <c r="A1443" s="84" t="s">
        <v>1518</v>
      </c>
      <c r="B1443" s="84"/>
      <c r="C1443" s="84"/>
      <c r="D1443" s="85">
        <v>45566</v>
      </c>
      <c r="E1443" s="85" t="s">
        <v>92</v>
      </c>
      <c r="F1443" s="84">
        <f>INDEX(Definitions!$G$13:$G$17,MATCH(Table3[[#This Row],[Propensity to buy/ buyer readiness]],Definitions!$A$13:$A$17,0))</f>
        <v>10000</v>
      </c>
      <c r="G1443" s="86">
        <v>3</v>
      </c>
      <c r="H1443" s="86">
        <v>3</v>
      </c>
      <c r="I1443" s="86">
        <v>2</v>
      </c>
      <c r="J1443" s="86">
        <v>3</v>
      </c>
      <c r="K1443" s="86">
        <v>2</v>
      </c>
      <c r="L1443" s="86">
        <f>SUM(Table3[[#This Row],[Strategic priority segment]:[Propensity to buy/ buyer readiness]])</f>
        <v>13</v>
      </c>
      <c r="M1443" s="86" t="s">
        <v>152</v>
      </c>
      <c r="N1443" s="84" t="s">
        <v>264</v>
      </c>
      <c r="O1443" s="84"/>
      <c r="P1443" s="84"/>
      <c r="Q1443" s="84"/>
      <c r="R1443" s="84"/>
      <c r="S1443" s="84"/>
      <c r="T1443" s="84"/>
      <c r="U1443" s="84">
        <v>1</v>
      </c>
      <c r="V1443" s="84">
        <v>0</v>
      </c>
      <c r="W1443" s="84">
        <v>0</v>
      </c>
      <c r="X1443" s="84">
        <v>0</v>
      </c>
      <c r="Y1443" s="84">
        <v>0</v>
      </c>
      <c r="Z1443" s="84">
        <v>0</v>
      </c>
      <c r="AA1443" s="84">
        <v>0</v>
      </c>
      <c r="AB1443" s="84">
        <v>0</v>
      </c>
      <c r="AC1443" s="84">
        <v>0</v>
      </c>
      <c r="AD1443" s="84">
        <v>0</v>
      </c>
      <c r="AE1443" s="84">
        <v>0</v>
      </c>
      <c r="AF1443" s="84">
        <v>0</v>
      </c>
      <c r="AG1443" s="84">
        <v>0</v>
      </c>
      <c r="AH1443" s="84">
        <v>0</v>
      </c>
      <c r="AI1443" s="84">
        <v>0</v>
      </c>
      <c r="AJ1443" s="84">
        <v>0</v>
      </c>
      <c r="AK1443" s="84">
        <v>0</v>
      </c>
      <c r="AL1443" s="84" cm="1">
        <f t="array" ref="AL14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43" s="84" cm="1">
        <f t="array" ref="AM14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3" s="84" cm="1">
        <f t="array" ref="AN14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3" s="84" cm="1">
        <f t="array" ref="AO14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3" s="84" cm="1">
        <f t="array" ref="AP14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3" s="84" cm="1">
        <f t="array" ref="AQ14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3" s="84" cm="1">
        <f t="array" ref="AR14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3" s="84" cm="1">
        <f t="array" ref="AS14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3" s="84" cm="1">
        <f t="array" ref="AT14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3" s="84" cm="1">
        <f t="array" ref="AU14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3" s="84" cm="1">
        <f t="array" ref="AV14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3" s="84" cm="1">
        <f t="array" ref="AW14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3" s="84" cm="1">
        <f t="array" ref="AX14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3" s="84" cm="1">
        <f t="array" ref="AY14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43" s="84" cm="1">
        <f t="array" ref="AZ14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43" s="84" cm="1">
        <f t="array" ref="BA14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43" s="84" cm="1">
        <f t="array" ref="BB14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43" s="84">
        <f>IF(SUM(Table3[[#This Row],[Column2]:[Column18]])&gt;Table3[[#This Row],[Column19]],Table3[[#This Row],[Column19]],SUM(Table3[[#This Row],[Column2]:[Column18]]))</f>
        <v>8100</v>
      </c>
      <c r="BD1443" s="2">
        <f>Table3[[#This Row],[Total Spend]]/SUM(Table3[[#This Row],[Column2]:[Column18]])</f>
        <v>1</v>
      </c>
    </row>
    <row r="1444" spans="1:56">
      <c r="A1444" s="84" t="s">
        <v>1519</v>
      </c>
      <c r="B1444" s="84"/>
      <c r="C1444" s="84"/>
      <c r="D1444" s="85">
        <v>45809</v>
      </c>
      <c r="E1444" s="85" t="s">
        <v>92</v>
      </c>
      <c r="F1444" s="84">
        <f>INDEX(Definitions!$G$13:$G$17,MATCH(Table3[[#This Row],[Propensity to buy/ buyer readiness]],Definitions!$A$13:$A$17,0))</f>
        <v>10000</v>
      </c>
      <c r="G1444" s="86">
        <v>3</v>
      </c>
      <c r="H1444" s="86">
        <v>3</v>
      </c>
      <c r="I1444" s="86">
        <v>2</v>
      </c>
      <c r="J1444" s="86">
        <v>3</v>
      </c>
      <c r="K1444" s="86">
        <v>2</v>
      </c>
      <c r="L1444" s="86">
        <f>SUM(Table3[[#This Row],[Strategic priority segment]:[Propensity to buy/ buyer readiness]])</f>
        <v>13</v>
      </c>
      <c r="M1444" s="86" t="s">
        <v>152</v>
      </c>
      <c r="N1444" s="84" t="s">
        <v>264</v>
      </c>
      <c r="O1444" s="84"/>
      <c r="P1444" s="87"/>
      <c r="Q1444" s="87"/>
      <c r="R1444" s="84"/>
      <c r="S1444" s="87"/>
      <c r="T1444" s="87"/>
      <c r="U1444" s="84">
        <v>1</v>
      </c>
      <c r="V1444" s="84">
        <v>0</v>
      </c>
      <c r="W1444" s="84">
        <v>0</v>
      </c>
      <c r="X1444" s="84">
        <v>0</v>
      </c>
      <c r="Y1444" s="84">
        <v>0</v>
      </c>
      <c r="Z1444" s="84">
        <v>0</v>
      </c>
      <c r="AA1444" s="84">
        <v>0</v>
      </c>
      <c r="AB1444" s="84">
        <v>0</v>
      </c>
      <c r="AC1444" s="84">
        <v>0</v>
      </c>
      <c r="AD1444" s="84">
        <v>0</v>
      </c>
      <c r="AE1444" s="84">
        <v>0</v>
      </c>
      <c r="AF1444" s="84">
        <v>0</v>
      </c>
      <c r="AG1444" s="84">
        <v>0</v>
      </c>
      <c r="AH1444" s="84">
        <v>0</v>
      </c>
      <c r="AI1444" s="84">
        <v>0</v>
      </c>
      <c r="AJ1444" s="84">
        <v>0</v>
      </c>
      <c r="AK1444" s="84">
        <v>0</v>
      </c>
      <c r="AL1444" s="84" cm="1">
        <f t="array" ref="AL14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44" s="84" cm="1">
        <f t="array" ref="AM14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4" s="84" cm="1">
        <f t="array" ref="AN14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4" s="84" cm="1">
        <f t="array" ref="AO14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4" s="84" cm="1">
        <f t="array" ref="AP14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4" s="84" cm="1">
        <f t="array" ref="AQ14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4" s="84" cm="1">
        <f t="array" ref="AR14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4" s="84" cm="1">
        <f t="array" ref="AS14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4" s="84" cm="1">
        <f t="array" ref="AT14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4" s="84" cm="1">
        <f t="array" ref="AU14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4" s="84" cm="1">
        <f t="array" ref="AV14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4" s="84" cm="1">
        <f t="array" ref="AW14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4" s="84" cm="1">
        <f t="array" ref="AX14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4" s="84" cm="1">
        <f t="array" ref="AY14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44" s="84" cm="1">
        <f t="array" ref="AZ14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44" s="84" cm="1">
        <f t="array" ref="BA14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44" s="84" cm="1">
        <f t="array" ref="BB14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44" s="84">
        <f>IF(SUM(Table3[[#This Row],[Column2]:[Column18]])&gt;Table3[[#This Row],[Column19]],Table3[[#This Row],[Column19]],SUM(Table3[[#This Row],[Column2]:[Column18]]))</f>
        <v>8100</v>
      </c>
      <c r="BD1444" s="2">
        <f>Table3[[#This Row],[Total Spend]]/SUM(Table3[[#This Row],[Column2]:[Column18]])</f>
        <v>1</v>
      </c>
    </row>
    <row r="1445" spans="1:56">
      <c r="A1445" s="87" t="s">
        <v>1520</v>
      </c>
      <c r="B1445" s="87"/>
      <c r="C1445" s="87"/>
      <c r="D1445" s="85">
        <v>45566</v>
      </c>
      <c r="E1445" s="85" t="s">
        <v>92</v>
      </c>
      <c r="F1445" s="84">
        <f>INDEX(Definitions!$G$13:$G$17,MATCH(Table3[[#This Row],[Propensity to buy/ buyer readiness]],Definitions!$A$13:$A$17,0))</f>
        <v>10000</v>
      </c>
      <c r="G1445" s="86">
        <v>3</v>
      </c>
      <c r="H1445" s="86">
        <v>3</v>
      </c>
      <c r="I1445" s="86">
        <v>2</v>
      </c>
      <c r="J1445" s="86">
        <v>3</v>
      </c>
      <c r="K1445" s="86">
        <v>2</v>
      </c>
      <c r="L1445" s="86">
        <f>SUM(Table3[[#This Row],[Strategic priority segment]:[Propensity to buy/ buyer readiness]])</f>
        <v>13</v>
      </c>
      <c r="M1445" s="86" t="s">
        <v>191</v>
      </c>
      <c r="N1445" s="84" t="s">
        <v>135</v>
      </c>
      <c r="O1445" s="87"/>
      <c r="P1445" s="87"/>
      <c r="Q1445" s="87"/>
      <c r="R1445" s="84"/>
      <c r="S1445" s="87"/>
      <c r="T1445" s="84"/>
      <c r="U1445" s="84">
        <v>0</v>
      </c>
      <c r="V1445" s="84">
        <v>0</v>
      </c>
      <c r="W1445" s="84">
        <v>0</v>
      </c>
      <c r="X1445" s="84">
        <v>0</v>
      </c>
      <c r="Y1445" s="84">
        <v>0</v>
      </c>
      <c r="Z1445" s="84">
        <v>0</v>
      </c>
      <c r="AA1445" s="84">
        <v>0</v>
      </c>
      <c r="AB1445" s="84">
        <v>0</v>
      </c>
      <c r="AC1445" s="84">
        <v>0</v>
      </c>
      <c r="AD1445" s="84">
        <v>0</v>
      </c>
      <c r="AE1445" s="84">
        <v>0</v>
      </c>
      <c r="AF1445" s="84">
        <v>0</v>
      </c>
      <c r="AG1445" s="84">
        <v>0</v>
      </c>
      <c r="AH1445" s="84">
        <v>1</v>
      </c>
      <c r="AI1445" s="84">
        <v>1</v>
      </c>
      <c r="AJ1445" s="84">
        <v>1</v>
      </c>
      <c r="AK1445" s="84">
        <v>1</v>
      </c>
      <c r="AL1445" s="84" cm="1">
        <f t="array" ref="AL14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5" s="84" cm="1">
        <f t="array" ref="AM14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5" s="84" cm="1">
        <f t="array" ref="AN14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5" s="84" cm="1">
        <f t="array" ref="AO14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5" s="84" cm="1">
        <f t="array" ref="AP14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5" s="84" cm="1">
        <f t="array" ref="AQ14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5" s="84" cm="1">
        <f t="array" ref="AR14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5" s="84" cm="1">
        <f t="array" ref="AS14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5" s="84" cm="1">
        <f t="array" ref="AT14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5" s="84" cm="1">
        <f t="array" ref="AU14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5" s="84" cm="1">
        <f t="array" ref="AV14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5" s="84" cm="1">
        <f t="array" ref="AW14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5" s="84" cm="1">
        <f t="array" ref="AX14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5" s="84" cm="1">
        <f t="array" ref="AY14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5" s="84" cm="1">
        <f t="array" ref="AZ14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5" s="84" cm="1">
        <f t="array" ref="BA14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5" s="84" cm="1">
        <f t="array" ref="BB14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5" s="84">
        <f>IF(SUM(Table3[[#This Row],[Column2]:[Column18]])&gt;Table3[[#This Row],[Column19]],Table3[[#This Row],[Column19]],SUM(Table3[[#This Row],[Column2]:[Column18]]))</f>
        <v>10000</v>
      </c>
      <c r="BD1445" s="2">
        <f>Table3[[#This Row],[Total Spend]]/SUM(Table3[[#This Row],[Column2]:[Column18]])</f>
        <v>0.21574973031283712</v>
      </c>
    </row>
    <row r="1446" spans="1:56" ht="42.75">
      <c r="A1446" s="87" t="s">
        <v>1521</v>
      </c>
      <c r="B1446" s="87"/>
      <c r="C1446" s="87"/>
      <c r="D1446" s="85">
        <v>45566</v>
      </c>
      <c r="E1446" s="85" t="s">
        <v>92</v>
      </c>
      <c r="F1446" s="84">
        <f>INDEX(Definitions!$G$13:$G$17,MATCH(Table3[[#This Row],[Propensity to buy/ buyer readiness]],Definitions!$A$13:$A$17,0))</f>
        <v>10000</v>
      </c>
      <c r="G1446" s="86">
        <v>3</v>
      </c>
      <c r="H1446" s="86">
        <v>3</v>
      </c>
      <c r="I1446" s="86">
        <v>2</v>
      </c>
      <c r="J1446" s="86">
        <v>3</v>
      </c>
      <c r="K1446" s="86">
        <v>2</v>
      </c>
      <c r="L1446" s="86">
        <f>SUM(Table3[[#This Row],[Strategic priority segment]:[Propensity to buy/ buyer readiness]])</f>
        <v>13</v>
      </c>
      <c r="M1446" s="86" t="s">
        <v>191</v>
      </c>
      <c r="N1446" s="84" t="s">
        <v>135</v>
      </c>
      <c r="O1446" s="87"/>
      <c r="P1446" s="87"/>
      <c r="Q1446" s="87"/>
      <c r="R1446" s="84"/>
      <c r="S1446" s="87"/>
      <c r="T1446" s="87"/>
      <c r="U1446" s="84">
        <v>0</v>
      </c>
      <c r="V1446" s="84">
        <v>0</v>
      </c>
      <c r="W1446" s="84">
        <v>0</v>
      </c>
      <c r="X1446" s="84">
        <v>0</v>
      </c>
      <c r="Y1446" s="84">
        <v>0</v>
      </c>
      <c r="Z1446" s="84">
        <v>0</v>
      </c>
      <c r="AA1446" s="84">
        <v>0</v>
      </c>
      <c r="AB1446" s="84">
        <v>0</v>
      </c>
      <c r="AC1446" s="84">
        <v>0</v>
      </c>
      <c r="AD1446" s="84">
        <v>0</v>
      </c>
      <c r="AE1446" s="84">
        <v>0</v>
      </c>
      <c r="AF1446" s="84">
        <v>0</v>
      </c>
      <c r="AG1446" s="84">
        <v>0</v>
      </c>
      <c r="AH1446" s="84">
        <v>1</v>
      </c>
      <c r="AI1446" s="84">
        <v>1</v>
      </c>
      <c r="AJ1446" s="84">
        <v>1</v>
      </c>
      <c r="AK1446" s="84">
        <v>1</v>
      </c>
      <c r="AL1446" s="84" cm="1">
        <f t="array" ref="AL14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6" s="84" cm="1">
        <f t="array" ref="AM14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6" s="84" cm="1">
        <f t="array" ref="AN14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6" s="84" cm="1">
        <f t="array" ref="AO14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6" s="84" cm="1">
        <f t="array" ref="AP14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6" s="84" cm="1">
        <f t="array" ref="AQ14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6" s="84" cm="1">
        <f t="array" ref="AR14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6" s="84" cm="1">
        <f t="array" ref="AS14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6" s="84" cm="1">
        <f t="array" ref="AT14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6" s="84" cm="1">
        <f t="array" ref="AU14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6" s="84" cm="1">
        <f t="array" ref="AV14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6" s="84" cm="1">
        <f t="array" ref="AW14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6" s="84" cm="1">
        <f t="array" ref="AX14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6" s="84" cm="1">
        <f t="array" ref="AY14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6" s="84" cm="1">
        <f t="array" ref="AZ14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6" s="84" cm="1">
        <f t="array" ref="BA14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6" s="84" cm="1">
        <f t="array" ref="BB14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6" s="84">
        <f>IF(SUM(Table3[[#This Row],[Column2]:[Column18]])&gt;Table3[[#This Row],[Column19]],Table3[[#This Row],[Column19]],SUM(Table3[[#This Row],[Column2]:[Column18]]))</f>
        <v>10000</v>
      </c>
      <c r="BD1446" s="2">
        <f>Table3[[#This Row],[Total Spend]]/SUM(Table3[[#This Row],[Column2]:[Column18]])</f>
        <v>0.21574973031283712</v>
      </c>
    </row>
    <row r="1447" spans="1:56" ht="42.75">
      <c r="A1447" s="87" t="s">
        <v>1522</v>
      </c>
      <c r="B1447" s="87"/>
      <c r="C1447" s="87"/>
      <c r="D1447" s="85">
        <v>45566</v>
      </c>
      <c r="E1447" s="85" t="s">
        <v>92</v>
      </c>
      <c r="F1447" s="84">
        <f>INDEX(Definitions!$G$13:$G$17,MATCH(Table3[[#This Row],[Propensity to buy/ buyer readiness]],Definitions!$A$13:$A$17,0))</f>
        <v>10000</v>
      </c>
      <c r="G1447" s="86">
        <v>3</v>
      </c>
      <c r="H1447" s="86">
        <v>3</v>
      </c>
      <c r="I1447" s="86">
        <v>2</v>
      </c>
      <c r="J1447" s="86">
        <v>3</v>
      </c>
      <c r="K1447" s="86">
        <v>2</v>
      </c>
      <c r="L1447" s="86">
        <f>SUM(Table3[[#This Row],[Strategic priority segment]:[Propensity to buy/ buyer readiness]])</f>
        <v>13</v>
      </c>
      <c r="M1447" s="86" t="s">
        <v>191</v>
      </c>
      <c r="N1447" s="84" t="s">
        <v>135</v>
      </c>
      <c r="O1447" s="87"/>
      <c r="P1447" s="87"/>
      <c r="Q1447" s="87"/>
      <c r="R1447" s="84"/>
      <c r="S1447" s="87"/>
      <c r="T1447" s="84"/>
      <c r="U1447" s="84">
        <v>0</v>
      </c>
      <c r="V1447" s="84">
        <v>0</v>
      </c>
      <c r="W1447" s="84">
        <v>0</v>
      </c>
      <c r="X1447" s="84">
        <v>0</v>
      </c>
      <c r="Y1447" s="84">
        <v>0</v>
      </c>
      <c r="Z1447" s="84">
        <v>0</v>
      </c>
      <c r="AA1447" s="84">
        <v>0</v>
      </c>
      <c r="AB1447" s="84">
        <v>0</v>
      </c>
      <c r="AC1447" s="84">
        <v>0</v>
      </c>
      <c r="AD1447" s="84">
        <v>0</v>
      </c>
      <c r="AE1447" s="84">
        <v>0</v>
      </c>
      <c r="AF1447" s="84">
        <v>0</v>
      </c>
      <c r="AG1447" s="84">
        <v>0</v>
      </c>
      <c r="AH1447" s="84">
        <v>1</v>
      </c>
      <c r="AI1447" s="84">
        <v>1</v>
      </c>
      <c r="AJ1447" s="84">
        <v>1</v>
      </c>
      <c r="AK1447" s="84">
        <v>1</v>
      </c>
      <c r="AL1447" s="84" cm="1">
        <f t="array" ref="AL14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7" s="84" cm="1">
        <f t="array" ref="AM14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7" s="84" cm="1">
        <f t="array" ref="AN14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7" s="84" cm="1">
        <f t="array" ref="AO14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7" s="84" cm="1">
        <f t="array" ref="AP14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7" s="84" cm="1">
        <f t="array" ref="AQ14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7" s="84" cm="1">
        <f t="array" ref="AR14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7" s="84" cm="1">
        <f t="array" ref="AS14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7" s="84" cm="1">
        <f t="array" ref="AT14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7" s="84" cm="1">
        <f t="array" ref="AU14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7" s="84" cm="1">
        <f t="array" ref="AV14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7" s="84" cm="1">
        <f t="array" ref="AW14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7" s="84" cm="1">
        <f t="array" ref="AX14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7" s="84" cm="1">
        <f t="array" ref="AY14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7" s="84" cm="1">
        <f t="array" ref="AZ14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7" s="84" cm="1">
        <f t="array" ref="BA14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7" s="84" cm="1">
        <f t="array" ref="BB14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7" s="84">
        <f>IF(SUM(Table3[[#This Row],[Column2]:[Column18]])&gt;Table3[[#This Row],[Column19]],Table3[[#This Row],[Column19]],SUM(Table3[[#This Row],[Column2]:[Column18]]))</f>
        <v>10000</v>
      </c>
      <c r="BD1447" s="2">
        <f>Table3[[#This Row],[Total Spend]]/SUM(Table3[[#This Row],[Column2]:[Column18]])</f>
        <v>0.21574973031283712</v>
      </c>
    </row>
    <row r="1448" spans="1:56">
      <c r="A1448" s="87" t="s">
        <v>1523</v>
      </c>
      <c r="B1448" s="87"/>
      <c r="C1448" s="87"/>
      <c r="D1448" s="85">
        <v>45566</v>
      </c>
      <c r="E1448" s="85" t="s">
        <v>92</v>
      </c>
      <c r="F1448" s="84">
        <f>INDEX(Definitions!$G$13:$G$17,MATCH(Table3[[#This Row],[Propensity to buy/ buyer readiness]],Definitions!$A$13:$A$17,0))</f>
        <v>10000</v>
      </c>
      <c r="G1448" s="86">
        <v>3</v>
      </c>
      <c r="H1448" s="86">
        <v>3</v>
      </c>
      <c r="I1448" s="86">
        <v>2</v>
      </c>
      <c r="J1448" s="86">
        <v>3</v>
      </c>
      <c r="K1448" s="86">
        <v>2</v>
      </c>
      <c r="L1448" s="86">
        <f>SUM(Table3[[#This Row],[Strategic priority segment]:[Propensity to buy/ buyer readiness]])</f>
        <v>13</v>
      </c>
      <c r="M1448" s="86" t="s">
        <v>191</v>
      </c>
      <c r="N1448" s="84" t="s">
        <v>135</v>
      </c>
      <c r="O1448" s="87"/>
      <c r="P1448" s="87"/>
      <c r="Q1448" s="87"/>
      <c r="R1448" s="84"/>
      <c r="S1448" s="87"/>
      <c r="T1448" s="84"/>
      <c r="U1448" s="84">
        <v>0</v>
      </c>
      <c r="V1448" s="84">
        <v>0</v>
      </c>
      <c r="W1448" s="84">
        <v>0</v>
      </c>
      <c r="X1448" s="84">
        <v>0</v>
      </c>
      <c r="Y1448" s="84">
        <v>0</v>
      </c>
      <c r="Z1448" s="84">
        <v>0</v>
      </c>
      <c r="AA1448" s="84">
        <v>0</v>
      </c>
      <c r="AB1448" s="84">
        <v>0</v>
      </c>
      <c r="AC1448" s="84">
        <v>0</v>
      </c>
      <c r="AD1448" s="84">
        <v>0</v>
      </c>
      <c r="AE1448" s="84">
        <v>0</v>
      </c>
      <c r="AF1448" s="84">
        <v>0</v>
      </c>
      <c r="AG1448" s="84">
        <v>0</v>
      </c>
      <c r="AH1448" s="84">
        <v>1</v>
      </c>
      <c r="AI1448" s="84">
        <v>1</v>
      </c>
      <c r="AJ1448" s="84">
        <v>1</v>
      </c>
      <c r="AK1448" s="84">
        <v>1</v>
      </c>
      <c r="AL1448" s="84" cm="1">
        <f t="array" ref="AL14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8" s="84" cm="1">
        <f t="array" ref="AM14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8" s="84" cm="1">
        <f t="array" ref="AN14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8" s="84" cm="1">
        <f t="array" ref="AO14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8" s="84" cm="1">
        <f t="array" ref="AP14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8" s="84" cm="1">
        <f t="array" ref="AQ14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8" s="84" cm="1">
        <f t="array" ref="AR14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8" s="84" cm="1">
        <f t="array" ref="AS14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8" s="84" cm="1">
        <f t="array" ref="AT14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8" s="84" cm="1">
        <f t="array" ref="AU14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8" s="84" cm="1">
        <f t="array" ref="AV14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8" s="84" cm="1">
        <f t="array" ref="AW14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8" s="84" cm="1">
        <f t="array" ref="AX14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8" s="84" cm="1">
        <f t="array" ref="AY14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8" s="84" cm="1">
        <f t="array" ref="AZ14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8" s="84" cm="1">
        <f t="array" ref="BA14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8" s="84" cm="1">
        <f t="array" ref="BB14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8" s="84">
        <f>IF(SUM(Table3[[#This Row],[Column2]:[Column18]])&gt;Table3[[#This Row],[Column19]],Table3[[#This Row],[Column19]],SUM(Table3[[#This Row],[Column2]:[Column18]]))</f>
        <v>10000</v>
      </c>
      <c r="BD1448" s="2">
        <f>Table3[[#This Row],[Total Spend]]/SUM(Table3[[#This Row],[Column2]:[Column18]])</f>
        <v>0.21574973031283712</v>
      </c>
    </row>
    <row r="1449" spans="1:56" ht="28.5">
      <c r="A1449" s="87" t="s">
        <v>1524</v>
      </c>
      <c r="B1449" s="87"/>
      <c r="C1449" s="87"/>
      <c r="D1449" s="85">
        <v>45566</v>
      </c>
      <c r="E1449" s="85" t="s">
        <v>92</v>
      </c>
      <c r="F1449" s="84">
        <f>INDEX(Definitions!$G$13:$G$17,MATCH(Table3[[#This Row],[Propensity to buy/ buyer readiness]],Definitions!$A$13:$A$17,0))</f>
        <v>10000</v>
      </c>
      <c r="G1449" s="86">
        <v>3</v>
      </c>
      <c r="H1449" s="86">
        <v>3</v>
      </c>
      <c r="I1449" s="86">
        <v>2</v>
      </c>
      <c r="J1449" s="86">
        <v>3</v>
      </c>
      <c r="K1449" s="86">
        <v>2</v>
      </c>
      <c r="L1449" s="86">
        <f>SUM(Table3[[#This Row],[Strategic priority segment]:[Propensity to buy/ buyer readiness]])</f>
        <v>13</v>
      </c>
      <c r="M1449" s="86" t="s">
        <v>191</v>
      </c>
      <c r="N1449" s="84" t="s">
        <v>135</v>
      </c>
      <c r="O1449" s="87"/>
      <c r="P1449" s="87"/>
      <c r="Q1449" s="87"/>
      <c r="R1449" s="84"/>
      <c r="S1449" s="87"/>
      <c r="T1449" s="87"/>
      <c r="U1449" s="84">
        <v>0</v>
      </c>
      <c r="V1449" s="84">
        <v>0</v>
      </c>
      <c r="W1449" s="84">
        <v>0</v>
      </c>
      <c r="X1449" s="84">
        <v>0</v>
      </c>
      <c r="Y1449" s="84">
        <v>0</v>
      </c>
      <c r="Z1449" s="84">
        <v>0</v>
      </c>
      <c r="AA1449" s="84">
        <v>0</v>
      </c>
      <c r="AB1449" s="84">
        <v>0</v>
      </c>
      <c r="AC1449" s="84">
        <v>0</v>
      </c>
      <c r="AD1449" s="84">
        <v>0</v>
      </c>
      <c r="AE1449" s="84">
        <v>0</v>
      </c>
      <c r="AF1449" s="84">
        <v>0</v>
      </c>
      <c r="AG1449" s="84">
        <v>0</v>
      </c>
      <c r="AH1449" s="84">
        <v>1</v>
      </c>
      <c r="AI1449" s="84">
        <v>1</v>
      </c>
      <c r="AJ1449" s="84">
        <v>1</v>
      </c>
      <c r="AK1449" s="84">
        <v>1</v>
      </c>
      <c r="AL1449" s="84" cm="1">
        <f t="array" ref="AL14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49" s="84" cm="1">
        <f t="array" ref="AM14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49" s="84" cm="1">
        <f t="array" ref="AN14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49" s="84" cm="1">
        <f t="array" ref="AO14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49" s="84" cm="1">
        <f t="array" ref="AP14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49" s="84" cm="1">
        <f t="array" ref="AQ14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49" s="84" cm="1">
        <f t="array" ref="AR14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49" s="84" cm="1">
        <f t="array" ref="AS14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49" s="84" cm="1">
        <f t="array" ref="AT14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49" s="84" cm="1">
        <f t="array" ref="AU14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49" s="84" cm="1">
        <f t="array" ref="AV14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49" s="84" cm="1">
        <f t="array" ref="AW14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49" s="84" cm="1">
        <f t="array" ref="AX14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49" s="84" cm="1">
        <f t="array" ref="AY14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49" s="84" cm="1">
        <f t="array" ref="AZ14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49" s="84" cm="1">
        <f t="array" ref="BA14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49" s="84" cm="1">
        <f t="array" ref="BB14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49" s="84">
        <f>IF(SUM(Table3[[#This Row],[Column2]:[Column18]])&gt;Table3[[#This Row],[Column19]],Table3[[#This Row],[Column19]],SUM(Table3[[#This Row],[Column2]:[Column18]]))</f>
        <v>10000</v>
      </c>
      <c r="BD1449" s="2">
        <f>Table3[[#This Row],[Total Spend]]/SUM(Table3[[#This Row],[Column2]:[Column18]])</f>
        <v>0.21574973031283712</v>
      </c>
    </row>
    <row r="1450" spans="1:56">
      <c r="A1450" s="84" t="s">
        <v>1525</v>
      </c>
      <c r="B1450" s="84"/>
      <c r="C1450" s="84"/>
      <c r="D1450" s="85">
        <v>45566</v>
      </c>
      <c r="E1450" s="85" t="s">
        <v>92</v>
      </c>
      <c r="F1450" s="84">
        <f>INDEX(Definitions!$G$13:$G$17,MATCH(Table3[[#This Row],[Propensity to buy/ buyer readiness]],Definitions!$A$13:$A$17,0))</f>
        <v>10000</v>
      </c>
      <c r="G1450" s="86">
        <v>3</v>
      </c>
      <c r="H1450" s="86">
        <v>3</v>
      </c>
      <c r="I1450" s="86">
        <v>2</v>
      </c>
      <c r="J1450" s="86">
        <v>3</v>
      </c>
      <c r="K1450" s="86">
        <v>2</v>
      </c>
      <c r="L1450" s="86">
        <f>SUM(Table3[[#This Row],[Strategic priority segment]:[Propensity to buy/ buyer readiness]])</f>
        <v>13</v>
      </c>
      <c r="M1450" s="86" t="s">
        <v>152</v>
      </c>
      <c r="N1450" s="84" t="s">
        <v>264</v>
      </c>
      <c r="O1450" s="84"/>
      <c r="P1450" s="87"/>
      <c r="Q1450" s="87"/>
      <c r="R1450" s="84"/>
      <c r="S1450" s="87"/>
      <c r="T1450" s="87"/>
      <c r="U1450" s="84">
        <v>1</v>
      </c>
      <c r="V1450" s="84">
        <v>0</v>
      </c>
      <c r="W1450" s="84">
        <v>0</v>
      </c>
      <c r="X1450" s="84">
        <v>0</v>
      </c>
      <c r="Y1450" s="84">
        <v>0</v>
      </c>
      <c r="Z1450" s="84">
        <v>0</v>
      </c>
      <c r="AA1450" s="84">
        <v>0</v>
      </c>
      <c r="AB1450" s="84">
        <v>0</v>
      </c>
      <c r="AC1450" s="84">
        <v>0</v>
      </c>
      <c r="AD1450" s="84">
        <v>0</v>
      </c>
      <c r="AE1450" s="84">
        <v>0</v>
      </c>
      <c r="AF1450" s="84">
        <v>0</v>
      </c>
      <c r="AG1450" s="84">
        <v>0</v>
      </c>
      <c r="AH1450" s="84">
        <v>0</v>
      </c>
      <c r="AI1450" s="84">
        <v>0</v>
      </c>
      <c r="AJ1450" s="84">
        <v>0</v>
      </c>
      <c r="AK1450" s="84">
        <v>0</v>
      </c>
      <c r="AL1450" s="84" cm="1">
        <f t="array" ref="AL14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50" s="84" cm="1">
        <f t="array" ref="AM14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0" s="84" cm="1">
        <f t="array" ref="AN14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0" s="84" cm="1">
        <f t="array" ref="AO14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0" s="84" cm="1">
        <f t="array" ref="AP14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0" s="84" cm="1">
        <f t="array" ref="AQ14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0" s="84" cm="1">
        <f t="array" ref="AR14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0" s="84" cm="1">
        <f t="array" ref="AS14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0" s="84" cm="1">
        <f t="array" ref="AT14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0" s="84" cm="1">
        <f t="array" ref="AU14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0" s="84" cm="1">
        <f t="array" ref="AV14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0" s="84" cm="1">
        <f t="array" ref="AW14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0" s="84" cm="1">
        <f t="array" ref="AX14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0" s="84" cm="1">
        <f t="array" ref="AY14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50" s="84" cm="1">
        <f t="array" ref="AZ14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50" s="84" cm="1">
        <f t="array" ref="BA14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50" s="84" cm="1">
        <f t="array" ref="BB14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50" s="84">
        <f>IF(SUM(Table3[[#This Row],[Column2]:[Column18]])&gt;Table3[[#This Row],[Column19]],Table3[[#This Row],[Column19]],SUM(Table3[[#This Row],[Column2]:[Column18]]))</f>
        <v>8100</v>
      </c>
      <c r="BD1450" s="2">
        <f>Table3[[#This Row],[Total Spend]]/SUM(Table3[[#This Row],[Column2]:[Column18]])</f>
        <v>1</v>
      </c>
    </row>
    <row r="1451" spans="1:56">
      <c r="A1451" s="84" t="s">
        <v>1526</v>
      </c>
      <c r="B1451" s="84"/>
      <c r="C1451" s="84"/>
      <c r="D1451" s="85">
        <v>45809</v>
      </c>
      <c r="E1451" s="85" t="s">
        <v>92</v>
      </c>
      <c r="F1451" s="84">
        <f>INDEX(Definitions!$G$13:$G$17,MATCH(Table3[[#This Row],[Propensity to buy/ buyer readiness]],Definitions!$A$13:$A$17,0))</f>
        <v>10000</v>
      </c>
      <c r="G1451" s="86">
        <v>3</v>
      </c>
      <c r="H1451" s="86">
        <v>3</v>
      </c>
      <c r="I1451" s="86">
        <v>2</v>
      </c>
      <c r="J1451" s="86">
        <v>3</v>
      </c>
      <c r="K1451" s="86">
        <v>2</v>
      </c>
      <c r="L1451" s="86">
        <f>SUM(Table3[[#This Row],[Strategic priority segment]:[Propensity to buy/ buyer readiness]])</f>
        <v>13</v>
      </c>
      <c r="M1451" s="86" t="s">
        <v>152</v>
      </c>
      <c r="N1451" s="84" t="s">
        <v>264</v>
      </c>
      <c r="O1451" s="84"/>
      <c r="P1451" s="87"/>
      <c r="Q1451" s="87"/>
      <c r="R1451" s="84"/>
      <c r="S1451" s="87"/>
      <c r="T1451" s="87"/>
      <c r="U1451" s="84">
        <v>1</v>
      </c>
      <c r="V1451" s="84">
        <v>0</v>
      </c>
      <c r="W1451" s="84">
        <v>0</v>
      </c>
      <c r="X1451" s="84">
        <v>0</v>
      </c>
      <c r="Y1451" s="84">
        <v>0</v>
      </c>
      <c r="Z1451" s="84">
        <v>0</v>
      </c>
      <c r="AA1451" s="84">
        <v>0</v>
      </c>
      <c r="AB1451" s="84">
        <v>0</v>
      </c>
      <c r="AC1451" s="84">
        <v>0</v>
      </c>
      <c r="AD1451" s="84">
        <v>0</v>
      </c>
      <c r="AE1451" s="84">
        <v>0</v>
      </c>
      <c r="AF1451" s="84">
        <v>0</v>
      </c>
      <c r="AG1451" s="84">
        <v>0</v>
      </c>
      <c r="AH1451" s="84">
        <v>0</v>
      </c>
      <c r="AI1451" s="84">
        <v>0</v>
      </c>
      <c r="AJ1451" s="84">
        <v>0</v>
      </c>
      <c r="AK1451" s="84">
        <v>0</v>
      </c>
      <c r="AL1451" s="84" cm="1">
        <f t="array" ref="AL14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51" s="84" cm="1">
        <f t="array" ref="AM14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1" s="84" cm="1">
        <f t="array" ref="AN14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1" s="84" cm="1">
        <f t="array" ref="AO14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1" s="84" cm="1">
        <f t="array" ref="AP14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1" s="84" cm="1">
        <f t="array" ref="AQ14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1" s="84" cm="1">
        <f t="array" ref="AR14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1" s="84" cm="1">
        <f t="array" ref="AS14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1" s="84" cm="1">
        <f t="array" ref="AT14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1" s="84" cm="1">
        <f t="array" ref="AU14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1" s="84" cm="1">
        <f t="array" ref="AV14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1" s="84" cm="1">
        <f t="array" ref="AW14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1" s="84" cm="1">
        <f t="array" ref="AX14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1" s="84" cm="1">
        <f t="array" ref="AY14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51" s="84" cm="1">
        <f t="array" ref="AZ14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51" s="84" cm="1">
        <f t="array" ref="BA14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51" s="84" cm="1">
        <f t="array" ref="BB14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51" s="84">
        <f>IF(SUM(Table3[[#This Row],[Column2]:[Column18]])&gt;Table3[[#This Row],[Column19]],Table3[[#This Row],[Column19]],SUM(Table3[[#This Row],[Column2]:[Column18]]))</f>
        <v>8100</v>
      </c>
      <c r="BD1451" s="2">
        <f>Table3[[#This Row],[Total Spend]]/SUM(Table3[[#This Row],[Column2]:[Column18]])</f>
        <v>1</v>
      </c>
    </row>
    <row r="1452" spans="1:56">
      <c r="A1452" s="84" t="s">
        <v>1527</v>
      </c>
      <c r="B1452" s="84"/>
      <c r="C1452" s="84"/>
      <c r="D1452" s="85">
        <v>45566</v>
      </c>
      <c r="E1452" s="85" t="s">
        <v>92</v>
      </c>
      <c r="F1452" s="84">
        <f>INDEX(Definitions!$G$13:$G$17,MATCH(Table3[[#This Row],[Propensity to buy/ buyer readiness]],Definitions!$A$13:$A$17,0))</f>
        <v>10000</v>
      </c>
      <c r="G1452" s="86">
        <v>3</v>
      </c>
      <c r="H1452" s="86">
        <v>3</v>
      </c>
      <c r="I1452" s="86">
        <v>2</v>
      </c>
      <c r="J1452" s="86">
        <v>3</v>
      </c>
      <c r="K1452" s="86">
        <v>2</v>
      </c>
      <c r="L1452" s="86">
        <f>SUM(Table3[[#This Row],[Strategic priority segment]:[Propensity to buy/ buyer readiness]])</f>
        <v>13</v>
      </c>
      <c r="M1452" s="86" t="s">
        <v>152</v>
      </c>
      <c r="N1452" s="84" t="s">
        <v>264</v>
      </c>
      <c r="O1452" s="84"/>
      <c r="P1452" s="84"/>
      <c r="Q1452" s="84"/>
      <c r="R1452" s="84"/>
      <c r="S1452" s="84"/>
      <c r="T1452" s="84"/>
      <c r="U1452" s="84">
        <v>1</v>
      </c>
      <c r="V1452" s="84">
        <v>0</v>
      </c>
      <c r="W1452" s="84">
        <v>0</v>
      </c>
      <c r="X1452" s="84">
        <v>0</v>
      </c>
      <c r="Y1452" s="84">
        <v>0</v>
      </c>
      <c r="Z1452" s="84">
        <v>0</v>
      </c>
      <c r="AA1452" s="84">
        <v>0</v>
      </c>
      <c r="AB1452" s="84">
        <v>0</v>
      </c>
      <c r="AC1452" s="84">
        <v>0</v>
      </c>
      <c r="AD1452" s="84">
        <v>0</v>
      </c>
      <c r="AE1452" s="84">
        <v>0</v>
      </c>
      <c r="AF1452" s="84">
        <v>0</v>
      </c>
      <c r="AG1452" s="84">
        <v>0</v>
      </c>
      <c r="AH1452" s="84">
        <v>0</v>
      </c>
      <c r="AI1452" s="84">
        <v>0</v>
      </c>
      <c r="AJ1452" s="84">
        <v>0</v>
      </c>
      <c r="AK1452" s="84">
        <v>0</v>
      </c>
      <c r="AL1452" s="84" cm="1">
        <f t="array" ref="AL14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52" s="84" cm="1">
        <f t="array" ref="AM14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2" s="84" cm="1">
        <f t="array" ref="AN14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2" s="84" cm="1">
        <f t="array" ref="AO14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2" s="84" cm="1">
        <f t="array" ref="AP14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2" s="84" cm="1">
        <f t="array" ref="AQ14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2" s="84" cm="1">
        <f t="array" ref="AR14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2" s="84" cm="1">
        <f t="array" ref="AS14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2" s="84" cm="1">
        <f t="array" ref="AT14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2" s="84" cm="1">
        <f t="array" ref="AU14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2" s="84" cm="1">
        <f t="array" ref="AV14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2" s="84" cm="1">
        <f t="array" ref="AW14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2" s="84" cm="1">
        <f t="array" ref="AX14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2" s="84" cm="1">
        <f t="array" ref="AY14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52" s="84" cm="1">
        <f t="array" ref="AZ14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52" s="84" cm="1">
        <f t="array" ref="BA14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52" s="84" cm="1">
        <f t="array" ref="BB14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52" s="84">
        <f>IF(SUM(Table3[[#This Row],[Column2]:[Column18]])&gt;Table3[[#This Row],[Column19]],Table3[[#This Row],[Column19]],SUM(Table3[[#This Row],[Column2]:[Column18]]))</f>
        <v>8100</v>
      </c>
      <c r="BD1452" s="2">
        <f>Table3[[#This Row],[Total Spend]]/SUM(Table3[[#This Row],[Column2]:[Column18]])</f>
        <v>1</v>
      </c>
    </row>
    <row r="1453" spans="1:56" ht="28.5">
      <c r="A1453" s="87" t="s">
        <v>1528</v>
      </c>
      <c r="B1453" s="87"/>
      <c r="C1453" s="87"/>
      <c r="D1453" s="85">
        <v>45566</v>
      </c>
      <c r="E1453" s="85" t="s">
        <v>92</v>
      </c>
      <c r="F1453" s="84">
        <f>INDEX(Definitions!$G$13:$G$17,MATCH(Table3[[#This Row],[Propensity to buy/ buyer readiness]],Definitions!$A$13:$A$17,0))</f>
        <v>10000</v>
      </c>
      <c r="G1453" s="86">
        <v>3</v>
      </c>
      <c r="H1453" s="86">
        <v>3</v>
      </c>
      <c r="I1453" s="86">
        <v>2</v>
      </c>
      <c r="J1453" s="86">
        <v>3</v>
      </c>
      <c r="K1453" s="86">
        <v>2</v>
      </c>
      <c r="L1453" s="86">
        <f>SUM(Table3[[#This Row],[Strategic priority segment]:[Propensity to buy/ buyer readiness]])</f>
        <v>13</v>
      </c>
      <c r="M1453" s="86" t="s">
        <v>191</v>
      </c>
      <c r="N1453" s="84" t="s">
        <v>135</v>
      </c>
      <c r="O1453" s="87"/>
      <c r="P1453" s="87"/>
      <c r="Q1453" s="87"/>
      <c r="R1453" s="84"/>
      <c r="S1453" s="87"/>
      <c r="T1453" s="84"/>
      <c r="U1453" s="84">
        <v>0</v>
      </c>
      <c r="V1453" s="84">
        <v>0</v>
      </c>
      <c r="W1453" s="84">
        <v>0</v>
      </c>
      <c r="X1453" s="84">
        <v>0</v>
      </c>
      <c r="Y1453" s="84">
        <v>0</v>
      </c>
      <c r="Z1453" s="84">
        <v>0</v>
      </c>
      <c r="AA1453" s="84">
        <v>0</v>
      </c>
      <c r="AB1453" s="84">
        <v>0</v>
      </c>
      <c r="AC1453" s="84">
        <v>0</v>
      </c>
      <c r="AD1453" s="84">
        <v>0</v>
      </c>
      <c r="AE1453" s="84">
        <v>0</v>
      </c>
      <c r="AF1453" s="84">
        <v>0</v>
      </c>
      <c r="AG1453" s="84">
        <v>0</v>
      </c>
      <c r="AH1453" s="84">
        <v>1</v>
      </c>
      <c r="AI1453" s="84">
        <v>1</v>
      </c>
      <c r="AJ1453" s="84">
        <v>1</v>
      </c>
      <c r="AK1453" s="84">
        <v>1</v>
      </c>
      <c r="AL1453" s="84" cm="1">
        <f t="array" ref="AL14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53" s="84" cm="1">
        <f t="array" ref="AM14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3" s="84" cm="1">
        <f t="array" ref="AN14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3" s="84" cm="1">
        <f t="array" ref="AO14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3" s="84" cm="1">
        <f t="array" ref="AP14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3" s="84" cm="1">
        <f t="array" ref="AQ14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3" s="84" cm="1">
        <f t="array" ref="AR14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3" s="84" cm="1">
        <f t="array" ref="AS14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3" s="84" cm="1">
        <f t="array" ref="AT14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3" s="84" cm="1">
        <f t="array" ref="AU14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3" s="84" cm="1">
        <f t="array" ref="AV14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3" s="84" cm="1">
        <f t="array" ref="AW14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3" s="84" cm="1">
        <f t="array" ref="AX14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3" s="84" cm="1">
        <f t="array" ref="AY14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53" s="84" cm="1">
        <f t="array" ref="AZ14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53" s="84" cm="1">
        <f t="array" ref="BA14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53" s="84" cm="1">
        <f t="array" ref="BB14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53" s="84">
        <f>IF(SUM(Table3[[#This Row],[Column2]:[Column18]])&gt;Table3[[#This Row],[Column19]],Table3[[#This Row],[Column19]],SUM(Table3[[#This Row],[Column2]:[Column18]]))</f>
        <v>10000</v>
      </c>
      <c r="BD1453" s="2">
        <f>Table3[[#This Row],[Total Spend]]/SUM(Table3[[#This Row],[Column2]:[Column18]])</f>
        <v>0.21574973031283712</v>
      </c>
    </row>
    <row r="1454" spans="1:56" ht="42.75">
      <c r="A1454" s="87" t="s">
        <v>1529</v>
      </c>
      <c r="B1454" s="87"/>
      <c r="C1454" s="87"/>
      <c r="D1454" s="85">
        <v>45566</v>
      </c>
      <c r="E1454" s="85" t="s">
        <v>92</v>
      </c>
      <c r="F1454" s="84">
        <f>INDEX(Definitions!$G$13:$G$17,MATCH(Table3[[#This Row],[Propensity to buy/ buyer readiness]],Definitions!$A$13:$A$17,0))</f>
        <v>10000</v>
      </c>
      <c r="G1454" s="86">
        <v>3</v>
      </c>
      <c r="H1454" s="86">
        <v>3</v>
      </c>
      <c r="I1454" s="86">
        <v>2</v>
      </c>
      <c r="J1454" s="86">
        <v>3</v>
      </c>
      <c r="K1454" s="86">
        <v>2</v>
      </c>
      <c r="L1454" s="86">
        <f>SUM(Table3[[#This Row],[Strategic priority segment]:[Propensity to buy/ buyer readiness]])</f>
        <v>13</v>
      </c>
      <c r="M1454" s="86" t="s">
        <v>191</v>
      </c>
      <c r="N1454" s="84" t="s">
        <v>135</v>
      </c>
      <c r="O1454" s="87"/>
      <c r="P1454" s="87"/>
      <c r="Q1454" s="87"/>
      <c r="R1454" s="84"/>
      <c r="S1454" s="87"/>
      <c r="T1454" s="84"/>
      <c r="U1454" s="84">
        <v>0</v>
      </c>
      <c r="V1454" s="84">
        <v>0</v>
      </c>
      <c r="W1454" s="84">
        <v>0</v>
      </c>
      <c r="X1454" s="84">
        <v>0</v>
      </c>
      <c r="Y1454" s="84">
        <v>0</v>
      </c>
      <c r="Z1454" s="84">
        <v>0</v>
      </c>
      <c r="AA1454" s="84">
        <v>0</v>
      </c>
      <c r="AB1454" s="84">
        <v>0</v>
      </c>
      <c r="AC1454" s="84">
        <v>0</v>
      </c>
      <c r="AD1454" s="84">
        <v>0</v>
      </c>
      <c r="AE1454" s="84">
        <v>0</v>
      </c>
      <c r="AF1454" s="84">
        <v>0</v>
      </c>
      <c r="AG1454" s="84">
        <v>0</v>
      </c>
      <c r="AH1454" s="84">
        <v>1</v>
      </c>
      <c r="AI1454" s="84">
        <v>1</v>
      </c>
      <c r="AJ1454" s="84">
        <v>1</v>
      </c>
      <c r="AK1454" s="84">
        <v>1</v>
      </c>
      <c r="AL1454" s="84" cm="1">
        <f t="array" ref="AL14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54" s="84" cm="1">
        <f t="array" ref="AM14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4" s="84" cm="1">
        <f t="array" ref="AN14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4" s="84" cm="1">
        <f t="array" ref="AO14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4" s="84" cm="1">
        <f t="array" ref="AP14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4" s="84" cm="1">
        <f t="array" ref="AQ14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4" s="84" cm="1">
        <f t="array" ref="AR14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4" s="84" cm="1">
        <f t="array" ref="AS14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4" s="84" cm="1">
        <f t="array" ref="AT14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4" s="84" cm="1">
        <f t="array" ref="AU14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4" s="84" cm="1">
        <f t="array" ref="AV14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4" s="84" cm="1">
        <f t="array" ref="AW14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4" s="84" cm="1">
        <f t="array" ref="AX14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4" s="84" cm="1">
        <f t="array" ref="AY14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54" s="84" cm="1">
        <f t="array" ref="AZ14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54" s="84" cm="1">
        <f t="array" ref="BA14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54" s="84" cm="1">
        <f t="array" ref="BB14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54" s="84">
        <f>IF(SUM(Table3[[#This Row],[Column2]:[Column18]])&gt;Table3[[#This Row],[Column19]],Table3[[#This Row],[Column19]],SUM(Table3[[#This Row],[Column2]:[Column18]]))</f>
        <v>10000</v>
      </c>
      <c r="BD1454" s="2">
        <f>Table3[[#This Row],[Total Spend]]/SUM(Table3[[#This Row],[Column2]:[Column18]])</f>
        <v>0.21574973031283712</v>
      </c>
    </row>
    <row r="1455" spans="1:56" ht="28.5">
      <c r="A1455" s="84" t="s">
        <v>1530</v>
      </c>
      <c r="B1455" s="84"/>
      <c r="C1455" s="84"/>
      <c r="D1455" s="85">
        <v>45566</v>
      </c>
      <c r="E1455" s="85" t="s">
        <v>92</v>
      </c>
      <c r="F1455" s="84">
        <f>INDEX(Definitions!$G$13:$G$17,MATCH(Table3[[#This Row],[Propensity to buy/ buyer readiness]],Definitions!$A$13:$A$17,0))</f>
        <v>10000</v>
      </c>
      <c r="G1455" s="86">
        <v>3</v>
      </c>
      <c r="H1455" s="86">
        <v>3</v>
      </c>
      <c r="I1455" s="86">
        <v>2</v>
      </c>
      <c r="J1455" s="86">
        <v>3</v>
      </c>
      <c r="K1455" s="86">
        <v>2</v>
      </c>
      <c r="L1455" s="86">
        <f>SUM(Table3[[#This Row],[Strategic priority segment]:[Propensity to buy/ buyer readiness]])</f>
        <v>13</v>
      </c>
      <c r="M1455" s="86" t="s">
        <v>152</v>
      </c>
      <c r="N1455" s="84" t="s">
        <v>264</v>
      </c>
      <c r="O1455" s="87" t="s">
        <v>61</v>
      </c>
      <c r="P1455" s="87"/>
      <c r="Q1455" s="87"/>
      <c r="R1455" s="87"/>
      <c r="S1455" s="87"/>
      <c r="T1455" s="87"/>
      <c r="U1455" s="84">
        <v>1</v>
      </c>
      <c r="V1455" s="84">
        <v>0</v>
      </c>
      <c r="W1455" s="84">
        <v>0</v>
      </c>
      <c r="X1455" s="84">
        <v>0</v>
      </c>
      <c r="Y1455" s="84">
        <v>0</v>
      </c>
      <c r="Z1455" s="84">
        <v>1</v>
      </c>
      <c r="AA1455" s="84">
        <v>1</v>
      </c>
      <c r="AB1455" s="84">
        <v>1</v>
      </c>
      <c r="AC1455" s="84">
        <v>1</v>
      </c>
      <c r="AD1455" s="84">
        <v>0</v>
      </c>
      <c r="AE1455" s="84">
        <v>0</v>
      </c>
      <c r="AF1455" s="84">
        <v>0</v>
      </c>
      <c r="AG1455" s="84">
        <v>0</v>
      </c>
      <c r="AH1455" s="84">
        <v>0</v>
      </c>
      <c r="AI1455" s="84">
        <v>0</v>
      </c>
      <c r="AJ1455" s="84">
        <v>0</v>
      </c>
      <c r="AK1455" s="84">
        <v>0</v>
      </c>
      <c r="AL1455" s="84" cm="1">
        <f t="array" ref="AL14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55" s="84" cm="1">
        <f t="array" ref="AM14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5" s="84" cm="1">
        <f t="array" ref="AN14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5" s="84" cm="1">
        <f t="array" ref="AO14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5" s="84" cm="1">
        <f t="array" ref="AP14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5" s="84" cm="1">
        <f t="array" ref="AQ14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55" s="84" cm="1">
        <f t="array" ref="AR14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55" s="84" cm="1">
        <f t="array" ref="AS14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55" s="84" cm="1">
        <f t="array" ref="AT14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55" s="84" cm="1">
        <f t="array" ref="AU14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5" s="84" cm="1">
        <f t="array" ref="AV14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5" s="84" cm="1">
        <f t="array" ref="AW14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5" s="84" cm="1">
        <f t="array" ref="AX14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5" s="84" cm="1">
        <f t="array" ref="AY14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55" s="84" cm="1">
        <f t="array" ref="AZ14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55" s="84" cm="1">
        <f t="array" ref="BA14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55" s="84" cm="1">
        <f t="array" ref="BB14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55" s="84">
        <f>IF(SUM(Table3[[#This Row],[Column2]:[Column18]])&gt;Table3[[#This Row],[Column19]],Table3[[#This Row],[Column19]],SUM(Table3[[#This Row],[Column2]:[Column18]]))</f>
        <v>10000</v>
      </c>
      <c r="BD1455" s="2">
        <f>Table3[[#This Row],[Total Spend]]/SUM(Table3[[#This Row],[Column2]:[Column18]])</f>
        <v>9.8328416912487712E-2</v>
      </c>
    </row>
    <row r="1456" spans="1:56" ht="28.5">
      <c r="A1456" s="87" t="s">
        <v>1531</v>
      </c>
      <c r="B1456" s="87"/>
      <c r="C1456" s="87"/>
      <c r="D1456" s="85">
        <v>45566</v>
      </c>
      <c r="E1456" s="85" t="s">
        <v>92</v>
      </c>
      <c r="F1456" s="84">
        <f>INDEX(Definitions!$G$13:$G$17,MATCH(Table3[[#This Row],[Propensity to buy/ buyer readiness]],Definitions!$A$13:$A$17,0))</f>
        <v>10000</v>
      </c>
      <c r="G1456" s="86">
        <v>3</v>
      </c>
      <c r="H1456" s="86">
        <v>3</v>
      </c>
      <c r="I1456" s="86">
        <v>2</v>
      </c>
      <c r="J1456" s="86">
        <v>3</v>
      </c>
      <c r="K1456" s="86">
        <v>2</v>
      </c>
      <c r="L1456" s="86">
        <f>SUM(Table3[[#This Row],[Strategic priority segment]:[Propensity to buy/ buyer readiness]])</f>
        <v>13</v>
      </c>
      <c r="M1456" s="86" t="s">
        <v>191</v>
      </c>
      <c r="N1456" s="84" t="s">
        <v>135</v>
      </c>
      <c r="O1456" s="87"/>
      <c r="P1456" s="87"/>
      <c r="Q1456" s="87"/>
      <c r="R1456" s="84"/>
      <c r="S1456" s="87"/>
      <c r="T1456" s="87"/>
      <c r="U1456" s="84">
        <v>0</v>
      </c>
      <c r="V1456" s="84">
        <v>0</v>
      </c>
      <c r="W1456" s="84">
        <v>0</v>
      </c>
      <c r="X1456" s="84">
        <v>0</v>
      </c>
      <c r="Y1456" s="84">
        <v>0</v>
      </c>
      <c r="Z1456" s="84">
        <v>0</v>
      </c>
      <c r="AA1456" s="84">
        <v>0</v>
      </c>
      <c r="AB1456" s="84">
        <v>0</v>
      </c>
      <c r="AC1456" s="84">
        <v>0</v>
      </c>
      <c r="AD1456" s="84">
        <v>0</v>
      </c>
      <c r="AE1456" s="84">
        <v>0</v>
      </c>
      <c r="AF1456" s="84">
        <v>0</v>
      </c>
      <c r="AG1456" s="84">
        <v>0</v>
      </c>
      <c r="AH1456" s="84">
        <v>1</v>
      </c>
      <c r="AI1456" s="84">
        <v>1</v>
      </c>
      <c r="AJ1456" s="84">
        <v>1</v>
      </c>
      <c r="AK1456" s="84">
        <v>1</v>
      </c>
      <c r="AL1456" s="84" cm="1">
        <f t="array" ref="AL14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56" s="84" cm="1">
        <f t="array" ref="AM14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6" s="84" cm="1">
        <f t="array" ref="AN14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6" s="84" cm="1">
        <f t="array" ref="AO14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6" s="84" cm="1">
        <f t="array" ref="AP14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6" s="84" cm="1">
        <f t="array" ref="AQ14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6" s="84" cm="1">
        <f t="array" ref="AR14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6" s="84" cm="1">
        <f t="array" ref="AS14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6" s="84" cm="1">
        <f t="array" ref="AT14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6" s="84" cm="1">
        <f t="array" ref="AU14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6" s="84" cm="1">
        <f t="array" ref="AV14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6" s="84" cm="1">
        <f t="array" ref="AW14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6" s="84" cm="1">
        <f t="array" ref="AX14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6" s="84" cm="1">
        <f t="array" ref="AY14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56" s="84" cm="1">
        <f t="array" ref="AZ14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56" s="84" cm="1">
        <f t="array" ref="BA14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56" s="84" cm="1">
        <f t="array" ref="BB14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56" s="84">
        <f>IF(SUM(Table3[[#This Row],[Column2]:[Column18]])&gt;Table3[[#This Row],[Column19]],Table3[[#This Row],[Column19]],SUM(Table3[[#This Row],[Column2]:[Column18]]))</f>
        <v>10000</v>
      </c>
      <c r="BD1456" s="2">
        <f>Table3[[#This Row],[Total Spend]]/SUM(Table3[[#This Row],[Column2]:[Column18]])</f>
        <v>0.21574973031283712</v>
      </c>
    </row>
    <row r="1457" spans="1:56" ht="28.5">
      <c r="A1457" s="87" t="s">
        <v>1532</v>
      </c>
      <c r="B1457" s="87"/>
      <c r="C1457" s="87"/>
      <c r="D1457" s="85">
        <v>45566</v>
      </c>
      <c r="E1457" s="85" t="s">
        <v>92</v>
      </c>
      <c r="F1457" s="84">
        <f>INDEX(Definitions!$G$13:$G$17,MATCH(Table3[[#This Row],[Propensity to buy/ buyer readiness]],Definitions!$A$13:$A$17,0))</f>
        <v>10000</v>
      </c>
      <c r="G1457" s="86">
        <v>3</v>
      </c>
      <c r="H1457" s="86">
        <v>3</v>
      </c>
      <c r="I1457" s="86">
        <v>2</v>
      </c>
      <c r="J1457" s="86">
        <v>3</v>
      </c>
      <c r="K1457" s="86">
        <v>2</v>
      </c>
      <c r="L1457" s="86">
        <f>SUM(Table3[[#This Row],[Strategic priority segment]:[Propensity to buy/ buyer readiness]])</f>
        <v>13</v>
      </c>
      <c r="M1457" s="86" t="s">
        <v>191</v>
      </c>
      <c r="N1457" s="84" t="s">
        <v>135</v>
      </c>
      <c r="O1457" s="87"/>
      <c r="P1457" s="87"/>
      <c r="Q1457" s="87"/>
      <c r="R1457" s="84"/>
      <c r="S1457" s="87"/>
      <c r="T1457" s="87"/>
      <c r="U1457" s="84">
        <v>0</v>
      </c>
      <c r="V1457" s="84">
        <v>0</v>
      </c>
      <c r="W1457" s="84">
        <v>0</v>
      </c>
      <c r="X1457" s="84">
        <v>0</v>
      </c>
      <c r="Y1457" s="84">
        <v>0</v>
      </c>
      <c r="Z1457" s="84">
        <v>0</v>
      </c>
      <c r="AA1457" s="84">
        <v>0</v>
      </c>
      <c r="AB1457" s="84">
        <v>0</v>
      </c>
      <c r="AC1457" s="84">
        <v>0</v>
      </c>
      <c r="AD1457" s="84">
        <v>0</v>
      </c>
      <c r="AE1457" s="84">
        <v>0</v>
      </c>
      <c r="AF1457" s="84">
        <v>0</v>
      </c>
      <c r="AG1457" s="84">
        <v>0</v>
      </c>
      <c r="AH1457" s="84">
        <v>1</v>
      </c>
      <c r="AI1457" s="84">
        <v>1</v>
      </c>
      <c r="AJ1457" s="84">
        <v>1</v>
      </c>
      <c r="AK1457" s="84">
        <v>1</v>
      </c>
      <c r="AL1457" s="84" cm="1">
        <f t="array" ref="AL14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57" s="84" cm="1">
        <f t="array" ref="AM14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7" s="84" cm="1">
        <f t="array" ref="AN14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7" s="84" cm="1">
        <f t="array" ref="AO14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7" s="84" cm="1">
        <f t="array" ref="AP14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7" s="84" cm="1">
        <f t="array" ref="AQ14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7" s="84" cm="1">
        <f t="array" ref="AR14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7" s="84" cm="1">
        <f t="array" ref="AS14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7" s="84" cm="1">
        <f t="array" ref="AT14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7" s="84" cm="1">
        <f t="array" ref="AU14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7" s="84" cm="1">
        <f t="array" ref="AV14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7" s="84" cm="1">
        <f t="array" ref="AW14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7" s="84" cm="1">
        <f t="array" ref="AX14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7" s="84" cm="1">
        <f t="array" ref="AY14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57" s="84" cm="1">
        <f t="array" ref="AZ14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57" s="84" cm="1">
        <f t="array" ref="BA14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57" s="84" cm="1">
        <f t="array" ref="BB14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57" s="84">
        <f>IF(SUM(Table3[[#This Row],[Column2]:[Column18]])&gt;Table3[[#This Row],[Column19]],Table3[[#This Row],[Column19]],SUM(Table3[[#This Row],[Column2]:[Column18]]))</f>
        <v>10000</v>
      </c>
      <c r="BD1457" s="2">
        <f>Table3[[#This Row],[Total Spend]]/SUM(Table3[[#This Row],[Column2]:[Column18]])</f>
        <v>0.21574973031283712</v>
      </c>
    </row>
    <row r="1458" spans="1:56">
      <c r="A1458" s="87" t="s">
        <v>1533</v>
      </c>
      <c r="B1458" s="87"/>
      <c r="C1458" s="87"/>
      <c r="D1458" s="85">
        <v>45566</v>
      </c>
      <c r="E1458" s="85" t="s">
        <v>92</v>
      </c>
      <c r="F1458" s="84">
        <f>INDEX(Definitions!$G$13:$G$17,MATCH(Table3[[#This Row],[Propensity to buy/ buyer readiness]],Definitions!$A$13:$A$17,0))</f>
        <v>10000</v>
      </c>
      <c r="G1458" s="86">
        <v>3</v>
      </c>
      <c r="H1458" s="86">
        <v>3</v>
      </c>
      <c r="I1458" s="86">
        <v>2</v>
      </c>
      <c r="J1458" s="86">
        <v>3</v>
      </c>
      <c r="K1458" s="86">
        <v>2</v>
      </c>
      <c r="L1458" s="86">
        <f>SUM(Table3[[#This Row],[Strategic priority segment]:[Propensity to buy/ buyer readiness]])</f>
        <v>13</v>
      </c>
      <c r="M1458" s="86" t="s">
        <v>191</v>
      </c>
      <c r="N1458" s="84" t="s">
        <v>135</v>
      </c>
      <c r="O1458" s="87"/>
      <c r="P1458" s="87"/>
      <c r="Q1458" s="87"/>
      <c r="R1458" s="84"/>
      <c r="S1458" s="87"/>
      <c r="T1458" s="84"/>
      <c r="U1458" s="84">
        <v>0</v>
      </c>
      <c r="V1458" s="84">
        <v>0</v>
      </c>
      <c r="W1458" s="84">
        <v>0</v>
      </c>
      <c r="X1458" s="84">
        <v>0</v>
      </c>
      <c r="Y1458" s="84">
        <v>0</v>
      </c>
      <c r="Z1458" s="84">
        <v>0</v>
      </c>
      <c r="AA1458" s="84">
        <v>0</v>
      </c>
      <c r="AB1458" s="84">
        <v>0</v>
      </c>
      <c r="AC1458" s="84">
        <v>0</v>
      </c>
      <c r="AD1458" s="84">
        <v>0</v>
      </c>
      <c r="AE1458" s="84">
        <v>0</v>
      </c>
      <c r="AF1458" s="84">
        <v>0</v>
      </c>
      <c r="AG1458" s="84">
        <v>0</v>
      </c>
      <c r="AH1458" s="84">
        <v>1</v>
      </c>
      <c r="AI1458" s="84">
        <v>1</v>
      </c>
      <c r="AJ1458" s="84">
        <v>1</v>
      </c>
      <c r="AK1458" s="84">
        <v>1</v>
      </c>
      <c r="AL1458" s="84" cm="1">
        <f t="array" ref="AL14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58" s="84" cm="1">
        <f t="array" ref="AM14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8" s="84" cm="1">
        <f t="array" ref="AN14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8" s="84" cm="1">
        <f t="array" ref="AO14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8" s="84" cm="1">
        <f t="array" ref="AP14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8" s="84" cm="1">
        <f t="array" ref="AQ14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8" s="84" cm="1">
        <f t="array" ref="AR14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8" s="84" cm="1">
        <f t="array" ref="AS14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8" s="84" cm="1">
        <f t="array" ref="AT14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8" s="84" cm="1">
        <f t="array" ref="AU14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8" s="84" cm="1">
        <f t="array" ref="AV14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8" s="84" cm="1">
        <f t="array" ref="AW14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8" s="84" cm="1">
        <f t="array" ref="AX14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8" s="84" cm="1">
        <f t="array" ref="AY14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58" s="84" cm="1">
        <f t="array" ref="AZ14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58" s="84" cm="1">
        <f t="array" ref="BA14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58" s="84" cm="1">
        <f t="array" ref="BB14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58" s="84">
        <f>IF(SUM(Table3[[#This Row],[Column2]:[Column18]])&gt;Table3[[#This Row],[Column19]],Table3[[#This Row],[Column19]],SUM(Table3[[#This Row],[Column2]:[Column18]]))</f>
        <v>10000</v>
      </c>
      <c r="BD1458" s="2">
        <f>Table3[[#This Row],[Total Spend]]/SUM(Table3[[#This Row],[Column2]:[Column18]])</f>
        <v>0.21574973031283712</v>
      </c>
    </row>
    <row r="1459" spans="1:56">
      <c r="A1459" s="84" t="s">
        <v>1534</v>
      </c>
      <c r="B1459" s="84"/>
      <c r="C1459" s="84"/>
      <c r="D1459" s="85">
        <v>45566</v>
      </c>
      <c r="E1459" s="85" t="s">
        <v>92</v>
      </c>
      <c r="F1459" s="84">
        <f>INDEX(Definitions!$G$13:$G$17,MATCH(Table3[[#This Row],[Propensity to buy/ buyer readiness]],Definitions!$A$13:$A$17,0))</f>
        <v>10000</v>
      </c>
      <c r="G1459" s="86">
        <v>3</v>
      </c>
      <c r="H1459" s="86">
        <v>3</v>
      </c>
      <c r="I1459" s="86">
        <v>2</v>
      </c>
      <c r="J1459" s="86">
        <v>3</v>
      </c>
      <c r="K1459" s="86">
        <v>2</v>
      </c>
      <c r="L1459" s="86">
        <f>SUM(Table3[[#This Row],[Strategic priority segment]:[Propensity to buy/ buyer readiness]])</f>
        <v>13</v>
      </c>
      <c r="M1459" s="86" t="s">
        <v>152</v>
      </c>
      <c r="N1459" s="84" t="s">
        <v>264</v>
      </c>
      <c r="O1459" s="84"/>
      <c r="P1459" s="87"/>
      <c r="Q1459" s="87"/>
      <c r="R1459" s="84"/>
      <c r="S1459" s="87"/>
      <c r="T1459" s="87"/>
      <c r="U1459" s="84">
        <v>1</v>
      </c>
      <c r="V1459" s="84">
        <v>0</v>
      </c>
      <c r="W1459" s="84">
        <v>0</v>
      </c>
      <c r="X1459" s="84">
        <v>0</v>
      </c>
      <c r="Y1459" s="84">
        <v>0</v>
      </c>
      <c r="Z1459" s="84">
        <v>0</v>
      </c>
      <c r="AA1459" s="84">
        <v>0</v>
      </c>
      <c r="AB1459" s="84">
        <v>0</v>
      </c>
      <c r="AC1459" s="84">
        <v>0</v>
      </c>
      <c r="AD1459" s="84">
        <v>0</v>
      </c>
      <c r="AE1459" s="84">
        <v>0</v>
      </c>
      <c r="AF1459" s="84">
        <v>0</v>
      </c>
      <c r="AG1459" s="84">
        <v>0</v>
      </c>
      <c r="AH1459" s="84">
        <v>0</v>
      </c>
      <c r="AI1459" s="84">
        <v>0</v>
      </c>
      <c r="AJ1459" s="84">
        <v>0</v>
      </c>
      <c r="AK1459" s="84">
        <v>0</v>
      </c>
      <c r="AL1459" s="84" cm="1">
        <f t="array" ref="AL14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59" s="84" cm="1">
        <f t="array" ref="AM14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59" s="84" cm="1">
        <f t="array" ref="AN14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59" s="84" cm="1">
        <f t="array" ref="AO14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59" s="84" cm="1">
        <f t="array" ref="AP14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59" s="84" cm="1">
        <f t="array" ref="AQ14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59" s="84" cm="1">
        <f t="array" ref="AR14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59" s="84" cm="1">
        <f t="array" ref="AS14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59" s="84" cm="1">
        <f t="array" ref="AT14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59" s="84" cm="1">
        <f t="array" ref="AU14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59" s="84" cm="1">
        <f t="array" ref="AV14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59" s="84" cm="1">
        <f t="array" ref="AW14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59" s="84" cm="1">
        <f t="array" ref="AX14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59" s="84" cm="1">
        <f t="array" ref="AY14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59" s="84" cm="1">
        <f t="array" ref="AZ14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59" s="84" cm="1">
        <f t="array" ref="BA14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59" s="84" cm="1">
        <f t="array" ref="BB14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59" s="84">
        <f>IF(SUM(Table3[[#This Row],[Column2]:[Column18]])&gt;Table3[[#This Row],[Column19]],Table3[[#This Row],[Column19]],SUM(Table3[[#This Row],[Column2]:[Column18]]))</f>
        <v>8100</v>
      </c>
      <c r="BD1459" s="2">
        <f>Table3[[#This Row],[Total Spend]]/SUM(Table3[[#This Row],[Column2]:[Column18]])</f>
        <v>1</v>
      </c>
    </row>
    <row r="1460" spans="1:56" ht="42.75">
      <c r="A1460" s="87" t="s">
        <v>1535</v>
      </c>
      <c r="B1460" s="87"/>
      <c r="C1460" s="87"/>
      <c r="D1460" s="85">
        <v>45566</v>
      </c>
      <c r="E1460" s="85" t="s">
        <v>92</v>
      </c>
      <c r="F1460" s="84">
        <f>INDEX(Definitions!$G$13:$G$17,MATCH(Table3[[#This Row],[Propensity to buy/ buyer readiness]],Definitions!$A$13:$A$17,0))</f>
        <v>10000</v>
      </c>
      <c r="G1460" s="86">
        <v>3</v>
      </c>
      <c r="H1460" s="86">
        <v>3</v>
      </c>
      <c r="I1460" s="86">
        <v>2</v>
      </c>
      <c r="J1460" s="86">
        <v>3</v>
      </c>
      <c r="K1460" s="86">
        <v>2</v>
      </c>
      <c r="L1460" s="86">
        <f>SUM(Table3[[#This Row],[Strategic priority segment]:[Propensity to buy/ buyer readiness]])</f>
        <v>13</v>
      </c>
      <c r="M1460" s="86" t="s">
        <v>191</v>
      </c>
      <c r="N1460" s="84" t="s">
        <v>135</v>
      </c>
      <c r="O1460" s="87"/>
      <c r="P1460" s="87"/>
      <c r="Q1460" s="87"/>
      <c r="R1460" s="84"/>
      <c r="S1460" s="87"/>
      <c r="T1460" s="84"/>
      <c r="U1460" s="84">
        <v>0</v>
      </c>
      <c r="V1460" s="84">
        <v>0</v>
      </c>
      <c r="W1460" s="84">
        <v>0</v>
      </c>
      <c r="X1460" s="84">
        <v>0</v>
      </c>
      <c r="Y1460" s="84">
        <v>0</v>
      </c>
      <c r="Z1460" s="84">
        <v>0</v>
      </c>
      <c r="AA1460" s="84">
        <v>0</v>
      </c>
      <c r="AB1460" s="84">
        <v>0</v>
      </c>
      <c r="AC1460" s="84">
        <v>0</v>
      </c>
      <c r="AD1460" s="84">
        <v>0</v>
      </c>
      <c r="AE1460" s="84">
        <v>0</v>
      </c>
      <c r="AF1460" s="84">
        <v>0</v>
      </c>
      <c r="AG1460" s="84">
        <v>0</v>
      </c>
      <c r="AH1460" s="84">
        <v>1</v>
      </c>
      <c r="AI1460" s="84">
        <v>1</v>
      </c>
      <c r="AJ1460" s="84">
        <v>1</v>
      </c>
      <c r="AK1460" s="84">
        <v>1</v>
      </c>
      <c r="AL1460" s="84" cm="1">
        <f t="array" ref="AL14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0" s="84" cm="1">
        <f t="array" ref="AM14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0" s="84" cm="1">
        <f t="array" ref="AN14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0" s="84" cm="1">
        <f t="array" ref="AO14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0" s="84" cm="1">
        <f t="array" ref="AP14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0" s="84" cm="1">
        <f t="array" ref="AQ14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0" s="84" cm="1">
        <f t="array" ref="AR14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0" s="84" cm="1">
        <f t="array" ref="AS14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0" s="84" cm="1">
        <f t="array" ref="AT14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0" s="84" cm="1">
        <f t="array" ref="AU14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0" s="84" cm="1">
        <f t="array" ref="AV14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0" s="84" cm="1">
        <f t="array" ref="AW14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0" s="84" cm="1">
        <f t="array" ref="AX14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0" s="84" cm="1">
        <f t="array" ref="AY14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0" s="84" cm="1">
        <f t="array" ref="AZ14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0" s="84" cm="1">
        <f t="array" ref="BA14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0" s="84" cm="1">
        <f t="array" ref="BB14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0" s="84">
        <f>IF(SUM(Table3[[#This Row],[Column2]:[Column18]])&gt;Table3[[#This Row],[Column19]],Table3[[#This Row],[Column19]],SUM(Table3[[#This Row],[Column2]:[Column18]]))</f>
        <v>10000</v>
      </c>
      <c r="BD1460" s="2">
        <f>Table3[[#This Row],[Total Spend]]/SUM(Table3[[#This Row],[Column2]:[Column18]])</f>
        <v>0.21574973031283712</v>
      </c>
    </row>
    <row r="1461" spans="1:56" ht="28.5">
      <c r="A1461" s="87" t="s">
        <v>1536</v>
      </c>
      <c r="B1461" s="87"/>
      <c r="C1461" s="87"/>
      <c r="D1461" s="85">
        <v>45566</v>
      </c>
      <c r="E1461" s="85" t="s">
        <v>92</v>
      </c>
      <c r="F1461" s="84">
        <f>INDEX(Definitions!$G$13:$G$17,MATCH(Table3[[#This Row],[Propensity to buy/ buyer readiness]],Definitions!$A$13:$A$17,0))</f>
        <v>10000</v>
      </c>
      <c r="G1461" s="86">
        <v>3</v>
      </c>
      <c r="H1461" s="86">
        <v>3</v>
      </c>
      <c r="I1461" s="86">
        <v>2</v>
      </c>
      <c r="J1461" s="86">
        <v>3</v>
      </c>
      <c r="K1461" s="86">
        <v>2</v>
      </c>
      <c r="L1461" s="86">
        <f>SUM(Table3[[#This Row],[Strategic priority segment]:[Propensity to buy/ buyer readiness]])</f>
        <v>13</v>
      </c>
      <c r="M1461" s="86" t="s">
        <v>191</v>
      </c>
      <c r="N1461" s="84" t="s">
        <v>135</v>
      </c>
      <c r="O1461" s="87"/>
      <c r="P1461" s="87"/>
      <c r="Q1461" s="87"/>
      <c r="R1461" s="84"/>
      <c r="S1461" s="87"/>
      <c r="T1461" s="87"/>
      <c r="U1461" s="84">
        <v>0</v>
      </c>
      <c r="V1461" s="84">
        <v>0</v>
      </c>
      <c r="W1461" s="84">
        <v>0</v>
      </c>
      <c r="X1461" s="84">
        <v>0</v>
      </c>
      <c r="Y1461" s="84">
        <v>0</v>
      </c>
      <c r="Z1461" s="84">
        <v>0</v>
      </c>
      <c r="AA1461" s="84">
        <v>0</v>
      </c>
      <c r="AB1461" s="84">
        <v>0</v>
      </c>
      <c r="AC1461" s="84">
        <v>0</v>
      </c>
      <c r="AD1461" s="84">
        <v>0</v>
      </c>
      <c r="AE1461" s="84">
        <v>0</v>
      </c>
      <c r="AF1461" s="84">
        <v>0</v>
      </c>
      <c r="AG1461" s="84">
        <v>0</v>
      </c>
      <c r="AH1461" s="84">
        <v>1</v>
      </c>
      <c r="AI1461" s="84">
        <v>1</v>
      </c>
      <c r="AJ1461" s="84">
        <v>1</v>
      </c>
      <c r="AK1461" s="84">
        <v>1</v>
      </c>
      <c r="AL1461" s="84" cm="1">
        <f t="array" ref="AL14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1" s="84" cm="1">
        <f t="array" ref="AM14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1" s="84" cm="1">
        <f t="array" ref="AN14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1" s="84" cm="1">
        <f t="array" ref="AO14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1" s="84" cm="1">
        <f t="array" ref="AP14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1" s="84" cm="1">
        <f t="array" ref="AQ14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1" s="84" cm="1">
        <f t="array" ref="AR14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1" s="84" cm="1">
        <f t="array" ref="AS14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1" s="84" cm="1">
        <f t="array" ref="AT14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1" s="84" cm="1">
        <f t="array" ref="AU14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1" s="84" cm="1">
        <f t="array" ref="AV14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1" s="84" cm="1">
        <f t="array" ref="AW14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1" s="84" cm="1">
        <f t="array" ref="AX14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1" s="84" cm="1">
        <f t="array" ref="AY14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1" s="84" cm="1">
        <f t="array" ref="AZ14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1" s="84" cm="1">
        <f t="array" ref="BA14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1" s="84" cm="1">
        <f t="array" ref="BB14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1" s="84">
        <f>IF(SUM(Table3[[#This Row],[Column2]:[Column18]])&gt;Table3[[#This Row],[Column19]],Table3[[#This Row],[Column19]],SUM(Table3[[#This Row],[Column2]:[Column18]]))</f>
        <v>10000</v>
      </c>
      <c r="BD1461" s="2">
        <f>Table3[[#This Row],[Total Spend]]/SUM(Table3[[#This Row],[Column2]:[Column18]])</f>
        <v>0.21574973031283712</v>
      </c>
    </row>
    <row r="1462" spans="1:56">
      <c r="A1462" s="84" t="s">
        <v>1537</v>
      </c>
      <c r="B1462" s="84"/>
      <c r="C1462" s="84"/>
      <c r="D1462" s="85">
        <v>45566</v>
      </c>
      <c r="E1462" s="85" t="s">
        <v>92</v>
      </c>
      <c r="F1462" s="84">
        <f>INDEX(Definitions!$G$13:$G$17,MATCH(Table3[[#This Row],[Propensity to buy/ buyer readiness]],Definitions!$A$13:$A$17,0))</f>
        <v>10000</v>
      </c>
      <c r="G1462" s="86">
        <v>3</v>
      </c>
      <c r="H1462" s="86">
        <v>3</v>
      </c>
      <c r="I1462" s="86">
        <v>2</v>
      </c>
      <c r="J1462" s="86">
        <v>3</v>
      </c>
      <c r="K1462" s="86">
        <v>2</v>
      </c>
      <c r="L1462" s="86">
        <f>SUM(Table3[[#This Row],[Strategic priority segment]:[Propensity to buy/ buyer readiness]])</f>
        <v>13</v>
      </c>
      <c r="M1462" s="86" t="s">
        <v>152</v>
      </c>
      <c r="N1462" s="84" t="s">
        <v>264</v>
      </c>
      <c r="O1462" s="84"/>
      <c r="P1462" s="87"/>
      <c r="Q1462" s="87"/>
      <c r="R1462" s="84"/>
      <c r="S1462" s="87"/>
      <c r="T1462" s="87"/>
      <c r="U1462" s="84">
        <v>1</v>
      </c>
      <c r="V1462" s="84">
        <v>0</v>
      </c>
      <c r="W1462" s="84">
        <v>0</v>
      </c>
      <c r="X1462" s="84">
        <v>0</v>
      </c>
      <c r="Y1462" s="84">
        <v>0</v>
      </c>
      <c r="Z1462" s="84">
        <v>0</v>
      </c>
      <c r="AA1462" s="84">
        <v>0</v>
      </c>
      <c r="AB1462" s="84">
        <v>0</v>
      </c>
      <c r="AC1462" s="84">
        <v>0</v>
      </c>
      <c r="AD1462" s="84">
        <v>0</v>
      </c>
      <c r="AE1462" s="84">
        <v>0</v>
      </c>
      <c r="AF1462" s="84">
        <v>0</v>
      </c>
      <c r="AG1462" s="84">
        <v>0</v>
      </c>
      <c r="AH1462" s="84">
        <v>0</v>
      </c>
      <c r="AI1462" s="84">
        <v>0</v>
      </c>
      <c r="AJ1462" s="84">
        <v>0</v>
      </c>
      <c r="AK1462" s="84">
        <v>0</v>
      </c>
      <c r="AL1462" s="84" cm="1">
        <f t="array" ref="AL146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62" s="84" cm="1">
        <f t="array" ref="AM146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2" s="84" cm="1">
        <f t="array" ref="AN146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2" s="84" cm="1">
        <f t="array" ref="AO146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2" s="84" cm="1">
        <f t="array" ref="AP146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2" s="84" cm="1">
        <f t="array" ref="AQ146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2" s="84" cm="1">
        <f t="array" ref="AR146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2" s="84" cm="1">
        <f t="array" ref="AS146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2" s="84" cm="1">
        <f t="array" ref="AT146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2" s="84" cm="1">
        <f t="array" ref="AU146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2" s="84" cm="1">
        <f t="array" ref="AV146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2" s="84" cm="1">
        <f t="array" ref="AW146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2" s="84" cm="1">
        <f t="array" ref="AX146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2" s="84" cm="1">
        <f t="array" ref="AY146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62" s="84" cm="1">
        <f t="array" ref="AZ146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62" s="84" cm="1">
        <f t="array" ref="BA146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62" s="84" cm="1">
        <f t="array" ref="BB146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62" s="84">
        <f>IF(SUM(Table3[[#This Row],[Column2]:[Column18]])&gt;Table3[[#This Row],[Column19]],Table3[[#This Row],[Column19]],SUM(Table3[[#This Row],[Column2]:[Column18]]))</f>
        <v>8100</v>
      </c>
      <c r="BD1462" s="2">
        <f>Table3[[#This Row],[Total Spend]]/SUM(Table3[[#This Row],[Column2]:[Column18]])</f>
        <v>1</v>
      </c>
    </row>
    <row r="1463" spans="1:56">
      <c r="A1463" s="84" t="s">
        <v>1538</v>
      </c>
      <c r="B1463" s="84"/>
      <c r="C1463" s="84"/>
      <c r="D1463" s="85">
        <v>45809</v>
      </c>
      <c r="E1463" s="85" t="s">
        <v>92</v>
      </c>
      <c r="F1463" s="84">
        <f>INDEX(Definitions!$G$13:$G$17,MATCH(Table3[[#This Row],[Propensity to buy/ buyer readiness]],Definitions!$A$13:$A$17,0))</f>
        <v>10000</v>
      </c>
      <c r="G1463" s="86">
        <v>3</v>
      </c>
      <c r="H1463" s="86">
        <v>3</v>
      </c>
      <c r="I1463" s="86">
        <v>2</v>
      </c>
      <c r="J1463" s="86">
        <v>3</v>
      </c>
      <c r="K1463" s="86">
        <v>2</v>
      </c>
      <c r="L1463" s="86">
        <f>SUM(Table3[[#This Row],[Strategic priority segment]:[Propensity to buy/ buyer readiness]])</f>
        <v>13</v>
      </c>
      <c r="M1463" s="86" t="s">
        <v>191</v>
      </c>
      <c r="N1463" s="84" t="s">
        <v>135</v>
      </c>
      <c r="O1463" s="84" t="s">
        <v>130</v>
      </c>
      <c r="P1463" s="87"/>
      <c r="Q1463" s="87"/>
      <c r="R1463" s="84"/>
      <c r="S1463" s="84"/>
      <c r="T1463" s="84"/>
      <c r="U1463" s="84">
        <v>1</v>
      </c>
      <c r="V1463" s="84">
        <v>0</v>
      </c>
      <c r="W1463" s="84">
        <v>0</v>
      </c>
      <c r="X1463" s="84">
        <v>0</v>
      </c>
      <c r="Y1463" s="84">
        <v>0</v>
      </c>
      <c r="Z1463" s="84">
        <v>0</v>
      </c>
      <c r="AA1463" s="84">
        <v>0</v>
      </c>
      <c r="AB1463" s="84">
        <v>0</v>
      </c>
      <c r="AC1463" s="84">
        <v>0</v>
      </c>
      <c r="AD1463" s="84">
        <v>0</v>
      </c>
      <c r="AE1463" s="84">
        <v>0</v>
      </c>
      <c r="AF1463" s="84">
        <v>0</v>
      </c>
      <c r="AG1463" s="84">
        <v>0</v>
      </c>
      <c r="AH1463" s="84">
        <v>1</v>
      </c>
      <c r="AI1463" s="84">
        <v>1</v>
      </c>
      <c r="AJ1463" s="84">
        <v>1</v>
      </c>
      <c r="AK1463" s="84">
        <v>1</v>
      </c>
      <c r="AL1463" s="84" cm="1">
        <f t="array" ref="AL146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63" s="84" cm="1">
        <f t="array" ref="AM146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3" s="84" cm="1">
        <f t="array" ref="AN146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3" s="84" cm="1">
        <f t="array" ref="AO146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3" s="84" cm="1">
        <f t="array" ref="AP146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3" s="84" cm="1">
        <f t="array" ref="AQ146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3" s="84" cm="1">
        <f t="array" ref="AR146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3" s="84" cm="1">
        <f t="array" ref="AS146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3" s="84" cm="1">
        <f t="array" ref="AT146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3" s="84" cm="1">
        <f t="array" ref="AU146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3" s="84" cm="1">
        <f t="array" ref="AV146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3" s="84" cm="1">
        <f t="array" ref="AW146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3" s="84" cm="1">
        <f t="array" ref="AX146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3" s="84" cm="1">
        <f t="array" ref="AY146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3" s="84" cm="1">
        <f t="array" ref="AZ146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3" s="84" cm="1">
        <f t="array" ref="BA146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3" s="84" cm="1">
        <f t="array" ref="BB146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3" s="84">
        <f>IF(SUM(Table3[[#This Row],[Column2]:[Column18]])&gt;Table3[[#This Row],[Column19]],Table3[[#This Row],[Column19]],SUM(Table3[[#This Row],[Column2]:[Column18]]))</f>
        <v>10000</v>
      </c>
      <c r="BD1463" s="2">
        <f>Table3[[#This Row],[Total Spend]]/SUM(Table3[[#This Row],[Column2]:[Column18]])</f>
        <v>0.18365472910927455</v>
      </c>
    </row>
    <row r="1464" spans="1:56">
      <c r="A1464" s="84" t="s">
        <v>1539</v>
      </c>
      <c r="B1464" s="84"/>
      <c r="C1464" s="84"/>
      <c r="D1464" s="85">
        <v>45566</v>
      </c>
      <c r="E1464" s="85" t="s">
        <v>92</v>
      </c>
      <c r="F1464" s="84">
        <f>INDEX(Definitions!$G$13:$G$17,MATCH(Table3[[#This Row],[Propensity to buy/ buyer readiness]],Definitions!$A$13:$A$17,0))</f>
        <v>10000</v>
      </c>
      <c r="G1464" s="86">
        <v>3</v>
      </c>
      <c r="H1464" s="86">
        <v>3</v>
      </c>
      <c r="I1464" s="86">
        <v>2</v>
      </c>
      <c r="J1464" s="86">
        <v>3</v>
      </c>
      <c r="K1464" s="86">
        <v>2</v>
      </c>
      <c r="L1464" s="86">
        <f>SUM(Table3[[#This Row],[Strategic priority segment]:[Propensity to buy/ buyer readiness]])</f>
        <v>13</v>
      </c>
      <c r="M1464" s="86" t="s">
        <v>152</v>
      </c>
      <c r="N1464" s="84" t="s">
        <v>264</v>
      </c>
      <c r="O1464" s="84"/>
      <c r="P1464" s="84"/>
      <c r="Q1464" s="84"/>
      <c r="R1464" s="84"/>
      <c r="S1464" s="87"/>
      <c r="T1464" s="84"/>
      <c r="U1464" s="84">
        <v>1</v>
      </c>
      <c r="V1464" s="84">
        <v>0</v>
      </c>
      <c r="W1464" s="84">
        <v>0</v>
      </c>
      <c r="X1464" s="84">
        <v>0</v>
      </c>
      <c r="Y1464" s="84">
        <v>0</v>
      </c>
      <c r="Z1464" s="84">
        <v>0</v>
      </c>
      <c r="AA1464" s="84">
        <v>0</v>
      </c>
      <c r="AB1464" s="84">
        <v>0</v>
      </c>
      <c r="AC1464" s="84">
        <v>0</v>
      </c>
      <c r="AD1464" s="84">
        <v>0</v>
      </c>
      <c r="AE1464" s="84">
        <v>0</v>
      </c>
      <c r="AF1464" s="84">
        <v>0</v>
      </c>
      <c r="AG1464" s="84">
        <v>0</v>
      </c>
      <c r="AH1464" s="84">
        <v>0</v>
      </c>
      <c r="AI1464" s="84">
        <v>0</v>
      </c>
      <c r="AJ1464" s="84">
        <v>0</v>
      </c>
      <c r="AK1464" s="84">
        <v>0</v>
      </c>
      <c r="AL1464" s="84" cm="1">
        <f t="array" ref="AL146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64" s="84" cm="1">
        <f t="array" ref="AM146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4" s="84" cm="1">
        <f t="array" ref="AN146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4" s="84" cm="1">
        <f t="array" ref="AO146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4" s="84" cm="1">
        <f t="array" ref="AP146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4" s="84" cm="1">
        <f t="array" ref="AQ146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4" s="84" cm="1">
        <f t="array" ref="AR146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4" s="84" cm="1">
        <f t="array" ref="AS146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4" s="84" cm="1">
        <f t="array" ref="AT146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4" s="84" cm="1">
        <f t="array" ref="AU146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4" s="84" cm="1">
        <f t="array" ref="AV146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4" s="84" cm="1">
        <f t="array" ref="AW146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4" s="84" cm="1">
        <f t="array" ref="AX146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4" s="84" cm="1">
        <f t="array" ref="AY146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64" s="84" cm="1">
        <f t="array" ref="AZ146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64" s="84" cm="1">
        <f t="array" ref="BA146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64" s="84" cm="1">
        <f t="array" ref="BB146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64" s="84">
        <f>IF(SUM(Table3[[#This Row],[Column2]:[Column18]])&gt;Table3[[#This Row],[Column19]],Table3[[#This Row],[Column19]],SUM(Table3[[#This Row],[Column2]:[Column18]]))</f>
        <v>8100</v>
      </c>
      <c r="BD1464" s="2">
        <f>Table3[[#This Row],[Total Spend]]/SUM(Table3[[#This Row],[Column2]:[Column18]])</f>
        <v>1</v>
      </c>
    </row>
    <row r="1465" spans="1:56">
      <c r="A1465" s="87" t="s">
        <v>1540</v>
      </c>
      <c r="B1465" s="87"/>
      <c r="C1465" s="87"/>
      <c r="D1465" s="85">
        <v>45566</v>
      </c>
      <c r="E1465" s="85" t="s">
        <v>92</v>
      </c>
      <c r="F1465" s="84">
        <f>INDEX(Definitions!$G$13:$G$17,MATCH(Table3[[#This Row],[Propensity to buy/ buyer readiness]],Definitions!$A$13:$A$17,0))</f>
        <v>10000</v>
      </c>
      <c r="G1465" s="86">
        <v>3</v>
      </c>
      <c r="H1465" s="86">
        <v>3</v>
      </c>
      <c r="I1465" s="86">
        <v>2</v>
      </c>
      <c r="J1465" s="86">
        <v>3</v>
      </c>
      <c r="K1465" s="86">
        <v>2</v>
      </c>
      <c r="L1465" s="86">
        <f>SUM(Table3[[#This Row],[Strategic priority segment]:[Propensity to buy/ buyer readiness]])</f>
        <v>13</v>
      </c>
      <c r="M1465" s="86" t="s">
        <v>191</v>
      </c>
      <c r="N1465" s="84" t="s">
        <v>135</v>
      </c>
      <c r="O1465" s="87"/>
      <c r="P1465" s="87"/>
      <c r="Q1465" s="87"/>
      <c r="R1465" s="84"/>
      <c r="S1465" s="87"/>
      <c r="T1465" s="84"/>
      <c r="U1465" s="84">
        <v>0</v>
      </c>
      <c r="V1465" s="84">
        <v>0</v>
      </c>
      <c r="W1465" s="84">
        <v>0</v>
      </c>
      <c r="X1465" s="84">
        <v>0</v>
      </c>
      <c r="Y1465" s="84">
        <v>0</v>
      </c>
      <c r="Z1465" s="84">
        <v>0</v>
      </c>
      <c r="AA1465" s="84">
        <v>0</v>
      </c>
      <c r="AB1465" s="84">
        <v>0</v>
      </c>
      <c r="AC1465" s="84">
        <v>0</v>
      </c>
      <c r="AD1465" s="84">
        <v>0</v>
      </c>
      <c r="AE1465" s="84">
        <v>0</v>
      </c>
      <c r="AF1465" s="84">
        <v>0</v>
      </c>
      <c r="AG1465" s="84">
        <v>0</v>
      </c>
      <c r="AH1465" s="84">
        <v>1</v>
      </c>
      <c r="AI1465" s="84">
        <v>1</v>
      </c>
      <c r="AJ1465" s="84">
        <v>1</v>
      </c>
      <c r="AK1465" s="84">
        <v>1</v>
      </c>
      <c r="AL1465" s="84" cm="1">
        <f t="array" ref="AL146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5" s="84" cm="1">
        <f t="array" ref="AM146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5" s="84" cm="1">
        <f t="array" ref="AN146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5" s="84" cm="1">
        <f t="array" ref="AO146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5" s="84" cm="1">
        <f t="array" ref="AP146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5" s="84" cm="1">
        <f t="array" ref="AQ146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5" s="84" cm="1">
        <f t="array" ref="AR146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5" s="84" cm="1">
        <f t="array" ref="AS146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5" s="84" cm="1">
        <f t="array" ref="AT146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5" s="84" cm="1">
        <f t="array" ref="AU146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5" s="84" cm="1">
        <f t="array" ref="AV146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5" s="84" cm="1">
        <f t="array" ref="AW146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5" s="84" cm="1">
        <f t="array" ref="AX146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5" s="84" cm="1">
        <f t="array" ref="AY146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5" s="84" cm="1">
        <f t="array" ref="AZ146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5" s="84" cm="1">
        <f t="array" ref="BA146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5" s="84" cm="1">
        <f t="array" ref="BB146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5" s="84">
        <f>IF(SUM(Table3[[#This Row],[Column2]:[Column18]])&gt;Table3[[#This Row],[Column19]],Table3[[#This Row],[Column19]],SUM(Table3[[#This Row],[Column2]:[Column18]]))</f>
        <v>10000</v>
      </c>
      <c r="BD1465" s="2">
        <f>Table3[[#This Row],[Total Spend]]/SUM(Table3[[#This Row],[Column2]:[Column18]])</f>
        <v>0.21574973031283712</v>
      </c>
    </row>
    <row r="1466" spans="1:56">
      <c r="A1466" s="84" t="s">
        <v>1541</v>
      </c>
      <c r="B1466" s="84"/>
      <c r="C1466" s="84"/>
      <c r="D1466" s="85">
        <v>45809</v>
      </c>
      <c r="E1466" s="85" t="s">
        <v>92</v>
      </c>
      <c r="F1466" s="84">
        <f>INDEX(Definitions!$G$13:$G$17,MATCH(Table3[[#This Row],[Propensity to buy/ buyer readiness]],Definitions!$A$13:$A$17,0))</f>
        <v>10000</v>
      </c>
      <c r="G1466" s="86">
        <v>3</v>
      </c>
      <c r="H1466" s="86">
        <v>3</v>
      </c>
      <c r="I1466" s="86">
        <v>2</v>
      </c>
      <c r="J1466" s="86">
        <v>3</v>
      </c>
      <c r="K1466" s="86">
        <v>2</v>
      </c>
      <c r="L1466" s="86">
        <f>SUM(Table3[[#This Row],[Strategic priority segment]:[Propensity to buy/ buyer readiness]])</f>
        <v>13</v>
      </c>
      <c r="M1466" s="86" t="s">
        <v>191</v>
      </c>
      <c r="N1466" s="84" t="s">
        <v>135</v>
      </c>
      <c r="O1466" s="84"/>
      <c r="P1466" s="87"/>
      <c r="Q1466" s="87"/>
      <c r="R1466" s="84"/>
      <c r="S1466" s="87"/>
      <c r="T1466" s="87"/>
      <c r="U1466" s="84">
        <v>0</v>
      </c>
      <c r="V1466" s="84">
        <v>0</v>
      </c>
      <c r="W1466" s="84">
        <v>0</v>
      </c>
      <c r="X1466" s="84">
        <v>0</v>
      </c>
      <c r="Y1466" s="84">
        <v>0</v>
      </c>
      <c r="Z1466" s="84">
        <v>0</v>
      </c>
      <c r="AA1466" s="84">
        <v>0</v>
      </c>
      <c r="AB1466" s="84">
        <v>0</v>
      </c>
      <c r="AC1466" s="84">
        <v>0</v>
      </c>
      <c r="AD1466" s="84">
        <v>0</v>
      </c>
      <c r="AE1466" s="84">
        <v>0</v>
      </c>
      <c r="AF1466" s="84">
        <v>0</v>
      </c>
      <c r="AG1466" s="84">
        <v>0</v>
      </c>
      <c r="AH1466" s="84">
        <v>1</v>
      </c>
      <c r="AI1466" s="84">
        <v>1</v>
      </c>
      <c r="AJ1466" s="84">
        <v>1</v>
      </c>
      <c r="AK1466" s="84">
        <v>1</v>
      </c>
      <c r="AL1466" s="84" cm="1">
        <f t="array" ref="AL146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6" s="84" cm="1">
        <f t="array" ref="AM146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6" s="84" cm="1">
        <f t="array" ref="AN146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6" s="84" cm="1">
        <f t="array" ref="AO146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6" s="84" cm="1">
        <f t="array" ref="AP146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6" s="84" cm="1">
        <f t="array" ref="AQ146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6" s="84" cm="1">
        <f t="array" ref="AR146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6" s="84" cm="1">
        <f t="array" ref="AS146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6" s="84" cm="1">
        <f t="array" ref="AT146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6" s="84" cm="1">
        <f t="array" ref="AU146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6" s="84" cm="1">
        <f t="array" ref="AV146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6" s="84" cm="1">
        <f t="array" ref="AW146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6" s="84" cm="1">
        <f t="array" ref="AX146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6" s="84" cm="1">
        <f t="array" ref="AY146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6" s="84" cm="1">
        <f t="array" ref="AZ146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6" s="84" cm="1">
        <f t="array" ref="BA146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6" s="84" cm="1">
        <f t="array" ref="BB146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6" s="84">
        <f>IF(SUM(Table3[[#This Row],[Column2]:[Column18]])&gt;Table3[[#This Row],[Column19]],Table3[[#This Row],[Column19]],SUM(Table3[[#This Row],[Column2]:[Column18]]))</f>
        <v>10000</v>
      </c>
      <c r="BD1466" s="2">
        <f>Table3[[#This Row],[Total Spend]]/SUM(Table3[[#This Row],[Column2]:[Column18]])</f>
        <v>0.21574973031283712</v>
      </c>
    </row>
    <row r="1467" spans="1:56" ht="28.5">
      <c r="A1467" s="87" t="s">
        <v>1542</v>
      </c>
      <c r="B1467" s="87"/>
      <c r="C1467" s="87"/>
      <c r="D1467" s="85">
        <v>45566</v>
      </c>
      <c r="E1467" s="85" t="s">
        <v>92</v>
      </c>
      <c r="F1467" s="84">
        <f>INDEX(Definitions!$G$13:$G$17,MATCH(Table3[[#This Row],[Propensity to buy/ buyer readiness]],Definitions!$A$13:$A$17,0))</f>
        <v>10000</v>
      </c>
      <c r="G1467" s="86">
        <v>3</v>
      </c>
      <c r="H1467" s="86">
        <v>3</v>
      </c>
      <c r="I1467" s="86">
        <v>2</v>
      </c>
      <c r="J1467" s="86">
        <v>3</v>
      </c>
      <c r="K1467" s="86">
        <v>2</v>
      </c>
      <c r="L1467" s="86">
        <f>SUM(Table3[[#This Row],[Strategic priority segment]:[Propensity to buy/ buyer readiness]])</f>
        <v>13</v>
      </c>
      <c r="M1467" s="86" t="s">
        <v>191</v>
      </c>
      <c r="N1467" s="84" t="s">
        <v>135</v>
      </c>
      <c r="O1467" s="87"/>
      <c r="P1467" s="87"/>
      <c r="Q1467" s="87"/>
      <c r="R1467" s="84"/>
      <c r="S1467" s="87"/>
      <c r="T1467" s="87"/>
      <c r="U1467" s="84">
        <v>0</v>
      </c>
      <c r="V1467" s="84">
        <v>0</v>
      </c>
      <c r="W1467" s="84">
        <v>0</v>
      </c>
      <c r="X1467" s="84">
        <v>0</v>
      </c>
      <c r="Y1467" s="84">
        <v>0</v>
      </c>
      <c r="Z1467" s="84">
        <v>0</v>
      </c>
      <c r="AA1467" s="84">
        <v>0</v>
      </c>
      <c r="AB1467" s="84">
        <v>0</v>
      </c>
      <c r="AC1467" s="84">
        <v>0</v>
      </c>
      <c r="AD1467" s="84">
        <v>0</v>
      </c>
      <c r="AE1467" s="84">
        <v>0</v>
      </c>
      <c r="AF1467" s="84">
        <v>0</v>
      </c>
      <c r="AG1467" s="84">
        <v>0</v>
      </c>
      <c r="AH1467" s="84">
        <v>1</v>
      </c>
      <c r="AI1467" s="84">
        <v>1</v>
      </c>
      <c r="AJ1467" s="84">
        <v>1</v>
      </c>
      <c r="AK1467" s="84">
        <v>1</v>
      </c>
      <c r="AL1467" s="84" cm="1">
        <f t="array" ref="AL146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7" s="84" cm="1">
        <f t="array" ref="AM146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7" s="84" cm="1">
        <f t="array" ref="AN146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7" s="84" cm="1">
        <f t="array" ref="AO146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7" s="84" cm="1">
        <f t="array" ref="AP146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7" s="84" cm="1">
        <f t="array" ref="AQ146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7" s="84" cm="1">
        <f t="array" ref="AR146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7" s="84" cm="1">
        <f t="array" ref="AS146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7" s="84" cm="1">
        <f t="array" ref="AT146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7" s="84" cm="1">
        <f t="array" ref="AU146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7" s="84" cm="1">
        <f t="array" ref="AV146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7" s="84" cm="1">
        <f t="array" ref="AW146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7" s="84" cm="1">
        <f t="array" ref="AX146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7" s="84" cm="1">
        <f t="array" ref="AY146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7" s="84" cm="1">
        <f t="array" ref="AZ146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7" s="84" cm="1">
        <f t="array" ref="BA146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7" s="84" cm="1">
        <f t="array" ref="BB146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7" s="84">
        <f>IF(SUM(Table3[[#This Row],[Column2]:[Column18]])&gt;Table3[[#This Row],[Column19]],Table3[[#This Row],[Column19]],SUM(Table3[[#This Row],[Column2]:[Column18]]))</f>
        <v>10000</v>
      </c>
      <c r="BD1467" s="2">
        <f>Table3[[#This Row],[Total Spend]]/SUM(Table3[[#This Row],[Column2]:[Column18]])</f>
        <v>0.21574973031283712</v>
      </c>
    </row>
    <row r="1468" spans="1:56" ht="42.75">
      <c r="A1468" s="87" t="s">
        <v>1543</v>
      </c>
      <c r="B1468" s="87"/>
      <c r="C1468" s="87"/>
      <c r="D1468" s="85">
        <v>45566</v>
      </c>
      <c r="E1468" s="85" t="s">
        <v>92</v>
      </c>
      <c r="F1468" s="84">
        <f>INDEX(Definitions!$G$13:$G$17,MATCH(Table3[[#This Row],[Propensity to buy/ buyer readiness]],Definitions!$A$13:$A$17,0))</f>
        <v>10000</v>
      </c>
      <c r="G1468" s="86">
        <v>3</v>
      </c>
      <c r="H1468" s="86">
        <v>3</v>
      </c>
      <c r="I1468" s="86">
        <v>2</v>
      </c>
      <c r="J1468" s="86">
        <v>3</v>
      </c>
      <c r="K1468" s="86">
        <v>2</v>
      </c>
      <c r="L1468" s="86">
        <f>SUM(Table3[[#This Row],[Strategic priority segment]:[Propensity to buy/ buyer readiness]])</f>
        <v>13</v>
      </c>
      <c r="M1468" s="86" t="s">
        <v>191</v>
      </c>
      <c r="N1468" s="84" t="s">
        <v>135</v>
      </c>
      <c r="O1468" s="87"/>
      <c r="P1468" s="87"/>
      <c r="Q1468" s="87"/>
      <c r="R1468" s="84"/>
      <c r="S1468" s="87"/>
      <c r="T1468" s="87"/>
      <c r="U1468" s="84">
        <v>0</v>
      </c>
      <c r="V1468" s="84">
        <v>0</v>
      </c>
      <c r="W1468" s="84">
        <v>0</v>
      </c>
      <c r="X1468" s="84">
        <v>0</v>
      </c>
      <c r="Y1468" s="84">
        <v>0</v>
      </c>
      <c r="Z1468" s="84">
        <v>0</v>
      </c>
      <c r="AA1468" s="84">
        <v>0</v>
      </c>
      <c r="AB1468" s="84">
        <v>0</v>
      </c>
      <c r="AC1468" s="84">
        <v>0</v>
      </c>
      <c r="AD1468" s="84">
        <v>0</v>
      </c>
      <c r="AE1468" s="84">
        <v>0</v>
      </c>
      <c r="AF1468" s="84">
        <v>0</v>
      </c>
      <c r="AG1468" s="84">
        <v>0</v>
      </c>
      <c r="AH1468" s="84">
        <v>1</v>
      </c>
      <c r="AI1468" s="84">
        <v>1</v>
      </c>
      <c r="AJ1468" s="84">
        <v>1</v>
      </c>
      <c r="AK1468" s="84">
        <v>1</v>
      </c>
      <c r="AL1468" s="84" cm="1">
        <f t="array" ref="AL146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8" s="84" cm="1">
        <f t="array" ref="AM146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8" s="84" cm="1">
        <f t="array" ref="AN146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8" s="84" cm="1">
        <f t="array" ref="AO146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8" s="84" cm="1">
        <f t="array" ref="AP146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8" s="84" cm="1">
        <f t="array" ref="AQ146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8" s="84" cm="1">
        <f t="array" ref="AR146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8" s="84" cm="1">
        <f t="array" ref="AS146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8" s="84" cm="1">
        <f t="array" ref="AT146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8" s="84" cm="1">
        <f t="array" ref="AU146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8" s="84" cm="1">
        <f t="array" ref="AV146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8" s="84" cm="1">
        <f t="array" ref="AW146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8" s="84" cm="1">
        <f t="array" ref="AX146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8" s="84" cm="1">
        <f t="array" ref="AY146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8" s="84" cm="1">
        <f t="array" ref="AZ146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8" s="84" cm="1">
        <f t="array" ref="BA146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8" s="84" cm="1">
        <f t="array" ref="BB146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8" s="84">
        <f>IF(SUM(Table3[[#This Row],[Column2]:[Column18]])&gt;Table3[[#This Row],[Column19]],Table3[[#This Row],[Column19]],SUM(Table3[[#This Row],[Column2]:[Column18]]))</f>
        <v>10000</v>
      </c>
      <c r="BD1468" s="2">
        <f>Table3[[#This Row],[Total Spend]]/SUM(Table3[[#This Row],[Column2]:[Column18]])</f>
        <v>0.21574973031283712</v>
      </c>
    </row>
    <row r="1469" spans="1:56" ht="42.75">
      <c r="A1469" s="87" t="s">
        <v>1544</v>
      </c>
      <c r="B1469" s="87"/>
      <c r="C1469" s="87"/>
      <c r="D1469" s="85">
        <v>45566</v>
      </c>
      <c r="E1469" s="85" t="s">
        <v>92</v>
      </c>
      <c r="F1469" s="84">
        <f>INDEX(Definitions!$G$13:$G$17,MATCH(Table3[[#This Row],[Propensity to buy/ buyer readiness]],Definitions!$A$13:$A$17,0))</f>
        <v>10000</v>
      </c>
      <c r="G1469" s="86">
        <v>3</v>
      </c>
      <c r="H1469" s="86">
        <v>3</v>
      </c>
      <c r="I1469" s="86">
        <v>2</v>
      </c>
      <c r="J1469" s="86">
        <v>3</v>
      </c>
      <c r="K1469" s="86">
        <v>2</v>
      </c>
      <c r="L1469" s="86">
        <f>SUM(Table3[[#This Row],[Strategic priority segment]:[Propensity to buy/ buyer readiness]])</f>
        <v>13</v>
      </c>
      <c r="M1469" s="86" t="s">
        <v>191</v>
      </c>
      <c r="N1469" s="84" t="s">
        <v>135</v>
      </c>
      <c r="O1469" s="87"/>
      <c r="P1469" s="87"/>
      <c r="Q1469" s="87"/>
      <c r="R1469" s="84"/>
      <c r="S1469" s="87"/>
      <c r="T1469" s="84"/>
      <c r="U1469" s="84">
        <v>0</v>
      </c>
      <c r="V1469" s="84">
        <v>0</v>
      </c>
      <c r="W1469" s="84">
        <v>0</v>
      </c>
      <c r="X1469" s="84">
        <v>0</v>
      </c>
      <c r="Y1469" s="84">
        <v>0</v>
      </c>
      <c r="Z1469" s="84">
        <v>0</v>
      </c>
      <c r="AA1469" s="84">
        <v>0</v>
      </c>
      <c r="AB1469" s="84">
        <v>0</v>
      </c>
      <c r="AC1469" s="84">
        <v>0</v>
      </c>
      <c r="AD1469" s="84">
        <v>0</v>
      </c>
      <c r="AE1469" s="84">
        <v>0</v>
      </c>
      <c r="AF1469" s="84">
        <v>0</v>
      </c>
      <c r="AG1469" s="84">
        <v>0</v>
      </c>
      <c r="AH1469" s="84">
        <v>1</v>
      </c>
      <c r="AI1469" s="84">
        <v>1</v>
      </c>
      <c r="AJ1469" s="84">
        <v>1</v>
      </c>
      <c r="AK1469" s="84">
        <v>1</v>
      </c>
      <c r="AL1469" s="84" cm="1">
        <f t="array" ref="AL146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69" s="84" cm="1">
        <f t="array" ref="AM146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69" s="84" cm="1">
        <f t="array" ref="AN146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69" s="84" cm="1">
        <f t="array" ref="AO146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69" s="84" cm="1">
        <f t="array" ref="AP146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69" s="84" cm="1">
        <f t="array" ref="AQ146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69" s="84" cm="1">
        <f t="array" ref="AR146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69" s="84" cm="1">
        <f t="array" ref="AS146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69" s="84" cm="1">
        <f t="array" ref="AT146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69" s="84" cm="1">
        <f t="array" ref="AU146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69" s="84" cm="1">
        <f t="array" ref="AV146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69" s="84" cm="1">
        <f t="array" ref="AW146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69" s="84" cm="1">
        <f t="array" ref="AX146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69" s="84" cm="1">
        <f t="array" ref="AY146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69" s="84" cm="1">
        <f t="array" ref="AZ146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69" s="84" cm="1">
        <f t="array" ref="BA146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69" s="84" cm="1">
        <f t="array" ref="BB146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69" s="84">
        <f>IF(SUM(Table3[[#This Row],[Column2]:[Column18]])&gt;Table3[[#This Row],[Column19]],Table3[[#This Row],[Column19]],SUM(Table3[[#This Row],[Column2]:[Column18]]))</f>
        <v>10000</v>
      </c>
      <c r="BD1469" s="2">
        <f>Table3[[#This Row],[Total Spend]]/SUM(Table3[[#This Row],[Column2]:[Column18]])</f>
        <v>0.21574973031283712</v>
      </c>
    </row>
    <row r="1470" spans="1:56">
      <c r="A1470" s="88" t="s">
        <v>1545</v>
      </c>
      <c r="B1470" s="88"/>
      <c r="C1470" s="88"/>
      <c r="D1470" s="85">
        <v>45809</v>
      </c>
      <c r="E1470" s="85" t="s">
        <v>92</v>
      </c>
      <c r="F1470" s="84">
        <f>INDEX(Definitions!$G$13:$G$17,MATCH(Table3[[#This Row],[Propensity to buy/ buyer readiness]],Definitions!$A$13:$A$17,0))</f>
        <v>10000</v>
      </c>
      <c r="G1470" s="86">
        <v>3</v>
      </c>
      <c r="H1470" s="86">
        <v>3</v>
      </c>
      <c r="I1470" s="86">
        <v>2</v>
      </c>
      <c r="J1470" s="86">
        <v>3</v>
      </c>
      <c r="K1470" s="86">
        <v>2</v>
      </c>
      <c r="L1470" s="86">
        <f>SUM(Table3[[#This Row],[Strategic priority segment]:[Propensity to buy/ buyer readiness]])</f>
        <v>13</v>
      </c>
      <c r="M1470" s="86" t="s">
        <v>152</v>
      </c>
      <c r="N1470" s="84" t="s">
        <v>264</v>
      </c>
      <c r="O1470" s="84"/>
      <c r="P1470" s="87"/>
      <c r="Q1470" s="87"/>
      <c r="R1470" s="84"/>
      <c r="S1470" s="87"/>
      <c r="T1470" s="87"/>
      <c r="U1470" s="84">
        <v>1</v>
      </c>
      <c r="V1470" s="84">
        <v>0</v>
      </c>
      <c r="W1470" s="84">
        <v>0</v>
      </c>
      <c r="X1470" s="84">
        <v>0</v>
      </c>
      <c r="Y1470" s="84">
        <v>0</v>
      </c>
      <c r="Z1470" s="84">
        <v>0</v>
      </c>
      <c r="AA1470" s="84">
        <v>0</v>
      </c>
      <c r="AB1470" s="84">
        <v>0</v>
      </c>
      <c r="AC1470" s="84">
        <v>0</v>
      </c>
      <c r="AD1470" s="84">
        <v>0</v>
      </c>
      <c r="AE1470" s="84">
        <v>0</v>
      </c>
      <c r="AF1470" s="84">
        <v>0</v>
      </c>
      <c r="AG1470" s="84">
        <v>0</v>
      </c>
      <c r="AH1470" s="84">
        <v>0</v>
      </c>
      <c r="AI1470" s="84">
        <v>0</v>
      </c>
      <c r="AJ1470" s="84">
        <v>0</v>
      </c>
      <c r="AK1470" s="84">
        <v>0</v>
      </c>
      <c r="AL1470" s="84" cm="1">
        <f t="array" ref="AL147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70" s="84" cm="1">
        <f t="array" ref="AM147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0" s="84" cm="1">
        <f t="array" ref="AN147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0" s="84" cm="1">
        <f t="array" ref="AO147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0" s="84" cm="1">
        <f t="array" ref="AP147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0" s="84" cm="1">
        <f t="array" ref="AQ147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0" s="84" cm="1">
        <f t="array" ref="AR147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0" s="84" cm="1">
        <f t="array" ref="AS147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0" s="84" cm="1">
        <f t="array" ref="AT147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0" s="84" cm="1">
        <f t="array" ref="AU147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0" s="84" cm="1">
        <f t="array" ref="AV147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0" s="84" cm="1">
        <f t="array" ref="AW147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0" s="84" cm="1">
        <f t="array" ref="AX147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0" s="84" cm="1">
        <f t="array" ref="AY147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70" s="84" cm="1">
        <f t="array" ref="AZ147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70" s="84" cm="1">
        <f t="array" ref="BA147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70" s="84" cm="1">
        <f t="array" ref="BB147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70" s="84">
        <f>IF(SUM(Table3[[#This Row],[Column2]:[Column18]])&gt;Table3[[#This Row],[Column19]],Table3[[#This Row],[Column19]],SUM(Table3[[#This Row],[Column2]:[Column18]]))</f>
        <v>8100</v>
      </c>
      <c r="BD1470" s="2">
        <f>Table3[[#This Row],[Total Spend]]/SUM(Table3[[#This Row],[Column2]:[Column18]])</f>
        <v>1</v>
      </c>
    </row>
    <row r="1471" spans="1:56">
      <c r="A1471" s="87" t="s">
        <v>1546</v>
      </c>
      <c r="B1471" s="87"/>
      <c r="C1471" s="87"/>
      <c r="D1471" s="85">
        <v>45566</v>
      </c>
      <c r="E1471" s="85" t="s">
        <v>92</v>
      </c>
      <c r="F1471" s="84">
        <f>INDEX(Definitions!$G$13:$G$17,MATCH(Table3[[#This Row],[Propensity to buy/ buyer readiness]],Definitions!$A$13:$A$17,0))</f>
        <v>10000</v>
      </c>
      <c r="G1471" s="86">
        <v>3</v>
      </c>
      <c r="H1471" s="86">
        <v>3</v>
      </c>
      <c r="I1471" s="86">
        <v>2</v>
      </c>
      <c r="J1471" s="86">
        <v>3</v>
      </c>
      <c r="K1471" s="86">
        <v>2</v>
      </c>
      <c r="L1471" s="86">
        <f>SUM(Table3[[#This Row],[Strategic priority segment]:[Propensity to buy/ buyer readiness]])</f>
        <v>13</v>
      </c>
      <c r="M1471" s="86" t="s">
        <v>191</v>
      </c>
      <c r="N1471" s="84" t="s">
        <v>135</v>
      </c>
      <c r="O1471" s="87"/>
      <c r="P1471" s="87"/>
      <c r="Q1471" s="87"/>
      <c r="R1471" s="84"/>
      <c r="S1471" s="87"/>
      <c r="T1471" s="87"/>
      <c r="U1471" s="84">
        <v>0</v>
      </c>
      <c r="V1471" s="84">
        <v>0</v>
      </c>
      <c r="W1471" s="84">
        <v>0</v>
      </c>
      <c r="X1471" s="84">
        <v>0</v>
      </c>
      <c r="Y1471" s="84">
        <v>0</v>
      </c>
      <c r="Z1471" s="84">
        <v>0</v>
      </c>
      <c r="AA1471" s="84">
        <v>0</v>
      </c>
      <c r="AB1471" s="84">
        <v>0</v>
      </c>
      <c r="AC1471" s="84">
        <v>0</v>
      </c>
      <c r="AD1471" s="84">
        <v>0</v>
      </c>
      <c r="AE1471" s="84">
        <v>0</v>
      </c>
      <c r="AF1471" s="84">
        <v>0</v>
      </c>
      <c r="AG1471" s="84">
        <v>0</v>
      </c>
      <c r="AH1471" s="84">
        <v>1</v>
      </c>
      <c r="AI1471" s="84">
        <v>1</v>
      </c>
      <c r="AJ1471" s="84">
        <v>1</v>
      </c>
      <c r="AK1471" s="84">
        <v>1</v>
      </c>
      <c r="AL1471" s="84" cm="1">
        <f t="array" ref="AL147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71" s="84" cm="1">
        <f t="array" ref="AM147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1" s="84" cm="1">
        <f t="array" ref="AN147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1" s="84" cm="1">
        <f t="array" ref="AO147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1" s="84" cm="1">
        <f t="array" ref="AP147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1" s="84" cm="1">
        <f t="array" ref="AQ147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1" s="84" cm="1">
        <f t="array" ref="AR147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1" s="84" cm="1">
        <f t="array" ref="AS147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1" s="84" cm="1">
        <f t="array" ref="AT147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1" s="84" cm="1">
        <f t="array" ref="AU147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1" s="84" cm="1">
        <f t="array" ref="AV147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1" s="84" cm="1">
        <f t="array" ref="AW147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1" s="84" cm="1">
        <f t="array" ref="AX147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1" s="84" cm="1">
        <f t="array" ref="AY147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1" s="84" cm="1">
        <f t="array" ref="AZ147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1" s="84" cm="1">
        <f t="array" ref="BA147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1" s="84" cm="1">
        <f t="array" ref="BB147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1" s="84">
        <f>IF(SUM(Table3[[#This Row],[Column2]:[Column18]])&gt;Table3[[#This Row],[Column19]],Table3[[#This Row],[Column19]],SUM(Table3[[#This Row],[Column2]:[Column18]]))</f>
        <v>10000</v>
      </c>
      <c r="BD1471" s="2">
        <f>Table3[[#This Row],[Total Spend]]/SUM(Table3[[#This Row],[Column2]:[Column18]])</f>
        <v>0.21574973031283712</v>
      </c>
    </row>
    <row r="1472" spans="1:56">
      <c r="A1472" s="84" t="s">
        <v>1547</v>
      </c>
      <c r="B1472" s="84"/>
      <c r="C1472" s="84"/>
      <c r="D1472" s="85">
        <v>45809</v>
      </c>
      <c r="E1472" s="85" t="s">
        <v>92</v>
      </c>
      <c r="F1472" s="84">
        <f>INDEX(Definitions!$G$13:$G$17,MATCH(Table3[[#This Row],[Propensity to buy/ buyer readiness]],Definitions!$A$13:$A$17,0))</f>
        <v>10000</v>
      </c>
      <c r="G1472" s="86">
        <v>3</v>
      </c>
      <c r="H1472" s="86">
        <v>3</v>
      </c>
      <c r="I1472" s="86">
        <v>2</v>
      </c>
      <c r="J1472" s="86">
        <v>3</v>
      </c>
      <c r="K1472" s="86">
        <v>2</v>
      </c>
      <c r="L1472" s="86">
        <f>SUM(Table3[[#This Row],[Strategic priority segment]:[Propensity to buy/ buyer readiness]])</f>
        <v>13</v>
      </c>
      <c r="M1472" s="86" t="s">
        <v>191</v>
      </c>
      <c r="N1472" s="84" t="s">
        <v>135</v>
      </c>
      <c r="O1472" s="84"/>
      <c r="P1472" s="87"/>
      <c r="Q1472" s="87"/>
      <c r="R1472" s="84"/>
      <c r="S1472" s="84"/>
      <c r="T1472" s="84"/>
      <c r="U1472" s="84">
        <v>0</v>
      </c>
      <c r="V1472" s="84">
        <v>0</v>
      </c>
      <c r="W1472" s="84">
        <v>0</v>
      </c>
      <c r="X1472" s="84">
        <v>0</v>
      </c>
      <c r="Y1472" s="84">
        <v>0</v>
      </c>
      <c r="Z1472" s="84">
        <v>0</v>
      </c>
      <c r="AA1472" s="84">
        <v>0</v>
      </c>
      <c r="AB1472" s="84">
        <v>0</v>
      </c>
      <c r="AC1472" s="84">
        <v>0</v>
      </c>
      <c r="AD1472" s="84">
        <v>0</v>
      </c>
      <c r="AE1472" s="84">
        <v>0</v>
      </c>
      <c r="AF1472" s="84">
        <v>0</v>
      </c>
      <c r="AG1472" s="84">
        <v>0</v>
      </c>
      <c r="AH1472" s="84">
        <v>1</v>
      </c>
      <c r="AI1472" s="84">
        <v>1</v>
      </c>
      <c r="AJ1472" s="84">
        <v>1</v>
      </c>
      <c r="AK1472" s="84">
        <v>1</v>
      </c>
      <c r="AL1472" s="84" cm="1">
        <f t="array" ref="AL147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72" s="84" cm="1">
        <f t="array" ref="AM147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2" s="84" cm="1">
        <f t="array" ref="AN147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2" s="84" cm="1">
        <f t="array" ref="AO147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2" s="84" cm="1">
        <f t="array" ref="AP147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2" s="84" cm="1">
        <f t="array" ref="AQ147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2" s="84" cm="1">
        <f t="array" ref="AR147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2" s="84" cm="1">
        <f t="array" ref="AS147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2" s="84" cm="1">
        <f t="array" ref="AT147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2" s="84" cm="1">
        <f t="array" ref="AU147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2" s="84" cm="1">
        <f t="array" ref="AV147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2" s="84" cm="1">
        <f t="array" ref="AW147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2" s="84" cm="1">
        <f t="array" ref="AX147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2" s="84" cm="1">
        <f t="array" ref="AY147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2" s="84" cm="1">
        <f t="array" ref="AZ147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2" s="84" cm="1">
        <f t="array" ref="BA147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2" s="84" cm="1">
        <f t="array" ref="BB147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2" s="84">
        <f>IF(SUM(Table3[[#This Row],[Column2]:[Column18]])&gt;Table3[[#This Row],[Column19]],Table3[[#This Row],[Column19]],SUM(Table3[[#This Row],[Column2]:[Column18]]))</f>
        <v>10000</v>
      </c>
      <c r="BD1472" s="2">
        <f>Table3[[#This Row],[Total Spend]]/SUM(Table3[[#This Row],[Column2]:[Column18]])</f>
        <v>0.21574973031283712</v>
      </c>
    </row>
    <row r="1473" spans="1:56">
      <c r="A1473" s="84" t="s">
        <v>1548</v>
      </c>
      <c r="B1473" s="84"/>
      <c r="C1473" s="84"/>
      <c r="D1473" s="85">
        <v>45566</v>
      </c>
      <c r="E1473" s="85" t="s">
        <v>92</v>
      </c>
      <c r="F1473" s="84">
        <f>INDEX(Definitions!$G$13:$G$17,MATCH(Table3[[#This Row],[Propensity to buy/ buyer readiness]],Definitions!$A$13:$A$17,0))</f>
        <v>10000</v>
      </c>
      <c r="G1473" s="86">
        <v>3</v>
      </c>
      <c r="H1473" s="86">
        <v>3</v>
      </c>
      <c r="I1473" s="86">
        <v>2</v>
      </c>
      <c r="J1473" s="86">
        <v>3</v>
      </c>
      <c r="K1473" s="86">
        <v>2</v>
      </c>
      <c r="L1473" s="86">
        <f>SUM(Table3[[#This Row],[Strategic priority segment]:[Propensity to buy/ buyer readiness]])</f>
        <v>13</v>
      </c>
      <c r="M1473" s="86" t="s">
        <v>191</v>
      </c>
      <c r="N1473" s="84" t="s">
        <v>135</v>
      </c>
      <c r="O1473" s="87"/>
      <c r="P1473" s="87"/>
      <c r="Q1473" s="87"/>
      <c r="R1473" s="84"/>
      <c r="S1473" s="87"/>
      <c r="T1473" s="87"/>
      <c r="U1473" s="84">
        <v>0</v>
      </c>
      <c r="V1473" s="84">
        <v>0</v>
      </c>
      <c r="W1473" s="84">
        <v>0</v>
      </c>
      <c r="X1473" s="84">
        <v>0</v>
      </c>
      <c r="Y1473" s="84">
        <v>0</v>
      </c>
      <c r="Z1473" s="84">
        <v>0</v>
      </c>
      <c r="AA1473" s="84">
        <v>0</v>
      </c>
      <c r="AB1473" s="84">
        <v>0</v>
      </c>
      <c r="AC1473" s="84">
        <v>0</v>
      </c>
      <c r="AD1473" s="84">
        <v>0</v>
      </c>
      <c r="AE1473" s="84">
        <v>0</v>
      </c>
      <c r="AF1473" s="84">
        <v>0</v>
      </c>
      <c r="AG1473" s="84">
        <v>0</v>
      </c>
      <c r="AH1473" s="84">
        <v>1</v>
      </c>
      <c r="AI1473" s="84">
        <v>1</v>
      </c>
      <c r="AJ1473" s="84">
        <v>1</v>
      </c>
      <c r="AK1473" s="84">
        <v>1</v>
      </c>
      <c r="AL1473" s="84" cm="1">
        <f t="array" ref="AL147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73" s="84" cm="1">
        <f t="array" ref="AM147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3" s="84" cm="1">
        <f t="array" ref="AN147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3" s="84" cm="1">
        <f t="array" ref="AO147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3" s="84" cm="1">
        <f t="array" ref="AP147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3" s="84" cm="1">
        <f t="array" ref="AQ147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3" s="84" cm="1">
        <f t="array" ref="AR147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3" s="84" cm="1">
        <f t="array" ref="AS147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3" s="84" cm="1">
        <f t="array" ref="AT147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3" s="84" cm="1">
        <f t="array" ref="AU147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3" s="84" cm="1">
        <f t="array" ref="AV147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3" s="84" cm="1">
        <f t="array" ref="AW147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3" s="84" cm="1">
        <f t="array" ref="AX147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3" s="84" cm="1">
        <f t="array" ref="AY147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3" s="84" cm="1">
        <f t="array" ref="AZ147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3" s="84" cm="1">
        <f t="array" ref="BA147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3" s="84" cm="1">
        <f t="array" ref="BB147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3" s="84">
        <f>IF(SUM(Table3[[#This Row],[Column2]:[Column18]])&gt;Table3[[#This Row],[Column19]],Table3[[#This Row],[Column19]],SUM(Table3[[#This Row],[Column2]:[Column18]]))</f>
        <v>10000</v>
      </c>
      <c r="BD1473" s="2">
        <f>Table3[[#This Row],[Total Spend]]/SUM(Table3[[#This Row],[Column2]:[Column18]])</f>
        <v>0.21574973031283712</v>
      </c>
    </row>
    <row r="1474" spans="1:56">
      <c r="A1474" s="84" t="s">
        <v>1549</v>
      </c>
      <c r="B1474" s="84"/>
      <c r="C1474" s="84"/>
      <c r="D1474" s="85">
        <v>45566</v>
      </c>
      <c r="E1474" s="85" t="s">
        <v>92</v>
      </c>
      <c r="F1474" s="84">
        <f>INDEX(Definitions!$G$13:$G$17,MATCH(Table3[[#This Row],[Propensity to buy/ buyer readiness]],Definitions!$A$13:$A$17,0))</f>
        <v>10000</v>
      </c>
      <c r="G1474" s="86">
        <v>3</v>
      </c>
      <c r="H1474" s="86">
        <v>3</v>
      </c>
      <c r="I1474" s="86">
        <v>2</v>
      </c>
      <c r="J1474" s="86">
        <v>3</v>
      </c>
      <c r="K1474" s="86">
        <v>2</v>
      </c>
      <c r="L1474" s="86">
        <f>SUM(Table3[[#This Row],[Strategic priority segment]:[Propensity to buy/ buyer readiness]])</f>
        <v>13</v>
      </c>
      <c r="M1474" s="86" t="s">
        <v>152</v>
      </c>
      <c r="N1474" s="84" t="s">
        <v>264</v>
      </c>
      <c r="O1474" s="84"/>
      <c r="P1474" s="87"/>
      <c r="Q1474" s="87"/>
      <c r="R1474" s="84"/>
      <c r="S1474" s="87"/>
      <c r="T1474" s="84"/>
      <c r="U1474" s="84">
        <v>1</v>
      </c>
      <c r="V1474" s="84">
        <v>0</v>
      </c>
      <c r="W1474" s="84">
        <v>0</v>
      </c>
      <c r="X1474" s="84">
        <v>0</v>
      </c>
      <c r="Y1474" s="84">
        <v>0</v>
      </c>
      <c r="Z1474" s="84">
        <v>0</v>
      </c>
      <c r="AA1474" s="84">
        <v>0</v>
      </c>
      <c r="AB1474" s="84">
        <v>0</v>
      </c>
      <c r="AC1474" s="84">
        <v>0</v>
      </c>
      <c r="AD1474" s="84">
        <v>0</v>
      </c>
      <c r="AE1474" s="84">
        <v>0</v>
      </c>
      <c r="AF1474" s="84">
        <v>0</v>
      </c>
      <c r="AG1474" s="84">
        <v>0</v>
      </c>
      <c r="AH1474" s="84">
        <v>0</v>
      </c>
      <c r="AI1474" s="84">
        <v>0</v>
      </c>
      <c r="AJ1474" s="84">
        <v>0</v>
      </c>
      <c r="AK1474" s="84">
        <v>0</v>
      </c>
      <c r="AL1474" s="84" cm="1">
        <f t="array" ref="AL147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74" s="84" cm="1">
        <f t="array" ref="AM147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4" s="84" cm="1">
        <f t="array" ref="AN147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4" s="84" cm="1">
        <f t="array" ref="AO147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4" s="84" cm="1">
        <f t="array" ref="AP147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4" s="84" cm="1">
        <f t="array" ref="AQ147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4" s="84" cm="1">
        <f t="array" ref="AR147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4" s="84" cm="1">
        <f t="array" ref="AS147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4" s="84" cm="1">
        <f t="array" ref="AT147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4" s="84" cm="1">
        <f t="array" ref="AU147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4" s="84" cm="1">
        <f t="array" ref="AV147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4" s="84" cm="1">
        <f t="array" ref="AW147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4" s="84" cm="1">
        <f t="array" ref="AX147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4" s="84" cm="1">
        <f t="array" ref="AY147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74" s="84" cm="1">
        <f t="array" ref="AZ147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74" s="84" cm="1">
        <f t="array" ref="BA147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74" s="84" cm="1">
        <f t="array" ref="BB147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74" s="84">
        <f>IF(SUM(Table3[[#This Row],[Column2]:[Column18]])&gt;Table3[[#This Row],[Column19]],Table3[[#This Row],[Column19]],SUM(Table3[[#This Row],[Column2]:[Column18]]))</f>
        <v>8100</v>
      </c>
      <c r="BD1474" s="2">
        <f>Table3[[#This Row],[Total Spend]]/SUM(Table3[[#This Row],[Column2]:[Column18]])</f>
        <v>1</v>
      </c>
    </row>
    <row r="1475" spans="1:56" ht="28.5">
      <c r="A1475" s="84" t="s">
        <v>1550</v>
      </c>
      <c r="B1475" s="84"/>
      <c r="C1475" s="84"/>
      <c r="D1475" s="85">
        <v>45566</v>
      </c>
      <c r="E1475" s="85" t="s">
        <v>92</v>
      </c>
      <c r="F1475" s="84">
        <f>INDEX(Definitions!$G$13:$G$17,MATCH(Table3[[#This Row],[Propensity to buy/ buyer readiness]],Definitions!$A$13:$A$17,0))</f>
        <v>10000</v>
      </c>
      <c r="G1475" s="86">
        <v>3</v>
      </c>
      <c r="H1475" s="86">
        <v>3</v>
      </c>
      <c r="I1475" s="86">
        <v>2</v>
      </c>
      <c r="J1475" s="86">
        <v>3</v>
      </c>
      <c r="K1475" s="86">
        <v>2</v>
      </c>
      <c r="L1475" s="86">
        <f>SUM(Table3[[#This Row],[Strategic priority segment]:[Propensity to buy/ buyer readiness]])</f>
        <v>13</v>
      </c>
      <c r="M1475" s="86" t="s">
        <v>191</v>
      </c>
      <c r="N1475" s="84" t="s">
        <v>135</v>
      </c>
      <c r="O1475" s="87" t="s">
        <v>61</v>
      </c>
      <c r="P1475" s="87"/>
      <c r="Q1475" s="87"/>
      <c r="R1475" s="84"/>
      <c r="S1475" s="87"/>
      <c r="T1475" s="87"/>
      <c r="U1475" s="84">
        <v>1</v>
      </c>
      <c r="V1475" s="84">
        <v>0</v>
      </c>
      <c r="W1475" s="84">
        <v>0</v>
      </c>
      <c r="X1475" s="84">
        <v>0</v>
      </c>
      <c r="Y1475" s="84">
        <v>0</v>
      </c>
      <c r="Z1475" s="84">
        <v>1</v>
      </c>
      <c r="AA1475" s="84">
        <v>1</v>
      </c>
      <c r="AB1475" s="84">
        <v>1</v>
      </c>
      <c r="AC1475" s="84">
        <v>1</v>
      </c>
      <c r="AD1475" s="84">
        <v>0</v>
      </c>
      <c r="AE1475" s="84">
        <v>0</v>
      </c>
      <c r="AF1475" s="84">
        <v>0</v>
      </c>
      <c r="AG1475" s="84">
        <v>0</v>
      </c>
      <c r="AH1475" s="84">
        <v>1</v>
      </c>
      <c r="AI1475" s="84">
        <v>1</v>
      </c>
      <c r="AJ1475" s="84">
        <v>1</v>
      </c>
      <c r="AK1475" s="84">
        <v>1</v>
      </c>
      <c r="AL1475" s="84" cm="1">
        <f t="array" ref="AL147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75" s="84" cm="1">
        <f t="array" ref="AM147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5" s="84" cm="1">
        <f t="array" ref="AN147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5" s="84" cm="1">
        <f t="array" ref="AO147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5" s="84" cm="1">
        <f t="array" ref="AP147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5" s="84" cm="1">
        <f t="array" ref="AQ147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17100</v>
      </c>
      <c r="AR1475" s="84" cm="1">
        <f t="array" ref="AR147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15300</v>
      </c>
      <c r="AS1475" s="84" cm="1">
        <f t="array" ref="AS147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42300</v>
      </c>
      <c r="AT1475" s="84" cm="1">
        <f t="array" ref="AT147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18900</v>
      </c>
      <c r="AU1475" s="84" cm="1">
        <f t="array" ref="AU147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5" s="84" cm="1">
        <f t="array" ref="AV147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5" s="84" cm="1">
        <f t="array" ref="AW147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5" s="84" cm="1">
        <f t="array" ref="AX147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5" s="84" cm="1">
        <f t="array" ref="AY147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5" s="84" cm="1">
        <f t="array" ref="AZ147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5" s="84" cm="1">
        <f t="array" ref="BA147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5" s="84" cm="1">
        <f t="array" ref="BB147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5" s="84">
        <f>IF(SUM(Table3[[#This Row],[Column2]:[Column18]])&gt;Table3[[#This Row],[Column19]],Table3[[#This Row],[Column19]],SUM(Table3[[#This Row],[Column2]:[Column18]]))</f>
        <v>10000</v>
      </c>
      <c r="BD1475" s="2">
        <f>Table3[[#This Row],[Total Spend]]/SUM(Table3[[#This Row],[Column2]:[Column18]])</f>
        <v>6.7544748395812232E-2</v>
      </c>
    </row>
    <row r="1476" spans="1:56">
      <c r="A1476" s="84" t="s">
        <v>1551</v>
      </c>
      <c r="B1476" s="84"/>
      <c r="C1476" s="84"/>
      <c r="D1476" s="85">
        <v>45566</v>
      </c>
      <c r="E1476" s="85" t="s">
        <v>92</v>
      </c>
      <c r="F1476" s="84">
        <f>INDEX(Definitions!$G$13:$G$17,MATCH(Table3[[#This Row],[Propensity to buy/ buyer readiness]],Definitions!$A$13:$A$17,0))</f>
        <v>10000</v>
      </c>
      <c r="G1476" s="86">
        <v>3</v>
      </c>
      <c r="H1476" s="86">
        <v>3</v>
      </c>
      <c r="I1476" s="86">
        <v>2</v>
      </c>
      <c r="J1476" s="86">
        <v>3</v>
      </c>
      <c r="K1476" s="86">
        <v>2</v>
      </c>
      <c r="L1476" s="86">
        <f>SUM(Table3[[#This Row],[Strategic priority segment]:[Propensity to buy/ buyer readiness]])</f>
        <v>13</v>
      </c>
      <c r="M1476" s="86" t="s">
        <v>152</v>
      </c>
      <c r="N1476" s="84" t="s">
        <v>264</v>
      </c>
      <c r="O1476" s="84"/>
      <c r="P1476" s="84"/>
      <c r="Q1476" s="84"/>
      <c r="R1476" s="84"/>
      <c r="S1476" s="84"/>
      <c r="T1476" s="87"/>
      <c r="U1476" s="84">
        <v>1</v>
      </c>
      <c r="V1476" s="84">
        <v>0</v>
      </c>
      <c r="W1476" s="84">
        <v>0</v>
      </c>
      <c r="X1476" s="84">
        <v>0</v>
      </c>
      <c r="Y1476" s="84">
        <v>0</v>
      </c>
      <c r="Z1476" s="84">
        <v>0</v>
      </c>
      <c r="AA1476" s="84">
        <v>0</v>
      </c>
      <c r="AB1476" s="84">
        <v>0</v>
      </c>
      <c r="AC1476" s="84">
        <v>0</v>
      </c>
      <c r="AD1476" s="84">
        <v>0</v>
      </c>
      <c r="AE1476" s="84">
        <v>0</v>
      </c>
      <c r="AF1476" s="84">
        <v>0</v>
      </c>
      <c r="AG1476" s="84">
        <v>0</v>
      </c>
      <c r="AH1476" s="84">
        <v>0</v>
      </c>
      <c r="AI1476" s="84">
        <v>0</v>
      </c>
      <c r="AJ1476" s="84">
        <v>0</v>
      </c>
      <c r="AK1476" s="84">
        <v>0</v>
      </c>
      <c r="AL1476" s="84" cm="1">
        <f t="array" ref="AL147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76" s="84" cm="1">
        <f t="array" ref="AM147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6" s="84" cm="1">
        <f t="array" ref="AN147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6" s="84" cm="1">
        <f t="array" ref="AO147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6" s="84" cm="1">
        <f t="array" ref="AP147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6" s="84" cm="1">
        <f t="array" ref="AQ147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6" s="84" cm="1">
        <f t="array" ref="AR147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6" s="84" cm="1">
        <f t="array" ref="AS147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6" s="84" cm="1">
        <f t="array" ref="AT147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6" s="84" cm="1">
        <f t="array" ref="AU147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6" s="84" cm="1">
        <f t="array" ref="AV147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6" s="84" cm="1">
        <f t="array" ref="AW147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6" s="84" cm="1">
        <f t="array" ref="AX147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6" s="84" cm="1">
        <f t="array" ref="AY147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76" s="84" cm="1">
        <f t="array" ref="AZ147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76" s="84" cm="1">
        <f t="array" ref="BA147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76" s="84" cm="1">
        <f t="array" ref="BB147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76" s="84">
        <f>IF(SUM(Table3[[#This Row],[Column2]:[Column18]])&gt;Table3[[#This Row],[Column19]],Table3[[#This Row],[Column19]],SUM(Table3[[#This Row],[Column2]:[Column18]]))</f>
        <v>8100</v>
      </c>
      <c r="BD1476" s="2">
        <f>Table3[[#This Row],[Total Spend]]/SUM(Table3[[#This Row],[Column2]:[Column18]])</f>
        <v>1</v>
      </c>
    </row>
    <row r="1477" spans="1:56" ht="28.5">
      <c r="A1477" s="87" t="s">
        <v>1552</v>
      </c>
      <c r="B1477" s="87"/>
      <c r="C1477" s="87"/>
      <c r="D1477" s="85">
        <v>45566</v>
      </c>
      <c r="E1477" s="85" t="s">
        <v>92</v>
      </c>
      <c r="F1477" s="84">
        <f>INDEX(Definitions!$G$13:$G$17,MATCH(Table3[[#This Row],[Propensity to buy/ buyer readiness]],Definitions!$A$13:$A$17,0))</f>
        <v>10000</v>
      </c>
      <c r="G1477" s="86">
        <v>3</v>
      </c>
      <c r="H1477" s="86">
        <v>3</v>
      </c>
      <c r="I1477" s="86">
        <v>2</v>
      </c>
      <c r="J1477" s="86">
        <v>3</v>
      </c>
      <c r="K1477" s="86">
        <v>2</v>
      </c>
      <c r="L1477" s="86">
        <f>SUM(Table3[[#This Row],[Strategic priority segment]:[Propensity to buy/ buyer readiness]])</f>
        <v>13</v>
      </c>
      <c r="M1477" s="86" t="s">
        <v>191</v>
      </c>
      <c r="N1477" s="84" t="s">
        <v>135</v>
      </c>
      <c r="O1477" s="87"/>
      <c r="P1477" s="87"/>
      <c r="Q1477" s="87"/>
      <c r="R1477" s="84"/>
      <c r="S1477" s="87"/>
      <c r="T1477" s="84"/>
      <c r="U1477" s="84">
        <v>0</v>
      </c>
      <c r="V1477" s="84">
        <v>0</v>
      </c>
      <c r="W1477" s="84">
        <v>0</v>
      </c>
      <c r="X1477" s="84">
        <v>0</v>
      </c>
      <c r="Y1477" s="84">
        <v>0</v>
      </c>
      <c r="Z1477" s="84">
        <v>0</v>
      </c>
      <c r="AA1477" s="84">
        <v>0</v>
      </c>
      <c r="AB1477" s="84">
        <v>0</v>
      </c>
      <c r="AC1477" s="84">
        <v>0</v>
      </c>
      <c r="AD1477" s="84">
        <v>0</v>
      </c>
      <c r="AE1477" s="84">
        <v>0</v>
      </c>
      <c r="AF1477" s="84">
        <v>0</v>
      </c>
      <c r="AG1477" s="84">
        <v>0</v>
      </c>
      <c r="AH1477" s="84">
        <v>1</v>
      </c>
      <c r="AI1477" s="84">
        <v>1</v>
      </c>
      <c r="AJ1477" s="84">
        <v>1</v>
      </c>
      <c r="AK1477" s="84">
        <v>1</v>
      </c>
      <c r="AL1477" s="84" cm="1">
        <f t="array" ref="AL147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77" s="84" cm="1">
        <f t="array" ref="AM147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7" s="84" cm="1">
        <f t="array" ref="AN147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7" s="84" cm="1">
        <f t="array" ref="AO147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7" s="84" cm="1">
        <f t="array" ref="AP147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7" s="84" cm="1">
        <f t="array" ref="AQ147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7" s="84" cm="1">
        <f t="array" ref="AR147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7" s="84" cm="1">
        <f t="array" ref="AS147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7" s="84" cm="1">
        <f t="array" ref="AT147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7" s="84" cm="1">
        <f t="array" ref="AU147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7" s="84" cm="1">
        <f t="array" ref="AV147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7" s="84" cm="1">
        <f t="array" ref="AW147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7" s="84" cm="1">
        <f t="array" ref="AX147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7" s="84" cm="1">
        <f t="array" ref="AY147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7" s="84" cm="1">
        <f t="array" ref="AZ147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7" s="84" cm="1">
        <f t="array" ref="BA147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7" s="84" cm="1">
        <f t="array" ref="BB147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7" s="84">
        <f>IF(SUM(Table3[[#This Row],[Column2]:[Column18]])&gt;Table3[[#This Row],[Column19]],Table3[[#This Row],[Column19]],SUM(Table3[[#This Row],[Column2]:[Column18]]))</f>
        <v>10000</v>
      </c>
      <c r="BD1477" s="2">
        <f>Table3[[#This Row],[Total Spend]]/SUM(Table3[[#This Row],[Column2]:[Column18]])</f>
        <v>0.21574973031283712</v>
      </c>
    </row>
    <row r="1478" spans="1:56" ht="28.5">
      <c r="A1478" s="87" t="s">
        <v>1553</v>
      </c>
      <c r="B1478" s="87"/>
      <c r="C1478" s="87"/>
      <c r="D1478" s="85">
        <v>45566</v>
      </c>
      <c r="E1478" s="85" t="s">
        <v>92</v>
      </c>
      <c r="F1478" s="84">
        <f>INDEX(Definitions!$G$13:$G$17,MATCH(Table3[[#This Row],[Propensity to buy/ buyer readiness]],Definitions!$A$13:$A$17,0))</f>
        <v>10000</v>
      </c>
      <c r="G1478" s="86">
        <v>3</v>
      </c>
      <c r="H1478" s="86">
        <v>3</v>
      </c>
      <c r="I1478" s="86">
        <v>2</v>
      </c>
      <c r="J1478" s="86">
        <v>3</v>
      </c>
      <c r="K1478" s="86">
        <v>2</v>
      </c>
      <c r="L1478" s="86">
        <f>SUM(Table3[[#This Row],[Strategic priority segment]:[Propensity to buy/ buyer readiness]])</f>
        <v>13</v>
      </c>
      <c r="M1478" s="86" t="s">
        <v>191</v>
      </c>
      <c r="N1478" s="84" t="s">
        <v>135</v>
      </c>
      <c r="O1478" s="87"/>
      <c r="P1478" s="87"/>
      <c r="Q1478" s="87"/>
      <c r="R1478" s="84"/>
      <c r="S1478" s="87"/>
      <c r="T1478" s="87"/>
      <c r="U1478" s="84">
        <v>0</v>
      </c>
      <c r="V1478" s="84">
        <v>0</v>
      </c>
      <c r="W1478" s="84">
        <v>0</v>
      </c>
      <c r="X1478" s="84">
        <v>0</v>
      </c>
      <c r="Y1478" s="84">
        <v>0</v>
      </c>
      <c r="Z1478" s="84">
        <v>0</v>
      </c>
      <c r="AA1478" s="84">
        <v>0</v>
      </c>
      <c r="AB1478" s="84">
        <v>0</v>
      </c>
      <c r="AC1478" s="84">
        <v>0</v>
      </c>
      <c r="AD1478" s="84">
        <v>0</v>
      </c>
      <c r="AE1478" s="84">
        <v>0</v>
      </c>
      <c r="AF1478" s="84">
        <v>0</v>
      </c>
      <c r="AG1478" s="84">
        <v>0</v>
      </c>
      <c r="AH1478" s="84">
        <v>1</v>
      </c>
      <c r="AI1478" s="84">
        <v>1</v>
      </c>
      <c r="AJ1478" s="84">
        <v>1</v>
      </c>
      <c r="AK1478" s="84">
        <v>1</v>
      </c>
      <c r="AL1478" s="84" cm="1">
        <f t="array" ref="AL147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78" s="84" cm="1">
        <f t="array" ref="AM147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8" s="84" cm="1">
        <f t="array" ref="AN147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8" s="84" cm="1">
        <f t="array" ref="AO147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8" s="84" cm="1">
        <f t="array" ref="AP147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8" s="84" cm="1">
        <f t="array" ref="AQ147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8" s="84" cm="1">
        <f t="array" ref="AR147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8" s="84" cm="1">
        <f t="array" ref="AS147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8" s="84" cm="1">
        <f t="array" ref="AT147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8" s="84" cm="1">
        <f t="array" ref="AU147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8" s="84" cm="1">
        <f t="array" ref="AV147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8" s="84" cm="1">
        <f t="array" ref="AW147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8" s="84" cm="1">
        <f t="array" ref="AX147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8" s="84" cm="1">
        <f t="array" ref="AY147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8" s="84" cm="1">
        <f t="array" ref="AZ147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8" s="84" cm="1">
        <f t="array" ref="BA147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8" s="84" cm="1">
        <f t="array" ref="BB147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8" s="84">
        <f>IF(SUM(Table3[[#This Row],[Column2]:[Column18]])&gt;Table3[[#This Row],[Column19]],Table3[[#This Row],[Column19]],SUM(Table3[[#This Row],[Column2]:[Column18]]))</f>
        <v>10000</v>
      </c>
      <c r="BD1478" s="2">
        <f>Table3[[#This Row],[Total Spend]]/SUM(Table3[[#This Row],[Column2]:[Column18]])</f>
        <v>0.21574973031283712</v>
      </c>
    </row>
    <row r="1479" spans="1:56">
      <c r="A1479" s="87" t="s">
        <v>1554</v>
      </c>
      <c r="B1479" s="87"/>
      <c r="C1479" s="87"/>
      <c r="D1479" s="85">
        <v>45566</v>
      </c>
      <c r="E1479" s="85" t="s">
        <v>92</v>
      </c>
      <c r="F1479" s="84">
        <f>INDEX(Definitions!$G$13:$G$17,MATCH(Table3[[#This Row],[Propensity to buy/ buyer readiness]],Definitions!$A$13:$A$17,0))</f>
        <v>10000</v>
      </c>
      <c r="G1479" s="86">
        <v>3</v>
      </c>
      <c r="H1479" s="86">
        <v>3</v>
      </c>
      <c r="I1479" s="86">
        <v>2</v>
      </c>
      <c r="J1479" s="86">
        <v>3</v>
      </c>
      <c r="K1479" s="86">
        <v>2</v>
      </c>
      <c r="L1479" s="86">
        <f>SUM(Table3[[#This Row],[Strategic priority segment]:[Propensity to buy/ buyer readiness]])</f>
        <v>13</v>
      </c>
      <c r="M1479" s="86" t="s">
        <v>191</v>
      </c>
      <c r="N1479" s="84" t="s">
        <v>135</v>
      </c>
      <c r="O1479" s="87"/>
      <c r="P1479" s="87"/>
      <c r="Q1479" s="87"/>
      <c r="R1479" s="84"/>
      <c r="S1479" s="87"/>
      <c r="T1479" s="87"/>
      <c r="U1479" s="84">
        <v>0</v>
      </c>
      <c r="V1479" s="84">
        <v>0</v>
      </c>
      <c r="W1479" s="84">
        <v>0</v>
      </c>
      <c r="X1479" s="84">
        <v>0</v>
      </c>
      <c r="Y1479" s="84">
        <v>0</v>
      </c>
      <c r="Z1479" s="84">
        <v>0</v>
      </c>
      <c r="AA1479" s="84">
        <v>0</v>
      </c>
      <c r="AB1479" s="84">
        <v>0</v>
      </c>
      <c r="AC1479" s="84">
        <v>0</v>
      </c>
      <c r="AD1479" s="84">
        <v>0</v>
      </c>
      <c r="AE1479" s="84">
        <v>0</v>
      </c>
      <c r="AF1479" s="84">
        <v>0</v>
      </c>
      <c r="AG1479" s="84">
        <v>0</v>
      </c>
      <c r="AH1479" s="84">
        <v>1</v>
      </c>
      <c r="AI1479" s="84">
        <v>1</v>
      </c>
      <c r="AJ1479" s="84">
        <v>1</v>
      </c>
      <c r="AK1479" s="84">
        <v>1</v>
      </c>
      <c r="AL1479" s="84" cm="1">
        <f t="array" ref="AL147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79" s="84" cm="1">
        <f t="array" ref="AM147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79" s="84" cm="1">
        <f t="array" ref="AN147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79" s="84" cm="1">
        <f t="array" ref="AO147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79" s="84" cm="1">
        <f t="array" ref="AP147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79" s="84" cm="1">
        <f t="array" ref="AQ147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79" s="84" cm="1">
        <f t="array" ref="AR147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79" s="84" cm="1">
        <f t="array" ref="AS147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79" s="84" cm="1">
        <f t="array" ref="AT147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79" s="84" cm="1">
        <f t="array" ref="AU147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79" s="84" cm="1">
        <f t="array" ref="AV147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79" s="84" cm="1">
        <f t="array" ref="AW147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79" s="84" cm="1">
        <f t="array" ref="AX147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79" s="84" cm="1">
        <f t="array" ref="AY147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79" s="84" cm="1">
        <f t="array" ref="AZ147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79" s="84" cm="1">
        <f t="array" ref="BA147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79" s="84" cm="1">
        <f t="array" ref="BB147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79" s="84">
        <f>IF(SUM(Table3[[#This Row],[Column2]:[Column18]])&gt;Table3[[#This Row],[Column19]],Table3[[#This Row],[Column19]],SUM(Table3[[#This Row],[Column2]:[Column18]]))</f>
        <v>10000</v>
      </c>
      <c r="BD1479" s="2">
        <f>Table3[[#This Row],[Total Spend]]/SUM(Table3[[#This Row],[Column2]:[Column18]])</f>
        <v>0.21574973031283712</v>
      </c>
    </row>
    <row r="1480" spans="1:56">
      <c r="A1480" s="84" t="s">
        <v>1555</v>
      </c>
      <c r="B1480" s="84"/>
      <c r="C1480" s="84"/>
      <c r="D1480" s="85">
        <v>45566</v>
      </c>
      <c r="E1480" s="85" t="s">
        <v>92</v>
      </c>
      <c r="F1480" s="84">
        <f>INDEX(Definitions!$G$13:$G$17,MATCH(Table3[[#This Row],[Propensity to buy/ buyer readiness]],Definitions!$A$13:$A$17,0))</f>
        <v>10000</v>
      </c>
      <c r="G1480" s="86">
        <v>3</v>
      </c>
      <c r="H1480" s="86">
        <v>3</v>
      </c>
      <c r="I1480" s="86">
        <v>2</v>
      </c>
      <c r="J1480" s="86">
        <v>3</v>
      </c>
      <c r="K1480" s="86">
        <v>2</v>
      </c>
      <c r="L1480" s="86">
        <f>SUM(Table3[[#This Row],[Strategic priority segment]:[Propensity to buy/ buyer readiness]])</f>
        <v>13</v>
      </c>
      <c r="M1480" s="86" t="s">
        <v>191</v>
      </c>
      <c r="N1480" s="84" t="s">
        <v>135</v>
      </c>
      <c r="O1480" s="87"/>
      <c r="P1480" s="87"/>
      <c r="Q1480" s="87"/>
      <c r="R1480" s="87"/>
      <c r="S1480" s="87"/>
      <c r="T1480" s="87"/>
      <c r="U1480" s="84">
        <v>0</v>
      </c>
      <c r="V1480" s="84">
        <v>0</v>
      </c>
      <c r="W1480" s="84">
        <v>0</v>
      </c>
      <c r="X1480" s="84">
        <v>0</v>
      </c>
      <c r="Y1480" s="84">
        <v>0</v>
      </c>
      <c r="Z1480" s="84">
        <v>0</v>
      </c>
      <c r="AA1480" s="84">
        <v>0</v>
      </c>
      <c r="AB1480" s="84">
        <v>0</v>
      </c>
      <c r="AC1480" s="84">
        <v>0</v>
      </c>
      <c r="AD1480" s="84">
        <v>0</v>
      </c>
      <c r="AE1480" s="84">
        <v>0</v>
      </c>
      <c r="AF1480" s="84">
        <v>0</v>
      </c>
      <c r="AG1480" s="84">
        <v>0</v>
      </c>
      <c r="AH1480" s="84">
        <v>1</v>
      </c>
      <c r="AI1480" s="84">
        <v>1</v>
      </c>
      <c r="AJ1480" s="84">
        <v>1</v>
      </c>
      <c r="AK1480" s="84">
        <v>1</v>
      </c>
      <c r="AL1480" s="84" cm="1">
        <f t="array" ref="AL148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0" s="84" cm="1">
        <f t="array" ref="AM148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0" s="84" cm="1">
        <f t="array" ref="AN148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0" s="84" cm="1">
        <f t="array" ref="AO148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0" s="84" cm="1">
        <f t="array" ref="AP148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0" s="84" cm="1">
        <f t="array" ref="AQ148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0" s="84" cm="1">
        <f t="array" ref="AR148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0" s="84" cm="1">
        <f t="array" ref="AS148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0" s="84" cm="1">
        <f t="array" ref="AT148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0" s="84" cm="1">
        <f t="array" ref="AU148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0" s="84" cm="1">
        <f t="array" ref="AV148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0" s="84" cm="1">
        <f t="array" ref="AW148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0" s="84" cm="1">
        <f t="array" ref="AX148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0" s="84" cm="1">
        <f t="array" ref="AY148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0" s="84" cm="1">
        <f t="array" ref="AZ148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0" s="84" cm="1">
        <f t="array" ref="BA148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0" s="84" cm="1">
        <f t="array" ref="BB148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0" s="84">
        <f>IF(SUM(Table3[[#This Row],[Column2]:[Column18]])&gt;Table3[[#This Row],[Column19]],Table3[[#This Row],[Column19]],SUM(Table3[[#This Row],[Column2]:[Column18]]))</f>
        <v>10000</v>
      </c>
      <c r="BD1480" s="2">
        <f>Table3[[#This Row],[Total Spend]]/SUM(Table3[[#This Row],[Column2]:[Column18]])</f>
        <v>0.21574973031283712</v>
      </c>
    </row>
    <row r="1481" spans="1:56">
      <c r="A1481" s="84" t="s">
        <v>1556</v>
      </c>
      <c r="B1481" s="84"/>
      <c r="C1481" s="84"/>
      <c r="D1481" s="85">
        <v>45566</v>
      </c>
      <c r="E1481" s="85" t="s">
        <v>92</v>
      </c>
      <c r="F1481" s="84">
        <f>INDEX(Definitions!$G$13:$G$17,MATCH(Table3[[#This Row],[Propensity to buy/ buyer readiness]],Definitions!$A$13:$A$17,0))</f>
        <v>10000</v>
      </c>
      <c r="G1481" s="86">
        <v>3</v>
      </c>
      <c r="H1481" s="86">
        <v>3</v>
      </c>
      <c r="I1481" s="86">
        <v>2</v>
      </c>
      <c r="J1481" s="86">
        <v>3</v>
      </c>
      <c r="K1481" s="86">
        <v>2</v>
      </c>
      <c r="L1481" s="86">
        <f>SUM(Table3[[#This Row],[Strategic priority segment]:[Propensity to buy/ buyer readiness]])</f>
        <v>13</v>
      </c>
      <c r="M1481" s="86" t="s">
        <v>152</v>
      </c>
      <c r="N1481" s="84" t="s">
        <v>264</v>
      </c>
      <c r="O1481" s="84"/>
      <c r="P1481" s="87"/>
      <c r="Q1481" s="87"/>
      <c r="R1481" s="84"/>
      <c r="S1481" s="87"/>
      <c r="T1481" s="87"/>
      <c r="U1481" s="84">
        <v>1</v>
      </c>
      <c r="V1481" s="84">
        <v>0</v>
      </c>
      <c r="W1481" s="84">
        <v>0</v>
      </c>
      <c r="X1481" s="84">
        <v>0</v>
      </c>
      <c r="Y1481" s="84">
        <v>0</v>
      </c>
      <c r="Z1481" s="84">
        <v>0</v>
      </c>
      <c r="AA1481" s="84">
        <v>0</v>
      </c>
      <c r="AB1481" s="84">
        <v>0</v>
      </c>
      <c r="AC1481" s="84">
        <v>0</v>
      </c>
      <c r="AD1481" s="84">
        <v>0</v>
      </c>
      <c r="AE1481" s="84">
        <v>0</v>
      </c>
      <c r="AF1481" s="84">
        <v>0</v>
      </c>
      <c r="AG1481" s="84">
        <v>0</v>
      </c>
      <c r="AH1481" s="84">
        <v>0</v>
      </c>
      <c r="AI1481" s="84">
        <v>0</v>
      </c>
      <c r="AJ1481" s="84">
        <v>0</v>
      </c>
      <c r="AK1481" s="84">
        <v>0</v>
      </c>
      <c r="AL1481" s="84" cm="1">
        <f t="array" ref="AL148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81" s="84" cm="1">
        <f t="array" ref="AM148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1" s="84" cm="1">
        <f t="array" ref="AN148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1" s="84" cm="1">
        <f t="array" ref="AO148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1" s="84" cm="1">
        <f t="array" ref="AP148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1" s="84" cm="1">
        <f t="array" ref="AQ148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1" s="84" cm="1">
        <f t="array" ref="AR148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1" s="84" cm="1">
        <f t="array" ref="AS148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1" s="84" cm="1">
        <f t="array" ref="AT148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1" s="84" cm="1">
        <f t="array" ref="AU148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1" s="84" cm="1">
        <f t="array" ref="AV148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1" s="84" cm="1">
        <f t="array" ref="AW148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1" s="84" cm="1">
        <f t="array" ref="AX148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1" s="84" cm="1">
        <f t="array" ref="AY148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81" s="84" cm="1">
        <f t="array" ref="AZ148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81" s="84" cm="1">
        <f t="array" ref="BA148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81" s="84" cm="1">
        <f t="array" ref="BB148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81" s="84">
        <f>IF(SUM(Table3[[#This Row],[Column2]:[Column18]])&gt;Table3[[#This Row],[Column19]],Table3[[#This Row],[Column19]],SUM(Table3[[#This Row],[Column2]:[Column18]]))</f>
        <v>8100</v>
      </c>
      <c r="BD1481" s="2">
        <f>Table3[[#This Row],[Total Spend]]/SUM(Table3[[#This Row],[Column2]:[Column18]])</f>
        <v>1</v>
      </c>
    </row>
    <row r="1482" spans="1:56">
      <c r="A1482" s="84" t="s">
        <v>1557</v>
      </c>
      <c r="B1482" s="84"/>
      <c r="C1482" s="84"/>
      <c r="D1482" s="85">
        <v>45566</v>
      </c>
      <c r="E1482" s="85" t="s">
        <v>92</v>
      </c>
      <c r="F1482" s="84">
        <f>INDEX(Definitions!$G$13:$G$17,MATCH(Table3[[#This Row],[Propensity to buy/ buyer readiness]],Definitions!$A$13:$A$17,0))</f>
        <v>10000</v>
      </c>
      <c r="G1482" s="86">
        <v>3</v>
      </c>
      <c r="H1482" s="86">
        <v>3</v>
      </c>
      <c r="I1482" s="86">
        <v>2</v>
      </c>
      <c r="J1482" s="86">
        <v>3</v>
      </c>
      <c r="K1482" s="86">
        <v>2</v>
      </c>
      <c r="L1482" s="86">
        <f>SUM(Table3[[#This Row],[Strategic priority segment]:[Propensity to buy/ buyer readiness]])</f>
        <v>13</v>
      </c>
      <c r="M1482" s="86" t="s">
        <v>152</v>
      </c>
      <c r="N1482" s="84" t="s">
        <v>264</v>
      </c>
      <c r="O1482" s="84"/>
      <c r="P1482" s="84"/>
      <c r="Q1482" s="84"/>
      <c r="R1482" s="84"/>
      <c r="S1482" s="87"/>
      <c r="T1482" s="87"/>
      <c r="U1482" s="84">
        <v>1</v>
      </c>
      <c r="V1482" s="84">
        <v>0</v>
      </c>
      <c r="W1482" s="84">
        <v>0</v>
      </c>
      <c r="X1482" s="84">
        <v>0</v>
      </c>
      <c r="Y1482" s="84">
        <v>0</v>
      </c>
      <c r="Z1482" s="84">
        <v>0</v>
      </c>
      <c r="AA1482" s="84">
        <v>0</v>
      </c>
      <c r="AB1482" s="84">
        <v>0</v>
      </c>
      <c r="AC1482" s="84">
        <v>0</v>
      </c>
      <c r="AD1482" s="84">
        <v>0</v>
      </c>
      <c r="AE1482" s="84">
        <v>0</v>
      </c>
      <c r="AF1482" s="84">
        <v>0</v>
      </c>
      <c r="AG1482" s="84">
        <v>0</v>
      </c>
      <c r="AH1482" s="84">
        <v>0</v>
      </c>
      <c r="AI1482" s="84">
        <v>0</v>
      </c>
      <c r="AJ1482" s="84">
        <v>0</v>
      </c>
      <c r="AK1482" s="84">
        <v>0</v>
      </c>
      <c r="AL1482" s="84" cm="1">
        <f t="array" ref="AL148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82" s="84" cm="1">
        <f t="array" ref="AM148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2" s="84" cm="1">
        <f t="array" ref="AN148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2" s="84" cm="1">
        <f t="array" ref="AO148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2" s="84" cm="1">
        <f t="array" ref="AP148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2" s="84" cm="1">
        <f t="array" ref="AQ148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2" s="84" cm="1">
        <f t="array" ref="AR148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2" s="84" cm="1">
        <f t="array" ref="AS148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2" s="84" cm="1">
        <f t="array" ref="AT148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2" s="84" cm="1">
        <f t="array" ref="AU148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2" s="84" cm="1">
        <f t="array" ref="AV148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2" s="84" cm="1">
        <f t="array" ref="AW148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2" s="84" cm="1">
        <f t="array" ref="AX148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2" s="84" cm="1">
        <f t="array" ref="AY148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82" s="84" cm="1">
        <f t="array" ref="AZ148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82" s="84" cm="1">
        <f t="array" ref="BA148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82" s="84" cm="1">
        <f t="array" ref="BB148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82" s="84">
        <f>IF(SUM(Table3[[#This Row],[Column2]:[Column18]])&gt;Table3[[#This Row],[Column19]],Table3[[#This Row],[Column19]],SUM(Table3[[#This Row],[Column2]:[Column18]]))</f>
        <v>8100</v>
      </c>
      <c r="BD1482" s="2">
        <f>Table3[[#This Row],[Total Spend]]/SUM(Table3[[#This Row],[Column2]:[Column18]])</f>
        <v>1</v>
      </c>
    </row>
    <row r="1483" spans="1:56" ht="28.5">
      <c r="A1483" s="87" t="s">
        <v>1558</v>
      </c>
      <c r="B1483" s="87"/>
      <c r="C1483" s="87"/>
      <c r="D1483" s="85">
        <v>45566</v>
      </c>
      <c r="E1483" s="85" t="s">
        <v>92</v>
      </c>
      <c r="F1483" s="84">
        <f>INDEX(Definitions!$G$13:$G$17,MATCH(Table3[[#This Row],[Propensity to buy/ buyer readiness]],Definitions!$A$13:$A$17,0))</f>
        <v>10000</v>
      </c>
      <c r="G1483" s="86">
        <v>3</v>
      </c>
      <c r="H1483" s="86">
        <v>3</v>
      </c>
      <c r="I1483" s="86">
        <v>2</v>
      </c>
      <c r="J1483" s="86">
        <v>3</v>
      </c>
      <c r="K1483" s="86">
        <v>2</v>
      </c>
      <c r="L1483" s="86">
        <f>SUM(Table3[[#This Row],[Strategic priority segment]:[Propensity to buy/ buyer readiness]])</f>
        <v>13</v>
      </c>
      <c r="M1483" s="86" t="s">
        <v>191</v>
      </c>
      <c r="N1483" s="84" t="s">
        <v>135</v>
      </c>
      <c r="O1483" s="87"/>
      <c r="P1483" s="87"/>
      <c r="Q1483" s="87"/>
      <c r="R1483" s="84"/>
      <c r="S1483" s="87"/>
      <c r="T1483" s="87"/>
      <c r="U1483" s="84">
        <v>0</v>
      </c>
      <c r="V1483" s="84">
        <v>0</v>
      </c>
      <c r="W1483" s="84">
        <v>0</v>
      </c>
      <c r="X1483" s="84">
        <v>0</v>
      </c>
      <c r="Y1483" s="84">
        <v>0</v>
      </c>
      <c r="Z1483" s="84">
        <v>0</v>
      </c>
      <c r="AA1483" s="84">
        <v>0</v>
      </c>
      <c r="AB1483" s="84">
        <v>0</v>
      </c>
      <c r="AC1483" s="84">
        <v>0</v>
      </c>
      <c r="AD1483" s="84">
        <v>0</v>
      </c>
      <c r="AE1483" s="84">
        <v>0</v>
      </c>
      <c r="AF1483" s="84">
        <v>0</v>
      </c>
      <c r="AG1483" s="84">
        <v>0</v>
      </c>
      <c r="AH1483" s="84">
        <v>1</v>
      </c>
      <c r="AI1483" s="84">
        <v>1</v>
      </c>
      <c r="AJ1483" s="84">
        <v>1</v>
      </c>
      <c r="AK1483" s="84">
        <v>1</v>
      </c>
      <c r="AL1483" s="84" cm="1">
        <f t="array" ref="AL148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3" s="84" cm="1">
        <f t="array" ref="AM148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3" s="84" cm="1">
        <f t="array" ref="AN148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3" s="84" cm="1">
        <f t="array" ref="AO148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3" s="84" cm="1">
        <f t="array" ref="AP148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3" s="84" cm="1">
        <f t="array" ref="AQ148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3" s="84" cm="1">
        <f t="array" ref="AR148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3" s="84" cm="1">
        <f t="array" ref="AS148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3" s="84" cm="1">
        <f t="array" ref="AT148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3" s="84" cm="1">
        <f t="array" ref="AU148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3" s="84" cm="1">
        <f t="array" ref="AV148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3" s="84" cm="1">
        <f t="array" ref="AW148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3" s="84" cm="1">
        <f t="array" ref="AX148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3" s="84" cm="1">
        <f t="array" ref="AY148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3" s="84" cm="1">
        <f t="array" ref="AZ148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3" s="84" cm="1">
        <f t="array" ref="BA148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3" s="84" cm="1">
        <f t="array" ref="BB148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3" s="84">
        <f>IF(SUM(Table3[[#This Row],[Column2]:[Column18]])&gt;Table3[[#This Row],[Column19]],Table3[[#This Row],[Column19]],SUM(Table3[[#This Row],[Column2]:[Column18]]))</f>
        <v>10000</v>
      </c>
      <c r="BD1483" s="2">
        <f>Table3[[#This Row],[Total Spend]]/SUM(Table3[[#This Row],[Column2]:[Column18]])</f>
        <v>0.21574973031283712</v>
      </c>
    </row>
    <row r="1484" spans="1:56" ht="28.5">
      <c r="A1484" s="87" t="s">
        <v>1559</v>
      </c>
      <c r="B1484" s="87"/>
      <c r="C1484" s="87"/>
      <c r="D1484" s="85">
        <v>45566</v>
      </c>
      <c r="E1484" s="85" t="s">
        <v>92</v>
      </c>
      <c r="F1484" s="84">
        <f>INDEX(Definitions!$G$13:$G$17,MATCH(Table3[[#This Row],[Propensity to buy/ buyer readiness]],Definitions!$A$13:$A$17,0))</f>
        <v>10000</v>
      </c>
      <c r="G1484" s="86">
        <v>3</v>
      </c>
      <c r="H1484" s="86">
        <v>3</v>
      </c>
      <c r="I1484" s="86">
        <v>2</v>
      </c>
      <c r="J1484" s="86">
        <v>3</v>
      </c>
      <c r="K1484" s="86">
        <v>2</v>
      </c>
      <c r="L1484" s="86">
        <f>SUM(Table3[[#This Row],[Strategic priority segment]:[Propensity to buy/ buyer readiness]])</f>
        <v>13</v>
      </c>
      <c r="M1484" s="86" t="s">
        <v>191</v>
      </c>
      <c r="N1484" s="84" t="s">
        <v>135</v>
      </c>
      <c r="O1484" s="87"/>
      <c r="P1484" s="87"/>
      <c r="Q1484" s="87"/>
      <c r="R1484" s="84"/>
      <c r="S1484" s="87"/>
      <c r="T1484" s="87"/>
      <c r="U1484" s="84">
        <v>0</v>
      </c>
      <c r="V1484" s="84">
        <v>0</v>
      </c>
      <c r="W1484" s="84">
        <v>0</v>
      </c>
      <c r="X1484" s="84">
        <v>0</v>
      </c>
      <c r="Y1484" s="84">
        <v>0</v>
      </c>
      <c r="Z1484" s="84">
        <v>0</v>
      </c>
      <c r="AA1484" s="84">
        <v>0</v>
      </c>
      <c r="AB1484" s="84">
        <v>0</v>
      </c>
      <c r="AC1484" s="84">
        <v>0</v>
      </c>
      <c r="AD1484" s="84">
        <v>0</v>
      </c>
      <c r="AE1484" s="84">
        <v>0</v>
      </c>
      <c r="AF1484" s="84">
        <v>0</v>
      </c>
      <c r="AG1484" s="84">
        <v>0</v>
      </c>
      <c r="AH1484" s="84">
        <v>1</v>
      </c>
      <c r="AI1484" s="84">
        <v>1</v>
      </c>
      <c r="AJ1484" s="84">
        <v>1</v>
      </c>
      <c r="AK1484" s="84">
        <v>1</v>
      </c>
      <c r="AL1484" s="84" cm="1">
        <f t="array" ref="AL148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4" s="84" cm="1">
        <f t="array" ref="AM148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4" s="84" cm="1">
        <f t="array" ref="AN148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4" s="84" cm="1">
        <f t="array" ref="AO148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4" s="84" cm="1">
        <f t="array" ref="AP148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4" s="84" cm="1">
        <f t="array" ref="AQ148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4" s="84" cm="1">
        <f t="array" ref="AR148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4" s="84" cm="1">
        <f t="array" ref="AS148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4" s="84" cm="1">
        <f t="array" ref="AT148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4" s="84" cm="1">
        <f t="array" ref="AU148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4" s="84" cm="1">
        <f t="array" ref="AV148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4" s="84" cm="1">
        <f t="array" ref="AW148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4" s="84" cm="1">
        <f t="array" ref="AX148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4" s="84" cm="1">
        <f t="array" ref="AY148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4" s="84" cm="1">
        <f t="array" ref="AZ148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4" s="84" cm="1">
        <f t="array" ref="BA148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4" s="84" cm="1">
        <f t="array" ref="BB148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4" s="84">
        <f>IF(SUM(Table3[[#This Row],[Column2]:[Column18]])&gt;Table3[[#This Row],[Column19]],Table3[[#This Row],[Column19]],SUM(Table3[[#This Row],[Column2]:[Column18]]))</f>
        <v>10000</v>
      </c>
      <c r="BD1484" s="2">
        <f>Table3[[#This Row],[Total Spend]]/SUM(Table3[[#This Row],[Column2]:[Column18]])</f>
        <v>0.21574973031283712</v>
      </c>
    </row>
    <row r="1485" spans="1:56" ht="42.75">
      <c r="A1485" s="87" t="s">
        <v>1560</v>
      </c>
      <c r="B1485" s="87"/>
      <c r="C1485" s="87"/>
      <c r="D1485" s="85">
        <v>45566</v>
      </c>
      <c r="E1485" s="85" t="s">
        <v>92</v>
      </c>
      <c r="F1485" s="84">
        <f>INDEX(Definitions!$G$13:$G$17,MATCH(Table3[[#This Row],[Propensity to buy/ buyer readiness]],Definitions!$A$13:$A$17,0))</f>
        <v>10000</v>
      </c>
      <c r="G1485" s="86">
        <v>3</v>
      </c>
      <c r="H1485" s="86">
        <v>3</v>
      </c>
      <c r="I1485" s="86">
        <v>2</v>
      </c>
      <c r="J1485" s="86">
        <v>3</v>
      </c>
      <c r="K1485" s="86">
        <v>2</v>
      </c>
      <c r="L1485" s="86">
        <f>SUM(Table3[[#This Row],[Strategic priority segment]:[Propensity to buy/ buyer readiness]])</f>
        <v>13</v>
      </c>
      <c r="M1485" s="86" t="s">
        <v>191</v>
      </c>
      <c r="N1485" s="84" t="s">
        <v>135</v>
      </c>
      <c r="O1485" s="87"/>
      <c r="P1485" s="87"/>
      <c r="Q1485" s="87"/>
      <c r="R1485" s="84"/>
      <c r="S1485" s="87"/>
      <c r="T1485" s="87"/>
      <c r="U1485" s="84">
        <v>0</v>
      </c>
      <c r="V1485" s="84">
        <v>0</v>
      </c>
      <c r="W1485" s="84">
        <v>0</v>
      </c>
      <c r="X1485" s="84">
        <v>0</v>
      </c>
      <c r="Y1485" s="84">
        <v>0</v>
      </c>
      <c r="Z1485" s="84">
        <v>0</v>
      </c>
      <c r="AA1485" s="84">
        <v>0</v>
      </c>
      <c r="AB1485" s="84">
        <v>0</v>
      </c>
      <c r="AC1485" s="84">
        <v>0</v>
      </c>
      <c r="AD1485" s="84">
        <v>0</v>
      </c>
      <c r="AE1485" s="84">
        <v>0</v>
      </c>
      <c r="AF1485" s="84">
        <v>0</v>
      </c>
      <c r="AG1485" s="84">
        <v>0</v>
      </c>
      <c r="AH1485" s="84">
        <v>1</v>
      </c>
      <c r="AI1485" s="84">
        <v>1</v>
      </c>
      <c r="AJ1485" s="84">
        <v>1</v>
      </c>
      <c r="AK1485" s="84">
        <v>1</v>
      </c>
      <c r="AL1485" s="84" cm="1">
        <f t="array" ref="AL148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5" s="84" cm="1">
        <f t="array" ref="AM148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5" s="84" cm="1">
        <f t="array" ref="AN148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5" s="84" cm="1">
        <f t="array" ref="AO148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5" s="84" cm="1">
        <f t="array" ref="AP148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5" s="84" cm="1">
        <f t="array" ref="AQ148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5" s="84" cm="1">
        <f t="array" ref="AR148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5" s="84" cm="1">
        <f t="array" ref="AS148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5" s="84" cm="1">
        <f t="array" ref="AT148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5" s="84" cm="1">
        <f t="array" ref="AU148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5" s="84" cm="1">
        <f t="array" ref="AV148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5" s="84" cm="1">
        <f t="array" ref="AW148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5" s="84" cm="1">
        <f t="array" ref="AX148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5" s="84" cm="1">
        <f t="array" ref="AY148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5" s="84" cm="1">
        <f t="array" ref="AZ148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5" s="84" cm="1">
        <f t="array" ref="BA148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5" s="84" cm="1">
        <f t="array" ref="BB148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5" s="84">
        <f>IF(SUM(Table3[[#This Row],[Column2]:[Column18]])&gt;Table3[[#This Row],[Column19]],Table3[[#This Row],[Column19]],SUM(Table3[[#This Row],[Column2]:[Column18]]))</f>
        <v>10000</v>
      </c>
      <c r="BD1485" s="2">
        <f>Table3[[#This Row],[Total Spend]]/SUM(Table3[[#This Row],[Column2]:[Column18]])</f>
        <v>0.21574973031283712</v>
      </c>
    </row>
    <row r="1486" spans="1:56" ht="42.75">
      <c r="A1486" s="87" t="s">
        <v>1561</v>
      </c>
      <c r="B1486" s="87"/>
      <c r="C1486" s="87"/>
      <c r="D1486" s="85">
        <v>45566</v>
      </c>
      <c r="E1486" s="85" t="s">
        <v>92</v>
      </c>
      <c r="F1486" s="84">
        <f>INDEX(Definitions!$G$13:$G$17,MATCH(Table3[[#This Row],[Propensity to buy/ buyer readiness]],Definitions!$A$13:$A$17,0))</f>
        <v>10000</v>
      </c>
      <c r="G1486" s="86">
        <v>3</v>
      </c>
      <c r="H1486" s="86">
        <v>3</v>
      </c>
      <c r="I1486" s="86">
        <v>2</v>
      </c>
      <c r="J1486" s="86">
        <v>3</v>
      </c>
      <c r="K1486" s="86">
        <v>2</v>
      </c>
      <c r="L1486" s="86">
        <f>SUM(Table3[[#This Row],[Strategic priority segment]:[Propensity to buy/ buyer readiness]])</f>
        <v>13</v>
      </c>
      <c r="M1486" s="86" t="s">
        <v>191</v>
      </c>
      <c r="N1486" s="84" t="s">
        <v>135</v>
      </c>
      <c r="O1486" s="87"/>
      <c r="P1486" s="87"/>
      <c r="Q1486" s="87"/>
      <c r="R1486" s="84"/>
      <c r="S1486" s="87"/>
      <c r="T1486" s="84"/>
      <c r="U1486" s="84">
        <v>0</v>
      </c>
      <c r="V1486" s="84">
        <v>0</v>
      </c>
      <c r="W1486" s="84">
        <v>0</v>
      </c>
      <c r="X1486" s="84">
        <v>0</v>
      </c>
      <c r="Y1486" s="84">
        <v>0</v>
      </c>
      <c r="Z1486" s="84">
        <v>0</v>
      </c>
      <c r="AA1486" s="84">
        <v>0</v>
      </c>
      <c r="AB1486" s="84">
        <v>0</v>
      </c>
      <c r="AC1486" s="84">
        <v>0</v>
      </c>
      <c r="AD1486" s="84">
        <v>0</v>
      </c>
      <c r="AE1486" s="84">
        <v>0</v>
      </c>
      <c r="AF1486" s="84">
        <v>0</v>
      </c>
      <c r="AG1486" s="84">
        <v>0</v>
      </c>
      <c r="AH1486" s="84">
        <v>1</v>
      </c>
      <c r="AI1486" s="84">
        <v>1</v>
      </c>
      <c r="AJ1486" s="84">
        <v>1</v>
      </c>
      <c r="AK1486" s="84">
        <v>1</v>
      </c>
      <c r="AL1486" s="84" cm="1">
        <f t="array" ref="AL148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6" s="84" cm="1">
        <f t="array" ref="AM148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6" s="84" cm="1">
        <f t="array" ref="AN148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6" s="84" cm="1">
        <f t="array" ref="AO148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6" s="84" cm="1">
        <f t="array" ref="AP148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6" s="84" cm="1">
        <f t="array" ref="AQ148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6" s="84" cm="1">
        <f t="array" ref="AR148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6" s="84" cm="1">
        <f t="array" ref="AS148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6" s="84" cm="1">
        <f t="array" ref="AT148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6" s="84" cm="1">
        <f t="array" ref="AU148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6" s="84" cm="1">
        <f t="array" ref="AV148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6" s="84" cm="1">
        <f t="array" ref="AW148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6" s="84" cm="1">
        <f t="array" ref="AX148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6" s="84" cm="1">
        <f t="array" ref="AY148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6" s="84" cm="1">
        <f t="array" ref="AZ148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6" s="84" cm="1">
        <f t="array" ref="BA148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6" s="84" cm="1">
        <f t="array" ref="BB148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6" s="84">
        <f>IF(SUM(Table3[[#This Row],[Column2]:[Column18]])&gt;Table3[[#This Row],[Column19]],Table3[[#This Row],[Column19]],SUM(Table3[[#This Row],[Column2]:[Column18]]))</f>
        <v>10000</v>
      </c>
      <c r="BD1486" s="2">
        <f>Table3[[#This Row],[Total Spend]]/SUM(Table3[[#This Row],[Column2]:[Column18]])</f>
        <v>0.21574973031283712</v>
      </c>
    </row>
    <row r="1487" spans="1:56">
      <c r="A1487" s="84" t="s">
        <v>1562</v>
      </c>
      <c r="B1487" s="84"/>
      <c r="C1487" s="84"/>
      <c r="D1487" s="85">
        <v>45566</v>
      </c>
      <c r="E1487" s="85" t="s">
        <v>92</v>
      </c>
      <c r="F1487" s="84">
        <f>INDEX(Definitions!$G$13:$G$17,MATCH(Table3[[#This Row],[Propensity to buy/ buyer readiness]],Definitions!$A$13:$A$17,0))</f>
        <v>10000</v>
      </c>
      <c r="G1487" s="86">
        <v>3</v>
      </c>
      <c r="H1487" s="86">
        <v>3</v>
      </c>
      <c r="I1487" s="86">
        <v>2</v>
      </c>
      <c r="J1487" s="86">
        <v>3</v>
      </c>
      <c r="K1487" s="86">
        <v>2</v>
      </c>
      <c r="L1487" s="86">
        <f>SUM(Table3[[#This Row],[Strategic priority segment]:[Propensity to buy/ buyer readiness]])</f>
        <v>13</v>
      </c>
      <c r="M1487" s="86" t="s">
        <v>152</v>
      </c>
      <c r="N1487" s="84" t="s">
        <v>264</v>
      </c>
      <c r="O1487" s="84"/>
      <c r="P1487" s="87"/>
      <c r="Q1487" s="87"/>
      <c r="R1487" s="84"/>
      <c r="S1487" s="87"/>
      <c r="T1487" s="87"/>
      <c r="U1487" s="84">
        <v>1</v>
      </c>
      <c r="V1487" s="84">
        <v>0</v>
      </c>
      <c r="W1487" s="84">
        <v>0</v>
      </c>
      <c r="X1487" s="84">
        <v>0</v>
      </c>
      <c r="Y1487" s="84">
        <v>0</v>
      </c>
      <c r="Z1487" s="84">
        <v>0</v>
      </c>
      <c r="AA1487" s="84">
        <v>0</v>
      </c>
      <c r="AB1487" s="84">
        <v>0</v>
      </c>
      <c r="AC1487" s="84">
        <v>0</v>
      </c>
      <c r="AD1487" s="84">
        <v>0</v>
      </c>
      <c r="AE1487" s="84">
        <v>0</v>
      </c>
      <c r="AF1487" s="84">
        <v>0</v>
      </c>
      <c r="AG1487" s="84">
        <v>0</v>
      </c>
      <c r="AH1487" s="84">
        <v>0</v>
      </c>
      <c r="AI1487" s="84">
        <v>0</v>
      </c>
      <c r="AJ1487" s="84">
        <v>0</v>
      </c>
      <c r="AK1487" s="84">
        <v>0</v>
      </c>
      <c r="AL1487" s="84" cm="1">
        <f t="array" ref="AL148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87" s="84" cm="1">
        <f t="array" ref="AM148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7" s="84" cm="1">
        <f t="array" ref="AN148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7" s="84" cm="1">
        <f t="array" ref="AO148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7" s="84" cm="1">
        <f t="array" ref="AP148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7" s="84" cm="1">
        <f t="array" ref="AQ148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7" s="84" cm="1">
        <f t="array" ref="AR148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7" s="84" cm="1">
        <f t="array" ref="AS148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7" s="84" cm="1">
        <f t="array" ref="AT148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7" s="84" cm="1">
        <f t="array" ref="AU148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7" s="84" cm="1">
        <f t="array" ref="AV148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7" s="84" cm="1">
        <f t="array" ref="AW148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7" s="84" cm="1">
        <f t="array" ref="AX148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7" s="84" cm="1">
        <f t="array" ref="AY148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87" s="84" cm="1">
        <f t="array" ref="AZ148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87" s="84" cm="1">
        <f t="array" ref="BA148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87" s="84" cm="1">
        <f t="array" ref="BB148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87" s="84">
        <f>IF(SUM(Table3[[#This Row],[Column2]:[Column18]])&gt;Table3[[#This Row],[Column19]],Table3[[#This Row],[Column19]],SUM(Table3[[#This Row],[Column2]:[Column18]]))</f>
        <v>8100</v>
      </c>
      <c r="BD1487" s="2">
        <f>Table3[[#This Row],[Total Spend]]/SUM(Table3[[#This Row],[Column2]:[Column18]])</f>
        <v>1</v>
      </c>
    </row>
    <row r="1488" spans="1:56" ht="42.75">
      <c r="A1488" s="87" t="s">
        <v>1563</v>
      </c>
      <c r="B1488" s="87"/>
      <c r="C1488" s="87"/>
      <c r="D1488" s="85">
        <v>45566</v>
      </c>
      <c r="E1488" s="85" t="s">
        <v>92</v>
      </c>
      <c r="F1488" s="84">
        <f>INDEX(Definitions!$G$13:$G$17,MATCH(Table3[[#This Row],[Propensity to buy/ buyer readiness]],Definitions!$A$13:$A$17,0))</f>
        <v>10000</v>
      </c>
      <c r="G1488" s="86">
        <v>3</v>
      </c>
      <c r="H1488" s="86">
        <v>3</v>
      </c>
      <c r="I1488" s="86">
        <v>2</v>
      </c>
      <c r="J1488" s="86">
        <v>3</v>
      </c>
      <c r="K1488" s="86">
        <v>2</v>
      </c>
      <c r="L1488" s="86">
        <f>SUM(Table3[[#This Row],[Strategic priority segment]:[Propensity to buy/ buyer readiness]])</f>
        <v>13</v>
      </c>
      <c r="M1488" s="86" t="s">
        <v>191</v>
      </c>
      <c r="N1488" s="84" t="s">
        <v>135</v>
      </c>
      <c r="O1488" s="87"/>
      <c r="P1488" s="87"/>
      <c r="Q1488" s="87"/>
      <c r="R1488" s="84"/>
      <c r="S1488" s="87"/>
      <c r="T1488" s="84"/>
      <c r="U1488" s="84">
        <v>0</v>
      </c>
      <c r="V1488" s="84">
        <v>0</v>
      </c>
      <c r="W1488" s="84">
        <v>0</v>
      </c>
      <c r="X1488" s="84">
        <v>0</v>
      </c>
      <c r="Y1488" s="84">
        <v>0</v>
      </c>
      <c r="Z1488" s="84">
        <v>0</v>
      </c>
      <c r="AA1488" s="84">
        <v>0</v>
      </c>
      <c r="AB1488" s="84">
        <v>0</v>
      </c>
      <c r="AC1488" s="84">
        <v>0</v>
      </c>
      <c r="AD1488" s="84">
        <v>0</v>
      </c>
      <c r="AE1488" s="84">
        <v>0</v>
      </c>
      <c r="AF1488" s="84">
        <v>0</v>
      </c>
      <c r="AG1488" s="84">
        <v>0</v>
      </c>
      <c r="AH1488" s="84">
        <v>1</v>
      </c>
      <c r="AI1488" s="84">
        <v>1</v>
      </c>
      <c r="AJ1488" s="84">
        <v>1</v>
      </c>
      <c r="AK1488" s="84">
        <v>1</v>
      </c>
      <c r="AL1488" s="84" cm="1">
        <f t="array" ref="AL148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8" s="84" cm="1">
        <f t="array" ref="AM148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8" s="84" cm="1">
        <f t="array" ref="AN148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8" s="84" cm="1">
        <f t="array" ref="AO148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8" s="84" cm="1">
        <f t="array" ref="AP148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8" s="84" cm="1">
        <f t="array" ref="AQ148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8" s="84" cm="1">
        <f t="array" ref="AR148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8" s="84" cm="1">
        <f t="array" ref="AS148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8" s="84" cm="1">
        <f t="array" ref="AT148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8" s="84" cm="1">
        <f t="array" ref="AU148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8" s="84" cm="1">
        <f t="array" ref="AV148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8" s="84" cm="1">
        <f t="array" ref="AW148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8" s="84" cm="1">
        <f t="array" ref="AX148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8" s="84" cm="1">
        <f t="array" ref="AY148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8" s="84" cm="1">
        <f t="array" ref="AZ148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8" s="84" cm="1">
        <f t="array" ref="BA148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8" s="84" cm="1">
        <f t="array" ref="BB148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8" s="84">
        <f>IF(SUM(Table3[[#This Row],[Column2]:[Column18]])&gt;Table3[[#This Row],[Column19]],Table3[[#This Row],[Column19]],SUM(Table3[[#This Row],[Column2]:[Column18]]))</f>
        <v>10000</v>
      </c>
      <c r="BD1488" s="2">
        <f>Table3[[#This Row],[Total Spend]]/SUM(Table3[[#This Row],[Column2]:[Column18]])</f>
        <v>0.21574973031283712</v>
      </c>
    </row>
    <row r="1489" spans="1:56">
      <c r="A1489" s="87" t="s">
        <v>1564</v>
      </c>
      <c r="B1489" s="87"/>
      <c r="C1489" s="87"/>
      <c r="D1489" s="85">
        <v>45566</v>
      </c>
      <c r="E1489" s="85" t="s">
        <v>92</v>
      </c>
      <c r="F1489" s="84">
        <f>INDEX(Definitions!$G$13:$G$17,MATCH(Table3[[#This Row],[Propensity to buy/ buyer readiness]],Definitions!$A$13:$A$17,0))</f>
        <v>10000</v>
      </c>
      <c r="G1489" s="86">
        <v>3</v>
      </c>
      <c r="H1489" s="86">
        <v>3</v>
      </c>
      <c r="I1489" s="86">
        <v>2</v>
      </c>
      <c r="J1489" s="86">
        <v>3</v>
      </c>
      <c r="K1489" s="86">
        <v>2</v>
      </c>
      <c r="L1489" s="86">
        <f>SUM(Table3[[#This Row],[Strategic priority segment]:[Propensity to buy/ buyer readiness]])</f>
        <v>13</v>
      </c>
      <c r="M1489" s="86" t="s">
        <v>191</v>
      </c>
      <c r="N1489" s="84" t="s">
        <v>135</v>
      </c>
      <c r="O1489" s="87"/>
      <c r="P1489" s="87"/>
      <c r="Q1489" s="87"/>
      <c r="R1489" s="84"/>
      <c r="S1489" s="87"/>
      <c r="T1489" s="87"/>
      <c r="U1489" s="84">
        <v>0</v>
      </c>
      <c r="V1489" s="84">
        <v>0</v>
      </c>
      <c r="W1489" s="84">
        <v>0</v>
      </c>
      <c r="X1489" s="84">
        <v>0</v>
      </c>
      <c r="Y1489" s="84">
        <v>0</v>
      </c>
      <c r="Z1489" s="84">
        <v>0</v>
      </c>
      <c r="AA1489" s="84">
        <v>0</v>
      </c>
      <c r="AB1489" s="84">
        <v>0</v>
      </c>
      <c r="AC1489" s="84">
        <v>0</v>
      </c>
      <c r="AD1489" s="84">
        <v>0</v>
      </c>
      <c r="AE1489" s="84">
        <v>0</v>
      </c>
      <c r="AF1489" s="84">
        <v>0</v>
      </c>
      <c r="AG1489" s="84">
        <v>0</v>
      </c>
      <c r="AH1489" s="84">
        <v>1</v>
      </c>
      <c r="AI1489" s="84">
        <v>1</v>
      </c>
      <c r="AJ1489" s="84">
        <v>1</v>
      </c>
      <c r="AK1489" s="84">
        <v>1</v>
      </c>
      <c r="AL1489" s="84" cm="1">
        <f t="array" ref="AL148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89" s="84" cm="1">
        <f t="array" ref="AM148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89" s="84" cm="1">
        <f t="array" ref="AN148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89" s="84" cm="1">
        <f t="array" ref="AO148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89" s="84" cm="1">
        <f t="array" ref="AP148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89" s="84" cm="1">
        <f t="array" ref="AQ148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89" s="84" cm="1">
        <f t="array" ref="AR148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89" s="84" cm="1">
        <f t="array" ref="AS148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89" s="84" cm="1">
        <f t="array" ref="AT148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89" s="84" cm="1">
        <f t="array" ref="AU148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89" s="84" cm="1">
        <f t="array" ref="AV148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89" s="84" cm="1">
        <f t="array" ref="AW148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89" s="84" cm="1">
        <f t="array" ref="AX148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89" s="84" cm="1">
        <f t="array" ref="AY148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89" s="84" cm="1">
        <f t="array" ref="AZ148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89" s="84" cm="1">
        <f t="array" ref="BA148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89" s="84" cm="1">
        <f t="array" ref="BB148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89" s="84">
        <f>IF(SUM(Table3[[#This Row],[Column2]:[Column18]])&gt;Table3[[#This Row],[Column19]],Table3[[#This Row],[Column19]],SUM(Table3[[#This Row],[Column2]:[Column18]]))</f>
        <v>10000</v>
      </c>
      <c r="BD1489" s="2">
        <f>Table3[[#This Row],[Total Spend]]/SUM(Table3[[#This Row],[Column2]:[Column18]])</f>
        <v>0.21574973031283712</v>
      </c>
    </row>
    <row r="1490" spans="1:56">
      <c r="A1490" s="84" t="s">
        <v>1565</v>
      </c>
      <c r="B1490" s="84"/>
      <c r="C1490" s="84"/>
      <c r="D1490" s="85">
        <v>45566</v>
      </c>
      <c r="E1490" s="85" t="s">
        <v>92</v>
      </c>
      <c r="F1490" s="84">
        <f>INDEX(Definitions!$G$13:$G$17,MATCH(Table3[[#This Row],[Propensity to buy/ buyer readiness]],Definitions!$A$13:$A$17,0))</f>
        <v>10000</v>
      </c>
      <c r="G1490" s="86">
        <v>3</v>
      </c>
      <c r="H1490" s="86">
        <v>3</v>
      </c>
      <c r="I1490" s="86">
        <v>2</v>
      </c>
      <c r="J1490" s="86">
        <v>3</v>
      </c>
      <c r="K1490" s="86">
        <v>2</v>
      </c>
      <c r="L1490" s="86">
        <f>SUM(Table3[[#This Row],[Strategic priority segment]:[Propensity to buy/ buyer readiness]])</f>
        <v>13</v>
      </c>
      <c r="M1490" s="86" t="s">
        <v>152</v>
      </c>
      <c r="N1490" s="84" t="s">
        <v>264</v>
      </c>
      <c r="O1490" s="84"/>
      <c r="P1490" s="84"/>
      <c r="Q1490" s="84"/>
      <c r="R1490" s="84"/>
      <c r="S1490" s="87"/>
      <c r="T1490" s="87"/>
      <c r="U1490" s="84">
        <v>1</v>
      </c>
      <c r="V1490" s="84">
        <v>0</v>
      </c>
      <c r="W1490" s="84">
        <v>0</v>
      </c>
      <c r="X1490" s="84">
        <v>0</v>
      </c>
      <c r="Y1490" s="84">
        <v>0</v>
      </c>
      <c r="Z1490" s="84">
        <v>0</v>
      </c>
      <c r="AA1490" s="84">
        <v>0</v>
      </c>
      <c r="AB1490" s="84">
        <v>0</v>
      </c>
      <c r="AC1490" s="84">
        <v>0</v>
      </c>
      <c r="AD1490" s="84">
        <v>0</v>
      </c>
      <c r="AE1490" s="84">
        <v>0</v>
      </c>
      <c r="AF1490" s="84">
        <v>0</v>
      </c>
      <c r="AG1490" s="84">
        <v>0</v>
      </c>
      <c r="AH1490" s="84">
        <v>0</v>
      </c>
      <c r="AI1490" s="84">
        <v>0</v>
      </c>
      <c r="AJ1490" s="84">
        <v>0</v>
      </c>
      <c r="AK1490" s="84">
        <v>0</v>
      </c>
      <c r="AL1490" s="84" cm="1">
        <f t="array" ref="AL149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90" s="84" cm="1">
        <f t="array" ref="AM149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0" s="84" cm="1">
        <f t="array" ref="AN149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0" s="84" cm="1">
        <f t="array" ref="AO149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0" s="84" cm="1">
        <f t="array" ref="AP149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0" s="84" cm="1">
        <f t="array" ref="AQ149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0" s="84" cm="1">
        <f t="array" ref="AR149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0" s="84" cm="1">
        <f t="array" ref="AS149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0" s="84" cm="1">
        <f t="array" ref="AT149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0" s="84" cm="1">
        <f t="array" ref="AU149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0" s="84" cm="1">
        <f t="array" ref="AV149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0" s="84" cm="1">
        <f t="array" ref="AW149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0" s="84" cm="1">
        <f t="array" ref="AX149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0" s="84" cm="1">
        <f t="array" ref="AY149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90" s="84" cm="1">
        <f t="array" ref="AZ149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90" s="84" cm="1">
        <f t="array" ref="BA149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90" s="84" cm="1">
        <f t="array" ref="BB149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90" s="84">
        <f>IF(SUM(Table3[[#This Row],[Column2]:[Column18]])&gt;Table3[[#This Row],[Column19]],Table3[[#This Row],[Column19]],SUM(Table3[[#This Row],[Column2]:[Column18]]))</f>
        <v>8100</v>
      </c>
      <c r="BD1490" s="2">
        <f>Table3[[#This Row],[Total Spend]]/SUM(Table3[[#This Row],[Column2]:[Column18]])</f>
        <v>1</v>
      </c>
    </row>
    <row r="1491" spans="1:56" ht="28.5">
      <c r="A1491" s="87" t="s">
        <v>1566</v>
      </c>
      <c r="B1491" s="87"/>
      <c r="C1491" s="87"/>
      <c r="D1491" s="85">
        <v>45566</v>
      </c>
      <c r="E1491" s="85" t="s">
        <v>92</v>
      </c>
      <c r="F1491" s="84">
        <f>INDEX(Definitions!$G$13:$G$17,MATCH(Table3[[#This Row],[Propensity to buy/ buyer readiness]],Definitions!$A$13:$A$17,0))</f>
        <v>10000</v>
      </c>
      <c r="G1491" s="86">
        <v>3</v>
      </c>
      <c r="H1491" s="86">
        <v>3</v>
      </c>
      <c r="I1491" s="86">
        <v>2</v>
      </c>
      <c r="J1491" s="86">
        <v>3</v>
      </c>
      <c r="K1491" s="86">
        <v>2</v>
      </c>
      <c r="L1491" s="86">
        <f>SUM(Table3[[#This Row],[Strategic priority segment]:[Propensity to buy/ buyer readiness]])</f>
        <v>13</v>
      </c>
      <c r="M1491" s="86" t="s">
        <v>191</v>
      </c>
      <c r="N1491" s="84" t="s">
        <v>135</v>
      </c>
      <c r="O1491" s="87"/>
      <c r="P1491" s="87"/>
      <c r="Q1491" s="87"/>
      <c r="R1491" s="84"/>
      <c r="S1491" s="87"/>
      <c r="T1491" s="87"/>
      <c r="U1491" s="84">
        <v>0</v>
      </c>
      <c r="V1491" s="84">
        <v>0</v>
      </c>
      <c r="W1491" s="84">
        <v>0</v>
      </c>
      <c r="X1491" s="84">
        <v>0</v>
      </c>
      <c r="Y1491" s="84">
        <v>0</v>
      </c>
      <c r="Z1491" s="84">
        <v>0</v>
      </c>
      <c r="AA1491" s="84">
        <v>0</v>
      </c>
      <c r="AB1491" s="84">
        <v>0</v>
      </c>
      <c r="AC1491" s="84">
        <v>0</v>
      </c>
      <c r="AD1491" s="84">
        <v>0</v>
      </c>
      <c r="AE1491" s="84">
        <v>0</v>
      </c>
      <c r="AF1491" s="84">
        <v>0</v>
      </c>
      <c r="AG1491" s="84">
        <v>0</v>
      </c>
      <c r="AH1491" s="84">
        <v>1</v>
      </c>
      <c r="AI1491" s="84">
        <v>1</v>
      </c>
      <c r="AJ1491" s="84">
        <v>1</v>
      </c>
      <c r="AK1491" s="84">
        <v>1</v>
      </c>
      <c r="AL1491" s="84" cm="1">
        <f t="array" ref="AL149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91" s="84" cm="1">
        <f t="array" ref="AM149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1" s="84" cm="1">
        <f t="array" ref="AN149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1" s="84" cm="1">
        <f t="array" ref="AO149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1" s="84" cm="1">
        <f t="array" ref="AP149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1" s="84" cm="1">
        <f t="array" ref="AQ149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1" s="84" cm="1">
        <f t="array" ref="AR149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1" s="84" cm="1">
        <f t="array" ref="AS149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1" s="84" cm="1">
        <f t="array" ref="AT149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1" s="84" cm="1">
        <f t="array" ref="AU149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1" s="84" cm="1">
        <f t="array" ref="AV149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1" s="84" cm="1">
        <f t="array" ref="AW149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1" s="84" cm="1">
        <f t="array" ref="AX149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1" s="84" cm="1">
        <f t="array" ref="AY149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91" s="84" cm="1">
        <f t="array" ref="AZ149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91" s="84" cm="1">
        <f t="array" ref="BA149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91" s="84" cm="1">
        <f t="array" ref="BB149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91" s="84">
        <f>IF(SUM(Table3[[#This Row],[Column2]:[Column18]])&gt;Table3[[#This Row],[Column19]],Table3[[#This Row],[Column19]],SUM(Table3[[#This Row],[Column2]:[Column18]]))</f>
        <v>10000</v>
      </c>
      <c r="BD1491" s="2">
        <f>Table3[[#This Row],[Total Spend]]/SUM(Table3[[#This Row],[Column2]:[Column18]])</f>
        <v>0.21574973031283712</v>
      </c>
    </row>
    <row r="1492" spans="1:56" ht="42.75">
      <c r="A1492" s="87" t="s">
        <v>1567</v>
      </c>
      <c r="B1492" s="87"/>
      <c r="C1492" s="87"/>
      <c r="D1492" s="85">
        <v>45566</v>
      </c>
      <c r="E1492" s="85" t="s">
        <v>92</v>
      </c>
      <c r="F1492" s="84">
        <f>INDEX(Definitions!$G$13:$G$17,MATCH(Table3[[#This Row],[Propensity to buy/ buyer readiness]],Definitions!$A$13:$A$17,0))</f>
        <v>10000</v>
      </c>
      <c r="G1492" s="86">
        <v>3</v>
      </c>
      <c r="H1492" s="86">
        <v>3</v>
      </c>
      <c r="I1492" s="86">
        <v>2</v>
      </c>
      <c r="J1492" s="86">
        <v>3</v>
      </c>
      <c r="K1492" s="86">
        <v>2</v>
      </c>
      <c r="L1492" s="86">
        <f>SUM(Table3[[#This Row],[Strategic priority segment]:[Propensity to buy/ buyer readiness]])</f>
        <v>13</v>
      </c>
      <c r="M1492" s="86" t="s">
        <v>191</v>
      </c>
      <c r="N1492" s="84" t="s">
        <v>135</v>
      </c>
      <c r="O1492" s="87"/>
      <c r="P1492" s="87"/>
      <c r="Q1492" s="87"/>
      <c r="R1492" s="84"/>
      <c r="S1492" s="87"/>
      <c r="T1492" s="84"/>
      <c r="U1492" s="84">
        <v>0</v>
      </c>
      <c r="V1492" s="84">
        <v>0</v>
      </c>
      <c r="W1492" s="84">
        <v>0</v>
      </c>
      <c r="X1492" s="84">
        <v>0</v>
      </c>
      <c r="Y1492" s="84">
        <v>0</v>
      </c>
      <c r="Z1492" s="84">
        <v>0</v>
      </c>
      <c r="AA1492" s="84">
        <v>0</v>
      </c>
      <c r="AB1492" s="84">
        <v>0</v>
      </c>
      <c r="AC1492" s="84">
        <v>0</v>
      </c>
      <c r="AD1492" s="84">
        <v>0</v>
      </c>
      <c r="AE1492" s="84">
        <v>0</v>
      </c>
      <c r="AF1492" s="84">
        <v>0</v>
      </c>
      <c r="AG1492" s="84">
        <v>0</v>
      </c>
      <c r="AH1492" s="84">
        <v>1</v>
      </c>
      <c r="AI1492" s="84">
        <v>1</v>
      </c>
      <c r="AJ1492" s="84">
        <v>1</v>
      </c>
      <c r="AK1492" s="84">
        <v>1</v>
      </c>
      <c r="AL1492" s="84" cm="1">
        <f t="array" ref="AL149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92" s="84" cm="1">
        <f t="array" ref="AM149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2" s="84" cm="1">
        <f t="array" ref="AN149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2" s="84" cm="1">
        <f t="array" ref="AO149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2" s="84" cm="1">
        <f t="array" ref="AP149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2" s="84" cm="1">
        <f t="array" ref="AQ149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2" s="84" cm="1">
        <f t="array" ref="AR149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2" s="84" cm="1">
        <f t="array" ref="AS149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2" s="84" cm="1">
        <f t="array" ref="AT149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2" s="84" cm="1">
        <f t="array" ref="AU149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2" s="84" cm="1">
        <f t="array" ref="AV149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2" s="84" cm="1">
        <f t="array" ref="AW149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2" s="84" cm="1">
        <f t="array" ref="AX149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2" s="84" cm="1">
        <f t="array" ref="AY149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92" s="84" cm="1">
        <f t="array" ref="AZ149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92" s="84" cm="1">
        <f t="array" ref="BA149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92" s="84" cm="1">
        <f t="array" ref="BB149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92" s="84">
        <f>IF(SUM(Table3[[#This Row],[Column2]:[Column18]])&gt;Table3[[#This Row],[Column19]],Table3[[#This Row],[Column19]],SUM(Table3[[#This Row],[Column2]:[Column18]]))</f>
        <v>10000</v>
      </c>
      <c r="BD1492" s="2">
        <f>Table3[[#This Row],[Total Spend]]/SUM(Table3[[#This Row],[Column2]:[Column18]])</f>
        <v>0.21574973031283712</v>
      </c>
    </row>
    <row r="1493" spans="1:56">
      <c r="A1493" s="84" t="s">
        <v>1568</v>
      </c>
      <c r="B1493" s="84"/>
      <c r="C1493" s="84"/>
      <c r="D1493" s="85">
        <v>45566</v>
      </c>
      <c r="E1493" s="85" t="s">
        <v>92</v>
      </c>
      <c r="F1493" s="84">
        <f>INDEX(Definitions!$G$13:$G$17,MATCH(Table3[[#This Row],[Propensity to buy/ buyer readiness]],Definitions!$A$13:$A$17,0))</f>
        <v>10000</v>
      </c>
      <c r="G1493" s="86">
        <v>3</v>
      </c>
      <c r="H1493" s="86">
        <v>3</v>
      </c>
      <c r="I1493" s="86">
        <v>2</v>
      </c>
      <c r="J1493" s="86">
        <v>3</v>
      </c>
      <c r="K1493" s="86">
        <v>2</v>
      </c>
      <c r="L1493" s="86">
        <f>SUM(Table3[[#This Row],[Strategic priority segment]:[Propensity to buy/ buyer readiness]])</f>
        <v>13</v>
      </c>
      <c r="M1493" s="86" t="s">
        <v>152</v>
      </c>
      <c r="N1493" s="84" t="s">
        <v>264</v>
      </c>
      <c r="O1493" s="84"/>
      <c r="P1493" s="84"/>
      <c r="Q1493" s="84"/>
      <c r="R1493" s="84"/>
      <c r="S1493" s="84"/>
      <c r="T1493" s="87"/>
      <c r="U1493" s="84">
        <v>1</v>
      </c>
      <c r="V1493" s="84">
        <v>0</v>
      </c>
      <c r="W1493" s="84">
        <v>0</v>
      </c>
      <c r="X1493" s="84">
        <v>0</v>
      </c>
      <c r="Y1493" s="84">
        <v>0</v>
      </c>
      <c r="Z1493" s="84">
        <v>0</v>
      </c>
      <c r="AA1493" s="84">
        <v>0</v>
      </c>
      <c r="AB1493" s="84">
        <v>0</v>
      </c>
      <c r="AC1493" s="84">
        <v>0</v>
      </c>
      <c r="AD1493" s="84">
        <v>0</v>
      </c>
      <c r="AE1493" s="84">
        <v>0</v>
      </c>
      <c r="AF1493" s="84">
        <v>0</v>
      </c>
      <c r="AG1493" s="84">
        <v>0</v>
      </c>
      <c r="AH1493" s="84">
        <v>0</v>
      </c>
      <c r="AI1493" s="84">
        <v>0</v>
      </c>
      <c r="AJ1493" s="84">
        <v>0</v>
      </c>
      <c r="AK1493" s="84">
        <v>0</v>
      </c>
      <c r="AL1493" s="84" cm="1">
        <f t="array" ref="AL149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93" s="84" cm="1">
        <f t="array" ref="AM149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3" s="84" cm="1">
        <f t="array" ref="AN149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3" s="84" cm="1">
        <f t="array" ref="AO149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3" s="84" cm="1">
        <f t="array" ref="AP149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3" s="84" cm="1">
        <f t="array" ref="AQ149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3" s="84" cm="1">
        <f t="array" ref="AR149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3" s="84" cm="1">
        <f t="array" ref="AS149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3" s="84" cm="1">
        <f t="array" ref="AT149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3" s="84" cm="1">
        <f t="array" ref="AU149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3" s="84" cm="1">
        <f t="array" ref="AV149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3" s="84" cm="1">
        <f t="array" ref="AW149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3" s="84" cm="1">
        <f t="array" ref="AX149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3" s="84" cm="1">
        <f t="array" ref="AY149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93" s="84" cm="1">
        <f t="array" ref="AZ149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93" s="84" cm="1">
        <f t="array" ref="BA149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93" s="84" cm="1">
        <f t="array" ref="BB149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93" s="84">
        <f>IF(SUM(Table3[[#This Row],[Column2]:[Column18]])&gt;Table3[[#This Row],[Column19]],Table3[[#This Row],[Column19]],SUM(Table3[[#This Row],[Column2]:[Column18]]))</f>
        <v>8100</v>
      </c>
      <c r="BD1493" s="2">
        <f>Table3[[#This Row],[Total Spend]]/SUM(Table3[[#This Row],[Column2]:[Column18]])</f>
        <v>1</v>
      </c>
    </row>
    <row r="1494" spans="1:56" ht="28.5">
      <c r="A1494" s="87" t="s">
        <v>1569</v>
      </c>
      <c r="B1494" s="87"/>
      <c r="C1494" s="87"/>
      <c r="D1494" s="85">
        <v>45566</v>
      </c>
      <c r="E1494" s="85" t="s">
        <v>92</v>
      </c>
      <c r="F1494" s="84">
        <f>INDEX(Definitions!$G$13:$G$17,MATCH(Table3[[#This Row],[Propensity to buy/ buyer readiness]],Definitions!$A$13:$A$17,0))</f>
        <v>10000</v>
      </c>
      <c r="G1494" s="86">
        <v>3</v>
      </c>
      <c r="H1494" s="86">
        <v>3</v>
      </c>
      <c r="I1494" s="86">
        <v>2</v>
      </c>
      <c r="J1494" s="86">
        <v>3</v>
      </c>
      <c r="K1494" s="86">
        <v>2</v>
      </c>
      <c r="L1494" s="86">
        <f>SUM(Table3[[#This Row],[Strategic priority segment]:[Propensity to buy/ buyer readiness]])</f>
        <v>13</v>
      </c>
      <c r="M1494" s="86" t="s">
        <v>191</v>
      </c>
      <c r="N1494" s="84" t="s">
        <v>135</v>
      </c>
      <c r="O1494" s="87"/>
      <c r="P1494" s="87"/>
      <c r="Q1494" s="87"/>
      <c r="R1494" s="84"/>
      <c r="S1494" s="87"/>
      <c r="T1494" s="87"/>
      <c r="U1494" s="84">
        <v>0</v>
      </c>
      <c r="V1494" s="84">
        <v>0</v>
      </c>
      <c r="W1494" s="84">
        <v>0</v>
      </c>
      <c r="X1494" s="84">
        <v>0</v>
      </c>
      <c r="Y1494" s="84">
        <v>0</v>
      </c>
      <c r="Z1494" s="84">
        <v>0</v>
      </c>
      <c r="AA1494" s="84">
        <v>0</v>
      </c>
      <c r="AB1494" s="84">
        <v>0</v>
      </c>
      <c r="AC1494" s="84">
        <v>0</v>
      </c>
      <c r="AD1494" s="84">
        <v>0</v>
      </c>
      <c r="AE1494" s="84">
        <v>0</v>
      </c>
      <c r="AF1494" s="84">
        <v>0</v>
      </c>
      <c r="AG1494" s="84">
        <v>0</v>
      </c>
      <c r="AH1494" s="84">
        <v>1</v>
      </c>
      <c r="AI1494" s="84">
        <v>1</v>
      </c>
      <c r="AJ1494" s="84">
        <v>1</v>
      </c>
      <c r="AK1494" s="84">
        <v>1</v>
      </c>
      <c r="AL1494" s="84" cm="1">
        <f t="array" ref="AL149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94" s="84" cm="1">
        <f t="array" ref="AM149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4" s="84" cm="1">
        <f t="array" ref="AN149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4" s="84" cm="1">
        <f t="array" ref="AO149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4" s="84" cm="1">
        <f t="array" ref="AP149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4" s="84" cm="1">
        <f t="array" ref="AQ149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4" s="84" cm="1">
        <f t="array" ref="AR149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4" s="84" cm="1">
        <f t="array" ref="AS149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4" s="84" cm="1">
        <f t="array" ref="AT149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4" s="84" cm="1">
        <f t="array" ref="AU149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4" s="84" cm="1">
        <f t="array" ref="AV149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4" s="84" cm="1">
        <f t="array" ref="AW149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4" s="84" cm="1">
        <f t="array" ref="AX149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4" s="84" cm="1">
        <f t="array" ref="AY149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94" s="84" cm="1">
        <f t="array" ref="AZ149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94" s="84" cm="1">
        <f t="array" ref="BA149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94" s="84" cm="1">
        <f t="array" ref="BB149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94" s="84">
        <f>IF(SUM(Table3[[#This Row],[Column2]:[Column18]])&gt;Table3[[#This Row],[Column19]],Table3[[#This Row],[Column19]],SUM(Table3[[#This Row],[Column2]:[Column18]]))</f>
        <v>10000</v>
      </c>
      <c r="BD1494" s="2">
        <f>Table3[[#This Row],[Total Spend]]/SUM(Table3[[#This Row],[Column2]:[Column18]])</f>
        <v>0.21574973031283712</v>
      </c>
    </row>
    <row r="1495" spans="1:56" ht="28.5">
      <c r="A1495" s="87" t="s">
        <v>1570</v>
      </c>
      <c r="B1495" s="87"/>
      <c r="C1495" s="87"/>
      <c r="D1495" s="85">
        <v>45566</v>
      </c>
      <c r="E1495" s="85" t="s">
        <v>92</v>
      </c>
      <c r="F1495" s="84">
        <f>INDEX(Definitions!$G$13:$G$17,MATCH(Table3[[#This Row],[Propensity to buy/ buyer readiness]],Definitions!$A$13:$A$17,0))</f>
        <v>10000</v>
      </c>
      <c r="G1495" s="86">
        <v>3</v>
      </c>
      <c r="H1495" s="86">
        <v>3</v>
      </c>
      <c r="I1495" s="86">
        <v>2</v>
      </c>
      <c r="J1495" s="86">
        <v>3</v>
      </c>
      <c r="K1495" s="86">
        <v>2</v>
      </c>
      <c r="L1495" s="86">
        <f>SUM(Table3[[#This Row],[Strategic priority segment]:[Propensity to buy/ buyer readiness]])</f>
        <v>13</v>
      </c>
      <c r="M1495" s="86" t="s">
        <v>191</v>
      </c>
      <c r="N1495" s="84" t="s">
        <v>135</v>
      </c>
      <c r="O1495" s="87"/>
      <c r="P1495" s="87"/>
      <c r="Q1495" s="87"/>
      <c r="R1495" s="84"/>
      <c r="S1495" s="87"/>
      <c r="T1495" s="87"/>
      <c r="U1495" s="84">
        <v>0</v>
      </c>
      <c r="V1495" s="84">
        <v>0</v>
      </c>
      <c r="W1495" s="84">
        <v>0</v>
      </c>
      <c r="X1495" s="84">
        <v>0</v>
      </c>
      <c r="Y1495" s="84">
        <v>0</v>
      </c>
      <c r="Z1495" s="84">
        <v>0</v>
      </c>
      <c r="AA1495" s="84">
        <v>0</v>
      </c>
      <c r="AB1495" s="84">
        <v>0</v>
      </c>
      <c r="AC1495" s="84">
        <v>0</v>
      </c>
      <c r="AD1495" s="84">
        <v>0</v>
      </c>
      <c r="AE1495" s="84">
        <v>0</v>
      </c>
      <c r="AF1495" s="84">
        <v>0</v>
      </c>
      <c r="AG1495" s="84">
        <v>0</v>
      </c>
      <c r="AH1495" s="84">
        <v>1</v>
      </c>
      <c r="AI1495" s="84">
        <v>1</v>
      </c>
      <c r="AJ1495" s="84">
        <v>1</v>
      </c>
      <c r="AK1495" s="84">
        <v>1</v>
      </c>
      <c r="AL1495" s="84" cm="1">
        <f t="array" ref="AL149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95" s="84" cm="1">
        <f t="array" ref="AM149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5" s="84" cm="1">
        <f t="array" ref="AN149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5" s="84" cm="1">
        <f t="array" ref="AO149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5" s="84" cm="1">
        <f t="array" ref="AP149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5" s="84" cm="1">
        <f t="array" ref="AQ149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5" s="84" cm="1">
        <f t="array" ref="AR149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5" s="84" cm="1">
        <f t="array" ref="AS149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5" s="84" cm="1">
        <f t="array" ref="AT149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5" s="84" cm="1">
        <f t="array" ref="AU149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5" s="84" cm="1">
        <f t="array" ref="AV149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5" s="84" cm="1">
        <f t="array" ref="AW149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5" s="84" cm="1">
        <f t="array" ref="AX149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5" s="84" cm="1">
        <f t="array" ref="AY149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95" s="84" cm="1">
        <f t="array" ref="AZ149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95" s="84" cm="1">
        <f t="array" ref="BA149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95" s="84" cm="1">
        <f t="array" ref="BB149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95" s="84">
        <f>IF(SUM(Table3[[#This Row],[Column2]:[Column18]])&gt;Table3[[#This Row],[Column19]],Table3[[#This Row],[Column19]],SUM(Table3[[#This Row],[Column2]:[Column18]]))</f>
        <v>10000</v>
      </c>
      <c r="BD1495" s="2">
        <f>Table3[[#This Row],[Total Spend]]/SUM(Table3[[#This Row],[Column2]:[Column18]])</f>
        <v>0.21574973031283712</v>
      </c>
    </row>
    <row r="1496" spans="1:56">
      <c r="A1496" s="87" t="s">
        <v>1571</v>
      </c>
      <c r="B1496" s="87"/>
      <c r="C1496" s="87"/>
      <c r="D1496" s="85">
        <v>45566</v>
      </c>
      <c r="E1496" s="85" t="s">
        <v>92</v>
      </c>
      <c r="F1496" s="84">
        <f>INDEX(Definitions!$G$13:$G$17,MATCH(Table3[[#This Row],[Propensity to buy/ buyer readiness]],Definitions!$A$13:$A$17,0))</f>
        <v>10000</v>
      </c>
      <c r="G1496" s="86">
        <v>3</v>
      </c>
      <c r="H1496" s="86">
        <v>3</v>
      </c>
      <c r="I1496" s="86">
        <v>2</v>
      </c>
      <c r="J1496" s="86">
        <v>3</v>
      </c>
      <c r="K1496" s="86">
        <v>2</v>
      </c>
      <c r="L1496" s="86">
        <f>SUM(Table3[[#This Row],[Strategic priority segment]:[Propensity to buy/ buyer readiness]])</f>
        <v>13</v>
      </c>
      <c r="M1496" s="86" t="s">
        <v>191</v>
      </c>
      <c r="N1496" s="84" t="s">
        <v>135</v>
      </c>
      <c r="O1496" s="87"/>
      <c r="P1496" s="87"/>
      <c r="Q1496" s="87"/>
      <c r="R1496" s="84"/>
      <c r="S1496" s="87"/>
      <c r="T1496" s="87"/>
      <c r="U1496" s="84">
        <v>0</v>
      </c>
      <c r="V1496" s="84">
        <v>0</v>
      </c>
      <c r="W1496" s="84">
        <v>0</v>
      </c>
      <c r="X1496" s="84">
        <v>0</v>
      </c>
      <c r="Y1496" s="84">
        <v>0</v>
      </c>
      <c r="Z1496" s="84">
        <v>0</v>
      </c>
      <c r="AA1496" s="84">
        <v>0</v>
      </c>
      <c r="AB1496" s="84">
        <v>0</v>
      </c>
      <c r="AC1496" s="84">
        <v>0</v>
      </c>
      <c r="AD1496" s="84">
        <v>0</v>
      </c>
      <c r="AE1496" s="84">
        <v>0</v>
      </c>
      <c r="AF1496" s="84">
        <v>0</v>
      </c>
      <c r="AG1496" s="84">
        <v>0</v>
      </c>
      <c r="AH1496" s="84">
        <v>1</v>
      </c>
      <c r="AI1496" s="84">
        <v>1</v>
      </c>
      <c r="AJ1496" s="84">
        <v>1</v>
      </c>
      <c r="AK1496" s="84">
        <v>1</v>
      </c>
      <c r="AL1496" s="84" cm="1">
        <f t="array" ref="AL149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96" s="84" cm="1">
        <f t="array" ref="AM149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6" s="84" cm="1">
        <f t="array" ref="AN149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6" s="84" cm="1">
        <f t="array" ref="AO149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6" s="84" cm="1">
        <f t="array" ref="AP149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6" s="84" cm="1">
        <f t="array" ref="AQ149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6" s="84" cm="1">
        <f t="array" ref="AR149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6" s="84" cm="1">
        <f t="array" ref="AS149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6" s="84" cm="1">
        <f t="array" ref="AT149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6" s="84" cm="1">
        <f t="array" ref="AU149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6" s="84" cm="1">
        <f t="array" ref="AV149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6" s="84" cm="1">
        <f t="array" ref="AW149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6" s="84" cm="1">
        <f t="array" ref="AX149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6" s="84" cm="1">
        <f t="array" ref="AY149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96" s="84" cm="1">
        <f t="array" ref="AZ149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96" s="84" cm="1">
        <f t="array" ref="BA149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96" s="84" cm="1">
        <f t="array" ref="BB149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96" s="84">
        <f>IF(SUM(Table3[[#This Row],[Column2]:[Column18]])&gt;Table3[[#This Row],[Column19]],Table3[[#This Row],[Column19]],SUM(Table3[[#This Row],[Column2]:[Column18]]))</f>
        <v>10000</v>
      </c>
      <c r="BD1496" s="2">
        <f>Table3[[#This Row],[Total Spend]]/SUM(Table3[[#This Row],[Column2]:[Column18]])</f>
        <v>0.21574973031283712</v>
      </c>
    </row>
    <row r="1497" spans="1:56">
      <c r="A1497" s="84" t="s">
        <v>1572</v>
      </c>
      <c r="B1497" s="84"/>
      <c r="C1497" s="84"/>
      <c r="D1497" s="85">
        <v>45566</v>
      </c>
      <c r="E1497" s="85" t="s">
        <v>92</v>
      </c>
      <c r="F1497" s="84">
        <f>INDEX(Definitions!$G$13:$G$17,MATCH(Table3[[#This Row],[Propensity to buy/ buyer readiness]],Definitions!$A$13:$A$17,0))</f>
        <v>10000</v>
      </c>
      <c r="G1497" s="86">
        <v>3</v>
      </c>
      <c r="H1497" s="86">
        <v>3</v>
      </c>
      <c r="I1497" s="86">
        <v>2</v>
      </c>
      <c r="J1497" s="86">
        <v>3</v>
      </c>
      <c r="K1497" s="86">
        <v>2</v>
      </c>
      <c r="L1497" s="86">
        <f>SUM(Table3[[#This Row],[Strategic priority segment]:[Propensity to buy/ buyer readiness]])</f>
        <v>13</v>
      </c>
      <c r="M1497" s="86" t="s">
        <v>152</v>
      </c>
      <c r="N1497" s="84" t="s">
        <v>264</v>
      </c>
      <c r="O1497" s="84"/>
      <c r="P1497" s="87"/>
      <c r="Q1497" s="87"/>
      <c r="R1497" s="84"/>
      <c r="S1497" s="87"/>
      <c r="T1497" s="87"/>
      <c r="U1497" s="84">
        <v>1</v>
      </c>
      <c r="V1497" s="84">
        <v>0</v>
      </c>
      <c r="W1497" s="84">
        <v>0</v>
      </c>
      <c r="X1497" s="84">
        <v>0</v>
      </c>
      <c r="Y1497" s="84">
        <v>0</v>
      </c>
      <c r="Z1497" s="84">
        <v>0</v>
      </c>
      <c r="AA1497" s="84">
        <v>0</v>
      </c>
      <c r="AB1497" s="84">
        <v>0</v>
      </c>
      <c r="AC1497" s="84">
        <v>0</v>
      </c>
      <c r="AD1497" s="84">
        <v>0</v>
      </c>
      <c r="AE1497" s="84">
        <v>0</v>
      </c>
      <c r="AF1497" s="84">
        <v>0</v>
      </c>
      <c r="AG1497" s="84">
        <v>0</v>
      </c>
      <c r="AH1497" s="84">
        <v>0</v>
      </c>
      <c r="AI1497" s="84">
        <v>0</v>
      </c>
      <c r="AJ1497" s="84">
        <v>0</v>
      </c>
      <c r="AK1497" s="84">
        <v>0</v>
      </c>
      <c r="AL1497" s="84" cm="1">
        <f t="array" ref="AL149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97" s="84" cm="1">
        <f t="array" ref="AM149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7" s="84" cm="1">
        <f t="array" ref="AN149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7" s="84" cm="1">
        <f t="array" ref="AO149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7" s="84" cm="1">
        <f t="array" ref="AP149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7" s="84" cm="1">
        <f t="array" ref="AQ149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7" s="84" cm="1">
        <f t="array" ref="AR149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7" s="84" cm="1">
        <f t="array" ref="AS149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7" s="84" cm="1">
        <f t="array" ref="AT149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7" s="84" cm="1">
        <f t="array" ref="AU149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7" s="84" cm="1">
        <f t="array" ref="AV149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7" s="84" cm="1">
        <f t="array" ref="AW149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7" s="84" cm="1">
        <f t="array" ref="AX149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7" s="84" cm="1">
        <f t="array" ref="AY149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97" s="84" cm="1">
        <f t="array" ref="AZ149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97" s="84" cm="1">
        <f t="array" ref="BA149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97" s="84" cm="1">
        <f t="array" ref="BB149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97" s="84">
        <f>IF(SUM(Table3[[#This Row],[Column2]:[Column18]])&gt;Table3[[#This Row],[Column19]],Table3[[#This Row],[Column19]],SUM(Table3[[#This Row],[Column2]:[Column18]]))</f>
        <v>8100</v>
      </c>
      <c r="BD1497" s="2">
        <f>Table3[[#This Row],[Total Spend]]/SUM(Table3[[#This Row],[Column2]:[Column18]])</f>
        <v>1</v>
      </c>
    </row>
    <row r="1498" spans="1:56">
      <c r="A1498" s="84" t="s">
        <v>1573</v>
      </c>
      <c r="B1498" s="84"/>
      <c r="C1498" s="84"/>
      <c r="D1498" s="85">
        <v>45809</v>
      </c>
      <c r="E1498" s="85" t="s">
        <v>92</v>
      </c>
      <c r="F1498" s="84">
        <f>INDEX(Definitions!$G$13:$G$17,MATCH(Table3[[#This Row],[Propensity to buy/ buyer readiness]],Definitions!$A$13:$A$17,0))</f>
        <v>10000</v>
      </c>
      <c r="G1498" s="86">
        <v>3</v>
      </c>
      <c r="H1498" s="86">
        <v>3</v>
      </c>
      <c r="I1498" s="86">
        <v>2</v>
      </c>
      <c r="J1498" s="86">
        <v>3</v>
      </c>
      <c r="K1498" s="86">
        <v>2</v>
      </c>
      <c r="L1498" s="86">
        <f>SUM(Table3[[#This Row],[Strategic priority segment]:[Propensity to buy/ buyer readiness]])</f>
        <v>13</v>
      </c>
      <c r="M1498" s="86" t="s">
        <v>191</v>
      </c>
      <c r="N1498" s="84" t="s">
        <v>135</v>
      </c>
      <c r="O1498" s="84"/>
      <c r="P1498" s="87"/>
      <c r="Q1498" s="87"/>
      <c r="R1498" s="84"/>
      <c r="S1498" s="84"/>
      <c r="T1498" s="84"/>
      <c r="U1498" s="84">
        <v>0</v>
      </c>
      <c r="V1498" s="84">
        <v>0</v>
      </c>
      <c r="W1498" s="84">
        <v>0</v>
      </c>
      <c r="X1498" s="84">
        <v>0</v>
      </c>
      <c r="Y1498" s="84">
        <v>0</v>
      </c>
      <c r="Z1498" s="84">
        <v>0</v>
      </c>
      <c r="AA1498" s="84">
        <v>0</v>
      </c>
      <c r="AB1498" s="84">
        <v>0</v>
      </c>
      <c r="AC1498" s="84">
        <v>0</v>
      </c>
      <c r="AD1498" s="84">
        <v>0</v>
      </c>
      <c r="AE1498" s="84">
        <v>0</v>
      </c>
      <c r="AF1498" s="84">
        <v>0</v>
      </c>
      <c r="AG1498" s="84">
        <v>0</v>
      </c>
      <c r="AH1498" s="84">
        <v>1</v>
      </c>
      <c r="AI1498" s="84">
        <v>1</v>
      </c>
      <c r="AJ1498" s="84">
        <v>1</v>
      </c>
      <c r="AK1498" s="84">
        <v>1</v>
      </c>
      <c r="AL1498" s="84" cm="1">
        <f t="array" ref="AL149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498" s="84" cm="1">
        <f t="array" ref="AM149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8" s="84" cm="1">
        <f t="array" ref="AN149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8" s="84" cm="1">
        <f t="array" ref="AO149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8" s="84" cm="1">
        <f t="array" ref="AP149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8" s="84" cm="1">
        <f t="array" ref="AQ149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8" s="84" cm="1">
        <f t="array" ref="AR149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8" s="84" cm="1">
        <f t="array" ref="AS149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8" s="84" cm="1">
        <f t="array" ref="AT149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8" s="84" cm="1">
        <f t="array" ref="AU149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8" s="84" cm="1">
        <f t="array" ref="AV149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8" s="84" cm="1">
        <f t="array" ref="AW149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8" s="84" cm="1">
        <f t="array" ref="AX149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8" s="84" cm="1">
        <f t="array" ref="AY149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498" s="84" cm="1">
        <f t="array" ref="AZ149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498" s="84" cm="1">
        <f t="array" ref="BA149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498" s="84" cm="1">
        <f t="array" ref="BB149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498" s="84">
        <f>IF(SUM(Table3[[#This Row],[Column2]:[Column18]])&gt;Table3[[#This Row],[Column19]],Table3[[#This Row],[Column19]],SUM(Table3[[#This Row],[Column2]:[Column18]]))</f>
        <v>10000</v>
      </c>
      <c r="BD1498" s="2">
        <f>Table3[[#This Row],[Total Spend]]/SUM(Table3[[#This Row],[Column2]:[Column18]])</f>
        <v>0.21574973031283712</v>
      </c>
    </row>
    <row r="1499" spans="1:56">
      <c r="A1499" s="84" t="s">
        <v>1574</v>
      </c>
      <c r="B1499" s="84"/>
      <c r="C1499" s="84"/>
      <c r="D1499" s="85">
        <v>45566</v>
      </c>
      <c r="E1499" s="85" t="s">
        <v>92</v>
      </c>
      <c r="F1499" s="84">
        <f>INDEX(Definitions!$G$13:$G$17,MATCH(Table3[[#This Row],[Propensity to buy/ buyer readiness]],Definitions!$A$13:$A$17,0))</f>
        <v>10000</v>
      </c>
      <c r="G1499" s="86">
        <v>3</v>
      </c>
      <c r="H1499" s="86">
        <v>3</v>
      </c>
      <c r="I1499" s="86">
        <v>2</v>
      </c>
      <c r="J1499" s="86">
        <v>3</v>
      </c>
      <c r="K1499" s="86">
        <v>2</v>
      </c>
      <c r="L1499" s="86">
        <f>SUM(Table3[[#This Row],[Strategic priority segment]:[Propensity to buy/ buyer readiness]])</f>
        <v>13</v>
      </c>
      <c r="M1499" s="86" t="s">
        <v>152</v>
      </c>
      <c r="N1499" s="84" t="s">
        <v>264</v>
      </c>
      <c r="O1499" s="87"/>
      <c r="P1499" s="87"/>
      <c r="Q1499" s="87"/>
      <c r="R1499" s="87"/>
      <c r="S1499" s="87"/>
      <c r="T1499" s="87"/>
      <c r="U1499" s="84">
        <v>1</v>
      </c>
      <c r="V1499" s="84">
        <v>0</v>
      </c>
      <c r="W1499" s="84">
        <v>0</v>
      </c>
      <c r="X1499" s="84">
        <v>0</v>
      </c>
      <c r="Y1499" s="84">
        <v>0</v>
      </c>
      <c r="Z1499" s="84">
        <v>0</v>
      </c>
      <c r="AA1499" s="84">
        <v>0</v>
      </c>
      <c r="AB1499" s="84">
        <v>0</v>
      </c>
      <c r="AC1499" s="84">
        <v>0</v>
      </c>
      <c r="AD1499" s="84">
        <v>0</v>
      </c>
      <c r="AE1499" s="84">
        <v>0</v>
      </c>
      <c r="AF1499" s="84">
        <v>0</v>
      </c>
      <c r="AG1499" s="84">
        <v>0</v>
      </c>
      <c r="AH1499" s="84">
        <v>0</v>
      </c>
      <c r="AI1499" s="84">
        <v>0</v>
      </c>
      <c r="AJ1499" s="84">
        <v>0</v>
      </c>
      <c r="AK1499" s="84">
        <v>0</v>
      </c>
      <c r="AL1499" s="84" cm="1">
        <f t="array" ref="AL149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499" s="84" cm="1">
        <f t="array" ref="AM149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499" s="84" cm="1">
        <f t="array" ref="AN149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499" s="84" cm="1">
        <f t="array" ref="AO149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499" s="84" cm="1">
        <f t="array" ref="AP149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499" s="84" cm="1">
        <f t="array" ref="AQ149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499" s="84" cm="1">
        <f t="array" ref="AR149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499" s="84" cm="1">
        <f t="array" ref="AS149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499" s="84" cm="1">
        <f t="array" ref="AT149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499" s="84" cm="1">
        <f t="array" ref="AU149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499" s="84" cm="1">
        <f t="array" ref="AV149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499" s="84" cm="1">
        <f t="array" ref="AW149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499" s="84" cm="1">
        <f t="array" ref="AX149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499" s="84" cm="1">
        <f t="array" ref="AY149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499" s="84" cm="1">
        <f t="array" ref="AZ149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499" s="84" cm="1">
        <f t="array" ref="BA149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499" s="84" cm="1">
        <f t="array" ref="BB149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499" s="84">
        <f>IF(SUM(Table3[[#This Row],[Column2]:[Column18]])&gt;Table3[[#This Row],[Column19]],Table3[[#This Row],[Column19]],SUM(Table3[[#This Row],[Column2]:[Column18]]))</f>
        <v>8100</v>
      </c>
      <c r="BD1499" s="2">
        <f>Table3[[#This Row],[Total Spend]]/SUM(Table3[[#This Row],[Column2]:[Column18]])</f>
        <v>1</v>
      </c>
    </row>
    <row r="1500" spans="1:56" ht="28.5">
      <c r="A1500" s="87" t="s">
        <v>1575</v>
      </c>
      <c r="B1500" s="87"/>
      <c r="C1500" s="87"/>
      <c r="D1500" s="85">
        <v>45566</v>
      </c>
      <c r="E1500" s="85" t="s">
        <v>92</v>
      </c>
      <c r="F1500" s="84">
        <f>INDEX(Definitions!$G$13:$G$17,MATCH(Table3[[#This Row],[Propensity to buy/ buyer readiness]],Definitions!$A$13:$A$17,0))</f>
        <v>10000</v>
      </c>
      <c r="G1500" s="86">
        <v>3</v>
      </c>
      <c r="H1500" s="86">
        <v>3</v>
      </c>
      <c r="I1500" s="86">
        <v>2</v>
      </c>
      <c r="J1500" s="86">
        <v>3</v>
      </c>
      <c r="K1500" s="86">
        <v>2</v>
      </c>
      <c r="L1500" s="86">
        <f>SUM(Table3[[#This Row],[Strategic priority segment]:[Propensity to buy/ buyer readiness]])</f>
        <v>13</v>
      </c>
      <c r="M1500" s="86" t="s">
        <v>191</v>
      </c>
      <c r="N1500" s="84" t="s">
        <v>135</v>
      </c>
      <c r="O1500" s="87"/>
      <c r="P1500" s="87"/>
      <c r="Q1500" s="87"/>
      <c r="R1500" s="84"/>
      <c r="S1500" s="87"/>
      <c r="T1500" s="84"/>
      <c r="U1500" s="84">
        <v>0</v>
      </c>
      <c r="V1500" s="84">
        <v>0</v>
      </c>
      <c r="W1500" s="84">
        <v>0</v>
      </c>
      <c r="X1500" s="84">
        <v>0</v>
      </c>
      <c r="Y1500" s="84">
        <v>0</v>
      </c>
      <c r="Z1500" s="84">
        <v>0</v>
      </c>
      <c r="AA1500" s="84">
        <v>0</v>
      </c>
      <c r="AB1500" s="84">
        <v>0</v>
      </c>
      <c r="AC1500" s="84">
        <v>0</v>
      </c>
      <c r="AD1500" s="84">
        <v>0</v>
      </c>
      <c r="AE1500" s="84">
        <v>0</v>
      </c>
      <c r="AF1500" s="84">
        <v>0</v>
      </c>
      <c r="AG1500" s="84">
        <v>0</v>
      </c>
      <c r="AH1500" s="84">
        <v>1</v>
      </c>
      <c r="AI1500" s="84">
        <v>1</v>
      </c>
      <c r="AJ1500" s="84">
        <v>1</v>
      </c>
      <c r="AK1500" s="84">
        <v>1</v>
      </c>
      <c r="AL1500" s="84" cm="1">
        <f t="array" ref="AL150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0" s="84" cm="1">
        <f t="array" ref="AM150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0" s="84" cm="1">
        <f t="array" ref="AN150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0" s="84" cm="1">
        <f t="array" ref="AO150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0" s="84" cm="1">
        <f t="array" ref="AP150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0" s="84" cm="1">
        <f t="array" ref="AQ150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0" s="84" cm="1">
        <f t="array" ref="AR150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0" s="84" cm="1">
        <f t="array" ref="AS150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0" s="84" cm="1">
        <f t="array" ref="AT150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0" s="84" cm="1">
        <f t="array" ref="AU150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0" s="84" cm="1">
        <f t="array" ref="AV150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0" s="84" cm="1">
        <f t="array" ref="AW150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0" s="84" cm="1">
        <f t="array" ref="AX150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0" s="84" cm="1">
        <f t="array" ref="AY150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0" s="84" cm="1">
        <f t="array" ref="AZ150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0" s="84" cm="1">
        <f t="array" ref="BA150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0" s="84" cm="1">
        <f t="array" ref="BB150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0" s="84">
        <f>IF(SUM(Table3[[#This Row],[Column2]:[Column18]])&gt;Table3[[#This Row],[Column19]],Table3[[#This Row],[Column19]],SUM(Table3[[#This Row],[Column2]:[Column18]]))</f>
        <v>10000</v>
      </c>
      <c r="BD1500" s="2">
        <f>Table3[[#This Row],[Total Spend]]/SUM(Table3[[#This Row],[Column2]:[Column18]])</f>
        <v>0.21574973031283712</v>
      </c>
    </row>
    <row r="1501" spans="1:56" ht="28.5">
      <c r="A1501" s="87" t="s">
        <v>1576</v>
      </c>
      <c r="B1501" s="87"/>
      <c r="C1501" s="87"/>
      <c r="D1501" s="85">
        <v>45566</v>
      </c>
      <c r="E1501" s="85" t="s">
        <v>92</v>
      </c>
      <c r="F1501" s="84">
        <f>INDEX(Definitions!$G$13:$G$17,MATCH(Table3[[#This Row],[Propensity to buy/ buyer readiness]],Definitions!$A$13:$A$17,0))</f>
        <v>10000</v>
      </c>
      <c r="G1501" s="86">
        <v>3</v>
      </c>
      <c r="H1501" s="86">
        <v>3</v>
      </c>
      <c r="I1501" s="86">
        <v>2</v>
      </c>
      <c r="J1501" s="86">
        <v>3</v>
      </c>
      <c r="K1501" s="86">
        <v>2</v>
      </c>
      <c r="L1501" s="86">
        <f>SUM(Table3[[#This Row],[Strategic priority segment]:[Propensity to buy/ buyer readiness]])</f>
        <v>13</v>
      </c>
      <c r="M1501" s="86" t="s">
        <v>191</v>
      </c>
      <c r="N1501" s="84" t="s">
        <v>135</v>
      </c>
      <c r="O1501" s="87"/>
      <c r="P1501" s="87"/>
      <c r="Q1501" s="87"/>
      <c r="R1501" s="84"/>
      <c r="S1501" s="87"/>
      <c r="T1501" s="84"/>
      <c r="U1501" s="84">
        <v>0</v>
      </c>
      <c r="V1501" s="84">
        <v>0</v>
      </c>
      <c r="W1501" s="84">
        <v>0</v>
      </c>
      <c r="X1501" s="84">
        <v>0</v>
      </c>
      <c r="Y1501" s="84">
        <v>0</v>
      </c>
      <c r="Z1501" s="84">
        <v>0</v>
      </c>
      <c r="AA1501" s="84">
        <v>0</v>
      </c>
      <c r="AB1501" s="84">
        <v>0</v>
      </c>
      <c r="AC1501" s="84">
        <v>0</v>
      </c>
      <c r="AD1501" s="84">
        <v>0</v>
      </c>
      <c r="AE1501" s="84">
        <v>0</v>
      </c>
      <c r="AF1501" s="84">
        <v>0</v>
      </c>
      <c r="AG1501" s="84">
        <v>0</v>
      </c>
      <c r="AH1501" s="84">
        <v>1</v>
      </c>
      <c r="AI1501" s="84">
        <v>1</v>
      </c>
      <c r="AJ1501" s="84">
        <v>1</v>
      </c>
      <c r="AK1501" s="84">
        <v>1</v>
      </c>
      <c r="AL1501" s="84" cm="1">
        <f t="array" ref="AL150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1" s="84" cm="1">
        <f t="array" ref="AM150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1" s="84" cm="1">
        <f t="array" ref="AN150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1" s="84" cm="1">
        <f t="array" ref="AO150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1" s="84" cm="1">
        <f t="array" ref="AP150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1" s="84" cm="1">
        <f t="array" ref="AQ150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1" s="84" cm="1">
        <f t="array" ref="AR150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1" s="84" cm="1">
        <f t="array" ref="AS150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1" s="84" cm="1">
        <f t="array" ref="AT150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1" s="84" cm="1">
        <f t="array" ref="AU150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1" s="84" cm="1">
        <f t="array" ref="AV150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1" s="84" cm="1">
        <f t="array" ref="AW150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1" s="84" cm="1">
        <f t="array" ref="AX150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1" s="84" cm="1">
        <f t="array" ref="AY150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1" s="84" cm="1">
        <f t="array" ref="AZ150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1" s="84" cm="1">
        <f t="array" ref="BA150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1" s="84" cm="1">
        <f t="array" ref="BB150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1" s="84">
        <f>IF(SUM(Table3[[#This Row],[Column2]:[Column18]])&gt;Table3[[#This Row],[Column19]],Table3[[#This Row],[Column19]],SUM(Table3[[#This Row],[Column2]:[Column18]]))</f>
        <v>10000</v>
      </c>
      <c r="BD1501" s="2">
        <f>Table3[[#This Row],[Total Spend]]/SUM(Table3[[#This Row],[Column2]:[Column18]])</f>
        <v>0.21574973031283712</v>
      </c>
    </row>
    <row r="1502" spans="1:56" ht="28.5">
      <c r="A1502" s="87" t="s">
        <v>1577</v>
      </c>
      <c r="B1502" s="87"/>
      <c r="C1502" s="87"/>
      <c r="D1502" s="85">
        <v>45566</v>
      </c>
      <c r="E1502" s="85" t="s">
        <v>92</v>
      </c>
      <c r="F1502" s="84">
        <f>INDEX(Definitions!$G$13:$G$17,MATCH(Table3[[#This Row],[Propensity to buy/ buyer readiness]],Definitions!$A$13:$A$17,0))</f>
        <v>10000</v>
      </c>
      <c r="G1502" s="86">
        <v>3</v>
      </c>
      <c r="H1502" s="86">
        <v>3</v>
      </c>
      <c r="I1502" s="86">
        <v>2</v>
      </c>
      <c r="J1502" s="86">
        <v>3</v>
      </c>
      <c r="K1502" s="86">
        <v>2</v>
      </c>
      <c r="L1502" s="86">
        <f>SUM(Table3[[#This Row],[Strategic priority segment]:[Propensity to buy/ buyer readiness]])</f>
        <v>13</v>
      </c>
      <c r="M1502" s="86" t="s">
        <v>191</v>
      </c>
      <c r="N1502" s="84" t="s">
        <v>135</v>
      </c>
      <c r="O1502" s="87"/>
      <c r="P1502" s="87"/>
      <c r="Q1502" s="87"/>
      <c r="R1502" s="84"/>
      <c r="S1502" s="87"/>
      <c r="T1502" s="87"/>
      <c r="U1502" s="84">
        <v>0</v>
      </c>
      <c r="V1502" s="84">
        <v>0</v>
      </c>
      <c r="W1502" s="84">
        <v>0</v>
      </c>
      <c r="X1502" s="84">
        <v>0</v>
      </c>
      <c r="Y1502" s="84">
        <v>0</v>
      </c>
      <c r="Z1502" s="84">
        <v>0</v>
      </c>
      <c r="AA1502" s="84">
        <v>0</v>
      </c>
      <c r="AB1502" s="84">
        <v>0</v>
      </c>
      <c r="AC1502" s="84">
        <v>0</v>
      </c>
      <c r="AD1502" s="84">
        <v>0</v>
      </c>
      <c r="AE1502" s="84">
        <v>0</v>
      </c>
      <c r="AF1502" s="84">
        <v>0</v>
      </c>
      <c r="AG1502" s="84">
        <v>0</v>
      </c>
      <c r="AH1502" s="84">
        <v>1</v>
      </c>
      <c r="AI1502" s="84">
        <v>1</v>
      </c>
      <c r="AJ1502" s="84">
        <v>1</v>
      </c>
      <c r="AK1502" s="84">
        <v>1</v>
      </c>
      <c r="AL1502" s="84" cm="1">
        <f t="array" ref="AL150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2" s="84" cm="1">
        <f t="array" ref="AM150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2" s="84" cm="1">
        <f t="array" ref="AN150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2" s="84" cm="1">
        <f t="array" ref="AO150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2" s="84" cm="1">
        <f t="array" ref="AP150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2" s="84" cm="1">
        <f t="array" ref="AQ150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2" s="84" cm="1">
        <f t="array" ref="AR150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2" s="84" cm="1">
        <f t="array" ref="AS150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2" s="84" cm="1">
        <f t="array" ref="AT150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2" s="84" cm="1">
        <f t="array" ref="AU150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2" s="84" cm="1">
        <f t="array" ref="AV150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2" s="84" cm="1">
        <f t="array" ref="AW150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2" s="84" cm="1">
        <f t="array" ref="AX150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2" s="84" cm="1">
        <f t="array" ref="AY150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2" s="84" cm="1">
        <f t="array" ref="AZ150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2" s="84" cm="1">
        <f t="array" ref="BA150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2" s="84" cm="1">
        <f t="array" ref="BB150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2" s="84">
        <f>IF(SUM(Table3[[#This Row],[Column2]:[Column18]])&gt;Table3[[#This Row],[Column19]],Table3[[#This Row],[Column19]],SUM(Table3[[#This Row],[Column2]:[Column18]]))</f>
        <v>10000</v>
      </c>
      <c r="BD1502" s="2">
        <f>Table3[[#This Row],[Total Spend]]/SUM(Table3[[#This Row],[Column2]:[Column18]])</f>
        <v>0.21574973031283712</v>
      </c>
    </row>
    <row r="1503" spans="1:56" ht="42.75">
      <c r="A1503" s="87" t="s">
        <v>1578</v>
      </c>
      <c r="B1503" s="87"/>
      <c r="C1503" s="87"/>
      <c r="D1503" s="85">
        <v>45566</v>
      </c>
      <c r="E1503" s="85" t="s">
        <v>92</v>
      </c>
      <c r="F1503" s="84">
        <f>INDEX(Definitions!$G$13:$G$17,MATCH(Table3[[#This Row],[Propensity to buy/ buyer readiness]],Definitions!$A$13:$A$17,0))</f>
        <v>10000</v>
      </c>
      <c r="G1503" s="86">
        <v>3</v>
      </c>
      <c r="H1503" s="86">
        <v>3</v>
      </c>
      <c r="I1503" s="86">
        <v>2</v>
      </c>
      <c r="J1503" s="86">
        <v>3</v>
      </c>
      <c r="K1503" s="86">
        <v>2</v>
      </c>
      <c r="L1503" s="86">
        <f>SUM(Table3[[#This Row],[Strategic priority segment]:[Propensity to buy/ buyer readiness]])</f>
        <v>13</v>
      </c>
      <c r="M1503" s="86" t="s">
        <v>191</v>
      </c>
      <c r="N1503" s="84" t="s">
        <v>135</v>
      </c>
      <c r="O1503" s="87"/>
      <c r="P1503" s="87"/>
      <c r="Q1503" s="87"/>
      <c r="R1503" s="84"/>
      <c r="S1503" s="87"/>
      <c r="T1503" s="87"/>
      <c r="U1503" s="84">
        <v>0</v>
      </c>
      <c r="V1503" s="84">
        <v>0</v>
      </c>
      <c r="W1503" s="84">
        <v>0</v>
      </c>
      <c r="X1503" s="84">
        <v>0</v>
      </c>
      <c r="Y1503" s="84">
        <v>0</v>
      </c>
      <c r="Z1503" s="84">
        <v>0</v>
      </c>
      <c r="AA1503" s="84">
        <v>0</v>
      </c>
      <c r="AB1503" s="84">
        <v>0</v>
      </c>
      <c r="AC1503" s="84">
        <v>0</v>
      </c>
      <c r="AD1503" s="84">
        <v>0</v>
      </c>
      <c r="AE1503" s="84">
        <v>0</v>
      </c>
      <c r="AF1503" s="84">
        <v>0</v>
      </c>
      <c r="AG1503" s="84">
        <v>0</v>
      </c>
      <c r="AH1503" s="84">
        <v>1</v>
      </c>
      <c r="AI1503" s="84">
        <v>1</v>
      </c>
      <c r="AJ1503" s="84">
        <v>1</v>
      </c>
      <c r="AK1503" s="84">
        <v>1</v>
      </c>
      <c r="AL1503" s="84" cm="1">
        <f t="array" ref="AL150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3" s="84" cm="1">
        <f t="array" ref="AM150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3" s="84" cm="1">
        <f t="array" ref="AN150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3" s="84" cm="1">
        <f t="array" ref="AO150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3" s="84" cm="1">
        <f t="array" ref="AP150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3" s="84" cm="1">
        <f t="array" ref="AQ150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3" s="84" cm="1">
        <f t="array" ref="AR150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3" s="84" cm="1">
        <f t="array" ref="AS150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3" s="84" cm="1">
        <f t="array" ref="AT150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3" s="84" cm="1">
        <f t="array" ref="AU150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3" s="84" cm="1">
        <f t="array" ref="AV150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3" s="84" cm="1">
        <f t="array" ref="AW150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3" s="84" cm="1">
        <f t="array" ref="AX150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3" s="84" cm="1">
        <f t="array" ref="AY150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3" s="84" cm="1">
        <f t="array" ref="AZ150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3" s="84" cm="1">
        <f t="array" ref="BA150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3" s="84" cm="1">
        <f t="array" ref="BB150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3" s="84">
        <f>IF(SUM(Table3[[#This Row],[Column2]:[Column18]])&gt;Table3[[#This Row],[Column19]],Table3[[#This Row],[Column19]],SUM(Table3[[#This Row],[Column2]:[Column18]]))</f>
        <v>10000</v>
      </c>
      <c r="BD1503" s="2">
        <f>Table3[[#This Row],[Total Spend]]/SUM(Table3[[#This Row],[Column2]:[Column18]])</f>
        <v>0.21574973031283712</v>
      </c>
    </row>
    <row r="1504" spans="1:56" ht="28.5">
      <c r="A1504" s="87" t="s">
        <v>1579</v>
      </c>
      <c r="B1504" s="87"/>
      <c r="C1504" s="87"/>
      <c r="D1504" s="85">
        <v>45566</v>
      </c>
      <c r="E1504" s="85" t="s">
        <v>92</v>
      </c>
      <c r="F1504" s="84">
        <f>INDEX(Definitions!$G$13:$G$17,MATCH(Table3[[#This Row],[Propensity to buy/ buyer readiness]],Definitions!$A$13:$A$17,0))</f>
        <v>10000</v>
      </c>
      <c r="G1504" s="86">
        <v>3</v>
      </c>
      <c r="H1504" s="86">
        <v>3</v>
      </c>
      <c r="I1504" s="86">
        <v>2</v>
      </c>
      <c r="J1504" s="86">
        <v>3</v>
      </c>
      <c r="K1504" s="86">
        <v>2</v>
      </c>
      <c r="L1504" s="86">
        <f>SUM(Table3[[#This Row],[Strategic priority segment]:[Propensity to buy/ buyer readiness]])</f>
        <v>13</v>
      </c>
      <c r="M1504" s="86" t="s">
        <v>191</v>
      </c>
      <c r="N1504" s="84" t="s">
        <v>135</v>
      </c>
      <c r="O1504" s="87"/>
      <c r="P1504" s="87"/>
      <c r="Q1504" s="87"/>
      <c r="R1504" s="84"/>
      <c r="S1504" s="87"/>
      <c r="T1504" s="84"/>
      <c r="U1504" s="84">
        <v>0</v>
      </c>
      <c r="V1504" s="84">
        <v>0</v>
      </c>
      <c r="W1504" s="84">
        <v>0</v>
      </c>
      <c r="X1504" s="84">
        <v>0</v>
      </c>
      <c r="Y1504" s="84">
        <v>0</v>
      </c>
      <c r="Z1504" s="84">
        <v>0</v>
      </c>
      <c r="AA1504" s="84">
        <v>0</v>
      </c>
      <c r="AB1504" s="84">
        <v>0</v>
      </c>
      <c r="AC1504" s="84">
        <v>0</v>
      </c>
      <c r="AD1504" s="84">
        <v>0</v>
      </c>
      <c r="AE1504" s="84">
        <v>0</v>
      </c>
      <c r="AF1504" s="84">
        <v>0</v>
      </c>
      <c r="AG1504" s="84">
        <v>0</v>
      </c>
      <c r="AH1504" s="84">
        <v>1</v>
      </c>
      <c r="AI1504" s="84">
        <v>1</v>
      </c>
      <c r="AJ1504" s="84">
        <v>1</v>
      </c>
      <c r="AK1504" s="84">
        <v>1</v>
      </c>
      <c r="AL1504" s="84" cm="1">
        <f t="array" ref="AL150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4" s="84" cm="1">
        <f t="array" ref="AM150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4" s="84" cm="1">
        <f t="array" ref="AN150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4" s="84" cm="1">
        <f t="array" ref="AO150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4" s="84" cm="1">
        <f t="array" ref="AP150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4" s="84" cm="1">
        <f t="array" ref="AQ150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4" s="84" cm="1">
        <f t="array" ref="AR150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4" s="84" cm="1">
        <f t="array" ref="AS150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4" s="84" cm="1">
        <f t="array" ref="AT150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4" s="84" cm="1">
        <f t="array" ref="AU150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4" s="84" cm="1">
        <f t="array" ref="AV150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4" s="84" cm="1">
        <f t="array" ref="AW150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4" s="84" cm="1">
        <f t="array" ref="AX150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4" s="84" cm="1">
        <f t="array" ref="AY150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4" s="84" cm="1">
        <f t="array" ref="AZ150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4" s="84" cm="1">
        <f t="array" ref="BA150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4" s="84" cm="1">
        <f t="array" ref="BB150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4" s="84">
        <f>IF(SUM(Table3[[#This Row],[Column2]:[Column18]])&gt;Table3[[#This Row],[Column19]],Table3[[#This Row],[Column19]],SUM(Table3[[#This Row],[Column2]:[Column18]]))</f>
        <v>10000</v>
      </c>
      <c r="BD1504" s="2">
        <f>Table3[[#This Row],[Total Spend]]/SUM(Table3[[#This Row],[Column2]:[Column18]])</f>
        <v>0.21574973031283712</v>
      </c>
    </row>
    <row r="1505" spans="1:56">
      <c r="A1505" s="87" t="s">
        <v>1580</v>
      </c>
      <c r="B1505" s="87"/>
      <c r="C1505" s="87"/>
      <c r="D1505" s="85">
        <v>45566</v>
      </c>
      <c r="E1505" s="85" t="s">
        <v>92</v>
      </c>
      <c r="F1505" s="84">
        <f>INDEX(Definitions!$G$13:$G$17,MATCH(Table3[[#This Row],[Propensity to buy/ buyer readiness]],Definitions!$A$13:$A$17,0))</f>
        <v>10000</v>
      </c>
      <c r="G1505" s="86">
        <v>3</v>
      </c>
      <c r="H1505" s="86">
        <v>3</v>
      </c>
      <c r="I1505" s="86">
        <v>2</v>
      </c>
      <c r="J1505" s="86">
        <v>3</v>
      </c>
      <c r="K1505" s="86">
        <v>2</v>
      </c>
      <c r="L1505" s="86">
        <f>SUM(Table3[[#This Row],[Strategic priority segment]:[Propensity to buy/ buyer readiness]])</f>
        <v>13</v>
      </c>
      <c r="M1505" s="86" t="s">
        <v>191</v>
      </c>
      <c r="N1505" s="84" t="s">
        <v>135</v>
      </c>
      <c r="O1505" s="87"/>
      <c r="P1505" s="87"/>
      <c r="Q1505" s="87"/>
      <c r="R1505" s="84"/>
      <c r="S1505" s="87"/>
      <c r="T1505" s="84"/>
      <c r="U1505" s="84">
        <v>0</v>
      </c>
      <c r="V1505" s="84">
        <v>0</v>
      </c>
      <c r="W1505" s="84">
        <v>0</v>
      </c>
      <c r="X1505" s="84">
        <v>0</v>
      </c>
      <c r="Y1505" s="84">
        <v>0</v>
      </c>
      <c r="Z1505" s="84">
        <v>0</v>
      </c>
      <c r="AA1505" s="84">
        <v>0</v>
      </c>
      <c r="AB1505" s="84">
        <v>0</v>
      </c>
      <c r="AC1505" s="84">
        <v>0</v>
      </c>
      <c r="AD1505" s="84">
        <v>0</v>
      </c>
      <c r="AE1505" s="84">
        <v>0</v>
      </c>
      <c r="AF1505" s="84">
        <v>0</v>
      </c>
      <c r="AG1505" s="84">
        <v>0</v>
      </c>
      <c r="AH1505" s="84">
        <v>1</v>
      </c>
      <c r="AI1505" s="84">
        <v>1</v>
      </c>
      <c r="AJ1505" s="84">
        <v>1</v>
      </c>
      <c r="AK1505" s="84">
        <v>1</v>
      </c>
      <c r="AL1505" s="84" cm="1">
        <f t="array" ref="AL150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5" s="84" cm="1">
        <f t="array" ref="AM150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5" s="84" cm="1">
        <f t="array" ref="AN150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5" s="84" cm="1">
        <f t="array" ref="AO150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5" s="84" cm="1">
        <f t="array" ref="AP150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5" s="84" cm="1">
        <f t="array" ref="AQ150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5" s="84" cm="1">
        <f t="array" ref="AR150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5" s="84" cm="1">
        <f t="array" ref="AS150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5" s="84" cm="1">
        <f t="array" ref="AT150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5" s="84" cm="1">
        <f t="array" ref="AU150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5" s="84" cm="1">
        <f t="array" ref="AV150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5" s="84" cm="1">
        <f t="array" ref="AW150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5" s="84" cm="1">
        <f t="array" ref="AX150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5" s="84" cm="1">
        <f t="array" ref="AY150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5" s="84" cm="1">
        <f t="array" ref="AZ150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5" s="84" cm="1">
        <f t="array" ref="BA150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5" s="84" cm="1">
        <f t="array" ref="BB150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5" s="84">
        <f>IF(SUM(Table3[[#This Row],[Column2]:[Column18]])&gt;Table3[[#This Row],[Column19]],Table3[[#This Row],[Column19]],SUM(Table3[[#This Row],[Column2]:[Column18]]))</f>
        <v>10000</v>
      </c>
      <c r="BD1505" s="2">
        <f>Table3[[#This Row],[Total Spend]]/SUM(Table3[[#This Row],[Column2]:[Column18]])</f>
        <v>0.21574973031283712</v>
      </c>
    </row>
    <row r="1506" spans="1:56">
      <c r="A1506" s="87" t="s">
        <v>1581</v>
      </c>
      <c r="B1506" s="87"/>
      <c r="C1506" s="87"/>
      <c r="D1506" s="85">
        <v>45566</v>
      </c>
      <c r="E1506" s="85" t="s">
        <v>92</v>
      </c>
      <c r="F1506" s="84">
        <f>INDEX(Definitions!$G$13:$G$17,MATCH(Table3[[#This Row],[Propensity to buy/ buyer readiness]],Definitions!$A$13:$A$17,0))</f>
        <v>10000</v>
      </c>
      <c r="G1506" s="86">
        <v>3</v>
      </c>
      <c r="H1506" s="86">
        <v>3</v>
      </c>
      <c r="I1506" s="86">
        <v>2</v>
      </c>
      <c r="J1506" s="86">
        <v>3</v>
      </c>
      <c r="K1506" s="86">
        <v>2</v>
      </c>
      <c r="L1506" s="86">
        <f>SUM(Table3[[#This Row],[Strategic priority segment]:[Propensity to buy/ buyer readiness]])</f>
        <v>13</v>
      </c>
      <c r="M1506" s="86" t="s">
        <v>191</v>
      </c>
      <c r="N1506" s="84" t="s">
        <v>135</v>
      </c>
      <c r="O1506" s="87"/>
      <c r="P1506" s="87"/>
      <c r="Q1506" s="87"/>
      <c r="R1506" s="84"/>
      <c r="S1506" s="87"/>
      <c r="T1506" s="84"/>
      <c r="U1506" s="84">
        <v>0</v>
      </c>
      <c r="V1506" s="84">
        <v>0</v>
      </c>
      <c r="W1506" s="84">
        <v>0</v>
      </c>
      <c r="X1506" s="84">
        <v>0</v>
      </c>
      <c r="Y1506" s="84">
        <v>0</v>
      </c>
      <c r="Z1506" s="84">
        <v>0</v>
      </c>
      <c r="AA1506" s="84">
        <v>0</v>
      </c>
      <c r="AB1506" s="84">
        <v>0</v>
      </c>
      <c r="AC1506" s="84">
        <v>0</v>
      </c>
      <c r="AD1506" s="84">
        <v>0</v>
      </c>
      <c r="AE1506" s="84">
        <v>0</v>
      </c>
      <c r="AF1506" s="84">
        <v>0</v>
      </c>
      <c r="AG1506" s="84">
        <v>0</v>
      </c>
      <c r="AH1506" s="84">
        <v>1</v>
      </c>
      <c r="AI1506" s="84">
        <v>1</v>
      </c>
      <c r="AJ1506" s="84">
        <v>1</v>
      </c>
      <c r="AK1506" s="84">
        <v>1</v>
      </c>
      <c r="AL1506" s="84" cm="1">
        <f t="array" ref="AL150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6" s="84" cm="1">
        <f t="array" ref="AM150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6" s="84" cm="1">
        <f t="array" ref="AN150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6" s="84" cm="1">
        <f t="array" ref="AO150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6" s="84" cm="1">
        <f t="array" ref="AP150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6" s="84" cm="1">
        <f t="array" ref="AQ150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6" s="84" cm="1">
        <f t="array" ref="AR150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6" s="84" cm="1">
        <f t="array" ref="AS150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6" s="84" cm="1">
        <f t="array" ref="AT150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6" s="84" cm="1">
        <f t="array" ref="AU150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6" s="84" cm="1">
        <f t="array" ref="AV150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6" s="84" cm="1">
        <f t="array" ref="AW150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6" s="84" cm="1">
        <f t="array" ref="AX150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6" s="84" cm="1">
        <f t="array" ref="AY150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6" s="84" cm="1">
        <f t="array" ref="AZ150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6" s="84" cm="1">
        <f t="array" ref="BA150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6" s="84" cm="1">
        <f t="array" ref="BB150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6" s="84">
        <f>IF(SUM(Table3[[#This Row],[Column2]:[Column18]])&gt;Table3[[#This Row],[Column19]],Table3[[#This Row],[Column19]],SUM(Table3[[#This Row],[Column2]:[Column18]]))</f>
        <v>10000</v>
      </c>
      <c r="BD1506" s="2">
        <f>Table3[[#This Row],[Total Spend]]/SUM(Table3[[#This Row],[Column2]:[Column18]])</f>
        <v>0.21574973031283712</v>
      </c>
    </row>
    <row r="1507" spans="1:56" ht="28.5">
      <c r="A1507" s="87" t="s">
        <v>1582</v>
      </c>
      <c r="B1507" s="87"/>
      <c r="C1507" s="87"/>
      <c r="D1507" s="85">
        <v>45566</v>
      </c>
      <c r="E1507" s="85" t="s">
        <v>92</v>
      </c>
      <c r="F1507" s="84">
        <f>INDEX(Definitions!$G$13:$G$17,MATCH(Table3[[#This Row],[Propensity to buy/ buyer readiness]],Definitions!$A$13:$A$17,0))</f>
        <v>10000</v>
      </c>
      <c r="G1507" s="86">
        <v>3</v>
      </c>
      <c r="H1507" s="86">
        <v>3</v>
      </c>
      <c r="I1507" s="86">
        <v>2</v>
      </c>
      <c r="J1507" s="86">
        <v>3</v>
      </c>
      <c r="K1507" s="86">
        <v>2</v>
      </c>
      <c r="L1507" s="86">
        <f>SUM(Table3[[#This Row],[Strategic priority segment]:[Propensity to buy/ buyer readiness]])</f>
        <v>13</v>
      </c>
      <c r="M1507" s="86" t="s">
        <v>191</v>
      </c>
      <c r="N1507" s="84" t="s">
        <v>135</v>
      </c>
      <c r="O1507" s="87"/>
      <c r="P1507" s="87"/>
      <c r="Q1507" s="87"/>
      <c r="R1507" s="84"/>
      <c r="S1507" s="87"/>
      <c r="T1507" s="84"/>
      <c r="U1507" s="84">
        <v>0</v>
      </c>
      <c r="V1507" s="84">
        <v>0</v>
      </c>
      <c r="W1507" s="84">
        <v>0</v>
      </c>
      <c r="X1507" s="84">
        <v>0</v>
      </c>
      <c r="Y1507" s="84">
        <v>0</v>
      </c>
      <c r="Z1507" s="84">
        <v>0</v>
      </c>
      <c r="AA1507" s="84">
        <v>0</v>
      </c>
      <c r="AB1507" s="84">
        <v>0</v>
      </c>
      <c r="AC1507" s="84">
        <v>0</v>
      </c>
      <c r="AD1507" s="84">
        <v>0</v>
      </c>
      <c r="AE1507" s="84">
        <v>0</v>
      </c>
      <c r="AF1507" s="84">
        <v>0</v>
      </c>
      <c r="AG1507" s="84">
        <v>0</v>
      </c>
      <c r="AH1507" s="84">
        <v>1</v>
      </c>
      <c r="AI1507" s="84">
        <v>1</v>
      </c>
      <c r="AJ1507" s="84">
        <v>1</v>
      </c>
      <c r="AK1507" s="84">
        <v>1</v>
      </c>
      <c r="AL1507" s="84" cm="1">
        <f t="array" ref="AL150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7" s="84" cm="1">
        <f t="array" ref="AM150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7" s="84" cm="1">
        <f t="array" ref="AN150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7" s="84" cm="1">
        <f t="array" ref="AO150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7" s="84" cm="1">
        <f t="array" ref="AP150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7" s="84" cm="1">
        <f t="array" ref="AQ150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7" s="84" cm="1">
        <f t="array" ref="AR150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7" s="84" cm="1">
        <f t="array" ref="AS150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7" s="84" cm="1">
        <f t="array" ref="AT150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7" s="84" cm="1">
        <f t="array" ref="AU150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7" s="84" cm="1">
        <f t="array" ref="AV150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7" s="84" cm="1">
        <f t="array" ref="AW150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7" s="84" cm="1">
        <f t="array" ref="AX150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7" s="84" cm="1">
        <f t="array" ref="AY150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7" s="84" cm="1">
        <f t="array" ref="AZ150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7" s="84" cm="1">
        <f t="array" ref="BA150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7" s="84" cm="1">
        <f t="array" ref="BB150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7" s="84">
        <f>IF(SUM(Table3[[#This Row],[Column2]:[Column18]])&gt;Table3[[#This Row],[Column19]],Table3[[#This Row],[Column19]],SUM(Table3[[#This Row],[Column2]:[Column18]]))</f>
        <v>10000</v>
      </c>
      <c r="BD1507" s="2">
        <f>Table3[[#This Row],[Total Spend]]/SUM(Table3[[#This Row],[Column2]:[Column18]])</f>
        <v>0.21574973031283712</v>
      </c>
    </row>
    <row r="1508" spans="1:56">
      <c r="A1508" s="87" t="s">
        <v>1583</v>
      </c>
      <c r="B1508" s="87"/>
      <c r="C1508" s="87"/>
      <c r="D1508" s="85">
        <v>45566</v>
      </c>
      <c r="E1508" s="85" t="s">
        <v>92</v>
      </c>
      <c r="F1508" s="84">
        <f>INDEX(Definitions!$G$13:$G$17,MATCH(Table3[[#This Row],[Propensity to buy/ buyer readiness]],Definitions!$A$13:$A$17,0))</f>
        <v>10000</v>
      </c>
      <c r="G1508" s="86">
        <v>3</v>
      </c>
      <c r="H1508" s="86">
        <v>3</v>
      </c>
      <c r="I1508" s="86">
        <v>2</v>
      </c>
      <c r="J1508" s="86">
        <v>3</v>
      </c>
      <c r="K1508" s="86">
        <v>2</v>
      </c>
      <c r="L1508" s="86">
        <f>SUM(Table3[[#This Row],[Strategic priority segment]:[Propensity to buy/ buyer readiness]])</f>
        <v>13</v>
      </c>
      <c r="M1508" s="86" t="s">
        <v>191</v>
      </c>
      <c r="N1508" s="84" t="s">
        <v>135</v>
      </c>
      <c r="O1508" s="87"/>
      <c r="P1508" s="87"/>
      <c r="Q1508" s="87"/>
      <c r="R1508" s="84"/>
      <c r="S1508" s="87"/>
      <c r="T1508" s="87"/>
      <c r="U1508" s="84">
        <v>0</v>
      </c>
      <c r="V1508" s="84">
        <v>0</v>
      </c>
      <c r="W1508" s="84">
        <v>0</v>
      </c>
      <c r="X1508" s="84">
        <v>0</v>
      </c>
      <c r="Y1508" s="84">
        <v>0</v>
      </c>
      <c r="Z1508" s="84">
        <v>0</v>
      </c>
      <c r="AA1508" s="84">
        <v>0</v>
      </c>
      <c r="AB1508" s="84">
        <v>0</v>
      </c>
      <c r="AC1508" s="84">
        <v>0</v>
      </c>
      <c r="AD1508" s="84">
        <v>0</v>
      </c>
      <c r="AE1508" s="84">
        <v>0</v>
      </c>
      <c r="AF1508" s="84">
        <v>0</v>
      </c>
      <c r="AG1508" s="84">
        <v>0</v>
      </c>
      <c r="AH1508" s="84">
        <v>1</v>
      </c>
      <c r="AI1508" s="84">
        <v>1</v>
      </c>
      <c r="AJ1508" s="84">
        <v>1</v>
      </c>
      <c r="AK1508" s="84">
        <v>1</v>
      </c>
      <c r="AL1508" s="84" cm="1">
        <f t="array" ref="AL150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8" s="84" cm="1">
        <f t="array" ref="AM150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8" s="84" cm="1">
        <f t="array" ref="AN150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8" s="84" cm="1">
        <f t="array" ref="AO150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8" s="84" cm="1">
        <f t="array" ref="AP150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8" s="84" cm="1">
        <f t="array" ref="AQ150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8" s="84" cm="1">
        <f t="array" ref="AR150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8" s="84" cm="1">
        <f t="array" ref="AS150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8" s="84" cm="1">
        <f t="array" ref="AT150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8" s="84" cm="1">
        <f t="array" ref="AU150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8" s="84" cm="1">
        <f t="array" ref="AV150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8" s="84" cm="1">
        <f t="array" ref="AW150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8" s="84" cm="1">
        <f t="array" ref="AX150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8" s="84" cm="1">
        <f t="array" ref="AY150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8" s="84" cm="1">
        <f t="array" ref="AZ150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8" s="84" cm="1">
        <f t="array" ref="BA150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8" s="84" cm="1">
        <f t="array" ref="BB150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8" s="84">
        <f>IF(SUM(Table3[[#This Row],[Column2]:[Column18]])&gt;Table3[[#This Row],[Column19]],Table3[[#This Row],[Column19]],SUM(Table3[[#This Row],[Column2]:[Column18]]))</f>
        <v>10000</v>
      </c>
      <c r="BD1508" s="2">
        <f>Table3[[#This Row],[Total Spend]]/SUM(Table3[[#This Row],[Column2]:[Column18]])</f>
        <v>0.21574973031283712</v>
      </c>
    </row>
    <row r="1509" spans="1:56">
      <c r="A1509" s="87" t="s">
        <v>1584</v>
      </c>
      <c r="B1509" s="87"/>
      <c r="C1509" s="87"/>
      <c r="D1509" s="85">
        <v>45566</v>
      </c>
      <c r="E1509" s="85" t="s">
        <v>92</v>
      </c>
      <c r="F1509" s="84">
        <f>INDEX(Definitions!$G$13:$G$17,MATCH(Table3[[#This Row],[Propensity to buy/ buyer readiness]],Definitions!$A$13:$A$17,0))</f>
        <v>10000</v>
      </c>
      <c r="G1509" s="86">
        <v>3</v>
      </c>
      <c r="H1509" s="86">
        <v>3</v>
      </c>
      <c r="I1509" s="86">
        <v>2</v>
      </c>
      <c r="J1509" s="86">
        <v>3</v>
      </c>
      <c r="K1509" s="86">
        <v>2</v>
      </c>
      <c r="L1509" s="86">
        <f>SUM(Table3[[#This Row],[Strategic priority segment]:[Propensity to buy/ buyer readiness]])</f>
        <v>13</v>
      </c>
      <c r="M1509" s="86" t="s">
        <v>191</v>
      </c>
      <c r="N1509" s="84" t="s">
        <v>135</v>
      </c>
      <c r="O1509" s="87"/>
      <c r="P1509" s="87"/>
      <c r="Q1509" s="87"/>
      <c r="R1509" s="84"/>
      <c r="S1509" s="87"/>
      <c r="T1509" s="87"/>
      <c r="U1509" s="84">
        <v>0</v>
      </c>
      <c r="V1509" s="84">
        <v>0</v>
      </c>
      <c r="W1509" s="84">
        <v>0</v>
      </c>
      <c r="X1509" s="84">
        <v>0</v>
      </c>
      <c r="Y1509" s="84">
        <v>0</v>
      </c>
      <c r="Z1509" s="84">
        <v>0</v>
      </c>
      <c r="AA1509" s="84">
        <v>0</v>
      </c>
      <c r="AB1509" s="84">
        <v>0</v>
      </c>
      <c r="AC1509" s="84">
        <v>0</v>
      </c>
      <c r="AD1509" s="84">
        <v>0</v>
      </c>
      <c r="AE1509" s="84">
        <v>0</v>
      </c>
      <c r="AF1509" s="84">
        <v>0</v>
      </c>
      <c r="AG1509" s="84">
        <v>0</v>
      </c>
      <c r="AH1509" s="84">
        <v>1</v>
      </c>
      <c r="AI1509" s="84">
        <v>1</v>
      </c>
      <c r="AJ1509" s="84">
        <v>1</v>
      </c>
      <c r="AK1509" s="84">
        <v>1</v>
      </c>
      <c r="AL1509" s="84" cm="1">
        <f t="array" ref="AL150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09" s="84" cm="1">
        <f t="array" ref="AM150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09" s="84" cm="1">
        <f t="array" ref="AN150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09" s="84" cm="1">
        <f t="array" ref="AO150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09" s="84" cm="1">
        <f t="array" ref="AP150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09" s="84" cm="1">
        <f t="array" ref="AQ150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09" s="84" cm="1">
        <f t="array" ref="AR150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09" s="84" cm="1">
        <f t="array" ref="AS150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09" s="84" cm="1">
        <f t="array" ref="AT150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09" s="84" cm="1">
        <f t="array" ref="AU150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09" s="84" cm="1">
        <f t="array" ref="AV150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09" s="84" cm="1">
        <f t="array" ref="AW150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09" s="84" cm="1">
        <f t="array" ref="AX150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09" s="84" cm="1">
        <f t="array" ref="AY150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09" s="84" cm="1">
        <f t="array" ref="AZ150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09" s="84" cm="1">
        <f t="array" ref="BA150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09" s="84" cm="1">
        <f t="array" ref="BB150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09" s="84">
        <f>IF(SUM(Table3[[#This Row],[Column2]:[Column18]])&gt;Table3[[#This Row],[Column19]],Table3[[#This Row],[Column19]],SUM(Table3[[#This Row],[Column2]:[Column18]]))</f>
        <v>10000</v>
      </c>
      <c r="BD1509" s="2">
        <f>Table3[[#This Row],[Total Spend]]/SUM(Table3[[#This Row],[Column2]:[Column18]])</f>
        <v>0.21574973031283712</v>
      </c>
    </row>
    <row r="1510" spans="1:56">
      <c r="A1510" s="87" t="s">
        <v>1585</v>
      </c>
      <c r="B1510" s="87"/>
      <c r="C1510" s="87"/>
      <c r="D1510" s="85">
        <v>45566</v>
      </c>
      <c r="E1510" s="85" t="s">
        <v>92</v>
      </c>
      <c r="F1510" s="84">
        <f>INDEX(Definitions!$G$13:$G$17,MATCH(Table3[[#This Row],[Propensity to buy/ buyer readiness]],Definitions!$A$13:$A$17,0))</f>
        <v>10000</v>
      </c>
      <c r="G1510" s="86">
        <v>3</v>
      </c>
      <c r="H1510" s="86">
        <v>3</v>
      </c>
      <c r="I1510" s="86">
        <v>2</v>
      </c>
      <c r="J1510" s="86">
        <v>3</v>
      </c>
      <c r="K1510" s="86">
        <v>2</v>
      </c>
      <c r="L1510" s="86">
        <f>SUM(Table3[[#This Row],[Strategic priority segment]:[Propensity to buy/ buyer readiness]])</f>
        <v>13</v>
      </c>
      <c r="M1510" s="86" t="s">
        <v>191</v>
      </c>
      <c r="N1510" s="84" t="s">
        <v>135</v>
      </c>
      <c r="O1510" s="87"/>
      <c r="P1510" s="87"/>
      <c r="Q1510" s="87"/>
      <c r="R1510" s="84"/>
      <c r="S1510" s="87"/>
      <c r="T1510" s="84"/>
      <c r="U1510" s="84">
        <v>0</v>
      </c>
      <c r="V1510" s="84">
        <v>0</v>
      </c>
      <c r="W1510" s="84">
        <v>0</v>
      </c>
      <c r="X1510" s="84">
        <v>0</v>
      </c>
      <c r="Y1510" s="84">
        <v>0</v>
      </c>
      <c r="Z1510" s="84">
        <v>0</v>
      </c>
      <c r="AA1510" s="84">
        <v>0</v>
      </c>
      <c r="AB1510" s="84">
        <v>0</v>
      </c>
      <c r="AC1510" s="84">
        <v>0</v>
      </c>
      <c r="AD1510" s="84">
        <v>0</v>
      </c>
      <c r="AE1510" s="84">
        <v>0</v>
      </c>
      <c r="AF1510" s="84">
        <v>0</v>
      </c>
      <c r="AG1510" s="84">
        <v>0</v>
      </c>
      <c r="AH1510" s="84">
        <v>1</v>
      </c>
      <c r="AI1510" s="84">
        <v>1</v>
      </c>
      <c r="AJ1510" s="84">
        <v>1</v>
      </c>
      <c r="AK1510" s="84">
        <v>1</v>
      </c>
      <c r="AL1510" s="84" cm="1">
        <f t="array" ref="AL151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0" s="84" cm="1">
        <f t="array" ref="AM151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0" s="84" cm="1">
        <f t="array" ref="AN151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0" s="84" cm="1">
        <f t="array" ref="AO151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0" s="84" cm="1">
        <f t="array" ref="AP151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0" s="84" cm="1">
        <f t="array" ref="AQ151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0" s="84" cm="1">
        <f t="array" ref="AR151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0" s="84" cm="1">
        <f t="array" ref="AS151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0" s="84" cm="1">
        <f t="array" ref="AT151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0" s="84" cm="1">
        <f t="array" ref="AU151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0" s="84" cm="1">
        <f t="array" ref="AV151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0" s="84" cm="1">
        <f t="array" ref="AW151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0" s="84" cm="1">
        <f t="array" ref="AX151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0" s="84" cm="1">
        <f t="array" ref="AY151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0" s="84" cm="1">
        <f t="array" ref="AZ151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0" s="84" cm="1">
        <f t="array" ref="BA151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0" s="84" cm="1">
        <f t="array" ref="BB151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0" s="84">
        <f>IF(SUM(Table3[[#This Row],[Column2]:[Column18]])&gt;Table3[[#This Row],[Column19]],Table3[[#This Row],[Column19]],SUM(Table3[[#This Row],[Column2]:[Column18]]))</f>
        <v>10000</v>
      </c>
      <c r="BD1510" s="2">
        <f>Table3[[#This Row],[Total Spend]]/SUM(Table3[[#This Row],[Column2]:[Column18]])</f>
        <v>0.21574973031283712</v>
      </c>
    </row>
    <row r="1511" spans="1:56">
      <c r="A1511" s="87" t="s">
        <v>1586</v>
      </c>
      <c r="B1511" s="87"/>
      <c r="C1511" s="87"/>
      <c r="D1511" s="85">
        <v>45566</v>
      </c>
      <c r="E1511" s="85" t="s">
        <v>92</v>
      </c>
      <c r="F1511" s="84">
        <f>INDEX(Definitions!$G$13:$G$17,MATCH(Table3[[#This Row],[Propensity to buy/ buyer readiness]],Definitions!$A$13:$A$17,0))</f>
        <v>10000</v>
      </c>
      <c r="G1511" s="86">
        <v>3</v>
      </c>
      <c r="H1511" s="86">
        <v>3</v>
      </c>
      <c r="I1511" s="86">
        <v>2</v>
      </c>
      <c r="J1511" s="86">
        <v>3</v>
      </c>
      <c r="K1511" s="86">
        <v>2</v>
      </c>
      <c r="L1511" s="86">
        <f>SUM(Table3[[#This Row],[Strategic priority segment]:[Propensity to buy/ buyer readiness]])</f>
        <v>13</v>
      </c>
      <c r="M1511" s="86" t="s">
        <v>191</v>
      </c>
      <c r="N1511" s="84" t="s">
        <v>135</v>
      </c>
      <c r="O1511" s="87"/>
      <c r="P1511" s="87"/>
      <c r="Q1511" s="87"/>
      <c r="R1511" s="84"/>
      <c r="S1511" s="87"/>
      <c r="T1511" s="84"/>
      <c r="U1511" s="84">
        <v>0</v>
      </c>
      <c r="V1511" s="84">
        <v>0</v>
      </c>
      <c r="W1511" s="84">
        <v>0</v>
      </c>
      <c r="X1511" s="84">
        <v>0</v>
      </c>
      <c r="Y1511" s="84">
        <v>0</v>
      </c>
      <c r="Z1511" s="84">
        <v>0</v>
      </c>
      <c r="AA1511" s="84">
        <v>0</v>
      </c>
      <c r="AB1511" s="84">
        <v>0</v>
      </c>
      <c r="AC1511" s="84">
        <v>0</v>
      </c>
      <c r="AD1511" s="84">
        <v>0</v>
      </c>
      <c r="AE1511" s="84">
        <v>0</v>
      </c>
      <c r="AF1511" s="84">
        <v>0</v>
      </c>
      <c r="AG1511" s="84">
        <v>0</v>
      </c>
      <c r="AH1511" s="84">
        <v>1</v>
      </c>
      <c r="AI1511" s="84">
        <v>1</v>
      </c>
      <c r="AJ1511" s="84">
        <v>1</v>
      </c>
      <c r="AK1511" s="84">
        <v>1</v>
      </c>
      <c r="AL1511" s="84" cm="1">
        <f t="array" ref="AL151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1" s="84" cm="1">
        <f t="array" ref="AM151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1" s="84" cm="1">
        <f t="array" ref="AN151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1" s="84" cm="1">
        <f t="array" ref="AO151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1" s="84" cm="1">
        <f t="array" ref="AP151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1" s="84" cm="1">
        <f t="array" ref="AQ151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1" s="84" cm="1">
        <f t="array" ref="AR151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1" s="84" cm="1">
        <f t="array" ref="AS151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1" s="84" cm="1">
        <f t="array" ref="AT151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1" s="84" cm="1">
        <f t="array" ref="AU151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1" s="84" cm="1">
        <f t="array" ref="AV151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1" s="84" cm="1">
        <f t="array" ref="AW151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1" s="84" cm="1">
        <f t="array" ref="AX151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1" s="84" cm="1">
        <f t="array" ref="AY151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1" s="84" cm="1">
        <f t="array" ref="AZ151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1" s="84" cm="1">
        <f t="array" ref="BA151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1" s="84" cm="1">
        <f t="array" ref="BB151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1" s="84">
        <f>IF(SUM(Table3[[#This Row],[Column2]:[Column18]])&gt;Table3[[#This Row],[Column19]],Table3[[#This Row],[Column19]],SUM(Table3[[#This Row],[Column2]:[Column18]]))</f>
        <v>10000</v>
      </c>
      <c r="BD1511" s="2">
        <f>Table3[[#This Row],[Total Spend]]/SUM(Table3[[#This Row],[Column2]:[Column18]])</f>
        <v>0.21574973031283712</v>
      </c>
    </row>
    <row r="1512" spans="1:56" ht="28.5">
      <c r="A1512" s="87" t="s">
        <v>1587</v>
      </c>
      <c r="B1512" s="87"/>
      <c r="C1512" s="87"/>
      <c r="D1512" s="85">
        <v>45566</v>
      </c>
      <c r="E1512" s="85" t="s">
        <v>92</v>
      </c>
      <c r="F1512" s="84">
        <f>INDEX(Definitions!$G$13:$G$17,MATCH(Table3[[#This Row],[Propensity to buy/ buyer readiness]],Definitions!$A$13:$A$17,0))</f>
        <v>10000</v>
      </c>
      <c r="G1512" s="86">
        <v>3</v>
      </c>
      <c r="H1512" s="86">
        <v>3</v>
      </c>
      <c r="I1512" s="86">
        <v>2</v>
      </c>
      <c r="J1512" s="86">
        <v>3</v>
      </c>
      <c r="K1512" s="86">
        <v>2</v>
      </c>
      <c r="L1512" s="86">
        <f>SUM(Table3[[#This Row],[Strategic priority segment]:[Propensity to buy/ buyer readiness]])</f>
        <v>13</v>
      </c>
      <c r="M1512" s="86" t="s">
        <v>191</v>
      </c>
      <c r="N1512" s="84" t="s">
        <v>135</v>
      </c>
      <c r="O1512" s="87"/>
      <c r="P1512" s="87"/>
      <c r="Q1512" s="87"/>
      <c r="R1512" s="84"/>
      <c r="S1512" s="87"/>
      <c r="T1512" s="87"/>
      <c r="U1512" s="84">
        <v>0</v>
      </c>
      <c r="V1512" s="84">
        <v>0</v>
      </c>
      <c r="W1512" s="84">
        <v>0</v>
      </c>
      <c r="X1512" s="84">
        <v>0</v>
      </c>
      <c r="Y1512" s="84">
        <v>0</v>
      </c>
      <c r="Z1512" s="84">
        <v>0</v>
      </c>
      <c r="AA1512" s="84">
        <v>0</v>
      </c>
      <c r="AB1512" s="84">
        <v>0</v>
      </c>
      <c r="AC1512" s="84">
        <v>0</v>
      </c>
      <c r="AD1512" s="84">
        <v>0</v>
      </c>
      <c r="AE1512" s="84">
        <v>0</v>
      </c>
      <c r="AF1512" s="84">
        <v>0</v>
      </c>
      <c r="AG1512" s="84">
        <v>0</v>
      </c>
      <c r="AH1512" s="84">
        <v>1</v>
      </c>
      <c r="AI1512" s="84">
        <v>1</v>
      </c>
      <c r="AJ1512" s="84">
        <v>1</v>
      </c>
      <c r="AK1512" s="84">
        <v>1</v>
      </c>
      <c r="AL1512" s="84" cm="1">
        <f t="array" ref="AL151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2" s="84" cm="1">
        <f t="array" ref="AM151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2" s="84" cm="1">
        <f t="array" ref="AN151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2" s="84" cm="1">
        <f t="array" ref="AO151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2" s="84" cm="1">
        <f t="array" ref="AP151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2" s="84" cm="1">
        <f t="array" ref="AQ151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2" s="84" cm="1">
        <f t="array" ref="AR151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2" s="84" cm="1">
        <f t="array" ref="AS151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2" s="84" cm="1">
        <f t="array" ref="AT151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2" s="84" cm="1">
        <f t="array" ref="AU151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2" s="84" cm="1">
        <f t="array" ref="AV151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2" s="84" cm="1">
        <f t="array" ref="AW151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2" s="84" cm="1">
        <f t="array" ref="AX151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2" s="84" cm="1">
        <f t="array" ref="AY151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2" s="84" cm="1">
        <f t="array" ref="AZ151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2" s="84" cm="1">
        <f t="array" ref="BA151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2" s="84" cm="1">
        <f t="array" ref="BB151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2" s="84">
        <f>IF(SUM(Table3[[#This Row],[Column2]:[Column18]])&gt;Table3[[#This Row],[Column19]],Table3[[#This Row],[Column19]],SUM(Table3[[#This Row],[Column2]:[Column18]]))</f>
        <v>10000</v>
      </c>
      <c r="BD1512" s="2">
        <f>Table3[[#This Row],[Total Spend]]/SUM(Table3[[#This Row],[Column2]:[Column18]])</f>
        <v>0.21574973031283712</v>
      </c>
    </row>
    <row r="1513" spans="1:56" ht="28.5">
      <c r="A1513" s="87" t="s">
        <v>1588</v>
      </c>
      <c r="B1513" s="87"/>
      <c r="C1513" s="87"/>
      <c r="D1513" s="85">
        <v>45566</v>
      </c>
      <c r="E1513" s="85" t="s">
        <v>92</v>
      </c>
      <c r="F1513" s="84">
        <f>INDEX(Definitions!$G$13:$G$17,MATCH(Table3[[#This Row],[Propensity to buy/ buyer readiness]],Definitions!$A$13:$A$17,0))</f>
        <v>10000</v>
      </c>
      <c r="G1513" s="86">
        <v>3</v>
      </c>
      <c r="H1513" s="86">
        <v>3</v>
      </c>
      <c r="I1513" s="86">
        <v>2</v>
      </c>
      <c r="J1513" s="86">
        <v>3</v>
      </c>
      <c r="K1513" s="86">
        <v>2</v>
      </c>
      <c r="L1513" s="86">
        <f>SUM(Table3[[#This Row],[Strategic priority segment]:[Propensity to buy/ buyer readiness]])</f>
        <v>13</v>
      </c>
      <c r="M1513" s="86" t="s">
        <v>191</v>
      </c>
      <c r="N1513" s="84" t="s">
        <v>135</v>
      </c>
      <c r="O1513" s="87"/>
      <c r="P1513" s="87"/>
      <c r="Q1513" s="87"/>
      <c r="R1513" s="84"/>
      <c r="S1513" s="87"/>
      <c r="T1513" s="84"/>
      <c r="U1513" s="84">
        <v>0</v>
      </c>
      <c r="V1513" s="84">
        <v>0</v>
      </c>
      <c r="W1513" s="84">
        <v>0</v>
      </c>
      <c r="X1513" s="84">
        <v>0</v>
      </c>
      <c r="Y1513" s="84">
        <v>0</v>
      </c>
      <c r="Z1513" s="84">
        <v>0</v>
      </c>
      <c r="AA1513" s="84">
        <v>0</v>
      </c>
      <c r="AB1513" s="84">
        <v>0</v>
      </c>
      <c r="AC1513" s="84">
        <v>0</v>
      </c>
      <c r="AD1513" s="84">
        <v>0</v>
      </c>
      <c r="AE1513" s="84">
        <v>0</v>
      </c>
      <c r="AF1513" s="84">
        <v>0</v>
      </c>
      <c r="AG1513" s="84">
        <v>0</v>
      </c>
      <c r="AH1513" s="84">
        <v>1</v>
      </c>
      <c r="AI1513" s="84">
        <v>1</v>
      </c>
      <c r="AJ1513" s="84">
        <v>1</v>
      </c>
      <c r="AK1513" s="84">
        <v>1</v>
      </c>
      <c r="AL1513" s="84" cm="1">
        <f t="array" ref="AL151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3" s="84" cm="1">
        <f t="array" ref="AM151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3" s="84" cm="1">
        <f t="array" ref="AN151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3" s="84" cm="1">
        <f t="array" ref="AO151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3" s="84" cm="1">
        <f t="array" ref="AP151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3" s="84" cm="1">
        <f t="array" ref="AQ151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3" s="84" cm="1">
        <f t="array" ref="AR151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3" s="84" cm="1">
        <f t="array" ref="AS151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3" s="84" cm="1">
        <f t="array" ref="AT151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3" s="84" cm="1">
        <f t="array" ref="AU151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3" s="84" cm="1">
        <f t="array" ref="AV151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3" s="84" cm="1">
        <f t="array" ref="AW151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3" s="84" cm="1">
        <f t="array" ref="AX151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3" s="84" cm="1">
        <f t="array" ref="AY151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3" s="84" cm="1">
        <f t="array" ref="AZ151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3" s="84" cm="1">
        <f t="array" ref="BA151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3" s="84" cm="1">
        <f t="array" ref="BB151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3" s="84">
        <f>IF(SUM(Table3[[#This Row],[Column2]:[Column18]])&gt;Table3[[#This Row],[Column19]],Table3[[#This Row],[Column19]],SUM(Table3[[#This Row],[Column2]:[Column18]]))</f>
        <v>10000</v>
      </c>
      <c r="BD1513" s="2">
        <f>Table3[[#This Row],[Total Spend]]/SUM(Table3[[#This Row],[Column2]:[Column18]])</f>
        <v>0.21574973031283712</v>
      </c>
    </row>
    <row r="1514" spans="1:56">
      <c r="A1514" s="87" t="s">
        <v>1589</v>
      </c>
      <c r="B1514" s="87"/>
      <c r="C1514" s="87"/>
      <c r="D1514" s="85">
        <v>45566</v>
      </c>
      <c r="E1514" s="85" t="s">
        <v>92</v>
      </c>
      <c r="F1514" s="84">
        <f>INDEX(Definitions!$G$13:$G$17,MATCH(Table3[[#This Row],[Propensity to buy/ buyer readiness]],Definitions!$A$13:$A$17,0))</f>
        <v>10000</v>
      </c>
      <c r="G1514" s="86">
        <v>3</v>
      </c>
      <c r="H1514" s="86">
        <v>3</v>
      </c>
      <c r="I1514" s="86">
        <v>2</v>
      </c>
      <c r="J1514" s="86">
        <v>3</v>
      </c>
      <c r="K1514" s="86">
        <v>2</v>
      </c>
      <c r="L1514" s="86">
        <f>SUM(Table3[[#This Row],[Strategic priority segment]:[Propensity to buy/ buyer readiness]])</f>
        <v>13</v>
      </c>
      <c r="M1514" s="86" t="s">
        <v>191</v>
      </c>
      <c r="N1514" s="84" t="s">
        <v>135</v>
      </c>
      <c r="O1514" s="87"/>
      <c r="P1514" s="87"/>
      <c r="Q1514" s="87"/>
      <c r="R1514" s="84"/>
      <c r="S1514" s="87"/>
      <c r="T1514" s="84"/>
      <c r="U1514" s="84">
        <v>0</v>
      </c>
      <c r="V1514" s="84">
        <v>0</v>
      </c>
      <c r="W1514" s="84">
        <v>0</v>
      </c>
      <c r="X1514" s="84">
        <v>0</v>
      </c>
      <c r="Y1514" s="84">
        <v>0</v>
      </c>
      <c r="Z1514" s="84">
        <v>0</v>
      </c>
      <c r="AA1514" s="84">
        <v>0</v>
      </c>
      <c r="AB1514" s="84">
        <v>0</v>
      </c>
      <c r="AC1514" s="84">
        <v>0</v>
      </c>
      <c r="AD1514" s="84">
        <v>0</v>
      </c>
      <c r="AE1514" s="84">
        <v>0</v>
      </c>
      <c r="AF1514" s="84">
        <v>0</v>
      </c>
      <c r="AG1514" s="84">
        <v>0</v>
      </c>
      <c r="AH1514" s="84">
        <v>1</v>
      </c>
      <c r="AI1514" s="84">
        <v>1</v>
      </c>
      <c r="AJ1514" s="84">
        <v>1</v>
      </c>
      <c r="AK1514" s="84">
        <v>1</v>
      </c>
      <c r="AL1514" s="84" cm="1">
        <f t="array" ref="AL151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4" s="84" cm="1">
        <f t="array" ref="AM151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4" s="84" cm="1">
        <f t="array" ref="AN151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4" s="84" cm="1">
        <f t="array" ref="AO151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4" s="84" cm="1">
        <f t="array" ref="AP151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4" s="84" cm="1">
        <f t="array" ref="AQ151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4" s="84" cm="1">
        <f t="array" ref="AR151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4" s="84" cm="1">
        <f t="array" ref="AS151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4" s="84" cm="1">
        <f t="array" ref="AT151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4" s="84" cm="1">
        <f t="array" ref="AU151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4" s="84" cm="1">
        <f t="array" ref="AV151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4" s="84" cm="1">
        <f t="array" ref="AW151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4" s="84" cm="1">
        <f t="array" ref="AX151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4" s="84" cm="1">
        <f t="array" ref="AY151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4" s="84" cm="1">
        <f t="array" ref="AZ151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4" s="84" cm="1">
        <f t="array" ref="BA151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4" s="84" cm="1">
        <f t="array" ref="BB151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4" s="84">
        <f>IF(SUM(Table3[[#This Row],[Column2]:[Column18]])&gt;Table3[[#This Row],[Column19]],Table3[[#This Row],[Column19]],SUM(Table3[[#This Row],[Column2]:[Column18]]))</f>
        <v>10000</v>
      </c>
      <c r="BD1514" s="2">
        <f>Table3[[#This Row],[Total Spend]]/SUM(Table3[[#This Row],[Column2]:[Column18]])</f>
        <v>0.21574973031283712</v>
      </c>
    </row>
    <row r="1515" spans="1:56">
      <c r="A1515" s="87" t="s">
        <v>1590</v>
      </c>
      <c r="B1515" s="87"/>
      <c r="C1515" s="87"/>
      <c r="D1515" s="85">
        <v>45566</v>
      </c>
      <c r="E1515" s="85" t="s">
        <v>92</v>
      </c>
      <c r="F1515" s="84">
        <f>INDEX(Definitions!$G$13:$G$17,MATCH(Table3[[#This Row],[Propensity to buy/ buyer readiness]],Definitions!$A$13:$A$17,0))</f>
        <v>10000</v>
      </c>
      <c r="G1515" s="86">
        <v>3</v>
      </c>
      <c r="H1515" s="86">
        <v>3</v>
      </c>
      <c r="I1515" s="86">
        <v>2</v>
      </c>
      <c r="J1515" s="86">
        <v>3</v>
      </c>
      <c r="K1515" s="86">
        <v>2</v>
      </c>
      <c r="L1515" s="86">
        <f>SUM(Table3[[#This Row],[Strategic priority segment]:[Propensity to buy/ buyer readiness]])</f>
        <v>13</v>
      </c>
      <c r="M1515" s="86" t="s">
        <v>191</v>
      </c>
      <c r="N1515" s="84" t="s">
        <v>135</v>
      </c>
      <c r="O1515" s="87"/>
      <c r="P1515" s="87"/>
      <c r="Q1515" s="87"/>
      <c r="R1515" s="84"/>
      <c r="S1515" s="87"/>
      <c r="T1515" s="87"/>
      <c r="U1515" s="84">
        <v>0</v>
      </c>
      <c r="V1515" s="84">
        <v>0</v>
      </c>
      <c r="W1515" s="84">
        <v>0</v>
      </c>
      <c r="X1515" s="84">
        <v>0</v>
      </c>
      <c r="Y1515" s="84">
        <v>0</v>
      </c>
      <c r="Z1515" s="84">
        <v>0</v>
      </c>
      <c r="AA1515" s="84">
        <v>0</v>
      </c>
      <c r="AB1515" s="84">
        <v>0</v>
      </c>
      <c r="AC1515" s="84">
        <v>0</v>
      </c>
      <c r="AD1515" s="84">
        <v>0</v>
      </c>
      <c r="AE1515" s="84">
        <v>0</v>
      </c>
      <c r="AF1515" s="84">
        <v>0</v>
      </c>
      <c r="AG1515" s="84">
        <v>0</v>
      </c>
      <c r="AH1515" s="84">
        <v>1</v>
      </c>
      <c r="AI1515" s="84">
        <v>1</v>
      </c>
      <c r="AJ1515" s="84">
        <v>1</v>
      </c>
      <c r="AK1515" s="84">
        <v>1</v>
      </c>
      <c r="AL1515" s="84" cm="1">
        <f t="array" ref="AL151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5" s="84" cm="1">
        <f t="array" ref="AM151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5" s="84" cm="1">
        <f t="array" ref="AN151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5" s="84" cm="1">
        <f t="array" ref="AO151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5" s="84" cm="1">
        <f t="array" ref="AP151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5" s="84" cm="1">
        <f t="array" ref="AQ151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5" s="84" cm="1">
        <f t="array" ref="AR151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5" s="84" cm="1">
        <f t="array" ref="AS151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5" s="84" cm="1">
        <f t="array" ref="AT151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5" s="84" cm="1">
        <f t="array" ref="AU151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5" s="84" cm="1">
        <f t="array" ref="AV151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5" s="84" cm="1">
        <f t="array" ref="AW151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5" s="84" cm="1">
        <f t="array" ref="AX151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5" s="84" cm="1">
        <f t="array" ref="AY151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5" s="84" cm="1">
        <f t="array" ref="AZ151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5" s="84" cm="1">
        <f t="array" ref="BA151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5" s="84" cm="1">
        <f t="array" ref="BB151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5" s="84">
        <f>IF(SUM(Table3[[#This Row],[Column2]:[Column18]])&gt;Table3[[#This Row],[Column19]],Table3[[#This Row],[Column19]],SUM(Table3[[#This Row],[Column2]:[Column18]]))</f>
        <v>10000</v>
      </c>
      <c r="BD1515" s="2">
        <f>Table3[[#This Row],[Total Spend]]/SUM(Table3[[#This Row],[Column2]:[Column18]])</f>
        <v>0.21574973031283712</v>
      </c>
    </row>
    <row r="1516" spans="1:56">
      <c r="A1516" s="87" t="s">
        <v>1591</v>
      </c>
      <c r="B1516" s="87"/>
      <c r="C1516" s="87"/>
      <c r="D1516" s="85">
        <v>45566</v>
      </c>
      <c r="E1516" s="85" t="s">
        <v>92</v>
      </c>
      <c r="F1516" s="84">
        <f>INDEX(Definitions!$G$13:$G$17,MATCH(Table3[[#This Row],[Propensity to buy/ buyer readiness]],Definitions!$A$13:$A$17,0))</f>
        <v>10000</v>
      </c>
      <c r="G1516" s="86">
        <v>3</v>
      </c>
      <c r="H1516" s="86">
        <v>3</v>
      </c>
      <c r="I1516" s="86">
        <v>2</v>
      </c>
      <c r="J1516" s="86">
        <v>3</v>
      </c>
      <c r="K1516" s="86">
        <v>2</v>
      </c>
      <c r="L1516" s="86">
        <f>SUM(Table3[[#This Row],[Strategic priority segment]:[Propensity to buy/ buyer readiness]])</f>
        <v>13</v>
      </c>
      <c r="M1516" s="86" t="s">
        <v>191</v>
      </c>
      <c r="N1516" s="84" t="s">
        <v>135</v>
      </c>
      <c r="O1516" s="87"/>
      <c r="P1516" s="87"/>
      <c r="Q1516" s="87"/>
      <c r="R1516" s="84"/>
      <c r="S1516" s="87"/>
      <c r="T1516" s="87"/>
      <c r="U1516" s="84">
        <v>0</v>
      </c>
      <c r="V1516" s="84">
        <v>0</v>
      </c>
      <c r="W1516" s="84">
        <v>0</v>
      </c>
      <c r="X1516" s="84">
        <v>0</v>
      </c>
      <c r="Y1516" s="84">
        <v>0</v>
      </c>
      <c r="Z1516" s="84">
        <v>0</v>
      </c>
      <c r="AA1516" s="84">
        <v>0</v>
      </c>
      <c r="AB1516" s="84">
        <v>0</v>
      </c>
      <c r="AC1516" s="84">
        <v>0</v>
      </c>
      <c r="AD1516" s="84">
        <v>0</v>
      </c>
      <c r="AE1516" s="84">
        <v>0</v>
      </c>
      <c r="AF1516" s="84">
        <v>0</v>
      </c>
      <c r="AG1516" s="84">
        <v>0</v>
      </c>
      <c r="AH1516" s="84">
        <v>1</v>
      </c>
      <c r="AI1516" s="84">
        <v>1</v>
      </c>
      <c r="AJ1516" s="84">
        <v>1</v>
      </c>
      <c r="AK1516" s="84">
        <v>1</v>
      </c>
      <c r="AL1516" s="84" cm="1">
        <f t="array" ref="AL151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6" s="84" cm="1">
        <f t="array" ref="AM151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6" s="84" cm="1">
        <f t="array" ref="AN151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6" s="84" cm="1">
        <f t="array" ref="AO151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6" s="84" cm="1">
        <f t="array" ref="AP151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6" s="84" cm="1">
        <f t="array" ref="AQ151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6" s="84" cm="1">
        <f t="array" ref="AR151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6" s="84" cm="1">
        <f t="array" ref="AS151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6" s="84" cm="1">
        <f t="array" ref="AT151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6" s="84" cm="1">
        <f t="array" ref="AU151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6" s="84" cm="1">
        <f t="array" ref="AV151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6" s="84" cm="1">
        <f t="array" ref="AW151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6" s="84" cm="1">
        <f t="array" ref="AX151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6" s="84" cm="1">
        <f t="array" ref="AY151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6" s="84" cm="1">
        <f t="array" ref="AZ151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6" s="84" cm="1">
        <f t="array" ref="BA151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6" s="84" cm="1">
        <f t="array" ref="BB151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6" s="84">
        <f>IF(SUM(Table3[[#This Row],[Column2]:[Column18]])&gt;Table3[[#This Row],[Column19]],Table3[[#This Row],[Column19]],SUM(Table3[[#This Row],[Column2]:[Column18]]))</f>
        <v>10000</v>
      </c>
      <c r="BD1516" s="2">
        <f>Table3[[#This Row],[Total Spend]]/SUM(Table3[[#This Row],[Column2]:[Column18]])</f>
        <v>0.21574973031283712</v>
      </c>
    </row>
    <row r="1517" spans="1:56">
      <c r="A1517" s="87" t="s">
        <v>1592</v>
      </c>
      <c r="B1517" s="87"/>
      <c r="C1517" s="87"/>
      <c r="D1517" s="85">
        <v>45566</v>
      </c>
      <c r="E1517" s="85" t="s">
        <v>92</v>
      </c>
      <c r="F1517" s="84">
        <f>INDEX(Definitions!$G$13:$G$17,MATCH(Table3[[#This Row],[Propensity to buy/ buyer readiness]],Definitions!$A$13:$A$17,0))</f>
        <v>10000</v>
      </c>
      <c r="G1517" s="86">
        <v>3</v>
      </c>
      <c r="H1517" s="86">
        <v>3</v>
      </c>
      <c r="I1517" s="86">
        <v>2</v>
      </c>
      <c r="J1517" s="86">
        <v>3</v>
      </c>
      <c r="K1517" s="86">
        <v>2</v>
      </c>
      <c r="L1517" s="86">
        <f>SUM(Table3[[#This Row],[Strategic priority segment]:[Propensity to buy/ buyer readiness]])</f>
        <v>13</v>
      </c>
      <c r="M1517" s="86" t="s">
        <v>191</v>
      </c>
      <c r="N1517" s="84" t="s">
        <v>135</v>
      </c>
      <c r="O1517" s="87"/>
      <c r="P1517" s="87"/>
      <c r="Q1517" s="87"/>
      <c r="R1517" s="84"/>
      <c r="S1517" s="87"/>
      <c r="T1517" s="84"/>
      <c r="U1517" s="84">
        <v>0</v>
      </c>
      <c r="V1517" s="84">
        <v>0</v>
      </c>
      <c r="W1517" s="84">
        <v>0</v>
      </c>
      <c r="X1517" s="84">
        <v>0</v>
      </c>
      <c r="Y1517" s="84">
        <v>0</v>
      </c>
      <c r="Z1517" s="84">
        <v>0</v>
      </c>
      <c r="AA1517" s="84">
        <v>0</v>
      </c>
      <c r="AB1517" s="84">
        <v>0</v>
      </c>
      <c r="AC1517" s="84">
        <v>0</v>
      </c>
      <c r="AD1517" s="84">
        <v>0</v>
      </c>
      <c r="AE1517" s="84">
        <v>0</v>
      </c>
      <c r="AF1517" s="84">
        <v>0</v>
      </c>
      <c r="AG1517" s="84">
        <v>0</v>
      </c>
      <c r="AH1517" s="84">
        <v>1</v>
      </c>
      <c r="AI1517" s="84">
        <v>1</v>
      </c>
      <c r="AJ1517" s="84">
        <v>1</v>
      </c>
      <c r="AK1517" s="84">
        <v>1</v>
      </c>
      <c r="AL1517" s="84" cm="1">
        <f t="array" ref="AL151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7" s="84" cm="1">
        <f t="array" ref="AM151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7" s="84" cm="1">
        <f t="array" ref="AN151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7" s="84" cm="1">
        <f t="array" ref="AO151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7" s="84" cm="1">
        <f t="array" ref="AP151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7" s="84" cm="1">
        <f t="array" ref="AQ151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7" s="84" cm="1">
        <f t="array" ref="AR151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7" s="84" cm="1">
        <f t="array" ref="AS151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7" s="84" cm="1">
        <f t="array" ref="AT151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7" s="84" cm="1">
        <f t="array" ref="AU151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7" s="84" cm="1">
        <f t="array" ref="AV151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7" s="84" cm="1">
        <f t="array" ref="AW151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7" s="84" cm="1">
        <f t="array" ref="AX151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7" s="84" cm="1">
        <f t="array" ref="AY151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7" s="84" cm="1">
        <f t="array" ref="AZ151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7" s="84" cm="1">
        <f t="array" ref="BA151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7" s="84" cm="1">
        <f t="array" ref="BB151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7" s="84">
        <f>IF(SUM(Table3[[#This Row],[Column2]:[Column18]])&gt;Table3[[#This Row],[Column19]],Table3[[#This Row],[Column19]],SUM(Table3[[#This Row],[Column2]:[Column18]]))</f>
        <v>10000</v>
      </c>
      <c r="BD1517" s="2">
        <f>Table3[[#This Row],[Total Spend]]/SUM(Table3[[#This Row],[Column2]:[Column18]])</f>
        <v>0.21574973031283712</v>
      </c>
    </row>
    <row r="1518" spans="1:56">
      <c r="A1518" s="87" t="s">
        <v>1593</v>
      </c>
      <c r="B1518" s="87"/>
      <c r="C1518" s="87"/>
      <c r="D1518" s="85">
        <v>45566</v>
      </c>
      <c r="E1518" s="85" t="s">
        <v>92</v>
      </c>
      <c r="F1518" s="84">
        <f>INDEX(Definitions!$G$13:$G$17,MATCH(Table3[[#This Row],[Propensity to buy/ buyer readiness]],Definitions!$A$13:$A$17,0))</f>
        <v>10000</v>
      </c>
      <c r="G1518" s="86">
        <v>3</v>
      </c>
      <c r="H1518" s="86">
        <v>3</v>
      </c>
      <c r="I1518" s="86">
        <v>2</v>
      </c>
      <c r="J1518" s="86">
        <v>3</v>
      </c>
      <c r="K1518" s="86">
        <v>2</v>
      </c>
      <c r="L1518" s="86">
        <f>SUM(Table3[[#This Row],[Strategic priority segment]:[Propensity to buy/ buyer readiness]])</f>
        <v>13</v>
      </c>
      <c r="M1518" s="86" t="s">
        <v>191</v>
      </c>
      <c r="N1518" s="84" t="s">
        <v>135</v>
      </c>
      <c r="O1518" s="87"/>
      <c r="P1518" s="87"/>
      <c r="Q1518" s="87"/>
      <c r="R1518" s="84"/>
      <c r="S1518" s="87"/>
      <c r="T1518" s="87"/>
      <c r="U1518" s="84">
        <v>0</v>
      </c>
      <c r="V1518" s="84">
        <v>0</v>
      </c>
      <c r="W1518" s="84">
        <v>0</v>
      </c>
      <c r="X1518" s="84">
        <v>0</v>
      </c>
      <c r="Y1518" s="84">
        <v>0</v>
      </c>
      <c r="Z1518" s="84">
        <v>0</v>
      </c>
      <c r="AA1518" s="84">
        <v>0</v>
      </c>
      <c r="AB1518" s="84">
        <v>0</v>
      </c>
      <c r="AC1518" s="84">
        <v>0</v>
      </c>
      <c r="AD1518" s="84">
        <v>0</v>
      </c>
      <c r="AE1518" s="84">
        <v>0</v>
      </c>
      <c r="AF1518" s="84">
        <v>0</v>
      </c>
      <c r="AG1518" s="84">
        <v>0</v>
      </c>
      <c r="AH1518" s="84">
        <v>1</v>
      </c>
      <c r="AI1518" s="84">
        <v>1</v>
      </c>
      <c r="AJ1518" s="84">
        <v>1</v>
      </c>
      <c r="AK1518" s="84">
        <v>1</v>
      </c>
      <c r="AL1518" s="84" cm="1">
        <f t="array" ref="AL151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8" s="84" cm="1">
        <f t="array" ref="AM151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8" s="84" cm="1">
        <f t="array" ref="AN151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8" s="84" cm="1">
        <f t="array" ref="AO151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8" s="84" cm="1">
        <f t="array" ref="AP151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8" s="84" cm="1">
        <f t="array" ref="AQ151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8" s="84" cm="1">
        <f t="array" ref="AR151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8" s="84" cm="1">
        <f t="array" ref="AS151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8" s="84" cm="1">
        <f t="array" ref="AT151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8" s="84" cm="1">
        <f t="array" ref="AU151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8" s="84" cm="1">
        <f t="array" ref="AV151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8" s="84" cm="1">
        <f t="array" ref="AW151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8" s="84" cm="1">
        <f t="array" ref="AX151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8" s="84" cm="1">
        <f t="array" ref="AY151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8" s="84" cm="1">
        <f t="array" ref="AZ151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8" s="84" cm="1">
        <f t="array" ref="BA151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8" s="84" cm="1">
        <f t="array" ref="BB151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8" s="84">
        <f>IF(SUM(Table3[[#This Row],[Column2]:[Column18]])&gt;Table3[[#This Row],[Column19]],Table3[[#This Row],[Column19]],SUM(Table3[[#This Row],[Column2]:[Column18]]))</f>
        <v>10000</v>
      </c>
      <c r="BD1518" s="2">
        <f>Table3[[#This Row],[Total Spend]]/SUM(Table3[[#This Row],[Column2]:[Column18]])</f>
        <v>0.21574973031283712</v>
      </c>
    </row>
    <row r="1519" spans="1:56">
      <c r="A1519" s="87" t="s">
        <v>1594</v>
      </c>
      <c r="B1519" s="87"/>
      <c r="C1519" s="87"/>
      <c r="D1519" s="85">
        <v>45566</v>
      </c>
      <c r="E1519" s="85" t="s">
        <v>92</v>
      </c>
      <c r="F1519" s="84">
        <f>INDEX(Definitions!$G$13:$G$17,MATCH(Table3[[#This Row],[Propensity to buy/ buyer readiness]],Definitions!$A$13:$A$17,0))</f>
        <v>10000</v>
      </c>
      <c r="G1519" s="86">
        <v>3</v>
      </c>
      <c r="H1519" s="86">
        <v>3</v>
      </c>
      <c r="I1519" s="86">
        <v>2</v>
      </c>
      <c r="J1519" s="86">
        <v>3</v>
      </c>
      <c r="K1519" s="86">
        <v>2</v>
      </c>
      <c r="L1519" s="86">
        <f>SUM(Table3[[#This Row],[Strategic priority segment]:[Propensity to buy/ buyer readiness]])</f>
        <v>13</v>
      </c>
      <c r="M1519" s="86" t="s">
        <v>191</v>
      </c>
      <c r="N1519" s="84" t="s">
        <v>135</v>
      </c>
      <c r="O1519" s="87"/>
      <c r="P1519" s="87"/>
      <c r="Q1519" s="87"/>
      <c r="R1519" s="84"/>
      <c r="S1519" s="87"/>
      <c r="T1519" s="84"/>
      <c r="U1519" s="84">
        <v>0</v>
      </c>
      <c r="V1519" s="84">
        <v>0</v>
      </c>
      <c r="W1519" s="84">
        <v>0</v>
      </c>
      <c r="X1519" s="84">
        <v>0</v>
      </c>
      <c r="Y1519" s="84">
        <v>0</v>
      </c>
      <c r="Z1519" s="84">
        <v>0</v>
      </c>
      <c r="AA1519" s="84">
        <v>0</v>
      </c>
      <c r="AB1519" s="84">
        <v>0</v>
      </c>
      <c r="AC1519" s="84">
        <v>0</v>
      </c>
      <c r="AD1519" s="84">
        <v>0</v>
      </c>
      <c r="AE1519" s="84">
        <v>0</v>
      </c>
      <c r="AF1519" s="84">
        <v>0</v>
      </c>
      <c r="AG1519" s="84">
        <v>0</v>
      </c>
      <c r="AH1519" s="84">
        <v>1</v>
      </c>
      <c r="AI1519" s="84">
        <v>1</v>
      </c>
      <c r="AJ1519" s="84">
        <v>1</v>
      </c>
      <c r="AK1519" s="84">
        <v>1</v>
      </c>
      <c r="AL1519" s="84" cm="1">
        <f t="array" ref="AL151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19" s="84" cm="1">
        <f t="array" ref="AM151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19" s="84" cm="1">
        <f t="array" ref="AN151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19" s="84" cm="1">
        <f t="array" ref="AO151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19" s="84" cm="1">
        <f t="array" ref="AP151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19" s="84" cm="1">
        <f t="array" ref="AQ151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19" s="84" cm="1">
        <f t="array" ref="AR151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19" s="84" cm="1">
        <f t="array" ref="AS151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19" s="84" cm="1">
        <f t="array" ref="AT151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19" s="84" cm="1">
        <f t="array" ref="AU151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19" s="84" cm="1">
        <f t="array" ref="AV151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19" s="84" cm="1">
        <f t="array" ref="AW151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19" s="84" cm="1">
        <f t="array" ref="AX151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19" s="84" cm="1">
        <f t="array" ref="AY151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19" s="84" cm="1">
        <f t="array" ref="AZ151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19" s="84" cm="1">
        <f t="array" ref="BA151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19" s="84" cm="1">
        <f t="array" ref="BB151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19" s="84">
        <f>IF(SUM(Table3[[#This Row],[Column2]:[Column18]])&gt;Table3[[#This Row],[Column19]],Table3[[#This Row],[Column19]],SUM(Table3[[#This Row],[Column2]:[Column18]]))</f>
        <v>10000</v>
      </c>
      <c r="BD1519" s="2">
        <f>Table3[[#This Row],[Total Spend]]/SUM(Table3[[#This Row],[Column2]:[Column18]])</f>
        <v>0.21574973031283712</v>
      </c>
    </row>
    <row r="1520" spans="1:56">
      <c r="A1520" s="87" t="s">
        <v>1595</v>
      </c>
      <c r="B1520" s="87"/>
      <c r="C1520" s="87"/>
      <c r="D1520" s="85">
        <v>45566</v>
      </c>
      <c r="E1520" s="85" t="s">
        <v>92</v>
      </c>
      <c r="F1520" s="84">
        <f>INDEX(Definitions!$G$13:$G$17,MATCH(Table3[[#This Row],[Propensity to buy/ buyer readiness]],Definitions!$A$13:$A$17,0))</f>
        <v>10000</v>
      </c>
      <c r="G1520" s="86">
        <v>3</v>
      </c>
      <c r="H1520" s="86">
        <v>3</v>
      </c>
      <c r="I1520" s="86">
        <v>2</v>
      </c>
      <c r="J1520" s="86">
        <v>3</v>
      </c>
      <c r="K1520" s="86">
        <v>2</v>
      </c>
      <c r="L1520" s="86">
        <f>SUM(Table3[[#This Row],[Strategic priority segment]:[Propensity to buy/ buyer readiness]])</f>
        <v>13</v>
      </c>
      <c r="M1520" s="86" t="s">
        <v>191</v>
      </c>
      <c r="N1520" s="84" t="s">
        <v>135</v>
      </c>
      <c r="O1520" s="87"/>
      <c r="P1520" s="87"/>
      <c r="Q1520" s="87"/>
      <c r="R1520" s="84"/>
      <c r="S1520" s="87"/>
      <c r="T1520" s="87"/>
      <c r="U1520" s="84">
        <v>0</v>
      </c>
      <c r="V1520" s="84">
        <v>0</v>
      </c>
      <c r="W1520" s="84">
        <v>0</v>
      </c>
      <c r="X1520" s="84">
        <v>0</v>
      </c>
      <c r="Y1520" s="84">
        <v>0</v>
      </c>
      <c r="Z1520" s="84">
        <v>0</v>
      </c>
      <c r="AA1520" s="84">
        <v>0</v>
      </c>
      <c r="AB1520" s="84">
        <v>0</v>
      </c>
      <c r="AC1520" s="84">
        <v>0</v>
      </c>
      <c r="AD1520" s="84">
        <v>0</v>
      </c>
      <c r="AE1520" s="84">
        <v>0</v>
      </c>
      <c r="AF1520" s="84">
        <v>0</v>
      </c>
      <c r="AG1520" s="84">
        <v>0</v>
      </c>
      <c r="AH1520" s="84">
        <v>1</v>
      </c>
      <c r="AI1520" s="84">
        <v>1</v>
      </c>
      <c r="AJ1520" s="84">
        <v>1</v>
      </c>
      <c r="AK1520" s="84">
        <v>1</v>
      </c>
      <c r="AL1520" s="84" cm="1">
        <f t="array" ref="AL152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0" s="84" cm="1">
        <f t="array" ref="AM152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0" s="84" cm="1">
        <f t="array" ref="AN152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0" s="84" cm="1">
        <f t="array" ref="AO152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0" s="84" cm="1">
        <f t="array" ref="AP152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0" s="84" cm="1">
        <f t="array" ref="AQ152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0" s="84" cm="1">
        <f t="array" ref="AR152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0" s="84" cm="1">
        <f t="array" ref="AS152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0" s="84" cm="1">
        <f t="array" ref="AT152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0" s="84" cm="1">
        <f t="array" ref="AU152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0" s="84" cm="1">
        <f t="array" ref="AV152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0" s="84" cm="1">
        <f t="array" ref="AW152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0" s="84" cm="1">
        <f t="array" ref="AX152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0" s="84" cm="1">
        <f t="array" ref="AY152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0" s="84" cm="1">
        <f t="array" ref="AZ152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0" s="84" cm="1">
        <f t="array" ref="BA152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0" s="84" cm="1">
        <f t="array" ref="BB152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0" s="84">
        <f>IF(SUM(Table3[[#This Row],[Column2]:[Column18]])&gt;Table3[[#This Row],[Column19]],Table3[[#This Row],[Column19]],SUM(Table3[[#This Row],[Column2]:[Column18]]))</f>
        <v>10000</v>
      </c>
      <c r="BD1520" s="2">
        <f>Table3[[#This Row],[Total Spend]]/SUM(Table3[[#This Row],[Column2]:[Column18]])</f>
        <v>0.21574973031283712</v>
      </c>
    </row>
    <row r="1521" spans="1:56">
      <c r="A1521" s="87" t="s">
        <v>1596</v>
      </c>
      <c r="B1521" s="87"/>
      <c r="C1521" s="87"/>
      <c r="D1521" s="85">
        <v>45566</v>
      </c>
      <c r="E1521" s="85" t="s">
        <v>92</v>
      </c>
      <c r="F1521" s="84">
        <f>INDEX(Definitions!$G$13:$G$17,MATCH(Table3[[#This Row],[Propensity to buy/ buyer readiness]],Definitions!$A$13:$A$17,0))</f>
        <v>10000</v>
      </c>
      <c r="G1521" s="86">
        <v>3</v>
      </c>
      <c r="H1521" s="86">
        <v>3</v>
      </c>
      <c r="I1521" s="86">
        <v>2</v>
      </c>
      <c r="J1521" s="86">
        <v>3</v>
      </c>
      <c r="K1521" s="86">
        <v>2</v>
      </c>
      <c r="L1521" s="86">
        <f>SUM(Table3[[#This Row],[Strategic priority segment]:[Propensity to buy/ buyer readiness]])</f>
        <v>13</v>
      </c>
      <c r="M1521" s="86" t="s">
        <v>191</v>
      </c>
      <c r="N1521" s="84" t="s">
        <v>135</v>
      </c>
      <c r="O1521" s="87"/>
      <c r="P1521" s="87"/>
      <c r="Q1521" s="87"/>
      <c r="R1521" s="84"/>
      <c r="S1521" s="87"/>
      <c r="T1521" s="84"/>
      <c r="U1521" s="84">
        <v>0</v>
      </c>
      <c r="V1521" s="84">
        <v>0</v>
      </c>
      <c r="W1521" s="84">
        <v>0</v>
      </c>
      <c r="X1521" s="84">
        <v>0</v>
      </c>
      <c r="Y1521" s="84">
        <v>0</v>
      </c>
      <c r="Z1521" s="84">
        <v>0</v>
      </c>
      <c r="AA1521" s="84">
        <v>0</v>
      </c>
      <c r="AB1521" s="84">
        <v>0</v>
      </c>
      <c r="AC1521" s="84">
        <v>0</v>
      </c>
      <c r="AD1521" s="84">
        <v>0</v>
      </c>
      <c r="AE1521" s="84">
        <v>0</v>
      </c>
      <c r="AF1521" s="84">
        <v>0</v>
      </c>
      <c r="AG1521" s="84">
        <v>0</v>
      </c>
      <c r="AH1521" s="84">
        <v>1</v>
      </c>
      <c r="AI1521" s="84">
        <v>1</v>
      </c>
      <c r="AJ1521" s="84">
        <v>1</v>
      </c>
      <c r="AK1521" s="84">
        <v>1</v>
      </c>
      <c r="AL1521" s="84" cm="1">
        <f t="array" ref="AL152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1" s="84" cm="1">
        <f t="array" ref="AM152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1" s="84" cm="1">
        <f t="array" ref="AN152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1" s="84" cm="1">
        <f t="array" ref="AO152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1" s="84" cm="1">
        <f t="array" ref="AP152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1" s="84" cm="1">
        <f t="array" ref="AQ152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1" s="84" cm="1">
        <f t="array" ref="AR152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1" s="84" cm="1">
        <f t="array" ref="AS152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1" s="84" cm="1">
        <f t="array" ref="AT152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1" s="84" cm="1">
        <f t="array" ref="AU152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1" s="84" cm="1">
        <f t="array" ref="AV152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1" s="84" cm="1">
        <f t="array" ref="AW152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1" s="84" cm="1">
        <f t="array" ref="AX152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1" s="84" cm="1">
        <f t="array" ref="AY152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1" s="84" cm="1">
        <f t="array" ref="AZ152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1" s="84" cm="1">
        <f t="array" ref="BA152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1" s="84" cm="1">
        <f t="array" ref="BB152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1" s="84">
        <f>IF(SUM(Table3[[#This Row],[Column2]:[Column18]])&gt;Table3[[#This Row],[Column19]],Table3[[#This Row],[Column19]],SUM(Table3[[#This Row],[Column2]:[Column18]]))</f>
        <v>10000</v>
      </c>
      <c r="BD1521" s="2">
        <f>Table3[[#This Row],[Total Spend]]/SUM(Table3[[#This Row],[Column2]:[Column18]])</f>
        <v>0.21574973031283712</v>
      </c>
    </row>
    <row r="1522" spans="1:56">
      <c r="A1522" s="87" t="s">
        <v>1597</v>
      </c>
      <c r="B1522" s="87"/>
      <c r="C1522" s="87"/>
      <c r="D1522" s="85">
        <v>45566</v>
      </c>
      <c r="E1522" s="85" t="s">
        <v>92</v>
      </c>
      <c r="F1522" s="84">
        <f>INDEX(Definitions!$G$13:$G$17,MATCH(Table3[[#This Row],[Propensity to buy/ buyer readiness]],Definitions!$A$13:$A$17,0))</f>
        <v>10000</v>
      </c>
      <c r="G1522" s="86">
        <v>3</v>
      </c>
      <c r="H1522" s="86">
        <v>3</v>
      </c>
      <c r="I1522" s="86">
        <v>2</v>
      </c>
      <c r="J1522" s="86">
        <v>3</v>
      </c>
      <c r="K1522" s="86">
        <v>2</v>
      </c>
      <c r="L1522" s="86">
        <f>SUM(Table3[[#This Row],[Strategic priority segment]:[Propensity to buy/ buyer readiness]])</f>
        <v>13</v>
      </c>
      <c r="M1522" s="86" t="s">
        <v>191</v>
      </c>
      <c r="N1522" s="84" t="s">
        <v>135</v>
      </c>
      <c r="O1522" s="87"/>
      <c r="P1522" s="87"/>
      <c r="Q1522" s="87"/>
      <c r="R1522" s="84"/>
      <c r="S1522" s="87"/>
      <c r="T1522" s="87"/>
      <c r="U1522" s="84">
        <v>0</v>
      </c>
      <c r="V1522" s="84">
        <v>0</v>
      </c>
      <c r="W1522" s="84">
        <v>0</v>
      </c>
      <c r="X1522" s="84">
        <v>0</v>
      </c>
      <c r="Y1522" s="84">
        <v>0</v>
      </c>
      <c r="Z1522" s="84">
        <v>0</v>
      </c>
      <c r="AA1522" s="84">
        <v>0</v>
      </c>
      <c r="AB1522" s="84">
        <v>0</v>
      </c>
      <c r="AC1522" s="84">
        <v>0</v>
      </c>
      <c r="AD1522" s="84">
        <v>0</v>
      </c>
      <c r="AE1522" s="84">
        <v>0</v>
      </c>
      <c r="AF1522" s="84">
        <v>0</v>
      </c>
      <c r="AG1522" s="84">
        <v>0</v>
      </c>
      <c r="AH1522" s="84">
        <v>1</v>
      </c>
      <c r="AI1522" s="84">
        <v>1</v>
      </c>
      <c r="AJ1522" s="84">
        <v>1</v>
      </c>
      <c r="AK1522" s="84">
        <v>1</v>
      </c>
      <c r="AL1522" s="84" cm="1">
        <f t="array" ref="AL152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2" s="84" cm="1">
        <f t="array" ref="AM152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2" s="84" cm="1">
        <f t="array" ref="AN152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2" s="84" cm="1">
        <f t="array" ref="AO152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2" s="84" cm="1">
        <f t="array" ref="AP152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2" s="84" cm="1">
        <f t="array" ref="AQ152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2" s="84" cm="1">
        <f t="array" ref="AR152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2" s="84" cm="1">
        <f t="array" ref="AS152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2" s="84" cm="1">
        <f t="array" ref="AT152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2" s="84" cm="1">
        <f t="array" ref="AU152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2" s="84" cm="1">
        <f t="array" ref="AV152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2" s="84" cm="1">
        <f t="array" ref="AW152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2" s="84" cm="1">
        <f t="array" ref="AX152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2" s="84" cm="1">
        <f t="array" ref="AY152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2" s="84" cm="1">
        <f t="array" ref="AZ152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2" s="84" cm="1">
        <f t="array" ref="BA152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2" s="84" cm="1">
        <f t="array" ref="BB152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2" s="84">
        <f>IF(SUM(Table3[[#This Row],[Column2]:[Column18]])&gt;Table3[[#This Row],[Column19]],Table3[[#This Row],[Column19]],SUM(Table3[[#This Row],[Column2]:[Column18]]))</f>
        <v>10000</v>
      </c>
      <c r="BD1522" s="2">
        <f>Table3[[#This Row],[Total Spend]]/SUM(Table3[[#This Row],[Column2]:[Column18]])</f>
        <v>0.21574973031283712</v>
      </c>
    </row>
    <row r="1523" spans="1:56">
      <c r="A1523" s="87" t="s">
        <v>1598</v>
      </c>
      <c r="B1523" s="87"/>
      <c r="C1523" s="87"/>
      <c r="D1523" s="85">
        <v>45566</v>
      </c>
      <c r="E1523" s="85" t="s">
        <v>92</v>
      </c>
      <c r="F1523" s="84">
        <f>INDEX(Definitions!$G$13:$G$17,MATCH(Table3[[#This Row],[Propensity to buy/ buyer readiness]],Definitions!$A$13:$A$17,0))</f>
        <v>10000</v>
      </c>
      <c r="G1523" s="86">
        <v>3</v>
      </c>
      <c r="H1523" s="86">
        <v>3</v>
      </c>
      <c r="I1523" s="86">
        <v>2</v>
      </c>
      <c r="J1523" s="86">
        <v>3</v>
      </c>
      <c r="K1523" s="86">
        <v>2</v>
      </c>
      <c r="L1523" s="86">
        <f>SUM(Table3[[#This Row],[Strategic priority segment]:[Propensity to buy/ buyer readiness]])</f>
        <v>13</v>
      </c>
      <c r="M1523" s="86" t="s">
        <v>191</v>
      </c>
      <c r="N1523" s="84" t="s">
        <v>135</v>
      </c>
      <c r="O1523" s="87"/>
      <c r="P1523" s="87"/>
      <c r="Q1523" s="87"/>
      <c r="R1523" s="84"/>
      <c r="S1523" s="87"/>
      <c r="T1523" s="84"/>
      <c r="U1523" s="84">
        <v>0</v>
      </c>
      <c r="V1523" s="84">
        <v>0</v>
      </c>
      <c r="W1523" s="84">
        <v>0</v>
      </c>
      <c r="X1523" s="84">
        <v>0</v>
      </c>
      <c r="Y1523" s="84">
        <v>0</v>
      </c>
      <c r="Z1523" s="84">
        <v>0</v>
      </c>
      <c r="AA1523" s="84">
        <v>0</v>
      </c>
      <c r="AB1523" s="84">
        <v>0</v>
      </c>
      <c r="AC1523" s="84">
        <v>0</v>
      </c>
      <c r="AD1523" s="84">
        <v>0</v>
      </c>
      <c r="AE1523" s="84">
        <v>0</v>
      </c>
      <c r="AF1523" s="84">
        <v>0</v>
      </c>
      <c r="AG1523" s="84">
        <v>0</v>
      </c>
      <c r="AH1523" s="84">
        <v>1</v>
      </c>
      <c r="AI1523" s="84">
        <v>1</v>
      </c>
      <c r="AJ1523" s="84">
        <v>1</v>
      </c>
      <c r="AK1523" s="84">
        <v>1</v>
      </c>
      <c r="AL1523" s="84" cm="1">
        <f t="array" ref="AL152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3" s="84" cm="1">
        <f t="array" ref="AM152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3" s="84" cm="1">
        <f t="array" ref="AN152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3" s="84" cm="1">
        <f t="array" ref="AO152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3" s="84" cm="1">
        <f t="array" ref="AP152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3" s="84" cm="1">
        <f t="array" ref="AQ152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3" s="84" cm="1">
        <f t="array" ref="AR152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3" s="84" cm="1">
        <f t="array" ref="AS152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3" s="84" cm="1">
        <f t="array" ref="AT152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3" s="84" cm="1">
        <f t="array" ref="AU152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3" s="84" cm="1">
        <f t="array" ref="AV152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3" s="84" cm="1">
        <f t="array" ref="AW152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3" s="84" cm="1">
        <f t="array" ref="AX152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3" s="84" cm="1">
        <f t="array" ref="AY152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3" s="84" cm="1">
        <f t="array" ref="AZ152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3" s="84" cm="1">
        <f t="array" ref="BA152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3" s="84" cm="1">
        <f t="array" ref="BB152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3" s="84">
        <f>IF(SUM(Table3[[#This Row],[Column2]:[Column18]])&gt;Table3[[#This Row],[Column19]],Table3[[#This Row],[Column19]],SUM(Table3[[#This Row],[Column2]:[Column18]]))</f>
        <v>10000</v>
      </c>
      <c r="BD1523" s="2">
        <f>Table3[[#This Row],[Total Spend]]/SUM(Table3[[#This Row],[Column2]:[Column18]])</f>
        <v>0.21574973031283712</v>
      </c>
    </row>
    <row r="1524" spans="1:56">
      <c r="A1524" s="87" t="s">
        <v>1599</v>
      </c>
      <c r="B1524" s="87"/>
      <c r="C1524" s="87"/>
      <c r="D1524" s="85">
        <v>45566</v>
      </c>
      <c r="E1524" s="85" t="s">
        <v>92</v>
      </c>
      <c r="F1524" s="84">
        <f>INDEX(Definitions!$G$13:$G$17,MATCH(Table3[[#This Row],[Propensity to buy/ buyer readiness]],Definitions!$A$13:$A$17,0))</f>
        <v>10000</v>
      </c>
      <c r="G1524" s="86">
        <v>3</v>
      </c>
      <c r="H1524" s="86">
        <v>3</v>
      </c>
      <c r="I1524" s="86">
        <v>2</v>
      </c>
      <c r="J1524" s="86">
        <v>3</v>
      </c>
      <c r="K1524" s="86">
        <v>2</v>
      </c>
      <c r="L1524" s="86">
        <f>SUM(Table3[[#This Row],[Strategic priority segment]:[Propensity to buy/ buyer readiness]])</f>
        <v>13</v>
      </c>
      <c r="M1524" s="86" t="s">
        <v>191</v>
      </c>
      <c r="N1524" s="84" t="s">
        <v>135</v>
      </c>
      <c r="O1524" s="87"/>
      <c r="P1524" s="87"/>
      <c r="Q1524" s="87"/>
      <c r="R1524" s="84"/>
      <c r="S1524" s="87"/>
      <c r="T1524" s="87"/>
      <c r="U1524" s="84">
        <v>0</v>
      </c>
      <c r="V1524" s="84">
        <v>0</v>
      </c>
      <c r="W1524" s="84">
        <v>0</v>
      </c>
      <c r="X1524" s="84">
        <v>0</v>
      </c>
      <c r="Y1524" s="84">
        <v>0</v>
      </c>
      <c r="Z1524" s="84">
        <v>0</v>
      </c>
      <c r="AA1524" s="84">
        <v>0</v>
      </c>
      <c r="AB1524" s="84">
        <v>0</v>
      </c>
      <c r="AC1524" s="84">
        <v>0</v>
      </c>
      <c r="AD1524" s="84">
        <v>0</v>
      </c>
      <c r="AE1524" s="84">
        <v>0</v>
      </c>
      <c r="AF1524" s="84">
        <v>0</v>
      </c>
      <c r="AG1524" s="84">
        <v>0</v>
      </c>
      <c r="AH1524" s="84">
        <v>1</v>
      </c>
      <c r="AI1524" s="84">
        <v>1</v>
      </c>
      <c r="AJ1524" s="84">
        <v>1</v>
      </c>
      <c r="AK1524" s="84">
        <v>1</v>
      </c>
      <c r="AL1524" s="84" cm="1">
        <f t="array" ref="AL152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4" s="84" cm="1">
        <f t="array" ref="AM152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4" s="84" cm="1">
        <f t="array" ref="AN152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4" s="84" cm="1">
        <f t="array" ref="AO152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4" s="84" cm="1">
        <f t="array" ref="AP152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4" s="84" cm="1">
        <f t="array" ref="AQ152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4" s="84" cm="1">
        <f t="array" ref="AR152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4" s="84" cm="1">
        <f t="array" ref="AS152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4" s="84" cm="1">
        <f t="array" ref="AT152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4" s="84" cm="1">
        <f t="array" ref="AU152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4" s="84" cm="1">
        <f t="array" ref="AV152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4" s="84" cm="1">
        <f t="array" ref="AW152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4" s="84" cm="1">
        <f t="array" ref="AX152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4" s="84" cm="1">
        <f t="array" ref="AY152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4" s="84" cm="1">
        <f t="array" ref="AZ152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4" s="84" cm="1">
        <f t="array" ref="BA152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4" s="84" cm="1">
        <f t="array" ref="BB152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4" s="84">
        <f>IF(SUM(Table3[[#This Row],[Column2]:[Column18]])&gt;Table3[[#This Row],[Column19]],Table3[[#This Row],[Column19]],SUM(Table3[[#This Row],[Column2]:[Column18]]))</f>
        <v>10000</v>
      </c>
      <c r="BD1524" s="2">
        <f>Table3[[#This Row],[Total Spend]]/SUM(Table3[[#This Row],[Column2]:[Column18]])</f>
        <v>0.21574973031283712</v>
      </c>
    </row>
    <row r="1525" spans="1:56" ht="28.5">
      <c r="A1525" s="87" t="s">
        <v>1600</v>
      </c>
      <c r="B1525" s="87"/>
      <c r="C1525" s="87"/>
      <c r="D1525" s="85">
        <v>45566</v>
      </c>
      <c r="E1525" s="85" t="s">
        <v>92</v>
      </c>
      <c r="F1525" s="84">
        <f>INDEX(Definitions!$G$13:$G$17,MATCH(Table3[[#This Row],[Propensity to buy/ buyer readiness]],Definitions!$A$13:$A$17,0))</f>
        <v>10000</v>
      </c>
      <c r="G1525" s="86">
        <v>3</v>
      </c>
      <c r="H1525" s="86">
        <v>3</v>
      </c>
      <c r="I1525" s="86">
        <v>2</v>
      </c>
      <c r="J1525" s="86">
        <v>3</v>
      </c>
      <c r="K1525" s="86">
        <v>2</v>
      </c>
      <c r="L1525" s="86">
        <f>SUM(Table3[[#This Row],[Strategic priority segment]:[Propensity to buy/ buyer readiness]])</f>
        <v>13</v>
      </c>
      <c r="M1525" s="86" t="s">
        <v>191</v>
      </c>
      <c r="N1525" s="84" t="s">
        <v>135</v>
      </c>
      <c r="O1525" s="87"/>
      <c r="P1525" s="87"/>
      <c r="Q1525" s="87"/>
      <c r="R1525" s="84"/>
      <c r="S1525" s="87"/>
      <c r="T1525" s="84"/>
      <c r="U1525" s="84">
        <v>0</v>
      </c>
      <c r="V1525" s="84">
        <v>0</v>
      </c>
      <c r="W1525" s="84">
        <v>0</v>
      </c>
      <c r="X1525" s="84">
        <v>0</v>
      </c>
      <c r="Y1525" s="84">
        <v>0</v>
      </c>
      <c r="Z1525" s="84">
        <v>0</v>
      </c>
      <c r="AA1525" s="84">
        <v>0</v>
      </c>
      <c r="AB1525" s="84">
        <v>0</v>
      </c>
      <c r="AC1525" s="84">
        <v>0</v>
      </c>
      <c r="AD1525" s="84">
        <v>0</v>
      </c>
      <c r="AE1525" s="84">
        <v>0</v>
      </c>
      <c r="AF1525" s="84">
        <v>0</v>
      </c>
      <c r="AG1525" s="84">
        <v>0</v>
      </c>
      <c r="AH1525" s="84">
        <v>1</v>
      </c>
      <c r="AI1525" s="84">
        <v>1</v>
      </c>
      <c r="AJ1525" s="84">
        <v>1</v>
      </c>
      <c r="AK1525" s="84">
        <v>1</v>
      </c>
      <c r="AL1525" s="84" cm="1">
        <f t="array" ref="AL152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5" s="84" cm="1">
        <f t="array" ref="AM152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5" s="84" cm="1">
        <f t="array" ref="AN152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5" s="84" cm="1">
        <f t="array" ref="AO152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5" s="84" cm="1">
        <f t="array" ref="AP152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5" s="84" cm="1">
        <f t="array" ref="AQ152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5" s="84" cm="1">
        <f t="array" ref="AR152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5" s="84" cm="1">
        <f t="array" ref="AS152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5" s="84" cm="1">
        <f t="array" ref="AT152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5" s="84" cm="1">
        <f t="array" ref="AU152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5" s="84" cm="1">
        <f t="array" ref="AV152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5" s="84" cm="1">
        <f t="array" ref="AW152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5" s="84" cm="1">
        <f t="array" ref="AX152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5" s="84" cm="1">
        <f t="array" ref="AY152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5" s="84" cm="1">
        <f t="array" ref="AZ152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5" s="84" cm="1">
        <f t="array" ref="BA152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5" s="84" cm="1">
        <f t="array" ref="BB152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5" s="84">
        <f>IF(SUM(Table3[[#This Row],[Column2]:[Column18]])&gt;Table3[[#This Row],[Column19]],Table3[[#This Row],[Column19]],SUM(Table3[[#This Row],[Column2]:[Column18]]))</f>
        <v>10000</v>
      </c>
      <c r="BD1525" s="2">
        <f>Table3[[#This Row],[Total Spend]]/SUM(Table3[[#This Row],[Column2]:[Column18]])</f>
        <v>0.21574973031283712</v>
      </c>
    </row>
    <row r="1526" spans="1:56">
      <c r="A1526" s="87" t="s">
        <v>1601</v>
      </c>
      <c r="B1526" s="87"/>
      <c r="C1526" s="87"/>
      <c r="D1526" s="85">
        <v>45566</v>
      </c>
      <c r="E1526" s="85" t="s">
        <v>92</v>
      </c>
      <c r="F1526" s="84">
        <f>INDEX(Definitions!$G$13:$G$17,MATCH(Table3[[#This Row],[Propensity to buy/ buyer readiness]],Definitions!$A$13:$A$17,0))</f>
        <v>10000</v>
      </c>
      <c r="G1526" s="86">
        <v>3</v>
      </c>
      <c r="H1526" s="86">
        <v>3</v>
      </c>
      <c r="I1526" s="86">
        <v>2</v>
      </c>
      <c r="J1526" s="86">
        <v>3</v>
      </c>
      <c r="K1526" s="86">
        <v>2</v>
      </c>
      <c r="L1526" s="86">
        <f>SUM(Table3[[#This Row],[Strategic priority segment]:[Propensity to buy/ buyer readiness]])</f>
        <v>13</v>
      </c>
      <c r="M1526" s="86" t="s">
        <v>191</v>
      </c>
      <c r="N1526" s="84" t="s">
        <v>135</v>
      </c>
      <c r="O1526" s="87"/>
      <c r="P1526" s="87"/>
      <c r="Q1526" s="87"/>
      <c r="R1526" s="84"/>
      <c r="S1526" s="87"/>
      <c r="T1526" s="84"/>
      <c r="U1526" s="84">
        <v>0</v>
      </c>
      <c r="V1526" s="84">
        <v>0</v>
      </c>
      <c r="W1526" s="84">
        <v>0</v>
      </c>
      <c r="X1526" s="84">
        <v>0</v>
      </c>
      <c r="Y1526" s="84">
        <v>0</v>
      </c>
      <c r="Z1526" s="84">
        <v>0</v>
      </c>
      <c r="AA1526" s="84">
        <v>0</v>
      </c>
      <c r="AB1526" s="84">
        <v>0</v>
      </c>
      <c r="AC1526" s="84">
        <v>0</v>
      </c>
      <c r="AD1526" s="84">
        <v>0</v>
      </c>
      <c r="AE1526" s="84">
        <v>0</v>
      </c>
      <c r="AF1526" s="84">
        <v>0</v>
      </c>
      <c r="AG1526" s="84">
        <v>0</v>
      </c>
      <c r="AH1526" s="84">
        <v>1</v>
      </c>
      <c r="AI1526" s="84">
        <v>1</v>
      </c>
      <c r="AJ1526" s="84">
        <v>1</v>
      </c>
      <c r="AK1526" s="84">
        <v>1</v>
      </c>
      <c r="AL1526" s="84" cm="1">
        <f t="array" ref="AL152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6" s="84" cm="1">
        <f t="array" ref="AM152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6" s="84" cm="1">
        <f t="array" ref="AN152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6" s="84" cm="1">
        <f t="array" ref="AO152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6" s="84" cm="1">
        <f t="array" ref="AP152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6" s="84" cm="1">
        <f t="array" ref="AQ152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6" s="84" cm="1">
        <f t="array" ref="AR152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6" s="84" cm="1">
        <f t="array" ref="AS152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6" s="84" cm="1">
        <f t="array" ref="AT152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6" s="84" cm="1">
        <f t="array" ref="AU152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6" s="84" cm="1">
        <f t="array" ref="AV152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6" s="84" cm="1">
        <f t="array" ref="AW152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6" s="84" cm="1">
        <f t="array" ref="AX152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6" s="84" cm="1">
        <f t="array" ref="AY152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6" s="84" cm="1">
        <f t="array" ref="AZ152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6" s="84" cm="1">
        <f t="array" ref="BA152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6" s="84" cm="1">
        <f t="array" ref="BB152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6" s="84">
        <f>IF(SUM(Table3[[#This Row],[Column2]:[Column18]])&gt;Table3[[#This Row],[Column19]],Table3[[#This Row],[Column19]],SUM(Table3[[#This Row],[Column2]:[Column18]]))</f>
        <v>10000</v>
      </c>
      <c r="BD1526" s="2">
        <f>Table3[[#This Row],[Total Spend]]/SUM(Table3[[#This Row],[Column2]:[Column18]])</f>
        <v>0.21574973031283712</v>
      </c>
    </row>
    <row r="1527" spans="1:56" ht="28.5">
      <c r="A1527" s="87" t="s">
        <v>1602</v>
      </c>
      <c r="B1527" s="87"/>
      <c r="C1527" s="87"/>
      <c r="D1527" s="85">
        <v>45566</v>
      </c>
      <c r="E1527" s="85" t="s">
        <v>92</v>
      </c>
      <c r="F1527" s="84">
        <f>INDEX(Definitions!$G$13:$G$17,MATCH(Table3[[#This Row],[Propensity to buy/ buyer readiness]],Definitions!$A$13:$A$17,0))</f>
        <v>10000</v>
      </c>
      <c r="G1527" s="86">
        <v>3</v>
      </c>
      <c r="H1527" s="86">
        <v>3</v>
      </c>
      <c r="I1527" s="86">
        <v>2</v>
      </c>
      <c r="J1527" s="86">
        <v>3</v>
      </c>
      <c r="K1527" s="86">
        <v>2</v>
      </c>
      <c r="L1527" s="86">
        <f>SUM(Table3[[#This Row],[Strategic priority segment]:[Propensity to buy/ buyer readiness]])</f>
        <v>13</v>
      </c>
      <c r="M1527" s="86" t="s">
        <v>191</v>
      </c>
      <c r="N1527" s="84" t="s">
        <v>135</v>
      </c>
      <c r="O1527" s="87"/>
      <c r="P1527" s="87"/>
      <c r="Q1527" s="87"/>
      <c r="R1527" s="84"/>
      <c r="S1527" s="87"/>
      <c r="T1527" s="87"/>
      <c r="U1527" s="84">
        <v>0</v>
      </c>
      <c r="V1527" s="84">
        <v>0</v>
      </c>
      <c r="W1527" s="84">
        <v>0</v>
      </c>
      <c r="X1527" s="84">
        <v>0</v>
      </c>
      <c r="Y1527" s="84">
        <v>0</v>
      </c>
      <c r="Z1527" s="84">
        <v>0</v>
      </c>
      <c r="AA1527" s="84">
        <v>0</v>
      </c>
      <c r="AB1527" s="84">
        <v>0</v>
      </c>
      <c r="AC1527" s="84">
        <v>0</v>
      </c>
      <c r="AD1527" s="84">
        <v>0</v>
      </c>
      <c r="AE1527" s="84">
        <v>0</v>
      </c>
      <c r="AF1527" s="84">
        <v>0</v>
      </c>
      <c r="AG1527" s="84">
        <v>0</v>
      </c>
      <c r="AH1527" s="84">
        <v>1</v>
      </c>
      <c r="AI1527" s="84">
        <v>1</v>
      </c>
      <c r="AJ1527" s="84">
        <v>1</v>
      </c>
      <c r="AK1527" s="84">
        <v>1</v>
      </c>
      <c r="AL1527" s="84" cm="1">
        <f t="array" ref="AL152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7" s="84" cm="1">
        <f t="array" ref="AM152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7" s="84" cm="1">
        <f t="array" ref="AN152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7" s="84" cm="1">
        <f t="array" ref="AO152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7" s="84" cm="1">
        <f t="array" ref="AP152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7" s="84" cm="1">
        <f t="array" ref="AQ152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7" s="84" cm="1">
        <f t="array" ref="AR152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7" s="84" cm="1">
        <f t="array" ref="AS152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7" s="84" cm="1">
        <f t="array" ref="AT152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7" s="84" cm="1">
        <f t="array" ref="AU152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7" s="84" cm="1">
        <f t="array" ref="AV152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7" s="84" cm="1">
        <f t="array" ref="AW152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7" s="84" cm="1">
        <f t="array" ref="AX152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7" s="84" cm="1">
        <f t="array" ref="AY152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7" s="84" cm="1">
        <f t="array" ref="AZ152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7" s="84" cm="1">
        <f t="array" ref="BA152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7" s="84" cm="1">
        <f t="array" ref="BB152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7" s="84">
        <f>IF(SUM(Table3[[#This Row],[Column2]:[Column18]])&gt;Table3[[#This Row],[Column19]],Table3[[#This Row],[Column19]],SUM(Table3[[#This Row],[Column2]:[Column18]]))</f>
        <v>10000</v>
      </c>
      <c r="BD1527" s="2">
        <f>Table3[[#This Row],[Total Spend]]/SUM(Table3[[#This Row],[Column2]:[Column18]])</f>
        <v>0.21574973031283712</v>
      </c>
    </row>
    <row r="1528" spans="1:56">
      <c r="A1528" s="87" t="s">
        <v>1603</v>
      </c>
      <c r="B1528" s="87"/>
      <c r="C1528" s="87"/>
      <c r="D1528" s="85">
        <v>45566</v>
      </c>
      <c r="E1528" s="85" t="s">
        <v>92</v>
      </c>
      <c r="F1528" s="84">
        <f>INDEX(Definitions!$G$13:$G$17,MATCH(Table3[[#This Row],[Propensity to buy/ buyer readiness]],Definitions!$A$13:$A$17,0))</f>
        <v>10000</v>
      </c>
      <c r="G1528" s="86">
        <v>3</v>
      </c>
      <c r="H1528" s="86">
        <v>3</v>
      </c>
      <c r="I1528" s="86">
        <v>2</v>
      </c>
      <c r="J1528" s="86">
        <v>3</v>
      </c>
      <c r="K1528" s="86">
        <v>2</v>
      </c>
      <c r="L1528" s="86">
        <f>SUM(Table3[[#This Row],[Strategic priority segment]:[Propensity to buy/ buyer readiness]])</f>
        <v>13</v>
      </c>
      <c r="M1528" s="86" t="s">
        <v>191</v>
      </c>
      <c r="N1528" s="84" t="s">
        <v>135</v>
      </c>
      <c r="O1528" s="87"/>
      <c r="P1528" s="87"/>
      <c r="Q1528" s="87"/>
      <c r="R1528" s="84"/>
      <c r="S1528" s="87"/>
      <c r="T1528" s="84"/>
      <c r="U1528" s="84">
        <v>0</v>
      </c>
      <c r="V1528" s="84">
        <v>0</v>
      </c>
      <c r="W1528" s="84">
        <v>0</v>
      </c>
      <c r="X1528" s="84">
        <v>0</v>
      </c>
      <c r="Y1528" s="84">
        <v>0</v>
      </c>
      <c r="Z1528" s="84">
        <v>0</v>
      </c>
      <c r="AA1528" s="84">
        <v>0</v>
      </c>
      <c r="AB1528" s="84">
        <v>0</v>
      </c>
      <c r="AC1528" s="84">
        <v>0</v>
      </c>
      <c r="AD1528" s="84">
        <v>0</v>
      </c>
      <c r="AE1528" s="84">
        <v>0</v>
      </c>
      <c r="AF1528" s="84">
        <v>0</v>
      </c>
      <c r="AG1528" s="84">
        <v>0</v>
      </c>
      <c r="AH1528" s="84">
        <v>1</v>
      </c>
      <c r="AI1528" s="84">
        <v>1</v>
      </c>
      <c r="AJ1528" s="84">
        <v>1</v>
      </c>
      <c r="AK1528" s="84">
        <v>1</v>
      </c>
      <c r="AL1528" s="84" cm="1">
        <f t="array" ref="AL152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8" s="84" cm="1">
        <f t="array" ref="AM152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8" s="84" cm="1">
        <f t="array" ref="AN152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8" s="84" cm="1">
        <f t="array" ref="AO152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8" s="84" cm="1">
        <f t="array" ref="AP152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8" s="84" cm="1">
        <f t="array" ref="AQ152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8" s="84" cm="1">
        <f t="array" ref="AR152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8" s="84" cm="1">
        <f t="array" ref="AS152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8" s="84" cm="1">
        <f t="array" ref="AT152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8" s="84" cm="1">
        <f t="array" ref="AU152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8" s="84" cm="1">
        <f t="array" ref="AV152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8" s="84" cm="1">
        <f t="array" ref="AW152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8" s="84" cm="1">
        <f t="array" ref="AX152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8" s="84" cm="1">
        <f t="array" ref="AY152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8" s="84" cm="1">
        <f t="array" ref="AZ152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8" s="84" cm="1">
        <f t="array" ref="BA152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8" s="84" cm="1">
        <f t="array" ref="BB152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8" s="84">
        <f>IF(SUM(Table3[[#This Row],[Column2]:[Column18]])&gt;Table3[[#This Row],[Column19]],Table3[[#This Row],[Column19]],SUM(Table3[[#This Row],[Column2]:[Column18]]))</f>
        <v>10000</v>
      </c>
      <c r="BD1528" s="2">
        <f>Table3[[#This Row],[Total Spend]]/SUM(Table3[[#This Row],[Column2]:[Column18]])</f>
        <v>0.21574973031283712</v>
      </c>
    </row>
    <row r="1529" spans="1:56">
      <c r="A1529" s="87" t="s">
        <v>1604</v>
      </c>
      <c r="B1529" s="87"/>
      <c r="C1529" s="87"/>
      <c r="D1529" s="85">
        <v>45566</v>
      </c>
      <c r="E1529" s="85" t="s">
        <v>92</v>
      </c>
      <c r="F1529" s="84">
        <f>INDEX(Definitions!$G$13:$G$17,MATCH(Table3[[#This Row],[Propensity to buy/ buyer readiness]],Definitions!$A$13:$A$17,0))</f>
        <v>10000</v>
      </c>
      <c r="G1529" s="86">
        <v>3</v>
      </c>
      <c r="H1529" s="86">
        <v>3</v>
      </c>
      <c r="I1529" s="86">
        <v>2</v>
      </c>
      <c r="J1529" s="86">
        <v>3</v>
      </c>
      <c r="K1529" s="86">
        <v>2</v>
      </c>
      <c r="L1529" s="86">
        <f>SUM(Table3[[#This Row],[Strategic priority segment]:[Propensity to buy/ buyer readiness]])</f>
        <v>13</v>
      </c>
      <c r="M1529" s="86" t="s">
        <v>191</v>
      </c>
      <c r="N1529" s="84" t="s">
        <v>135</v>
      </c>
      <c r="O1529" s="87"/>
      <c r="P1529" s="87"/>
      <c r="Q1529" s="87"/>
      <c r="R1529" s="84"/>
      <c r="S1529" s="87"/>
      <c r="T1529" s="84"/>
      <c r="U1529" s="84">
        <v>0</v>
      </c>
      <c r="V1529" s="84">
        <v>0</v>
      </c>
      <c r="W1529" s="84">
        <v>0</v>
      </c>
      <c r="X1529" s="84">
        <v>0</v>
      </c>
      <c r="Y1529" s="84">
        <v>0</v>
      </c>
      <c r="Z1529" s="84">
        <v>0</v>
      </c>
      <c r="AA1529" s="84">
        <v>0</v>
      </c>
      <c r="AB1529" s="84">
        <v>0</v>
      </c>
      <c r="AC1529" s="84">
        <v>0</v>
      </c>
      <c r="AD1529" s="84">
        <v>0</v>
      </c>
      <c r="AE1529" s="84">
        <v>0</v>
      </c>
      <c r="AF1529" s="84">
        <v>0</v>
      </c>
      <c r="AG1529" s="84">
        <v>0</v>
      </c>
      <c r="AH1529" s="84">
        <v>1</v>
      </c>
      <c r="AI1529" s="84">
        <v>1</v>
      </c>
      <c r="AJ1529" s="84">
        <v>1</v>
      </c>
      <c r="AK1529" s="84">
        <v>1</v>
      </c>
      <c r="AL1529" s="84" cm="1">
        <f t="array" ref="AL152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29" s="84" cm="1">
        <f t="array" ref="AM152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29" s="84" cm="1">
        <f t="array" ref="AN152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29" s="84" cm="1">
        <f t="array" ref="AO152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29" s="84" cm="1">
        <f t="array" ref="AP152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29" s="84" cm="1">
        <f t="array" ref="AQ152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29" s="84" cm="1">
        <f t="array" ref="AR152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29" s="84" cm="1">
        <f t="array" ref="AS152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29" s="84" cm="1">
        <f t="array" ref="AT152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29" s="84" cm="1">
        <f t="array" ref="AU152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29" s="84" cm="1">
        <f t="array" ref="AV152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29" s="84" cm="1">
        <f t="array" ref="AW152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29" s="84" cm="1">
        <f t="array" ref="AX152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29" s="84" cm="1">
        <f t="array" ref="AY152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29" s="84" cm="1">
        <f t="array" ref="AZ152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29" s="84" cm="1">
        <f t="array" ref="BA152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29" s="84" cm="1">
        <f t="array" ref="BB152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29" s="84">
        <f>IF(SUM(Table3[[#This Row],[Column2]:[Column18]])&gt;Table3[[#This Row],[Column19]],Table3[[#This Row],[Column19]],SUM(Table3[[#This Row],[Column2]:[Column18]]))</f>
        <v>10000</v>
      </c>
      <c r="BD1529" s="2">
        <f>Table3[[#This Row],[Total Spend]]/SUM(Table3[[#This Row],[Column2]:[Column18]])</f>
        <v>0.21574973031283712</v>
      </c>
    </row>
    <row r="1530" spans="1:56" ht="28.5">
      <c r="A1530" s="87" t="s">
        <v>1605</v>
      </c>
      <c r="B1530" s="87"/>
      <c r="C1530" s="87"/>
      <c r="D1530" s="85">
        <v>45566</v>
      </c>
      <c r="E1530" s="85" t="s">
        <v>92</v>
      </c>
      <c r="F1530" s="84">
        <f>INDEX(Definitions!$G$13:$G$17,MATCH(Table3[[#This Row],[Propensity to buy/ buyer readiness]],Definitions!$A$13:$A$17,0))</f>
        <v>10000</v>
      </c>
      <c r="G1530" s="86">
        <v>3</v>
      </c>
      <c r="H1530" s="86">
        <v>3</v>
      </c>
      <c r="I1530" s="86">
        <v>2</v>
      </c>
      <c r="J1530" s="86">
        <v>3</v>
      </c>
      <c r="K1530" s="86">
        <v>2</v>
      </c>
      <c r="L1530" s="86">
        <f>SUM(Table3[[#This Row],[Strategic priority segment]:[Propensity to buy/ buyer readiness]])</f>
        <v>13</v>
      </c>
      <c r="M1530" s="86" t="s">
        <v>191</v>
      </c>
      <c r="N1530" s="84" t="s">
        <v>135</v>
      </c>
      <c r="O1530" s="87"/>
      <c r="P1530" s="87"/>
      <c r="Q1530" s="87"/>
      <c r="R1530" s="84"/>
      <c r="S1530" s="87"/>
      <c r="T1530" s="84"/>
      <c r="U1530" s="84">
        <v>0</v>
      </c>
      <c r="V1530" s="84">
        <v>0</v>
      </c>
      <c r="W1530" s="84">
        <v>0</v>
      </c>
      <c r="X1530" s="84">
        <v>0</v>
      </c>
      <c r="Y1530" s="84">
        <v>0</v>
      </c>
      <c r="Z1530" s="84">
        <v>0</v>
      </c>
      <c r="AA1530" s="84">
        <v>0</v>
      </c>
      <c r="AB1530" s="84">
        <v>0</v>
      </c>
      <c r="AC1530" s="84">
        <v>0</v>
      </c>
      <c r="AD1530" s="84">
        <v>0</v>
      </c>
      <c r="AE1530" s="84">
        <v>0</v>
      </c>
      <c r="AF1530" s="84">
        <v>0</v>
      </c>
      <c r="AG1530" s="84">
        <v>0</v>
      </c>
      <c r="AH1530" s="84">
        <v>1</v>
      </c>
      <c r="AI1530" s="84">
        <v>1</v>
      </c>
      <c r="AJ1530" s="84">
        <v>1</v>
      </c>
      <c r="AK1530" s="84">
        <v>1</v>
      </c>
      <c r="AL1530" s="84" cm="1">
        <f t="array" ref="AL153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0" s="84" cm="1">
        <f t="array" ref="AM153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0" s="84" cm="1">
        <f t="array" ref="AN153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0" s="84" cm="1">
        <f t="array" ref="AO153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0" s="84" cm="1">
        <f t="array" ref="AP153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0" s="84" cm="1">
        <f t="array" ref="AQ153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0" s="84" cm="1">
        <f t="array" ref="AR153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0" s="84" cm="1">
        <f t="array" ref="AS153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0" s="84" cm="1">
        <f t="array" ref="AT153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0" s="84" cm="1">
        <f t="array" ref="AU153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0" s="84" cm="1">
        <f t="array" ref="AV153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0" s="84" cm="1">
        <f t="array" ref="AW153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0" s="84" cm="1">
        <f t="array" ref="AX153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0" s="84" cm="1">
        <f t="array" ref="AY153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0" s="84" cm="1">
        <f t="array" ref="AZ153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0" s="84" cm="1">
        <f t="array" ref="BA153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0" s="84" cm="1">
        <f t="array" ref="BB153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0" s="84">
        <f>IF(SUM(Table3[[#This Row],[Column2]:[Column18]])&gt;Table3[[#This Row],[Column19]],Table3[[#This Row],[Column19]],SUM(Table3[[#This Row],[Column2]:[Column18]]))</f>
        <v>10000</v>
      </c>
      <c r="BD1530" s="2">
        <f>Table3[[#This Row],[Total Spend]]/SUM(Table3[[#This Row],[Column2]:[Column18]])</f>
        <v>0.21574973031283712</v>
      </c>
    </row>
    <row r="1531" spans="1:56" ht="28.5">
      <c r="A1531" s="87" t="s">
        <v>1606</v>
      </c>
      <c r="B1531" s="87"/>
      <c r="C1531" s="87"/>
      <c r="D1531" s="85">
        <v>45566</v>
      </c>
      <c r="E1531" s="85" t="s">
        <v>92</v>
      </c>
      <c r="F1531" s="84">
        <f>INDEX(Definitions!$G$13:$G$17,MATCH(Table3[[#This Row],[Propensity to buy/ buyer readiness]],Definitions!$A$13:$A$17,0))</f>
        <v>10000</v>
      </c>
      <c r="G1531" s="86">
        <v>3</v>
      </c>
      <c r="H1531" s="86">
        <v>3</v>
      </c>
      <c r="I1531" s="86">
        <v>2</v>
      </c>
      <c r="J1531" s="86">
        <v>3</v>
      </c>
      <c r="K1531" s="86">
        <v>2</v>
      </c>
      <c r="L1531" s="86">
        <f>SUM(Table3[[#This Row],[Strategic priority segment]:[Propensity to buy/ buyer readiness]])</f>
        <v>13</v>
      </c>
      <c r="M1531" s="86" t="s">
        <v>191</v>
      </c>
      <c r="N1531" s="84" t="s">
        <v>135</v>
      </c>
      <c r="O1531" s="87"/>
      <c r="P1531" s="87"/>
      <c r="Q1531" s="87"/>
      <c r="R1531" s="84"/>
      <c r="S1531" s="87"/>
      <c r="T1531" s="87"/>
      <c r="U1531" s="84">
        <v>0</v>
      </c>
      <c r="V1531" s="84">
        <v>0</v>
      </c>
      <c r="W1531" s="84">
        <v>0</v>
      </c>
      <c r="X1531" s="84">
        <v>0</v>
      </c>
      <c r="Y1531" s="84">
        <v>0</v>
      </c>
      <c r="Z1531" s="84">
        <v>0</v>
      </c>
      <c r="AA1531" s="84">
        <v>0</v>
      </c>
      <c r="AB1531" s="84">
        <v>0</v>
      </c>
      <c r="AC1531" s="84">
        <v>0</v>
      </c>
      <c r="AD1531" s="84">
        <v>0</v>
      </c>
      <c r="AE1531" s="84">
        <v>0</v>
      </c>
      <c r="AF1531" s="84">
        <v>0</v>
      </c>
      <c r="AG1531" s="84">
        <v>0</v>
      </c>
      <c r="AH1531" s="84">
        <v>1</v>
      </c>
      <c r="AI1531" s="84">
        <v>1</v>
      </c>
      <c r="AJ1531" s="84">
        <v>1</v>
      </c>
      <c r="AK1531" s="84">
        <v>1</v>
      </c>
      <c r="AL1531" s="84" cm="1">
        <f t="array" ref="AL153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1" s="84" cm="1">
        <f t="array" ref="AM153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1" s="84" cm="1">
        <f t="array" ref="AN153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1" s="84" cm="1">
        <f t="array" ref="AO153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1" s="84" cm="1">
        <f t="array" ref="AP153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1" s="84" cm="1">
        <f t="array" ref="AQ153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1" s="84" cm="1">
        <f t="array" ref="AR153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1" s="84" cm="1">
        <f t="array" ref="AS153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1" s="84" cm="1">
        <f t="array" ref="AT153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1" s="84" cm="1">
        <f t="array" ref="AU153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1" s="84" cm="1">
        <f t="array" ref="AV153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1" s="84" cm="1">
        <f t="array" ref="AW153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1" s="84" cm="1">
        <f t="array" ref="AX153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1" s="84" cm="1">
        <f t="array" ref="AY153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1" s="84" cm="1">
        <f t="array" ref="AZ153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1" s="84" cm="1">
        <f t="array" ref="BA153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1" s="84" cm="1">
        <f t="array" ref="BB153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1" s="84">
        <f>IF(SUM(Table3[[#This Row],[Column2]:[Column18]])&gt;Table3[[#This Row],[Column19]],Table3[[#This Row],[Column19]],SUM(Table3[[#This Row],[Column2]:[Column18]]))</f>
        <v>10000</v>
      </c>
      <c r="BD1531" s="2">
        <f>Table3[[#This Row],[Total Spend]]/SUM(Table3[[#This Row],[Column2]:[Column18]])</f>
        <v>0.21574973031283712</v>
      </c>
    </row>
    <row r="1532" spans="1:56">
      <c r="A1532" s="87" t="s">
        <v>1607</v>
      </c>
      <c r="B1532" s="87"/>
      <c r="C1532" s="87"/>
      <c r="D1532" s="85">
        <v>45566</v>
      </c>
      <c r="E1532" s="85" t="s">
        <v>92</v>
      </c>
      <c r="F1532" s="84">
        <f>INDEX(Definitions!$G$13:$G$17,MATCH(Table3[[#This Row],[Propensity to buy/ buyer readiness]],Definitions!$A$13:$A$17,0))</f>
        <v>10000</v>
      </c>
      <c r="G1532" s="86">
        <v>3</v>
      </c>
      <c r="H1532" s="86">
        <v>3</v>
      </c>
      <c r="I1532" s="86">
        <v>2</v>
      </c>
      <c r="J1532" s="86">
        <v>3</v>
      </c>
      <c r="K1532" s="86">
        <v>2</v>
      </c>
      <c r="L1532" s="86">
        <f>SUM(Table3[[#This Row],[Strategic priority segment]:[Propensity to buy/ buyer readiness]])</f>
        <v>13</v>
      </c>
      <c r="M1532" s="86" t="s">
        <v>191</v>
      </c>
      <c r="N1532" s="84" t="s">
        <v>135</v>
      </c>
      <c r="O1532" s="87"/>
      <c r="P1532" s="87"/>
      <c r="Q1532" s="87"/>
      <c r="R1532" s="84"/>
      <c r="S1532" s="87"/>
      <c r="T1532" s="84"/>
      <c r="U1532" s="84">
        <v>0</v>
      </c>
      <c r="V1532" s="84">
        <v>0</v>
      </c>
      <c r="W1532" s="84">
        <v>0</v>
      </c>
      <c r="X1532" s="84">
        <v>0</v>
      </c>
      <c r="Y1532" s="84">
        <v>0</v>
      </c>
      <c r="Z1532" s="84">
        <v>0</v>
      </c>
      <c r="AA1532" s="84">
        <v>0</v>
      </c>
      <c r="AB1532" s="84">
        <v>0</v>
      </c>
      <c r="AC1532" s="84">
        <v>0</v>
      </c>
      <c r="AD1532" s="84">
        <v>0</v>
      </c>
      <c r="AE1532" s="84">
        <v>0</v>
      </c>
      <c r="AF1532" s="84">
        <v>0</v>
      </c>
      <c r="AG1532" s="84">
        <v>0</v>
      </c>
      <c r="AH1532" s="84">
        <v>1</v>
      </c>
      <c r="AI1532" s="84">
        <v>1</v>
      </c>
      <c r="AJ1532" s="84">
        <v>1</v>
      </c>
      <c r="AK1532" s="84">
        <v>1</v>
      </c>
      <c r="AL1532" s="84" cm="1">
        <f t="array" ref="AL153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2" s="84" cm="1">
        <f t="array" ref="AM153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2" s="84" cm="1">
        <f t="array" ref="AN153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2" s="84" cm="1">
        <f t="array" ref="AO153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2" s="84" cm="1">
        <f t="array" ref="AP153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2" s="84" cm="1">
        <f t="array" ref="AQ153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2" s="84" cm="1">
        <f t="array" ref="AR153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2" s="84" cm="1">
        <f t="array" ref="AS153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2" s="84" cm="1">
        <f t="array" ref="AT153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2" s="84" cm="1">
        <f t="array" ref="AU153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2" s="84" cm="1">
        <f t="array" ref="AV153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2" s="84" cm="1">
        <f t="array" ref="AW153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2" s="84" cm="1">
        <f t="array" ref="AX153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2" s="84" cm="1">
        <f t="array" ref="AY153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2" s="84" cm="1">
        <f t="array" ref="AZ153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2" s="84" cm="1">
        <f t="array" ref="BA153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2" s="84" cm="1">
        <f t="array" ref="BB153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2" s="84">
        <f>IF(SUM(Table3[[#This Row],[Column2]:[Column18]])&gt;Table3[[#This Row],[Column19]],Table3[[#This Row],[Column19]],SUM(Table3[[#This Row],[Column2]:[Column18]]))</f>
        <v>10000</v>
      </c>
      <c r="BD1532" s="2">
        <f>Table3[[#This Row],[Total Spend]]/SUM(Table3[[#This Row],[Column2]:[Column18]])</f>
        <v>0.21574973031283712</v>
      </c>
    </row>
    <row r="1533" spans="1:56" ht="28.5">
      <c r="A1533" s="87" t="s">
        <v>1608</v>
      </c>
      <c r="B1533" s="87"/>
      <c r="C1533" s="87"/>
      <c r="D1533" s="85">
        <v>45566</v>
      </c>
      <c r="E1533" s="85" t="s">
        <v>92</v>
      </c>
      <c r="F1533" s="84">
        <f>INDEX(Definitions!$G$13:$G$17,MATCH(Table3[[#This Row],[Propensity to buy/ buyer readiness]],Definitions!$A$13:$A$17,0))</f>
        <v>10000</v>
      </c>
      <c r="G1533" s="86">
        <v>3</v>
      </c>
      <c r="H1533" s="86">
        <v>3</v>
      </c>
      <c r="I1533" s="86">
        <v>2</v>
      </c>
      <c r="J1533" s="86">
        <v>3</v>
      </c>
      <c r="K1533" s="86">
        <v>2</v>
      </c>
      <c r="L1533" s="86">
        <f>SUM(Table3[[#This Row],[Strategic priority segment]:[Propensity to buy/ buyer readiness]])</f>
        <v>13</v>
      </c>
      <c r="M1533" s="86" t="s">
        <v>191</v>
      </c>
      <c r="N1533" s="84" t="s">
        <v>135</v>
      </c>
      <c r="O1533" s="87"/>
      <c r="P1533" s="87"/>
      <c r="Q1533" s="87"/>
      <c r="R1533" s="84"/>
      <c r="S1533" s="87"/>
      <c r="T1533" s="84"/>
      <c r="U1533" s="84">
        <v>0</v>
      </c>
      <c r="V1533" s="84">
        <v>0</v>
      </c>
      <c r="W1533" s="84">
        <v>0</v>
      </c>
      <c r="X1533" s="84">
        <v>0</v>
      </c>
      <c r="Y1533" s="84">
        <v>0</v>
      </c>
      <c r="Z1533" s="84">
        <v>0</v>
      </c>
      <c r="AA1533" s="84">
        <v>0</v>
      </c>
      <c r="AB1533" s="84">
        <v>0</v>
      </c>
      <c r="AC1533" s="84">
        <v>0</v>
      </c>
      <c r="AD1533" s="84">
        <v>0</v>
      </c>
      <c r="AE1533" s="84">
        <v>0</v>
      </c>
      <c r="AF1533" s="84">
        <v>0</v>
      </c>
      <c r="AG1533" s="84">
        <v>0</v>
      </c>
      <c r="AH1533" s="84">
        <v>1</v>
      </c>
      <c r="AI1533" s="84">
        <v>1</v>
      </c>
      <c r="AJ1533" s="84">
        <v>1</v>
      </c>
      <c r="AK1533" s="84">
        <v>1</v>
      </c>
      <c r="AL1533" s="84" cm="1">
        <f t="array" ref="AL153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3" s="84" cm="1">
        <f t="array" ref="AM153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3" s="84" cm="1">
        <f t="array" ref="AN153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3" s="84" cm="1">
        <f t="array" ref="AO153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3" s="84" cm="1">
        <f t="array" ref="AP153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3" s="84" cm="1">
        <f t="array" ref="AQ153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3" s="84" cm="1">
        <f t="array" ref="AR153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3" s="84" cm="1">
        <f t="array" ref="AS153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3" s="84" cm="1">
        <f t="array" ref="AT153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3" s="84" cm="1">
        <f t="array" ref="AU153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3" s="84" cm="1">
        <f t="array" ref="AV153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3" s="84" cm="1">
        <f t="array" ref="AW153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3" s="84" cm="1">
        <f t="array" ref="AX153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3" s="84" cm="1">
        <f t="array" ref="AY153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3" s="84" cm="1">
        <f t="array" ref="AZ153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3" s="84" cm="1">
        <f t="array" ref="BA153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3" s="84" cm="1">
        <f t="array" ref="BB153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3" s="84">
        <f>IF(SUM(Table3[[#This Row],[Column2]:[Column18]])&gt;Table3[[#This Row],[Column19]],Table3[[#This Row],[Column19]],SUM(Table3[[#This Row],[Column2]:[Column18]]))</f>
        <v>10000</v>
      </c>
      <c r="BD1533" s="2">
        <f>Table3[[#This Row],[Total Spend]]/SUM(Table3[[#This Row],[Column2]:[Column18]])</f>
        <v>0.21574973031283712</v>
      </c>
    </row>
    <row r="1534" spans="1:56">
      <c r="A1534" s="87" t="s">
        <v>1609</v>
      </c>
      <c r="B1534" s="87"/>
      <c r="C1534" s="87"/>
      <c r="D1534" s="85">
        <v>45566</v>
      </c>
      <c r="E1534" s="85" t="s">
        <v>92</v>
      </c>
      <c r="F1534" s="84">
        <f>INDEX(Definitions!$G$13:$G$17,MATCH(Table3[[#This Row],[Propensity to buy/ buyer readiness]],Definitions!$A$13:$A$17,0))</f>
        <v>10000</v>
      </c>
      <c r="G1534" s="86">
        <v>3</v>
      </c>
      <c r="H1534" s="86">
        <v>3</v>
      </c>
      <c r="I1534" s="86">
        <v>2</v>
      </c>
      <c r="J1534" s="86">
        <v>3</v>
      </c>
      <c r="K1534" s="86">
        <v>2</v>
      </c>
      <c r="L1534" s="86">
        <f>SUM(Table3[[#This Row],[Strategic priority segment]:[Propensity to buy/ buyer readiness]])</f>
        <v>13</v>
      </c>
      <c r="M1534" s="86" t="s">
        <v>191</v>
      </c>
      <c r="N1534" s="84" t="s">
        <v>135</v>
      </c>
      <c r="O1534" s="87"/>
      <c r="P1534" s="87"/>
      <c r="Q1534" s="87"/>
      <c r="R1534" s="84"/>
      <c r="S1534" s="87"/>
      <c r="T1534" s="84"/>
      <c r="U1534" s="84">
        <v>0</v>
      </c>
      <c r="V1534" s="84">
        <v>0</v>
      </c>
      <c r="W1534" s="84">
        <v>0</v>
      </c>
      <c r="X1534" s="84">
        <v>0</v>
      </c>
      <c r="Y1534" s="84">
        <v>0</v>
      </c>
      <c r="Z1534" s="84">
        <v>0</v>
      </c>
      <c r="AA1534" s="84">
        <v>0</v>
      </c>
      <c r="AB1534" s="84">
        <v>0</v>
      </c>
      <c r="AC1534" s="84">
        <v>0</v>
      </c>
      <c r="AD1534" s="84">
        <v>0</v>
      </c>
      <c r="AE1534" s="84">
        <v>0</v>
      </c>
      <c r="AF1534" s="84">
        <v>0</v>
      </c>
      <c r="AG1534" s="84">
        <v>0</v>
      </c>
      <c r="AH1534" s="84">
        <v>1</v>
      </c>
      <c r="AI1534" s="84">
        <v>1</v>
      </c>
      <c r="AJ1534" s="84">
        <v>1</v>
      </c>
      <c r="AK1534" s="84">
        <v>1</v>
      </c>
      <c r="AL1534" s="84" cm="1">
        <f t="array" ref="AL153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4" s="84" cm="1">
        <f t="array" ref="AM153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4" s="84" cm="1">
        <f t="array" ref="AN153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4" s="84" cm="1">
        <f t="array" ref="AO153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4" s="84" cm="1">
        <f t="array" ref="AP153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4" s="84" cm="1">
        <f t="array" ref="AQ153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4" s="84" cm="1">
        <f t="array" ref="AR153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4" s="84" cm="1">
        <f t="array" ref="AS153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4" s="84" cm="1">
        <f t="array" ref="AT153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4" s="84" cm="1">
        <f t="array" ref="AU153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4" s="84" cm="1">
        <f t="array" ref="AV153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4" s="84" cm="1">
        <f t="array" ref="AW153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4" s="84" cm="1">
        <f t="array" ref="AX153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4" s="84" cm="1">
        <f t="array" ref="AY153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4" s="84" cm="1">
        <f t="array" ref="AZ153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4" s="84" cm="1">
        <f t="array" ref="BA153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4" s="84" cm="1">
        <f t="array" ref="BB153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4" s="84">
        <f>IF(SUM(Table3[[#This Row],[Column2]:[Column18]])&gt;Table3[[#This Row],[Column19]],Table3[[#This Row],[Column19]],SUM(Table3[[#This Row],[Column2]:[Column18]]))</f>
        <v>10000</v>
      </c>
      <c r="BD1534" s="2">
        <f>Table3[[#This Row],[Total Spend]]/SUM(Table3[[#This Row],[Column2]:[Column18]])</f>
        <v>0.21574973031283712</v>
      </c>
    </row>
    <row r="1535" spans="1:56">
      <c r="A1535" s="87" t="s">
        <v>1610</v>
      </c>
      <c r="B1535" s="87"/>
      <c r="C1535" s="87"/>
      <c r="D1535" s="85">
        <v>45566</v>
      </c>
      <c r="E1535" s="85" t="s">
        <v>92</v>
      </c>
      <c r="F1535" s="84">
        <f>INDEX(Definitions!$G$13:$G$17,MATCH(Table3[[#This Row],[Propensity to buy/ buyer readiness]],Definitions!$A$13:$A$17,0))</f>
        <v>10000</v>
      </c>
      <c r="G1535" s="86">
        <v>3</v>
      </c>
      <c r="H1535" s="86">
        <v>3</v>
      </c>
      <c r="I1535" s="86">
        <v>2</v>
      </c>
      <c r="J1535" s="86">
        <v>3</v>
      </c>
      <c r="K1535" s="86">
        <v>2</v>
      </c>
      <c r="L1535" s="86">
        <f>SUM(Table3[[#This Row],[Strategic priority segment]:[Propensity to buy/ buyer readiness]])</f>
        <v>13</v>
      </c>
      <c r="M1535" s="86" t="s">
        <v>191</v>
      </c>
      <c r="N1535" s="84" t="s">
        <v>135</v>
      </c>
      <c r="O1535" s="87"/>
      <c r="P1535" s="87"/>
      <c r="Q1535" s="87"/>
      <c r="R1535" s="84"/>
      <c r="S1535" s="87"/>
      <c r="T1535" s="87"/>
      <c r="U1535" s="84">
        <v>0</v>
      </c>
      <c r="V1535" s="84">
        <v>0</v>
      </c>
      <c r="W1535" s="84">
        <v>0</v>
      </c>
      <c r="X1535" s="84">
        <v>0</v>
      </c>
      <c r="Y1535" s="84">
        <v>0</v>
      </c>
      <c r="Z1535" s="84">
        <v>0</v>
      </c>
      <c r="AA1535" s="84">
        <v>0</v>
      </c>
      <c r="AB1535" s="84">
        <v>0</v>
      </c>
      <c r="AC1535" s="84">
        <v>0</v>
      </c>
      <c r="AD1535" s="84">
        <v>0</v>
      </c>
      <c r="AE1535" s="84">
        <v>0</v>
      </c>
      <c r="AF1535" s="84">
        <v>0</v>
      </c>
      <c r="AG1535" s="84">
        <v>0</v>
      </c>
      <c r="AH1535" s="84">
        <v>1</v>
      </c>
      <c r="AI1535" s="84">
        <v>1</v>
      </c>
      <c r="AJ1535" s="84">
        <v>1</v>
      </c>
      <c r="AK1535" s="84">
        <v>1</v>
      </c>
      <c r="AL1535" s="84" cm="1">
        <f t="array" ref="AL153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5" s="84" cm="1">
        <f t="array" ref="AM153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5" s="84" cm="1">
        <f t="array" ref="AN153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5" s="84" cm="1">
        <f t="array" ref="AO153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5" s="84" cm="1">
        <f t="array" ref="AP153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5" s="84" cm="1">
        <f t="array" ref="AQ153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5" s="84" cm="1">
        <f t="array" ref="AR153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5" s="84" cm="1">
        <f t="array" ref="AS153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5" s="84" cm="1">
        <f t="array" ref="AT153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5" s="84" cm="1">
        <f t="array" ref="AU153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5" s="84" cm="1">
        <f t="array" ref="AV153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5" s="84" cm="1">
        <f t="array" ref="AW153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5" s="84" cm="1">
        <f t="array" ref="AX153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5" s="84" cm="1">
        <f t="array" ref="AY153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5" s="84" cm="1">
        <f t="array" ref="AZ153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5" s="84" cm="1">
        <f t="array" ref="BA153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5" s="84" cm="1">
        <f t="array" ref="BB153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5" s="84">
        <f>IF(SUM(Table3[[#This Row],[Column2]:[Column18]])&gt;Table3[[#This Row],[Column19]],Table3[[#This Row],[Column19]],SUM(Table3[[#This Row],[Column2]:[Column18]]))</f>
        <v>10000</v>
      </c>
      <c r="BD1535" s="2">
        <f>Table3[[#This Row],[Total Spend]]/SUM(Table3[[#This Row],[Column2]:[Column18]])</f>
        <v>0.21574973031283712</v>
      </c>
    </row>
    <row r="1536" spans="1:56">
      <c r="A1536" s="87" t="s">
        <v>1611</v>
      </c>
      <c r="B1536" s="87"/>
      <c r="C1536" s="87"/>
      <c r="D1536" s="85">
        <v>45566</v>
      </c>
      <c r="E1536" s="85" t="s">
        <v>92</v>
      </c>
      <c r="F1536" s="84">
        <f>INDEX(Definitions!$G$13:$G$17,MATCH(Table3[[#This Row],[Propensity to buy/ buyer readiness]],Definitions!$A$13:$A$17,0))</f>
        <v>10000</v>
      </c>
      <c r="G1536" s="86">
        <v>3</v>
      </c>
      <c r="H1536" s="86">
        <v>3</v>
      </c>
      <c r="I1536" s="86">
        <v>2</v>
      </c>
      <c r="J1536" s="86">
        <v>3</v>
      </c>
      <c r="K1536" s="86">
        <v>2</v>
      </c>
      <c r="L1536" s="86">
        <f>SUM(Table3[[#This Row],[Strategic priority segment]:[Propensity to buy/ buyer readiness]])</f>
        <v>13</v>
      </c>
      <c r="M1536" s="86" t="s">
        <v>191</v>
      </c>
      <c r="N1536" s="84" t="s">
        <v>135</v>
      </c>
      <c r="O1536" s="87"/>
      <c r="P1536" s="87"/>
      <c r="Q1536" s="87"/>
      <c r="R1536" s="84"/>
      <c r="S1536" s="87"/>
      <c r="T1536" s="87"/>
      <c r="U1536" s="84">
        <v>0</v>
      </c>
      <c r="V1536" s="84">
        <v>0</v>
      </c>
      <c r="W1536" s="84">
        <v>0</v>
      </c>
      <c r="X1536" s="84">
        <v>0</v>
      </c>
      <c r="Y1536" s="84">
        <v>0</v>
      </c>
      <c r="Z1536" s="84">
        <v>0</v>
      </c>
      <c r="AA1536" s="84">
        <v>0</v>
      </c>
      <c r="AB1536" s="84">
        <v>0</v>
      </c>
      <c r="AC1536" s="84">
        <v>0</v>
      </c>
      <c r="AD1536" s="84">
        <v>0</v>
      </c>
      <c r="AE1536" s="84">
        <v>0</v>
      </c>
      <c r="AF1536" s="84">
        <v>0</v>
      </c>
      <c r="AG1536" s="84">
        <v>0</v>
      </c>
      <c r="AH1536" s="84">
        <v>1</v>
      </c>
      <c r="AI1536" s="84">
        <v>1</v>
      </c>
      <c r="AJ1536" s="84">
        <v>1</v>
      </c>
      <c r="AK1536" s="84">
        <v>1</v>
      </c>
      <c r="AL1536" s="84" cm="1">
        <f t="array" ref="AL153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6" s="84" cm="1">
        <f t="array" ref="AM153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6" s="84" cm="1">
        <f t="array" ref="AN153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6" s="84" cm="1">
        <f t="array" ref="AO153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6" s="84" cm="1">
        <f t="array" ref="AP153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6" s="84" cm="1">
        <f t="array" ref="AQ153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6" s="84" cm="1">
        <f t="array" ref="AR153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6" s="84" cm="1">
        <f t="array" ref="AS153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6" s="84" cm="1">
        <f t="array" ref="AT153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6" s="84" cm="1">
        <f t="array" ref="AU153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6" s="84" cm="1">
        <f t="array" ref="AV153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6" s="84" cm="1">
        <f t="array" ref="AW153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6" s="84" cm="1">
        <f t="array" ref="AX153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6" s="84" cm="1">
        <f t="array" ref="AY153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6" s="84" cm="1">
        <f t="array" ref="AZ153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6" s="84" cm="1">
        <f t="array" ref="BA153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6" s="84" cm="1">
        <f t="array" ref="BB153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6" s="84">
        <f>IF(SUM(Table3[[#This Row],[Column2]:[Column18]])&gt;Table3[[#This Row],[Column19]],Table3[[#This Row],[Column19]],SUM(Table3[[#This Row],[Column2]:[Column18]]))</f>
        <v>10000</v>
      </c>
      <c r="BD1536" s="2">
        <f>Table3[[#This Row],[Total Spend]]/SUM(Table3[[#This Row],[Column2]:[Column18]])</f>
        <v>0.21574973031283712</v>
      </c>
    </row>
    <row r="1537" spans="1:56" ht="28.5">
      <c r="A1537" s="87" t="s">
        <v>1612</v>
      </c>
      <c r="B1537" s="87"/>
      <c r="C1537" s="87"/>
      <c r="D1537" s="85">
        <v>45566</v>
      </c>
      <c r="E1537" s="85" t="s">
        <v>92</v>
      </c>
      <c r="F1537" s="84">
        <f>INDEX(Definitions!$G$13:$G$17,MATCH(Table3[[#This Row],[Propensity to buy/ buyer readiness]],Definitions!$A$13:$A$17,0))</f>
        <v>10000</v>
      </c>
      <c r="G1537" s="86">
        <v>3</v>
      </c>
      <c r="H1537" s="86">
        <v>3</v>
      </c>
      <c r="I1537" s="86">
        <v>2</v>
      </c>
      <c r="J1537" s="86">
        <v>3</v>
      </c>
      <c r="K1537" s="86">
        <v>2</v>
      </c>
      <c r="L1537" s="86">
        <f>SUM(Table3[[#This Row],[Strategic priority segment]:[Propensity to buy/ buyer readiness]])</f>
        <v>13</v>
      </c>
      <c r="M1537" s="86" t="s">
        <v>191</v>
      </c>
      <c r="N1537" s="84" t="s">
        <v>135</v>
      </c>
      <c r="O1537" s="87"/>
      <c r="P1537" s="87"/>
      <c r="Q1537" s="87"/>
      <c r="R1537" s="84"/>
      <c r="S1537" s="87"/>
      <c r="T1537" s="84"/>
      <c r="U1537" s="84">
        <v>0</v>
      </c>
      <c r="V1537" s="84">
        <v>0</v>
      </c>
      <c r="W1537" s="84">
        <v>0</v>
      </c>
      <c r="X1537" s="84">
        <v>0</v>
      </c>
      <c r="Y1537" s="84">
        <v>0</v>
      </c>
      <c r="Z1537" s="84">
        <v>0</v>
      </c>
      <c r="AA1537" s="84">
        <v>0</v>
      </c>
      <c r="AB1537" s="84">
        <v>0</v>
      </c>
      <c r="AC1537" s="84">
        <v>0</v>
      </c>
      <c r="AD1537" s="84">
        <v>0</v>
      </c>
      <c r="AE1537" s="84">
        <v>0</v>
      </c>
      <c r="AF1537" s="84">
        <v>0</v>
      </c>
      <c r="AG1537" s="84">
        <v>0</v>
      </c>
      <c r="AH1537" s="84">
        <v>1</v>
      </c>
      <c r="AI1537" s="84">
        <v>1</v>
      </c>
      <c r="AJ1537" s="84">
        <v>1</v>
      </c>
      <c r="AK1537" s="84">
        <v>1</v>
      </c>
      <c r="AL1537" s="84" cm="1">
        <f t="array" ref="AL153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7" s="84" cm="1">
        <f t="array" ref="AM153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7" s="84" cm="1">
        <f t="array" ref="AN153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7" s="84" cm="1">
        <f t="array" ref="AO153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7" s="84" cm="1">
        <f t="array" ref="AP153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7" s="84" cm="1">
        <f t="array" ref="AQ153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7" s="84" cm="1">
        <f t="array" ref="AR153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7" s="84" cm="1">
        <f t="array" ref="AS153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7" s="84" cm="1">
        <f t="array" ref="AT153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7" s="84" cm="1">
        <f t="array" ref="AU153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7" s="84" cm="1">
        <f t="array" ref="AV153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7" s="84" cm="1">
        <f t="array" ref="AW153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7" s="84" cm="1">
        <f t="array" ref="AX153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7" s="84" cm="1">
        <f t="array" ref="AY153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7" s="84" cm="1">
        <f t="array" ref="AZ153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7" s="84" cm="1">
        <f t="array" ref="BA153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7" s="84" cm="1">
        <f t="array" ref="BB153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7" s="84">
        <f>IF(SUM(Table3[[#This Row],[Column2]:[Column18]])&gt;Table3[[#This Row],[Column19]],Table3[[#This Row],[Column19]],SUM(Table3[[#This Row],[Column2]:[Column18]]))</f>
        <v>10000</v>
      </c>
      <c r="BD1537" s="2">
        <f>Table3[[#This Row],[Total Spend]]/SUM(Table3[[#This Row],[Column2]:[Column18]])</f>
        <v>0.21574973031283712</v>
      </c>
    </row>
    <row r="1538" spans="1:56">
      <c r="A1538" s="87" t="s">
        <v>1613</v>
      </c>
      <c r="B1538" s="87"/>
      <c r="C1538" s="87"/>
      <c r="D1538" s="85">
        <v>45566</v>
      </c>
      <c r="E1538" s="85" t="s">
        <v>92</v>
      </c>
      <c r="F1538" s="84">
        <f>INDEX(Definitions!$G$13:$G$17,MATCH(Table3[[#This Row],[Propensity to buy/ buyer readiness]],Definitions!$A$13:$A$17,0))</f>
        <v>10000</v>
      </c>
      <c r="G1538" s="86">
        <v>3</v>
      </c>
      <c r="H1538" s="86">
        <v>3</v>
      </c>
      <c r="I1538" s="86">
        <v>2</v>
      </c>
      <c r="J1538" s="86">
        <v>3</v>
      </c>
      <c r="K1538" s="86">
        <v>2</v>
      </c>
      <c r="L1538" s="86">
        <f>SUM(Table3[[#This Row],[Strategic priority segment]:[Propensity to buy/ buyer readiness]])</f>
        <v>13</v>
      </c>
      <c r="M1538" s="86" t="s">
        <v>191</v>
      </c>
      <c r="N1538" s="84" t="s">
        <v>135</v>
      </c>
      <c r="O1538" s="87"/>
      <c r="P1538" s="87"/>
      <c r="Q1538" s="87"/>
      <c r="R1538" s="84"/>
      <c r="S1538" s="87"/>
      <c r="T1538" s="87"/>
      <c r="U1538" s="84">
        <v>0</v>
      </c>
      <c r="V1538" s="84">
        <v>0</v>
      </c>
      <c r="W1538" s="84">
        <v>0</v>
      </c>
      <c r="X1538" s="84">
        <v>0</v>
      </c>
      <c r="Y1538" s="84">
        <v>0</v>
      </c>
      <c r="Z1538" s="84">
        <v>0</v>
      </c>
      <c r="AA1538" s="84">
        <v>0</v>
      </c>
      <c r="AB1538" s="84">
        <v>0</v>
      </c>
      <c r="AC1538" s="84">
        <v>0</v>
      </c>
      <c r="AD1538" s="84">
        <v>0</v>
      </c>
      <c r="AE1538" s="84">
        <v>0</v>
      </c>
      <c r="AF1538" s="84">
        <v>0</v>
      </c>
      <c r="AG1538" s="84">
        <v>0</v>
      </c>
      <c r="AH1538" s="84">
        <v>1</v>
      </c>
      <c r="AI1538" s="84">
        <v>1</v>
      </c>
      <c r="AJ1538" s="84">
        <v>1</v>
      </c>
      <c r="AK1538" s="84">
        <v>1</v>
      </c>
      <c r="AL1538" s="84" cm="1">
        <f t="array" ref="AL153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8" s="84" cm="1">
        <f t="array" ref="AM153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8" s="84" cm="1">
        <f t="array" ref="AN153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8" s="84" cm="1">
        <f t="array" ref="AO153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8" s="84" cm="1">
        <f t="array" ref="AP153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8" s="84" cm="1">
        <f t="array" ref="AQ153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8" s="84" cm="1">
        <f t="array" ref="AR153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8" s="84" cm="1">
        <f t="array" ref="AS153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8" s="84" cm="1">
        <f t="array" ref="AT153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8" s="84" cm="1">
        <f t="array" ref="AU153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8" s="84" cm="1">
        <f t="array" ref="AV153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8" s="84" cm="1">
        <f t="array" ref="AW153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8" s="84" cm="1">
        <f t="array" ref="AX153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8" s="84" cm="1">
        <f t="array" ref="AY153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8" s="84" cm="1">
        <f t="array" ref="AZ153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8" s="84" cm="1">
        <f t="array" ref="BA153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8" s="84" cm="1">
        <f t="array" ref="BB153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8" s="84">
        <f>IF(SUM(Table3[[#This Row],[Column2]:[Column18]])&gt;Table3[[#This Row],[Column19]],Table3[[#This Row],[Column19]],SUM(Table3[[#This Row],[Column2]:[Column18]]))</f>
        <v>10000</v>
      </c>
      <c r="BD1538" s="2">
        <f>Table3[[#This Row],[Total Spend]]/SUM(Table3[[#This Row],[Column2]:[Column18]])</f>
        <v>0.21574973031283712</v>
      </c>
    </row>
    <row r="1539" spans="1:56" ht="42.75">
      <c r="A1539" s="87" t="s">
        <v>1614</v>
      </c>
      <c r="B1539" s="87"/>
      <c r="C1539" s="87"/>
      <c r="D1539" s="85">
        <v>45566</v>
      </c>
      <c r="E1539" s="85" t="s">
        <v>92</v>
      </c>
      <c r="F1539" s="84">
        <f>INDEX(Definitions!$G$13:$G$17,MATCH(Table3[[#This Row],[Propensity to buy/ buyer readiness]],Definitions!$A$13:$A$17,0))</f>
        <v>10000</v>
      </c>
      <c r="G1539" s="86">
        <v>3</v>
      </c>
      <c r="H1539" s="86">
        <v>3</v>
      </c>
      <c r="I1539" s="86">
        <v>2</v>
      </c>
      <c r="J1539" s="86">
        <v>3</v>
      </c>
      <c r="K1539" s="86">
        <v>2</v>
      </c>
      <c r="L1539" s="86">
        <f>SUM(Table3[[#This Row],[Strategic priority segment]:[Propensity to buy/ buyer readiness]])</f>
        <v>13</v>
      </c>
      <c r="M1539" s="86" t="s">
        <v>191</v>
      </c>
      <c r="N1539" s="84" t="s">
        <v>135</v>
      </c>
      <c r="O1539" s="87"/>
      <c r="P1539" s="87"/>
      <c r="Q1539" s="87"/>
      <c r="R1539" s="84"/>
      <c r="S1539" s="87"/>
      <c r="T1539" s="87"/>
      <c r="U1539" s="84">
        <v>0</v>
      </c>
      <c r="V1539" s="84">
        <v>0</v>
      </c>
      <c r="W1539" s="84">
        <v>0</v>
      </c>
      <c r="X1539" s="84">
        <v>0</v>
      </c>
      <c r="Y1539" s="84">
        <v>0</v>
      </c>
      <c r="Z1539" s="84">
        <v>0</v>
      </c>
      <c r="AA1539" s="84">
        <v>0</v>
      </c>
      <c r="AB1539" s="84">
        <v>0</v>
      </c>
      <c r="AC1539" s="84">
        <v>0</v>
      </c>
      <c r="AD1539" s="84">
        <v>0</v>
      </c>
      <c r="AE1539" s="84">
        <v>0</v>
      </c>
      <c r="AF1539" s="84">
        <v>0</v>
      </c>
      <c r="AG1539" s="84">
        <v>0</v>
      </c>
      <c r="AH1539" s="84">
        <v>1</v>
      </c>
      <c r="AI1539" s="84">
        <v>1</v>
      </c>
      <c r="AJ1539" s="84">
        <v>1</v>
      </c>
      <c r="AK1539" s="84">
        <v>1</v>
      </c>
      <c r="AL1539" s="84" cm="1">
        <f t="array" ref="AL153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39" s="84" cm="1">
        <f t="array" ref="AM153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39" s="84" cm="1">
        <f t="array" ref="AN153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39" s="84" cm="1">
        <f t="array" ref="AO153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39" s="84" cm="1">
        <f t="array" ref="AP153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39" s="84" cm="1">
        <f t="array" ref="AQ153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39" s="84" cm="1">
        <f t="array" ref="AR153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39" s="84" cm="1">
        <f t="array" ref="AS153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39" s="84" cm="1">
        <f t="array" ref="AT153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39" s="84" cm="1">
        <f t="array" ref="AU153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39" s="84" cm="1">
        <f t="array" ref="AV153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39" s="84" cm="1">
        <f t="array" ref="AW153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39" s="84" cm="1">
        <f t="array" ref="AX153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39" s="84" cm="1">
        <f t="array" ref="AY153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39" s="84" cm="1">
        <f t="array" ref="AZ153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39" s="84" cm="1">
        <f t="array" ref="BA153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39" s="84" cm="1">
        <f t="array" ref="BB153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39" s="84">
        <f>IF(SUM(Table3[[#This Row],[Column2]:[Column18]])&gt;Table3[[#This Row],[Column19]],Table3[[#This Row],[Column19]],SUM(Table3[[#This Row],[Column2]:[Column18]]))</f>
        <v>10000</v>
      </c>
      <c r="BD1539" s="2">
        <f>Table3[[#This Row],[Total Spend]]/SUM(Table3[[#This Row],[Column2]:[Column18]])</f>
        <v>0.21574973031283712</v>
      </c>
    </row>
    <row r="1540" spans="1:56">
      <c r="A1540" s="87" t="s">
        <v>1615</v>
      </c>
      <c r="B1540" s="87"/>
      <c r="C1540" s="87"/>
      <c r="D1540" s="85">
        <v>45566</v>
      </c>
      <c r="E1540" s="85" t="s">
        <v>92</v>
      </c>
      <c r="F1540" s="84">
        <f>INDEX(Definitions!$G$13:$G$17,MATCH(Table3[[#This Row],[Propensity to buy/ buyer readiness]],Definitions!$A$13:$A$17,0))</f>
        <v>10000</v>
      </c>
      <c r="G1540" s="86">
        <v>3</v>
      </c>
      <c r="H1540" s="86">
        <v>3</v>
      </c>
      <c r="I1540" s="86">
        <v>2</v>
      </c>
      <c r="J1540" s="86">
        <v>3</v>
      </c>
      <c r="K1540" s="86">
        <v>2</v>
      </c>
      <c r="L1540" s="86">
        <f>SUM(Table3[[#This Row],[Strategic priority segment]:[Propensity to buy/ buyer readiness]])</f>
        <v>13</v>
      </c>
      <c r="M1540" s="86" t="s">
        <v>191</v>
      </c>
      <c r="N1540" s="84" t="s">
        <v>135</v>
      </c>
      <c r="O1540" s="87"/>
      <c r="P1540" s="87"/>
      <c r="Q1540" s="87"/>
      <c r="R1540" s="84"/>
      <c r="S1540" s="87"/>
      <c r="T1540" s="84"/>
      <c r="U1540" s="84">
        <v>0</v>
      </c>
      <c r="V1540" s="84">
        <v>0</v>
      </c>
      <c r="W1540" s="84">
        <v>0</v>
      </c>
      <c r="X1540" s="84">
        <v>0</v>
      </c>
      <c r="Y1540" s="84">
        <v>0</v>
      </c>
      <c r="Z1540" s="84">
        <v>0</v>
      </c>
      <c r="AA1540" s="84">
        <v>0</v>
      </c>
      <c r="AB1540" s="84">
        <v>0</v>
      </c>
      <c r="AC1540" s="84">
        <v>0</v>
      </c>
      <c r="AD1540" s="84">
        <v>0</v>
      </c>
      <c r="AE1540" s="84">
        <v>0</v>
      </c>
      <c r="AF1540" s="84">
        <v>0</v>
      </c>
      <c r="AG1540" s="84">
        <v>0</v>
      </c>
      <c r="AH1540" s="84">
        <v>1</v>
      </c>
      <c r="AI1540" s="84">
        <v>1</v>
      </c>
      <c r="AJ1540" s="84">
        <v>1</v>
      </c>
      <c r="AK1540" s="84">
        <v>1</v>
      </c>
      <c r="AL1540" s="84" cm="1">
        <f t="array" ref="AL154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0" s="84" cm="1">
        <f t="array" ref="AM154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0" s="84" cm="1">
        <f t="array" ref="AN154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0" s="84" cm="1">
        <f t="array" ref="AO154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0" s="84" cm="1">
        <f t="array" ref="AP154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0" s="84" cm="1">
        <f t="array" ref="AQ154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0" s="84" cm="1">
        <f t="array" ref="AR154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0" s="84" cm="1">
        <f t="array" ref="AS154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0" s="84" cm="1">
        <f t="array" ref="AT154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0" s="84" cm="1">
        <f t="array" ref="AU154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0" s="84" cm="1">
        <f t="array" ref="AV154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0" s="84" cm="1">
        <f t="array" ref="AW154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0" s="84" cm="1">
        <f t="array" ref="AX154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0" s="84" cm="1">
        <f t="array" ref="AY154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0" s="84" cm="1">
        <f t="array" ref="AZ154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0" s="84" cm="1">
        <f t="array" ref="BA154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0" s="84" cm="1">
        <f t="array" ref="BB154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0" s="84">
        <f>IF(SUM(Table3[[#This Row],[Column2]:[Column18]])&gt;Table3[[#This Row],[Column19]],Table3[[#This Row],[Column19]],SUM(Table3[[#This Row],[Column2]:[Column18]]))</f>
        <v>10000</v>
      </c>
      <c r="BD1540" s="2">
        <f>Table3[[#This Row],[Total Spend]]/SUM(Table3[[#This Row],[Column2]:[Column18]])</f>
        <v>0.21574973031283712</v>
      </c>
    </row>
    <row r="1541" spans="1:56" ht="42.75">
      <c r="A1541" s="87" t="s">
        <v>1616</v>
      </c>
      <c r="B1541" s="87"/>
      <c r="C1541" s="87"/>
      <c r="D1541" s="85">
        <v>45566</v>
      </c>
      <c r="E1541" s="85" t="s">
        <v>92</v>
      </c>
      <c r="F1541" s="84">
        <f>INDEX(Definitions!$G$13:$G$17,MATCH(Table3[[#This Row],[Propensity to buy/ buyer readiness]],Definitions!$A$13:$A$17,0))</f>
        <v>10000</v>
      </c>
      <c r="G1541" s="86">
        <v>3</v>
      </c>
      <c r="H1541" s="86">
        <v>3</v>
      </c>
      <c r="I1541" s="86">
        <v>2</v>
      </c>
      <c r="J1541" s="86">
        <v>3</v>
      </c>
      <c r="K1541" s="86">
        <v>2</v>
      </c>
      <c r="L1541" s="86">
        <f>SUM(Table3[[#This Row],[Strategic priority segment]:[Propensity to buy/ buyer readiness]])</f>
        <v>13</v>
      </c>
      <c r="M1541" s="86" t="s">
        <v>191</v>
      </c>
      <c r="N1541" s="84" t="s">
        <v>135</v>
      </c>
      <c r="O1541" s="87"/>
      <c r="P1541" s="87"/>
      <c r="Q1541" s="87"/>
      <c r="R1541" s="84"/>
      <c r="S1541" s="87"/>
      <c r="T1541" s="84"/>
      <c r="U1541" s="84">
        <v>0</v>
      </c>
      <c r="V1541" s="84">
        <v>0</v>
      </c>
      <c r="W1541" s="84">
        <v>0</v>
      </c>
      <c r="X1541" s="84">
        <v>0</v>
      </c>
      <c r="Y1541" s="84">
        <v>0</v>
      </c>
      <c r="Z1541" s="84">
        <v>0</v>
      </c>
      <c r="AA1541" s="84">
        <v>0</v>
      </c>
      <c r="AB1541" s="84">
        <v>0</v>
      </c>
      <c r="AC1541" s="84">
        <v>0</v>
      </c>
      <c r="AD1541" s="84">
        <v>0</v>
      </c>
      <c r="AE1541" s="84">
        <v>0</v>
      </c>
      <c r="AF1541" s="84">
        <v>0</v>
      </c>
      <c r="AG1541" s="84">
        <v>0</v>
      </c>
      <c r="AH1541" s="84">
        <v>1</v>
      </c>
      <c r="AI1541" s="84">
        <v>1</v>
      </c>
      <c r="AJ1541" s="84">
        <v>1</v>
      </c>
      <c r="AK1541" s="84">
        <v>1</v>
      </c>
      <c r="AL1541" s="84" cm="1">
        <f t="array" ref="AL154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1" s="84" cm="1">
        <f t="array" ref="AM154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1" s="84" cm="1">
        <f t="array" ref="AN154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1" s="84" cm="1">
        <f t="array" ref="AO154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1" s="84" cm="1">
        <f t="array" ref="AP154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1" s="84" cm="1">
        <f t="array" ref="AQ154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1" s="84" cm="1">
        <f t="array" ref="AR154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1" s="84" cm="1">
        <f t="array" ref="AS154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1" s="84" cm="1">
        <f t="array" ref="AT154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1" s="84" cm="1">
        <f t="array" ref="AU154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1" s="84" cm="1">
        <f t="array" ref="AV154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1" s="84" cm="1">
        <f t="array" ref="AW154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1" s="84" cm="1">
        <f t="array" ref="AX154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1" s="84" cm="1">
        <f t="array" ref="AY154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1" s="84" cm="1">
        <f t="array" ref="AZ154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1" s="84" cm="1">
        <f t="array" ref="BA154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1" s="84" cm="1">
        <f t="array" ref="BB154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1" s="84">
        <f>IF(SUM(Table3[[#This Row],[Column2]:[Column18]])&gt;Table3[[#This Row],[Column19]],Table3[[#This Row],[Column19]],SUM(Table3[[#This Row],[Column2]:[Column18]]))</f>
        <v>10000</v>
      </c>
      <c r="BD1541" s="2">
        <f>Table3[[#This Row],[Total Spend]]/SUM(Table3[[#This Row],[Column2]:[Column18]])</f>
        <v>0.21574973031283712</v>
      </c>
    </row>
    <row r="1542" spans="1:56" ht="42.75">
      <c r="A1542" s="87" t="s">
        <v>1617</v>
      </c>
      <c r="B1542" s="87"/>
      <c r="C1542" s="87"/>
      <c r="D1542" s="85">
        <v>45566</v>
      </c>
      <c r="E1542" s="85" t="s">
        <v>92</v>
      </c>
      <c r="F1542" s="84">
        <f>INDEX(Definitions!$G$13:$G$17,MATCH(Table3[[#This Row],[Propensity to buy/ buyer readiness]],Definitions!$A$13:$A$17,0))</f>
        <v>10000</v>
      </c>
      <c r="G1542" s="86">
        <v>3</v>
      </c>
      <c r="H1542" s="86">
        <v>3</v>
      </c>
      <c r="I1542" s="86">
        <v>2</v>
      </c>
      <c r="J1542" s="86">
        <v>3</v>
      </c>
      <c r="K1542" s="86">
        <v>2</v>
      </c>
      <c r="L1542" s="86">
        <f>SUM(Table3[[#This Row],[Strategic priority segment]:[Propensity to buy/ buyer readiness]])</f>
        <v>13</v>
      </c>
      <c r="M1542" s="86" t="s">
        <v>191</v>
      </c>
      <c r="N1542" s="84" t="s">
        <v>135</v>
      </c>
      <c r="O1542" s="87"/>
      <c r="P1542" s="87"/>
      <c r="Q1542" s="87"/>
      <c r="R1542" s="84"/>
      <c r="S1542" s="87"/>
      <c r="T1542" s="84"/>
      <c r="U1542" s="84">
        <v>0</v>
      </c>
      <c r="V1542" s="84">
        <v>0</v>
      </c>
      <c r="W1542" s="84">
        <v>0</v>
      </c>
      <c r="X1542" s="84">
        <v>0</v>
      </c>
      <c r="Y1542" s="84">
        <v>0</v>
      </c>
      <c r="Z1542" s="84">
        <v>0</v>
      </c>
      <c r="AA1542" s="84">
        <v>0</v>
      </c>
      <c r="AB1542" s="84">
        <v>0</v>
      </c>
      <c r="AC1542" s="84">
        <v>0</v>
      </c>
      <c r="AD1542" s="84">
        <v>0</v>
      </c>
      <c r="AE1542" s="84">
        <v>0</v>
      </c>
      <c r="AF1542" s="84">
        <v>0</v>
      </c>
      <c r="AG1542" s="84">
        <v>0</v>
      </c>
      <c r="AH1542" s="84">
        <v>1</v>
      </c>
      <c r="AI1542" s="84">
        <v>1</v>
      </c>
      <c r="AJ1542" s="84">
        <v>1</v>
      </c>
      <c r="AK1542" s="84">
        <v>1</v>
      </c>
      <c r="AL1542" s="84" cm="1">
        <f t="array" ref="AL154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2" s="84" cm="1">
        <f t="array" ref="AM154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2" s="84" cm="1">
        <f t="array" ref="AN154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2" s="84" cm="1">
        <f t="array" ref="AO154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2" s="84" cm="1">
        <f t="array" ref="AP154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2" s="84" cm="1">
        <f t="array" ref="AQ154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2" s="84" cm="1">
        <f t="array" ref="AR154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2" s="84" cm="1">
        <f t="array" ref="AS154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2" s="84" cm="1">
        <f t="array" ref="AT154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2" s="84" cm="1">
        <f t="array" ref="AU154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2" s="84" cm="1">
        <f t="array" ref="AV154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2" s="84" cm="1">
        <f t="array" ref="AW154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2" s="84" cm="1">
        <f t="array" ref="AX154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2" s="84" cm="1">
        <f t="array" ref="AY154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2" s="84" cm="1">
        <f t="array" ref="AZ154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2" s="84" cm="1">
        <f t="array" ref="BA154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2" s="84" cm="1">
        <f t="array" ref="BB154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2" s="84">
        <f>IF(SUM(Table3[[#This Row],[Column2]:[Column18]])&gt;Table3[[#This Row],[Column19]],Table3[[#This Row],[Column19]],SUM(Table3[[#This Row],[Column2]:[Column18]]))</f>
        <v>10000</v>
      </c>
      <c r="BD1542" s="2">
        <f>Table3[[#This Row],[Total Spend]]/SUM(Table3[[#This Row],[Column2]:[Column18]])</f>
        <v>0.21574973031283712</v>
      </c>
    </row>
    <row r="1543" spans="1:56">
      <c r="A1543" s="87" t="s">
        <v>1618</v>
      </c>
      <c r="B1543" s="87"/>
      <c r="C1543" s="87"/>
      <c r="D1543" s="85">
        <v>45566</v>
      </c>
      <c r="E1543" s="85" t="s">
        <v>92</v>
      </c>
      <c r="F1543" s="84">
        <f>INDEX(Definitions!$G$13:$G$17,MATCH(Table3[[#This Row],[Propensity to buy/ buyer readiness]],Definitions!$A$13:$A$17,0))</f>
        <v>10000</v>
      </c>
      <c r="G1543" s="86">
        <v>3</v>
      </c>
      <c r="H1543" s="86">
        <v>3</v>
      </c>
      <c r="I1543" s="86">
        <v>2</v>
      </c>
      <c r="J1543" s="86">
        <v>3</v>
      </c>
      <c r="K1543" s="86">
        <v>2</v>
      </c>
      <c r="L1543" s="86">
        <f>SUM(Table3[[#This Row],[Strategic priority segment]:[Propensity to buy/ buyer readiness]])</f>
        <v>13</v>
      </c>
      <c r="M1543" s="86" t="s">
        <v>191</v>
      </c>
      <c r="N1543" s="84" t="s">
        <v>135</v>
      </c>
      <c r="O1543" s="87"/>
      <c r="P1543" s="87"/>
      <c r="Q1543" s="87"/>
      <c r="R1543" s="84"/>
      <c r="S1543" s="87"/>
      <c r="T1543" s="87"/>
      <c r="U1543" s="84">
        <v>0</v>
      </c>
      <c r="V1543" s="84">
        <v>0</v>
      </c>
      <c r="W1543" s="84">
        <v>0</v>
      </c>
      <c r="X1543" s="84">
        <v>0</v>
      </c>
      <c r="Y1543" s="84">
        <v>0</v>
      </c>
      <c r="Z1543" s="84">
        <v>0</v>
      </c>
      <c r="AA1543" s="84">
        <v>0</v>
      </c>
      <c r="AB1543" s="84">
        <v>0</v>
      </c>
      <c r="AC1543" s="84">
        <v>0</v>
      </c>
      <c r="AD1543" s="84">
        <v>0</v>
      </c>
      <c r="AE1543" s="84">
        <v>0</v>
      </c>
      <c r="AF1543" s="84">
        <v>0</v>
      </c>
      <c r="AG1543" s="84">
        <v>0</v>
      </c>
      <c r="AH1543" s="84">
        <v>1</v>
      </c>
      <c r="AI1543" s="84">
        <v>1</v>
      </c>
      <c r="AJ1543" s="84">
        <v>1</v>
      </c>
      <c r="AK1543" s="84">
        <v>1</v>
      </c>
      <c r="AL1543" s="84" cm="1">
        <f t="array" ref="AL154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3" s="84" cm="1">
        <f t="array" ref="AM154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3" s="84" cm="1">
        <f t="array" ref="AN154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3" s="84" cm="1">
        <f t="array" ref="AO154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3" s="84" cm="1">
        <f t="array" ref="AP154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3" s="84" cm="1">
        <f t="array" ref="AQ154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3" s="84" cm="1">
        <f t="array" ref="AR154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3" s="84" cm="1">
        <f t="array" ref="AS154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3" s="84" cm="1">
        <f t="array" ref="AT154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3" s="84" cm="1">
        <f t="array" ref="AU154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3" s="84" cm="1">
        <f t="array" ref="AV154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3" s="84" cm="1">
        <f t="array" ref="AW154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3" s="84" cm="1">
        <f t="array" ref="AX154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3" s="84" cm="1">
        <f t="array" ref="AY154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3" s="84" cm="1">
        <f t="array" ref="AZ154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3" s="84" cm="1">
        <f t="array" ref="BA154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3" s="84" cm="1">
        <f t="array" ref="BB154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3" s="84">
        <f>IF(SUM(Table3[[#This Row],[Column2]:[Column18]])&gt;Table3[[#This Row],[Column19]],Table3[[#This Row],[Column19]],SUM(Table3[[#This Row],[Column2]:[Column18]]))</f>
        <v>10000</v>
      </c>
      <c r="BD1543" s="2">
        <f>Table3[[#This Row],[Total Spend]]/SUM(Table3[[#This Row],[Column2]:[Column18]])</f>
        <v>0.21574973031283712</v>
      </c>
    </row>
    <row r="1544" spans="1:56">
      <c r="A1544" s="87" t="s">
        <v>1619</v>
      </c>
      <c r="B1544" s="87"/>
      <c r="C1544" s="87"/>
      <c r="D1544" s="85">
        <v>45566</v>
      </c>
      <c r="E1544" s="85" t="s">
        <v>92</v>
      </c>
      <c r="F1544" s="84">
        <f>INDEX(Definitions!$G$13:$G$17,MATCH(Table3[[#This Row],[Propensity to buy/ buyer readiness]],Definitions!$A$13:$A$17,0))</f>
        <v>10000</v>
      </c>
      <c r="G1544" s="86">
        <v>3</v>
      </c>
      <c r="H1544" s="86">
        <v>3</v>
      </c>
      <c r="I1544" s="86">
        <v>2</v>
      </c>
      <c r="J1544" s="86">
        <v>3</v>
      </c>
      <c r="K1544" s="86">
        <v>2</v>
      </c>
      <c r="L1544" s="86">
        <f>SUM(Table3[[#This Row],[Strategic priority segment]:[Propensity to buy/ buyer readiness]])</f>
        <v>13</v>
      </c>
      <c r="M1544" s="86" t="s">
        <v>191</v>
      </c>
      <c r="N1544" s="84" t="s">
        <v>135</v>
      </c>
      <c r="O1544" s="87"/>
      <c r="P1544" s="87"/>
      <c r="Q1544" s="87"/>
      <c r="R1544" s="84"/>
      <c r="S1544" s="87"/>
      <c r="T1544" s="84"/>
      <c r="U1544" s="84">
        <v>0</v>
      </c>
      <c r="V1544" s="84">
        <v>0</v>
      </c>
      <c r="W1544" s="84">
        <v>0</v>
      </c>
      <c r="X1544" s="84">
        <v>0</v>
      </c>
      <c r="Y1544" s="84">
        <v>0</v>
      </c>
      <c r="Z1544" s="84">
        <v>0</v>
      </c>
      <c r="AA1544" s="84">
        <v>0</v>
      </c>
      <c r="AB1544" s="84">
        <v>0</v>
      </c>
      <c r="AC1544" s="84">
        <v>0</v>
      </c>
      <c r="AD1544" s="84">
        <v>0</v>
      </c>
      <c r="AE1544" s="84">
        <v>0</v>
      </c>
      <c r="AF1544" s="84">
        <v>0</v>
      </c>
      <c r="AG1544" s="84">
        <v>0</v>
      </c>
      <c r="AH1544" s="84">
        <v>1</v>
      </c>
      <c r="AI1544" s="84">
        <v>1</v>
      </c>
      <c r="AJ1544" s="84">
        <v>1</v>
      </c>
      <c r="AK1544" s="84">
        <v>1</v>
      </c>
      <c r="AL1544" s="84" cm="1">
        <f t="array" ref="AL154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4" s="84" cm="1">
        <f t="array" ref="AM154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4" s="84" cm="1">
        <f t="array" ref="AN154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4" s="84" cm="1">
        <f t="array" ref="AO154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4" s="84" cm="1">
        <f t="array" ref="AP154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4" s="84" cm="1">
        <f t="array" ref="AQ154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4" s="84" cm="1">
        <f t="array" ref="AR154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4" s="84" cm="1">
        <f t="array" ref="AS154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4" s="84" cm="1">
        <f t="array" ref="AT154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4" s="84" cm="1">
        <f t="array" ref="AU154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4" s="84" cm="1">
        <f t="array" ref="AV154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4" s="84" cm="1">
        <f t="array" ref="AW154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4" s="84" cm="1">
        <f t="array" ref="AX154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4" s="84" cm="1">
        <f t="array" ref="AY154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4" s="84" cm="1">
        <f t="array" ref="AZ154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4" s="84" cm="1">
        <f t="array" ref="BA154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4" s="84" cm="1">
        <f t="array" ref="BB154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4" s="84">
        <f>IF(SUM(Table3[[#This Row],[Column2]:[Column18]])&gt;Table3[[#This Row],[Column19]],Table3[[#This Row],[Column19]],SUM(Table3[[#This Row],[Column2]:[Column18]]))</f>
        <v>10000</v>
      </c>
      <c r="BD1544" s="2">
        <f>Table3[[#This Row],[Total Spend]]/SUM(Table3[[#This Row],[Column2]:[Column18]])</f>
        <v>0.21574973031283712</v>
      </c>
    </row>
    <row r="1545" spans="1:56">
      <c r="A1545" s="87" t="s">
        <v>1620</v>
      </c>
      <c r="B1545" s="87"/>
      <c r="C1545" s="87"/>
      <c r="D1545" s="85">
        <v>45566</v>
      </c>
      <c r="E1545" s="85" t="s">
        <v>92</v>
      </c>
      <c r="F1545" s="84">
        <f>INDEX(Definitions!$G$13:$G$17,MATCH(Table3[[#This Row],[Propensity to buy/ buyer readiness]],Definitions!$A$13:$A$17,0))</f>
        <v>10000</v>
      </c>
      <c r="G1545" s="86">
        <v>3</v>
      </c>
      <c r="H1545" s="86">
        <v>3</v>
      </c>
      <c r="I1545" s="86">
        <v>2</v>
      </c>
      <c r="J1545" s="86">
        <v>3</v>
      </c>
      <c r="K1545" s="86">
        <v>2</v>
      </c>
      <c r="L1545" s="86">
        <f>SUM(Table3[[#This Row],[Strategic priority segment]:[Propensity to buy/ buyer readiness]])</f>
        <v>13</v>
      </c>
      <c r="M1545" s="86" t="s">
        <v>191</v>
      </c>
      <c r="N1545" s="84" t="s">
        <v>135</v>
      </c>
      <c r="O1545" s="87"/>
      <c r="P1545" s="87"/>
      <c r="Q1545" s="87"/>
      <c r="R1545" s="84"/>
      <c r="S1545" s="87"/>
      <c r="T1545" s="87"/>
      <c r="U1545" s="84">
        <v>0</v>
      </c>
      <c r="V1545" s="84">
        <v>0</v>
      </c>
      <c r="W1545" s="84">
        <v>0</v>
      </c>
      <c r="X1545" s="84">
        <v>0</v>
      </c>
      <c r="Y1545" s="84">
        <v>0</v>
      </c>
      <c r="Z1545" s="84">
        <v>0</v>
      </c>
      <c r="AA1545" s="84">
        <v>0</v>
      </c>
      <c r="AB1545" s="84">
        <v>0</v>
      </c>
      <c r="AC1545" s="84">
        <v>0</v>
      </c>
      <c r="AD1545" s="84">
        <v>0</v>
      </c>
      <c r="AE1545" s="84">
        <v>0</v>
      </c>
      <c r="AF1545" s="84">
        <v>0</v>
      </c>
      <c r="AG1545" s="84">
        <v>0</v>
      </c>
      <c r="AH1545" s="84">
        <v>1</v>
      </c>
      <c r="AI1545" s="84">
        <v>1</v>
      </c>
      <c r="AJ1545" s="84">
        <v>1</v>
      </c>
      <c r="AK1545" s="84">
        <v>1</v>
      </c>
      <c r="AL1545" s="84" cm="1">
        <f t="array" ref="AL154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5" s="84" cm="1">
        <f t="array" ref="AM154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5" s="84" cm="1">
        <f t="array" ref="AN154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5" s="84" cm="1">
        <f t="array" ref="AO154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5" s="84" cm="1">
        <f t="array" ref="AP154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5" s="84" cm="1">
        <f t="array" ref="AQ154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5" s="84" cm="1">
        <f t="array" ref="AR154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5" s="84" cm="1">
        <f t="array" ref="AS154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5" s="84" cm="1">
        <f t="array" ref="AT154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5" s="84" cm="1">
        <f t="array" ref="AU154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5" s="84" cm="1">
        <f t="array" ref="AV154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5" s="84" cm="1">
        <f t="array" ref="AW154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5" s="84" cm="1">
        <f t="array" ref="AX154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5" s="84" cm="1">
        <f t="array" ref="AY154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5" s="84" cm="1">
        <f t="array" ref="AZ154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5" s="84" cm="1">
        <f t="array" ref="BA154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5" s="84" cm="1">
        <f t="array" ref="BB154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5" s="84">
        <f>IF(SUM(Table3[[#This Row],[Column2]:[Column18]])&gt;Table3[[#This Row],[Column19]],Table3[[#This Row],[Column19]],SUM(Table3[[#This Row],[Column2]:[Column18]]))</f>
        <v>10000</v>
      </c>
      <c r="BD1545" s="2">
        <f>Table3[[#This Row],[Total Spend]]/SUM(Table3[[#This Row],[Column2]:[Column18]])</f>
        <v>0.21574973031283712</v>
      </c>
    </row>
    <row r="1546" spans="1:56" ht="28.5">
      <c r="A1546" s="87" t="s">
        <v>1621</v>
      </c>
      <c r="B1546" s="87"/>
      <c r="C1546" s="87"/>
      <c r="D1546" s="85">
        <v>45566</v>
      </c>
      <c r="E1546" s="85" t="s">
        <v>92</v>
      </c>
      <c r="F1546" s="84">
        <f>INDEX(Definitions!$G$13:$G$17,MATCH(Table3[[#This Row],[Propensity to buy/ buyer readiness]],Definitions!$A$13:$A$17,0))</f>
        <v>10000</v>
      </c>
      <c r="G1546" s="86">
        <v>3</v>
      </c>
      <c r="H1546" s="86">
        <v>3</v>
      </c>
      <c r="I1546" s="86">
        <v>2</v>
      </c>
      <c r="J1546" s="86">
        <v>3</v>
      </c>
      <c r="K1546" s="86">
        <v>2</v>
      </c>
      <c r="L1546" s="86">
        <f>SUM(Table3[[#This Row],[Strategic priority segment]:[Propensity to buy/ buyer readiness]])</f>
        <v>13</v>
      </c>
      <c r="M1546" s="86" t="s">
        <v>191</v>
      </c>
      <c r="N1546" s="84" t="s">
        <v>135</v>
      </c>
      <c r="O1546" s="87"/>
      <c r="P1546" s="87"/>
      <c r="Q1546" s="87"/>
      <c r="R1546" s="84"/>
      <c r="S1546" s="87"/>
      <c r="T1546" s="84"/>
      <c r="U1546" s="84">
        <v>0</v>
      </c>
      <c r="V1546" s="84">
        <v>0</v>
      </c>
      <c r="W1546" s="84">
        <v>0</v>
      </c>
      <c r="X1546" s="84">
        <v>0</v>
      </c>
      <c r="Y1546" s="84">
        <v>0</v>
      </c>
      <c r="Z1546" s="84">
        <v>0</v>
      </c>
      <c r="AA1546" s="84">
        <v>0</v>
      </c>
      <c r="AB1546" s="84">
        <v>0</v>
      </c>
      <c r="AC1546" s="84">
        <v>0</v>
      </c>
      <c r="AD1546" s="84">
        <v>0</v>
      </c>
      <c r="AE1546" s="84">
        <v>0</v>
      </c>
      <c r="AF1546" s="84">
        <v>0</v>
      </c>
      <c r="AG1546" s="84">
        <v>0</v>
      </c>
      <c r="AH1546" s="84">
        <v>1</v>
      </c>
      <c r="AI1546" s="84">
        <v>1</v>
      </c>
      <c r="AJ1546" s="84">
        <v>1</v>
      </c>
      <c r="AK1546" s="84">
        <v>1</v>
      </c>
      <c r="AL1546" s="84" cm="1">
        <f t="array" ref="AL154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6" s="84" cm="1">
        <f t="array" ref="AM154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6" s="84" cm="1">
        <f t="array" ref="AN154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6" s="84" cm="1">
        <f t="array" ref="AO154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6" s="84" cm="1">
        <f t="array" ref="AP154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6" s="84" cm="1">
        <f t="array" ref="AQ154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6" s="84" cm="1">
        <f t="array" ref="AR154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6" s="84" cm="1">
        <f t="array" ref="AS154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6" s="84" cm="1">
        <f t="array" ref="AT154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6" s="84" cm="1">
        <f t="array" ref="AU154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6" s="84" cm="1">
        <f t="array" ref="AV154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6" s="84" cm="1">
        <f t="array" ref="AW154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6" s="84" cm="1">
        <f t="array" ref="AX154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6" s="84" cm="1">
        <f t="array" ref="AY154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6" s="84" cm="1">
        <f t="array" ref="AZ154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6" s="84" cm="1">
        <f t="array" ref="BA154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6" s="84" cm="1">
        <f t="array" ref="BB154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6" s="84">
        <f>IF(SUM(Table3[[#This Row],[Column2]:[Column18]])&gt;Table3[[#This Row],[Column19]],Table3[[#This Row],[Column19]],SUM(Table3[[#This Row],[Column2]:[Column18]]))</f>
        <v>10000</v>
      </c>
      <c r="BD1546" s="2">
        <f>Table3[[#This Row],[Total Spend]]/SUM(Table3[[#This Row],[Column2]:[Column18]])</f>
        <v>0.21574973031283712</v>
      </c>
    </row>
    <row r="1547" spans="1:56">
      <c r="A1547" s="87" t="s">
        <v>1622</v>
      </c>
      <c r="B1547" s="87"/>
      <c r="C1547" s="87"/>
      <c r="D1547" s="85">
        <v>45566</v>
      </c>
      <c r="E1547" s="85" t="s">
        <v>92</v>
      </c>
      <c r="F1547" s="84">
        <f>INDEX(Definitions!$G$13:$G$17,MATCH(Table3[[#This Row],[Propensity to buy/ buyer readiness]],Definitions!$A$13:$A$17,0))</f>
        <v>10000</v>
      </c>
      <c r="G1547" s="86">
        <v>3</v>
      </c>
      <c r="H1547" s="86">
        <v>3</v>
      </c>
      <c r="I1547" s="86">
        <v>2</v>
      </c>
      <c r="J1547" s="86">
        <v>3</v>
      </c>
      <c r="K1547" s="86">
        <v>2</v>
      </c>
      <c r="L1547" s="86">
        <f>SUM(Table3[[#This Row],[Strategic priority segment]:[Propensity to buy/ buyer readiness]])</f>
        <v>13</v>
      </c>
      <c r="M1547" s="86" t="s">
        <v>191</v>
      </c>
      <c r="N1547" s="84" t="s">
        <v>135</v>
      </c>
      <c r="O1547" s="87"/>
      <c r="P1547" s="87"/>
      <c r="Q1547" s="87"/>
      <c r="R1547" s="84"/>
      <c r="S1547" s="87"/>
      <c r="T1547" s="84"/>
      <c r="U1547" s="84">
        <v>0</v>
      </c>
      <c r="V1547" s="84">
        <v>0</v>
      </c>
      <c r="W1547" s="84">
        <v>0</v>
      </c>
      <c r="X1547" s="84">
        <v>0</v>
      </c>
      <c r="Y1547" s="84">
        <v>0</v>
      </c>
      <c r="Z1547" s="84">
        <v>0</v>
      </c>
      <c r="AA1547" s="84">
        <v>0</v>
      </c>
      <c r="AB1547" s="84">
        <v>0</v>
      </c>
      <c r="AC1547" s="84">
        <v>0</v>
      </c>
      <c r="AD1547" s="84">
        <v>0</v>
      </c>
      <c r="AE1547" s="84">
        <v>0</v>
      </c>
      <c r="AF1547" s="84">
        <v>0</v>
      </c>
      <c r="AG1547" s="84">
        <v>0</v>
      </c>
      <c r="AH1547" s="84">
        <v>1</v>
      </c>
      <c r="AI1547" s="84">
        <v>1</v>
      </c>
      <c r="AJ1547" s="84">
        <v>1</v>
      </c>
      <c r="AK1547" s="84">
        <v>1</v>
      </c>
      <c r="AL1547" s="84" cm="1">
        <f t="array" ref="AL154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7" s="84" cm="1">
        <f t="array" ref="AM154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7" s="84" cm="1">
        <f t="array" ref="AN154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7" s="84" cm="1">
        <f t="array" ref="AO154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7" s="84" cm="1">
        <f t="array" ref="AP154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7" s="84" cm="1">
        <f t="array" ref="AQ154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7" s="84" cm="1">
        <f t="array" ref="AR154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7" s="84" cm="1">
        <f t="array" ref="AS154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7" s="84" cm="1">
        <f t="array" ref="AT154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7" s="84" cm="1">
        <f t="array" ref="AU154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7" s="84" cm="1">
        <f t="array" ref="AV154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7" s="84" cm="1">
        <f t="array" ref="AW154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7" s="84" cm="1">
        <f t="array" ref="AX154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7" s="84" cm="1">
        <f t="array" ref="AY154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7" s="84" cm="1">
        <f t="array" ref="AZ154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7" s="84" cm="1">
        <f t="array" ref="BA154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7" s="84" cm="1">
        <f t="array" ref="BB154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7" s="84">
        <f>IF(SUM(Table3[[#This Row],[Column2]:[Column18]])&gt;Table3[[#This Row],[Column19]],Table3[[#This Row],[Column19]],SUM(Table3[[#This Row],[Column2]:[Column18]]))</f>
        <v>10000</v>
      </c>
      <c r="BD1547" s="2">
        <f>Table3[[#This Row],[Total Spend]]/SUM(Table3[[#This Row],[Column2]:[Column18]])</f>
        <v>0.21574973031283712</v>
      </c>
    </row>
    <row r="1548" spans="1:56" ht="28.5">
      <c r="A1548" s="87" t="s">
        <v>1623</v>
      </c>
      <c r="B1548" s="87"/>
      <c r="C1548" s="87"/>
      <c r="D1548" s="85">
        <v>45566</v>
      </c>
      <c r="E1548" s="85" t="s">
        <v>92</v>
      </c>
      <c r="F1548" s="84">
        <f>INDEX(Definitions!$G$13:$G$17,MATCH(Table3[[#This Row],[Propensity to buy/ buyer readiness]],Definitions!$A$13:$A$17,0))</f>
        <v>10000</v>
      </c>
      <c r="G1548" s="86">
        <v>3</v>
      </c>
      <c r="H1548" s="86">
        <v>3</v>
      </c>
      <c r="I1548" s="86">
        <v>2</v>
      </c>
      <c r="J1548" s="86">
        <v>3</v>
      </c>
      <c r="K1548" s="86">
        <v>2</v>
      </c>
      <c r="L1548" s="86">
        <f>SUM(Table3[[#This Row],[Strategic priority segment]:[Propensity to buy/ buyer readiness]])</f>
        <v>13</v>
      </c>
      <c r="M1548" s="86" t="s">
        <v>191</v>
      </c>
      <c r="N1548" s="84" t="s">
        <v>135</v>
      </c>
      <c r="O1548" s="87"/>
      <c r="P1548" s="87"/>
      <c r="Q1548" s="87"/>
      <c r="R1548" s="84"/>
      <c r="S1548" s="87"/>
      <c r="T1548" s="87"/>
      <c r="U1548" s="84">
        <v>0</v>
      </c>
      <c r="V1548" s="84">
        <v>0</v>
      </c>
      <c r="W1548" s="84">
        <v>0</v>
      </c>
      <c r="X1548" s="84">
        <v>0</v>
      </c>
      <c r="Y1548" s="84">
        <v>0</v>
      </c>
      <c r="Z1548" s="84">
        <v>0</v>
      </c>
      <c r="AA1548" s="84">
        <v>0</v>
      </c>
      <c r="AB1548" s="84">
        <v>0</v>
      </c>
      <c r="AC1548" s="84">
        <v>0</v>
      </c>
      <c r="AD1548" s="84">
        <v>0</v>
      </c>
      <c r="AE1548" s="84">
        <v>0</v>
      </c>
      <c r="AF1548" s="84">
        <v>0</v>
      </c>
      <c r="AG1548" s="84">
        <v>0</v>
      </c>
      <c r="AH1548" s="84">
        <v>1</v>
      </c>
      <c r="AI1548" s="84">
        <v>1</v>
      </c>
      <c r="AJ1548" s="84">
        <v>1</v>
      </c>
      <c r="AK1548" s="84">
        <v>1</v>
      </c>
      <c r="AL1548" s="84" cm="1">
        <f t="array" ref="AL154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48" s="84" cm="1">
        <f t="array" ref="AM154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8" s="84" cm="1">
        <f t="array" ref="AN154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8" s="84" cm="1">
        <f t="array" ref="AO154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8" s="84" cm="1">
        <f t="array" ref="AP154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8" s="84" cm="1">
        <f t="array" ref="AQ154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8" s="84" cm="1">
        <f t="array" ref="AR154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8" s="84" cm="1">
        <f t="array" ref="AS154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8" s="84" cm="1">
        <f t="array" ref="AT154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8" s="84" cm="1">
        <f t="array" ref="AU154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8" s="84" cm="1">
        <f t="array" ref="AV154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8" s="84" cm="1">
        <f t="array" ref="AW154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8" s="84" cm="1">
        <f t="array" ref="AX154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8" s="84" cm="1">
        <f t="array" ref="AY154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48" s="84" cm="1">
        <f t="array" ref="AZ154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48" s="84" cm="1">
        <f t="array" ref="BA154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48" s="84" cm="1">
        <f t="array" ref="BB154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48" s="84">
        <f>IF(SUM(Table3[[#This Row],[Column2]:[Column18]])&gt;Table3[[#This Row],[Column19]],Table3[[#This Row],[Column19]],SUM(Table3[[#This Row],[Column2]:[Column18]]))</f>
        <v>10000</v>
      </c>
      <c r="BD1548" s="2">
        <f>Table3[[#This Row],[Total Spend]]/SUM(Table3[[#This Row],[Column2]:[Column18]])</f>
        <v>0.21574973031283712</v>
      </c>
    </row>
    <row r="1549" spans="1:56">
      <c r="A1549" s="84" t="s">
        <v>1624</v>
      </c>
      <c r="B1549" s="84"/>
      <c r="C1549" s="84"/>
      <c r="D1549" s="85">
        <v>45809</v>
      </c>
      <c r="E1549" s="85" t="s">
        <v>92</v>
      </c>
      <c r="F1549" s="84">
        <f>INDEX(Definitions!$G$13:$G$17,MATCH(Table3[[#This Row],[Propensity to buy/ buyer readiness]],Definitions!$A$13:$A$17,0))</f>
        <v>10000</v>
      </c>
      <c r="G1549" s="86">
        <v>3</v>
      </c>
      <c r="H1549" s="86">
        <v>3</v>
      </c>
      <c r="I1549" s="86">
        <v>2</v>
      </c>
      <c r="J1549" s="86">
        <v>3</v>
      </c>
      <c r="K1549" s="86">
        <v>2</v>
      </c>
      <c r="L1549" s="86">
        <f>SUM(Table3[[#This Row],[Strategic priority segment]:[Propensity to buy/ buyer readiness]])</f>
        <v>13</v>
      </c>
      <c r="M1549" s="86" t="s">
        <v>152</v>
      </c>
      <c r="N1549" s="84" t="s">
        <v>264</v>
      </c>
      <c r="O1549" s="84"/>
      <c r="P1549" s="87"/>
      <c r="Q1549" s="87"/>
      <c r="R1549" s="84"/>
      <c r="S1549" s="87"/>
      <c r="T1549" s="87"/>
      <c r="U1549" s="84">
        <v>1</v>
      </c>
      <c r="V1549" s="84">
        <v>0</v>
      </c>
      <c r="W1549" s="84">
        <v>0</v>
      </c>
      <c r="X1549" s="84">
        <v>0</v>
      </c>
      <c r="Y1549" s="84">
        <v>0</v>
      </c>
      <c r="Z1549" s="84">
        <v>0</v>
      </c>
      <c r="AA1549" s="84">
        <v>0</v>
      </c>
      <c r="AB1549" s="84">
        <v>0</v>
      </c>
      <c r="AC1549" s="84">
        <v>0</v>
      </c>
      <c r="AD1549" s="84">
        <v>0</v>
      </c>
      <c r="AE1549" s="84">
        <v>0</v>
      </c>
      <c r="AF1549" s="84">
        <v>0</v>
      </c>
      <c r="AG1549" s="84">
        <v>0</v>
      </c>
      <c r="AH1549" s="84">
        <v>0</v>
      </c>
      <c r="AI1549" s="84">
        <v>0</v>
      </c>
      <c r="AJ1549" s="84">
        <v>0</v>
      </c>
      <c r="AK1549" s="84">
        <v>0</v>
      </c>
      <c r="AL1549" s="84" cm="1">
        <f t="array" ref="AL154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49" s="84" cm="1">
        <f t="array" ref="AM154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49" s="84" cm="1">
        <f t="array" ref="AN154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49" s="84" cm="1">
        <f t="array" ref="AO154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49" s="84" cm="1">
        <f t="array" ref="AP154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49" s="84" cm="1">
        <f t="array" ref="AQ154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49" s="84" cm="1">
        <f t="array" ref="AR154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49" s="84" cm="1">
        <f t="array" ref="AS154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49" s="84" cm="1">
        <f t="array" ref="AT154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49" s="84" cm="1">
        <f t="array" ref="AU154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49" s="84" cm="1">
        <f t="array" ref="AV154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49" s="84" cm="1">
        <f t="array" ref="AW154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49" s="84" cm="1">
        <f t="array" ref="AX154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49" s="84" cm="1">
        <f t="array" ref="AY154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49" s="84" cm="1">
        <f t="array" ref="AZ154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49" s="84" cm="1">
        <f t="array" ref="BA154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49" s="84" cm="1">
        <f t="array" ref="BB154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49" s="84">
        <f>IF(SUM(Table3[[#This Row],[Column2]:[Column18]])&gt;Table3[[#This Row],[Column19]],Table3[[#This Row],[Column19]],SUM(Table3[[#This Row],[Column2]:[Column18]]))</f>
        <v>8100</v>
      </c>
      <c r="BD1549" s="2">
        <f>Table3[[#This Row],[Total Spend]]/SUM(Table3[[#This Row],[Column2]:[Column18]])</f>
        <v>1</v>
      </c>
    </row>
    <row r="1550" spans="1:56">
      <c r="A1550" s="84" t="s">
        <v>1625</v>
      </c>
      <c r="B1550" s="84"/>
      <c r="C1550" s="84"/>
      <c r="D1550" s="85">
        <v>45566</v>
      </c>
      <c r="E1550" s="85" t="s">
        <v>92</v>
      </c>
      <c r="F1550" s="84">
        <f>INDEX(Definitions!$G$13:$G$17,MATCH(Table3[[#This Row],[Propensity to buy/ buyer readiness]],Definitions!$A$13:$A$17,0))</f>
        <v>10000</v>
      </c>
      <c r="G1550" s="86">
        <v>3</v>
      </c>
      <c r="H1550" s="86">
        <v>3</v>
      </c>
      <c r="I1550" s="86">
        <v>2</v>
      </c>
      <c r="J1550" s="86">
        <v>3</v>
      </c>
      <c r="K1550" s="86">
        <v>2</v>
      </c>
      <c r="L1550" s="86">
        <f>SUM(Table3[[#This Row],[Strategic priority segment]:[Propensity to buy/ buyer readiness]])</f>
        <v>13</v>
      </c>
      <c r="M1550" s="86" t="s">
        <v>152</v>
      </c>
      <c r="N1550" s="84" t="s">
        <v>264</v>
      </c>
      <c r="O1550" s="84"/>
      <c r="P1550" s="87"/>
      <c r="Q1550" s="87"/>
      <c r="R1550" s="84"/>
      <c r="S1550" s="87"/>
      <c r="T1550" s="87"/>
      <c r="U1550" s="84">
        <v>1</v>
      </c>
      <c r="V1550" s="84">
        <v>0</v>
      </c>
      <c r="W1550" s="84">
        <v>0</v>
      </c>
      <c r="X1550" s="84">
        <v>0</v>
      </c>
      <c r="Y1550" s="84">
        <v>0</v>
      </c>
      <c r="Z1550" s="84">
        <v>0</v>
      </c>
      <c r="AA1550" s="84">
        <v>0</v>
      </c>
      <c r="AB1550" s="84">
        <v>0</v>
      </c>
      <c r="AC1550" s="84">
        <v>0</v>
      </c>
      <c r="AD1550" s="84">
        <v>0</v>
      </c>
      <c r="AE1550" s="84">
        <v>0</v>
      </c>
      <c r="AF1550" s="84">
        <v>0</v>
      </c>
      <c r="AG1550" s="84">
        <v>0</v>
      </c>
      <c r="AH1550" s="84">
        <v>0</v>
      </c>
      <c r="AI1550" s="84">
        <v>0</v>
      </c>
      <c r="AJ1550" s="84">
        <v>0</v>
      </c>
      <c r="AK1550" s="84">
        <v>0</v>
      </c>
      <c r="AL1550" s="84" cm="1">
        <f t="array" ref="AL155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50" s="84" cm="1">
        <f t="array" ref="AM155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0" s="84" cm="1">
        <f t="array" ref="AN155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0" s="84" cm="1">
        <f t="array" ref="AO155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0" s="84" cm="1">
        <f t="array" ref="AP155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0" s="84" cm="1">
        <f t="array" ref="AQ155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0" s="84" cm="1">
        <f t="array" ref="AR155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0" s="84" cm="1">
        <f t="array" ref="AS155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0" s="84" cm="1">
        <f t="array" ref="AT155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0" s="84" cm="1">
        <f t="array" ref="AU155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0" s="84" cm="1">
        <f t="array" ref="AV155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0" s="84" cm="1">
        <f t="array" ref="AW155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0" s="84" cm="1">
        <f t="array" ref="AX155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0" s="84" cm="1">
        <f t="array" ref="AY155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0" s="84" cm="1">
        <f t="array" ref="AZ155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0" s="84" cm="1">
        <f t="array" ref="BA155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0" s="84" cm="1">
        <f t="array" ref="BB155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0" s="84">
        <f>IF(SUM(Table3[[#This Row],[Column2]:[Column18]])&gt;Table3[[#This Row],[Column19]],Table3[[#This Row],[Column19]],SUM(Table3[[#This Row],[Column2]:[Column18]]))</f>
        <v>8100</v>
      </c>
      <c r="BD1550" s="2">
        <f>Table3[[#This Row],[Total Spend]]/SUM(Table3[[#This Row],[Column2]:[Column18]])</f>
        <v>1</v>
      </c>
    </row>
    <row r="1551" spans="1:56" ht="28.5">
      <c r="A1551" s="87" t="s">
        <v>1626</v>
      </c>
      <c r="B1551" s="87"/>
      <c r="C1551" s="87"/>
      <c r="D1551" s="85">
        <v>45566</v>
      </c>
      <c r="E1551" s="85" t="s">
        <v>92</v>
      </c>
      <c r="F1551" s="84">
        <f>INDEX(Definitions!$G$13:$G$17,MATCH(Table3[[#This Row],[Propensity to buy/ buyer readiness]],Definitions!$A$13:$A$17,0))</f>
        <v>10000</v>
      </c>
      <c r="G1551" s="86">
        <v>3</v>
      </c>
      <c r="H1551" s="86">
        <v>3</v>
      </c>
      <c r="I1551" s="86">
        <v>2</v>
      </c>
      <c r="J1551" s="86">
        <v>3</v>
      </c>
      <c r="K1551" s="86">
        <v>2</v>
      </c>
      <c r="L1551" s="86">
        <f>SUM(Table3[[#This Row],[Strategic priority segment]:[Propensity to buy/ buyer readiness]])</f>
        <v>13</v>
      </c>
      <c r="M1551" s="86" t="s">
        <v>191</v>
      </c>
      <c r="N1551" s="84" t="s">
        <v>135</v>
      </c>
      <c r="O1551" s="87"/>
      <c r="P1551" s="87"/>
      <c r="Q1551" s="87"/>
      <c r="R1551" s="84"/>
      <c r="S1551" s="87"/>
      <c r="T1551" s="84"/>
      <c r="U1551" s="84">
        <v>0</v>
      </c>
      <c r="V1551" s="84">
        <v>0</v>
      </c>
      <c r="W1551" s="84">
        <v>0</v>
      </c>
      <c r="X1551" s="84">
        <v>0</v>
      </c>
      <c r="Y1551" s="84">
        <v>0</v>
      </c>
      <c r="Z1551" s="84">
        <v>0</v>
      </c>
      <c r="AA1551" s="84">
        <v>0</v>
      </c>
      <c r="AB1551" s="84">
        <v>0</v>
      </c>
      <c r="AC1551" s="84">
        <v>0</v>
      </c>
      <c r="AD1551" s="84">
        <v>0</v>
      </c>
      <c r="AE1551" s="84">
        <v>0</v>
      </c>
      <c r="AF1551" s="84">
        <v>0</v>
      </c>
      <c r="AG1551" s="84">
        <v>0</v>
      </c>
      <c r="AH1551" s="84">
        <v>1</v>
      </c>
      <c r="AI1551" s="84">
        <v>1</v>
      </c>
      <c r="AJ1551" s="84">
        <v>1</v>
      </c>
      <c r="AK1551" s="84">
        <v>1</v>
      </c>
      <c r="AL1551" s="84" cm="1">
        <f t="array" ref="AL155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51" s="84" cm="1">
        <f t="array" ref="AM155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1" s="84" cm="1">
        <f t="array" ref="AN155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1" s="84" cm="1">
        <f t="array" ref="AO155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1" s="84" cm="1">
        <f t="array" ref="AP155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1" s="84" cm="1">
        <f t="array" ref="AQ155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1" s="84" cm="1">
        <f t="array" ref="AR155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1" s="84" cm="1">
        <f t="array" ref="AS155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1" s="84" cm="1">
        <f t="array" ref="AT155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1" s="84" cm="1">
        <f t="array" ref="AU155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1" s="84" cm="1">
        <f t="array" ref="AV155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1" s="84" cm="1">
        <f t="array" ref="AW155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1" s="84" cm="1">
        <f t="array" ref="AX155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1" s="84" cm="1">
        <f t="array" ref="AY155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51" s="84" cm="1">
        <f t="array" ref="AZ155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51" s="84" cm="1">
        <f t="array" ref="BA155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51" s="84" cm="1">
        <f t="array" ref="BB155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51" s="84">
        <f>IF(SUM(Table3[[#This Row],[Column2]:[Column18]])&gt;Table3[[#This Row],[Column19]],Table3[[#This Row],[Column19]],SUM(Table3[[#This Row],[Column2]:[Column18]]))</f>
        <v>10000</v>
      </c>
      <c r="BD1551" s="2">
        <f>Table3[[#This Row],[Total Spend]]/SUM(Table3[[#This Row],[Column2]:[Column18]])</f>
        <v>0.21574973031283712</v>
      </c>
    </row>
    <row r="1552" spans="1:56">
      <c r="A1552" s="84" t="s">
        <v>1627</v>
      </c>
      <c r="B1552" s="84"/>
      <c r="C1552" s="84"/>
      <c r="D1552" s="85">
        <v>45566</v>
      </c>
      <c r="E1552" s="85" t="s">
        <v>92</v>
      </c>
      <c r="F1552" s="84">
        <f>INDEX(Definitions!$G$13:$G$17,MATCH(Table3[[#This Row],[Propensity to buy/ buyer readiness]],Definitions!$A$13:$A$17,0))</f>
        <v>10000</v>
      </c>
      <c r="G1552" s="86">
        <v>3</v>
      </c>
      <c r="H1552" s="86">
        <v>3</v>
      </c>
      <c r="I1552" s="86">
        <v>2</v>
      </c>
      <c r="J1552" s="86">
        <v>3</v>
      </c>
      <c r="K1552" s="86">
        <v>2</v>
      </c>
      <c r="L1552" s="86">
        <f>SUM(Table3[[#This Row],[Strategic priority segment]:[Propensity to buy/ buyer readiness]])</f>
        <v>13</v>
      </c>
      <c r="M1552" s="86" t="s">
        <v>152</v>
      </c>
      <c r="N1552" s="84" t="s">
        <v>264</v>
      </c>
      <c r="O1552" s="84"/>
      <c r="P1552" s="87"/>
      <c r="Q1552" s="87"/>
      <c r="R1552" s="84"/>
      <c r="S1552" s="87"/>
      <c r="T1552" s="84"/>
      <c r="U1552" s="84">
        <v>1</v>
      </c>
      <c r="V1552" s="84">
        <v>0</v>
      </c>
      <c r="W1552" s="84">
        <v>0</v>
      </c>
      <c r="X1552" s="84">
        <v>0</v>
      </c>
      <c r="Y1552" s="84">
        <v>0</v>
      </c>
      <c r="Z1552" s="84">
        <v>0</v>
      </c>
      <c r="AA1552" s="84">
        <v>0</v>
      </c>
      <c r="AB1552" s="84">
        <v>0</v>
      </c>
      <c r="AC1552" s="84">
        <v>0</v>
      </c>
      <c r="AD1552" s="84">
        <v>0</v>
      </c>
      <c r="AE1552" s="84">
        <v>0</v>
      </c>
      <c r="AF1552" s="84">
        <v>0</v>
      </c>
      <c r="AG1552" s="84">
        <v>0</v>
      </c>
      <c r="AH1552" s="84">
        <v>0</v>
      </c>
      <c r="AI1552" s="84">
        <v>0</v>
      </c>
      <c r="AJ1552" s="84">
        <v>0</v>
      </c>
      <c r="AK1552" s="84">
        <v>0</v>
      </c>
      <c r="AL1552" s="84" cm="1">
        <f t="array" ref="AL1552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52" s="84" cm="1">
        <f t="array" ref="AM1552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2" s="84" cm="1">
        <f t="array" ref="AN1552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2" s="84" cm="1">
        <f t="array" ref="AO1552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2" s="84" cm="1">
        <f t="array" ref="AP1552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2" s="84" cm="1">
        <f t="array" ref="AQ1552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2" s="84" cm="1">
        <f t="array" ref="AR1552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2" s="84" cm="1">
        <f t="array" ref="AS1552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2" s="84" cm="1">
        <f t="array" ref="AT1552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2" s="84" cm="1">
        <f t="array" ref="AU1552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2" s="84" cm="1">
        <f t="array" ref="AV1552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2" s="84" cm="1">
        <f t="array" ref="AW1552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2" s="84" cm="1">
        <f t="array" ref="AX1552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2" s="84" cm="1">
        <f t="array" ref="AY1552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2" s="84" cm="1">
        <f t="array" ref="AZ1552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2" s="84" cm="1">
        <f t="array" ref="BA1552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2" s="84" cm="1">
        <f t="array" ref="BB1552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2" s="84">
        <f>IF(SUM(Table3[[#This Row],[Column2]:[Column18]])&gt;Table3[[#This Row],[Column19]],Table3[[#This Row],[Column19]],SUM(Table3[[#This Row],[Column2]:[Column18]]))</f>
        <v>8100</v>
      </c>
      <c r="BD1552" s="2">
        <f>Table3[[#This Row],[Total Spend]]/SUM(Table3[[#This Row],[Column2]:[Column18]])</f>
        <v>1</v>
      </c>
    </row>
    <row r="1553" spans="1:56" ht="28.5">
      <c r="A1553" s="87" t="s">
        <v>1628</v>
      </c>
      <c r="B1553" s="87"/>
      <c r="C1553" s="87"/>
      <c r="D1553" s="85">
        <v>45566</v>
      </c>
      <c r="E1553" s="85" t="s">
        <v>92</v>
      </c>
      <c r="F1553" s="84">
        <f>INDEX(Definitions!$G$13:$G$17,MATCH(Table3[[#This Row],[Propensity to buy/ buyer readiness]],Definitions!$A$13:$A$17,0))</f>
        <v>10000</v>
      </c>
      <c r="G1553" s="86">
        <v>3</v>
      </c>
      <c r="H1553" s="86">
        <v>3</v>
      </c>
      <c r="I1553" s="86">
        <v>2</v>
      </c>
      <c r="J1553" s="86">
        <v>3</v>
      </c>
      <c r="K1553" s="86">
        <v>2</v>
      </c>
      <c r="L1553" s="86">
        <f>SUM(Table3[[#This Row],[Strategic priority segment]:[Propensity to buy/ buyer readiness]])</f>
        <v>13</v>
      </c>
      <c r="M1553" s="86" t="s">
        <v>191</v>
      </c>
      <c r="N1553" s="84" t="s">
        <v>135</v>
      </c>
      <c r="O1553" s="87"/>
      <c r="P1553" s="87"/>
      <c r="Q1553" s="87"/>
      <c r="R1553" s="84"/>
      <c r="S1553" s="87"/>
      <c r="T1553" s="84"/>
      <c r="U1553" s="84">
        <v>0</v>
      </c>
      <c r="V1553" s="84">
        <v>0</v>
      </c>
      <c r="W1553" s="84">
        <v>0</v>
      </c>
      <c r="X1553" s="84">
        <v>0</v>
      </c>
      <c r="Y1553" s="84">
        <v>0</v>
      </c>
      <c r="Z1553" s="84">
        <v>0</v>
      </c>
      <c r="AA1553" s="84">
        <v>0</v>
      </c>
      <c r="AB1553" s="84">
        <v>0</v>
      </c>
      <c r="AC1553" s="84">
        <v>0</v>
      </c>
      <c r="AD1553" s="84">
        <v>0</v>
      </c>
      <c r="AE1553" s="84">
        <v>0</v>
      </c>
      <c r="AF1553" s="84">
        <v>0</v>
      </c>
      <c r="AG1553" s="84">
        <v>0</v>
      </c>
      <c r="AH1553" s="84">
        <v>1</v>
      </c>
      <c r="AI1553" s="84">
        <v>1</v>
      </c>
      <c r="AJ1553" s="84">
        <v>1</v>
      </c>
      <c r="AK1553" s="84">
        <v>1</v>
      </c>
      <c r="AL1553" s="84" cm="1">
        <f t="array" ref="AL1553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53" s="84" cm="1">
        <f t="array" ref="AM1553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3" s="84" cm="1">
        <f t="array" ref="AN1553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3" s="84" cm="1">
        <f t="array" ref="AO1553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3" s="84" cm="1">
        <f t="array" ref="AP1553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3" s="84" cm="1">
        <f t="array" ref="AQ1553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3" s="84" cm="1">
        <f t="array" ref="AR1553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3" s="84" cm="1">
        <f t="array" ref="AS1553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3" s="84" cm="1">
        <f t="array" ref="AT1553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3" s="84" cm="1">
        <f t="array" ref="AU1553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3" s="84" cm="1">
        <f t="array" ref="AV1553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3" s="84" cm="1">
        <f t="array" ref="AW1553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3" s="84" cm="1">
        <f t="array" ref="AX1553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3" s="84" cm="1">
        <f t="array" ref="AY1553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53" s="84" cm="1">
        <f t="array" ref="AZ1553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53" s="84" cm="1">
        <f t="array" ref="BA1553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53" s="84" cm="1">
        <f t="array" ref="BB1553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53" s="84">
        <f>IF(SUM(Table3[[#This Row],[Column2]:[Column18]])&gt;Table3[[#This Row],[Column19]],Table3[[#This Row],[Column19]],SUM(Table3[[#This Row],[Column2]:[Column18]]))</f>
        <v>10000</v>
      </c>
      <c r="BD1553" s="2">
        <f>Table3[[#This Row],[Total Spend]]/SUM(Table3[[#This Row],[Column2]:[Column18]])</f>
        <v>0.21574973031283712</v>
      </c>
    </row>
    <row r="1554" spans="1:56" ht="28.5">
      <c r="A1554" s="87" t="s">
        <v>1629</v>
      </c>
      <c r="B1554" s="87"/>
      <c r="C1554" s="87"/>
      <c r="D1554" s="85">
        <v>45566</v>
      </c>
      <c r="E1554" s="85" t="s">
        <v>92</v>
      </c>
      <c r="F1554" s="84">
        <f>INDEX(Definitions!$G$13:$G$17,MATCH(Table3[[#This Row],[Propensity to buy/ buyer readiness]],Definitions!$A$13:$A$17,0))</f>
        <v>10000</v>
      </c>
      <c r="G1554" s="86">
        <v>3</v>
      </c>
      <c r="H1554" s="86">
        <v>3</v>
      </c>
      <c r="I1554" s="86">
        <v>2</v>
      </c>
      <c r="J1554" s="86">
        <v>3</v>
      </c>
      <c r="K1554" s="86">
        <v>2</v>
      </c>
      <c r="L1554" s="86">
        <f>SUM(Table3[[#This Row],[Strategic priority segment]:[Propensity to buy/ buyer readiness]])</f>
        <v>13</v>
      </c>
      <c r="M1554" s="86" t="s">
        <v>191</v>
      </c>
      <c r="N1554" s="84" t="s">
        <v>135</v>
      </c>
      <c r="O1554" s="87"/>
      <c r="P1554" s="87"/>
      <c r="Q1554" s="87"/>
      <c r="R1554" s="84"/>
      <c r="S1554" s="87"/>
      <c r="T1554" s="87"/>
      <c r="U1554" s="84">
        <v>0</v>
      </c>
      <c r="V1554" s="84">
        <v>0</v>
      </c>
      <c r="W1554" s="84">
        <v>0</v>
      </c>
      <c r="X1554" s="84">
        <v>0</v>
      </c>
      <c r="Y1554" s="84">
        <v>0</v>
      </c>
      <c r="Z1554" s="84">
        <v>0</v>
      </c>
      <c r="AA1554" s="84">
        <v>0</v>
      </c>
      <c r="AB1554" s="84">
        <v>0</v>
      </c>
      <c r="AC1554" s="84">
        <v>0</v>
      </c>
      <c r="AD1554" s="84">
        <v>0</v>
      </c>
      <c r="AE1554" s="84">
        <v>0</v>
      </c>
      <c r="AF1554" s="84">
        <v>0</v>
      </c>
      <c r="AG1554" s="84">
        <v>0</v>
      </c>
      <c r="AH1554" s="84">
        <v>1</v>
      </c>
      <c r="AI1554" s="84">
        <v>1</v>
      </c>
      <c r="AJ1554" s="84">
        <v>1</v>
      </c>
      <c r="AK1554" s="84">
        <v>1</v>
      </c>
      <c r="AL1554" s="84" cm="1">
        <f t="array" ref="AL1554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0</v>
      </c>
      <c r="AM1554" s="84" cm="1">
        <f t="array" ref="AM1554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4" s="84" cm="1">
        <f t="array" ref="AN1554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4" s="84" cm="1">
        <f t="array" ref="AO1554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4" s="84" cm="1">
        <f t="array" ref="AP1554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4" s="84" cm="1">
        <f t="array" ref="AQ1554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4" s="84" cm="1">
        <f t="array" ref="AR1554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4" s="84" cm="1">
        <f t="array" ref="AS1554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4" s="84" cm="1">
        <f t="array" ref="AT1554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4" s="84" cm="1">
        <f t="array" ref="AU1554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4" s="84" cm="1">
        <f t="array" ref="AV1554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4" s="84" cm="1">
        <f t="array" ref="AW1554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4" s="84" cm="1">
        <f t="array" ref="AX1554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4" s="84" cm="1">
        <f t="array" ref="AY1554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10800</v>
      </c>
      <c r="AZ1554" s="84" cm="1">
        <f t="array" ref="AZ1554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11250</v>
      </c>
      <c r="BA1554" s="84" cm="1">
        <f t="array" ref="BA1554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19800</v>
      </c>
      <c r="BB1554" s="84" cm="1">
        <f t="array" ref="BB1554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4500</v>
      </c>
      <c r="BC1554" s="84">
        <f>IF(SUM(Table3[[#This Row],[Column2]:[Column18]])&gt;Table3[[#This Row],[Column19]],Table3[[#This Row],[Column19]],SUM(Table3[[#This Row],[Column2]:[Column18]]))</f>
        <v>10000</v>
      </c>
      <c r="BD1554" s="2">
        <f>Table3[[#This Row],[Total Spend]]/SUM(Table3[[#This Row],[Column2]:[Column18]])</f>
        <v>0.21574973031283712</v>
      </c>
    </row>
    <row r="1555" spans="1:56">
      <c r="A1555" s="84" t="s">
        <v>1630</v>
      </c>
      <c r="B1555" s="84"/>
      <c r="C1555" s="84"/>
      <c r="D1555" s="85">
        <v>45566</v>
      </c>
      <c r="E1555" s="85" t="s">
        <v>92</v>
      </c>
      <c r="F1555" s="84">
        <f>INDEX(Definitions!$G$13:$G$17,MATCH(Table3[[#This Row],[Propensity to buy/ buyer readiness]],Definitions!$A$13:$A$17,0))</f>
        <v>10000</v>
      </c>
      <c r="G1555" s="86">
        <v>3</v>
      </c>
      <c r="H1555" s="86">
        <v>3</v>
      </c>
      <c r="I1555" s="86">
        <v>2</v>
      </c>
      <c r="J1555" s="86">
        <v>3</v>
      </c>
      <c r="K1555" s="86">
        <v>2</v>
      </c>
      <c r="L1555" s="86">
        <f>SUM(Table3[[#This Row],[Strategic priority segment]:[Propensity to buy/ buyer readiness]])</f>
        <v>13</v>
      </c>
      <c r="M1555" s="86" t="s">
        <v>152</v>
      </c>
      <c r="N1555" s="84" t="s">
        <v>264</v>
      </c>
      <c r="O1555" s="84"/>
      <c r="P1555" s="87"/>
      <c r="Q1555" s="87"/>
      <c r="R1555" s="84"/>
      <c r="S1555" s="87"/>
      <c r="T1555" s="87"/>
      <c r="U1555" s="84">
        <v>1</v>
      </c>
      <c r="V1555" s="84">
        <v>0</v>
      </c>
      <c r="W1555" s="84">
        <v>0</v>
      </c>
      <c r="X1555" s="84">
        <v>0</v>
      </c>
      <c r="Y1555" s="84">
        <v>0</v>
      </c>
      <c r="Z1555" s="84">
        <v>0</v>
      </c>
      <c r="AA1555" s="84">
        <v>0</v>
      </c>
      <c r="AB1555" s="84">
        <v>0</v>
      </c>
      <c r="AC1555" s="84">
        <v>0</v>
      </c>
      <c r="AD1555" s="84">
        <v>0</v>
      </c>
      <c r="AE1555" s="84">
        <v>0</v>
      </c>
      <c r="AF1555" s="84">
        <v>0</v>
      </c>
      <c r="AG1555" s="84">
        <v>0</v>
      </c>
      <c r="AH1555" s="84">
        <v>0</v>
      </c>
      <c r="AI1555" s="84">
        <v>0</v>
      </c>
      <c r="AJ1555" s="84">
        <v>0</v>
      </c>
      <c r="AK1555" s="84">
        <v>0</v>
      </c>
      <c r="AL1555" s="84" cm="1">
        <f t="array" ref="AL1555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55" s="84" cm="1">
        <f t="array" ref="AM1555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5" s="84" cm="1">
        <f t="array" ref="AN1555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5" s="84" cm="1">
        <f t="array" ref="AO1555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5" s="84" cm="1">
        <f t="array" ref="AP1555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5" s="84" cm="1">
        <f t="array" ref="AQ1555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5" s="84" cm="1">
        <f t="array" ref="AR1555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5" s="84" cm="1">
        <f t="array" ref="AS1555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5" s="84" cm="1">
        <f t="array" ref="AT1555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5" s="84" cm="1">
        <f t="array" ref="AU1555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5" s="84" cm="1">
        <f t="array" ref="AV1555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5" s="84" cm="1">
        <f t="array" ref="AW1555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5" s="84" cm="1">
        <f t="array" ref="AX1555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5" s="84" cm="1">
        <f t="array" ref="AY1555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5" s="84" cm="1">
        <f t="array" ref="AZ1555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5" s="84" cm="1">
        <f t="array" ref="BA1555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5" s="84" cm="1">
        <f t="array" ref="BB1555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5" s="84">
        <f>IF(SUM(Table3[[#This Row],[Column2]:[Column18]])&gt;Table3[[#This Row],[Column19]],Table3[[#This Row],[Column19]],SUM(Table3[[#This Row],[Column2]:[Column18]]))</f>
        <v>8100</v>
      </c>
      <c r="BD1555" s="2">
        <f>Table3[[#This Row],[Total Spend]]/SUM(Table3[[#This Row],[Column2]:[Column18]])</f>
        <v>1</v>
      </c>
    </row>
    <row r="1556" spans="1:56">
      <c r="A1556" s="84" t="s">
        <v>1631</v>
      </c>
      <c r="B1556" s="84"/>
      <c r="C1556" s="84"/>
      <c r="D1556" s="85">
        <v>45809</v>
      </c>
      <c r="E1556" s="85" t="s">
        <v>92</v>
      </c>
      <c r="F1556" s="84">
        <f>INDEX(Definitions!$G$13:$G$17,MATCH(Table3[[#This Row],[Propensity to buy/ buyer readiness]],Definitions!$A$13:$A$17,0))</f>
        <v>10000</v>
      </c>
      <c r="G1556" s="86">
        <v>3</v>
      </c>
      <c r="H1556" s="86">
        <v>3</v>
      </c>
      <c r="I1556" s="86">
        <v>2</v>
      </c>
      <c r="J1556" s="86">
        <v>3</v>
      </c>
      <c r="K1556" s="86">
        <v>2</v>
      </c>
      <c r="L1556" s="86">
        <f>SUM(Table3[[#This Row],[Strategic priority segment]:[Propensity to buy/ buyer readiness]])</f>
        <v>13</v>
      </c>
      <c r="M1556" s="86" t="s">
        <v>152</v>
      </c>
      <c r="N1556" s="84" t="s">
        <v>264</v>
      </c>
      <c r="O1556" s="84"/>
      <c r="P1556" s="87"/>
      <c r="Q1556" s="87"/>
      <c r="R1556" s="84"/>
      <c r="S1556" s="84"/>
      <c r="T1556" s="84"/>
      <c r="U1556" s="84">
        <v>1</v>
      </c>
      <c r="V1556" s="84">
        <v>0</v>
      </c>
      <c r="W1556" s="84">
        <v>0</v>
      </c>
      <c r="X1556" s="84">
        <v>0</v>
      </c>
      <c r="Y1556" s="84">
        <v>0</v>
      </c>
      <c r="Z1556" s="84">
        <v>0</v>
      </c>
      <c r="AA1556" s="84">
        <v>0</v>
      </c>
      <c r="AB1556" s="84">
        <v>0</v>
      </c>
      <c r="AC1556" s="84">
        <v>0</v>
      </c>
      <c r="AD1556" s="84">
        <v>0</v>
      </c>
      <c r="AE1556" s="84">
        <v>0</v>
      </c>
      <c r="AF1556" s="84">
        <v>0</v>
      </c>
      <c r="AG1556" s="84">
        <v>0</v>
      </c>
      <c r="AH1556" s="84">
        <v>0</v>
      </c>
      <c r="AI1556" s="84">
        <v>0</v>
      </c>
      <c r="AJ1556" s="84">
        <v>0</v>
      </c>
      <c r="AK1556" s="84">
        <v>0</v>
      </c>
      <c r="AL1556" s="84" cm="1">
        <f t="array" ref="AL1556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56" s="84" cm="1">
        <f t="array" ref="AM1556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6" s="84" cm="1">
        <f t="array" ref="AN1556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6" s="84" cm="1">
        <f t="array" ref="AO1556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6" s="84" cm="1">
        <f t="array" ref="AP1556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6" s="84" cm="1">
        <f t="array" ref="AQ1556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6" s="84" cm="1">
        <f t="array" ref="AR1556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6" s="84" cm="1">
        <f t="array" ref="AS1556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6" s="84" cm="1">
        <f t="array" ref="AT1556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6" s="84" cm="1">
        <f t="array" ref="AU1556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6" s="84" cm="1">
        <f t="array" ref="AV1556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6" s="84" cm="1">
        <f t="array" ref="AW1556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6" s="84" cm="1">
        <f t="array" ref="AX1556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6" s="84" cm="1">
        <f t="array" ref="AY1556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6" s="84" cm="1">
        <f t="array" ref="AZ1556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6" s="84" cm="1">
        <f t="array" ref="BA1556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6" s="84" cm="1">
        <f t="array" ref="BB1556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6" s="84">
        <f>IF(SUM(Table3[[#This Row],[Column2]:[Column18]])&gt;Table3[[#This Row],[Column19]],Table3[[#This Row],[Column19]],SUM(Table3[[#This Row],[Column2]:[Column18]]))</f>
        <v>8100</v>
      </c>
      <c r="BD1556" s="2">
        <f>Table3[[#This Row],[Total Spend]]/SUM(Table3[[#This Row],[Column2]:[Column18]])</f>
        <v>1</v>
      </c>
    </row>
    <row r="1557" spans="1:56">
      <c r="A1557" s="84" t="s">
        <v>1632</v>
      </c>
      <c r="B1557" s="84"/>
      <c r="C1557" s="84"/>
      <c r="D1557" s="85">
        <v>45566</v>
      </c>
      <c r="E1557" s="85" t="s">
        <v>58</v>
      </c>
      <c r="F1557" s="84">
        <f>INDEX(Definitions!$G$13:$G$17,MATCH(Table3[[#This Row],[Propensity to buy/ buyer readiness]],Definitions!$A$13:$A$17,0))</f>
        <v>50000</v>
      </c>
      <c r="G1557" s="86">
        <v>1</v>
      </c>
      <c r="H1557" s="86">
        <v>3</v>
      </c>
      <c r="I1557" s="86">
        <v>2</v>
      </c>
      <c r="J1557" s="86">
        <v>3</v>
      </c>
      <c r="K1557" s="86">
        <v>3</v>
      </c>
      <c r="L1557" s="86">
        <f>SUM(Table3[[#This Row],[Strategic priority segment]:[Propensity to buy/ buyer readiness]])</f>
        <v>12</v>
      </c>
      <c r="M1557" s="86" t="s">
        <v>152</v>
      </c>
      <c r="N1557" s="84" t="s">
        <v>264</v>
      </c>
      <c r="O1557" s="84"/>
      <c r="P1557" s="87"/>
      <c r="Q1557" s="87"/>
      <c r="R1557" s="84"/>
      <c r="S1557" s="87"/>
      <c r="T1557" s="87"/>
      <c r="U1557" s="84">
        <v>1</v>
      </c>
      <c r="V1557" s="84">
        <v>0</v>
      </c>
      <c r="W1557" s="84">
        <v>0</v>
      </c>
      <c r="X1557" s="84">
        <v>0</v>
      </c>
      <c r="Y1557" s="84">
        <v>0</v>
      </c>
      <c r="Z1557" s="84">
        <v>0</v>
      </c>
      <c r="AA1557" s="84">
        <v>0</v>
      </c>
      <c r="AB1557" s="84">
        <v>0</v>
      </c>
      <c r="AC1557" s="84">
        <v>0</v>
      </c>
      <c r="AD1557" s="84">
        <v>0</v>
      </c>
      <c r="AE1557" s="84">
        <v>0</v>
      </c>
      <c r="AF1557" s="84">
        <v>0</v>
      </c>
      <c r="AG1557" s="84">
        <v>0</v>
      </c>
      <c r="AH1557" s="84">
        <v>0</v>
      </c>
      <c r="AI1557" s="84">
        <v>0</v>
      </c>
      <c r="AJ1557" s="84">
        <v>0</v>
      </c>
      <c r="AK1557" s="84">
        <v>0</v>
      </c>
      <c r="AL1557" s="84" cm="1">
        <f t="array" ref="AL1557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10800</v>
      </c>
      <c r="AM1557" s="84" cm="1">
        <f t="array" ref="AM1557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7" s="84" cm="1">
        <f t="array" ref="AN1557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7" s="84" cm="1">
        <f t="array" ref="AO1557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7" s="84" cm="1">
        <f t="array" ref="AP1557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7" s="84" cm="1">
        <f t="array" ref="AQ1557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7" s="84" cm="1">
        <f t="array" ref="AR1557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7" s="84" cm="1">
        <f t="array" ref="AS1557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7" s="84" cm="1">
        <f t="array" ref="AT1557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7" s="84" cm="1">
        <f t="array" ref="AU1557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7" s="84" cm="1">
        <f t="array" ref="AV1557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7" s="84" cm="1">
        <f t="array" ref="AW1557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7" s="84" cm="1">
        <f t="array" ref="AX1557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7" s="84" cm="1">
        <f t="array" ref="AY1557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7" s="84" cm="1">
        <f t="array" ref="AZ1557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7" s="84" cm="1">
        <f t="array" ref="BA1557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7" s="84" cm="1">
        <f t="array" ref="BB1557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7" s="84">
        <f>IF(SUM(Table3[[#This Row],[Column2]:[Column18]])&gt;Table3[[#This Row],[Column19]],Table3[[#This Row],[Column19]],SUM(Table3[[#This Row],[Column2]:[Column18]]))</f>
        <v>10800</v>
      </c>
      <c r="BD1557" s="2">
        <f>Table3[[#This Row],[Total Spend]]/SUM(Table3[[#This Row],[Column2]:[Column18]])</f>
        <v>1</v>
      </c>
    </row>
    <row r="1558" spans="1:56">
      <c r="A1558" s="84" t="s">
        <v>1633</v>
      </c>
      <c r="B1558" s="84"/>
      <c r="C1558" s="84"/>
      <c r="D1558" s="85">
        <v>45566</v>
      </c>
      <c r="E1558" s="85" t="s">
        <v>92</v>
      </c>
      <c r="F1558" s="84">
        <f>INDEX(Definitions!$G$13:$G$17,MATCH(Table3[[#This Row],[Propensity to buy/ buyer readiness]],Definitions!$A$13:$A$17,0))</f>
        <v>10000</v>
      </c>
      <c r="G1558" s="86">
        <v>2</v>
      </c>
      <c r="H1558" s="86">
        <v>3</v>
      </c>
      <c r="I1558" s="86">
        <v>2</v>
      </c>
      <c r="J1558" s="86">
        <v>3</v>
      </c>
      <c r="K1558" s="86">
        <v>2</v>
      </c>
      <c r="L1558" s="86">
        <f>SUM(Table3[[#This Row],[Strategic priority segment]:[Propensity to buy/ buyer readiness]])</f>
        <v>12</v>
      </c>
      <c r="M1558" s="86" t="s">
        <v>152</v>
      </c>
      <c r="N1558" s="84" t="s">
        <v>264</v>
      </c>
      <c r="O1558" s="84"/>
      <c r="P1558" s="84"/>
      <c r="Q1558" s="84"/>
      <c r="R1558" s="84"/>
      <c r="S1558" s="87"/>
      <c r="T1558" s="87"/>
      <c r="U1558" s="84">
        <v>1</v>
      </c>
      <c r="V1558" s="84">
        <v>0</v>
      </c>
      <c r="W1558" s="84">
        <v>0</v>
      </c>
      <c r="X1558" s="84">
        <v>0</v>
      </c>
      <c r="Y1558" s="84">
        <v>0</v>
      </c>
      <c r="Z1558" s="84">
        <v>0</v>
      </c>
      <c r="AA1558" s="84">
        <v>0</v>
      </c>
      <c r="AB1558" s="84">
        <v>0</v>
      </c>
      <c r="AC1558" s="84">
        <v>0</v>
      </c>
      <c r="AD1558" s="84">
        <v>0</v>
      </c>
      <c r="AE1558" s="84">
        <v>0</v>
      </c>
      <c r="AF1558" s="84">
        <v>0</v>
      </c>
      <c r="AG1558" s="84">
        <v>0</v>
      </c>
      <c r="AH1558" s="84">
        <v>0</v>
      </c>
      <c r="AI1558" s="84">
        <v>0</v>
      </c>
      <c r="AJ1558" s="84">
        <v>0</v>
      </c>
      <c r="AK1558" s="84">
        <v>0</v>
      </c>
      <c r="AL1558" s="84" cm="1">
        <f t="array" ref="AL1558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58" s="84" cm="1">
        <f t="array" ref="AM1558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8" s="84" cm="1">
        <f t="array" ref="AN1558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8" s="84" cm="1">
        <f t="array" ref="AO1558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8" s="84" cm="1">
        <f t="array" ref="AP1558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8" s="84" cm="1">
        <f t="array" ref="AQ1558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8" s="84" cm="1">
        <f t="array" ref="AR1558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8" s="84" cm="1">
        <f t="array" ref="AS1558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8" s="84" cm="1">
        <f t="array" ref="AT1558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8" s="84" cm="1">
        <f t="array" ref="AU1558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8" s="84" cm="1">
        <f t="array" ref="AV1558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8" s="84" cm="1">
        <f t="array" ref="AW1558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8" s="84" cm="1">
        <f t="array" ref="AX1558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8" s="84" cm="1">
        <f t="array" ref="AY1558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8" s="84" cm="1">
        <f t="array" ref="AZ1558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8" s="84" cm="1">
        <f t="array" ref="BA1558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8" s="84" cm="1">
        <f t="array" ref="BB1558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8" s="84">
        <f>IF(SUM(Table3[[#This Row],[Column2]:[Column18]])&gt;Table3[[#This Row],[Column19]],Table3[[#This Row],[Column19]],SUM(Table3[[#This Row],[Column2]:[Column18]]))</f>
        <v>8100</v>
      </c>
      <c r="BD1558" s="2">
        <f>Table3[[#This Row],[Total Spend]]/SUM(Table3[[#This Row],[Column2]:[Column18]])</f>
        <v>1</v>
      </c>
    </row>
    <row r="1559" spans="1:56">
      <c r="A1559" s="84" t="s">
        <v>1634</v>
      </c>
      <c r="B1559" s="84" t="s">
        <v>57</v>
      </c>
      <c r="C1559" s="84"/>
      <c r="D1559" s="85">
        <v>45566</v>
      </c>
      <c r="E1559" s="85" t="s">
        <v>92</v>
      </c>
      <c r="F1559" s="84">
        <f>INDEX(Definitions!$G$13:$G$17,MATCH(Table3[[#This Row],[Propensity to buy/ buyer readiness]],Definitions!$A$13:$A$17,0))</f>
        <v>10000</v>
      </c>
      <c r="G1559" s="86">
        <v>2</v>
      </c>
      <c r="H1559" s="86">
        <v>2</v>
      </c>
      <c r="I1559" s="86">
        <v>3</v>
      </c>
      <c r="J1559" s="86">
        <v>3</v>
      </c>
      <c r="K1559" s="86">
        <v>2</v>
      </c>
      <c r="L1559" s="86">
        <f>SUM(Table3[[#This Row],[Strategic priority segment]:[Propensity to buy/ buyer readiness]])</f>
        <v>12</v>
      </c>
      <c r="M1559" s="86" t="s">
        <v>152</v>
      </c>
      <c r="N1559" s="84" t="s">
        <v>1133</v>
      </c>
      <c r="O1559" s="84"/>
      <c r="P1559" s="87"/>
      <c r="Q1559" s="87"/>
      <c r="R1559" s="84"/>
      <c r="S1559" s="84"/>
      <c r="T1559" s="87"/>
      <c r="U1559" s="84">
        <v>1</v>
      </c>
      <c r="V1559" s="84">
        <v>0</v>
      </c>
      <c r="W1559" s="84">
        <v>0</v>
      </c>
      <c r="X1559" s="84">
        <v>0</v>
      </c>
      <c r="Y1559" s="84">
        <v>0</v>
      </c>
      <c r="Z1559" s="84">
        <v>0</v>
      </c>
      <c r="AA1559" s="84">
        <v>0</v>
      </c>
      <c r="AB1559" s="84">
        <v>0</v>
      </c>
      <c r="AC1559" s="84">
        <v>0</v>
      </c>
      <c r="AD1559" s="84">
        <v>0</v>
      </c>
      <c r="AE1559" s="84">
        <v>0</v>
      </c>
      <c r="AF1559" s="84">
        <v>0</v>
      </c>
      <c r="AG1559" s="84">
        <v>0</v>
      </c>
      <c r="AH1559" s="84">
        <v>0</v>
      </c>
      <c r="AI1559" s="84">
        <v>0</v>
      </c>
      <c r="AJ1559" s="84">
        <v>0</v>
      </c>
      <c r="AK1559" s="84">
        <v>0</v>
      </c>
      <c r="AL1559" s="84" cm="1">
        <f t="array" ref="AL1559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59" s="84" cm="1">
        <f t="array" ref="AM1559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59" s="84" cm="1">
        <f t="array" ref="AN1559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59" s="84" cm="1">
        <f t="array" ref="AO1559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59" s="84" cm="1">
        <f t="array" ref="AP1559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59" s="84" cm="1">
        <f t="array" ref="AQ1559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59" s="84" cm="1">
        <f t="array" ref="AR1559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59" s="84" cm="1">
        <f t="array" ref="AS1559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59" s="84" cm="1">
        <f t="array" ref="AT1559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59" s="84" cm="1">
        <f t="array" ref="AU1559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59" s="84" cm="1">
        <f t="array" ref="AV1559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59" s="84" cm="1">
        <f t="array" ref="AW1559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59" s="84" cm="1">
        <f t="array" ref="AX1559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59" s="84" cm="1">
        <f t="array" ref="AY1559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59" s="84" cm="1">
        <f t="array" ref="AZ1559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59" s="84" cm="1">
        <f t="array" ref="BA1559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59" s="84" cm="1">
        <f t="array" ref="BB1559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59" s="84">
        <f>IF(SUM(Table3[[#This Row],[Column2]:[Column18]])&gt;Table3[[#This Row],[Column19]],Table3[[#This Row],[Column19]],SUM(Table3[[#This Row],[Column2]:[Column18]]))</f>
        <v>8100</v>
      </c>
      <c r="BD1559" s="2">
        <f>Table3[[#This Row],[Total Spend]]/SUM(Table3[[#This Row],[Column2]:[Column18]])</f>
        <v>1</v>
      </c>
    </row>
    <row r="1560" spans="1:56">
      <c r="A1560" s="84" t="s">
        <v>1635</v>
      </c>
      <c r="B1560" s="84"/>
      <c r="C1560" s="84"/>
      <c r="D1560" s="85">
        <v>45566</v>
      </c>
      <c r="E1560" s="85" t="s">
        <v>92</v>
      </c>
      <c r="F1560" s="84">
        <f>INDEX(Definitions!$G$13:$G$17,MATCH(Table3[[#This Row],[Propensity to buy/ buyer readiness]],Definitions!$A$13:$A$17,0))</f>
        <v>10000</v>
      </c>
      <c r="G1560" s="86">
        <v>1</v>
      </c>
      <c r="H1560" s="86">
        <v>3</v>
      </c>
      <c r="I1560" s="86">
        <v>2</v>
      </c>
      <c r="J1560" s="86">
        <v>3</v>
      </c>
      <c r="K1560" s="86">
        <v>2</v>
      </c>
      <c r="L1560" s="86">
        <f>SUM(Table3[[#This Row],[Strategic priority segment]:[Propensity to buy/ buyer readiness]])</f>
        <v>11</v>
      </c>
      <c r="M1560" s="86" t="s">
        <v>152</v>
      </c>
      <c r="N1560" s="84" t="s">
        <v>264</v>
      </c>
      <c r="O1560" s="84"/>
      <c r="P1560" s="87"/>
      <c r="Q1560" s="87"/>
      <c r="R1560" s="84"/>
      <c r="S1560" s="87"/>
      <c r="T1560" s="84"/>
      <c r="U1560" s="84">
        <v>1</v>
      </c>
      <c r="V1560" s="84">
        <v>0</v>
      </c>
      <c r="W1560" s="84">
        <v>0</v>
      </c>
      <c r="X1560" s="84">
        <v>0</v>
      </c>
      <c r="Y1560" s="84">
        <v>0</v>
      </c>
      <c r="Z1560" s="84">
        <v>0</v>
      </c>
      <c r="AA1560" s="84">
        <v>0</v>
      </c>
      <c r="AB1560" s="84">
        <v>0</v>
      </c>
      <c r="AC1560" s="84">
        <v>0</v>
      </c>
      <c r="AD1560" s="84">
        <v>0</v>
      </c>
      <c r="AE1560" s="84">
        <v>0</v>
      </c>
      <c r="AF1560" s="84">
        <v>0</v>
      </c>
      <c r="AG1560" s="84">
        <v>0</v>
      </c>
      <c r="AH1560" s="84">
        <v>0</v>
      </c>
      <c r="AI1560" s="84">
        <v>0</v>
      </c>
      <c r="AJ1560" s="84">
        <v>0</v>
      </c>
      <c r="AK1560" s="84">
        <v>0</v>
      </c>
      <c r="AL1560" s="84" cm="1">
        <f t="array" ref="AL1560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60" s="84" cm="1">
        <f t="array" ref="AM1560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60" s="84" cm="1">
        <f t="array" ref="AN1560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60" s="84" cm="1">
        <f t="array" ref="AO1560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60" s="84" cm="1">
        <f t="array" ref="AP1560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60" s="84" cm="1">
        <f t="array" ref="AQ1560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60" s="84" cm="1">
        <f t="array" ref="AR1560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60" s="84" cm="1">
        <f t="array" ref="AS1560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60" s="84" cm="1">
        <f t="array" ref="AT1560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60" s="84" cm="1">
        <f t="array" ref="AU1560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60" s="84" cm="1">
        <f t="array" ref="AV1560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60" s="84" cm="1">
        <f t="array" ref="AW1560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60" s="84" cm="1">
        <f t="array" ref="AX1560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60" s="84" cm="1">
        <f t="array" ref="AY1560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60" s="84" cm="1">
        <f t="array" ref="AZ1560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60" s="84" cm="1">
        <f t="array" ref="BA1560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60" s="84" cm="1">
        <f t="array" ref="BB1560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60" s="84">
        <f>IF(SUM(Table3[[#This Row],[Column2]:[Column18]])&gt;Table3[[#This Row],[Column19]],Table3[[#This Row],[Column19]],SUM(Table3[[#This Row],[Column2]:[Column18]]))</f>
        <v>8100</v>
      </c>
      <c r="BD1560" s="2">
        <f>Table3[[#This Row],[Total Spend]]/SUM(Table3[[#This Row],[Column2]:[Column18]])</f>
        <v>1</v>
      </c>
    </row>
    <row r="1561" spans="1:56">
      <c r="A1561" s="84" t="s">
        <v>1636</v>
      </c>
      <c r="B1561" s="84"/>
      <c r="C1561" s="84"/>
      <c r="D1561" s="85">
        <v>45566</v>
      </c>
      <c r="E1561" s="85" t="s">
        <v>92</v>
      </c>
      <c r="F1561" s="84">
        <f>INDEX(Definitions!$G$13:$G$17,MATCH(Table3[[#This Row],[Propensity to buy/ buyer readiness]],Definitions!$A$13:$A$17,0))</f>
        <v>10000</v>
      </c>
      <c r="G1561" s="86">
        <v>1</v>
      </c>
      <c r="H1561" s="86">
        <v>3</v>
      </c>
      <c r="I1561" s="86">
        <v>2</v>
      </c>
      <c r="J1561" s="86">
        <v>3</v>
      </c>
      <c r="K1561" s="86">
        <v>2</v>
      </c>
      <c r="L1561" s="86">
        <f>SUM(Table3[[#This Row],[Strategic priority segment]:[Propensity to buy/ buyer readiness]])</f>
        <v>11</v>
      </c>
      <c r="M1561" s="86" t="s">
        <v>152</v>
      </c>
      <c r="N1561" s="84" t="s">
        <v>264</v>
      </c>
      <c r="O1561" s="84"/>
      <c r="P1561" s="87"/>
      <c r="Q1561" s="87"/>
      <c r="R1561" s="84"/>
      <c r="S1561" s="87"/>
      <c r="T1561" s="87"/>
      <c r="U1561" s="84">
        <v>1</v>
      </c>
      <c r="V1561" s="84">
        <v>0</v>
      </c>
      <c r="W1561" s="84">
        <v>0</v>
      </c>
      <c r="X1561" s="84">
        <v>0</v>
      </c>
      <c r="Y1561" s="84">
        <v>0</v>
      </c>
      <c r="Z1561" s="84">
        <v>0</v>
      </c>
      <c r="AA1561" s="84">
        <v>0</v>
      </c>
      <c r="AB1561" s="84">
        <v>0</v>
      </c>
      <c r="AC1561" s="84">
        <v>0</v>
      </c>
      <c r="AD1561" s="84">
        <v>0</v>
      </c>
      <c r="AE1561" s="84">
        <v>0</v>
      </c>
      <c r="AF1561" s="84">
        <v>0</v>
      </c>
      <c r="AG1561" s="84">
        <v>0</v>
      </c>
      <c r="AH1561" s="84">
        <v>0</v>
      </c>
      <c r="AI1561" s="84">
        <v>0</v>
      </c>
      <c r="AJ1561" s="84">
        <v>0</v>
      </c>
      <c r="AK1561" s="84">
        <v>0</v>
      </c>
      <c r="AL1561" s="84" cm="1">
        <f t="array" ref="AL1561">_xlfn.IFS(AND(Table3[[#This Row],[Scale]:[Scale]]="Large",Table3[[#This Row],[Industry Essentials]]=1),INDEX(Definitions!$C$21:$C$37,MATCH(Table3[[#Headers],[Industry Essentials]],Definitions!$A$21:$A$37,0)),AND(Table3[[#This Row],[Scale]:[Scale]]="Small",Table3[[#This Row],[Industry Essentials]]=1),INDEX(Definitions!$B$21:$B$37,MATCH(Table3[[#Headers],[Industry Essentials]],Definitions!$A$21:$A$37,0)),Table3[[#This Row],[Industry Essentials]]=0,0)</f>
        <v>8100</v>
      </c>
      <c r="AM1561" s="84" cm="1">
        <f t="array" ref="AM1561">_xlfn.IFS(AND(Table3[[#This Row],[Scale]:[Scale]]="Large",Table3[[#This Row],[Energy Supply Market Intelligence]]=1),INDEX(Definitions!$C$21:$C$37,MATCH(Table3[[#Headers],[Energy Supply Market Intelligence]],Definitions!$A$21:$A$37,0)),AND(Table3[[#This Row],[Scale]:[Scale]]="Small",Table3[[#This Row],[Energy Supply Market Intelligence]]=1),INDEX(Definitions!$B$21:$B$37,MATCH(Table3[[#Headers],[Energy Supply Market Intelligence]],Definitions!$A$21:$A$37,0)),Table3[[#This Row],[Energy Supply Market Intelligence]]=0,0)</f>
        <v>0</v>
      </c>
      <c r="AN1561" s="84" cm="1">
        <f t="array" ref="AN1561">_xlfn.IFS(AND(Table3[[#This Row],[Scale]:[Scale]]="Large",Table3[[#This Row],[Energy Supply RTM Analysis]]=1),INDEX(Definitions!$C$21:$C$37,MATCH(Table3[[#Headers],[Energy Supply RTM Analysis]],Definitions!$A$21:$A$37,0)),AND(Table3[[#This Row],[Scale]:[Scale]]="Small",Table3[[#This Row],[Energy Supply RTM Analysis]]=1),INDEX(Definitions!$B$21:$B$37,MATCH(Table3[[#Headers],[Energy Supply RTM Analysis]],Definitions!$A$21:$A$37,0)),Table3[[#This Row],[Energy Supply RTM Analysis]]=0,0)</f>
        <v>0</v>
      </c>
      <c r="AO1561" s="84" cm="1">
        <f t="array" ref="AO1561">_xlfn.IFS(AND(Table3[[#This Row],[Scale]:[Scale]]="Large",Table3[[#This Row],[Energy Supply Forecasts]]=1),INDEX(Definitions!$C$21:$C$37,MATCH(Table3[[#Headers],[Energy Supply Forecasts]],Definitions!$A$21:$A$37,0)),AND(Table3[[#This Row],[Scale]:[Scale]]="Small",Table3[[#This Row],[Energy Supply Forecasts]]=1),INDEX(Definitions!$B$21:$B$37,MATCH(Table3[[#Headers],[Energy Supply Forecasts]],Definitions!$A$21:$A$37,0)),Table3[[#This Row],[Energy Supply Forecasts]]=0,0)</f>
        <v>0</v>
      </c>
      <c r="AP1561" s="84" cm="1">
        <f t="array" ref="AP1561">_xlfn.IFS(AND(Table3[[#This Row],[Scale]:[Scale]]="Large",Table3[[#This Row],[Energy Supply Regulation]]=1),INDEX(Definitions!$C$21:$C$37,MATCH(Table3[[#Headers],[Energy Supply Regulation]],Definitions!$A$21:$A$37,0)),AND(Table3[[#This Row],[Scale]:[Scale]]="Small",Table3[[#This Row],[Energy Supply Regulation]]=1),INDEX(Definitions!$B$21:$B$37,MATCH(Table3[[#Headers],[Energy Supply Regulation]],Definitions!$A$21:$A$37,0)),Table3[[#This Row],[Energy Supply Regulation]]=0,0)</f>
        <v>0</v>
      </c>
      <c r="AQ1561" s="84" cm="1">
        <f t="array" ref="AQ1561">_xlfn.IFS(AND(Table3[[#This Row],[Scale]:[Scale]]="Large",Table3[[#This Row],[Renewables Market Intelligence]]=1),INDEX(Definitions!$C$21:$C$37,MATCH(Table3[[#Headers],[Renewables Market Intelligence]],Definitions!$A$21:$A$37,0)),AND(Table3[[#This Row],[Scale]:[Scale]]="Small",Table3[[#This Row],[Renewables Market Intelligence]]=1),INDEX(Definitions!$B$21:$B$37,MATCH(Table3[[#Headers],[Renewables Market Intelligence]],Definitions!$A$21:$A$37,0)),Table3[[#This Row],[Renewables Market Intelligence]]=0,0)</f>
        <v>0</v>
      </c>
      <c r="AR1561" s="84" cm="1">
        <f t="array" ref="AR1561">_xlfn.IFS(AND(Table3[[#This Row],[Scale]:[Scale]]="Large",Table3[[#This Row],[Renewables RTM Analysis]]=1),INDEX(Definitions!$C$21:$C$37,MATCH(Table3[[#Headers],[Renewables RTM Analysis]],Definitions!$A$21:$A$37,0)),AND(Table3[[#This Row],[Scale]:[Scale]]="Small",Table3[[#This Row],[Renewables RTM Analysis]]=1),INDEX(Definitions!$B$21:$B$37,MATCH(Table3[[#Headers],[Renewables RTM Analysis]],Definitions!$A$21:$A$37,0)),Table3[[#This Row],[Renewables RTM Analysis]]=0,0)</f>
        <v>0</v>
      </c>
      <c r="AS1561" s="84" cm="1">
        <f t="array" ref="AS1561">_xlfn.IFS(AND(Table3[[#This Row],[Scale]:[Scale]]="Large",Table3[[#This Row],[Renewables Forecasts]]=1),INDEX(Definitions!$C$21:$C$37,MATCH(Table3[[#Headers],[Renewables Forecasts]],Definitions!$A$21:$A$37,0)),AND(Table3[[#This Row],[Scale]:[Scale]]="Small",Table3[[#This Row],[Renewables Forecasts]]=1),INDEX(Definitions!$B$21:$B$37,MATCH(Table3[[#Headers],[Renewables Forecasts]],Definitions!$A$21:$A$37,0)),Table3[[#This Row],[Renewables Forecasts]]=0,0)</f>
        <v>0</v>
      </c>
      <c r="AT1561" s="84" cm="1">
        <f t="array" ref="AT1561">_xlfn.IFS(AND(Table3[[#This Row],[Scale]:[Scale]]="Large",Table3[[#This Row],[Renewables Regulation]]=1),INDEX(Definitions!$C$21:$C$37,MATCH(Table3[[#Headers],[Renewables Regulation]],Definitions!$A$21:$A$37,0)),AND(Table3[[#This Row],[Scale]:[Scale]]="Small",Table3[[#This Row],[Renewables Regulation]]=1),INDEX(Definitions!$B$21:$B$37,MATCH(Table3[[#Headers],[Renewables Regulation]],Definitions!$A$21:$A$37,0)),Table3[[#This Row],[Renewables Regulation]]=0,0)</f>
        <v>0</v>
      </c>
      <c r="AU1561" s="84" cm="1">
        <f t="array" ref="AU1561">_xlfn.IFS(AND(Table3[[#This Row],[Scale]:[Scale]]="Large",Table3[[#This Row],[Flexibility Market Intelligence]]=1),INDEX(Definitions!$C$21:$C$37,MATCH(Table3[[#Headers],[Flexibility Market Intelligence]],Definitions!$A$21:$A$37,0)),AND(Table3[[#This Row],[Scale]:[Scale]]="Small",Table3[[#This Row],[Flexibility Market Intelligence]]=1),INDEX(Definitions!$B$21:$B$37,MATCH(Table3[[#Headers],[Flexibility Market Intelligence]],Definitions!$A$21:$A$37,0)),Table3[[#This Row],[Flexibility Market Intelligence]]=0,0)</f>
        <v>0</v>
      </c>
      <c r="AV1561" s="84" cm="1">
        <f t="array" ref="AV1561">_xlfn.IFS(AND(Table3[[#This Row],[Scale]:[Scale]]="Large",Table3[[#This Row],[Flexibility RTM Analysis]]=1),INDEX(Definitions!$C$21:$C$37,MATCH(Table3[[#Headers],[Flexibility RTM Analysis]],Definitions!$A$21:$A$37,0)),AND(Table3[[#This Row],[Scale]:[Scale]]="Small",Table3[[#This Row],[Flexibility RTM Analysis]]=1),INDEX(Definitions!$B$21:$B$37,MATCH(Table3[[#Headers],[Flexibility RTM Analysis]],Definitions!$A$21:$A$37,0)),Table3[[#This Row],[Flexibility RTM Analysis]]=0,0)</f>
        <v>0</v>
      </c>
      <c r="AW1561" s="84" cm="1">
        <f t="array" ref="AW1561">_xlfn.IFS(AND(Table3[[#This Row],[Scale]:[Scale]]="Large",Table3[[#This Row],[Flexibility Forecasts]]=1),INDEX(Definitions!$C$21:$C$37,MATCH(Table3[[#Headers],[Flexibility Forecasts]],Definitions!$A$21:$A$37,0)),AND(Table3[[#This Row],[Scale]:[Scale]]="Small",Table3[[#This Row],[Flexibility Forecasts]]=1),INDEX(Definitions!$B$21:$B$37,MATCH(Table3[[#Headers],[Flexibility Forecasts]],Definitions!$A$21:$A$37,0)),Table3[[#This Row],[Flexibility Forecasts]]=0,0)</f>
        <v>0</v>
      </c>
      <c r="AX1561" s="84" cm="1">
        <f t="array" ref="AX1561">_xlfn.IFS(AND(Table3[[#This Row],[Scale]:[Scale]]="Large",Table3[[#This Row],[Flexibility Regulation]]=1),INDEX(Definitions!$C$21:$C$37,MATCH(Table3[[#Headers],[Flexibility Regulation]],Definitions!$A$21:$A$37,0)),AND(Table3[[#This Row],[Scale]:[Scale]]="Small",Table3[[#This Row],[Flexibility Regulation]]=1),INDEX(Definitions!$B$21:$B$37,MATCH(Table3[[#Headers],[Flexibility Regulation]],Definitions!$A$21:$A$37,0)),Table3[[#This Row],[Flexibility Regulation]]=0,0)</f>
        <v>0</v>
      </c>
      <c r="AY1561" s="84" cm="1">
        <f t="array" ref="AY1561">_xlfn.IFS(AND(Table3[[#This Row],[Scale]:[Scale]]="Large",Table3[[#This Row],[Business Energy Essentials]]=1),INDEX(Definitions!$C$21:$C$37,MATCH(Table3[[#Headers],[Business Energy Essentials]],Definitions!$A$21:$A$37,0)),AND(Table3[[#This Row],[Scale]:[Scale]]="Small",Table3[[#This Row],[Business Energy Essentials]]=1),INDEX(Definitions!$B$21:$B$37,MATCH(Table3[[#Headers],[Business Energy Essentials]],Definitions!$A$21:$A$37,0)),Table3[[#This Row],[Business Energy Essentials]]=0,0)</f>
        <v>0</v>
      </c>
      <c r="AZ1561" s="84" cm="1">
        <f t="array" ref="AZ1561">_xlfn.IFS(AND(Table3[[#This Row],[Scale]:[Scale]]="Large",Table3[[#This Row],[Energy User RTM Analysis]]=1),INDEX(Definitions!$C$21:$C$37,MATCH(Table3[[#Headers],[Energy User RTM Analysis]],Definitions!$A$21:$A$37,0)),AND(Table3[[#This Row],[Scale]:[Scale]]="Small",Table3[[#This Row],[Energy User RTM Analysis]]=1),INDEX(Definitions!$B$21:$B$37,MATCH(Table3[[#Headers],[Energy User RTM Analysis]],Definitions!$A$21:$A$37,0)),Table3[[#This Row],[Energy User RTM Analysis]]=0,0)</f>
        <v>0</v>
      </c>
      <c r="BA1561" s="84" cm="1">
        <f t="array" ref="BA1561">_xlfn.IFS(AND(Table3[[#This Row],[Scale]:[Scale]]="Large",Table3[[#This Row],[Energy User Forecasts]]=1),INDEX(Definitions!$C$21:$C$37,MATCH(Table3[[#Headers],[Energy User Forecasts]],Definitions!$A$21:$A$37,0)),AND(Table3[[#This Row],[Scale]:[Scale]]="Small",Table3[[#This Row],[Energy User Forecasts]]=1),INDEX(Definitions!$B$21:$B$37,MATCH(Table3[[#Headers],[Energy User Forecasts]],Definitions!$A$21:$A$37,0)),Table3[[#This Row],[Energy User Forecasts]]=0,0)</f>
        <v>0</v>
      </c>
      <c r="BB1561" s="84" cm="1">
        <f t="array" ref="BB1561">_xlfn.IFS(AND(Table3[[#This Row],[Scale]:[Scale]]="Large",Table3[[#This Row],[Energy User Regulation]]=1),INDEX(Definitions!$C$21:$C$37,MATCH(Table3[[#Headers],[Energy User Regulation]],Definitions!$A$21:$A$37,0)),AND(Table3[[#This Row],[Scale]:[Scale]]="Small",Table3[[#This Row],[Energy User Regulation]]=1),INDEX(Definitions!$B$21:$B$37,MATCH(Table3[[#Headers],[Energy User Regulation]],Definitions!$A$21:$A$37,0)),Table3[[#This Row],[Energy User Regulation]]=0,0)</f>
        <v>0</v>
      </c>
      <c r="BC1561" s="84">
        <f>IF(SUM(Table3[[#This Row],[Column2]:[Column18]])&gt;Table3[[#This Row],[Column19]],Table3[[#This Row],[Column19]],SUM(Table3[[#This Row],[Column2]:[Column18]]))</f>
        <v>8100</v>
      </c>
      <c r="BD1561" s="2">
        <f>Table3[[#This Row],[Total Spend]]/SUM(Table3[[#This Row],[Column2]:[Column18]])</f>
        <v>1</v>
      </c>
    </row>
    <row r="1562" spans="1:56">
      <c r="D1562" s="46"/>
      <c r="E1562" s="46"/>
      <c r="F1562" s="66" t="e">
        <v>#REF!</v>
      </c>
      <c r="G1562" s="66"/>
      <c r="H1562" s="66"/>
      <c r="I1562" s="66"/>
      <c r="J1562" s="66"/>
      <c r="K1562" s="66" t="e">
        <f>SUM(Table3[[#This Row],[Column19]:[Competitive advantage]])</f>
        <v>#VALUE!</v>
      </c>
      <c r="L1562" s="66" t="e">
        <v>#REF!</v>
      </c>
      <c r="O1562" s="4"/>
      <c r="P1562" s="4"/>
      <c r="T1562" s="2">
        <f>IF(OR(IFERROR(MATCH($M1562, 'New pivot'!$B$2:$P$2,0),0)&gt;0, IFERROR(MATCH($N1562, 'New pivot'!$B$2:$P$2,0),0)&gt;0, IFERROR(MATCH($O1562, 'New pivot'!$B$2:$P$2,0),0)&gt;0, IFERROR(MATCH($P1562, 'New pivot'!$B$2:$P$2,0),0)&gt;0, IFERROR(MATCH($Q1562, 'New pivot'!$B$2:$P$2,0),0)&gt;0, IFERROR(MATCH($R1562, 'New pivot'!$B$2:$P$2,0),0)&gt;0), 1, 0)</f>
        <v>0</v>
      </c>
      <c r="U1562" s="2">
        <f>IF(OR(IFERROR(MATCH($M1562, 'New pivot'!$B$3:$P$3,0),0)&gt;0, IFERROR(MATCH($N1562, 'New pivot'!$B$3:$P$3,0),0)&gt;0, IFERROR(MATCH($O1562, 'New pivot'!$B$3:$P$3,0),0)&gt;0, IFERROR(MATCH($P1562, 'New pivot'!$B$3:$P$3,0),0)&gt;0, IFERROR(MATCH($Q1562, 'New pivot'!$B$3:$P$3,0),0)&gt;0, IFERROR(MATCH($R1562, 'New pivot'!$B$3:$P$3,0),0)&gt;0), 1, 0)</f>
        <v>0</v>
      </c>
      <c r="V1562" s="2">
        <f>IF(OR(IFERROR(MATCH($M1562, 'New pivot'!$B$4:$P$4,0),0)&gt;0, IFERROR(MATCH($N1562, 'New pivot'!$B$4:$P$4,0),0)&gt;0, IFERROR(MATCH($O1562, 'New pivot'!$B$4:$P$4,0),0)&gt;0, IFERROR(MATCH($P1562, 'New pivot'!$B$4:$P$4,0),0)&gt;0, IFERROR(MATCH($Q1562, 'New pivot'!$B$4:$P$4,0),0)&gt;0, IFERROR(MATCH($R1562, 'New pivot'!$B$4:$P$4,0),0)&gt;0), 1, 0)</f>
        <v>0</v>
      </c>
      <c r="W1562" s="2">
        <f>IF(OR(IFERROR(MATCH($M1562, 'New pivot'!$B$5:$P$5,0),0)&gt;0, IFERROR(MATCH($N1562, 'New pivot'!$B$5:$P$5,0),0)&gt;0, IFERROR(MATCH($O1562, 'New pivot'!$B$5:$P$5,0),0)&gt;0, IFERROR(MATCH($P1562, 'New pivot'!$B$5:$P$5,0),0)&gt;0, IFERROR(MATCH($Q1562, 'New pivot'!$B$5:$P$5,0),0)&gt;0, IFERROR(MATCH($R1562, 'New pivot'!$B$5:$P$5,0),0)&gt;0), 1, 0)</f>
        <v>0</v>
      </c>
      <c r="X1562" s="2">
        <f>IF(OR(IFERROR(MATCH($M1562, 'New pivot'!$B$6:$P$6,0),0)&gt;0, IFERROR(MATCH($N1562, 'New pivot'!$B$6:$P$6,0),0)&gt;0, IFERROR(MATCH($O1562, 'New pivot'!$B$6:$P$6,0),0)&gt;0, IFERROR(MATCH($P1562, 'New pivot'!$B$6:$P$6,0),0)&gt;0, IFERROR(MATCH($Q1562, 'New pivot'!$B$6:$P$6,0),0)&gt;0, IFERROR(MATCH($R1562, 'New pivot'!$B$6:$P$6,0),0)&gt;0), 1, 0)</f>
        <v>0</v>
      </c>
      <c r="Y1562" s="2">
        <f>IF(OR(IFERROR(MATCH($M1562, 'New pivot'!$B$7:$P$7,0),0)&gt;0, IFERROR(MATCH($N1562, 'New pivot'!$B$7:$P$7,0),0)&gt;0, IFERROR(MATCH($O1562, 'New pivot'!$B$7:$P$7,0),0)&gt;0, IFERROR(MATCH($P1562, 'New pivot'!$B$7:$P$7,0),0)&gt;0, IFERROR(MATCH($Q1562, 'New pivot'!$B$7:$P$7,0),0)&gt;0, IFERROR(MATCH($R1562, 'New pivot'!$B$7:$P$7,0),0)&gt;0), 1, 0)</f>
        <v>0</v>
      </c>
      <c r="Z1562" s="2">
        <f>IF(OR(IFERROR(MATCH($M1562, 'New pivot'!$B$8:$P$8,0),0)&gt;0, IFERROR(MATCH($N1562, 'New pivot'!$B$8:$P$8,0),0)&gt;0, IFERROR(MATCH($O1562, 'New pivot'!$B$8:$P$8,0),0)&gt;0, IFERROR(MATCH($P1562, 'New pivot'!$B$8:$P$8,0),0)&gt;0, IFERROR(MATCH($Q1562, 'New pivot'!$B$8:$P$8,0),0)&gt;0, IFERROR(MATCH($R1562, 'New pivot'!$B$8:$P$8,0),0)&gt;0), 1, 0)</f>
        <v>0</v>
      </c>
      <c r="AA1562" s="2">
        <f>IF(OR(IFERROR(MATCH($M1562, 'New pivot'!$B$9:$P$9,0),0)&gt;0, IFERROR(MATCH($N1562, 'New pivot'!$B$9:$P$9,0),0)&gt;0, IFERROR(MATCH($O1562, 'New pivot'!$B$9:$P$9,0),0)&gt;0, IFERROR(MATCH($P1562, 'New pivot'!$B$9:$P$9,0),0)&gt;0, IFERROR(MATCH($Q1562, 'New pivot'!$B$9:$P$9,0),0)&gt;0, IFERROR(MATCH($R1562, 'New pivot'!$B$9:$P$9,0),0)&gt;0), 1, 0)</f>
        <v>0</v>
      </c>
      <c r="AB1562" s="2">
        <f>IF(OR(IFERROR(MATCH($M1562, 'New pivot'!$B$10:$P$10,0),0)&gt;0, IFERROR(MATCH($N1562, 'New pivot'!$B$10:$P$10,0),0)&gt;0, IFERROR(MATCH($O1562, 'New pivot'!$B$10:$P$10,0),0)&gt;0, IFERROR(MATCH($P1562, 'New pivot'!$B$10:$P$10,0),0)&gt;0, IFERROR(MATCH($Q1562, 'New pivot'!$B$10:$P$10,0),0)&gt;0, IFERROR(MATCH($R1562, 'New pivot'!$B$10:$P$10,0),0)&gt;0), 1, 0)</f>
        <v>0</v>
      </c>
      <c r="AC1562" s="2">
        <f>IF(OR(IFERROR(MATCH($M1562, 'New pivot'!$B$11:$P$11,0),0)&gt;0, IFERROR(MATCH($N1562, 'New pivot'!$B$11:$P$11,0),0)&gt;0, IFERROR(MATCH($O1562, 'New pivot'!$B$11:$P$11,0),0)&gt;0, IFERROR(MATCH($P1562, 'New pivot'!$B$11:$P$11,0),0)&gt;0, IFERROR(MATCH($Q1562, 'New pivot'!$B$11:$P$11,0),0)&gt;0, IFERROR(MATCH($R1562, 'New pivot'!$B$11:$P$11,0),0)&gt;0), 1, 0)</f>
        <v>0</v>
      </c>
      <c r="AD1562" s="2">
        <f>IF(OR(IFERROR(MATCH($M1562, 'New pivot'!$B$12:$P$12,0),0)&gt;0, IFERROR(MATCH($N1562, 'New pivot'!$B$12:$P$12,0),0)&gt;0, IFERROR(MATCH($O1562, 'New pivot'!$B$12:$P$12,0),0)&gt;0, IFERROR(MATCH($P1562, 'New pivot'!$B$12:$P$12,0),0)&gt;0, IFERROR(MATCH($Q1562, 'New pivot'!$B$12:$P$12,0),0)&gt;0, IFERROR(MATCH($R1562, 'New pivot'!$B$12:$P$12,0),0)&gt;0), 1, 0)</f>
        <v>0</v>
      </c>
      <c r="AE1562" s="2">
        <f>IF(OR(IFERROR(MATCH($M1562, 'New pivot'!$B$13:$P$13,0),0)&gt;0, IFERROR(MATCH($N1562, 'New pivot'!$B$13:$P$13,0),0)&gt;0, IFERROR(MATCH($O1562, 'New pivot'!$B$13:$P$13,0),0)&gt;0, IFERROR(MATCH($P1562, 'New pivot'!$B$13:$P$13,0),0)&gt;0, IFERROR(MATCH($Q1562, 'New pivot'!$B$13:$P$13,0),0)&gt;0, IFERROR(MATCH($R1562, 'New pivot'!$B$13:$P$13,0),0)&gt;0), 1, 0)</f>
        <v>0</v>
      </c>
      <c r="AF1562" s="2">
        <f>IF(OR(IFERROR(MATCH($M1562, 'New pivot'!$B$14:$P$14,0),0)&gt;0, IFERROR(MATCH($N1562, 'New pivot'!$B$14:$P$14,0),0)&gt;0, IFERROR(MATCH($O1562, 'New pivot'!$B$14:$P$14,0),0)&gt;0, IFERROR(MATCH($P1562, 'New pivot'!$B$14:$P$14,0),0)&gt;0, IFERROR(MATCH($Q1562, 'New pivot'!$B$14:$P$14,0),0)&gt;0, IFERROR(MATCH($R1562, 'New pivot'!$B$14:$P$14,0),0)&gt;0), 1, 0)</f>
        <v>0</v>
      </c>
      <c r="AG1562" s="2">
        <f>IF(OR(IFERROR(MATCH($M1562, 'New pivot'!$B$15:$P$15,0),0)&gt;0, IFERROR(MATCH($N1562, 'New pivot'!$B$15:$P$15,0),0)&gt;0, IFERROR(MATCH($O1562, 'New pivot'!$B$15:$P$15,0),0)&gt;0, IFERROR(MATCH($P1562, 'New pivot'!$B$15:$P$15,0),0)&gt;0, IFERROR(MATCH($Q1562, 'New pivot'!$B$15:$P$15,0),0)&gt;0, IFERROR(MATCH($R1562, 'New pivot'!$B$15:$P$15,0),0)&gt;0), 1, 0)</f>
        <v>0</v>
      </c>
      <c r="AH1562" s="2">
        <f>IF(OR(IFERROR(MATCH($M1562, 'New pivot'!$B$16:$P$16,0),0)&gt;0, IFERROR(MATCH($N1562, 'New pivot'!$B$16:$P$16,0),0)&gt;0, IFERROR(MATCH($O1562, 'New pivot'!$B$16:$P$16,0),0)&gt;0, IFERROR(MATCH($P1562, 'New pivot'!$B$16:$P$16,0),0)&gt;0, IFERROR(MATCH($Q1562, 'New pivot'!$B$16:$P$16,0),0)&gt;0, IFERROR(MATCH($R1562, 'New pivot'!$B$16:$P$16,0),0)&gt;0), 1, 0)</f>
        <v>0</v>
      </c>
      <c r="AI1562" s="2">
        <f>IF(OR(IFERROR(MATCH($M1562, 'New pivot'!$B$17:$P$17,0),0)&gt;0, IFERROR(MATCH($N1562, 'New pivot'!$B$17:$P$17,0),0)&gt;0, IFERROR(MATCH($O1562, 'New pivot'!$B$17:$P$17,0),0)&gt;0, IFERROR(MATCH($P1562, 'New pivot'!$B$17:$P$17,0),0)&gt;0, IFERROR(MATCH($Q1562, 'New pivot'!$B$17:$P$17,0),0)&gt;0, IFERROR(MATCH($R1562, 'New pivot'!$B$17:$P$17,0),0)&gt;0), 1, 0)</f>
        <v>0</v>
      </c>
      <c r="AJ1562" s="2">
        <f>IF(OR(IFERROR(MATCH($M1562, 'New pivot'!$B$18:$P$18,0),0)&gt;0, IFERROR(MATCH($N1562, 'New pivot'!$B$18:$P$18,0),0)&gt;0, IFERROR(MATCH($O1562, 'New pivot'!$B$18:$P$18,0),0)&gt;0, IFERROR(MATCH($P1562, 'New pivot'!$B$18:$P$18,0),0)&gt;0, IFERROR(MATCH($Q1562, 'New pivot'!$B$18:$P$18,0),0)&gt;0, IFERROR(MATCH($R1562, 'New pivot'!$B$18:$P$18,0),0)&gt;0), 1, 0)</f>
        <v>0</v>
      </c>
      <c r="AK1562" s="2" cm="1">
        <f t="array" ref="AK1562">_xlfn.IFS(SUMPRODUCT((Table1_1[[Product/Package]:[Product/Package]]=AK$2)*(Table1_1[[Value]:[Value]]=$M1562))=1,1,SUMPRODUCT((Table1_1[[Product/Package]:[Product/Package]]=AK$2)*(Table1_1[[Value]:[Value]]=$N1562))=1,1,SUMPRODUCT((Table1_1[[Product/Package]:[Product/Package]]=AK$2)*(Table1_1[[Value]:[Value]]=$O1562))=1,1,SUMPRODUCT((Table1_1[[Product/Package]:[Product/Package]]=AK$2)*(Table1_1[[Value]:[Value]]=$P1562))=1,1,SUMPRODUCT((Table1_1[[Product/Package]:[Product/Package]]=AK$2)*(Table1_1[[Value]:[Value]]=$Q1562))=1,1,SUMPRODUCT((Table1_1[[Product/Package]:[Product/Package]]=AK$2)*(Table1_1[[Value]:[Value]]=$R1562))&lt;&gt;1,0)</f>
        <v>0</v>
      </c>
      <c r="AL1562" s="2" t="e">
        <v>#REF!</v>
      </c>
      <c r="AM1562" s="2" t="e">
        <v>#REF!</v>
      </c>
      <c r="AN1562" s="2" t="e">
        <v>#REF!</v>
      </c>
      <c r="AO1562" s="2" t="e">
        <v>#REF!</v>
      </c>
      <c r="AP1562" s="2" t="e">
        <v>#REF!</v>
      </c>
      <c r="AQ1562" s="2" t="e">
        <v>#REF!</v>
      </c>
      <c r="AR1562" s="2" t="e">
        <v>#REF!</v>
      </c>
      <c r="AS1562" s="2" t="e">
        <v>#REF!</v>
      </c>
      <c r="AT1562" s="2" t="e">
        <v>#REF!</v>
      </c>
      <c r="AU1562" s="2" t="e">
        <v>#REF!</v>
      </c>
      <c r="AV1562" s="2" t="e">
        <v>#REF!</v>
      </c>
      <c r="AW1562" s="2" t="e">
        <v>#REF!</v>
      </c>
      <c r="AX1562" s="2" t="e">
        <v>#REF!</v>
      </c>
      <c r="AY1562" s="2" t="e">
        <v>#REF!</v>
      </c>
      <c r="AZ1562" s="2" t="e">
        <v>#REF!</v>
      </c>
      <c r="BA1562" s="2" t="e">
        <v>#REF!</v>
      </c>
      <c r="BB1562" s="2" t="e">
        <v>#REF!</v>
      </c>
      <c r="BC1562" s="2" t="e">
        <v>#REF!</v>
      </c>
    </row>
    <row r="1563" spans="1:56">
      <c r="F1563" s="2" t="e">
        <v>#REF!</v>
      </c>
      <c r="K1563" s="66" t="e">
        <f>SUM(Table3[[#This Row],[Column19]:[Competitive advantage]])</f>
        <v>#VALUE!</v>
      </c>
      <c r="L1563" s="66" t="e">
        <v>#REF!</v>
      </c>
      <c r="O1563" s="4"/>
      <c r="P1563" s="4"/>
      <c r="R1563" s="4"/>
      <c r="S1563" s="4"/>
      <c r="T1563" s="2">
        <f>IF(OR(IFERROR(MATCH($M1563, 'New pivot'!$B$2:$P$2,0),0)&gt;0, IFERROR(MATCH($N1563, 'New pivot'!$B$2:$P$2,0),0)&gt;0, IFERROR(MATCH($O1563, 'New pivot'!$B$2:$P$2,0),0)&gt;0, IFERROR(MATCH($P1563, 'New pivot'!$B$2:$P$2,0),0)&gt;0, IFERROR(MATCH($Q1563, 'New pivot'!$B$2:$P$2,0),0)&gt;0, IFERROR(MATCH($R1563, 'New pivot'!$B$2:$P$2,0),0)&gt;0), 1, 0)</f>
        <v>0</v>
      </c>
      <c r="U1563" s="2">
        <f>IF(OR(IFERROR(MATCH($M1563, 'New pivot'!$B$3:$P$3,0),0)&gt;0, IFERROR(MATCH($N1563, 'New pivot'!$B$3:$P$3,0),0)&gt;0, IFERROR(MATCH($O1563, 'New pivot'!$B$3:$P$3,0),0)&gt;0, IFERROR(MATCH($P1563, 'New pivot'!$B$3:$P$3,0),0)&gt;0, IFERROR(MATCH($Q1563, 'New pivot'!$B$3:$P$3,0),0)&gt;0, IFERROR(MATCH($R1563, 'New pivot'!$B$3:$P$3,0),0)&gt;0), 1, 0)</f>
        <v>0</v>
      </c>
      <c r="V1563" s="2">
        <f>IF(OR(IFERROR(MATCH($M1563, 'New pivot'!$B$4:$P$4,0),0)&gt;0, IFERROR(MATCH($N1563, 'New pivot'!$B$4:$P$4,0),0)&gt;0, IFERROR(MATCH($O1563, 'New pivot'!$B$4:$P$4,0),0)&gt;0, IFERROR(MATCH($P1563, 'New pivot'!$B$4:$P$4,0),0)&gt;0, IFERROR(MATCH($Q1563, 'New pivot'!$B$4:$P$4,0),0)&gt;0, IFERROR(MATCH($R1563, 'New pivot'!$B$4:$P$4,0),0)&gt;0), 1, 0)</f>
        <v>0</v>
      </c>
      <c r="W1563" s="2">
        <f>IF(OR(IFERROR(MATCH($M1563, 'New pivot'!$B$5:$P$5,0),0)&gt;0, IFERROR(MATCH($N1563, 'New pivot'!$B$5:$P$5,0),0)&gt;0, IFERROR(MATCH($O1563, 'New pivot'!$B$5:$P$5,0),0)&gt;0, IFERROR(MATCH($P1563, 'New pivot'!$B$5:$P$5,0),0)&gt;0, IFERROR(MATCH($Q1563, 'New pivot'!$B$5:$P$5,0),0)&gt;0, IFERROR(MATCH($R1563, 'New pivot'!$B$5:$P$5,0),0)&gt;0), 1, 0)</f>
        <v>0</v>
      </c>
      <c r="X1563" s="2">
        <f>IF(OR(IFERROR(MATCH($M1563, 'New pivot'!$B$6:$P$6,0),0)&gt;0, IFERROR(MATCH($N1563, 'New pivot'!$B$6:$P$6,0),0)&gt;0, IFERROR(MATCH($O1563, 'New pivot'!$B$6:$P$6,0),0)&gt;0, IFERROR(MATCH($P1563, 'New pivot'!$B$6:$P$6,0),0)&gt;0, IFERROR(MATCH($Q1563, 'New pivot'!$B$6:$P$6,0),0)&gt;0, IFERROR(MATCH($R1563, 'New pivot'!$B$6:$P$6,0),0)&gt;0), 1, 0)</f>
        <v>0</v>
      </c>
      <c r="Y1563" s="2">
        <f>IF(OR(IFERROR(MATCH($M1563, 'New pivot'!$B$7:$P$7,0),0)&gt;0, IFERROR(MATCH($N1563, 'New pivot'!$B$7:$P$7,0),0)&gt;0, IFERROR(MATCH($O1563, 'New pivot'!$B$7:$P$7,0),0)&gt;0, IFERROR(MATCH($P1563, 'New pivot'!$B$7:$P$7,0),0)&gt;0, IFERROR(MATCH($Q1563, 'New pivot'!$B$7:$P$7,0),0)&gt;0, IFERROR(MATCH($R1563, 'New pivot'!$B$7:$P$7,0),0)&gt;0), 1, 0)</f>
        <v>0</v>
      </c>
      <c r="Z1563" s="2">
        <f>IF(OR(IFERROR(MATCH($M1563, 'New pivot'!$B$8:$P$8,0),0)&gt;0, IFERROR(MATCH($N1563, 'New pivot'!$B$8:$P$8,0),0)&gt;0, IFERROR(MATCH($O1563, 'New pivot'!$B$8:$P$8,0),0)&gt;0, IFERROR(MATCH($P1563, 'New pivot'!$B$8:$P$8,0),0)&gt;0, IFERROR(MATCH($Q1563, 'New pivot'!$B$8:$P$8,0),0)&gt;0, IFERROR(MATCH($R1563, 'New pivot'!$B$8:$P$8,0),0)&gt;0), 1, 0)</f>
        <v>0</v>
      </c>
      <c r="AA1563" s="2">
        <f>IF(OR(IFERROR(MATCH($M1563, 'New pivot'!$B$9:$P$9,0),0)&gt;0, IFERROR(MATCH($N1563, 'New pivot'!$B$9:$P$9,0),0)&gt;0, IFERROR(MATCH($O1563, 'New pivot'!$B$9:$P$9,0),0)&gt;0, IFERROR(MATCH($P1563, 'New pivot'!$B$9:$P$9,0),0)&gt;0, IFERROR(MATCH($Q1563, 'New pivot'!$B$9:$P$9,0),0)&gt;0, IFERROR(MATCH($R1563, 'New pivot'!$B$9:$P$9,0),0)&gt;0), 1, 0)</f>
        <v>0</v>
      </c>
      <c r="AB1563" s="2">
        <f>IF(OR(IFERROR(MATCH($M1563, 'New pivot'!$B$10:$P$10,0),0)&gt;0, IFERROR(MATCH($N1563, 'New pivot'!$B$10:$P$10,0),0)&gt;0, IFERROR(MATCH($O1563, 'New pivot'!$B$10:$P$10,0),0)&gt;0, IFERROR(MATCH($P1563, 'New pivot'!$B$10:$P$10,0),0)&gt;0, IFERROR(MATCH($Q1563, 'New pivot'!$B$10:$P$10,0),0)&gt;0, IFERROR(MATCH($R1563, 'New pivot'!$B$10:$P$10,0),0)&gt;0), 1, 0)</f>
        <v>0</v>
      </c>
      <c r="AC1563" s="2">
        <f>IF(OR(IFERROR(MATCH($M1563, 'New pivot'!$B$11:$P$11,0),0)&gt;0, IFERROR(MATCH($N1563, 'New pivot'!$B$11:$P$11,0),0)&gt;0, IFERROR(MATCH($O1563, 'New pivot'!$B$11:$P$11,0),0)&gt;0, IFERROR(MATCH($P1563, 'New pivot'!$B$11:$P$11,0),0)&gt;0, IFERROR(MATCH($Q1563, 'New pivot'!$B$11:$P$11,0),0)&gt;0, IFERROR(MATCH($R1563, 'New pivot'!$B$11:$P$11,0),0)&gt;0), 1, 0)</f>
        <v>0</v>
      </c>
      <c r="AD1563" s="2">
        <f>IF(OR(IFERROR(MATCH($M1563, 'New pivot'!$B$12:$P$12,0),0)&gt;0, IFERROR(MATCH($N1563, 'New pivot'!$B$12:$P$12,0),0)&gt;0, IFERROR(MATCH($O1563, 'New pivot'!$B$12:$P$12,0),0)&gt;0, IFERROR(MATCH($P1563, 'New pivot'!$B$12:$P$12,0),0)&gt;0, IFERROR(MATCH($Q1563, 'New pivot'!$B$12:$P$12,0),0)&gt;0, IFERROR(MATCH($R1563, 'New pivot'!$B$12:$P$12,0),0)&gt;0), 1, 0)</f>
        <v>0</v>
      </c>
      <c r="AE1563" s="2">
        <f>IF(OR(IFERROR(MATCH($M1563, 'New pivot'!$B$13:$P$13,0),0)&gt;0, IFERROR(MATCH($N1563, 'New pivot'!$B$13:$P$13,0),0)&gt;0, IFERROR(MATCH($O1563, 'New pivot'!$B$13:$P$13,0),0)&gt;0, IFERROR(MATCH($P1563, 'New pivot'!$B$13:$P$13,0),0)&gt;0, IFERROR(MATCH($Q1563, 'New pivot'!$B$13:$P$13,0),0)&gt;0, IFERROR(MATCH($R1563, 'New pivot'!$B$13:$P$13,0),0)&gt;0), 1, 0)</f>
        <v>0</v>
      </c>
      <c r="AF1563" s="2">
        <f>IF(OR(IFERROR(MATCH($M1563, 'New pivot'!$B$14:$P$14,0),0)&gt;0, IFERROR(MATCH($N1563, 'New pivot'!$B$14:$P$14,0),0)&gt;0, IFERROR(MATCH($O1563, 'New pivot'!$B$14:$P$14,0),0)&gt;0, IFERROR(MATCH($P1563, 'New pivot'!$B$14:$P$14,0),0)&gt;0, IFERROR(MATCH($Q1563, 'New pivot'!$B$14:$P$14,0),0)&gt;0, IFERROR(MATCH($R1563, 'New pivot'!$B$14:$P$14,0),0)&gt;0), 1, 0)</f>
        <v>0</v>
      </c>
      <c r="AG1563" s="2">
        <f>IF(OR(IFERROR(MATCH($M1563, 'New pivot'!$B$15:$P$15,0),0)&gt;0, IFERROR(MATCH($N1563, 'New pivot'!$B$15:$P$15,0),0)&gt;0, IFERROR(MATCH($O1563, 'New pivot'!$B$15:$P$15,0),0)&gt;0, IFERROR(MATCH($P1563, 'New pivot'!$B$15:$P$15,0),0)&gt;0, IFERROR(MATCH($Q1563, 'New pivot'!$B$15:$P$15,0),0)&gt;0, IFERROR(MATCH($R1563, 'New pivot'!$B$15:$P$15,0),0)&gt;0), 1, 0)</f>
        <v>0</v>
      </c>
      <c r="AH1563" s="2">
        <f>IF(OR(IFERROR(MATCH($M1563, 'New pivot'!$B$16:$P$16,0),0)&gt;0, IFERROR(MATCH($N1563, 'New pivot'!$B$16:$P$16,0),0)&gt;0, IFERROR(MATCH($O1563, 'New pivot'!$B$16:$P$16,0),0)&gt;0, IFERROR(MATCH($P1563, 'New pivot'!$B$16:$P$16,0),0)&gt;0, IFERROR(MATCH($Q1563, 'New pivot'!$B$16:$P$16,0),0)&gt;0, IFERROR(MATCH($R1563, 'New pivot'!$B$16:$P$16,0),0)&gt;0), 1, 0)</f>
        <v>0</v>
      </c>
      <c r="AI1563" s="2">
        <f>IF(OR(IFERROR(MATCH($M1563, 'New pivot'!$B$17:$P$17,0),0)&gt;0, IFERROR(MATCH($N1563, 'New pivot'!$B$17:$P$17,0),0)&gt;0, IFERROR(MATCH($O1563, 'New pivot'!$B$17:$P$17,0),0)&gt;0, IFERROR(MATCH($P1563, 'New pivot'!$B$17:$P$17,0),0)&gt;0, IFERROR(MATCH($Q1563, 'New pivot'!$B$17:$P$17,0),0)&gt;0, IFERROR(MATCH($R1563, 'New pivot'!$B$17:$P$17,0),0)&gt;0), 1, 0)</f>
        <v>0</v>
      </c>
      <c r="AJ1563" s="2">
        <f>IF(OR(IFERROR(MATCH($M1563, 'New pivot'!$B$18:$P$18,0),0)&gt;0, IFERROR(MATCH($N1563, 'New pivot'!$B$18:$P$18,0),0)&gt;0, IFERROR(MATCH($O1563, 'New pivot'!$B$18:$P$18,0),0)&gt;0, IFERROR(MATCH($P1563, 'New pivot'!$B$18:$P$18,0),0)&gt;0, IFERROR(MATCH($Q1563, 'New pivot'!$B$18:$P$18,0),0)&gt;0, IFERROR(MATCH($R1563, 'New pivot'!$B$18:$P$18,0),0)&gt;0), 1, 0)</f>
        <v>0</v>
      </c>
      <c r="AK1563" s="2" cm="1">
        <f t="array" ref="AK1563">_xlfn.IFS(SUMPRODUCT((Table1_1[[Product/Package]:[Product/Package]]=AK$2)*(Table1_1[[Value]:[Value]]=$M1563))=1,1,SUMPRODUCT((Table1_1[[Product/Package]:[Product/Package]]=AK$2)*(Table1_1[[Value]:[Value]]=$N1563))=1,1,SUMPRODUCT((Table1_1[[Product/Package]:[Product/Package]]=AK$2)*(Table1_1[[Value]:[Value]]=$O1563))=1,1,SUMPRODUCT((Table1_1[[Product/Package]:[Product/Package]]=AK$2)*(Table1_1[[Value]:[Value]]=$P1563))=1,1,SUMPRODUCT((Table1_1[[Product/Package]:[Product/Package]]=AK$2)*(Table1_1[[Value]:[Value]]=$Q1563))=1,1,SUMPRODUCT((Table1_1[[Product/Package]:[Product/Package]]=AK$2)*(Table1_1[[Value]:[Value]]=$R1563))&lt;&gt;1,0)</f>
        <v>0</v>
      </c>
      <c r="AL1563" s="2" t="e">
        <v>#REF!</v>
      </c>
      <c r="AM1563" s="2" t="e">
        <v>#REF!</v>
      </c>
      <c r="AN1563" s="2" t="e">
        <v>#REF!</v>
      </c>
      <c r="AO1563" s="2" t="e">
        <v>#REF!</v>
      </c>
      <c r="AP1563" s="2" t="e">
        <v>#REF!</v>
      </c>
      <c r="AQ1563" s="2" t="e">
        <v>#REF!</v>
      </c>
      <c r="AR1563" s="2" t="e">
        <v>#REF!</v>
      </c>
      <c r="AS1563" s="2" t="e">
        <v>#REF!</v>
      </c>
      <c r="AT1563" s="2" t="e">
        <v>#REF!</v>
      </c>
      <c r="AU1563" s="2" t="e">
        <v>#REF!</v>
      </c>
      <c r="AV1563" s="2" t="e">
        <v>#REF!</v>
      </c>
      <c r="AW1563" s="2" t="e">
        <v>#REF!</v>
      </c>
      <c r="AX1563" s="2" t="e">
        <v>#REF!</v>
      </c>
      <c r="AY1563" s="2" t="e">
        <v>#REF!</v>
      </c>
      <c r="AZ1563" s="2" t="e">
        <v>#REF!</v>
      </c>
      <c r="BA1563" s="2" t="e">
        <v>#REF!</v>
      </c>
      <c r="BB1563" s="2" t="e">
        <v>#REF!</v>
      </c>
      <c r="BC1563" s="2" t="e">
        <v>#REF!</v>
      </c>
    </row>
    <row r="1564" spans="1:56">
      <c r="F1564" s="2" t="e">
        <v>#REF!</v>
      </c>
      <c r="K1564" s="66" t="e">
        <f>SUM(Table3[[#This Row],[Column19]:[Competitive advantage]])</f>
        <v>#VALUE!</v>
      </c>
      <c r="L1564" s="66" t="e">
        <v>#REF!</v>
      </c>
      <c r="O1564" s="4"/>
      <c r="P1564" s="4"/>
      <c r="R1564" s="4"/>
      <c r="S1564" s="4"/>
      <c r="T1564" s="2">
        <f>IF(OR(IFERROR(MATCH($M1564, 'New pivot'!$B$2:$P$2,0),0)&gt;0, IFERROR(MATCH($N1564, 'New pivot'!$B$2:$P$2,0),0)&gt;0, IFERROR(MATCH($O1564, 'New pivot'!$B$2:$P$2,0),0)&gt;0, IFERROR(MATCH($P1564, 'New pivot'!$B$2:$P$2,0),0)&gt;0, IFERROR(MATCH($Q1564, 'New pivot'!$B$2:$P$2,0),0)&gt;0, IFERROR(MATCH($R1564, 'New pivot'!$B$2:$P$2,0),0)&gt;0), 1, 0)</f>
        <v>0</v>
      </c>
      <c r="U1564" s="2">
        <f>IF(OR(IFERROR(MATCH($M1564, 'New pivot'!$B$3:$P$3,0),0)&gt;0, IFERROR(MATCH($N1564, 'New pivot'!$B$3:$P$3,0),0)&gt;0, IFERROR(MATCH($O1564, 'New pivot'!$B$3:$P$3,0),0)&gt;0, IFERROR(MATCH($P1564, 'New pivot'!$B$3:$P$3,0),0)&gt;0, IFERROR(MATCH($Q1564, 'New pivot'!$B$3:$P$3,0),0)&gt;0, IFERROR(MATCH($R1564, 'New pivot'!$B$3:$P$3,0),0)&gt;0), 1, 0)</f>
        <v>0</v>
      </c>
      <c r="V1564" s="2">
        <f>IF(OR(IFERROR(MATCH($M1564, 'New pivot'!$B$4:$P$4,0),0)&gt;0, IFERROR(MATCH($N1564, 'New pivot'!$B$4:$P$4,0),0)&gt;0, IFERROR(MATCH($O1564, 'New pivot'!$B$4:$P$4,0),0)&gt;0, IFERROR(MATCH($P1564, 'New pivot'!$B$4:$P$4,0),0)&gt;0, IFERROR(MATCH($Q1564, 'New pivot'!$B$4:$P$4,0),0)&gt;0, IFERROR(MATCH($R1564, 'New pivot'!$B$4:$P$4,0),0)&gt;0), 1, 0)</f>
        <v>0</v>
      </c>
      <c r="W1564" s="2">
        <f>IF(OR(IFERROR(MATCH($M1564, 'New pivot'!$B$5:$P$5,0),0)&gt;0, IFERROR(MATCH($N1564, 'New pivot'!$B$5:$P$5,0),0)&gt;0, IFERROR(MATCH($O1564, 'New pivot'!$B$5:$P$5,0),0)&gt;0, IFERROR(MATCH($P1564, 'New pivot'!$B$5:$P$5,0),0)&gt;0, IFERROR(MATCH($Q1564, 'New pivot'!$B$5:$P$5,0),0)&gt;0, IFERROR(MATCH($R1564, 'New pivot'!$B$5:$P$5,0),0)&gt;0), 1, 0)</f>
        <v>0</v>
      </c>
      <c r="X1564" s="2">
        <f>IF(OR(IFERROR(MATCH($M1564, 'New pivot'!$B$6:$P$6,0),0)&gt;0, IFERROR(MATCH($N1564, 'New pivot'!$B$6:$P$6,0),0)&gt;0, IFERROR(MATCH($O1564, 'New pivot'!$B$6:$P$6,0),0)&gt;0, IFERROR(MATCH($P1564, 'New pivot'!$B$6:$P$6,0),0)&gt;0, IFERROR(MATCH($Q1564, 'New pivot'!$B$6:$P$6,0),0)&gt;0, IFERROR(MATCH($R1564, 'New pivot'!$B$6:$P$6,0),0)&gt;0), 1, 0)</f>
        <v>0</v>
      </c>
      <c r="Y1564" s="2">
        <f>IF(OR(IFERROR(MATCH($M1564, 'New pivot'!$B$7:$P$7,0),0)&gt;0, IFERROR(MATCH($N1564, 'New pivot'!$B$7:$P$7,0),0)&gt;0, IFERROR(MATCH($O1564, 'New pivot'!$B$7:$P$7,0),0)&gt;0, IFERROR(MATCH($P1564, 'New pivot'!$B$7:$P$7,0),0)&gt;0, IFERROR(MATCH($Q1564, 'New pivot'!$B$7:$P$7,0),0)&gt;0, IFERROR(MATCH($R1564, 'New pivot'!$B$7:$P$7,0),0)&gt;0), 1, 0)</f>
        <v>0</v>
      </c>
      <c r="Z1564" s="2">
        <f>IF(OR(IFERROR(MATCH($M1564, 'New pivot'!$B$8:$P$8,0),0)&gt;0, IFERROR(MATCH($N1564, 'New pivot'!$B$8:$P$8,0),0)&gt;0, IFERROR(MATCH($O1564, 'New pivot'!$B$8:$P$8,0),0)&gt;0, IFERROR(MATCH($P1564, 'New pivot'!$B$8:$P$8,0),0)&gt;0, IFERROR(MATCH($Q1564, 'New pivot'!$B$8:$P$8,0),0)&gt;0, IFERROR(MATCH($R1564, 'New pivot'!$B$8:$P$8,0),0)&gt;0), 1, 0)</f>
        <v>0</v>
      </c>
      <c r="AA1564" s="2">
        <f>IF(OR(IFERROR(MATCH($M1564, 'New pivot'!$B$9:$P$9,0),0)&gt;0, IFERROR(MATCH($N1564, 'New pivot'!$B$9:$P$9,0),0)&gt;0, IFERROR(MATCH($O1564, 'New pivot'!$B$9:$P$9,0),0)&gt;0, IFERROR(MATCH($P1564, 'New pivot'!$B$9:$P$9,0),0)&gt;0, IFERROR(MATCH($Q1564, 'New pivot'!$B$9:$P$9,0),0)&gt;0, IFERROR(MATCH($R1564, 'New pivot'!$B$9:$P$9,0),0)&gt;0), 1, 0)</f>
        <v>0</v>
      </c>
      <c r="AB1564" s="2">
        <f>IF(OR(IFERROR(MATCH($M1564, 'New pivot'!$B$10:$P$10,0),0)&gt;0, IFERROR(MATCH($N1564, 'New pivot'!$B$10:$P$10,0),0)&gt;0, IFERROR(MATCH($O1564, 'New pivot'!$B$10:$P$10,0),0)&gt;0, IFERROR(MATCH($P1564, 'New pivot'!$B$10:$P$10,0),0)&gt;0, IFERROR(MATCH($Q1564, 'New pivot'!$B$10:$P$10,0),0)&gt;0, IFERROR(MATCH($R1564, 'New pivot'!$B$10:$P$10,0),0)&gt;0), 1, 0)</f>
        <v>0</v>
      </c>
      <c r="AC1564" s="2">
        <f>IF(OR(IFERROR(MATCH($M1564, 'New pivot'!$B$11:$P$11,0),0)&gt;0, IFERROR(MATCH($N1564, 'New pivot'!$B$11:$P$11,0),0)&gt;0, IFERROR(MATCH($O1564, 'New pivot'!$B$11:$P$11,0),0)&gt;0, IFERROR(MATCH($P1564, 'New pivot'!$B$11:$P$11,0),0)&gt;0, IFERROR(MATCH($Q1564, 'New pivot'!$B$11:$P$11,0),0)&gt;0, IFERROR(MATCH($R1564, 'New pivot'!$B$11:$P$11,0),0)&gt;0), 1, 0)</f>
        <v>0</v>
      </c>
      <c r="AD1564" s="2">
        <f>IF(OR(IFERROR(MATCH($M1564, 'New pivot'!$B$12:$P$12,0),0)&gt;0, IFERROR(MATCH($N1564, 'New pivot'!$B$12:$P$12,0),0)&gt;0, IFERROR(MATCH($O1564, 'New pivot'!$B$12:$P$12,0),0)&gt;0, IFERROR(MATCH($P1564, 'New pivot'!$B$12:$P$12,0),0)&gt;0, IFERROR(MATCH($Q1564, 'New pivot'!$B$12:$P$12,0),0)&gt;0, IFERROR(MATCH($R1564, 'New pivot'!$B$12:$P$12,0),0)&gt;0), 1, 0)</f>
        <v>0</v>
      </c>
      <c r="AE1564" s="2">
        <f>IF(OR(IFERROR(MATCH($M1564, 'New pivot'!$B$13:$P$13,0),0)&gt;0, IFERROR(MATCH($N1564, 'New pivot'!$B$13:$P$13,0),0)&gt;0, IFERROR(MATCH($O1564, 'New pivot'!$B$13:$P$13,0),0)&gt;0, IFERROR(MATCH($P1564, 'New pivot'!$B$13:$P$13,0),0)&gt;0, IFERROR(MATCH($Q1564, 'New pivot'!$B$13:$P$13,0),0)&gt;0, IFERROR(MATCH($R1564, 'New pivot'!$B$13:$P$13,0),0)&gt;0), 1, 0)</f>
        <v>0</v>
      </c>
      <c r="AF1564" s="2">
        <f>IF(OR(IFERROR(MATCH($M1564, 'New pivot'!$B$14:$P$14,0),0)&gt;0, IFERROR(MATCH($N1564, 'New pivot'!$B$14:$P$14,0),0)&gt;0, IFERROR(MATCH($O1564, 'New pivot'!$B$14:$P$14,0),0)&gt;0, IFERROR(MATCH($P1564, 'New pivot'!$B$14:$P$14,0),0)&gt;0, IFERROR(MATCH($Q1564, 'New pivot'!$B$14:$P$14,0),0)&gt;0, IFERROR(MATCH($R1564, 'New pivot'!$B$14:$P$14,0),0)&gt;0), 1, 0)</f>
        <v>0</v>
      </c>
      <c r="AG1564" s="2">
        <f>IF(OR(IFERROR(MATCH($M1564, 'New pivot'!$B$15:$P$15,0),0)&gt;0, IFERROR(MATCH($N1564, 'New pivot'!$B$15:$P$15,0),0)&gt;0, IFERROR(MATCH($O1564, 'New pivot'!$B$15:$P$15,0),0)&gt;0, IFERROR(MATCH($P1564, 'New pivot'!$B$15:$P$15,0),0)&gt;0, IFERROR(MATCH($Q1564, 'New pivot'!$B$15:$P$15,0),0)&gt;0, IFERROR(MATCH($R1564, 'New pivot'!$B$15:$P$15,0),0)&gt;0), 1, 0)</f>
        <v>0</v>
      </c>
      <c r="AH1564" s="2">
        <f>IF(OR(IFERROR(MATCH($M1564, 'New pivot'!$B$16:$P$16,0),0)&gt;0, IFERROR(MATCH($N1564, 'New pivot'!$B$16:$P$16,0),0)&gt;0, IFERROR(MATCH($O1564, 'New pivot'!$B$16:$P$16,0),0)&gt;0, IFERROR(MATCH($P1564, 'New pivot'!$B$16:$P$16,0),0)&gt;0, IFERROR(MATCH($Q1564, 'New pivot'!$B$16:$P$16,0),0)&gt;0, IFERROR(MATCH($R1564, 'New pivot'!$B$16:$P$16,0),0)&gt;0), 1, 0)</f>
        <v>0</v>
      </c>
      <c r="AI1564" s="2">
        <f>IF(OR(IFERROR(MATCH($M1564, 'New pivot'!$B$17:$P$17,0),0)&gt;0, IFERROR(MATCH($N1564, 'New pivot'!$B$17:$P$17,0),0)&gt;0, IFERROR(MATCH($O1564, 'New pivot'!$B$17:$P$17,0),0)&gt;0, IFERROR(MATCH($P1564, 'New pivot'!$B$17:$P$17,0),0)&gt;0, IFERROR(MATCH($Q1564, 'New pivot'!$B$17:$P$17,0),0)&gt;0, IFERROR(MATCH($R1564, 'New pivot'!$B$17:$P$17,0),0)&gt;0), 1, 0)</f>
        <v>0</v>
      </c>
      <c r="AJ1564" s="2">
        <f>IF(OR(IFERROR(MATCH($M1564, 'New pivot'!$B$18:$P$18,0),0)&gt;0, IFERROR(MATCH($N1564, 'New pivot'!$B$18:$P$18,0),0)&gt;0, IFERROR(MATCH($O1564, 'New pivot'!$B$18:$P$18,0),0)&gt;0, IFERROR(MATCH($P1564, 'New pivot'!$B$18:$P$18,0),0)&gt;0, IFERROR(MATCH($Q1564, 'New pivot'!$B$18:$P$18,0),0)&gt;0, IFERROR(MATCH($R1564, 'New pivot'!$B$18:$P$18,0),0)&gt;0), 1, 0)</f>
        <v>0</v>
      </c>
      <c r="AK1564" s="2" cm="1">
        <f t="array" ref="AK1564">_xlfn.IFS(SUMPRODUCT((Table1_1[[Product/Package]:[Product/Package]]=AK$2)*(Table1_1[[Value]:[Value]]=$M1564))=1,1,SUMPRODUCT((Table1_1[[Product/Package]:[Product/Package]]=AK$2)*(Table1_1[[Value]:[Value]]=$N1564))=1,1,SUMPRODUCT((Table1_1[[Product/Package]:[Product/Package]]=AK$2)*(Table1_1[[Value]:[Value]]=$O1564))=1,1,SUMPRODUCT((Table1_1[[Product/Package]:[Product/Package]]=AK$2)*(Table1_1[[Value]:[Value]]=$P1564))=1,1,SUMPRODUCT((Table1_1[[Product/Package]:[Product/Package]]=AK$2)*(Table1_1[[Value]:[Value]]=$Q1564))=1,1,SUMPRODUCT((Table1_1[[Product/Package]:[Product/Package]]=AK$2)*(Table1_1[[Value]:[Value]]=$R1564))&lt;&gt;1,0)</f>
        <v>0</v>
      </c>
      <c r="AL1564" s="2" t="e">
        <v>#REF!</v>
      </c>
      <c r="AM1564" s="2" t="e">
        <v>#REF!</v>
      </c>
      <c r="AN1564" s="2" t="e">
        <v>#REF!</v>
      </c>
      <c r="AO1564" s="2" t="e">
        <v>#REF!</v>
      </c>
      <c r="AP1564" s="2" t="e">
        <v>#REF!</v>
      </c>
      <c r="AQ1564" s="2" t="e">
        <v>#REF!</v>
      </c>
      <c r="AR1564" s="2" t="e">
        <v>#REF!</v>
      </c>
      <c r="AS1564" s="2" t="e">
        <v>#REF!</v>
      </c>
      <c r="AT1564" s="2" t="e">
        <v>#REF!</v>
      </c>
      <c r="AU1564" s="2" t="e">
        <v>#REF!</v>
      </c>
      <c r="AV1564" s="2" t="e">
        <v>#REF!</v>
      </c>
      <c r="AW1564" s="2" t="e">
        <v>#REF!</v>
      </c>
      <c r="AX1564" s="2" t="e">
        <v>#REF!</v>
      </c>
      <c r="AY1564" s="2" t="e">
        <v>#REF!</v>
      </c>
      <c r="AZ1564" s="2" t="e">
        <v>#REF!</v>
      </c>
      <c r="BA1564" s="2" t="e">
        <v>#REF!</v>
      </c>
      <c r="BB1564" s="2" t="e">
        <v>#REF!</v>
      </c>
      <c r="BC1564" s="2" t="e">
        <v>#REF!</v>
      </c>
    </row>
    <row r="1565" spans="1:56">
      <c r="F1565" s="2" t="e">
        <v>#REF!</v>
      </c>
      <c r="K1565" s="66" t="e">
        <f>SUM(Table3[[#This Row],[Column19]:[Competitive advantage]])</f>
        <v>#VALUE!</v>
      </c>
      <c r="L1565" s="66" t="e">
        <v>#REF!</v>
      </c>
      <c r="O1565" s="4"/>
      <c r="P1565" s="4"/>
      <c r="R1565" s="4"/>
      <c r="S1565" s="4"/>
      <c r="T1565" s="2">
        <f>IF(OR(IFERROR(MATCH($M1565, 'New pivot'!$B$2:$P$2,0),0)&gt;0, IFERROR(MATCH($N1565, 'New pivot'!$B$2:$P$2,0),0)&gt;0, IFERROR(MATCH($O1565, 'New pivot'!$B$2:$P$2,0),0)&gt;0, IFERROR(MATCH($P1565, 'New pivot'!$B$2:$P$2,0),0)&gt;0, IFERROR(MATCH($Q1565, 'New pivot'!$B$2:$P$2,0),0)&gt;0, IFERROR(MATCH($R1565, 'New pivot'!$B$2:$P$2,0),0)&gt;0), 1, 0)</f>
        <v>0</v>
      </c>
      <c r="U1565" s="2">
        <f>IF(OR(IFERROR(MATCH($M1565, 'New pivot'!$B$3:$P$3,0),0)&gt;0, IFERROR(MATCH($N1565, 'New pivot'!$B$3:$P$3,0),0)&gt;0, IFERROR(MATCH($O1565, 'New pivot'!$B$3:$P$3,0),0)&gt;0, IFERROR(MATCH($P1565, 'New pivot'!$B$3:$P$3,0),0)&gt;0, IFERROR(MATCH($Q1565, 'New pivot'!$B$3:$P$3,0),0)&gt;0, IFERROR(MATCH($R1565, 'New pivot'!$B$3:$P$3,0),0)&gt;0), 1, 0)</f>
        <v>0</v>
      </c>
      <c r="V1565" s="2">
        <f>IF(OR(IFERROR(MATCH($M1565, 'New pivot'!$B$4:$P$4,0),0)&gt;0, IFERROR(MATCH($N1565, 'New pivot'!$B$4:$P$4,0),0)&gt;0, IFERROR(MATCH($O1565, 'New pivot'!$B$4:$P$4,0),0)&gt;0, IFERROR(MATCH($P1565, 'New pivot'!$B$4:$P$4,0),0)&gt;0, IFERROR(MATCH($Q1565, 'New pivot'!$B$4:$P$4,0),0)&gt;0, IFERROR(MATCH($R1565, 'New pivot'!$B$4:$P$4,0),0)&gt;0), 1, 0)</f>
        <v>0</v>
      </c>
      <c r="W1565" s="2">
        <f>IF(OR(IFERROR(MATCH($M1565, 'New pivot'!$B$5:$P$5,0),0)&gt;0, IFERROR(MATCH($N1565, 'New pivot'!$B$5:$P$5,0),0)&gt;0, IFERROR(MATCH($O1565, 'New pivot'!$B$5:$P$5,0),0)&gt;0, IFERROR(MATCH($P1565, 'New pivot'!$B$5:$P$5,0),0)&gt;0, IFERROR(MATCH($Q1565, 'New pivot'!$B$5:$P$5,0),0)&gt;0, IFERROR(MATCH($R1565, 'New pivot'!$B$5:$P$5,0),0)&gt;0), 1, 0)</f>
        <v>0</v>
      </c>
      <c r="X1565" s="2">
        <f>IF(OR(IFERROR(MATCH($M1565, 'New pivot'!$B$6:$P$6,0),0)&gt;0, IFERROR(MATCH($N1565, 'New pivot'!$B$6:$P$6,0),0)&gt;0, IFERROR(MATCH($O1565, 'New pivot'!$B$6:$P$6,0),0)&gt;0, IFERROR(MATCH($P1565, 'New pivot'!$B$6:$P$6,0),0)&gt;0, IFERROR(MATCH($Q1565, 'New pivot'!$B$6:$P$6,0),0)&gt;0, IFERROR(MATCH($R1565, 'New pivot'!$B$6:$P$6,0),0)&gt;0), 1, 0)</f>
        <v>0</v>
      </c>
      <c r="Y1565" s="2">
        <f>IF(OR(IFERROR(MATCH($M1565, 'New pivot'!$B$7:$P$7,0),0)&gt;0, IFERROR(MATCH($N1565, 'New pivot'!$B$7:$P$7,0),0)&gt;0, IFERROR(MATCH($O1565, 'New pivot'!$B$7:$P$7,0),0)&gt;0, IFERROR(MATCH($P1565, 'New pivot'!$B$7:$P$7,0),0)&gt;0, IFERROR(MATCH($Q1565, 'New pivot'!$B$7:$P$7,0),0)&gt;0, IFERROR(MATCH($R1565, 'New pivot'!$B$7:$P$7,0),0)&gt;0), 1, 0)</f>
        <v>0</v>
      </c>
      <c r="Z1565" s="2">
        <f>IF(OR(IFERROR(MATCH($M1565, 'New pivot'!$B$8:$P$8,0),0)&gt;0, IFERROR(MATCH($N1565, 'New pivot'!$B$8:$P$8,0),0)&gt;0, IFERROR(MATCH($O1565, 'New pivot'!$B$8:$P$8,0),0)&gt;0, IFERROR(MATCH($P1565, 'New pivot'!$B$8:$P$8,0),0)&gt;0, IFERROR(MATCH($Q1565, 'New pivot'!$B$8:$P$8,0),0)&gt;0, IFERROR(MATCH($R1565, 'New pivot'!$B$8:$P$8,0),0)&gt;0), 1, 0)</f>
        <v>0</v>
      </c>
      <c r="AA1565" s="2">
        <f>IF(OR(IFERROR(MATCH($M1565, 'New pivot'!$B$9:$P$9,0),0)&gt;0, IFERROR(MATCH($N1565, 'New pivot'!$B$9:$P$9,0),0)&gt;0, IFERROR(MATCH($O1565, 'New pivot'!$B$9:$P$9,0),0)&gt;0, IFERROR(MATCH($P1565, 'New pivot'!$B$9:$P$9,0),0)&gt;0, IFERROR(MATCH($Q1565, 'New pivot'!$B$9:$P$9,0),0)&gt;0, IFERROR(MATCH($R1565, 'New pivot'!$B$9:$P$9,0),0)&gt;0), 1, 0)</f>
        <v>0</v>
      </c>
      <c r="AB1565" s="2">
        <f>IF(OR(IFERROR(MATCH($M1565, 'New pivot'!$B$10:$P$10,0),0)&gt;0, IFERROR(MATCH($N1565, 'New pivot'!$B$10:$P$10,0),0)&gt;0, IFERROR(MATCH($O1565, 'New pivot'!$B$10:$P$10,0),0)&gt;0, IFERROR(MATCH($P1565, 'New pivot'!$B$10:$P$10,0),0)&gt;0, IFERROR(MATCH($Q1565, 'New pivot'!$B$10:$P$10,0),0)&gt;0, IFERROR(MATCH($R1565, 'New pivot'!$B$10:$P$10,0),0)&gt;0), 1, 0)</f>
        <v>0</v>
      </c>
      <c r="AC1565" s="2">
        <f>IF(OR(IFERROR(MATCH($M1565, 'New pivot'!$B$11:$P$11,0),0)&gt;0, IFERROR(MATCH($N1565, 'New pivot'!$B$11:$P$11,0),0)&gt;0, IFERROR(MATCH($O1565, 'New pivot'!$B$11:$P$11,0),0)&gt;0, IFERROR(MATCH($P1565, 'New pivot'!$B$11:$P$11,0),0)&gt;0, IFERROR(MATCH($Q1565, 'New pivot'!$B$11:$P$11,0),0)&gt;0, IFERROR(MATCH($R1565, 'New pivot'!$B$11:$P$11,0),0)&gt;0), 1, 0)</f>
        <v>0</v>
      </c>
      <c r="AD1565" s="2">
        <f>IF(OR(IFERROR(MATCH($M1565, 'New pivot'!$B$12:$P$12,0),0)&gt;0, IFERROR(MATCH($N1565, 'New pivot'!$B$12:$P$12,0),0)&gt;0, IFERROR(MATCH($O1565, 'New pivot'!$B$12:$P$12,0),0)&gt;0, IFERROR(MATCH($P1565, 'New pivot'!$B$12:$P$12,0),0)&gt;0, IFERROR(MATCH($Q1565, 'New pivot'!$B$12:$P$12,0),0)&gt;0, IFERROR(MATCH($R1565, 'New pivot'!$B$12:$P$12,0),0)&gt;0), 1, 0)</f>
        <v>0</v>
      </c>
      <c r="AE1565" s="2">
        <f>IF(OR(IFERROR(MATCH($M1565, 'New pivot'!$B$13:$P$13,0),0)&gt;0, IFERROR(MATCH($N1565, 'New pivot'!$B$13:$P$13,0),0)&gt;0, IFERROR(MATCH($O1565, 'New pivot'!$B$13:$P$13,0),0)&gt;0, IFERROR(MATCH($P1565, 'New pivot'!$B$13:$P$13,0),0)&gt;0, IFERROR(MATCH($Q1565, 'New pivot'!$B$13:$P$13,0),0)&gt;0, IFERROR(MATCH($R1565, 'New pivot'!$B$13:$P$13,0),0)&gt;0), 1, 0)</f>
        <v>0</v>
      </c>
      <c r="AF1565" s="2">
        <f>IF(OR(IFERROR(MATCH($M1565, 'New pivot'!$B$14:$P$14,0),0)&gt;0, IFERROR(MATCH($N1565, 'New pivot'!$B$14:$P$14,0),0)&gt;0, IFERROR(MATCH($O1565, 'New pivot'!$B$14:$P$14,0),0)&gt;0, IFERROR(MATCH($P1565, 'New pivot'!$B$14:$P$14,0),0)&gt;0, IFERROR(MATCH($Q1565, 'New pivot'!$B$14:$P$14,0),0)&gt;0, IFERROR(MATCH($R1565, 'New pivot'!$B$14:$P$14,0),0)&gt;0), 1, 0)</f>
        <v>0</v>
      </c>
      <c r="AG1565" s="2">
        <f>IF(OR(IFERROR(MATCH($M1565, 'New pivot'!$B$15:$P$15,0),0)&gt;0, IFERROR(MATCH($N1565, 'New pivot'!$B$15:$P$15,0),0)&gt;0, IFERROR(MATCH($O1565, 'New pivot'!$B$15:$P$15,0),0)&gt;0, IFERROR(MATCH($P1565, 'New pivot'!$B$15:$P$15,0),0)&gt;0, IFERROR(MATCH($Q1565, 'New pivot'!$B$15:$P$15,0),0)&gt;0, IFERROR(MATCH($R1565, 'New pivot'!$B$15:$P$15,0),0)&gt;0), 1, 0)</f>
        <v>0</v>
      </c>
      <c r="AH1565" s="2">
        <f>IF(OR(IFERROR(MATCH($M1565, 'New pivot'!$B$16:$P$16,0),0)&gt;0, IFERROR(MATCH($N1565, 'New pivot'!$B$16:$P$16,0),0)&gt;0, IFERROR(MATCH($O1565, 'New pivot'!$B$16:$P$16,0),0)&gt;0, IFERROR(MATCH($P1565, 'New pivot'!$B$16:$P$16,0),0)&gt;0, IFERROR(MATCH($Q1565, 'New pivot'!$B$16:$P$16,0),0)&gt;0, IFERROR(MATCH($R1565, 'New pivot'!$B$16:$P$16,0),0)&gt;0), 1, 0)</f>
        <v>0</v>
      </c>
      <c r="AI1565" s="2">
        <f>IF(OR(IFERROR(MATCH($M1565, 'New pivot'!$B$17:$P$17,0),0)&gt;0, IFERROR(MATCH($N1565, 'New pivot'!$B$17:$P$17,0),0)&gt;0, IFERROR(MATCH($O1565, 'New pivot'!$B$17:$P$17,0),0)&gt;0, IFERROR(MATCH($P1565, 'New pivot'!$B$17:$P$17,0),0)&gt;0, IFERROR(MATCH($Q1565, 'New pivot'!$B$17:$P$17,0),0)&gt;0, IFERROR(MATCH($R1565, 'New pivot'!$B$17:$P$17,0),0)&gt;0), 1, 0)</f>
        <v>0</v>
      </c>
      <c r="AJ1565" s="2">
        <f>IF(OR(IFERROR(MATCH($M1565, 'New pivot'!$B$18:$P$18,0),0)&gt;0, IFERROR(MATCH($N1565, 'New pivot'!$B$18:$P$18,0),0)&gt;0, IFERROR(MATCH($O1565, 'New pivot'!$B$18:$P$18,0),0)&gt;0, IFERROR(MATCH($P1565, 'New pivot'!$B$18:$P$18,0),0)&gt;0, IFERROR(MATCH($Q1565, 'New pivot'!$B$18:$P$18,0),0)&gt;0, IFERROR(MATCH($R1565, 'New pivot'!$B$18:$P$18,0),0)&gt;0), 1, 0)</f>
        <v>0</v>
      </c>
      <c r="AK1565" s="2" cm="1">
        <f t="array" ref="AK1565">_xlfn.IFS(SUMPRODUCT((Table1_1[[Product/Package]:[Product/Package]]=AK$2)*(Table1_1[[Value]:[Value]]=$M1565))=1,1,SUMPRODUCT((Table1_1[[Product/Package]:[Product/Package]]=AK$2)*(Table1_1[[Value]:[Value]]=$N1565))=1,1,SUMPRODUCT((Table1_1[[Product/Package]:[Product/Package]]=AK$2)*(Table1_1[[Value]:[Value]]=$O1565))=1,1,SUMPRODUCT((Table1_1[[Product/Package]:[Product/Package]]=AK$2)*(Table1_1[[Value]:[Value]]=$P1565))=1,1,SUMPRODUCT((Table1_1[[Product/Package]:[Product/Package]]=AK$2)*(Table1_1[[Value]:[Value]]=$Q1565))=1,1,SUMPRODUCT((Table1_1[[Product/Package]:[Product/Package]]=AK$2)*(Table1_1[[Value]:[Value]]=$R1565))&lt;&gt;1,0)</f>
        <v>0</v>
      </c>
      <c r="AL1565" s="2" t="e">
        <v>#REF!</v>
      </c>
      <c r="AM1565" s="2" t="e">
        <v>#REF!</v>
      </c>
      <c r="AN1565" s="2" t="e">
        <v>#REF!</v>
      </c>
      <c r="AO1565" s="2" t="e">
        <v>#REF!</v>
      </c>
      <c r="AP1565" s="2" t="e">
        <v>#REF!</v>
      </c>
      <c r="AQ1565" s="2" t="e">
        <v>#REF!</v>
      </c>
      <c r="AR1565" s="2" t="e">
        <v>#REF!</v>
      </c>
      <c r="AS1565" s="2" t="e">
        <v>#REF!</v>
      </c>
      <c r="AT1565" s="2" t="e">
        <v>#REF!</v>
      </c>
      <c r="AU1565" s="2" t="e">
        <v>#REF!</v>
      </c>
      <c r="AV1565" s="2" t="e">
        <v>#REF!</v>
      </c>
      <c r="AW1565" s="2" t="e">
        <v>#REF!</v>
      </c>
      <c r="AX1565" s="2" t="e">
        <v>#REF!</v>
      </c>
      <c r="AY1565" s="2" t="e">
        <v>#REF!</v>
      </c>
      <c r="AZ1565" s="2" t="e">
        <v>#REF!</v>
      </c>
      <c r="BA1565" s="2" t="e">
        <v>#REF!</v>
      </c>
      <c r="BB1565" s="2" t="e">
        <v>#REF!</v>
      </c>
      <c r="BC1565" s="2" t="e">
        <v>#REF!</v>
      </c>
    </row>
    <row r="1566" spans="1:56">
      <c r="F1566" s="2" t="e">
        <v>#REF!</v>
      </c>
      <c r="K1566" s="66" t="e">
        <f>SUM(Table3[[#This Row],[Column19]:[Competitive advantage]])</f>
        <v>#VALUE!</v>
      </c>
      <c r="L1566" s="66" t="e">
        <v>#REF!</v>
      </c>
      <c r="O1566" s="4"/>
      <c r="P1566" s="4"/>
      <c r="T1566" s="2">
        <f>IF(OR(IFERROR(MATCH($M1566, 'New pivot'!$B$2:$P$2,0),0)&gt;0, IFERROR(MATCH($N1566, 'New pivot'!$B$2:$P$2,0),0)&gt;0, IFERROR(MATCH($O1566, 'New pivot'!$B$2:$P$2,0),0)&gt;0, IFERROR(MATCH($P1566, 'New pivot'!$B$2:$P$2,0),0)&gt;0, IFERROR(MATCH($Q1566, 'New pivot'!$B$2:$P$2,0),0)&gt;0, IFERROR(MATCH($R1566, 'New pivot'!$B$2:$P$2,0),0)&gt;0), 1, 0)</f>
        <v>0</v>
      </c>
      <c r="U1566" s="2">
        <f>IF(OR(IFERROR(MATCH($M1566, 'New pivot'!$B$3:$P$3,0),0)&gt;0, IFERROR(MATCH($N1566, 'New pivot'!$B$3:$P$3,0),0)&gt;0, IFERROR(MATCH($O1566, 'New pivot'!$B$3:$P$3,0),0)&gt;0, IFERROR(MATCH($P1566, 'New pivot'!$B$3:$P$3,0),0)&gt;0, IFERROR(MATCH($Q1566, 'New pivot'!$B$3:$P$3,0),0)&gt;0, IFERROR(MATCH($R1566, 'New pivot'!$B$3:$P$3,0),0)&gt;0), 1, 0)</f>
        <v>0</v>
      </c>
      <c r="V1566" s="2">
        <f>IF(OR(IFERROR(MATCH($M1566, 'New pivot'!$B$4:$P$4,0),0)&gt;0, IFERROR(MATCH($N1566, 'New pivot'!$B$4:$P$4,0),0)&gt;0, IFERROR(MATCH($O1566, 'New pivot'!$B$4:$P$4,0),0)&gt;0, IFERROR(MATCH($P1566, 'New pivot'!$B$4:$P$4,0),0)&gt;0, IFERROR(MATCH($Q1566, 'New pivot'!$B$4:$P$4,0),0)&gt;0, IFERROR(MATCH($R1566, 'New pivot'!$B$4:$P$4,0),0)&gt;0), 1, 0)</f>
        <v>0</v>
      </c>
      <c r="W1566" s="2">
        <f>IF(OR(IFERROR(MATCH($M1566, 'New pivot'!$B$5:$P$5,0),0)&gt;0, IFERROR(MATCH($N1566, 'New pivot'!$B$5:$P$5,0),0)&gt;0, IFERROR(MATCH($O1566, 'New pivot'!$B$5:$P$5,0),0)&gt;0, IFERROR(MATCH($P1566, 'New pivot'!$B$5:$P$5,0),0)&gt;0, IFERROR(MATCH($Q1566, 'New pivot'!$B$5:$P$5,0),0)&gt;0, IFERROR(MATCH($R1566, 'New pivot'!$B$5:$P$5,0),0)&gt;0), 1, 0)</f>
        <v>0</v>
      </c>
      <c r="X1566" s="2">
        <f>IF(OR(IFERROR(MATCH($M1566, 'New pivot'!$B$6:$P$6,0),0)&gt;0, IFERROR(MATCH($N1566, 'New pivot'!$B$6:$P$6,0),0)&gt;0, IFERROR(MATCH($O1566, 'New pivot'!$B$6:$P$6,0),0)&gt;0, IFERROR(MATCH($P1566, 'New pivot'!$B$6:$P$6,0),0)&gt;0, IFERROR(MATCH($Q1566, 'New pivot'!$B$6:$P$6,0),0)&gt;0, IFERROR(MATCH($R1566, 'New pivot'!$B$6:$P$6,0),0)&gt;0), 1, 0)</f>
        <v>0</v>
      </c>
      <c r="Y1566" s="2">
        <f>IF(OR(IFERROR(MATCH($M1566, 'New pivot'!$B$7:$P$7,0),0)&gt;0, IFERROR(MATCH($N1566, 'New pivot'!$B$7:$P$7,0),0)&gt;0, IFERROR(MATCH($O1566, 'New pivot'!$B$7:$P$7,0),0)&gt;0, IFERROR(MATCH($P1566, 'New pivot'!$B$7:$P$7,0),0)&gt;0, IFERROR(MATCH($Q1566, 'New pivot'!$B$7:$P$7,0),0)&gt;0, IFERROR(MATCH($R1566, 'New pivot'!$B$7:$P$7,0),0)&gt;0), 1, 0)</f>
        <v>0</v>
      </c>
      <c r="Z1566" s="2">
        <f>IF(OR(IFERROR(MATCH($M1566, 'New pivot'!$B$8:$P$8,0),0)&gt;0, IFERROR(MATCH($N1566, 'New pivot'!$B$8:$P$8,0),0)&gt;0, IFERROR(MATCH($O1566, 'New pivot'!$B$8:$P$8,0),0)&gt;0, IFERROR(MATCH($P1566, 'New pivot'!$B$8:$P$8,0),0)&gt;0, IFERROR(MATCH($Q1566, 'New pivot'!$B$8:$P$8,0),0)&gt;0, IFERROR(MATCH($R1566, 'New pivot'!$B$8:$P$8,0),0)&gt;0), 1, 0)</f>
        <v>0</v>
      </c>
      <c r="AA1566" s="2">
        <f>IF(OR(IFERROR(MATCH($M1566, 'New pivot'!$B$9:$P$9,0),0)&gt;0, IFERROR(MATCH($N1566, 'New pivot'!$B$9:$P$9,0),0)&gt;0, IFERROR(MATCH($O1566, 'New pivot'!$B$9:$P$9,0),0)&gt;0, IFERROR(MATCH($P1566, 'New pivot'!$B$9:$P$9,0),0)&gt;0, IFERROR(MATCH($Q1566, 'New pivot'!$B$9:$P$9,0),0)&gt;0, IFERROR(MATCH($R1566, 'New pivot'!$B$9:$P$9,0),0)&gt;0), 1, 0)</f>
        <v>0</v>
      </c>
      <c r="AB1566" s="2">
        <f>IF(OR(IFERROR(MATCH($M1566, 'New pivot'!$B$10:$P$10,0),0)&gt;0, IFERROR(MATCH($N1566, 'New pivot'!$B$10:$P$10,0),0)&gt;0, IFERROR(MATCH($O1566, 'New pivot'!$B$10:$P$10,0),0)&gt;0, IFERROR(MATCH($P1566, 'New pivot'!$B$10:$P$10,0),0)&gt;0, IFERROR(MATCH($Q1566, 'New pivot'!$B$10:$P$10,0),0)&gt;0, IFERROR(MATCH($R1566, 'New pivot'!$B$10:$P$10,0),0)&gt;0), 1, 0)</f>
        <v>0</v>
      </c>
      <c r="AC1566" s="2">
        <f>IF(OR(IFERROR(MATCH($M1566, 'New pivot'!$B$11:$P$11,0),0)&gt;0, IFERROR(MATCH($N1566, 'New pivot'!$B$11:$P$11,0),0)&gt;0, IFERROR(MATCH($O1566, 'New pivot'!$B$11:$P$11,0),0)&gt;0, IFERROR(MATCH($P1566, 'New pivot'!$B$11:$P$11,0),0)&gt;0, IFERROR(MATCH($Q1566, 'New pivot'!$B$11:$P$11,0),0)&gt;0, IFERROR(MATCH($R1566, 'New pivot'!$B$11:$P$11,0),0)&gt;0), 1, 0)</f>
        <v>0</v>
      </c>
      <c r="AD1566" s="2">
        <f>IF(OR(IFERROR(MATCH($M1566, 'New pivot'!$B$12:$P$12,0),0)&gt;0, IFERROR(MATCH($N1566, 'New pivot'!$B$12:$P$12,0),0)&gt;0, IFERROR(MATCH($O1566, 'New pivot'!$B$12:$P$12,0),0)&gt;0, IFERROR(MATCH($P1566, 'New pivot'!$B$12:$P$12,0),0)&gt;0, IFERROR(MATCH($Q1566, 'New pivot'!$B$12:$P$12,0),0)&gt;0, IFERROR(MATCH($R1566, 'New pivot'!$B$12:$P$12,0),0)&gt;0), 1, 0)</f>
        <v>0</v>
      </c>
      <c r="AE1566" s="2">
        <f>IF(OR(IFERROR(MATCH($M1566, 'New pivot'!$B$13:$P$13,0),0)&gt;0, IFERROR(MATCH($N1566, 'New pivot'!$B$13:$P$13,0),0)&gt;0, IFERROR(MATCH($O1566, 'New pivot'!$B$13:$P$13,0),0)&gt;0, IFERROR(MATCH($P1566, 'New pivot'!$B$13:$P$13,0),0)&gt;0, IFERROR(MATCH($Q1566, 'New pivot'!$B$13:$P$13,0),0)&gt;0, IFERROR(MATCH($R1566, 'New pivot'!$B$13:$P$13,0),0)&gt;0), 1, 0)</f>
        <v>0</v>
      </c>
      <c r="AF1566" s="2">
        <f>IF(OR(IFERROR(MATCH($M1566, 'New pivot'!$B$14:$P$14,0),0)&gt;0, IFERROR(MATCH($N1566, 'New pivot'!$B$14:$P$14,0),0)&gt;0, IFERROR(MATCH($O1566, 'New pivot'!$B$14:$P$14,0),0)&gt;0, IFERROR(MATCH($P1566, 'New pivot'!$B$14:$P$14,0),0)&gt;0, IFERROR(MATCH($Q1566, 'New pivot'!$B$14:$P$14,0),0)&gt;0, IFERROR(MATCH($R1566, 'New pivot'!$B$14:$P$14,0),0)&gt;0), 1, 0)</f>
        <v>0</v>
      </c>
      <c r="AG1566" s="2">
        <f>IF(OR(IFERROR(MATCH($M1566, 'New pivot'!$B$15:$P$15,0),0)&gt;0, IFERROR(MATCH($N1566, 'New pivot'!$B$15:$P$15,0),0)&gt;0, IFERROR(MATCH($O1566, 'New pivot'!$B$15:$P$15,0),0)&gt;0, IFERROR(MATCH($P1566, 'New pivot'!$B$15:$P$15,0),0)&gt;0, IFERROR(MATCH($Q1566, 'New pivot'!$B$15:$P$15,0),0)&gt;0, IFERROR(MATCH($R1566, 'New pivot'!$B$15:$P$15,0),0)&gt;0), 1, 0)</f>
        <v>0</v>
      </c>
      <c r="AH1566" s="2">
        <f>IF(OR(IFERROR(MATCH($M1566, 'New pivot'!$B$16:$P$16,0),0)&gt;0, IFERROR(MATCH($N1566, 'New pivot'!$B$16:$P$16,0),0)&gt;0, IFERROR(MATCH($O1566, 'New pivot'!$B$16:$P$16,0),0)&gt;0, IFERROR(MATCH($P1566, 'New pivot'!$B$16:$P$16,0),0)&gt;0, IFERROR(MATCH($Q1566, 'New pivot'!$B$16:$P$16,0),0)&gt;0, IFERROR(MATCH($R1566, 'New pivot'!$B$16:$P$16,0),0)&gt;0), 1, 0)</f>
        <v>0</v>
      </c>
      <c r="AI1566" s="2">
        <f>IF(OR(IFERROR(MATCH($M1566, 'New pivot'!$B$17:$P$17,0),0)&gt;0, IFERROR(MATCH($N1566, 'New pivot'!$B$17:$P$17,0),0)&gt;0, IFERROR(MATCH($O1566, 'New pivot'!$B$17:$P$17,0),0)&gt;0, IFERROR(MATCH($P1566, 'New pivot'!$B$17:$P$17,0),0)&gt;0, IFERROR(MATCH($Q1566, 'New pivot'!$B$17:$P$17,0),0)&gt;0, IFERROR(MATCH($R1566, 'New pivot'!$B$17:$P$17,0),0)&gt;0), 1, 0)</f>
        <v>0</v>
      </c>
      <c r="AJ1566" s="2">
        <f>IF(OR(IFERROR(MATCH($M1566, 'New pivot'!$B$18:$P$18,0),0)&gt;0, IFERROR(MATCH($N1566, 'New pivot'!$B$18:$P$18,0),0)&gt;0, IFERROR(MATCH($O1566, 'New pivot'!$B$18:$P$18,0),0)&gt;0, IFERROR(MATCH($P1566, 'New pivot'!$B$18:$P$18,0),0)&gt;0, IFERROR(MATCH($Q1566, 'New pivot'!$B$18:$P$18,0),0)&gt;0, IFERROR(MATCH($R1566, 'New pivot'!$B$18:$P$18,0),0)&gt;0), 1, 0)</f>
        <v>0</v>
      </c>
      <c r="AK1566" s="2" cm="1">
        <f t="array" ref="AK1566">_xlfn.IFS(SUMPRODUCT((Table1_1[[Product/Package]:[Product/Package]]=AK$2)*(Table1_1[[Value]:[Value]]=$M1566))=1,1,SUMPRODUCT((Table1_1[[Product/Package]:[Product/Package]]=AK$2)*(Table1_1[[Value]:[Value]]=$N1566))=1,1,SUMPRODUCT((Table1_1[[Product/Package]:[Product/Package]]=AK$2)*(Table1_1[[Value]:[Value]]=$O1566))=1,1,SUMPRODUCT((Table1_1[[Product/Package]:[Product/Package]]=AK$2)*(Table1_1[[Value]:[Value]]=$P1566))=1,1,SUMPRODUCT((Table1_1[[Product/Package]:[Product/Package]]=AK$2)*(Table1_1[[Value]:[Value]]=$Q1566))=1,1,SUMPRODUCT((Table1_1[[Product/Package]:[Product/Package]]=AK$2)*(Table1_1[[Value]:[Value]]=$R1566))&lt;&gt;1,0)</f>
        <v>0</v>
      </c>
      <c r="AL1566" s="2" t="e">
        <v>#REF!</v>
      </c>
      <c r="AM1566" s="2" t="e">
        <v>#REF!</v>
      </c>
      <c r="AN1566" s="2" t="e">
        <v>#REF!</v>
      </c>
      <c r="AO1566" s="2" t="e">
        <v>#REF!</v>
      </c>
      <c r="AP1566" s="2" t="e">
        <v>#REF!</v>
      </c>
      <c r="AQ1566" s="2" t="e">
        <v>#REF!</v>
      </c>
      <c r="AR1566" s="2" t="e">
        <v>#REF!</v>
      </c>
      <c r="AS1566" s="2" t="e">
        <v>#REF!</v>
      </c>
      <c r="AT1566" s="2" t="e">
        <v>#REF!</v>
      </c>
      <c r="AU1566" s="2" t="e">
        <v>#REF!</v>
      </c>
      <c r="AV1566" s="2" t="e">
        <v>#REF!</v>
      </c>
      <c r="AW1566" s="2" t="e">
        <v>#REF!</v>
      </c>
      <c r="AX1566" s="2" t="e">
        <v>#REF!</v>
      </c>
      <c r="AY1566" s="2" t="e">
        <v>#REF!</v>
      </c>
      <c r="AZ1566" s="2" t="e">
        <v>#REF!</v>
      </c>
      <c r="BA1566" s="2" t="e">
        <v>#REF!</v>
      </c>
      <c r="BB1566" s="2" t="e">
        <v>#REF!</v>
      </c>
      <c r="BC1566" s="2" t="e">
        <v>#REF!</v>
      </c>
    </row>
    <row r="1567" spans="1:56">
      <c r="F1567" s="2" t="e">
        <v>#REF!</v>
      </c>
      <c r="K1567" s="66" t="e">
        <f>SUM(Table3[[#This Row],[Column19]:[Competitive advantage]])</f>
        <v>#VALUE!</v>
      </c>
      <c r="L1567" s="66" t="e">
        <v>#REF!</v>
      </c>
      <c r="O1567" s="4"/>
      <c r="P1567" s="4"/>
      <c r="R1567" s="4"/>
      <c r="S1567" s="4"/>
      <c r="T1567" s="2">
        <f>IF(OR(IFERROR(MATCH($M1567, 'New pivot'!$B$2:$P$2,0),0)&gt;0, IFERROR(MATCH($N1567, 'New pivot'!$B$2:$P$2,0),0)&gt;0, IFERROR(MATCH($O1567, 'New pivot'!$B$2:$P$2,0),0)&gt;0, IFERROR(MATCH($P1567, 'New pivot'!$B$2:$P$2,0),0)&gt;0, IFERROR(MATCH($Q1567, 'New pivot'!$B$2:$P$2,0),0)&gt;0, IFERROR(MATCH($R1567, 'New pivot'!$B$2:$P$2,0),0)&gt;0), 1, 0)</f>
        <v>0</v>
      </c>
      <c r="U1567" s="2">
        <f>IF(OR(IFERROR(MATCH($M1567, 'New pivot'!$B$3:$P$3,0),0)&gt;0, IFERROR(MATCH($N1567, 'New pivot'!$B$3:$P$3,0),0)&gt;0, IFERROR(MATCH($O1567, 'New pivot'!$B$3:$P$3,0),0)&gt;0, IFERROR(MATCH($P1567, 'New pivot'!$B$3:$P$3,0),0)&gt;0, IFERROR(MATCH($Q1567, 'New pivot'!$B$3:$P$3,0),0)&gt;0, IFERROR(MATCH($R1567, 'New pivot'!$B$3:$P$3,0),0)&gt;0), 1, 0)</f>
        <v>0</v>
      </c>
      <c r="V1567" s="2">
        <f>IF(OR(IFERROR(MATCH($M1567, 'New pivot'!$B$4:$P$4,0),0)&gt;0, IFERROR(MATCH($N1567, 'New pivot'!$B$4:$P$4,0),0)&gt;0, IFERROR(MATCH($O1567, 'New pivot'!$B$4:$P$4,0),0)&gt;0, IFERROR(MATCH($P1567, 'New pivot'!$B$4:$P$4,0),0)&gt;0, IFERROR(MATCH($Q1567, 'New pivot'!$B$4:$P$4,0),0)&gt;0, IFERROR(MATCH($R1567, 'New pivot'!$B$4:$P$4,0),0)&gt;0), 1, 0)</f>
        <v>0</v>
      </c>
      <c r="W1567" s="2">
        <f>IF(OR(IFERROR(MATCH($M1567, 'New pivot'!$B$5:$P$5,0),0)&gt;0, IFERROR(MATCH($N1567, 'New pivot'!$B$5:$P$5,0),0)&gt;0, IFERROR(MATCH($O1567, 'New pivot'!$B$5:$P$5,0),0)&gt;0, IFERROR(MATCH($P1567, 'New pivot'!$B$5:$P$5,0),0)&gt;0, IFERROR(MATCH($Q1567, 'New pivot'!$B$5:$P$5,0),0)&gt;0, IFERROR(MATCH($R1567, 'New pivot'!$B$5:$P$5,0),0)&gt;0), 1, 0)</f>
        <v>0</v>
      </c>
      <c r="X1567" s="2">
        <f>IF(OR(IFERROR(MATCH($M1567, 'New pivot'!$B$6:$P$6,0),0)&gt;0, IFERROR(MATCH($N1567, 'New pivot'!$B$6:$P$6,0),0)&gt;0, IFERROR(MATCH($O1567, 'New pivot'!$B$6:$P$6,0),0)&gt;0, IFERROR(MATCH($P1567, 'New pivot'!$B$6:$P$6,0),0)&gt;0, IFERROR(MATCH($Q1567, 'New pivot'!$B$6:$P$6,0),0)&gt;0, IFERROR(MATCH($R1567, 'New pivot'!$B$6:$P$6,0),0)&gt;0), 1, 0)</f>
        <v>0</v>
      </c>
      <c r="Y1567" s="2">
        <f>IF(OR(IFERROR(MATCH($M1567, 'New pivot'!$B$7:$P$7,0),0)&gt;0, IFERROR(MATCH($N1567, 'New pivot'!$B$7:$P$7,0),0)&gt;0, IFERROR(MATCH($O1567, 'New pivot'!$B$7:$P$7,0),0)&gt;0, IFERROR(MATCH($P1567, 'New pivot'!$B$7:$P$7,0),0)&gt;0, IFERROR(MATCH($Q1567, 'New pivot'!$B$7:$P$7,0),0)&gt;0, IFERROR(MATCH($R1567, 'New pivot'!$B$7:$P$7,0),0)&gt;0), 1, 0)</f>
        <v>0</v>
      </c>
      <c r="Z1567" s="2">
        <f>IF(OR(IFERROR(MATCH($M1567, 'New pivot'!$B$8:$P$8,0),0)&gt;0, IFERROR(MATCH($N1567, 'New pivot'!$B$8:$P$8,0),0)&gt;0, IFERROR(MATCH($O1567, 'New pivot'!$B$8:$P$8,0),0)&gt;0, IFERROR(MATCH($P1567, 'New pivot'!$B$8:$P$8,0),0)&gt;0, IFERROR(MATCH($Q1567, 'New pivot'!$B$8:$P$8,0),0)&gt;0, IFERROR(MATCH($R1567, 'New pivot'!$B$8:$P$8,0),0)&gt;0), 1, 0)</f>
        <v>0</v>
      </c>
      <c r="AA1567" s="2">
        <f>IF(OR(IFERROR(MATCH($M1567, 'New pivot'!$B$9:$P$9,0),0)&gt;0, IFERROR(MATCH($N1567, 'New pivot'!$B$9:$P$9,0),0)&gt;0, IFERROR(MATCH($O1567, 'New pivot'!$B$9:$P$9,0),0)&gt;0, IFERROR(MATCH($P1567, 'New pivot'!$B$9:$P$9,0),0)&gt;0, IFERROR(MATCH($Q1567, 'New pivot'!$B$9:$P$9,0),0)&gt;0, IFERROR(MATCH($R1567, 'New pivot'!$B$9:$P$9,0),0)&gt;0), 1, 0)</f>
        <v>0</v>
      </c>
      <c r="AB1567" s="2">
        <f>IF(OR(IFERROR(MATCH($M1567, 'New pivot'!$B$10:$P$10,0),0)&gt;0, IFERROR(MATCH($N1567, 'New pivot'!$B$10:$P$10,0),0)&gt;0, IFERROR(MATCH($O1567, 'New pivot'!$B$10:$P$10,0),0)&gt;0, IFERROR(MATCH($P1567, 'New pivot'!$B$10:$P$10,0),0)&gt;0, IFERROR(MATCH($Q1567, 'New pivot'!$B$10:$P$10,0),0)&gt;0, IFERROR(MATCH($R1567, 'New pivot'!$B$10:$P$10,0),0)&gt;0), 1, 0)</f>
        <v>0</v>
      </c>
      <c r="AC1567" s="2">
        <f>IF(OR(IFERROR(MATCH($M1567, 'New pivot'!$B$11:$P$11,0),0)&gt;0, IFERROR(MATCH($N1567, 'New pivot'!$B$11:$P$11,0),0)&gt;0, IFERROR(MATCH($O1567, 'New pivot'!$B$11:$P$11,0),0)&gt;0, IFERROR(MATCH($P1567, 'New pivot'!$B$11:$P$11,0),0)&gt;0, IFERROR(MATCH($Q1567, 'New pivot'!$B$11:$P$11,0),0)&gt;0, IFERROR(MATCH($R1567, 'New pivot'!$B$11:$P$11,0),0)&gt;0), 1, 0)</f>
        <v>0</v>
      </c>
      <c r="AD1567" s="2">
        <f>IF(OR(IFERROR(MATCH($M1567, 'New pivot'!$B$12:$P$12,0),0)&gt;0, IFERROR(MATCH($N1567, 'New pivot'!$B$12:$P$12,0),0)&gt;0, IFERROR(MATCH($O1567, 'New pivot'!$B$12:$P$12,0),0)&gt;0, IFERROR(MATCH($P1567, 'New pivot'!$B$12:$P$12,0),0)&gt;0, IFERROR(MATCH($Q1567, 'New pivot'!$B$12:$P$12,0),0)&gt;0, IFERROR(MATCH($R1567, 'New pivot'!$B$12:$P$12,0),0)&gt;0), 1, 0)</f>
        <v>0</v>
      </c>
      <c r="AE1567" s="2">
        <f>IF(OR(IFERROR(MATCH($M1567, 'New pivot'!$B$13:$P$13,0),0)&gt;0, IFERROR(MATCH($N1567, 'New pivot'!$B$13:$P$13,0),0)&gt;0, IFERROR(MATCH($O1567, 'New pivot'!$B$13:$P$13,0),0)&gt;0, IFERROR(MATCH($P1567, 'New pivot'!$B$13:$P$13,0),0)&gt;0, IFERROR(MATCH($Q1567, 'New pivot'!$B$13:$P$13,0),0)&gt;0, IFERROR(MATCH($R1567, 'New pivot'!$B$13:$P$13,0),0)&gt;0), 1, 0)</f>
        <v>0</v>
      </c>
      <c r="AF1567" s="2">
        <f>IF(OR(IFERROR(MATCH($M1567, 'New pivot'!$B$14:$P$14,0),0)&gt;0, IFERROR(MATCH($N1567, 'New pivot'!$B$14:$P$14,0),0)&gt;0, IFERROR(MATCH($O1567, 'New pivot'!$B$14:$P$14,0),0)&gt;0, IFERROR(MATCH($P1567, 'New pivot'!$B$14:$P$14,0),0)&gt;0, IFERROR(MATCH($Q1567, 'New pivot'!$B$14:$P$14,0),0)&gt;0, IFERROR(MATCH($R1567, 'New pivot'!$B$14:$P$14,0),0)&gt;0), 1, 0)</f>
        <v>0</v>
      </c>
      <c r="AG1567" s="2">
        <f>IF(OR(IFERROR(MATCH($M1567, 'New pivot'!$B$15:$P$15,0),0)&gt;0, IFERROR(MATCH($N1567, 'New pivot'!$B$15:$P$15,0),0)&gt;0, IFERROR(MATCH($O1567, 'New pivot'!$B$15:$P$15,0),0)&gt;0, IFERROR(MATCH($P1567, 'New pivot'!$B$15:$P$15,0),0)&gt;0, IFERROR(MATCH($Q1567, 'New pivot'!$B$15:$P$15,0),0)&gt;0, IFERROR(MATCH($R1567, 'New pivot'!$B$15:$P$15,0),0)&gt;0), 1, 0)</f>
        <v>0</v>
      </c>
      <c r="AH1567" s="2">
        <f>IF(OR(IFERROR(MATCH($M1567, 'New pivot'!$B$16:$P$16,0),0)&gt;0, IFERROR(MATCH($N1567, 'New pivot'!$B$16:$P$16,0),0)&gt;0, IFERROR(MATCH($O1567, 'New pivot'!$B$16:$P$16,0),0)&gt;0, IFERROR(MATCH($P1567, 'New pivot'!$B$16:$P$16,0),0)&gt;0, IFERROR(MATCH($Q1567, 'New pivot'!$B$16:$P$16,0),0)&gt;0, IFERROR(MATCH($R1567, 'New pivot'!$B$16:$P$16,0),0)&gt;0), 1, 0)</f>
        <v>0</v>
      </c>
      <c r="AI1567" s="2">
        <f>IF(OR(IFERROR(MATCH($M1567, 'New pivot'!$B$17:$P$17,0),0)&gt;0, IFERROR(MATCH($N1567, 'New pivot'!$B$17:$P$17,0),0)&gt;0, IFERROR(MATCH($O1567, 'New pivot'!$B$17:$P$17,0),0)&gt;0, IFERROR(MATCH($P1567, 'New pivot'!$B$17:$P$17,0),0)&gt;0, IFERROR(MATCH($Q1567, 'New pivot'!$B$17:$P$17,0),0)&gt;0, IFERROR(MATCH($R1567, 'New pivot'!$B$17:$P$17,0),0)&gt;0), 1, 0)</f>
        <v>0</v>
      </c>
      <c r="AJ1567" s="2">
        <f>IF(OR(IFERROR(MATCH($M1567, 'New pivot'!$B$18:$P$18,0),0)&gt;0, IFERROR(MATCH($N1567, 'New pivot'!$B$18:$P$18,0),0)&gt;0, IFERROR(MATCH($O1567, 'New pivot'!$B$18:$P$18,0),0)&gt;0, IFERROR(MATCH($P1567, 'New pivot'!$B$18:$P$18,0),0)&gt;0, IFERROR(MATCH($Q1567, 'New pivot'!$B$18:$P$18,0),0)&gt;0, IFERROR(MATCH($R1567, 'New pivot'!$B$18:$P$18,0),0)&gt;0), 1, 0)</f>
        <v>0</v>
      </c>
      <c r="AK1567" s="2" cm="1">
        <f t="array" ref="AK1567">_xlfn.IFS(SUMPRODUCT((Table1_1[[Product/Package]:[Product/Package]]=AK$2)*(Table1_1[[Value]:[Value]]=$M1567))=1,1,SUMPRODUCT((Table1_1[[Product/Package]:[Product/Package]]=AK$2)*(Table1_1[[Value]:[Value]]=$N1567))=1,1,SUMPRODUCT((Table1_1[[Product/Package]:[Product/Package]]=AK$2)*(Table1_1[[Value]:[Value]]=$O1567))=1,1,SUMPRODUCT((Table1_1[[Product/Package]:[Product/Package]]=AK$2)*(Table1_1[[Value]:[Value]]=$P1567))=1,1,SUMPRODUCT((Table1_1[[Product/Package]:[Product/Package]]=AK$2)*(Table1_1[[Value]:[Value]]=$Q1567))=1,1,SUMPRODUCT((Table1_1[[Product/Package]:[Product/Package]]=AK$2)*(Table1_1[[Value]:[Value]]=$R1567))&lt;&gt;1,0)</f>
        <v>0</v>
      </c>
      <c r="AL1567" s="2" t="e">
        <v>#REF!</v>
      </c>
      <c r="AM1567" s="2" t="e">
        <v>#REF!</v>
      </c>
      <c r="AN1567" s="2" t="e">
        <v>#REF!</v>
      </c>
      <c r="AO1567" s="2" t="e">
        <v>#REF!</v>
      </c>
      <c r="AP1567" s="2" t="e">
        <v>#REF!</v>
      </c>
      <c r="AQ1567" s="2" t="e">
        <v>#REF!</v>
      </c>
      <c r="AR1567" s="2" t="e">
        <v>#REF!</v>
      </c>
      <c r="AS1567" s="2" t="e">
        <v>#REF!</v>
      </c>
      <c r="AT1567" s="2" t="e">
        <v>#REF!</v>
      </c>
      <c r="AU1567" s="2" t="e">
        <v>#REF!</v>
      </c>
      <c r="AV1567" s="2" t="e">
        <v>#REF!</v>
      </c>
      <c r="AW1567" s="2" t="e">
        <v>#REF!</v>
      </c>
      <c r="AX1567" s="2" t="e">
        <v>#REF!</v>
      </c>
      <c r="AY1567" s="2" t="e">
        <v>#REF!</v>
      </c>
      <c r="AZ1567" s="2" t="e">
        <v>#REF!</v>
      </c>
      <c r="BA1567" s="2" t="e">
        <v>#REF!</v>
      </c>
      <c r="BB1567" s="2" t="e">
        <v>#REF!</v>
      </c>
      <c r="BC1567" s="2" t="e">
        <v>#REF!</v>
      </c>
    </row>
    <row r="1568" spans="1:56">
      <c r="F1568" s="2" t="e">
        <v>#REF!</v>
      </c>
      <c r="K1568" s="66" t="e">
        <f>SUM(Table3[[#This Row],[Column19]:[Competitive advantage]])</f>
        <v>#VALUE!</v>
      </c>
      <c r="L1568" s="66" t="e">
        <v>#REF!</v>
      </c>
      <c r="O1568" s="4"/>
      <c r="P1568" s="4"/>
      <c r="T1568" s="2">
        <f>IF(OR(IFERROR(MATCH($M1568, 'New pivot'!$B$2:$P$2,0),0)&gt;0, IFERROR(MATCH($N1568, 'New pivot'!$B$2:$P$2,0),0)&gt;0, IFERROR(MATCH($O1568, 'New pivot'!$B$2:$P$2,0),0)&gt;0, IFERROR(MATCH($P1568, 'New pivot'!$B$2:$P$2,0),0)&gt;0, IFERROR(MATCH($Q1568, 'New pivot'!$B$2:$P$2,0),0)&gt;0, IFERROR(MATCH($R1568, 'New pivot'!$B$2:$P$2,0),0)&gt;0), 1, 0)</f>
        <v>0</v>
      </c>
      <c r="U1568" s="2">
        <f>IF(OR(IFERROR(MATCH($M1568, 'New pivot'!$B$3:$P$3,0),0)&gt;0, IFERROR(MATCH($N1568, 'New pivot'!$B$3:$P$3,0),0)&gt;0, IFERROR(MATCH($O1568, 'New pivot'!$B$3:$P$3,0),0)&gt;0, IFERROR(MATCH($P1568, 'New pivot'!$B$3:$P$3,0),0)&gt;0, IFERROR(MATCH($Q1568, 'New pivot'!$B$3:$P$3,0),0)&gt;0, IFERROR(MATCH($R1568, 'New pivot'!$B$3:$P$3,0),0)&gt;0), 1, 0)</f>
        <v>0</v>
      </c>
      <c r="V1568" s="2">
        <f>IF(OR(IFERROR(MATCH($M1568, 'New pivot'!$B$4:$P$4,0),0)&gt;0, IFERROR(MATCH($N1568, 'New pivot'!$B$4:$P$4,0),0)&gt;0, IFERROR(MATCH($O1568, 'New pivot'!$B$4:$P$4,0),0)&gt;0, IFERROR(MATCH($P1568, 'New pivot'!$B$4:$P$4,0),0)&gt;0, IFERROR(MATCH($Q1568, 'New pivot'!$B$4:$P$4,0),0)&gt;0, IFERROR(MATCH($R1568, 'New pivot'!$B$4:$P$4,0),0)&gt;0), 1, 0)</f>
        <v>0</v>
      </c>
      <c r="W1568" s="2">
        <f>IF(OR(IFERROR(MATCH($M1568, 'New pivot'!$B$5:$P$5,0),0)&gt;0, IFERROR(MATCH($N1568, 'New pivot'!$B$5:$P$5,0),0)&gt;0, IFERROR(MATCH($O1568, 'New pivot'!$B$5:$P$5,0),0)&gt;0, IFERROR(MATCH($P1568, 'New pivot'!$B$5:$P$5,0),0)&gt;0, IFERROR(MATCH($Q1568, 'New pivot'!$B$5:$P$5,0),0)&gt;0, IFERROR(MATCH($R1568, 'New pivot'!$B$5:$P$5,0),0)&gt;0), 1, 0)</f>
        <v>0</v>
      </c>
      <c r="X1568" s="2">
        <f>IF(OR(IFERROR(MATCH($M1568, 'New pivot'!$B$6:$P$6,0),0)&gt;0, IFERROR(MATCH($N1568, 'New pivot'!$B$6:$P$6,0),0)&gt;0, IFERROR(MATCH($O1568, 'New pivot'!$B$6:$P$6,0),0)&gt;0, IFERROR(MATCH($P1568, 'New pivot'!$B$6:$P$6,0),0)&gt;0, IFERROR(MATCH($Q1568, 'New pivot'!$B$6:$P$6,0),0)&gt;0, IFERROR(MATCH($R1568, 'New pivot'!$B$6:$P$6,0),0)&gt;0), 1, 0)</f>
        <v>0</v>
      </c>
      <c r="Y1568" s="2">
        <f>IF(OR(IFERROR(MATCH($M1568, 'New pivot'!$B$7:$P$7,0),0)&gt;0, IFERROR(MATCH($N1568, 'New pivot'!$B$7:$P$7,0),0)&gt;0, IFERROR(MATCH($O1568, 'New pivot'!$B$7:$P$7,0),0)&gt;0, IFERROR(MATCH($P1568, 'New pivot'!$B$7:$P$7,0),0)&gt;0, IFERROR(MATCH($Q1568, 'New pivot'!$B$7:$P$7,0),0)&gt;0, IFERROR(MATCH($R1568, 'New pivot'!$B$7:$P$7,0),0)&gt;0), 1, 0)</f>
        <v>0</v>
      </c>
      <c r="Z1568" s="2">
        <f>IF(OR(IFERROR(MATCH($M1568, 'New pivot'!$B$8:$P$8,0),0)&gt;0, IFERROR(MATCH($N1568, 'New pivot'!$B$8:$P$8,0),0)&gt;0, IFERROR(MATCH($O1568, 'New pivot'!$B$8:$P$8,0),0)&gt;0, IFERROR(MATCH($P1568, 'New pivot'!$B$8:$P$8,0),0)&gt;0, IFERROR(MATCH($Q1568, 'New pivot'!$B$8:$P$8,0),0)&gt;0, IFERROR(MATCH($R1568, 'New pivot'!$B$8:$P$8,0),0)&gt;0), 1, 0)</f>
        <v>0</v>
      </c>
      <c r="AA1568" s="2">
        <f>IF(OR(IFERROR(MATCH($M1568, 'New pivot'!$B$9:$P$9,0),0)&gt;0, IFERROR(MATCH($N1568, 'New pivot'!$B$9:$P$9,0),0)&gt;0, IFERROR(MATCH($O1568, 'New pivot'!$B$9:$P$9,0),0)&gt;0, IFERROR(MATCH($P1568, 'New pivot'!$B$9:$P$9,0),0)&gt;0, IFERROR(MATCH($Q1568, 'New pivot'!$B$9:$P$9,0),0)&gt;0, IFERROR(MATCH($R1568, 'New pivot'!$B$9:$P$9,0),0)&gt;0), 1, 0)</f>
        <v>0</v>
      </c>
      <c r="AB1568" s="2">
        <f>IF(OR(IFERROR(MATCH($M1568, 'New pivot'!$B$10:$P$10,0),0)&gt;0, IFERROR(MATCH($N1568, 'New pivot'!$B$10:$P$10,0),0)&gt;0, IFERROR(MATCH($O1568, 'New pivot'!$B$10:$P$10,0),0)&gt;0, IFERROR(MATCH($P1568, 'New pivot'!$B$10:$P$10,0),0)&gt;0, IFERROR(MATCH($Q1568, 'New pivot'!$B$10:$P$10,0),0)&gt;0, IFERROR(MATCH($R1568, 'New pivot'!$B$10:$P$10,0),0)&gt;0), 1, 0)</f>
        <v>0</v>
      </c>
      <c r="AC1568" s="2">
        <f>IF(OR(IFERROR(MATCH($M1568, 'New pivot'!$B$11:$P$11,0),0)&gt;0, IFERROR(MATCH($N1568, 'New pivot'!$B$11:$P$11,0),0)&gt;0, IFERROR(MATCH($O1568, 'New pivot'!$B$11:$P$11,0),0)&gt;0, IFERROR(MATCH($P1568, 'New pivot'!$B$11:$P$11,0),0)&gt;0, IFERROR(MATCH($Q1568, 'New pivot'!$B$11:$P$11,0),0)&gt;0, IFERROR(MATCH($R1568, 'New pivot'!$B$11:$P$11,0),0)&gt;0), 1, 0)</f>
        <v>0</v>
      </c>
      <c r="AD1568" s="2">
        <f>IF(OR(IFERROR(MATCH($M1568, 'New pivot'!$B$12:$P$12,0),0)&gt;0, IFERROR(MATCH($N1568, 'New pivot'!$B$12:$P$12,0),0)&gt;0, IFERROR(MATCH($O1568, 'New pivot'!$B$12:$P$12,0),0)&gt;0, IFERROR(MATCH($P1568, 'New pivot'!$B$12:$P$12,0),0)&gt;0, IFERROR(MATCH($Q1568, 'New pivot'!$B$12:$P$12,0),0)&gt;0, IFERROR(MATCH($R1568, 'New pivot'!$B$12:$P$12,0),0)&gt;0), 1, 0)</f>
        <v>0</v>
      </c>
      <c r="AE1568" s="2">
        <f>IF(OR(IFERROR(MATCH($M1568, 'New pivot'!$B$13:$P$13,0),0)&gt;0, IFERROR(MATCH($N1568, 'New pivot'!$B$13:$P$13,0),0)&gt;0, IFERROR(MATCH($O1568, 'New pivot'!$B$13:$P$13,0),0)&gt;0, IFERROR(MATCH($P1568, 'New pivot'!$B$13:$P$13,0),0)&gt;0, IFERROR(MATCH($Q1568, 'New pivot'!$B$13:$P$13,0),0)&gt;0, IFERROR(MATCH($R1568, 'New pivot'!$B$13:$P$13,0),0)&gt;0), 1, 0)</f>
        <v>0</v>
      </c>
      <c r="AF1568" s="2">
        <f>IF(OR(IFERROR(MATCH($M1568, 'New pivot'!$B$14:$P$14,0),0)&gt;0, IFERROR(MATCH($N1568, 'New pivot'!$B$14:$P$14,0),0)&gt;0, IFERROR(MATCH($O1568, 'New pivot'!$B$14:$P$14,0),0)&gt;0, IFERROR(MATCH($P1568, 'New pivot'!$B$14:$P$14,0),0)&gt;0, IFERROR(MATCH($Q1568, 'New pivot'!$B$14:$P$14,0),0)&gt;0, IFERROR(MATCH($R1568, 'New pivot'!$B$14:$P$14,0),0)&gt;0), 1, 0)</f>
        <v>0</v>
      </c>
      <c r="AG1568" s="2">
        <f>IF(OR(IFERROR(MATCH($M1568, 'New pivot'!$B$15:$P$15,0),0)&gt;0, IFERROR(MATCH($N1568, 'New pivot'!$B$15:$P$15,0),0)&gt;0, IFERROR(MATCH($O1568, 'New pivot'!$B$15:$P$15,0),0)&gt;0, IFERROR(MATCH($P1568, 'New pivot'!$B$15:$P$15,0),0)&gt;0, IFERROR(MATCH($Q1568, 'New pivot'!$B$15:$P$15,0),0)&gt;0, IFERROR(MATCH($R1568, 'New pivot'!$B$15:$P$15,0),0)&gt;0), 1, 0)</f>
        <v>0</v>
      </c>
      <c r="AH1568" s="2">
        <f>IF(OR(IFERROR(MATCH($M1568, 'New pivot'!$B$16:$P$16,0),0)&gt;0, IFERROR(MATCH($N1568, 'New pivot'!$B$16:$P$16,0),0)&gt;0, IFERROR(MATCH($O1568, 'New pivot'!$B$16:$P$16,0),0)&gt;0, IFERROR(MATCH($P1568, 'New pivot'!$B$16:$P$16,0),0)&gt;0, IFERROR(MATCH($Q1568, 'New pivot'!$B$16:$P$16,0),0)&gt;0, IFERROR(MATCH($R1568, 'New pivot'!$B$16:$P$16,0),0)&gt;0), 1, 0)</f>
        <v>0</v>
      </c>
      <c r="AI1568" s="2">
        <f>IF(OR(IFERROR(MATCH($M1568, 'New pivot'!$B$17:$P$17,0),0)&gt;0, IFERROR(MATCH($N1568, 'New pivot'!$B$17:$P$17,0),0)&gt;0, IFERROR(MATCH($O1568, 'New pivot'!$B$17:$P$17,0),0)&gt;0, IFERROR(MATCH($P1568, 'New pivot'!$B$17:$P$17,0),0)&gt;0, IFERROR(MATCH($Q1568, 'New pivot'!$B$17:$P$17,0),0)&gt;0, IFERROR(MATCH($R1568, 'New pivot'!$B$17:$P$17,0),0)&gt;0), 1, 0)</f>
        <v>0</v>
      </c>
      <c r="AJ1568" s="2">
        <f>IF(OR(IFERROR(MATCH($M1568, 'New pivot'!$B$18:$P$18,0),0)&gt;0, IFERROR(MATCH($N1568, 'New pivot'!$B$18:$P$18,0),0)&gt;0, IFERROR(MATCH($O1568, 'New pivot'!$B$18:$P$18,0),0)&gt;0, IFERROR(MATCH($P1568, 'New pivot'!$B$18:$P$18,0),0)&gt;0, IFERROR(MATCH($Q1568, 'New pivot'!$B$18:$P$18,0),0)&gt;0, IFERROR(MATCH($R1568, 'New pivot'!$B$18:$P$18,0),0)&gt;0), 1, 0)</f>
        <v>0</v>
      </c>
      <c r="AK1568" s="2" cm="1">
        <f t="array" ref="AK1568">_xlfn.IFS(SUMPRODUCT((Table1_1[[Product/Package]:[Product/Package]]=AK$2)*(Table1_1[[Value]:[Value]]=$M1568))=1,1,SUMPRODUCT((Table1_1[[Product/Package]:[Product/Package]]=AK$2)*(Table1_1[[Value]:[Value]]=$N1568))=1,1,SUMPRODUCT((Table1_1[[Product/Package]:[Product/Package]]=AK$2)*(Table1_1[[Value]:[Value]]=$O1568))=1,1,SUMPRODUCT((Table1_1[[Product/Package]:[Product/Package]]=AK$2)*(Table1_1[[Value]:[Value]]=$P1568))=1,1,SUMPRODUCT((Table1_1[[Product/Package]:[Product/Package]]=AK$2)*(Table1_1[[Value]:[Value]]=$Q1568))=1,1,SUMPRODUCT((Table1_1[[Product/Package]:[Product/Package]]=AK$2)*(Table1_1[[Value]:[Value]]=$R1568))&lt;&gt;1,0)</f>
        <v>0</v>
      </c>
      <c r="AL1568" s="2" t="e">
        <v>#REF!</v>
      </c>
      <c r="AM1568" s="2" t="e">
        <v>#REF!</v>
      </c>
      <c r="AN1568" s="2" t="e">
        <v>#REF!</v>
      </c>
      <c r="AO1568" s="2" t="e">
        <v>#REF!</v>
      </c>
      <c r="AP1568" s="2" t="e">
        <v>#REF!</v>
      </c>
      <c r="AQ1568" s="2" t="e">
        <v>#REF!</v>
      </c>
      <c r="AR1568" s="2" t="e">
        <v>#REF!</v>
      </c>
      <c r="AS1568" s="2" t="e">
        <v>#REF!</v>
      </c>
      <c r="AT1568" s="2" t="e">
        <v>#REF!</v>
      </c>
      <c r="AU1568" s="2" t="e">
        <v>#REF!</v>
      </c>
      <c r="AV1568" s="2" t="e">
        <v>#REF!</v>
      </c>
      <c r="AW1568" s="2" t="e">
        <v>#REF!</v>
      </c>
      <c r="AX1568" s="2" t="e">
        <v>#REF!</v>
      </c>
      <c r="AY1568" s="2" t="e">
        <v>#REF!</v>
      </c>
      <c r="AZ1568" s="2" t="e">
        <v>#REF!</v>
      </c>
      <c r="BA1568" s="2" t="e">
        <v>#REF!</v>
      </c>
      <c r="BB1568" s="2" t="e">
        <v>#REF!</v>
      </c>
      <c r="BC1568" s="2" t="e">
        <v>#REF!</v>
      </c>
    </row>
    <row r="1569" spans="6:55">
      <c r="F1569" s="2" t="e">
        <v>#REF!</v>
      </c>
      <c r="K1569" s="66" t="e">
        <f>SUM(Table3[[#This Row],[Column19]:[Competitive advantage]])</f>
        <v>#VALUE!</v>
      </c>
      <c r="L1569" s="66" t="e">
        <v>#REF!</v>
      </c>
      <c r="O1569" s="4"/>
      <c r="P1569" s="4"/>
      <c r="R1569" s="4"/>
      <c r="S1569" s="4"/>
      <c r="T1569" s="2">
        <f>IF(OR(IFERROR(MATCH($M1569, 'New pivot'!$B$2:$P$2,0),0)&gt;0, IFERROR(MATCH($N1569, 'New pivot'!$B$2:$P$2,0),0)&gt;0, IFERROR(MATCH($O1569, 'New pivot'!$B$2:$P$2,0),0)&gt;0, IFERROR(MATCH($P1569, 'New pivot'!$B$2:$P$2,0),0)&gt;0, IFERROR(MATCH($Q1569, 'New pivot'!$B$2:$P$2,0),0)&gt;0, IFERROR(MATCH($R1569, 'New pivot'!$B$2:$P$2,0),0)&gt;0), 1, 0)</f>
        <v>0</v>
      </c>
      <c r="U1569" s="2">
        <f>IF(OR(IFERROR(MATCH($M1569, 'New pivot'!$B$3:$P$3,0),0)&gt;0, IFERROR(MATCH($N1569, 'New pivot'!$B$3:$P$3,0),0)&gt;0, IFERROR(MATCH($O1569, 'New pivot'!$B$3:$P$3,0),0)&gt;0, IFERROR(MATCH($P1569, 'New pivot'!$B$3:$P$3,0),0)&gt;0, IFERROR(MATCH($Q1569, 'New pivot'!$B$3:$P$3,0),0)&gt;0, IFERROR(MATCH($R1569, 'New pivot'!$B$3:$P$3,0),0)&gt;0), 1, 0)</f>
        <v>0</v>
      </c>
      <c r="V1569" s="2">
        <f>IF(OR(IFERROR(MATCH($M1569, 'New pivot'!$B$4:$P$4,0),0)&gt;0, IFERROR(MATCH($N1569, 'New pivot'!$B$4:$P$4,0),0)&gt;0, IFERROR(MATCH($O1569, 'New pivot'!$B$4:$P$4,0),0)&gt;0, IFERROR(MATCH($P1569, 'New pivot'!$B$4:$P$4,0),0)&gt;0, IFERROR(MATCH($Q1569, 'New pivot'!$B$4:$P$4,0),0)&gt;0, IFERROR(MATCH($R1569, 'New pivot'!$B$4:$P$4,0),0)&gt;0), 1, 0)</f>
        <v>0</v>
      </c>
      <c r="W1569" s="2">
        <f>IF(OR(IFERROR(MATCH($M1569, 'New pivot'!$B$5:$P$5,0),0)&gt;0, IFERROR(MATCH($N1569, 'New pivot'!$B$5:$P$5,0),0)&gt;0, IFERROR(MATCH($O1569, 'New pivot'!$B$5:$P$5,0),0)&gt;0, IFERROR(MATCH($P1569, 'New pivot'!$B$5:$P$5,0),0)&gt;0, IFERROR(MATCH($Q1569, 'New pivot'!$B$5:$P$5,0),0)&gt;0, IFERROR(MATCH($R1569, 'New pivot'!$B$5:$P$5,0),0)&gt;0), 1, 0)</f>
        <v>0</v>
      </c>
      <c r="X1569" s="2">
        <f>IF(OR(IFERROR(MATCH($M1569, 'New pivot'!$B$6:$P$6,0),0)&gt;0, IFERROR(MATCH($N1569, 'New pivot'!$B$6:$P$6,0),0)&gt;0, IFERROR(MATCH($O1569, 'New pivot'!$B$6:$P$6,0),0)&gt;0, IFERROR(MATCH($P1569, 'New pivot'!$B$6:$P$6,0),0)&gt;0, IFERROR(MATCH($Q1569, 'New pivot'!$B$6:$P$6,0),0)&gt;0, IFERROR(MATCH($R1569, 'New pivot'!$B$6:$P$6,0),0)&gt;0), 1, 0)</f>
        <v>0</v>
      </c>
      <c r="Y1569" s="2">
        <f>IF(OR(IFERROR(MATCH($M1569, 'New pivot'!$B$7:$P$7,0),0)&gt;0, IFERROR(MATCH($N1569, 'New pivot'!$B$7:$P$7,0),0)&gt;0, IFERROR(MATCH($O1569, 'New pivot'!$B$7:$P$7,0),0)&gt;0, IFERROR(MATCH($P1569, 'New pivot'!$B$7:$P$7,0),0)&gt;0, IFERROR(MATCH($Q1569, 'New pivot'!$B$7:$P$7,0),0)&gt;0, IFERROR(MATCH($R1569, 'New pivot'!$B$7:$P$7,0),0)&gt;0), 1, 0)</f>
        <v>0</v>
      </c>
      <c r="Z1569" s="2">
        <f>IF(OR(IFERROR(MATCH($M1569, 'New pivot'!$B$8:$P$8,0),0)&gt;0, IFERROR(MATCH($N1569, 'New pivot'!$B$8:$P$8,0),0)&gt;0, IFERROR(MATCH($O1569, 'New pivot'!$B$8:$P$8,0),0)&gt;0, IFERROR(MATCH($P1569, 'New pivot'!$B$8:$P$8,0),0)&gt;0, IFERROR(MATCH($Q1569, 'New pivot'!$B$8:$P$8,0),0)&gt;0, IFERROR(MATCH($R1569, 'New pivot'!$B$8:$P$8,0),0)&gt;0), 1, 0)</f>
        <v>0</v>
      </c>
      <c r="AA1569" s="2">
        <f>IF(OR(IFERROR(MATCH($M1569, 'New pivot'!$B$9:$P$9,0),0)&gt;0, IFERROR(MATCH($N1569, 'New pivot'!$B$9:$P$9,0),0)&gt;0, IFERROR(MATCH($O1569, 'New pivot'!$B$9:$P$9,0),0)&gt;0, IFERROR(MATCH($P1569, 'New pivot'!$B$9:$P$9,0),0)&gt;0, IFERROR(MATCH($Q1569, 'New pivot'!$B$9:$P$9,0),0)&gt;0, IFERROR(MATCH($R1569, 'New pivot'!$B$9:$P$9,0),0)&gt;0), 1, 0)</f>
        <v>0</v>
      </c>
      <c r="AB1569" s="2">
        <f>IF(OR(IFERROR(MATCH($M1569, 'New pivot'!$B$10:$P$10,0),0)&gt;0, IFERROR(MATCH($N1569, 'New pivot'!$B$10:$P$10,0),0)&gt;0, IFERROR(MATCH($O1569, 'New pivot'!$B$10:$P$10,0),0)&gt;0, IFERROR(MATCH($P1569, 'New pivot'!$B$10:$P$10,0),0)&gt;0, IFERROR(MATCH($Q1569, 'New pivot'!$B$10:$P$10,0),0)&gt;0, IFERROR(MATCH($R1569, 'New pivot'!$B$10:$P$10,0),0)&gt;0), 1, 0)</f>
        <v>0</v>
      </c>
      <c r="AC1569" s="2">
        <f>IF(OR(IFERROR(MATCH($M1569, 'New pivot'!$B$11:$P$11,0),0)&gt;0, IFERROR(MATCH($N1569, 'New pivot'!$B$11:$P$11,0),0)&gt;0, IFERROR(MATCH($O1569, 'New pivot'!$B$11:$P$11,0),0)&gt;0, IFERROR(MATCH($P1569, 'New pivot'!$B$11:$P$11,0),0)&gt;0, IFERROR(MATCH($Q1569, 'New pivot'!$B$11:$P$11,0),0)&gt;0, IFERROR(MATCH($R1569, 'New pivot'!$B$11:$P$11,0),0)&gt;0), 1, 0)</f>
        <v>0</v>
      </c>
      <c r="AD1569" s="2">
        <f>IF(OR(IFERROR(MATCH($M1569, 'New pivot'!$B$12:$P$12,0),0)&gt;0, IFERROR(MATCH($N1569, 'New pivot'!$B$12:$P$12,0),0)&gt;0, IFERROR(MATCH($O1569, 'New pivot'!$B$12:$P$12,0),0)&gt;0, IFERROR(MATCH($P1569, 'New pivot'!$B$12:$P$12,0),0)&gt;0, IFERROR(MATCH($Q1569, 'New pivot'!$B$12:$P$12,0),0)&gt;0, IFERROR(MATCH($R1569, 'New pivot'!$B$12:$P$12,0),0)&gt;0), 1, 0)</f>
        <v>0</v>
      </c>
      <c r="AE1569" s="2">
        <f>IF(OR(IFERROR(MATCH($M1569, 'New pivot'!$B$13:$P$13,0),0)&gt;0, IFERROR(MATCH($N1569, 'New pivot'!$B$13:$P$13,0),0)&gt;0, IFERROR(MATCH($O1569, 'New pivot'!$B$13:$P$13,0),0)&gt;0, IFERROR(MATCH($P1569, 'New pivot'!$B$13:$P$13,0),0)&gt;0, IFERROR(MATCH($Q1569, 'New pivot'!$B$13:$P$13,0),0)&gt;0, IFERROR(MATCH($R1569, 'New pivot'!$B$13:$P$13,0),0)&gt;0), 1, 0)</f>
        <v>0</v>
      </c>
      <c r="AF1569" s="2">
        <f>IF(OR(IFERROR(MATCH($M1569, 'New pivot'!$B$14:$P$14,0),0)&gt;0, IFERROR(MATCH($N1569, 'New pivot'!$B$14:$P$14,0),0)&gt;0, IFERROR(MATCH($O1569, 'New pivot'!$B$14:$P$14,0),0)&gt;0, IFERROR(MATCH($P1569, 'New pivot'!$B$14:$P$14,0),0)&gt;0, IFERROR(MATCH($Q1569, 'New pivot'!$B$14:$P$14,0),0)&gt;0, IFERROR(MATCH($R1569, 'New pivot'!$B$14:$P$14,0),0)&gt;0), 1, 0)</f>
        <v>0</v>
      </c>
      <c r="AG1569" s="2">
        <f>IF(OR(IFERROR(MATCH($M1569, 'New pivot'!$B$15:$P$15,0),0)&gt;0, IFERROR(MATCH($N1569, 'New pivot'!$B$15:$P$15,0),0)&gt;0, IFERROR(MATCH($O1569, 'New pivot'!$B$15:$P$15,0),0)&gt;0, IFERROR(MATCH($P1569, 'New pivot'!$B$15:$P$15,0),0)&gt;0, IFERROR(MATCH($Q1569, 'New pivot'!$B$15:$P$15,0),0)&gt;0, IFERROR(MATCH($R1569, 'New pivot'!$B$15:$P$15,0),0)&gt;0), 1, 0)</f>
        <v>0</v>
      </c>
      <c r="AH1569" s="2">
        <f>IF(OR(IFERROR(MATCH($M1569, 'New pivot'!$B$16:$P$16,0),0)&gt;0, IFERROR(MATCH($N1569, 'New pivot'!$B$16:$P$16,0),0)&gt;0, IFERROR(MATCH($O1569, 'New pivot'!$B$16:$P$16,0),0)&gt;0, IFERROR(MATCH($P1569, 'New pivot'!$B$16:$P$16,0),0)&gt;0, IFERROR(MATCH($Q1569, 'New pivot'!$B$16:$P$16,0),0)&gt;0, IFERROR(MATCH($R1569, 'New pivot'!$B$16:$P$16,0),0)&gt;0), 1, 0)</f>
        <v>0</v>
      </c>
      <c r="AI1569" s="2">
        <f>IF(OR(IFERROR(MATCH($M1569, 'New pivot'!$B$17:$P$17,0),0)&gt;0, IFERROR(MATCH($N1569, 'New pivot'!$B$17:$P$17,0),0)&gt;0, IFERROR(MATCH($O1569, 'New pivot'!$B$17:$P$17,0),0)&gt;0, IFERROR(MATCH($P1569, 'New pivot'!$B$17:$P$17,0),0)&gt;0, IFERROR(MATCH($Q1569, 'New pivot'!$B$17:$P$17,0),0)&gt;0, IFERROR(MATCH($R1569, 'New pivot'!$B$17:$P$17,0),0)&gt;0), 1, 0)</f>
        <v>0</v>
      </c>
      <c r="AJ1569" s="2">
        <f>IF(OR(IFERROR(MATCH($M1569, 'New pivot'!$B$18:$P$18,0),0)&gt;0, IFERROR(MATCH($N1569, 'New pivot'!$B$18:$P$18,0),0)&gt;0, IFERROR(MATCH($O1569, 'New pivot'!$B$18:$P$18,0),0)&gt;0, IFERROR(MATCH($P1569, 'New pivot'!$B$18:$P$18,0),0)&gt;0, IFERROR(MATCH($Q1569, 'New pivot'!$B$18:$P$18,0),0)&gt;0, IFERROR(MATCH($R1569, 'New pivot'!$B$18:$P$18,0),0)&gt;0), 1, 0)</f>
        <v>0</v>
      </c>
      <c r="AK1569" s="2" cm="1">
        <f t="array" ref="AK1569">_xlfn.IFS(SUMPRODUCT((Table1_1[[Product/Package]:[Product/Package]]=AK$2)*(Table1_1[[Value]:[Value]]=$M1569))=1,1,SUMPRODUCT((Table1_1[[Product/Package]:[Product/Package]]=AK$2)*(Table1_1[[Value]:[Value]]=$N1569))=1,1,SUMPRODUCT((Table1_1[[Product/Package]:[Product/Package]]=AK$2)*(Table1_1[[Value]:[Value]]=$O1569))=1,1,SUMPRODUCT((Table1_1[[Product/Package]:[Product/Package]]=AK$2)*(Table1_1[[Value]:[Value]]=$P1569))=1,1,SUMPRODUCT((Table1_1[[Product/Package]:[Product/Package]]=AK$2)*(Table1_1[[Value]:[Value]]=$Q1569))=1,1,SUMPRODUCT((Table1_1[[Product/Package]:[Product/Package]]=AK$2)*(Table1_1[[Value]:[Value]]=$R1569))&lt;&gt;1,0)</f>
        <v>0</v>
      </c>
      <c r="AL1569" s="2" t="e">
        <v>#REF!</v>
      </c>
      <c r="AM1569" s="2" t="e">
        <v>#REF!</v>
      </c>
      <c r="AN1569" s="2" t="e">
        <v>#REF!</v>
      </c>
      <c r="AO1569" s="2" t="e">
        <v>#REF!</v>
      </c>
      <c r="AP1569" s="2" t="e">
        <v>#REF!</v>
      </c>
      <c r="AQ1569" s="2" t="e">
        <v>#REF!</v>
      </c>
      <c r="AR1569" s="2" t="e">
        <v>#REF!</v>
      </c>
      <c r="AS1569" s="2" t="e">
        <v>#REF!</v>
      </c>
      <c r="AT1569" s="2" t="e">
        <v>#REF!</v>
      </c>
      <c r="AU1569" s="2" t="e">
        <v>#REF!</v>
      </c>
      <c r="AV1569" s="2" t="e">
        <v>#REF!</v>
      </c>
      <c r="AW1569" s="2" t="e">
        <v>#REF!</v>
      </c>
      <c r="AX1569" s="2" t="e">
        <v>#REF!</v>
      </c>
      <c r="AY1569" s="2" t="e">
        <v>#REF!</v>
      </c>
      <c r="AZ1569" s="2" t="e">
        <v>#REF!</v>
      </c>
      <c r="BA1569" s="2" t="e">
        <v>#REF!</v>
      </c>
      <c r="BB1569" s="2" t="e">
        <v>#REF!</v>
      </c>
      <c r="BC1569" s="2" t="e">
        <v>#REF!</v>
      </c>
    </row>
    <row r="1570" spans="6:55">
      <c r="F1570" s="2" t="e">
        <v>#REF!</v>
      </c>
      <c r="K1570" s="66" t="e">
        <f>SUM(Table3[[#This Row],[Column19]:[Competitive advantage]])</f>
        <v>#VALUE!</v>
      </c>
      <c r="L1570" s="66" t="e">
        <v>#REF!</v>
      </c>
      <c r="O1570" s="4"/>
      <c r="P1570" s="4"/>
      <c r="R1570" s="4"/>
      <c r="S1570" s="4"/>
      <c r="T1570" s="2">
        <f>IF(OR(IFERROR(MATCH($M1570, 'New pivot'!$B$2:$P$2,0),0)&gt;0, IFERROR(MATCH($N1570, 'New pivot'!$B$2:$P$2,0),0)&gt;0, IFERROR(MATCH($O1570, 'New pivot'!$B$2:$P$2,0),0)&gt;0, IFERROR(MATCH($P1570, 'New pivot'!$B$2:$P$2,0),0)&gt;0, IFERROR(MATCH($Q1570, 'New pivot'!$B$2:$P$2,0),0)&gt;0, IFERROR(MATCH($R1570, 'New pivot'!$B$2:$P$2,0),0)&gt;0), 1, 0)</f>
        <v>0</v>
      </c>
      <c r="U1570" s="2">
        <f>IF(OR(IFERROR(MATCH($M1570, 'New pivot'!$B$3:$P$3,0),0)&gt;0, IFERROR(MATCH($N1570, 'New pivot'!$B$3:$P$3,0),0)&gt;0, IFERROR(MATCH($O1570, 'New pivot'!$B$3:$P$3,0),0)&gt;0, IFERROR(MATCH($P1570, 'New pivot'!$B$3:$P$3,0),0)&gt;0, IFERROR(MATCH($Q1570, 'New pivot'!$B$3:$P$3,0),0)&gt;0, IFERROR(MATCH($R1570, 'New pivot'!$B$3:$P$3,0),0)&gt;0), 1, 0)</f>
        <v>0</v>
      </c>
      <c r="V1570" s="2">
        <f>IF(OR(IFERROR(MATCH($M1570, 'New pivot'!$B$4:$P$4,0),0)&gt;0, IFERROR(MATCH($N1570, 'New pivot'!$B$4:$P$4,0),0)&gt;0, IFERROR(MATCH($O1570, 'New pivot'!$B$4:$P$4,0),0)&gt;0, IFERROR(MATCH($P1570, 'New pivot'!$B$4:$P$4,0),0)&gt;0, IFERROR(MATCH($Q1570, 'New pivot'!$B$4:$P$4,0),0)&gt;0, IFERROR(MATCH($R1570, 'New pivot'!$B$4:$P$4,0),0)&gt;0), 1, 0)</f>
        <v>0</v>
      </c>
      <c r="W1570" s="2">
        <f>IF(OR(IFERROR(MATCH($M1570, 'New pivot'!$B$5:$P$5,0),0)&gt;0, IFERROR(MATCH($N1570, 'New pivot'!$B$5:$P$5,0),0)&gt;0, IFERROR(MATCH($O1570, 'New pivot'!$B$5:$P$5,0),0)&gt;0, IFERROR(MATCH($P1570, 'New pivot'!$B$5:$P$5,0),0)&gt;0, IFERROR(MATCH($Q1570, 'New pivot'!$B$5:$P$5,0),0)&gt;0, IFERROR(MATCH($R1570, 'New pivot'!$B$5:$P$5,0),0)&gt;0), 1, 0)</f>
        <v>0</v>
      </c>
      <c r="X1570" s="2">
        <f>IF(OR(IFERROR(MATCH($M1570, 'New pivot'!$B$6:$P$6,0),0)&gt;0, IFERROR(MATCH($N1570, 'New pivot'!$B$6:$P$6,0),0)&gt;0, IFERROR(MATCH($O1570, 'New pivot'!$B$6:$P$6,0),0)&gt;0, IFERROR(MATCH($P1570, 'New pivot'!$B$6:$P$6,0),0)&gt;0, IFERROR(MATCH($Q1570, 'New pivot'!$B$6:$P$6,0),0)&gt;0, IFERROR(MATCH($R1570, 'New pivot'!$B$6:$P$6,0),0)&gt;0), 1, 0)</f>
        <v>0</v>
      </c>
      <c r="Y1570" s="2">
        <f>IF(OR(IFERROR(MATCH($M1570, 'New pivot'!$B$7:$P$7,0),0)&gt;0, IFERROR(MATCH($N1570, 'New pivot'!$B$7:$P$7,0),0)&gt;0, IFERROR(MATCH($O1570, 'New pivot'!$B$7:$P$7,0),0)&gt;0, IFERROR(MATCH($P1570, 'New pivot'!$B$7:$P$7,0),0)&gt;0, IFERROR(MATCH($Q1570, 'New pivot'!$B$7:$P$7,0),0)&gt;0, IFERROR(MATCH($R1570, 'New pivot'!$B$7:$P$7,0),0)&gt;0), 1, 0)</f>
        <v>0</v>
      </c>
      <c r="Z1570" s="2">
        <f>IF(OR(IFERROR(MATCH($M1570, 'New pivot'!$B$8:$P$8,0),0)&gt;0, IFERROR(MATCH($N1570, 'New pivot'!$B$8:$P$8,0),0)&gt;0, IFERROR(MATCH($O1570, 'New pivot'!$B$8:$P$8,0),0)&gt;0, IFERROR(MATCH($P1570, 'New pivot'!$B$8:$P$8,0),0)&gt;0, IFERROR(MATCH($Q1570, 'New pivot'!$B$8:$P$8,0),0)&gt;0, IFERROR(MATCH($R1570, 'New pivot'!$B$8:$P$8,0),0)&gt;0), 1, 0)</f>
        <v>0</v>
      </c>
      <c r="AA1570" s="2">
        <f>IF(OR(IFERROR(MATCH($M1570, 'New pivot'!$B$9:$P$9,0),0)&gt;0, IFERROR(MATCH($N1570, 'New pivot'!$B$9:$P$9,0),0)&gt;0, IFERROR(MATCH($O1570, 'New pivot'!$B$9:$P$9,0),0)&gt;0, IFERROR(MATCH($P1570, 'New pivot'!$B$9:$P$9,0),0)&gt;0, IFERROR(MATCH($Q1570, 'New pivot'!$B$9:$P$9,0),0)&gt;0, IFERROR(MATCH($R1570, 'New pivot'!$B$9:$P$9,0),0)&gt;0), 1, 0)</f>
        <v>0</v>
      </c>
      <c r="AB1570" s="2">
        <f>IF(OR(IFERROR(MATCH($M1570, 'New pivot'!$B$10:$P$10,0),0)&gt;0, IFERROR(MATCH($N1570, 'New pivot'!$B$10:$P$10,0),0)&gt;0, IFERROR(MATCH($O1570, 'New pivot'!$B$10:$P$10,0),0)&gt;0, IFERROR(MATCH($P1570, 'New pivot'!$B$10:$P$10,0),0)&gt;0, IFERROR(MATCH($Q1570, 'New pivot'!$B$10:$P$10,0),0)&gt;0, IFERROR(MATCH($R1570, 'New pivot'!$B$10:$P$10,0),0)&gt;0), 1, 0)</f>
        <v>0</v>
      </c>
      <c r="AC1570" s="2">
        <f>IF(OR(IFERROR(MATCH($M1570, 'New pivot'!$B$11:$P$11,0),0)&gt;0, IFERROR(MATCH($N1570, 'New pivot'!$B$11:$P$11,0),0)&gt;0, IFERROR(MATCH($O1570, 'New pivot'!$B$11:$P$11,0),0)&gt;0, IFERROR(MATCH($P1570, 'New pivot'!$B$11:$P$11,0),0)&gt;0, IFERROR(MATCH($Q1570, 'New pivot'!$B$11:$P$11,0),0)&gt;0, IFERROR(MATCH($R1570, 'New pivot'!$B$11:$P$11,0),0)&gt;0), 1, 0)</f>
        <v>0</v>
      </c>
      <c r="AD1570" s="2">
        <f>IF(OR(IFERROR(MATCH($M1570, 'New pivot'!$B$12:$P$12,0),0)&gt;0, IFERROR(MATCH($N1570, 'New pivot'!$B$12:$P$12,0),0)&gt;0, IFERROR(MATCH($O1570, 'New pivot'!$B$12:$P$12,0),0)&gt;0, IFERROR(MATCH($P1570, 'New pivot'!$B$12:$P$12,0),0)&gt;0, IFERROR(MATCH($Q1570, 'New pivot'!$B$12:$P$12,0),0)&gt;0, IFERROR(MATCH($R1570, 'New pivot'!$B$12:$P$12,0),0)&gt;0), 1, 0)</f>
        <v>0</v>
      </c>
      <c r="AE1570" s="2">
        <f>IF(OR(IFERROR(MATCH($M1570, 'New pivot'!$B$13:$P$13,0),0)&gt;0, IFERROR(MATCH($N1570, 'New pivot'!$B$13:$P$13,0),0)&gt;0, IFERROR(MATCH($O1570, 'New pivot'!$B$13:$P$13,0),0)&gt;0, IFERROR(MATCH($P1570, 'New pivot'!$B$13:$P$13,0),0)&gt;0, IFERROR(MATCH($Q1570, 'New pivot'!$B$13:$P$13,0),0)&gt;0, IFERROR(MATCH($R1570, 'New pivot'!$B$13:$P$13,0),0)&gt;0), 1, 0)</f>
        <v>0</v>
      </c>
      <c r="AF1570" s="2">
        <f>IF(OR(IFERROR(MATCH($M1570, 'New pivot'!$B$14:$P$14,0),0)&gt;0, IFERROR(MATCH($N1570, 'New pivot'!$B$14:$P$14,0),0)&gt;0, IFERROR(MATCH($O1570, 'New pivot'!$B$14:$P$14,0),0)&gt;0, IFERROR(MATCH($P1570, 'New pivot'!$B$14:$P$14,0),0)&gt;0, IFERROR(MATCH($Q1570, 'New pivot'!$B$14:$P$14,0),0)&gt;0, IFERROR(MATCH($R1570, 'New pivot'!$B$14:$P$14,0),0)&gt;0), 1, 0)</f>
        <v>0</v>
      </c>
      <c r="AG1570" s="2">
        <f>IF(OR(IFERROR(MATCH($M1570, 'New pivot'!$B$15:$P$15,0),0)&gt;0, IFERROR(MATCH($N1570, 'New pivot'!$B$15:$P$15,0),0)&gt;0, IFERROR(MATCH($O1570, 'New pivot'!$B$15:$P$15,0),0)&gt;0, IFERROR(MATCH($P1570, 'New pivot'!$B$15:$P$15,0),0)&gt;0, IFERROR(MATCH($Q1570, 'New pivot'!$B$15:$P$15,0),0)&gt;0, IFERROR(MATCH($R1570, 'New pivot'!$B$15:$P$15,0),0)&gt;0), 1, 0)</f>
        <v>0</v>
      </c>
      <c r="AH1570" s="2">
        <f>IF(OR(IFERROR(MATCH($M1570, 'New pivot'!$B$16:$P$16,0),0)&gt;0, IFERROR(MATCH($N1570, 'New pivot'!$B$16:$P$16,0),0)&gt;0, IFERROR(MATCH($O1570, 'New pivot'!$B$16:$P$16,0),0)&gt;0, IFERROR(MATCH($P1570, 'New pivot'!$B$16:$P$16,0),0)&gt;0, IFERROR(MATCH($Q1570, 'New pivot'!$B$16:$P$16,0),0)&gt;0, IFERROR(MATCH($R1570, 'New pivot'!$B$16:$P$16,0),0)&gt;0), 1, 0)</f>
        <v>0</v>
      </c>
      <c r="AI1570" s="2">
        <f>IF(OR(IFERROR(MATCH($M1570, 'New pivot'!$B$17:$P$17,0),0)&gt;0, IFERROR(MATCH($N1570, 'New pivot'!$B$17:$P$17,0),0)&gt;0, IFERROR(MATCH($O1570, 'New pivot'!$B$17:$P$17,0),0)&gt;0, IFERROR(MATCH($P1570, 'New pivot'!$B$17:$P$17,0),0)&gt;0, IFERROR(MATCH($Q1570, 'New pivot'!$B$17:$P$17,0),0)&gt;0, IFERROR(MATCH($R1570, 'New pivot'!$B$17:$P$17,0),0)&gt;0), 1, 0)</f>
        <v>0</v>
      </c>
      <c r="AJ1570" s="2">
        <f>IF(OR(IFERROR(MATCH($M1570, 'New pivot'!$B$18:$P$18,0),0)&gt;0, IFERROR(MATCH($N1570, 'New pivot'!$B$18:$P$18,0),0)&gt;0, IFERROR(MATCH($O1570, 'New pivot'!$B$18:$P$18,0),0)&gt;0, IFERROR(MATCH($P1570, 'New pivot'!$B$18:$P$18,0),0)&gt;0, IFERROR(MATCH($Q1570, 'New pivot'!$B$18:$P$18,0),0)&gt;0, IFERROR(MATCH($R1570, 'New pivot'!$B$18:$P$18,0),0)&gt;0), 1, 0)</f>
        <v>0</v>
      </c>
      <c r="AK1570" s="2" cm="1">
        <f t="array" ref="AK1570">_xlfn.IFS(SUMPRODUCT((Table1_1[[Product/Package]:[Product/Package]]=AK$2)*(Table1_1[[Value]:[Value]]=$M1570))=1,1,SUMPRODUCT((Table1_1[[Product/Package]:[Product/Package]]=AK$2)*(Table1_1[[Value]:[Value]]=$N1570))=1,1,SUMPRODUCT((Table1_1[[Product/Package]:[Product/Package]]=AK$2)*(Table1_1[[Value]:[Value]]=$O1570))=1,1,SUMPRODUCT((Table1_1[[Product/Package]:[Product/Package]]=AK$2)*(Table1_1[[Value]:[Value]]=$P1570))=1,1,SUMPRODUCT((Table1_1[[Product/Package]:[Product/Package]]=AK$2)*(Table1_1[[Value]:[Value]]=$Q1570))=1,1,SUMPRODUCT((Table1_1[[Product/Package]:[Product/Package]]=AK$2)*(Table1_1[[Value]:[Value]]=$R1570))&lt;&gt;1,0)</f>
        <v>0</v>
      </c>
      <c r="AL1570" s="2" t="e">
        <v>#REF!</v>
      </c>
      <c r="AM1570" s="2" t="e">
        <v>#REF!</v>
      </c>
      <c r="AN1570" s="2" t="e">
        <v>#REF!</v>
      </c>
      <c r="AO1570" s="2" t="e">
        <v>#REF!</v>
      </c>
      <c r="AP1570" s="2" t="e">
        <v>#REF!</v>
      </c>
      <c r="AQ1570" s="2" t="e">
        <v>#REF!</v>
      </c>
      <c r="AR1570" s="2" t="e">
        <v>#REF!</v>
      </c>
      <c r="AS1570" s="2" t="e">
        <v>#REF!</v>
      </c>
      <c r="AT1570" s="2" t="e">
        <v>#REF!</v>
      </c>
      <c r="AU1570" s="2" t="e">
        <v>#REF!</v>
      </c>
      <c r="AV1570" s="2" t="e">
        <v>#REF!</v>
      </c>
      <c r="AW1570" s="2" t="e">
        <v>#REF!</v>
      </c>
      <c r="AX1570" s="2" t="e">
        <v>#REF!</v>
      </c>
      <c r="AY1570" s="2" t="e">
        <v>#REF!</v>
      </c>
      <c r="AZ1570" s="2" t="e">
        <v>#REF!</v>
      </c>
      <c r="BA1570" s="2" t="e">
        <v>#REF!</v>
      </c>
      <c r="BB1570" s="2" t="e">
        <v>#REF!</v>
      </c>
      <c r="BC1570" s="2" t="e">
        <v>#REF!</v>
      </c>
    </row>
    <row r="1571" spans="6:55">
      <c r="F1571" s="2" t="e">
        <v>#REF!</v>
      </c>
      <c r="K1571" s="66" t="e">
        <f>SUM(Table3[[#This Row],[Column19]:[Competitive advantage]])</f>
        <v>#VALUE!</v>
      </c>
      <c r="L1571" s="66" t="e">
        <v>#REF!</v>
      </c>
      <c r="O1571" s="4"/>
      <c r="P1571" s="4"/>
      <c r="R1571" s="4"/>
      <c r="S1571" s="4"/>
      <c r="T1571" s="2">
        <f>IF(OR(IFERROR(MATCH($M1571, 'New pivot'!$B$2:$P$2,0),0)&gt;0, IFERROR(MATCH($N1571, 'New pivot'!$B$2:$P$2,0),0)&gt;0, IFERROR(MATCH($O1571, 'New pivot'!$B$2:$P$2,0),0)&gt;0, IFERROR(MATCH($P1571, 'New pivot'!$B$2:$P$2,0),0)&gt;0, IFERROR(MATCH($Q1571, 'New pivot'!$B$2:$P$2,0),0)&gt;0, IFERROR(MATCH($R1571, 'New pivot'!$B$2:$P$2,0),0)&gt;0), 1, 0)</f>
        <v>0</v>
      </c>
      <c r="U1571" s="2">
        <f>IF(OR(IFERROR(MATCH($M1571, 'New pivot'!$B$3:$P$3,0),0)&gt;0, IFERROR(MATCH($N1571, 'New pivot'!$B$3:$P$3,0),0)&gt;0, IFERROR(MATCH($O1571, 'New pivot'!$B$3:$P$3,0),0)&gt;0, IFERROR(MATCH($P1571, 'New pivot'!$B$3:$P$3,0),0)&gt;0, IFERROR(MATCH($Q1571, 'New pivot'!$B$3:$P$3,0),0)&gt;0, IFERROR(MATCH($R1571, 'New pivot'!$B$3:$P$3,0),0)&gt;0), 1, 0)</f>
        <v>0</v>
      </c>
      <c r="V1571" s="2">
        <f>IF(OR(IFERROR(MATCH($M1571, 'New pivot'!$B$4:$P$4,0),0)&gt;0, IFERROR(MATCH($N1571, 'New pivot'!$B$4:$P$4,0),0)&gt;0, IFERROR(MATCH($O1571, 'New pivot'!$B$4:$P$4,0),0)&gt;0, IFERROR(MATCH($P1571, 'New pivot'!$B$4:$P$4,0),0)&gt;0, IFERROR(MATCH($Q1571, 'New pivot'!$B$4:$P$4,0),0)&gt;0, IFERROR(MATCH($R1571, 'New pivot'!$B$4:$P$4,0),0)&gt;0), 1, 0)</f>
        <v>0</v>
      </c>
      <c r="W1571" s="2">
        <f>IF(OR(IFERROR(MATCH($M1571, 'New pivot'!$B$5:$P$5,0),0)&gt;0, IFERROR(MATCH($N1571, 'New pivot'!$B$5:$P$5,0),0)&gt;0, IFERROR(MATCH($O1571, 'New pivot'!$B$5:$P$5,0),0)&gt;0, IFERROR(MATCH($P1571, 'New pivot'!$B$5:$P$5,0),0)&gt;0, IFERROR(MATCH($Q1571, 'New pivot'!$B$5:$P$5,0),0)&gt;0, IFERROR(MATCH($R1571, 'New pivot'!$B$5:$P$5,0),0)&gt;0), 1, 0)</f>
        <v>0</v>
      </c>
      <c r="X1571" s="2">
        <f>IF(OR(IFERROR(MATCH($M1571, 'New pivot'!$B$6:$P$6,0),0)&gt;0, IFERROR(MATCH($N1571, 'New pivot'!$B$6:$P$6,0),0)&gt;0, IFERROR(MATCH($O1571, 'New pivot'!$B$6:$P$6,0),0)&gt;0, IFERROR(MATCH($P1571, 'New pivot'!$B$6:$P$6,0),0)&gt;0, IFERROR(MATCH($Q1571, 'New pivot'!$B$6:$P$6,0),0)&gt;0, IFERROR(MATCH($R1571, 'New pivot'!$B$6:$P$6,0),0)&gt;0), 1, 0)</f>
        <v>0</v>
      </c>
      <c r="Y1571" s="2">
        <f>IF(OR(IFERROR(MATCH($M1571, 'New pivot'!$B$7:$P$7,0),0)&gt;0, IFERROR(MATCH($N1571, 'New pivot'!$B$7:$P$7,0),0)&gt;0, IFERROR(MATCH($O1571, 'New pivot'!$B$7:$P$7,0),0)&gt;0, IFERROR(MATCH($P1571, 'New pivot'!$B$7:$P$7,0),0)&gt;0, IFERROR(MATCH($Q1571, 'New pivot'!$B$7:$P$7,0),0)&gt;0, IFERROR(MATCH($R1571, 'New pivot'!$B$7:$P$7,0),0)&gt;0), 1, 0)</f>
        <v>0</v>
      </c>
      <c r="Z1571" s="2">
        <f>IF(OR(IFERROR(MATCH($M1571, 'New pivot'!$B$8:$P$8,0),0)&gt;0, IFERROR(MATCH($N1571, 'New pivot'!$B$8:$P$8,0),0)&gt;0, IFERROR(MATCH($O1571, 'New pivot'!$B$8:$P$8,0),0)&gt;0, IFERROR(MATCH($P1571, 'New pivot'!$B$8:$P$8,0),0)&gt;0, IFERROR(MATCH($Q1571, 'New pivot'!$B$8:$P$8,0),0)&gt;0, IFERROR(MATCH($R1571, 'New pivot'!$B$8:$P$8,0),0)&gt;0), 1, 0)</f>
        <v>0</v>
      </c>
      <c r="AA1571" s="2">
        <f>IF(OR(IFERROR(MATCH($M1571, 'New pivot'!$B$9:$P$9,0),0)&gt;0, IFERROR(MATCH($N1571, 'New pivot'!$B$9:$P$9,0),0)&gt;0, IFERROR(MATCH($O1571, 'New pivot'!$B$9:$P$9,0),0)&gt;0, IFERROR(MATCH($P1571, 'New pivot'!$B$9:$P$9,0),0)&gt;0, IFERROR(MATCH($Q1571, 'New pivot'!$B$9:$P$9,0),0)&gt;0, IFERROR(MATCH($R1571, 'New pivot'!$B$9:$P$9,0),0)&gt;0), 1, 0)</f>
        <v>0</v>
      </c>
      <c r="AB1571" s="2">
        <f>IF(OR(IFERROR(MATCH($M1571, 'New pivot'!$B$10:$P$10,0),0)&gt;0, IFERROR(MATCH($N1571, 'New pivot'!$B$10:$P$10,0),0)&gt;0, IFERROR(MATCH($O1571, 'New pivot'!$B$10:$P$10,0),0)&gt;0, IFERROR(MATCH($P1571, 'New pivot'!$B$10:$P$10,0),0)&gt;0, IFERROR(MATCH($Q1571, 'New pivot'!$B$10:$P$10,0),0)&gt;0, IFERROR(MATCH($R1571, 'New pivot'!$B$10:$P$10,0),0)&gt;0), 1, 0)</f>
        <v>0</v>
      </c>
      <c r="AC1571" s="2">
        <f>IF(OR(IFERROR(MATCH($M1571, 'New pivot'!$B$11:$P$11,0),0)&gt;0, IFERROR(MATCH($N1571, 'New pivot'!$B$11:$P$11,0),0)&gt;0, IFERROR(MATCH($O1571, 'New pivot'!$B$11:$P$11,0),0)&gt;0, IFERROR(MATCH($P1571, 'New pivot'!$B$11:$P$11,0),0)&gt;0, IFERROR(MATCH($Q1571, 'New pivot'!$B$11:$P$11,0),0)&gt;0, IFERROR(MATCH($R1571, 'New pivot'!$B$11:$P$11,0),0)&gt;0), 1, 0)</f>
        <v>0</v>
      </c>
      <c r="AD1571" s="2">
        <f>IF(OR(IFERROR(MATCH($M1571, 'New pivot'!$B$12:$P$12,0),0)&gt;0, IFERROR(MATCH($N1571, 'New pivot'!$B$12:$P$12,0),0)&gt;0, IFERROR(MATCH($O1571, 'New pivot'!$B$12:$P$12,0),0)&gt;0, IFERROR(MATCH($P1571, 'New pivot'!$B$12:$P$12,0),0)&gt;0, IFERROR(MATCH($Q1571, 'New pivot'!$B$12:$P$12,0),0)&gt;0, IFERROR(MATCH($R1571, 'New pivot'!$B$12:$P$12,0),0)&gt;0), 1, 0)</f>
        <v>0</v>
      </c>
      <c r="AE1571" s="2">
        <f>IF(OR(IFERROR(MATCH($M1571, 'New pivot'!$B$13:$P$13,0),0)&gt;0, IFERROR(MATCH($N1571, 'New pivot'!$B$13:$P$13,0),0)&gt;0, IFERROR(MATCH($O1571, 'New pivot'!$B$13:$P$13,0),0)&gt;0, IFERROR(MATCH($P1571, 'New pivot'!$B$13:$P$13,0),0)&gt;0, IFERROR(MATCH($Q1571, 'New pivot'!$B$13:$P$13,0),0)&gt;0, IFERROR(MATCH($R1571, 'New pivot'!$B$13:$P$13,0),0)&gt;0), 1, 0)</f>
        <v>0</v>
      </c>
      <c r="AF1571" s="2">
        <f>IF(OR(IFERROR(MATCH($M1571, 'New pivot'!$B$14:$P$14,0),0)&gt;0, IFERROR(MATCH($N1571, 'New pivot'!$B$14:$P$14,0),0)&gt;0, IFERROR(MATCH($O1571, 'New pivot'!$B$14:$P$14,0),0)&gt;0, IFERROR(MATCH($P1571, 'New pivot'!$B$14:$P$14,0),0)&gt;0, IFERROR(MATCH($Q1571, 'New pivot'!$B$14:$P$14,0),0)&gt;0, IFERROR(MATCH($R1571, 'New pivot'!$B$14:$P$14,0),0)&gt;0), 1, 0)</f>
        <v>0</v>
      </c>
      <c r="AG1571" s="2">
        <f>IF(OR(IFERROR(MATCH($M1571, 'New pivot'!$B$15:$P$15,0),0)&gt;0, IFERROR(MATCH($N1571, 'New pivot'!$B$15:$P$15,0),0)&gt;0, IFERROR(MATCH($O1571, 'New pivot'!$B$15:$P$15,0),0)&gt;0, IFERROR(MATCH($P1571, 'New pivot'!$B$15:$P$15,0),0)&gt;0, IFERROR(MATCH($Q1571, 'New pivot'!$B$15:$P$15,0),0)&gt;0, IFERROR(MATCH($R1571, 'New pivot'!$B$15:$P$15,0),0)&gt;0), 1, 0)</f>
        <v>0</v>
      </c>
      <c r="AH1571" s="2">
        <f>IF(OR(IFERROR(MATCH($M1571, 'New pivot'!$B$16:$P$16,0),0)&gt;0, IFERROR(MATCH($N1571, 'New pivot'!$B$16:$P$16,0),0)&gt;0, IFERROR(MATCH($O1571, 'New pivot'!$B$16:$P$16,0),0)&gt;0, IFERROR(MATCH($P1571, 'New pivot'!$B$16:$P$16,0),0)&gt;0, IFERROR(MATCH($Q1571, 'New pivot'!$B$16:$P$16,0),0)&gt;0, IFERROR(MATCH($R1571, 'New pivot'!$B$16:$P$16,0),0)&gt;0), 1, 0)</f>
        <v>0</v>
      </c>
      <c r="AI1571" s="2">
        <f>IF(OR(IFERROR(MATCH($M1571, 'New pivot'!$B$17:$P$17,0),0)&gt;0, IFERROR(MATCH($N1571, 'New pivot'!$B$17:$P$17,0),0)&gt;0, IFERROR(MATCH($O1571, 'New pivot'!$B$17:$P$17,0),0)&gt;0, IFERROR(MATCH($P1571, 'New pivot'!$B$17:$P$17,0),0)&gt;0, IFERROR(MATCH($Q1571, 'New pivot'!$B$17:$P$17,0),0)&gt;0, IFERROR(MATCH($R1571, 'New pivot'!$B$17:$P$17,0),0)&gt;0), 1, 0)</f>
        <v>0</v>
      </c>
      <c r="AJ1571" s="2">
        <f>IF(OR(IFERROR(MATCH($M1571, 'New pivot'!$B$18:$P$18,0),0)&gt;0, IFERROR(MATCH($N1571, 'New pivot'!$B$18:$P$18,0),0)&gt;0, IFERROR(MATCH($O1571, 'New pivot'!$B$18:$P$18,0),0)&gt;0, IFERROR(MATCH($P1571, 'New pivot'!$B$18:$P$18,0),0)&gt;0, IFERROR(MATCH($Q1571, 'New pivot'!$B$18:$P$18,0),0)&gt;0, IFERROR(MATCH($R1571, 'New pivot'!$B$18:$P$18,0),0)&gt;0), 1, 0)</f>
        <v>0</v>
      </c>
      <c r="AK1571" s="2" cm="1">
        <f t="array" ref="AK1571">_xlfn.IFS(SUMPRODUCT((Table1_1[[Product/Package]:[Product/Package]]=AK$2)*(Table1_1[[Value]:[Value]]=$M1571))=1,1,SUMPRODUCT((Table1_1[[Product/Package]:[Product/Package]]=AK$2)*(Table1_1[[Value]:[Value]]=$N1571))=1,1,SUMPRODUCT((Table1_1[[Product/Package]:[Product/Package]]=AK$2)*(Table1_1[[Value]:[Value]]=$O1571))=1,1,SUMPRODUCT((Table1_1[[Product/Package]:[Product/Package]]=AK$2)*(Table1_1[[Value]:[Value]]=$P1571))=1,1,SUMPRODUCT((Table1_1[[Product/Package]:[Product/Package]]=AK$2)*(Table1_1[[Value]:[Value]]=$Q1571))=1,1,SUMPRODUCT((Table1_1[[Product/Package]:[Product/Package]]=AK$2)*(Table1_1[[Value]:[Value]]=$R1571))&lt;&gt;1,0)</f>
        <v>0</v>
      </c>
      <c r="AL1571" s="2" t="e">
        <v>#REF!</v>
      </c>
      <c r="AM1571" s="2" t="e">
        <v>#REF!</v>
      </c>
      <c r="AN1571" s="2" t="e">
        <v>#REF!</v>
      </c>
      <c r="AO1571" s="2" t="e">
        <v>#REF!</v>
      </c>
      <c r="AP1571" s="2" t="e">
        <v>#REF!</v>
      </c>
      <c r="AQ1571" s="2" t="e">
        <v>#REF!</v>
      </c>
      <c r="AR1571" s="2" t="e">
        <v>#REF!</v>
      </c>
      <c r="AS1571" s="2" t="e">
        <v>#REF!</v>
      </c>
      <c r="AT1571" s="2" t="e">
        <v>#REF!</v>
      </c>
      <c r="AU1571" s="2" t="e">
        <v>#REF!</v>
      </c>
      <c r="AV1571" s="2" t="e">
        <v>#REF!</v>
      </c>
      <c r="AW1571" s="2" t="e">
        <v>#REF!</v>
      </c>
      <c r="AX1571" s="2" t="e">
        <v>#REF!</v>
      </c>
      <c r="AY1571" s="2" t="e">
        <v>#REF!</v>
      </c>
      <c r="AZ1571" s="2" t="e">
        <v>#REF!</v>
      </c>
      <c r="BA1571" s="2" t="e">
        <v>#REF!</v>
      </c>
      <c r="BB1571" s="2" t="e">
        <v>#REF!</v>
      </c>
      <c r="BC1571" s="2" t="e">
        <v>#REF!</v>
      </c>
    </row>
    <row r="1572" spans="6:55">
      <c r="F1572" s="2" t="e">
        <v>#REF!</v>
      </c>
      <c r="K1572" s="66" t="e">
        <f>SUM(Table3[[#This Row],[Column19]:[Competitive advantage]])</f>
        <v>#VALUE!</v>
      </c>
      <c r="L1572" s="66" t="e">
        <v>#REF!</v>
      </c>
      <c r="O1572" s="4"/>
      <c r="P1572" s="4"/>
      <c r="T1572" s="2">
        <f>IF(OR(IFERROR(MATCH($M1572, 'New pivot'!$B$2:$P$2,0),0)&gt;0, IFERROR(MATCH($N1572, 'New pivot'!$B$2:$P$2,0),0)&gt;0, IFERROR(MATCH($O1572, 'New pivot'!$B$2:$P$2,0),0)&gt;0, IFERROR(MATCH($P1572, 'New pivot'!$B$2:$P$2,0),0)&gt;0, IFERROR(MATCH($Q1572, 'New pivot'!$B$2:$P$2,0),0)&gt;0, IFERROR(MATCH($R1572, 'New pivot'!$B$2:$P$2,0),0)&gt;0), 1, 0)</f>
        <v>0</v>
      </c>
      <c r="U1572" s="2">
        <f>IF(OR(IFERROR(MATCH($M1572, 'New pivot'!$B$3:$P$3,0),0)&gt;0, IFERROR(MATCH($N1572, 'New pivot'!$B$3:$P$3,0),0)&gt;0, IFERROR(MATCH($O1572, 'New pivot'!$B$3:$P$3,0),0)&gt;0, IFERROR(MATCH($P1572, 'New pivot'!$B$3:$P$3,0),0)&gt;0, IFERROR(MATCH($Q1572, 'New pivot'!$B$3:$P$3,0),0)&gt;0, IFERROR(MATCH($R1572, 'New pivot'!$B$3:$P$3,0),0)&gt;0), 1, 0)</f>
        <v>0</v>
      </c>
      <c r="V1572" s="2">
        <f>IF(OR(IFERROR(MATCH($M1572, 'New pivot'!$B$4:$P$4,0),0)&gt;0, IFERROR(MATCH($N1572, 'New pivot'!$B$4:$P$4,0),0)&gt;0, IFERROR(MATCH($O1572, 'New pivot'!$B$4:$P$4,0),0)&gt;0, IFERROR(MATCH($P1572, 'New pivot'!$B$4:$P$4,0),0)&gt;0, IFERROR(MATCH($Q1572, 'New pivot'!$B$4:$P$4,0),0)&gt;0, IFERROR(MATCH($R1572, 'New pivot'!$B$4:$P$4,0),0)&gt;0), 1, 0)</f>
        <v>0</v>
      </c>
      <c r="W1572" s="2">
        <f>IF(OR(IFERROR(MATCH($M1572, 'New pivot'!$B$5:$P$5,0),0)&gt;0, IFERROR(MATCH($N1572, 'New pivot'!$B$5:$P$5,0),0)&gt;0, IFERROR(MATCH($O1572, 'New pivot'!$B$5:$P$5,0),0)&gt;0, IFERROR(MATCH($P1572, 'New pivot'!$B$5:$P$5,0),0)&gt;0, IFERROR(MATCH($Q1572, 'New pivot'!$B$5:$P$5,0),0)&gt;0, IFERROR(MATCH($R1572, 'New pivot'!$B$5:$P$5,0),0)&gt;0), 1, 0)</f>
        <v>0</v>
      </c>
      <c r="X1572" s="2">
        <f>IF(OR(IFERROR(MATCH($M1572, 'New pivot'!$B$6:$P$6,0),0)&gt;0, IFERROR(MATCH($N1572, 'New pivot'!$B$6:$P$6,0),0)&gt;0, IFERROR(MATCH($O1572, 'New pivot'!$B$6:$P$6,0),0)&gt;0, IFERROR(MATCH($P1572, 'New pivot'!$B$6:$P$6,0),0)&gt;0, IFERROR(MATCH($Q1572, 'New pivot'!$B$6:$P$6,0),0)&gt;0, IFERROR(MATCH($R1572, 'New pivot'!$B$6:$P$6,0),0)&gt;0), 1, 0)</f>
        <v>0</v>
      </c>
      <c r="Y1572" s="2">
        <f>IF(OR(IFERROR(MATCH($M1572, 'New pivot'!$B$7:$P$7,0),0)&gt;0, IFERROR(MATCH($N1572, 'New pivot'!$B$7:$P$7,0),0)&gt;0, IFERROR(MATCH($O1572, 'New pivot'!$B$7:$P$7,0),0)&gt;0, IFERROR(MATCH($P1572, 'New pivot'!$B$7:$P$7,0),0)&gt;0, IFERROR(MATCH($Q1572, 'New pivot'!$B$7:$P$7,0),0)&gt;0, IFERROR(MATCH($R1572, 'New pivot'!$B$7:$P$7,0),0)&gt;0), 1, 0)</f>
        <v>0</v>
      </c>
      <c r="Z1572" s="2">
        <f>IF(OR(IFERROR(MATCH($M1572, 'New pivot'!$B$8:$P$8,0),0)&gt;0, IFERROR(MATCH($N1572, 'New pivot'!$B$8:$P$8,0),0)&gt;0, IFERROR(MATCH($O1572, 'New pivot'!$B$8:$P$8,0),0)&gt;0, IFERROR(MATCH($P1572, 'New pivot'!$B$8:$P$8,0),0)&gt;0, IFERROR(MATCH($Q1572, 'New pivot'!$B$8:$P$8,0),0)&gt;0, IFERROR(MATCH($R1572, 'New pivot'!$B$8:$P$8,0),0)&gt;0), 1, 0)</f>
        <v>0</v>
      </c>
      <c r="AA1572" s="2">
        <f>IF(OR(IFERROR(MATCH($M1572, 'New pivot'!$B$9:$P$9,0),0)&gt;0, IFERROR(MATCH($N1572, 'New pivot'!$B$9:$P$9,0),0)&gt;0, IFERROR(MATCH($O1572, 'New pivot'!$B$9:$P$9,0),0)&gt;0, IFERROR(MATCH($P1572, 'New pivot'!$B$9:$P$9,0),0)&gt;0, IFERROR(MATCH($Q1572, 'New pivot'!$B$9:$P$9,0),0)&gt;0, IFERROR(MATCH($R1572, 'New pivot'!$B$9:$P$9,0),0)&gt;0), 1, 0)</f>
        <v>0</v>
      </c>
      <c r="AB1572" s="2">
        <f>IF(OR(IFERROR(MATCH($M1572, 'New pivot'!$B$10:$P$10,0),0)&gt;0, IFERROR(MATCH($N1572, 'New pivot'!$B$10:$P$10,0),0)&gt;0, IFERROR(MATCH($O1572, 'New pivot'!$B$10:$P$10,0),0)&gt;0, IFERROR(MATCH($P1572, 'New pivot'!$B$10:$P$10,0),0)&gt;0, IFERROR(MATCH($Q1572, 'New pivot'!$B$10:$P$10,0),0)&gt;0, IFERROR(MATCH($R1572, 'New pivot'!$B$10:$P$10,0),0)&gt;0), 1, 0)</f>
        <v>0</v>
      </c>
      <c r="AC1572" s="2">
        <f>IF(OR(IFERROR(MATCH($M1572, 'New pivot'!$B$11:$P$11,0),0)&gt;0, IFERROR(MATCH($N1572, 'New pivot'!$B$11:$P$11,0),0)&gt;0, IFERROR(MATCH($O1572, 'New pivot'!$B$11:$P$11,0),0)&gt;0, IFERROR(MATCH($P1572, 'New pivot'!$B$11:$P$11,0),0)&gt;0, IFERROR(MATCH($Q1572, 'New pivot'!$B$11:$P$11,0),0)&gt;0, IFERROR(MATCH($R1572, 'New pivot'!$B$11:$P$11,0),0)&gt;0), 1, 0)</f>
        <v>0</v>
      </c>
      <c r="AD1572" s="2">
        <f>IF(OR(IFERROR(MATCH($M1572, 'New pivot'!$B$12:$P$12,0),0)&gt;0, IFERROR(MATCH($N1572, 'New pivot'!$B$12:$P$12,0),0)&gt;0, IFERROR(MATCH($O1572, 'New pivot'!$B$12:$P$12,0),0)&gt;0, IFERROR(MATCH($P1572, 'New pivot'!$B$12:$P$12,0),0)&gt;0, IFERROR(MATCH($Q1572, 'New pivot'!$B$12:$P$12,0),0)&gt;0, IFERROR(MATCH($R1572, 'New pivot'!$B$12:$P$12,0),0)&gt;0), 1, 0)</f>
        <v>0</v>
      </c>
      <c r="AE1572" s="2">
        <f>IF(OR(IFERROR(MATCH($M1572, 'New pivot'!$B$13:$P$13,0),0)&gt;0, IFERROR(MATCH($N1572, 'New pivot'!$B$13:$P$13,0),0)&gt;0, IFERROR(MATCH($O1572, 'New pivot'!$B$13:$P$13,0),0)&gt;0, IFERROR(MATCH($P1572, 'New pivot'!$B$13:$P$13,0),0)&gt;0, IFERROR(MATCH($Q1572, 'New pivot'!$B$13:$P$13,0),0)&gt;0, IFERROR(MATCH($R1572, 'New pivot'!$B$13:$P$13,0),0)&gt;0), 1, 0)</f>
        <v>0</v>
      </c>
      <c r="AF1572" s="2">
        <f>IF(OR(IFERROR(MATCH($M1572, 'New pivot'!$B$14:$P$14,0),0)&gt;0, IFERROR(MATCH($N1572, 'New pivot'!$B$14:$P$14,0),0)&gt;0, IFERROR(MATCH($O1572, 'New pivot'!$B$14:$P$14,0),0)&gt;0, IFERROR(MATCH($P1572, 'New pivot'!$B$14:$P$14,0),0)&gt;0, IFERROR(MATCH($Q1572, 'New pivot'!$B$14:$P$14,0),0)&gt;0, IFERROR(MATCH($R1572, 'New pivot'!$B$14:$P$14,0),0)&gt;0), 1, 0)</f>
        <v>0</v>
      </c>
      <c r="AG1572" s="2">
        <f>IF(OR(IFERROR(MATCH($M1572, 'New pivot'!$B$15:$P$15,0),0)&gt;0, IFERROR(MATCH($N1572, 'New pivot'!$B$15:$P$15,0),0)&gt;0, IFERROR(MATCH($O1572, 'New pivot'!$B$15:$P$15,0),0)&gt;0, IFERROR(MATCH($P1572, 'New pivot'!$B$15:$P$15,0),0)&gt;0, IFERROR(MATCH($Q1572, 'New pivot'!$B$15:$P$15,0),0)&gt;0, IFERROR(MATCH($R1572, 'New pivot'!$B$15:$P$15,0),0)&gt;0), 1, 0)</f>
        <v>0</v>
      </c>
      <c r="AH1572" s="2">
        <f>IF(OR(IFERROR(MATCH($M1572, 'New pivot'!$B$16:$P$16,0),0)&gt;0, IFERROR(MATCH($N1572, 'New pivot'!$B$16:$P$16,0),0)&gt;0, IFERROR(MATCH($O1572, 'New pivot'!$B$16:$P$16,0),0)&gt;0, IFERROR(MATCH($P1572, 'New pivot'!$B$16:$P$16,0),0)&gt;0, IFERROR(MATCH($Q1572, 'New pivot'!$B$16:$P$16,0),0)&gt;0, IFERROR(MATCH($R1572, 'New pivot'!$B$16:$P$16,0),0)&gt;0), 1, 0)</f>
        <v>0</v>
      </c>
      <c r="AI1572" s="2">
        <f>IF(OR(IFERROR(MATCH($M1572, 'New pivot'!$B$17:$P$17,0),0)&gt;0, IFERROR(MATCH($N1572, 'New pivot'!$B$17:$P$17,0),0)&gt;0, IFERROR(MATCH($O1572, 'New pivot'!$B$17:$P$17,0),0)&gt;0, IFERROR(MATCH($P1572, 'New pivot'!$B$17:$P$17,0),0)&gt;0, IFERROR(MATCH($Q1572, 'New pivot'!$B$17:$P$17,0),0)&gt;0, IFERROR(MATCH($R1572, 'New pivot'!$B$17:$P$17,0),0)&gt;0), 1, 0)</f>
        <v>0</v>
      </c>
      <c r="AJ1572" s="2">
        <f>IF(OR(IFERROR(MATCH($M1572, 'New pivot'!$B$18:$P$18,0),0)&gt;0, IFERROR(MATCH($N1572, 'New pivot'!$B$18:$P$18,0),0)&gt;0, IFERROR(MATCH($O1572, 'New pivot'!$B$18:$P$18,0),0)&gt;0, IFERROR(MATCH($P1572, 'New pivot'!$B$18:$P$18,0),0)&gt;0, IFERROR(MATCH($Q1572, 'New pivot'!$B$18:$P$18,0),0)&gt;0, IFERROR(MATCH($R1572, 'New pivot'!$B$18:$P$18,0),0)&gt;0), 1, 0)</f>
        <v>0</v>
      </c>
      <c r="AK1572" s="2" cm="1">
        <f t="array" ref="AK1572">_xlfn.IFS(SUMPRODUCT((Table1_1[[Product/Package]:[Product/Package]]=AK$2)*(Table1_1[[Value]:[Value]]=$M1572))=1,1,SUMPRODUCT((Table1_1[[Product/Package]:[Product/Package]]=AK$2)*(Table1_1[[Value]:[Value]]=$N1572))=1,1,SUMPRODUCT((Table1_1[[Product/Package]:[Product/Package]]=AK$2)*(Table1_1[[Value]:[Value]]=$O1572))=1,1,SUMPRODUCT((Table1_1[[Product/Package]:[Product/Package]]=AK$2)*(Table1_1[[Value]:[Value]]=$P1572))=1,1,SUMPRODUCT((Table1_1[[Product/Package]:[Product/Package]]=AK$2)*(Table1_1[[Value]:[Value]]=$Q1572))=1,1,SUMPRODUCT((Table1_1[[Product/Package]:[Product/Package]]=AK$2)*(Table1_1[[Value]:[Value]]=$R1572))&lt;&gt;1,0)</f>
        <v>0</v>
      </c>
      <c r="AL1572" s="2" t="e">
        <v>#REF!</v>
      </c>
      <c r="AM1572" s="2" t="e">
        <v>#REF!</v>
      </c>
      <c r="AN1572" s="2" t="e">
        <v>#REF!</v>
      </c>
      <c r="AO1572" s="2" t="e">
        <v>#REF!</v>
      </c>
      <c r="AP1572" s="2" t="e">
        <v>#REF!</v>
      </c>
      <c r="AQ1572" s="2" t="e">
        <v>#REF!</v>
      </c>
      <c r="AR1572" s="2" t="e">
        <v>#REF!</v>
      </c>
      <c r="AS1572" s="2" t="e">
        <v>#REF!</v>
      </c>
      <c r="AT1572" s="2" t="e">
        <v>#REF!</v>
      </c>
      <c r="AU1572" s="2" t="e">
        <v>#REF!</v>
      </c>
      <c r="AV1572" s="2" t="e">
        <v>#REF!</v>
      </c>
      <c r="AW1572" s="2" t="e">
        <v>#REF!</v>
      </c>
      <c r="AX1572" s="2" t="e">
        <v>#REF!</v>
      </c>
      <c r="AY1572" s="2" t="e">
        <v>#REF!</v>
      </c>
      <c r="AZ1572" s="2" t="e">
        <v>#REF!</v>
      </c>
      <c r="BA1572" s="2" t="e">
        <v>#REF!</v>
      </c>
      <c r="BB1572" s="2" t="e">
        <v>#REF!</v>
      </c>
      <c r="BC1572" s="2" t="e">
        <v>#REF!</v>
      </c>
    </row>
    <row r="1573" spans="6:55">
      <c r="F1573" s="2" t="e">
        <v>#REF!</v>
      </c>
      <c r="K1573" s="66" t="e">
        <f>SUM(Table3[[#This Row],[Column19]:[Competitive advantage]])</f>
        <v>#VALUE!</v>
      </c>
      <c r="L1573" s="66" t="e">
        <v>#REF!</v>
      </c>
      <c r="O1573" s="4"/>
      <c r="P1573" s="4"/>
      <c r="R1573" s="4"/>
      <c r="S1573" s="4"/>
      <c r="T1573" s="2">
        <f>IF(OR(IFERROR(MATCH($M1573, 'New pivot'!$B$2:$P$2,0),0)&gt;0, IFERROR(MATCH($N1573, 'New pivot'!$B$2:$P$2,0),0)&gt;0, IFERROR(MATCH($O1573, 'New pivot'!$B$2:$P$2,0),0)&gt;0, IFERROR(MATCH($P1573, 'New pivot'!$B$2:$P$2,0),0)&gt;0, IFERROR(MATCH($Q1573, 'New pivot'!$B$2:$P$2,0),0)&gt;0, IFERROR(MATCH($R1573, 'New pivot'!$B$2:$P$2,0),0)&gt;0), 1, 0)</f>
        <v>0</v>
      </c>
      <c r="U1573" s="2">
        <f>IF(OR(IFERROR(MATCH($M1573, 'New pivot'!$B$3:$P$3,0),0)&gt;0, IFERROR(MATCH($N1573, 'New pivot'!$B$3:$P$3,0),0)&gt;0, IFERROR(MATCH($O1573, 'New pivot'!$B$3:$P$3,0),0)&gt;0, IFERROR(MATCH($P1573, 'New pivot'!$B$3:$P$3,0),0)&gt;0, IFERROR(MATCH($Q1573, 'New pivot'!$B$3:$P$3,0),0)&gt;0, IFERROR(MATCH($R1573, 'New pivot'!$B$3:$P$3,0),0)&gt;0), 1, 0)</f>
        <v>0</v>
      </c>
      <c r="V1573" s="2">
        <f>IF(OR(IFERROR(MATCH($M1573, 'New pivot'!$B$4:$P$4,0),0)&gt;0, IFERROR(MATCH($N1573, 'New pivot'!$B$4:$P$4,0),0)&gt;0, IFERROR(MATCH($O1573, 'New pivot'!$B$4:$P$4,0),0)&gt;0, IFERROR(MATCH($P1573, 'New pivot'!$B$4:$P$4,0),0)&gt;0, IFERROR(MATCH($Q1573, 'New pivot'!$B$4:$P$4,0),0)&gt;0, IFERROR(MATCH($R1573, 'New pivot'!$B$4:$P$4,0),0)&gt;0), 1, 0)</f>
        <v>0</v>
      </c>
      <c r="W1573" s="2">
        <f>IF(OR(IFERROR(MATCH($M1573, 'New pivot'!$B$5:$P$5,0),0)&gt;0, IFERROR(MATCH($N1573, 'New pivot'!$B$5:$P$5,0),0)&gt;0, IFERROR(MATCH($O1573, 'New pivot'!$B$5:$P$5,0),0)&gt;0, IFERROR(MATCH($P1573, 'New pivot'!$B$5:$P$5,0),0)&gt;0, IFERROR(MATCH($Q1573, 'New pivot'!$B$5:$P$5,0),0)&gt;0, IFERROR(MATCH($R1573, 'New pivot'!$B$5:$P$5,0),0)&gt;0), 1, 0)</f>
        <v>0</v>
      </c>
      <c r="X1573" s="2">
        <f>IF(OR(IFERROR(MATCH($M1573, 'New pivot'!$B$6:$P$6,0),0)&gt;0, IFERROR(MATCH($N1573, 'New pivot'!$B$6:$P$6,0),0)&gt;0, IFERROR(MATCH($O1573, 'New pivot'!$B$6:$P$6,0),0)&gt;0, IFERROR(MATCH($P1573, 'New pivot'!$B$6:$P$6,0),0)&gt;0, IFERROR(MATCH($Q1573, 'New pivot'!$B$6:$P$6,0),0)&gt;0, IFERROR(MATCH($R1573, 'New pivot'!$B$6:$P$6,0),0)&gt;0), 1, 0)</f>
        <v>0</v>
      </c>
      <c r="Y1573" s="2">
        <f>IF(OR(IFERROR(MATCH($M1573, 'New pivot'!$B$7:$P$7,0),0)&gt;0, IFERROR(MATCH($N1573, 'New pivot'!$B$7:$P$7,0),0)&gt;0, IFERROR(MATCH($O1573, 'New pivot'!$B$7:$P$7,0),0)&gt;0, IFERROR(MATCH($P1573, 'New pivot'!$B$7:$P$7,0),0)&gt;0, IFERROR(MATCH($Q1573, 'New pivot'!$B$7:$P$7,0),0)&gt;0, IFERROR(MATCH($R1573, 'New pivot'!$B$7:$P$7,0),0)&gt;0), 1, 0)</f>
        <v>0</v>
      </c>
      <c r="Z1573" s="2">
        <f>IF(OR(IFERROR(MATCH($M1573, 'New pivot'!$B$8:$P$8,0),0)&gt;0, IFERROR(MATCH($N1573, 'New pivot'!$B$8:$P$8,0),0)&gt;0, IFERROR(MATCH($O1573, 'New pivot'!$B$8:$P$8,0),0)&gt;0, IFERROR(MATCH($P1573, 'New pivot'!$B$8:$P$8,0),0)&gt;0, IFERROR(MATCH($Q1573, 'New pivot'!$B$8:$P$8,0),0)&gt;0, IFERROR(MATCH($R1573, 'New pivot'!$B$8:$P$8,0),0)&gt;0), 1, 0)</f>
        <v>0</v>
      </c>
      <c r="AA1573" s="2">
        <f>IF(OR(IFERROR(MATCH($M1573, 'New pivot'!$B$9:$P$9,0),0)&gt;0, IFERROR(MATCH($N1573, 'New pivot'!$B$9:$P$9,0),0)&gt;0, IFERROR(MATCH($O1573, 'New pivot'!$B$9:$P$9,0),0)&gt;0, IFERROR(MATCH($P1573, 'New pivot'!$B$9:$P$9,0),0)&gt;0, IFERROR(MATCH($Q1573, 'New pivot'!$B$9:$P$9,0),0)&gt;0, IFERROR(MATCH($R1573, 'New pivot'!$B$9:$P$9,0),0)&gt;0), 1, 0)</f>
        <v>0</v>
      </c>
      <c r="AB1573" s="2">
        <f>IF(OR(IFERROR(MATCH($M1573, 'New pivot'!$B$10:$P$10,0),0)&gt;0, IFERROR(MATCH($N1573, 'New pivot'!$B$10:$P$10,0),0)&gt;0, IFERROR(MATCH($O1573, 'New pivot'!$B$10:$P$10,0),0)&gt;0, IFERROR(MATCH($P1573, 'New pivot'!$B$10:$P$10,0),0)&gt;0, IFERROR(MATCH($Q1573, 'New pivot'!$B$10:$P$10,0),0)&gt;0, IFERROR(MATCH($R1573, 'New pivot'!$B$10:$P$10,0),0)&gt;0), 1, 0)</f>
        <v>0</v>
      </c>
      <c r="AC1573" s="2">
        <f>IF(OR(IFERROR(MATCH($M1573, 'New pivot'!$B$11:$P$11,0),0)&gt;0, IFERROR(MATCH($N1573, 'New pivot'!$B$11:$P$11,0),0)&gt;0, IFERROR(MATCH($O1573, 'New pivot'!$B$11:$P$11,0),0)&gt;0, IFERROR(MATCH($P1573, 'New pivot'!$B$11:$P$11,0),0)&gt;0, IFERROR(MATCH($Q1573, 'New pivot'!$B$11:$P$11,0),0)&gt;0, IFERROR(MATCH($R1573, 'New pivot'!$B$11:$P$11,0),0)&gt;0), 1, 0)</f>
        <v>0</v>
      </c>
      <c r="AD1573" s="2">
        <f>IF(OR(IFERROR(MATCH($M1573, 'New pivot'!$B$12:$P$12,0),0)&gt;0, IFERROR(MATCH($N1573, 'New pivot'!$B$12:$P$12,0),0)&gt;0, IFERROR(MATCH($O1573, 'New pivot'!$B$12:$P$12,0),0)&gt;0, IFERROR(MATCH($P1573, 'New pivot'!$B$12:$P$12,0),0)&gt;0, IFERROR(MATCH($Q1573, 'New pivot'!$B$12:$P$12,0),0)&gt;0, IFERROR(MATCH($R1573, 'New pivot'!$B$12:$P$12,0),0)&gt;0), 1, 0)</f>
        <v>0</v>
      </c>
      <c r="AE1573" s="2">
        <f>IF(OR(IFERROR(MATCH($M1573, 'New pivot'!$B$13:$P$13,0),0)&gt;0, IFERROR(MATCH($N1573, 'New pivot'!$B$13:$P$13,0),0)&gt;0, IFERROR(MATCH($O1573, 'New pivot'!$B$13:$P$13,0),0)&gt;0, IFERROR(MATCH($P1573, 'New pivot'!$B$13:$P$13,0),0)&gt;0, IFERROR(MATCH($Q1573, 'New pivot'!$B$13:$P$13,0),0)&gt;0, IFERROR(MATCH($R1573, 'New pivot'!$B$13:$P$13,0),0)&gt;0), 1, 0)</f>
        <v>0</v>
      </c>
      <c r="AF1573" s="2">
        <f>IF(OR(IFERROR(MATCH($M1573, 'New pivot'!$B$14:$P$14,0),0)&gt;0, IFERROR(MATCH($N1573, 'New pivot'!$B$14:$P$14,0),0)&gt;0, IFERROR(MATCH($O1573, 'New pivot'!$B$14:$P$14,0),0)&gt;0, IFERROR(MATCH($P1573, 'New pivot'!$B$14:$P$14,0),0)&gt;0, IFERROR(MATCH($Q1573, 'New pivot'!$B$14:$P$14,0),0)&gt;0, IFERROR(MATCH($R1573, 'New pivot'!$B$14:$P$14,0),0)&gt;0), 1, 0)</f>
        <v>0</v>
      </c>
      <c r="AG1573" s="2">
        <f>IF(OR(IFERROR(MATCH($M1573, 'New pivot'!$B$15:$P$15,0),0)&gt;0, IFERROR(MATCH($N1573, 'New pivot'!$B$15:$P$15,0),0)&gt;0, IFERROR(MATCH($O1573, 'New pivot'!$B$15:$P$15,0),0)&gt;0, IFERROR(MATCH($P1573, 'New pivot'!$B$15:$P$15,0),0)&gt;0, IFERROR(MATCH($Q1573, 'New pivot'!$B$15:$P$15,0),0)&gt;0, IFERROR(MATCH($R1573, 'New pivot'!$B$15:$P$15,0),0)&gt;0), 1, 0)</f>
        <v>0</v>
      </c>
      <c r="AH1573" s="2">
        <f>IF(OR(IFERROR(MATCH($M1573, 'New pivot'!$B$16:$P$16,0),0)&gt;0, IFERROR(MATCH($N1573, 'New pivot'!$B$16:$P$16,0),0)&gt;0, IFERROR(MATCH($O1573, 'New pivot'!$B$16:$P$16,0),0)&gt;0, IFERROR(MATCH($P1573, 'New pivot'!$B$16:$P$16,0),0)&gt;0, IFERROR(MATCH($Q1573, 'New pivot'!$B$16:$P$16,0),0)&gt;0, IFERROR(MATCH($R1573, 'New pivot'!$B$16:$P$16,0),0)&gt;0), 1, 0)</f>
        <v>0</v>
      </c>
      <c r="AI1573" s="2">
        <f>IF(OR(IFERROR(MATCH($M1573, 'New pivot'!$B$17:$P$17,0),0)&gt;0, IFERROR(MATCH($N1573, 'New pivot'!$B$17:$P$17,0),0)&gt;0, IFERROR(MATCH($O1573, 'New pivot'!$B$17:$P$17,0),0)&gt;0, IFERROR(MATCH($P1573, 'New pivot'!$B$17:$P$17,0),0)&gt;0, IFERROR(MATCH($Q1573, 'New pivot'!$B$17:$P$17,0),0)&gt;0, IFERROR(MATCH($R1573, 'New pivot'!$B$17:$P$17,0),0)&gt;0), 1, 0)</f>
        <v>0</v>
      </c>
      <c r="AJ1573" s="2">
        <f>IF(OR(IFERROR(MATCH($M1573, 'New pivot'!$B$18:$P$18,0),0)&gt;0, IFERROR(MATCH($N1573, 'New pivot'!$B$18:$P$18,0),0)&gt;0, IFERROR(MATCH($O1573, 'New pivot'!$B$18:$P$18,0),0)&gt;0, IFERROR(MATCH($P1573, 'New pivot'!$B$18:$P$18,0),0)&gt;0, IFERROR(MATCH($Q1573, 'New pivot'!$B$18:$P$18,0),0)&gt;0, IFERROR(MATCH($R1573, 'New pivot'!$B$18:$P$18,0),0)&gt;0), 1, 0)</f>
        <v>0</v>
      </c>
      <c r="AK1573" s="2" cm="1">
        <f t="array" ref="AK1573">_xlfn.IFS(SUMPRODUCT((Table1_1[[Product/Package]:[Product/Package]]=AK$2)*(Table1_1[[Value]:[Value]]=$M1573))=1,1,SUMPRODUCT((Table1_1[[Product/Package]:[Product/Package]]=AK$2)*(Table1_1[[Value]:[Value]]=$N1573))=1,1,SUMPRODUCT((Table1_1[[Product/Package]:[Product/Package]]=AK$2)*(Table1_1[[Value]:[Value]]=$O1573))=1,1,SUMPRODUCT((Table1_1[[Product/Package]:[Product/Package]]=AK$2)*(Table1_1[[Value]:[Value]]=$P1573))=1,1,SUMPRODUCT((Table1_1[[Product/Package]:[Product/Package]]=AK$2)*(Table1_1[[Value]:[Value]]=$Q1573))=1,1,SUMPRODUCT((Table1_1[[Product/Package]:[Product/Package]]=AK$2)*(Table1_1[[Value]:[Value]]=$R1573))&lt;&gt;1,0)</f>
        <v>0</v>
      </c>
      <c r="AL1573" s="2" t="e">
        <v>#REF!</v>
      </c>
      <c r="AM1573" s="2" t="e">
        <v>#REF!</v>
      </c>
      <c r="AN1573" s="2" t="e">
        <v>#REF!</v>
      </c>
      <c r="AO1573" s="2" t="e">
        <v>#REF!</v>
      </c>
      <c r="AP1573" s="2" t="e">
        <v>#REF!</v>
      </c>
      <c r="AQ1573" s="2" t="e">
        <v>#REF!</v>
      </c>
      <c r="AR1573" s="2" t="e">
        <v>#REF!</v>
      </c>
      <c r="AS1573" s="2" t="e">
        <v>#REF!</v>
      </c>
      <c r="AT1573" s="2" t="e">
        <v>#REF!</v>
      </c>
      <c r="AU1573" s="2" t="e">
        <v>#REF!</v>
      </c>
      <c r="AV1573" s="2" t="e">
        <v>#REF!</v>
      </c>
      <c r="AW1573" s="2" t="e">
        <v>#REF!</v>
      </c>
      <c r="AX1573" s="2" t="e">
        <v>#REF!</v>
      </c>
      <c r="AY1573" s="2" t="e">
        <v>#REF!</v>
      </c>
      <c r="AZ1573" s="2" t="e">
        <v>#REF!</v>
      </c>
      <c r="BA1573" s="2" t="e">
        <v>#REF!</v>
      </c>
      <c r="BB1573" s="2" t="e">
        <v>#REF!</v>
      </c>
      <c r="BC1573" s="2" t="e">
        <v>#REF!</v>
      </c>
    </row>
    <row r="1574" spans="6:55">
      <c r="F1574" s="2" t="e">
        <v>#REF!</v>
      </c>
      <c r="K1574" s="66" t="e">
        <f>SUM(Table3[[#This Row],[Column19]:[Competitive advantage]])</f>
        <v>#VALUE!</v>
      </c>
      <c r="L1574" s="66" t="e">
        <v>#REF!</v>
      </c>
      <c r="O1574" s="4"/>
      <c r="P1574" s="4"/>
      <c r="T1574" s="2">
        <f>IF(OR(IFERROR(MATCH($M1574, 'New pivot'!$B$2:$P$2,0),0)&gt;0, IFERROR(MATCH($N1574, 'New pivot'!$B$2:$P$2,0),0)&gt;0, IFERROR(MATCH($O1574, 'New pivot'!$B$2:$P$2,0),0)&gt;0, IFERROR(MATCH($P1574, 'New pivot'!$B$2:$P$2,0),0)&gt;0, IFERROR(MATCH($Q1574, 'New pivot'!$B$2:$P$2,0),0)&gt;0, IFERROR(MATCH($R1574, 'New pivot'!$B$2:$P$2,0),0)&gt;0), 1, 0)</f>
        <v>0</v>
      </c>
      <c r="U1574" s="2">
        <f>IF(OR(IFERROR(MATCH($M1574, 'New pivot'!$B$3:$P$3,0),0)&gt;0, IFERROR(MATCH($N1574, 'New pivot'!$B$3:$P$3,0),0)&gt;0, IFERROR(MATCH($O1574, 'New pivot'!$B$3:$P$3,0),0)&gt;0, IFERROR(MATCH($P1574, 'New pivot'!$B$3:$P$3,0),0)&gt;0, IFERROR(MATCH($Q1574, 'New pivot'!$B$3:$P$3,0),0)&gt;0, IFERROR(MATCH($R1574, 'New pivot'!$B$3:$P$3,0),0)&gt;0), 1, 0)</f>
        <v>0</v>
      </c>
      <c r="V1574" s="2">
        <f>IF(OR(IFERROR(MATCH($M1574, 'New pivot'!$B$4:$P$4,0),0)&gt;0, IFERROR(MATCH($N1574, 'New pivot'!$B$4:$P$4,0),0)&gt;0, IFERROR(MATCH($O1574, 'New pivot'!$B$4:$P$4,0),0)&gt;0, IFERROR(MATCH($P1574, 'New pivot'!$B$4:$P$4,0),0)&gt;0, IFERROR(MATCH($Q1574, 'New pivot'!$B$4:$P$4,0),0)&gt;0, IFERROR(MATCH($R1574, 'New pivot'!$B$4:$P$4,0),0)&gt;0), 1, 0)</f>
        <v>0</v>
      </c>
      <c r="W1574" s="2">
        <f>IF(OR(IFERROR(MATCH($M1574, 'New pivot'!$B$5:$P$5,0),0)&gt;0, IFERROR(MATCH($N1574, 'New pivot'!$B$5:$P$5,0),0)&gt;0, IFERROR(MATCH($O1574, 'New pivot'!$B$5:$P$5,0),0)&gt;0, IFERROR(MATCH($P1574, 'New pivot'!$B$5:$P$5,0),0)&gt;0, IFERROR(MATCH($Q1574, 'New pivot'!$B$5:$P$5,0),0)&gt;0, IFERROR(MATCH($R1574, 'New pivot'!$B$5:$P$5,0),0)&gt;0), 1, 0)</f>
        <v>0</v>
      </c>
      <c r="X1574" s="2">
        <f>IF(OR(IFERROR(MATCH($M1574, 'New pivot'!$B$6:$P$6,0),0)&gt;0, IFERROR(MATCH($N1574, 'New pivot'!$B$6:$P$6,0),0)&gt;0, IFERROR(MATCH($O1574, 'New pivot'!$B$6:$P$6,0),0)&gt;0, IFERROR(MATCH($P1574, 'New pivot'!$B$6:$P$6,0),0)&gt;0, IFERROR(MATCH($Q1574, 'New pivot'!$B$6:$P$6,0),0)&gt;0, IFERROR(MATCH($R1574, 'New pivot'!$B$6:$P$6,0),0)&gt;0), 1, 0)</f>
        <v>0</v>
      </c>
      <c r="Y1574" s="2">
        <f>IF(OR(IFERROR(MATCH($M1574, 'New pivot'!$B$7:$P$7,0),0)&gt;0, IFERROR(MATCH($N1574, 'New pivot'!$B$7:$P$7,0),0)&gt;0, IFERROR(MATCH($O1574, 'New pivot'!$B$7:$P$7,0),0)&gt;0, IFERROR(MATCH($P1574, 'New pivot'!$B$7:$P$7,0),0)&gt;0, IFERROR(MATCH($Q1574, 'New pivot'!$B$7:$P$7,0),0)&gt;0, IFERROR(MATCH($R1574, 'New pivot'!$B$7:$P$7,0),0)&gt;0), 1, 0)</f>
        <v>0</v>
      </c>
      <c r="Z1574" s="2">
        <f>IF(OR(IFERROR(MATCH($M1574, 'New pivot'!$B$8:$P$8,0),0)&gt;0, IFERROR(MATCH($N1574, 'New pivot'!$B$8:$P$8,0),0)&gt;0, IFERROR(MATCH($O1574, 'New pivot'!$B$8:$P$8,0),0)&gt;0, IFERROR(MATCH($P1574, 'New pivot'!$B$8:$P$8,0),0)&gt;0, IFERROR(MATCH($Q1574, 'New pivot'!$B$8:$P$8,0),0)&gt;0, IFERROR(MATCH($R1574, 'New pivot'!$B$8:$P$8,0),0)&gt;0), 1, 0)</f>
        <v>0</v>
      </c>
      <c r="AA1574" s="2">
        <f>IF(OR(IFERROR(MATCH($M1574, 'New pivot'!$B$9:$P$9,0),0)&gt;0, IFERROR(MATCH($N1574, 'New pivot'!$B$9:$P$9,0),0)&gt;0, IFERROR(MATCH($O1574, 'New pivot'!$B$9:$P$9,0),0)&gt;0, IFERROR(MATCH($P1574, 'New pivot'!$B$9:$P$9,0),0)&gt;0, IFERROR(MATCH($Q1574, 'New pivot'!$B$9:$P$9,0),0)&gt;0, IFERROR(MATCH($R1574, 'New pivot'!$B$9:$P$9,0),0)&gt;0), 1, 0)</f>
        <v>0</v>
      </c>
      <c r="AB1574" s="2">
        <f>IF(OR(IFERROR(MATCH($M1574, 'New pivot'!$B$10:$P$10,0),0)&gt;0, IFERROR(MATCH($N1574, 'New pivot'!$B$10:$P$10,0),0)&gt;0, IFERROR(MATCH($O1574, 'New pivot'!$B$10:$P$10,0),0)&gt;0, IFERROR(MATCH($P1574, 'New pivot'!$B$10:$P$10,0),0)&gt;0, IFERROR(MATCH($Q1574, 'New pivot'!$B$10:$P$10,0),0)&gt;0, IFERROR(MATCH($R1574, 'New pivot'!$B$10:$P$10,0),0)&gt;0), 1, 0)</f>
        <v>0</v>
      </c>
      <c r="AC1574" s="2">
        <f>IF(OR(IFERROR(MATCH($M1574, 'New pivot'!$B$11:$P$11,0),0)&gt;0, IFERROR(MATCH($N1574, 'New pivot'!$B$11:$P$11,0),0)&gt;0, IFERROR(MATCH($O1574, 'New pivot'!$B$11:$P$11,0),0)&gt;0, IFERROR(MATCH($P1574, 'New pivot'!$B$11:$P$11,0),0)&gt;0, IFERROR(MATCH($Q1574, 'New pivot'!$B$11:$P$11,0),0)&gt;0, IFERROR(MATCH($R1574, 'New pivot'!$B$11:$P$11,0),0)&gt;0), 1, 0)</f>
        <v>0</v>
      </c>
      <c r="AD1574" s="2">
        <f>IF(OR(IFERROR(MATCH($M1574, 'New pivot'!$B$12:$P$12,0),0)&gt;0, IFERROR(MATCH($N1574, 'New pivot'!$B$12:$P$12,0),0)&gt;0, IFERROR(MATCH($O1574, 'New pivot'!$B$12:$P$12,0),0)&gt;0, IFERROR(MATCH($P1574, 'New pivot'!$B$12:$P$12,0),0)&gt;0, IFERROR(MATCH($Q1574, 'New pivot'!$B$12:$P$12,0),0)&gt;0, IFERROR(MATCH($R1574, 'New pivot'!$B$12:$P$12,0),0)&gt;0), 1, 0)</f>
        <v>0</v>
      </c>
      <c r="AE1574" s="2">
        <f>IF(OR(IFERROR(MATCH($M1574, 'New pivot'!$B$13:$P$13,0),0)&gt;0, IFERROR(MATCH($N1574, 'New pivot'!$B$13:$P$13,0),0)&gt;0, IFERROR(MATCH($O1574, 'New pivot'!$B$13:$P$13,0),0)&gt;0, IFERROR(MATCH($P1574, 'New pivot'!$B$13:$P$13,0),0)&gt;0, IFERROR(MATCH($Q1574, 'New pivot'!$B$13:$P$13,0),0)&gt;0, IFERROR(MATCH($R1574, 'New pivot'!$B$13:$P$13,0),0)&gt;0), 1, 0)</f>
        <v>0</v>
      </c>
      <c r="AF1574" s="2">
        <f>IF(OR(IFERROR(MATCH($M1574, 'New pivot'!$B$14:$P$14,0),0)&gt;0, IFERROR(MATCH($N1574, 'New pivot'!$B$14:$P$14,0),0)&gt;0, IFERROR(MATCH($O1574, 'New pivot'!$B$14:$P$14,0),0)&gt;0, IFERROR(MATCH($P1574, 'New pivot'!$B$14:$P$14,0),0)&gt;0, IFERROR(MATCH($Q1574, 'New pivot'!$B$14:$P$14,0),0)&gt;0, IFERROR(MATCH($R1574, 'New pivot'!$B$14:$P$14,0),0)&gt;0), 1, 0)</f>
        <v>0</v>
      </c>
      <c r="AG1574" s="2">
        <f>IF(OR(IFERROR(MATCH($M1574, 'New pivot'!$B$15:$P$15,0),0)&gt;0, IFERROR(MATCH($N1574, 'New pivot'!$B$15:$P$15,0),0)&gt;0, IFERROR(MATCH($O1574, 'New pivot'!$B$15:$P$15,0),0)&gt;0, IFERROR(MATCH($P1574, 'New pivot'!$B$15:$P$15,0),0)&gt;0, IFERROR(MATCH($Q1574, 'New pivot'!$B$15:$P$15,0),0)&gt;0, IFERROR(MATCH($R1574, 'New pivot'!$B$15:$P$15,0),0)&gt;0), 1, 0)</f>
        <v>0</v>
      </c>
      <c r="AH1574" s="2">
        <f>IF(OR(IFERROR(MATCH($M1574, 'New pivot'!$B$16:$P$16,0),0)&gt;0, IFERROR(MATCH($N1574, 'New pivot'!$B$16:$P$16,0),0)&gt;0, IFERROR(MATCH($O1574, 'New pivot'!$B$16:$P$16,0),0)&gt;0, IFERROR(MATCH($P1574, 'New pivot'!$B$16:$P$16,0),0)&gt;0, IFERROR(MATCH($Q1574, 'New pivot'!$B$16:$P$16,0),0)&gt;0, IFERROR(MATCH($R1574, 'New pivot'!$B$16:$P$16,0),0)&gt;0), 1, 0)</f>
        <v>0</v>
      </c>
      <c r="AI1574" s="2">
        <f>IF(OR(IFERROR(MATCH($M1574, 'New pivot'!$B$17:$P$17,0),0)&gt;0, IFERROR(MATCH($N1574, 'New pivot'!$B$17:$P$17,0),0)&gt;0, IFERROR(MATCH($O1574, 'New pivot'!$B$17:$P$17,0),0)&gt;0, IFERROR(MATCH($P1574, 'New pivot'!$B$17:$P$17,0),0)&gt;0, IFERROR(MATCH($Q1574, 'New pivot'!$B$17:$P$17,0),0)&gt;0, IFERROR(MATCH($R1574, 'New pivot'!$B$17:$P$17,0),0)&gt;0), 1, 0)</f>
        <v>0</v>
      </c>
      <c r="AJ1574" s="2">
        <f>IF(OR(IFERROR(MATCH($M1574, 'New pivot'!$B$18:$P$18,0),0)&gt;0, IFERROR(MATCH($N1574, 'New pivot'!$B$18:$P$18,0),0)&gt;0, IFERROR(MATCH($O1574, 'New pivot'!$B$18:$P$18,0),0)&gt;0, IFERROR(MATCH($P1574, 'New pivot'!$B$18:$P$18,0),0)&gt;0, IFERROR(MATCH($Q1574, 'New pivot'!$B$18:$P$18,0),0)&gt;0, IFERROR(MATCH($R1574, 'New pivot'!$B$18:$P$18,0),0)&gt;0), 1, 0)</f>
        <v>0</v>
      </c>
      <c r="AK1574" s="2" cm="1">
        <f t="array" ref="AK1574">_xlfn.IFS(SUMPRODUCT((Table1_1[[Product/Package]:[Product/Package]]=AK$2)*(Table1_1[[Value]:[Value]]=$M1574))=1,1,SUMPRODUCT((Table1_1[[Product/Package]:[Product/Package]]=AK$2)*(Table1_1[[Value]:[Value]]=$N1574))=1,1,SUMPRODUCT((Table1_1[[Product/Package]:[Product/Package]]=AK$2)*(Table1_1[[Value]:[Value]]=$O1574))=1,1,SUMPRODUCT((Table1_1[[Product/Package]:[Product/Package]]=AK$2)*(Table1_1[[Value]:[Value]]=$P1574))=1,1,SUMPRODUCT((Table1_1[[Product/Package]:[Product/Package]]=AK$2)*(Table1_1[[Value]:[Value]]=$Q1574))=1,1,SUMPRODUCT((Table1_1[[Product/Package]:[Product/Package]]=AK$2)*(Table1_1[[Value]:[Value]]=$R1574))&lt;&gt;1,0)</f>
        <v>0</v>
      </c>
      <c r="AL1574" s="2" t="e">
        <v>#REF!</v>
      </c>
      <c r="AM1574" s="2" t="e">
        <v>#REF!</v>
      </c>
      <c r="AN1574" s="2" t="e">
        <v>#REF!</v>
      </c>
      <c r="AO1574" s="2" t="e">
        <v>#REF!</v>
      </c>
      <c r="AP1574" s="2" t="e">
        <v>#REF!</v>
      </c>
      <c r="AQ1574" s="2" t="e">
        <v>#REF!</v>
      </c>
      <c r="AR1574" s="2" t="e">
        <v>#REF!</v>
      </c>
      <c r="AS1574" s="2" t="e">
        <v>#REF!</v>
      </c>
      <c r="AT1574" s="2" t="e">
        <v>#REF!</v>
      </c>
      <c r="AU1574" s="2" t="e">
        <v>#REF!</v>
      </c>
      <c r="AV1574" s="2" t="e">
        <v>#REF!</v>
      </c>
      <c r="AW1574" s="2" t="e">
        <v>#REF!</v>
      </c>
      <c r="AX1574" s="2" t="e">
        <v>#REF!</v>
      </c>
      <c r="AY1574" s="2" t="e">
        <v>#REF!</v>
      </c>
      <c r="AZ1574" s="2" t="e">
        <v>#REF!</v>
      </c>
      <c r="BA1574" s="2" t="e">
        <v>#REF!</v>
      </c>
      <c r="BB1574" s="2" t="e">
        <v>#REF!</v>
      </c>
      <c r="BC1574" s="2" t="e">
        <v>#REF!</v>
      </c>
    </row>
    <row r="1575" spans="6:55">
      <c r="F1575" s="2" t="e">
        <v>#REF!</v>
      </c>
      <c r="K1575" s="66" t="e">
        <f>SUM(Table3[[#This Row],[Column19]:[Competitive advantage]])</f>
        <v>#VALUE!</v>
      </c>
      <c r="L1575" s="66" t="e">
        <v>#REF!</v>
      </c>
      <c r="O1575" s="4"/>
      <c r="P1575" s="4"/>
      <c r="R1575" s="4"/>
      <c r="S1575" s="4"/>
      <c r="T1575" s="2">
        <f>IF(OR(IFERROR(MATCH($M1575, 'New pivot'!$B$2:$P$2,0),0)&gt;0, IFERROR(MATCH($N1575, 'New pivot'!$B$2:$P$2,0),0)&gt;0, IFERROR(MATCH($O1575, 'New pivot'!$B$2:$P$2,0),0)&gt;0, IFERROR(MATCH($P1575, 'New pivot'!$B$2:$P$2,0),0)&gt;0, IFERROR(MATCH($Q1575, 'New pivot'!$B$2:$P$2,0),0)&gt;0, IFERROR(MATCH($R1575, 'New pivot'!$B$2:$P$2,0),0)&gt;0), 1, 0)</f>
        <v>0</v>
      </c>
      <c r="U1575" s="2">
        <f>IF(OR(IFERROR(MATCH($M1575, 'New pivot'!$B$3:$P$3,0),0)&gt;0, IFERROR(MATCH($N1575, 'New pivot'!$B$3:$P$3,0),0)&gt;0, IFERROR(MATCH($O1575, 'New pivot'!$B$3:$P$3,0),0)&gt;0, IFERROR(MATCH($P1575, 'New pivot'!$B$3:$P$3,0),0)&gt;0, IFERROR(MATCH($Q1575, 'New pivot'!$B$3:$P$3,0),0)&gt;0, IFERROR(MATCH($R1575, 'New pivot'!$B$3:$P$3,0),0)&gt;0), 1, 0)</f>
        <v>0</v>
      </c>
      <c r="V1575" s="2">
        <f>IF(OR(IFERROR(MATCH($M1575, 'New pivot'!$B$4:$P$4,0),0)&gt;0, IFERROR(MATCH($N1575, 'New pivot'!$B$4:$P$4,0),0)&gt;0, IFERROR(MATCH($O1575, 'New pivot'!$B$4:$P$4,0),0)&gt;0, IFERROR(MATCH($P1575, 'New pivot'!$B$4:$P$4,0),0)&gt;0, IFERROR(MATCH($Q1575, 'New pivot'!$B$4:$P$4,0),0)&gt;0, IFERROR(MATCH($R1575, 'New pivot'!$B$4:$P$4,0),0)&gt;0), 1, 0)</f>
        <v>0</v>
      </c>
      <c r="W1575" s="2">
        <f>IF(OR(IFERROR(MATCH($M1575, 'New pivot'!$B$5:$P$5,0),0)&gt;0, IFERROR(MATCH($N1575, 'New pivot'!$B$5:$P$5,0),0)&gt;0, IFERROR(MATCH($O1575, 'New pivot'!$B$5:$P$5,0),0)&gt;0, IFERROR(MATCH($P1575, 'New pivot'!$B$5:$P$5,0),0)&gt;0, IFERROR(MATCH($Q1575, 'New pivot'!$B$5:$P$5,0),0)&gt;0, IFERROR(MATCH($R1575, 'New pivot'!$B$5:$P$5,0),0)&gt;0), 1, 0)</f>
        <v>0</v>
      </c>
      <c r="X1575" s="2">
        <f>IF(OR(IFERROR(MATCH($M1575, 'New pivot'!$B$6:$P$6,0),0)&gt;0, IFERROR(MATCH($N1575, 'New pivot'!$B$6:$P$6,0),0)&gt;0, IFERROR(MATCH($O1575, 'New pivot'!$B$6:$P$6,0),0)&gt;0, IFERROR(MATCH($P1575, 'New pivot'!$B$6:$P$6,0),0)&gt;0, IFERROR(MATCH($Q1575, 'New pivot'!$B$6:$P$6,0),0)&gt;0, IFERROR(MATCH($R1575, 'New pivot'!$B$6:$P$6,0),0)&gt;0), 1, 0)</f>
        <v>0</v>
      </c>
      <c r="Y1575" s="2">
        <f>IF(OR(IFERROR(MATCH($M1575, 'New pivot'!$B$7:$P$7,0),0)&gt;0, IFERROR(MATCH($N1575, 'New pivot'!$B$7:$P$7,0),0)&gt;0, IFERROR(MATCH($O1575, 'New pivot'!$B$7:$P$7,0),0)&gt;0, IFERROR(MATCH($P1575, 'New pivot'!$B$7:$P$7,0),0)&gt;0, IFERROR(MATCH($Q1575, 'New pivot'!$B$7:$P$7,0),0)&gt;0, IFERROR(MATCH($R1575, 'New pivot'!$B$7:$P$7,0),0)&gt;0), 1, 0)</f>
        <v>0</v>
      </c>
      <c r="Z1575" s="2">
        <f>IF(OR(IFERROR(MATCH($M1575, 'New pivot'!$B$8:$P$8,0),0)&gt;0, IFERROR(MATCH($N1575, 'New pivot'!$B$8:$P$8,0),0)&gt;0, IFERROR(MATCH($O1575, 'New pivot'!$B$8:$P$8,0),0)&gt;0, IFERROR(MATCH($P1575, 'New pivot'!$B$8:$P$8,0),0)&gt;0, IFERROR(MATCH($Q1575, 'New pivot'!$B$8:$P$8,0),0)&gt;0, IFERROR(MATCH($R1575, 'New pivot'!$B$8:$P$8,0),0)&gt;0), 1, 0)</f>
        <v>0</v>
      </c>
      <c r="AA1575" s="2">
        <f>IF(OR(IFERROR(MATCH($M1575, 'New pivot'!$B$9:$P$9,0),0)&gt;0, IFERROR(MATCH($N1575, 'New pivot'!$B$9:$P$9,0),0)&gt;0, IFERROR(MATCH($O1575, 'New pivot'!$B$9:$P$9,0),0)&gt;0, IFERROR(MATCH($P1575, 'New pivot'!$B$9:$P$9,0),0)&gt;0, IFERROR(MATCH($Q1575, 'New pivot'!$B$9:$P$9,0),0)&gt;0, IFERROR(MATCH($R1575, 'New pivot'!$B$9:$P$9,0),0)&gt;0), 1, 0)</f>
        <v>0</v>
      </c>
      <c r="AB1575" s="2">
        <f>IF(OR(IFERROR(MATCH($M1575, 'New pivot'!$B$10:$P$10,0),0)&gt;0, IFERROR(MATCH($N1575, 'New pivot'!$B$10:$P$10,0),0)&gt;0, IFERROR(MATCH($O1575, 'New pivot'!$B$10:$P$10,0),0)&gt;0, IFERROR(MATCH($P1575, 'New pivot'!$B$10:$P$10,0),0)&gt;0, IFERROR(MATCH($Q1575, 'New pivot'!$B$10:$P$10,0),0)&gt;0, IFERROR(MATCH($R1575, 'New pivot'!$B$10:$P$10,0),0)&gt;0), 1, 0)</f>
        <v>0</v>
      </c>
      <c r="AC1575" s="2">
        <f>IF(OR(IFERROR(MATCH($M1575, 'New pivot'!$B$11:$P$11,0),0)&gt;0, IFERROR(MATCH($N1575, 'New pivot'!$B$11:$P$11,0),0)&gt;0, IFERROR(MATCH($O1575, 'New pivot'!$B$11:$P$11,0),0)&gt;0, IFERROR(MATCH($P1575, 'New pivot'!$B$11:$P$11,0),0)&gt;0, IFERROR(MATCH($Q1575, 'New pivot'!$B$11:$P$11,0),0)&gt;0, IFERROR(MATCH($R1575, 'New pivot'!$B$11:$P$11,0),0)&gt;0), 1, 0)</f>
        <v>0</v>
      </c>
      <c r="AD1575" s="2">
        <f>IF(OR(IFERROR(MATCH($M1575, 'New pivot'!$B$12:$P$12,0),0)&gt;0, IFERROR(MATCH($N1575, 'New pivot'!$B$12:$P$12,0),0)&gt;0, IFERROR(MATCH($O1575, 'New pivot'!$B$12:$P$12,0),0)&gt;0, IFERROR(MATCH($P1575, 'New pivot'!$B$12:$P$12,0),0)&gt;0, IFERROR(MATCH($Q1575, 'New pivot'!$B$12:$P$12,0),0)&gt;0, IFERROR(MATCH($R1575, 'New pivot'!$B$12:$P$12,0),0)&gt;0), 1, 0)</f>
        <v>0</v>
      </c>
      <c r="AE1575" s="2">
        <f>IF(OR(IFERROR(MATCH($M1575, 'New pivot'!$B$13:$P$13,0),0)&gt;0, IFERROR(MATCH($N1575, 'New pivot'!$B$13:$P$13,0),0)&gt;0, IFERROR(MATCH($O1575, 'New pivot'!$B$13:$P$13,0),0)&gt;0, IFERROR(MATCH($P1575, 'New pivot'!$B$13:$P$13,0),0)&gt;0, IFERROR(MATCH($Q1575, 'New pivot'!$B$13:$P$13,0),0)&gt;0, IFERROR(MATCH($R1575, 'New pivot'!$B$13:$P$13,0),0)&gt;0), 1, 0)</f>
        <v>0</v>
      </c>
      <c r="AF1575" s="2">
        <f>IF(OR(IFERROR(MATCH($M1575, 'New pivot'!$B$14:$P$14,0),0)&gt;0, IFERROR(MATCH($N1575, 'New pivot'!$B$14:$P$14,0),0)&gt;0, IFERROR(MATCH($O1575, 'New pivot'!$B$14:$P$14,0),0)&gt;0, IFERROR(MATCH($P1575, 'New pivot'!$B$14:$P$14,0),0)&gt;0, IFERROR(MATCH($Q1575, 'New pivot'!$B$14:$P$14,0),0)&gt;0, IFERROR(MATCH($R1575, 'New pivot'!$B$14:$P$14,0),0)&gt;0), 1, 0)</f>
        <v>0</v>
      </c>
      <c r="AG1575" s="2">
        <f>IF(OR(IFERROR(MATCH($M1575, 'New pivot'!$B$15:$P$15,0),0)&gt;0, IFERROR(MATCH($N1575, 'New pivot'!$B$15:$P$15,0),0)&gt;0, IFERROR(MATCH($O1575, 'New pivot'!$B$15:$P$15,0),0)&gt;0, IFERROR(MATCH($P1575, 'New pivot'!$B$15:$P$15,0),0)&gt;0, IFERROR(MATCH($Q1575, 'New pivot'!$B$15:$P$15,0),0)&gt;0, IFERROR(MATCH($R1575, 'New pivot'!$B$15:$P$15,0),0)&gt;0), 1, 0)</f>
        <v>0</v>
      </c>
      <c r="AH1575" s="2">
        <f>IF(OR(IFERROR(MATCH($M1575, 'New pivot'!$B$16:$P$16,0),0)&gt;0, IFERROR(MATCH($N1575, 'New pivot'!$B$16:$P$16,0),0)&gt;0, IFERROR(MATCH($O1575, 'New pivot'!$B$16:$P$16,0),0)&gt;0, IFERROR(MATCH($P1575, 'New pivot'!$B$16:$P$16,0),0)&gt;0, IFERROR(MATCH($Q1575, 'New pivot'!$B$16:$P$16,0),0)&gt;0, IFERROR(MATCH($R1575, 'New pivot'!$B$16:$P$16,0),0)&gt;0), 1, 0)</f>
        <v>0</v>
      </c>
      <c r="AI1575" s="2">
        <f>IF(OR(IFERROR(MATCH($M1575, 'New pivot'!$B$17:$P$17,0),0)&gt;0, IFERROR(MATCH($N1575, 'New pivot'!$B$17:$P$17,0),0)&gt;0, IFERROR(MATCH($O1575, 'New pivot'!$B$17:$P$17,0),0)&gt;0, IFERROR(MATCH($P1575, 'New pivot'!$B$17:$P$17,0),0)&gt;0, IFERROR(MATCH($Q1575, 'New pivot'!$B$17:$P$17,0),0)&gt;0, IFERROR(MATCH($R1575, 'New pivot'!$B$17:$P$17,0),0)&gt;0), 1, 0)</f>
        <v>0</v>
      </c>
      <c r="AJ1575" s="2">
        <f>IF(OR(IFERROR(MATCH($M1575, 'New pivot'!$B$18:$P$18,0),0)&gt;0, IFERROR(MATCH($N1575, 'New pivot'!$B$18:$P$18,0),0)&gt;0, IFERROR(MATCH($O1575, 'New pivot'!$B$18:$P$18,0),0)&gt;0, IFERROR(MATCH($P1575, 'New pivot'!$B$18:$P$18,0),0)&gt;0, IFERROR(MATCH($Q1575, 'New pivot'!$B$18:$P$18,0),0)&gt;0, IFERROR(MATCH($R1575, 'New pivot'!$B$18:$P$18,0),0)&gt;0), 1, 0)</f>
        <v>0</v>
      </c>
      <c r="AK1575" s="2" cm="1">
        <f t="array" ref="AK1575">_xlfn.IFS(SUMPRODUCT((Table1_1[[Product/Package]:[Product/Package]]=AK$2)*(Table1_1[[Value]:[Value]]=$M1575))=1,1,SUMPRODUCT((Table1_1[[Product/Package]:[Product/Package]]=AK$2)*(Table1_1[[Value]:[Value]]=$N1575))=1,1,SUMPRODUCT((Table1_1[[Product/Package]:[Product/Package]]=AK$2)*(Table1_1[[Value]:[Value]]=$O1575))=1,1,SUMPRODUCT((Table1_1[[Product/Package]:[Product/Package]]=AK$2)*(Table1_1[[Value]:[Value]]=$P1575))=1,1,SUMPRODUCT((Table1_1[[Product/Package]:[Product/Package]]=AK$2)*(Table1_1[[Value]:[Value]]=$Q1575))=1,1,SUMPRODUCT((Table1_1[[Product/Package]:[Product/Package]]=AK$2)*(Table1_1[[Value]:[Value]]=$R1575))&lt;&gt;1,0)</f>
        <v>0</v>
      </c>
      <c r="AL1575" s="2" t="e">
        <v>#REF!</v>
      </c>
      <c r="AM1575" s="2" t="e">
        <v>#REF!</v>
      </c>
      <c r="AN1575" s="2" t="e">
        <v>#REF!</v>
      </c>
      <c r="AO1575" s="2" t="e">
        <v>#REF!</v>
      </c>
      <c r="AP1575" s="2" t="e">
        <v>#REF!</v>
      </c>
      <c r="AQ1575" s="2" t="e">
        <v>#REF!</v>
      </c>
      <c r="AR1575" s="2" t="e">
        <v>#REF!</v>
      </c>
      <c r="AS1575" s="2" t="e">
        <v>#REF!</v>
      </c>
      <c r="AT1575" s="2" t="e">
        <v>#REF!</v>
      </c>
      <c r="AU1575" s="2" t="e">
        <v>#REF!</v>
      </c>
      <c r="AV1575" s="2" t="e">
        <v>#REF!</v>
      </c>
      <c r="AW1575" s="2" t="e">
        <v>#REF!</v>
      </c>
      <c r="AX1575" s="2" t="e">
        <v>#REF!</v>
      </c>
      <c r="AY1575" s="2" t="e">
        <v>#REF!</v>
      </c>
      <c r="AZ1575" s="2" t="e">
        <v>#REF!</v>
      </c>
      <c r="BA1575" s="2" t="e">
        <v>#REF!</v>
      </c>
      <c r="BB1575" s="2" t="e">
        <v>#REF!</v>
      </c>
      <c r="BC1575" s="2" t="e">
        <v>#REF!</v>
      </c>
    </row>
    <row r="1576" spans="6:55">
      <c r="F1576" s="2" t="e">
        <v>#REF!</v>
      </c>
      <c r="K1576" s="66" t="e">
        <f>SUM(Table3[[#This Row],[Column19]:[Competitive advantage]])</f>
        <v>#VALUE!</v>
      </c>
      <c r="L1576" s="66" t="e">
        <v>#REF!</v>
      </c>
      <c r="O1576" s="4"/>
      <c r="P1576" s="4"/>
      <c r="R1576" s="4"/>
      <c r="S1576" s="4"/>
      <c r="T1576" s="2">
        <f>IF(OR(IFERROR(MATCH($M1576, 'New pivot'!$B$2:$P$2,0),0)&gt;0, IFERROR(MATCH($N1576, 'New pivot'!$B$2:$P$2,0),0)&gt;0, IFERROR(MATCH($O1576, 'New pivot'!$B$2:$P$2,0),0)&gt;0, IFERROR(MATCH($P1576, 'New pivot'!$B$2:$P$2,0),0)&gt;0, IFERROR(MATCH($Q1576, 'New pivot'!$B$2:$P$2,0),0)&gt;0, IFERROR(MATCH($R1576, 'New pivot'!$B$2:$P$2,0),0)&gt;0), 1, 0)</f>
        <v>0</v>
      </c>
      <c r="U1576" s="2">
        <f>IF(OR(IFERROR(MATCH($M1576, 'New pivot'!$B$3:$P$3,0),0)&gt;0, IFERROR(MATCH($N1576, 'New pivot'!$B$3:$P$3,0),0)&gt;0, IFERROR(MATCH($O1576, 'New pivot'!$B$3:$P$3,0),0)&gt;0, IFERROR(MATCH($P1576, 'New pivot'!$B$3:$P$3,0),0)&gt;0, IFERROR(MATCH($Q1576, 'New pivot'!$B$3:$P$3,0),0)&gt;0, IFERROR(MATCH($R1576, 'New pivot'!$B$3:$P$3,0),0)&gt;0), 1, 0)</f>
        <v>0</v>
      </c>
      <c r="V1576" s="2">
        <f>IF(OR(IFERROR(MATCH($M1576, 'New pivot'!$B$4:$P$4,0),0)&gt;0, IFERROR(MATCH($N1576, 'New pivot'!$B$4:$P$4,0),0)&gt;0, IFERROR(MATCH($O1576, 'New pivot'!$B$4:$P$4,0),0)&gt;0, IFERROR(MATCH($P1576, 'New pivot'!$B$4:$P$4,0),0)&gt;0, IFERROR(MATCH($Q1576, 'New pivot'!$B$4:$P$4,0),0)&gt;0, IFERROR(MATCH($R1576, 'New pivot'!$B$4:$P$4,0),0)&gt;0), 1, 0)</f>
        <v>0</v>
      </c>
      <c r="W1576" s="2">
        <f>IF(OR(IFERROR(MATCH($M1576, 'New pivot'!$B$5:$P$5,0),0)&gt;0, IFERROR(MATCH($N1576, 'New pivot'!$B$5:$P$5,0),0)&gt;0, IFERROR(MATCH($O1576, 'New pivot'!$B$5:$P$5,0),0)&gt;0, IFERROR(MATCH($P1576, 'New pivot'!$B$5:$P$5,0),0)&gt;0, IFERROR(MATCH($Q1576, 'New pivot'!$B$5:$P$5,0),0)&gt;0, IFERROR(MATCH($R1576, 'New pivot'!$B$5:$P$5,0),0)&gt;0), 1, 0)</f>
        <v>0</v>
      </c>
      <c r="X1576" s="2">
        <f>IF(OR(IFERROR(MATCH($M1576, 'New pivot'!$B$6:$P$6,0),0)&gt;0, IFERROR(MATCH($N1576, 'New pivot'!$B$6:$P$6,0),0)&gt;0, IFERROR(MATCH($O1576, 'New pivot'!$B$6:$P$6,0),0)&gt;0, IFERROR(MATCH($P1576, 'New pivot'!$B$6:$P$6,0),0)&gt;0, IFERROR(MATCH($Q1576, 'New pivot'!$B$6:$P$6,0),0)&gt;0, IFERROR(MATCH($R1576, 'New pivot'!$B$6:$P$6,0),0)&gt;0), 1, 0)</f>
        <v>0</v>
      </c>
      <c r="Y1576" s="2">
        <f>IF(OR(IFERROR(MATCH($M1576, 'New pivot'!$B$7:$P$7,0),0)&gt;0, IFERROR(MATCH($N1576, 'New pivot'!$B$7:$P$7,0),0)&gt;0, IFERROR(MATCH($O1576, 'New pivot'!$B$7:$P$7,0),0)&gt;0, IFERROR(MATCH($P1576, 'New pivot'!$B$7:$P$7,0),0)&gt;0, IFERROR(MATCH($Q1576, 'New pivot'!$B$7:$P$7,0),0)&gt;0, IFERROR(MATCH($R1576, 'New pivot'!$B$7:$P$7,0),0)&gt;0), 1, 0)</f>
        <v>0</v>
      </c>
      <c r="Z1576" s="2">
        <f>IF(OR(IFERROR(MATCH($M1576, 'New pivot'!$B$8:$P$8,0),0)&gt;0, IFERROR(MATCH($N1576, 'New pivot'!$B$8:$P$8,0),0)&gt;0, IFERROR(MATCH($O1576, 'New pivot'!$B$8:$P$8,0),0)&gt;0, IFERROR(MATCH($P1576, 'New pivot'!$B$8:$P$8,0),0)&gt;0, IFERROR(MATCH($Q1576, 'New pivot'!$B$8:$P$8,0),0)&gt;0, IFERROR(MATCH($R1576, 'New pivot'!$B$8:$P$8,0),0)&gt;0), 1, 0)</f>
        <v>0</v>
      </c>
      <c r="AA1576" s="2">
        <f>IF(OR(IFERROR(MATCH($M1576, 'New pivot'!$B$9:$P$9,0),0)&gt;0, IFERROR(MATCH($N1576, 'New pivot'!$B$9:$P$9,0),0)&gt;0, IFERROR(MATCH($O1576, 'New pivot'!$B$9:$P$9,0),0)&gt;0, IFERROR(MATCH($P1576, 'New pivot'!$B$9:$P$9,0),0)&gt;0, IFERROR(MATCH($Q1576, 'New pivot'!$B$9:$P$9,0),0)&gt;0, IFERROR(MATCH($R1576, 'New pivot'!$B$9:$P$9,0),0)&gt;0), 1, 0)</f>
        <v>0</v>
      </c>
      <c r="AB1576" s="2">
        <f>IF(OR(IFERROR(MATCH($M1576, 'New pivot'!$B$10:$P$10,0),0)&gt;0, IFERROR(MATCH($N1576, 'New pivot'!$B$10:$P$10,0),0)&gt;0, IFERROR(MATCH($O1576, 'New pivot'!$B$10:$P$10,0),0)&gt;0, IFERROR(MATCH($P1576, 'New pivot'!$B$10:$P$10,0),0)&gt;0, IFERROR(MATCH($Q1576, 'New pivot'!$B$10:$P$10,0),0)&gt;0, IFERROR(MATCH($R1576, 'New pivot'!$B$10:$P$10,0),0)&gt;0), 1, 0)</f>
        <v>0</v>
      </c>
      <c r="AC1576" s="2">
        <f>IF(OR(IFERROR(MATCH($M1576, 'New pivot'!$B$11:$P$11,0),0)&gt;0, IFERROR(MATCH($N1576, 'New pivot'!$B$11:$P$11,0),0)&gt;0, IFERROR(MATCH($O1576, 'New pivot'!$B$11:$P$11,0),0)&gt;0, IFERROR(MATCH($P1576, 'New pivot'!$B$11:$P$11,0),0)&gt;0, IFERROR(MATCH($Q1576, 'New pivot'!$B$11:$P$11,0),0)&gt;0, IFERROR(MATCH($R1576, 'New pivot'!$B$11:$P$11,0),0)&gt;0), 1, 0)</f>
        <v>0</v>
      </c>
      <c r="AD1576" s="2">
        <f>IF(OR(IFERROR(MATCH($M1576, 'New pivot'!$B$12:$P$12,0),0)&gt;0, IFERROR(MATCH($N1576, 'New pivot'!$B$12:$P$12,0),0)&gt;0, IFERROR(MATCH($O1576, 'New pivot'!$B$12:$P$12,0),0)&gt;0, IFERROR(MATCH($P1576, 'New pivot'!$B$12:$P$12,0),0)&gt;0, IFERROR(MATCH($Q1576, 'New pivot'!$B$12:$P$12,0),0)&gt;0, IFERROR(MATCH($R1576, 'New pivot'!$B$12:$P$12,0),0)&gt;0), 1, 0)</f>
        <v>0</v>
      </c>
      <c r="AE1576" s="2">
        <f>IF(OR(IFERROR(MATCH($M1576, 'New pivot'!$B$13:$P$13,0),0)&gt;0, IFERROR(MATCH($N1576, 'New pivot'!$B$13:$P$13,0),0)&gt;0, IFERROR(MATCH($O1576, 'New pivot'!$B$13:$P$13,0),0)&gt;0, IFERROR(MATCH($P1576, 'New pivot'!$B$13:$P$13,0),0)&gt;0, IFERROR(MATCH($Q1576, 'New pivot'!$B$13:$P$13,0),0)&gt;0, IFERROR(MATCH($R1576, 'New pivot'!$B$13:$P$13,0),0)&gt;0), 1, 0)</f>
        <v>0</v>
      </c>
      <c r="AF1576" s="2">
        <f>IF(OR(IFERROR(MATCH($M1576, 'New pivot'!$B$14:$P$14,0),0)&gt;0, IFERROR(MATCH($N1576, 'New pivot'!$B$14:$P$14,0),0)&gt;0, IFERROR(MATCH($O1576, 'New pivot'!$B$14:$P$14,0),0)&gt;0, IFERROR(MATCH($P1576, 'New pivot'!$B$14:$P$14,0),0)&gt;0, IFERROR(MATCH($Q1576, 'New pivot'!$B$14:$P$14,0),0)&gt;0, IFERROR(MATCH($R1576, 'New pivot'!$B$14:$P$14,0),0)&gt;0), 1, 0)</f>
        <v>0</v>
      </c>
      <c r="AG1576" s="2">
        <f>IF(OR(IFERROR(MATCH($M1576, 'New pivot'!$B$15:$P$15,0),0)&gt;0, IFERROR(MATCH($N1576, 'New pivot'!$B$15:$P$15,0),0)&gt;0, IFERROR(MATCH($O1576, 'New pivot'!$B$15:$P$15,0),0)&gt;0, IFERROR(MATCH($P1576, 'New pivot'!$B$15:$P$15,0),0)&gt;0, IFERROR(MATCH($Q1576, 'New pivot'!$B$15:$P$15,0),0)&gt;0, IFERROR(MATCH($R1576, 'New pivot'!$B$15:$P$15,0),0)&gt;0), 1, 0)</f>
        <v>0</v>
      </c>
      <c r="AH1576" s="2">
        <f>IF(OR(IFERROR(MATCH($M1576, 'New pivot'!$B$16:$P$16,0),0)&gt;0, IFERROR(MATCH($N1576, 'New pivot'!$B$16:$P$16,0),0)&gt;0, IFERROR(MATCH($O1576, 'New pivot'!$B$16:$P$16,0),0)&gt;0, IFERROR(MATCH($P1576, 'New pivot'!$B$16:$P$16,0),0)&gt;0, IFERROR(MATCH($Q1576, 'New pivot'!$B$16:$P$16,0),0)&gt;0, IFERROR(MATCH($R1576, 'New pivot'!$B$16:$P$16,0),0)&gt;0), 1, 0)</f>
        <v>0</v>
      </c>
      <c r="AI1576" s="2">
        <f>IF(OR(IFERROR(MATCH($M1576, 'New pivot'!$B$17:$P$17,0),0)&gt;0, IFERROR(MATCH($N1576, 'New pivot'!$B$17:$P$17,0),0)&gt;0, IFERROR(MATCH($O1576, 'New pivot'!$B$17:$P$17,0),0)&gt;0, IFERROR(MATCH($P1576, 'New pivot'!$B$17:$P$17,0),0)&gt;0, IFERROR(MATCH($Q1576, 'New pivot'!$B$17:$P$17,0),0)&gt;0, IFERROR(MATCH($R1576, 'New pivot'!$B$17:$P$17,0),0)&gt;0), 1, 0)</f>
        <v>0</v>
      </c>
      <c r="AJ1576" s="2">
        <f>IF(OR(IFERROR(MATCH($M1576, 'New pivot'!$B$18:$P$18,0),0)&gt;0, IFERROR(MATCH($N1576, 'New pivot'!$B$18:$P$18,0),0)&gt;0, IFERROR(MATCH($O1576, 'New pivot'!$B$18:$P$18,0),0)&gt;0, IFERROR(MATCH($P1576, 'New pivot'!$B$18:$P$18,0),0)&gt;0, IFERROR(MATCH($Q1576, 'New pivot'!$B$18:$P$18,0),0)&gt;0, IFERROR(MATCH($R1576, 'New pivot'!$B$18:$P$18,0),0)&gt;0), 1, 0)</f>
        <v>0</v>
      </c>
      <c r="AK1576" s="2" cm="1">
        <f t="array" ref="AK1576">_xlfn.IFS(SUMPRODUCT((Table1_1[[Product/Package]:[Product/Package]]=AK$2)*(Table1_1[[Value]:[Value]]=$M1576))=1,1,SUMPRODUCT((Table1_1[[Product/Package]:[Product/Package]]=AK$2)*(Table1_1[[Value]:[Value]]=$N1576))=1,1,SUMPRODUCT((Table1_1[[Product/Package]:[Product/Package]]=AK$2)*(Table1_1[[Value]:[Value]]=$O1576))=1,1,SUMPRODUCT((Table1_1[[Product/Package]:[Product/Package]]=AK$2)*(Table1_1[[Value]:[Value]]=$P1576))=1,1,SUMPRODUCT((Table1_1[[Product/Package]:[Product/Package]]=AK$2)*(Table1_1[[Value]:[Value]]=$Q1576))=1,1,SUMPRODUCT((Table1_1[[Product/Package]:[Product/Package]]=AK$2)*(Table1_1[[Value]:[Value]]=$R1576))&lt;&gt;1,0)</f>
        <v>0</v>
      </c>
      <c r="AL1576" s="2" t="e">
        <v>#REF!</v>
      </c>
      <c r="AM1576" s="2" t="e">
        <v>#REF!</v>
      </c>
      <c r="AN1576" s="2" t="e">
        <v>#REF!</v>
      </c>
      <c r="AO1576" s="2" t="e">
        <v>#REF!</v>
      </c>
      <c r="AP1576" s="2" t="e">
        <v>#REF!</v>
      </c>
      <c r="AQ1576" s="2" t="e">
        <v>#REF!</v>
      </c>
      <c r="AR1576" s="2" t="e">
        <v>#REF!</v>
      </c>
      <c r="AS1576" s="2" t="e">
        <v>#REF!</v>
      </c>
      <c r="AT1576" s="2" t="e">
        <v>#REF!</v>
      </c>
      <c r="AU1576" s="2" t="e">
        <v>#REF!</v>
      </c>
      <c r="AV1576" s="2" t="e">
        <v>#REF!</v>
      </c>
      <c r="AW1576" s="2" t="e">
        <v>#REF!</v>
      </c>
      <c r="AX1576" s="2" t="e">
        <v>#REF!</v>
      </c>
      <c r="AY1576" s="2" t="e">
        <v>#REF!</v>
      </c>
      <c r="AZ1576" s="2" t="e">
        <v>#REF!</v>
      </c>
      <c r="BA1576" s="2" t="e">
        <v>#REF!</v>
      </c>
      <c r="BB1576" s="2" t="e">
        <v>#REF!</v>
      </c>
      <c r="BC1576" s="2" t="e">
        <v>#REF!</v>
      </c>
    </row>
    <row r="1577" spans="6:55">
      <c r="F1577" s="2" t="e">
        <v>#REF!</v>
      </c>
      <c r="K1577" s="66" t="e">
        <f>SUM(Table3[[#This Row],[Column19]:[Competitive advantage]])</f>
        <v>#VALUE!</v>
      </c>
      <c r="L1577" s="66" t="e">
        <v>#REF!</v>
      </c>
      <c r="O1577" s="4"/>
      <c r="P1577" s="4"/>
      <c r="R1577" s="4"/>
      <c r="S1577" s="4"/>
      <c r="T1577" s="2">
        <f>IF(OR(IFERROR(MATCH($M1577, 'New pivot'!$B$2:$P$2,0),0)&gt;0, IFERROR(MATCH($N1577, 'New pivot'!$B$2:$P$2,0),0)&gt;0, IFERROR(MATCH($O1577, 'New pivot'!$B$2:$P$2,0),0)&gt;0, IFERROR(MATCH($P1577, 'New pivot'!$B$2:$P$2,0),0)&gt;0, IFERROR(MATCH($Q1577, 'New pivot'!$B$2:$P$2,0),0)&gt;0, IFERROR(MATCH($R1577, 'New pivot'!$B$2:$P$2,0),0)&gt;0), 1, 0)</f>
        <v>0</v>
      </c>
      <c r="U1577" s="2">
        <f>IF(OR(IFERROR(MATCH($M1577, 'New pivot'!$B$3:$P$3,0),0)&gt;0, IFERROR(MATCH($N1577, 'New pivot'!$B$3:$P$3,0),0)&gt;0, IFERROR(MATCH($O1577, 'New pivot'!$B$3:$P$3,0),0)&gt;0, IFERROR(MATCH($P1577, 'New pivot'!$B$3:$P$3,0),0)&gt;0, IFERROR(MATCH($Q1577, 'New pivot'!$B$3:$P$3,0),0)&gt;0, IFERROR(MATCH($R1577, 'New pivot'!$B$3:$P$3,0),0)&gt;0), 1, 0)</f>
        <v>0</v>
      </c>
      <c r="V1577" s="2">
        <f>IF(OR(IFERROR(MATCH($M1577, 'New pivot'!$B$4:$P$4,0),0)&gt;0, IFERROR(MATCH($N1577, 'New pivot'!$B$4:$P$4,0),0)&gt;0, IFERROR(MATCH($O1577, 'New pivot'!$B$4:$P$4,0),0)&gt;0, IFERROR(MATCH($P1577, 'New pivot'!$B$4:$P$4,0),0)&gt;0, IFERROR(MATCH($Q1577, 'New pivot'!$B$4:$P$4,0),0)&gt;0, IFERROR(MATCH($R1577, 'New pivot'!$B$4:$P$4,0),0)&gt;0), 1, 0)</f>
        <v>0</v>
      </c>
      <c r="W1577" s="2">
        <f>IF(OR(IFERROR(MATCH($M1577, 'New pivot'!$B$5:$P$5,0),0)&gt;0, IFERROR(MATCH($N1577, 'New pivot'!$B$5:$P$5,0),0)&gt;0, IFERROR(MATCH($O1577, 'New pivot'!$B$5:$P$5,0),0)&gt;0, IFERROR(MATCH($P1577, 'New pivot'!$B$5:$P$5,0),0)&gt;0, IFERROR(MATCH($Q1577, 'New pivot'!$B$5:$P$5,0),0)&gt;0, IFERROR(MATCH($R1577, 'New pivot'!$B$5:$P$5,0),0)&gt;0), 1, 0)</f>
        <v>0</v>
      </c>
      <c r="X1577" s="2">
        <f>IF(OR(IFERROR(MATCH($M1577, 'New pivot'!$B$6:$P$6,0),0)&gt;0, IFERROR(MATCH($N1577, 'New pivot'!$B$6:$P$6,0),0)&gt;0, IFERROR(MATCH($O1577, 'New pivot'!$B$6:$P$6,0),0)&gt;0, IFERROR(MATCH($P1577, 'New pivot'!$B$6:$P$6,0),0)&gt;0, IFERROR(MATCH($Q1577, 'New pivot'!$B$6:$P$6,0),0)&gt;0, IFERROR(MATCH($R1577, 'New pivot'!$B$6:$P$6,0),0)&gt;0), 1, 0)</f>
        <v>0</v>
      </c>
      <c r="Y1577" s="2">
        <f>IF(OR(IFERROR(MATCH($M1577, 'New pivot'!$B$7:$P$7,0),0)&gt;0, IFERROR(MATCH($N1577, 'New pivot'!$B$7:$P$7,0),0)&gt;0, IFERROR(MATCH($O1577, 'New pivot'!$B$7:$P$7,0),0)&gt;0, IFERROR(MATCH($P1577, 'New pivot'!$B$7:$P$7,0),0)&gt;0, IFERROR(MATCH($Q1577, 'New pivot'!$B$7:$P$7,0),0)&gt;0, IFERROR(MATCH($R1577, 'New pivot'!$B$7:$P$7,0),0)&gt;0), 1, 0)</f>
        <v>0</v>
      </c>
      <c r="Z1577" s="2">
        <f>IF(OR(IFERROR(MATCH($M1577, 'New pivot'!$B$8:$P$8,0),0)&gt;0, IFERROR(MATCH($N1577, 'New pivot'!$B$8:$P$8,0),0)&gt;0, IFERROR(MATCH($O1577, 'New pivot'!$B$8:$P$8,0),0)&gt;0, IFERROR(MATCH($P1577, 'New pivot'!$B$8:$P$8,0),0)&gt;0, IFERROR(MATCH($Q1577, 'New pivot'!$B$8:$P$8,0),0)&gt;0, IFERROR(MATCH($R1577, 'New pivot'!$B$8:$P$8,0),0)&gt;0), 1, 0)</f>
        <v>0</v>
      </c>
      <c r="AA1577" s="2">
        <f>IF(OR(IFERROR(MATCH($M1577, 'New pivot'!$B$9:$P$9,0),0)&gt;0, IFERROR(MATCH($N1577, 'New pivot'!$B$9:$P$9,0),0)&gt;0, IFERROR(MATCH($O1577, 'New pivot'!$B$9:$P$9,0),0)&gt;0, IFERROR(MATCH($P1577, 'New pivot'!$B$9:$P$9,0),0)&gt;0, IFERROR(MATCH($Q1577, 'New pivot'!$B$9:$P$9,0),0)&gt;0, IFERROR(MATCH($R1577, 'New pivot'!$B$9:$P$9,0),0)&gt;0), 1, 0)</f>
        <v>0</v>
      </c>
      <c r="AB1577" s="2">
        <f>IF(OR(IFERROR(MATCH($M1577, 'New pivot'!$B$10:$P$10,0),0)&gt;0, IFERROR(MATCH($N1577, 'New pivot'!$B$10:$P$10,0),0)&gt;0, IFERROR(MATCH($O1577, 'New pivot'!$B$10:$P$10,0),0)&gt;0, IFERROR(MATCH($P1577, 'New pivot'!$B$10:$P$10,0),0)&gt;0, IFERROR(MATCH($Q1577, 'New pivot'!$B$10:$P$10,0),0)&gt;0, IFERROR(MATCH($R1577, 'New pivot'!$B$10:$P$10,0),0)&gt;0), 1, 0)</f>
        <v>0</v>
      </c>
      <c r="AC1577" s="2">
        <f>IF(OR(IFERROR(MATCH($M1577, 'New pivot'!$B$11:$P$11,0),0)&gt;0, IFERROR(MATCH($N1577, 'New pivot'!$B$11:$P$11,0),0)&gt;0, IFERROR(MATCH($O1577, 'New pivot'!$B$11:$P$11,0),0)&gt;0, IFERROR(MATCH($P1577, 'New pivot'!$B$11:$P$11,0),0)&gt;0, IFERROR(MATCH($Q1577, 'New pivot'!$B$11:$P$11,0),0)&gt;0, IFERROR(MATCH($R1577, 'New pivot'!$B$11:$P$11,0),0)&gt;0), 1, 0)</f>
        <v>0</v>
      </c>
      <c r="AD1577" s="2">
        <f>IF(OR(IFERROR(MATCH($M1577, 'New pivot'!$B$12:$P$12,0),0)&gt;0, IFERROR(MATCH($N1577, 'New pivot'!$B$12:$P$12,0),0)&gt;0, IFERROR(MATCH($O1577, 'New pivot'!$B$12:$P$12,0),0)&gt;0, IFERROR(MATCH($P1577, 'New pivot'!$B$12:$P$12,0),0)&gt;0, IFERROR(MATCH($Q1577, 'New pivot'!$B$12:$P$12,0),0)&gt;0, IFERROR(MATCH($R1577, 'New pivot'!$B$12:$P$12,0),0)&gt;0), 1, 0)</f>
        <v>0</v>
      </c>
      <c r="AE1577" s="2">
        <f>IF(OR(IFERROR(MATCH($M1577, 'New pivot'!$B$13:$P$13,0),0)&gt;0, IFERROR(MATCH($N1577, 'New pivot'!$B$13:$P$13,0),0)&gt;0, IFERROR(MATCH($O1577, 'New pivot'!$B$13:$P$13,0),0)&gt;0, IFERROR(MATCH($P1577, 'New pivot'!$B$13:$P$13,0),0)&gt;0, IFERROR(MATCH($Q1577, 'New pivot'!$B$13:$P$13,0),0)&gt;0, IFERROR(MATCH($R1577, 'New pivot'!$B$13:$P$13,0),0)&gt;0), 1, 0)</f>
        <v>0</v>
      </c>
      <c r="AF1577" s="2">
        <f>IF(OR(IFERROR(MATCH($M1577, 'New pivot'!$B$14:$P$14,0),0)&gt;0, IFERROR(MATCH($N1577, 'New pivot'!$B$14:$P$14,0),0)&gt;0, IFERROR(MATCH($O1577, 'New pivot'!$B$14:$P$14,0),0)&gt;0, IFERROR(MATCH($P1577, 'New pivot'!$B$14:$P$14,0),0)&gt;0, IFERROR(MATCH($Q1577, 'New pivot'!$B$14:$P$14,0),0)&gt;0, IFERROR(MATCH($R1577, 'New pivot'!$B$14:$P$14,0),0)&gt;0), 1, 0)</f>
        <v>0</v>
      </c>
      <c r="AG1577" s="2">
        <f>IF(OR(IFERROR(MATCH($M1577, 'New pivot'!$B$15:$P$15,0),0)&gt;0, IFERROR(MATCH($N1577, 'New pivot'!$B$15:$P$15,0),0)&gt;0, IFERROR(MATCH($O1577, 'New pivot'!$B$15:$P$15,0),0)&gt;0, IFERROR(MATCH($P1577, 'New pivot'!$B$15:$P$15,0),0)&gt;0, IFERROR(MATCH($Q1577, 'New pivot'!$B$15:$P$15,0),0)&gt;0, IFERROR(MATCH($R1577, 'New pivot'!$B$15:$P$15,0),0)&gt;0), 1, 0)</f>
        <v>0</v>
      </c>
      <c r="AH1577" s="2">
        <f>IF(OR(IFERROR(MATCH($M1577, 'New pivot'!$B$16:$P$16,0),0)&gt;0, IFERROR(MATCH($N1577, 'New pivot'!$B$16:$P$16,0),0)&gt;0, IFERROR(MATCH($O1577, 'New pivot'!$B$16:$P$16,0),0)&gt;0, IFERROR(MATCH($P1577, 'New pivot'!$B$16:$P$16,0),0)&gt;0, IFERROR(MATCH($Q1577, 'New pivot'!$B$16:$P$16,0),0)&gt;0, IFERROR(MATCH($R1577, 'New pivot'!$B$16:$P$16,0),0)&gt;0), 1, 0)</f>
        <v>0</v>
      </c>
      <c r="AI1577" s="2">
        <f>IF(OR(IFERROR(MATCH($M1577, 'New pivot'!$B$17:$P$17,0),0)&gt;0, IFERROR(MATCH($N1577, 'New pivot'!$B$17:$P$17,0),0)&gt;0, IFERROR(MATCH($O1577, 'New pivot'!$B$17:$P$17,0),0)&gt;0, IFERROR(MATCH($P1577, 'New pivot'!$B$17:$P$17,0),0)&gt;0, IFERROR(MATCH($Q1577, 'New pivot'!$B$17:$P$17,0),0)&gt;0, IFERROR(MATCH($R1577, 'New pivot'!$B$17:$P$17,0),0)&gt;0), 1, 0)</f>
        <v>0</v>
      </c>
      <c r="AJ1577" s="2">
        <f>IF(OR(IFERROR(MATCH($M1577, 'New pivot'!$B$18:$P$18,0),0)&gt;0, IFERROR(MATCH($N1577, 'New pivot'!$B$18:$P$18,0),0)&gt;0, IFERROR(MATCH($O1577, 'New pivot'!$B$18:$P$18,0),0)&gt;0, IFERROR(MATCH($P1577, 'New pivot'!$B$18:$P$18,0),0)&gt;0, IFERROR(MATCH($Q1577, 'New pivot'!$B$18:$P$18,0),0)&gt;0, IFERROR(MATCH($R1577, 'New pivot'!$B$18:$P$18,0),0)&gt;0), 1, 0)</f>
        <v>0</v>
      </c>
      <c r="AK1577" s="2" cm="1">
        <f t="array" ref="AK1577">_xlfn.IFS(SUMPRODUCT((Table1_1[[Product/Package]:[Product/Package]]=AK$2)*(Table1_1[[Value]:[Value]]=$M1577))=1,1,SUMPRODUCT((Table1_1[[Product/Package]:[Product/Package]]=AK$2)*(Table1_1[[Value]:[Value]]=$N1577))=1,1,SUMPRODUCT((Table1_1[[Product/Package]:[Product/Package]]=AK$2)*(Table1_1[[Value]:[Value]]=$O1577))=1,1,SUMPRODUCT((Table1_1[[Product/Package]:[Product/Package]]=AK$2)*(Table1_1[[Value]:[Value]]=$P1577))=1,1,SUMPRODUCT((Table1_1[[Product/Package]:[Product/Package]]=AK$2)*(Table1_1[[Value]:[Value]]=$Q1577))=1,1,SUMPRODUCT((Table1_1[[Product/Package]:[Product/Package]]=AK$2)*(Table1_1[[Value]:[Value]]=$R1577))&lt;&gt;1,0)</f>
        <v>0</v>
      </c>
      <c r="AL1577" s="2" t="e">
        <v>#REF!</v>
      </c>
      <c r="AM1577" s="2" t="e">
        <v>#REF!</v>
      </c>
      <c r="AN1577" s="2" t="e">
        <v>#REF!</v>
      </c>
      <c r="AO1577" s="2" t="e">
        <v>#REF!</v>
      </c>
      <c r="AP1577" s="2" t="e">
        <v>#REF!</v>
      </c>
      <c r="AQ1577" s="2" t="e">
        <v>#REF!</v>
      </c>
      <c r="AR1577" s="2" t="e">
        <v>#REF!</v>
      </c>
      <c r="AS1577" s="2" t="e">
        <v>#REF!</v>
      </c>
      <c r="AT1577" s="2" t="e">
        <v>#REF!</v>
      </c>
      <c r="AU1577" s="2" t="e">
        <v>#REF!</v>
      </c>
      <c r="AV1577" s="2" t="e">
        <v>#REF!</v>
      </c>
      <c r="AW1577" s="2" t="e">
        <v>#REF!</v>
      </c>
      <c r="AX1577" s="2" t="e">
        <v>#REF!</v>
      </c>
      <c r="AY1577" s="2" t="e">
        <v>#REF!</v>
      </c>
      <c r="AZ1577" s="2" t="e">
        <v>#REF!</v>
      </c>
      <c r="BA1577" s="2" t="e">
        <v>#REF!</v>
      </c>
      <c r="BB1577" s="2" t="e">
        <v>#REF!</v>
      </c>
      <c r="BC1577" s="2" t="e">
        <v>#REF!</v>
      </c>
    </row>
  </sheetData>
  <sortState xmlns:xlrd2="http://schemas.microsoft.com/office/spreadsheetml/2017/richdata2" ref="A2:AJ1548">
    <sortCondition ref="A3:A1548"/>
  </sortState>
  <dataValidations count="1">
    <dataValidation type="list" allowBlank="1" showInputMessage="1" showErrorMessage="1" sqref="N1457:N1463 N3:S1456" xr:uid="{ECF8FACF-AD0C-49B1-90C4-3521154B2DA1}">
      <formula1>Users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252552-9A75-41D6-938D-468D9C23F30D}">
          <x14:formula1>
            <xm:f>Categories!$B$2:$B$14</xm:f>
          </x14:formula1>
          <xm:sqref>M1607:R1673</xm:sqref>
        </x14:dataValidation>
        <x14:dataValidation type="list" allowBlank="1" showInputMessage="1" showErrorMessage="1" xr:uid="{1A37D9B5-DDAE-4762-8032-D6B45B28C3DF}">
          <x14:formula1>
            <xm:f>Categories!$B$2:$B$15</xm:f>
          </x14:formula1>
          <xm:sqref>M1562:R1606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65330-F0CD-4EDC-88CA-8D8DBC1EF051}">
  <dimension ref="A1:M156"/>
  <sheetViews>
    <sheetView topLeftCell="A3" zoomScale="85" zoomScaleNormal="85" workbookViewId="0">
      <selection activeCell="F73" sqref="F73"/>
    </sheetView>
  </sheetViews>
  <sheetFormatPr defaultColWidth="8.7109375" defaultRowHeight="14.25"/>
  <cols>
    <col min="1" max="1" width="34.42578125" style="1" customWidth="1"/>
    <col min="2" max="2" width="20.85546875" style="1" customWidth="1"/>
    <col min="3" max="3" width="22.5703125" style="1" customWidth="1"/>
    <col min="4" max="4" width="18.28515625" style="1" customWidth="1"/>
    <col min="5" max="5" width="21.42578125" style="1" customWidth="1"/>
    <col min="6" max="6" width="16.28515625" style="1" customWidth="1"/>
    <col min="7" max="7" width="15.28515625" style="1" bestFit="1" customWidth="1"/>
    <col min="8" max="8" width="15.5703125" style="1" customWidth="1"/>
    <col min="9" max="9" width="14.85546875" style="1" customWidth="1"/>
    <col min="10" max="16" width="8.7109375" style="1"/>
    <col min="17" max="17" width="47.28515625" style="1" bestFit="1" customWidth="1"/>
    <col min="18" max="18" width="16.85546875" style="1" bestFit="1" customWidth="1"/>
    <col min="19" max="19" width="16.7109375" style="1" customWidth="1"/>
    <col min="20" max="20" width="15.42578125" style="1" customWidth="1"/>
    <col min="21" max="21" width="15.85546875" style="1" customWidth="1"/>
    <col min="22" max="22" width="8.7109375" style="1"/>
    <col min="23" max="23" width="98.5703125" style="1" bestFit="1" customWidth="1"/>
    <col min="24" max="16384" width="8.7109375" style="1"/>
  </cols>
  <sheetData>
    <row r="1" spans="1:8" ht="18">
      <c r="A1" s="72" t="s">
        <v>1637</v>
      </c>
    </row>
    <row r="2" spans="1:8">
      <c r="A2" s="3" t="s">
        <v>1638</v>
      </c>
    </row>
    <row r="4" spans="1:8" ht="28.5">
      <c r="B4" s="39" t="s">
        <v>1639</v>
      </c>
      <c r="C4" s="39" t="s">
        <v>59</v>
      </c>
      <c r="D4" s="39" t="s">
        <v>102</v>
      </c>
      <c r="E4" s="39" t="s">
        <v>1640</v>
      </c>
      <c r="F4" s="39" t="s">
        <v>1641</v>
      </c>
      <c r="H4" s="39" t="s">
        <v>1642</v>
      </c>
    </row>
    <row r="5" spans="1:8">
      <c r="B5" s="41" t="s">
        <v>1643</v>
      </c>
      <c r="C5" s="50">
        <f>Categories!D3</f>
        <v>114</v>
      </c>
      <c r="D5" s="50">
        <f>Categories!D4</f>
        <v>383</v>
      </c>
      <c r="E5" s="50">
        <f>Categories!D5</f>
        <v>229</v>
      </c>
      <c r="F5" s="50">
        <f>Categories!D2</f>
        <v>462</v>
      </c>
      <c r="H5" s="41" t="s">
        <v>1644</v>
      </c>
    </row>
    <row r="6" spans="1:8">
      <c r="B6" s="38" t="s">
        <v>1645</v>
      </c>
      <c r="C6" s="51">
        <f>'Customer data'!M7</f>
        <v>79</v>
      </c>
      <c r="D6" s="51">
        <f>'Customer data'!N7</f>
        <v>53</v>
      </c>
      <c r="E6" s="51">
        <f>'Customer data'!O7</f>
        <v>16</v>
      </c>
      <c r="F6" s="51">
        <f>'Customer data'!P7</f>
        <v>34</v>
      </c>
      <c r="H6" s="38" t="s">
        <v>1646</v>
      </c>
    </row>
    <row r="7" spans="1:8">
      <c r="B7" s="41" t="s">
        <v>1647</v>
      </c>
      <c r="C7" s="182">
        <f>1586-SUM(C5:F5)</f>
        <v>398</v>
      </c>
      <c r="D7" s="182"/>
      <c r="E7" s="182"/>
      <c r="F7" s="182"/>
      <c r="H7" s="41" t="s">
        <v>1648</v>
      </c>
    </row>
    <row r="8" spans="1:8">
      <c r="B8" s="38" t="s">
        <v>1649</v>
      </c>
      <c r="C8" s="183">
        <f>'Customer data'!Q7</f>
        <v>42</v>
      </c>
      <c r="D8" s="183"/>
      <c r="E8" s="183"/>
      <c r="F8" s="183"/>
      <c r="H8" s="38" t="s">
        <v>1650</v>
      </c>
    </row>
    <row r="9" spans="1:8">
      <c r="B9" s="41" t="s">
        <v>1651</v>
      </c>
      <c r="C9" s="56">
        <f>'New pivot'!AD2</f>
        <v>46050000</v>
      </c>
      <c r="D9" s="56">
        <f>'New pivot'!AD3</f>
        <v>58150000</v>
      </c>
      <c r="E9" s="56">
        <f>'New pivot'!AD4</f>
        <v>41100000</v>
      </c>
      <c r="F9" s="56">
        <f>'New pivot'!AD5</f>
        <v>27400000</v>
      </c>
      <c r="H9" s="41" t="s">
        <v>1652</v>
      </c>
    </row>
    <row r="10" spans="1:8">
      <c r="B10" s="38" t="s">
        <v>1653</v>
      </c>
      <c r="C10" s="57">
        <f>MROUND('Customer data'!M8,25000)</f>
        <v>2725000</v>
      </c>
      <c r="D10" s="57">
        <f>MROUND('Customer data'!N8,25000)</f>
        <v>1175000</v>
      </c>
      <c r="E10" s="57">
        <f>MROUND('Customer data'!O8,25000)</f>
        <v>275000</v>
      </c>
      <c r="F10" s="57">
        <f>MROUND('Customer data'!P8,25000)</f>
        <v>425000</v>
      </c>
      <c r="H10" s="38" t="s">
        <v>1654</v>
      </c>
    </row>
    <row r="11" spans="1:8">
      <c r="B11" s="41" t="s">
        <v>1655</v>
      </c>
      <c r="C11" s="58">
        <f>C6/C5</f>
        <v>0.69298245614035092</v>
      </c>
      <c r="D11" s="58">
        <f>D6/D5</f>
        <v>0.13838120104438642</v>
      </c>
      <c r="E11" s="58">
        <f>E6/E5</f>
        <v>6.9868995633187769E-2</v>
      </c>
      <c r="F11" s="58">
        <f>F6/F5</f>
        <v>7.3593073593073599E-2</v>
      </c>
      <c r="H11" s="41" t="s">
        <v>1656</v>
      </c>
    </row>
    <row r="12" spans="1:8">
      <c r="B12" s="38" t="s">
        <v>1657</v>
      </c>
      <c r="C12" s="59">
        <f>C10/C9</f>
        <v>5.9174809989142235E-2</v>
      </c>
      <c r="D12" s="59">
        <f>D10/D9</f>
        <v>2.0206362854686157E-2</v>
      </c>
      <c r="E12" s="59">
        <f>E10/E9</f>
        <v>6.6909975669099753E-3</v>
      </c>
      <c r="F12" s="59">
        <f>F10/F9</f>
        <v>1.5510948905109489E-2</v>
      </c>
      <c r="H12" s="38" t="s">
        <v>1658</v>
      </c>
    </row>
    <row r="13" spans="1:8">
      <c r="B13" s="41" t="s">
        <v>1659</v>
      </c>
      <c r="C13" s="56">
        <f>MROUND(C10/C6,500)</f>
        <v>34500</v>
      </c>
      <c r="D13" s="56">
        <f t="shared" ref="D13:F13" si="0">MROUND(D10/D6,500)</f>
        <v>22000</v>
      </c>
      <c r="E13" s="56">
        <f t="shared" si="0"/>
        <v>17000</v>
      </c>
      <c r="F13" s="56">
        <f t="shared" si="0"/>
        <v>12500</v>
      </c>
    </row>
    <row r="14" spans="1:8">
      <c r="C14" s="52"/>
      <c r="D14" s="52"/>
      <c r="E14" s="52"/>
      <c r="F14" s="52"/>
    </row>
    <row r="15" spans="1:8">
      <c r="A15" s="3" t="s">
        <v>1660</v>
      </c>
      <c r="C15" s="52"/>
    </row>
    <row r="17" spans="1:6">
      <c r="B17" s="39" t="s">
        <v>1661</v>
      </c>
      <c r="C17" s="39" t="s">
        <v>1662</v>
      </c>
      <c r="D17" s="53" t="s">
        <v>1663</v>
      </c>
      <c r="E17" s="53" t="s">
        <v>1664</v>
      </c>
      <c r="F17" s="79" t="s">
        <v>1665</v>
      </c>
    </row>
    <row r="18" spans="1:6">
      <c r="A18" s="1" t="s">
        <v>152</v>
      </c>
      <c r="B18" s="60" t="s">
        <v>152</v>
      </c>
      <c r="C18" s="41" t="str">
        <f>'New pivot'!R2</f>
        <v>Industry Essentials</v>
      </c>
      <c r="D18" s="50">
        <f>'New pivot'!U2</f>
        <v>1179</v>
      </c>
      <c r="E18" s="54">
        <f>'New pivot'!V2</f>
        <v>10600000</v>
      </c>
      <c r="F18" s="80">
        <v>10550000</v>
      </c>
    </row>
    <row r="19" spans="1:6" ht="14.25" customHeight="1">
      <c r="A19" s="1" t="s">
        <v>1666</v>
      </c>
      <c r="B19" s="184" t="s">
        <v>1666</v>
      </c>
      <c r="C19" s="38" t="str">
        <f>'New pivot'!R3</f>
        <v>Energy Supply Market Intelligence</v>
      </c>
      <c r="D19" s="51">
        <f>'New pivot'!U3</f>
        <v>244</v>
      </c>
      <c r="E19" s="55">
        <f>'New pivot'!V3</f>
        <v>9000000</v>
      </c>
      <c r="F19" s="65">
        <v>8250000</v>
      </c>
    </row>
    <row r="20" spans="1:6">
      <c r="A20" s="1" t="s">
        <v>1666</v>
      </c>
      <c r="B20" s="185"/>
      <c r="C20" s="41" t="str">
        <f>'New pivot'!R4</f>
        <v>Energy Supply RTM Analysis</v>
      </c>
      <c r="D20" s="50">
        <f>'New pivot'!U4</f>
        <v>272</v>
      </c>
      <c r="E20" s="54">
        <f>'New pivot'!V4</f>
        <v>17150000</v>
      </c>
      <c r="F20" s="80">
        <v>16100000</v>
      </c>
    </row>
    <row r="21" spans="1:6">
      <c r="A21" s="1" t="s">
        <v>1666</v>
      </c>
      <c r="B21" s="185"/>
      <c r="C21" s="38" t="str">
        <f>'New pivot'!R5</f>
        <v>Energy Supply Forecasts</v>
      </c>
      <c r="D21" s="51">
        <f>'New pivot'!U5</f>
        <v>244</v>
      </c>
      <c r="E21" s="55">
        <f>'New pivot'!V5</f>
        <v>9900000</v>
      </c>
      <c r="F21" s="65">
        <v>9250000</v>
      </c>
    </row>
    <row r="22" spans="1:6">
      <c r="A22" s="1" t="s">
        <v>1666</v>
      </c>
      <c r="B22" s="185"/>
      <c r="C22" s="41" t="str">
        <f>'New pivot'!R6</f>
        <v>Energy Supply Regulation</v>
      </c>
      <c r="D22" s="50">
        <f>'New pivot'!U6</f>
        <v>140</v>
      </c>
      <c r="E22" s="54">
        <f>'New pivot'!V6</f>
        <v>6450000</v>
      </c>
      <c r="F22" s="80">
        <v>6300000</v>
      </c>
    </row>
    <row r="23" spans="1:6">
      <c r="A23" s="1" t="s">
        <v>1666</v>
      </c>
      <c r="B23" s="186"/>
      <c r="C23" s="38" t="s">
        <v>1667</v>
      </c>
      <c r="D23" s="51">
        <f>MAX(D19:D22)</f>
        <v>272</v>
      </c>
      <c r="E23" s="55">
        <f>MROUND(SUM(E19:E22)+E18/3,50000)</f>
        <v>46050000</v>
      </c>
      <c r="F23" s="65">
        <v>39900000</v>
      </c>
    </row>
    <row r="24" spans="1:6" ht="14.25" customHeight="1">
      <c r="A24" s="1" t="s">
        <v>102</v>
      </c>
      <c r="B24" s="184" t="s">
        <v>102</v>
      </c>
      <c r="C24" s="41" t="str">
        <f>'New pivot'!R7</f>
        <v>Renewables Market Intelligence</v>
      </c>
      <c r="D24" s="50">
        <f>'New pivot'!U7</f>
        <v>553</v>
      </c>
      <c r="E24" s="54">
        <f>'New pivot'!V7</f>
        <v>10450000</v>
      </c>
      <c r="F24" s="80">
        <v>10700000</v>
      </c>
    </row>
    <row r="25" spans="1:6">
      <c r="A25" s="1" t="s">
        <v>102</v>
      </c>
      <c r="B25" s="185"/>
      <c r="C25" s="38" t="str">
        <f>'New pivot'!R8</f>
        <v>Renewables RTM Analysis</v>
      </c>
      <c r="D25" s="51">
        <f>'New pivot'!U8</f>
        <v>429</v>
      </c>
      <c r="E25" s="55">
        <f>'New pivot'!V8</f>
        <v>7700000</v>
      </c>
      <c r="F25" s="65">
        <v>7150000</v>
      </c>
    </row>
    <row r="26" spans="1:6">
      <c r="A26" s="1" t="s">
        <v>102</v>
      </c>
      <c r="B26" s="185"/>
      <c r="C26" s="41" t="str">
        <f>'New pivot'!R9</f>
        <v>Renewables Forecasts</v>
      </c>
      <c r="D26" s="50">
        <f>'New pivot'!U9</f>
        <v>553</v>
      </c>
      <c r="E26" s="54">
        <f>'New pivot'!V9</f>
        <v>27850000</v>
      </c>
      <c r="F26" s="80">
        <v>26700000</v>
      </c>
    </row>
    <row r="27" spans="1:6">
      <c r="A27" s="1" t="s">
        <v>102</v>
      </c>
      <c r="B27" s="185"/>
      <c r="C27" s="38" t="str">
        <f>'New pivot'!R10</f>
        <v>Renewables Regulation</v>
      </c>
      <c r="D27" s="51">
        <f>'New pivot'!U10</f>
        <v>382</v>
      </c>
      <c r="E27" s="55">
        <f>'New pivot'!V10</f>
        <v>8600000</v>
      </c>
      <c r="F27" s="65">
        <v>7850000</v>
      </c>
    </row>
    <row r="28" spans="1:6">
      <c r="A28" s="1" t="s">
        <v>102</v>
      </c>
      <c r="B28" s="186"/>
      <c r="C28" s="41" t="s">
        <v>1668</v>
      </c>
      <c r="D28" s="50">
        <f>MAX(D24:D27)</f>
        <v>553</v>
      </c>
      <c r="E28" s="54">
        <f>MROUND(SUM(E24:E27)+E18/3,50000)</f>
        <v>58150000</v>
      </c>
      <c r="F28" s="80">
        <v>52400000</v>
      </c>
    </row>
    <row r="29" spans="1:6" ht="14.25" customHeight="1">
      <c r="A29" s="1" t="s">
        <v>66</v>
      </c>
      <c r="B29" s="184" t="s">
        <v>66</v>
      </c>
      <c r="C29" s="38" t="str">
        <f>'New pivot'!R11</f>
        <v>Flexibility Market Intelligence</v>
      </c>
      <c r="D29" s="51">
        <f>'New pivot'!U11</f>
        <v>527</v>
      </c>
      <c r="E29" s="55">
        <f>'New pivot'!V11</f>
        <v>12800000</v>
      </c>
      <c r="F29" s="65">
        <v>13150000</v>
      </c>
    </row>
    <row r="30" spans="1:6">
      <c r="A30" s="1" t="s">
        <v>66</v>
      </c>
      <c r="B30" s="185"/>
      <c r="C30" s="41" t="str">
        <f>'New pivot'!R12</f>
        <v>Flexibility RTM Analysis</v>
      </c>
      <c r="D30" s="50">
        <f>'New pivot'!U12</f>
        <v>268</v>
      </c>
      <c r="E30" s="54">
        <f>'New pivot'!V12</f>
        <v>2400000</v>
      </c>
      <c r="F30" s="80">
        <v>2350000</v>
      </c>
    </row>
    <row r="31" spans="1:6">
      <c r="A31" s="1" t="s">
        <v>66</v>
      </c>
      <c r="B31" s="185"/>
      <c r="C31" s="38" t="str">
        <f>'New pivot'!R13</f>
        <v>Flexibility Forecasts</v>
      </c>
      <c r="D31" s="51">
        <f>'New pivot'!U13</f>
        <v>461</v>
      </c>
      <c r="E31" s="55">
        <f>'New pivot'!V13</f>
        <v>17450000</v>
      </c>
      <c r="F31" s="65">
        <v>17150000</v>
      </c>
    </row>
    <row r="32" spans="1:6">
      <c r="A32" s="1" t="s">
        <v>66</v>
      </c>
      <c r="B32" s="185"/>
      <c r="C32" s="41" t="str">
        <f>'New pivot'!R14</f>
        <v>Flexibility Regulation</v>
      </c>
      <c r="D32" s="50">
        <f>'New pivot'!U14</f>
        <v>228</v>
      </c>
      <c r="E32" s="54">
        <f>'New pivot'!V14</f>
        <v>4900000</v>
      </c>
      <c r="F32" s="80">
        <v>6500000</v>
      </c>
    </row>
    <row r="33" spans="1:6">
      <c r="A33" s="1" t="s">
        <v>66</v>
      </c>
      <c r="B33" s="186"/>
      <c r="C33" s="38" t="s">
        <v>1669</v>
      </c>
      <c r="D33" s="51">
        <f>MAX(D29:D32)</f>
        <v>527</v>
      </c>
      <c r="E33" s="55">
        <f>MROUND(SUM(E29:E32)+E18/3,50000)</f>
        <v>41100000</v>
      </c>
      <c r="F33" s="65">
        <v>39150000</v>
      </c>
    </row>
    <row r="34" spans="1:6">
      <c r="A34" s="1" t="s">
        <v>1641</v>
      </c>
      <c r="B34" s="196" t="s">
        <v>1641</v>
      </c>
      <c r="C34" s="41" t="str">
        <f>'New pivot'!R15</f>
        <v>Business Energy Essentials</v>
      </c>
      <c r="D34" s="50">
        <f>'New pivot'!U15</f>
        <v>522</v>
      </c>
      <c r="E34" s="54">
        <f>'New pivot'!V15</f>
        <v>7050000</v>
      </c>
      <c r="F34" s="80">
        <v>6550000</v>
      </c>
    </row>
    <row r="35" spans="1:6">
      <c r="A35" s="1" t="s">
        <v>1641</v>
      </c>
      <c r="B35" s="196"/>
      <c r="C35" s="38" t="str">
        <f>'New pivot'!R16</f>
        <v>Energy User RTM Analysis</v>
      </c>
      <c r="D35" s="51">
        <f>'New pivot'!U16</f>
        <v>587</v>
      </c>
      <c r="E35" s="55">
        <f>'New pivot'!V16</f>
        <v>7900000</v>
      </c>
      <c r="F35" s="65">
        <v>7550000</v>
      </c>
    </row>
    <row r="36" spans="1:6">
      <c r="A36" s="1" t="s">
        <v>1641</v>
      </c>
      <c r="B36" s="196"/>
      <c r="C36" s="41" t="str">
        <f>'New pivot'!R17</f>
        <v>Energy User Forecasts</v>
      </c>
      <c r="D36" s="50">
        <f>'New pivot'!U17</f>
        <v>531</v>
      </c>
      <c r="E36" s="54">
        <f>'New pivot'!V17</f>
        <v>12450000</v>
      </c>
      <c r="F36" s="80">
        <v>12000000</v>
      </c>
    </row>
    <row r="37" spans="1:6">
      <c r="A37" s="1" t="s">
        <v>1641</v>
      </c>
      <c r="B37" s="196"/>
      <c r="C37" s="38" t="str">
        <f>'New pivot'!R18</f>
        <v>Energy User Regulation</v>
      </c>
      <c r="D37" s="51">
        <f>'New pivot'!U18</f>
        <v>0</v>
      </c>
      <c r="E37" s="55">
        <f>'New pivot'!V18</f>
        <v>0</v>
      </c>
      <c r="F37" s="65">
        <v>2400000</v>
      </c>
    </row>
    <row r="38" spans="1:6">
      <c r="A38" s="1" t="s">
        <v>1641</v>
      </c>
      <c r="B38" s="196"/>
      <c r="C38" s="41" t="s">
        <v>1670</v>
      </c>
      <c r="D38" s="50">
        <f>MAX(D34:D37)</f>
        <v>587</v>
      </c>
      <c r="E38" s="54">
        <f>MROUND(SUM(E34:E37),50000)</f>
        <v>27400000</v>
      </c>
      <c r="F38" s="80">
        <v>28500000</v>
      </c>
    </row>
    <row r="41" spans="1:6" ht="18">
      <c r="A41" s="72" t="s">
        <v>1671</v>
      </c>
    </row>
    <row r="43" spans="1:6" ht="28.5">
      <c r="A43" s="53" t="s">
        <v>1672</v>
      </c>
      <c r="B43" s="53" t="s">
        <v>1673</v>
      </c>
      <c r="C43" s="39" t="s">
        <v>1672</v>
      </c>
      <c r="D43" s="53" t="s">
        <v>1674</v>
      </c>
    </row>
    <row r="44" spans="1:6">
      <c r="A44" s="50">
        <v>5</v>
      </c>
      <c r="B44" s="50">
        <f>COUNTIF('Company lists'!$K$3:$K$1561,Summary!A44)</f>
        <v>75</v>
      </c>
      <c r="C44" s="56">
        <v>250000</v>
      </c>
      <c r="D44" s="56">
        <f>B44*C44</f>
        <v>18750000</v>
      </c>
    </row>
    <row r="45" spans="1:6">
      <c r="A45" s="51">
        <v>4</v>
      </c>
      <c r="B45" s="78">
        <f>COUNTIF('Company lists'!$K$3:$K$1561,Summary!A45)</f>
        <v>261</v>
      </c>
      <c r="C45" s="57">
        <v>150000</v>
      </c>
      <c r="D45" s="57">
        <f t="shared" ref="D45:D48" si="1">B45*C45</f>
        <v>39150000</v>
      </c>
    </row>
    <row r="46" spans="1:6">
      <c r="A46" s="50">
        <v>3</v>
      </c>
      <c r="B46" s="50">
        <f>COUNTIF('Company lists'!$K$3:$K$1561,Summary!A46)</f>
        <v>820</v>
      </c>
      <c r="C46" s="56">
        <v>50000</v>
      </c>
      <c r="D46" s="56">
        <f t="shared" si="1"/>
        <v>41000000</v>
      </c>
    </row>
    <row r="47" spans="1:6">
      <c r="A47" s="51">
        <v>2</v>
      </c>
      <c r="B47" s="78">
        <f>COUNTIF('Company lists'!$K$3:$K$1561,Summary!A47)</f>
        <v>403</v>
      </c>
      <c r="C47" s="57">
        <v>10000</v>
      </c>
      <c r="D47" s="57">
        <f t="shared" si="1"/>
        <v>4030000</v>
      </c>
    </row>
    <row r="48" spans="1:6">
      <c r="A48" s="50">
        <v>1</v>
      </c>
      <c r="B48" s="50">
        <f>COUNTIF('Company lists'!$K$3:$K$1561,Summary!A48)</f>
        <v>0</v>
      </c>
      <c r="C48" s="56">
        <v>0</v>
      </c>
      <c r="D48" s="56">
        <f t="shared" si="1"/>
        <v>0</v>
      </c>
    </row>
    <row r="49" spans="1:9">
      <c r="A49" s="70" t="s">
        <v>1675</v>
      </c>
      <c r="B49" s="70">
        <f>SUM(B44:B48)</f>
        <v>1559</v>
      </c>
      <c r="C49" s="71"/>
      <c r="D49" s="71">
        <f>SUM(D44:D48)</f>
        <v>102930000</v>
      </c>
    </row>
    <row r="51" spans="1:9">
      <c r="A51" s="3" t="str">
        <f>"By segment (Overall score &gt;="&amp;SegmentSOM!G2+1&amp;" multiplied by relevant propensity to spend)"</f>
        <v>By segment (Overall score &gt;=20 multiplied by relevant propensity to spend)</v>
      </c>
    </row>
    <row r="52" spans="1:9" ht="28.5">
      <c r="A52" s="53" t="s">
        <v>1661</v>
      </c>
      <c r="B52" s="53" t="s">
        <v>1673</v>
      </c>
      <c r="C52" s="53" t="s">
        <v>1676</v>
      </c>
    </row>
    <row r="53" spans="1:9">
      <c r="A53" s="50" t="s">
        <v>59</v>
      </c>
      <c r="B53" s="50">
        <f>SegmentSOM!B8</f>
        <v>114</v>
      </c>
      <c r="C53" s="73">
        <f>SegmentSOM!D8</f>
        <v>15750000</v>
      </c>
    </row>
    <row r="54" spans="1:9">
      <c r="A54" s="51" t="s">
        <v>102</v>
      </c>
      <c r="B54" s="51">
        <f>SegmentSOM!B16</f>
        <v>173</v>
      </c>
      <c r="C54" s="74">
        <f>SegmentSOM!D16</f>
        <v>15350000</v>
      </c>
    </row>
    <row r="55" spans="1:9">
      <c r="A55" s="50" t="s">
        <v>66</v>
      </c>
      <c r="B55" s="50">
        <f>SegmentSOM!B24</f>
        <v>30</v>
      </c>
      <c r="C55" s="73">
        <f>SegmentSOM!D24</f>
        <v>4950000</v>
      </c>
    </row>
    <row r="56" spans="1:9">
      <c r="A56" s="51" t="s">
        <v>191</v>
      </c>
      <c r="B56" s="51">
        <f>SegmentSOM!B32</f>
        <v>57</v>
      </c>
      <c r="C56" s="74">
        <f>SegmentSOM!D32</f>
        <v>4350000</v>
      </c>
    </row>
    <row r="57" spans="1:9">
      <c r="A57" s="50" t="s">
        <v>152</v>
      </c>
      <c r="B57" s="50">
        <f>SegmentSOM!B40</f>
        <v>17</v>
      </c>
      <c r="C57" s="73">
        <f>SegmentSOM!D40</f>
        <v>1900000</v>
      </c>
    </row>
    <row r="58" spans="1:9">
      <c r="A58" s="70">
        <v>54</v>
      </c>
      <c r="B58" s="70">
        <f>SUM(B53:B57)</f>
        <v>391</v>
      </c>
      <c r="C58" s="75">
        <f>SUM(C53:C57)</f>
        <v>42300000</v>
      </c>
    </row>
    <row r="60" spans="1:9">
      <c r="A60" s="3" t="s">
        <v>1677</v>
      </c>
    </row>
    <row r="62" spans="1:9">
      <c r="A62" s="53"/>
      <c r="B62" s="187" t="s">
        <v>1678</v>
      </c>
      <c r="C62" s="188"/>
      <c r="D62" s="187" t="s">
        <v>1679</v>
      </c>
      <c r="E62" s="188"/>
      <c r="F62" s="187" t="s">
        <v>1680</v>
      </c>
      <c r="G62" s="188"/>
      <c r="H62" s="187" t="s">
        <v>1681</v>
      </c>
      <c r="I62" s="188"/>
    </row>
    <row r="63" spans="1:9" ht="15" customHeight="1">
      <c r="A63" s="104" t="s">
        <v>1682</v>
      </c>
      <c r="B63" s="53" t="s">
        <v>1683</v>
      </c>
      <c r="C63" s="53" t="s">
        <v>1684</v>
      </c>
      <c r="D63" s="53" t="s">
        <v>1683</v>
      </c>
      <c r="E63" s="53" t="s">
        <v>1684</v>
      </c>
      <c r="F63" s="53" t="s">
        <v>1683</v>
      </c>
      <c r="G63" s="53" t="s">
        <v>1684</v>
      </c>
      <c r="H63" s="53" t="s">
        <v>1683</v>
      </c>
      <c r="I63" s="53" t="s">
        <v>1684</v>
      </c>
    </row>
    <row r="64" spans="1:9">
      <c r="A64" s="101" t="s">
        <v>152</v>
      </c>
      <c r="B64" s="94" cm="1">
        <f t="array" ref="B64">MROUND(SUMPRODUCT(_xlfn._xlws.FILTER(Table3[[Industry Essentials]:[Energy User Regulation]],Table3[CI Segment]=A64),_xlfn._xlws.FILTER(Table3[[Column2]:[Column18]],Table3[CI Segment]=A64)),50000)</f>
        <v>31750000</v>
      </c>
      <c r="C64" s="92">
        <f>COUNTIF(Table3[CI Segment],A64)</f>
        <v>387</v>
      </c>
      <c r="D64" s="94">
        <f>MROUND(SUMIF(Table3[CI Segment],A64,Table3[Total Spend]),50000)</f>
        <v>21800000</v>
      </c>
      <c r="E64" s="92">
        <f>COUNTIF(Table3[CI Segment],A64)</f>
        <v>387</v>
      </c>
      <c r="F64" s="94">
        <f>MROUND(SUMIFS(Table3[Total Spend],Table3[CI Segment],A64,Table3[Overall scoring priority],"&gt;"&amp;SegmentSOM!$G$2),50000)</f>
        <v>1900000</v>
      </c>
      <c r="G64" s="92">
        <f>COUNTIFS(Table3[CI Segment],A64,Table3[Overall scoring priority],"&gt;"&amp;SegmentSOM!$G$2)</f>
        <v>17</v>
      </c>
      <c r="H64" s="94">
        <f>MROUND('Customer data'!Q8,50000)</f>
        <v>1150000</v>
      </c>
      <c r="I64" s="92">
        <f>'Customer data'!Q7</f>
        <v>42</v>
      </c>
    </row>
    <row r="65" spans="1:13">
      <c r="A65" s="102" t="s">
        <v>1666</v>
      </c>
      <c r="B65" s="95" cm="1">
        <f t="array" ref="B65">MROUND(SUMPRODUCT(_xlfn._xlws.FILTER(Table3[[Industry Essentials]:[Energy User Regulation]],Table3[CI Segment]=A65),_xlfn._xlws.FILTER(Table3[[Column2]:[Column18]],Table3[CI Segment]=A65)),50000)</f>
        <v>48200000</v>
      </c>
      <c r="C65" s="93">
        <f>COUNTIF(Table3[CI Segment],A65)</f>
        <v>263</v>
      </c>
      <c r="D65" s="95">
        <f>MROUND(SUMIF(Table3[CI Segment],A65,Table3[Total Spend]),50000)</f>
        <v>18900000</v>
      </c>
      <c r="E65" s="93">
        <f>COUNTIF(Table3[CI Segment],A65)</f>
        <v>263</v>
      </c>
      <c r="F65" s="99">
        <f>MROUND(SUMIFS(Table3[Total Spend],Table3[CI Segment],A65,Table3[Overall scoring priority],"&gt;"&amp;SegmentSOM!$G$2),50000)</f>
        <v>15750000</v>
      </c>
      <c r="G65" s="100">
        <f>COUNTIFS(Table3[CI Segment],A65,Table3[Overall scoring priority],"&gt;"&amp;SegmentSOM!$G$2)</f>
        <v>114</v>
      </c>
      <c r="H65" s="99">
        <f>MROUND('Customer data'!M8,50000)</f>
        <v>2700000</v>
      </c>
      <c r="I65" s="100">
        <f>'Customer data'!M7</f>
        <v>79</v>
      </c>
    </row>
    <row r="66" spans="1:13">
      <c r="A66" s="101" t="s">
        <v>102</v>
      </c>
      <c r="B66" s="94" cm="1">
        <f t="array" ref="B66">MROUND(SUMPRODUCT(_xlfn._xlws.FILTER(Table3[[Industry Essentials]:[Energy User Regulation]],Table3[CI Segment]=A66),_xlfn._xlws.FILTER(Table3[[Column2]:[Column18]],Table3[CI Segment]=A66)),50000)</f>
        <v>42350000</v>
      </c>
      <c r="C66" s="92">
        <f>COUNTIF(Table3[CI Segment],A66)</f>
        <v>312</v>
      </c>
      <c r="D66" s="94">
        <f>MROUND(SUMIF(Table3[CI Segment],A66,Table3[Total Spend]),50000)</f>
        <v>21950000</v>
      </c>
      <c r="E66" s="92">
        <f>COUNTIF(Table3[CI Segment],A66)</f>
        <v>312</v>
      </c>
      <c r="F66" s="94">
        <f>MROUND(SUMIFS(Table3[Total Spend],Table3[CI Segment],A66,Table3[Overall scoring priority],"&gt;"&amp;SegmentSOM!$G$2),50000)</f>
        <v>15400000</v>
      </c>
      <c r="G66" s="92">
        <f>COUNTIFS(Table3[CI Segment],A66,Table3[Overall scoring priority],"&gt;"&amp;SegmentSOM!$G$2)</f>
        <v>173</v>
      </c>
      <c r="H66" s="94">
        <f>MROUND('Customer data'!N8,50000)</f>
        <v>1150000</v>
      </c>
      <c r="I66" s="92">
        <f>'Customer data'!N7</f>
        <v>53</v>
      </c>
    </row>
    <row r="67" spans="1:13">
      <c r="A67" s="102" t="s">
        <v>66</v>
      </c>
      <c r="B67" s="95" cm="1">
        <f t="array" ref="B67">MROUND(SUMPRODUCT(_xlfn._xlws.FILTER(Table3[[Industry Essentials]:[Energy User Regulation]],Table3[CI Segment]=A67),_xlfn._xlws.FILTER(Table3[[Column2]:[Column18]],Table3[CI Segment]=A67)),50000)</f>
        <v>18350000</v>
      </c>
      <c r="C67" s="93">
        <f>COUNTIF(Table3[CI Segment],A67)</f>
        <v>139</v>
      </c>
      <c r="D67" s="95">
        <f>MROUND(SUMIF(Table3[CI Segment],A67,Table3[Total Spend]),50000)</f>
        <v>11000000</v>
      </c>
      <c r="E67" s="93">
        <f>COUNTIF(Table3[CI Segment],A67)</f>
        <v>139</v>
      </c>
      <c r="F67" s="99">
        <f>MROUND(SUMIFS(Table3[Total Spend],Table3[CI Segment],A67,Table3[Overall scoring priority],"&gt;"&amp;SegmentSOM!$G$2),50000)</f>
        <v>4900000</v>
      </c>
      <c r="G67" s="100">
        <f>COUNTIFS(Table3[CI Segment],A67,Table3[Overall scoring priority],"&gt;"&amp;SegmentSOM!$G$2)</f>
        <v>30</v>
      </c>
      <c r="H67" s="99">
        <f>MROUND('Customer data'!O8,50000)</f>
        <v>300000</v>
      </c>
      <c r="I67" s="100">
        <f>'Customer data'!O7</f>
        <v>16</v>
      </c>
    </row>
    <row r="68" spans="1:13" ht="14.25" customHeight="1">
      <c r="A68" s="101" t="s">
        <v>191</v>
      </c>
      <c r="B68" s="94" cm="1">
        <f t="array" ref="B68">MROUND(SUMPRODUCT(_xlfn._xlws.FILTER(Table3[[Industry Essentials]:[Energy User Regulation]],Table3[CI Segment]=A68),_xlfn._xlws.FILTER(Table3[[Column2]:[Column18]],Table3[CI Segment]=A68)),50000)</f>
        <v>29750000</v>
      </c>
      <c r="C68" s="92">
        <f>COUNTIF(Table3[CI Segment],A68)</f>
        <v>458</v>
      </c>
      <c r="D68" s="94">
        <f>MROUND(SUMIF(Table3[CI Segment],A68,Table3[Total Spend]),50000)</f>
        <v>16350000</v>
      </c>
      <c r="E68" s="92">
        <f>COUNTIF(Table3[CI Segment],A68)</f>
        <v>458</v>
      </c>
      <c r="F68" s="94">
        <f>MROUND(SUMIFS(Table3[Total Spend],Table3[CI Segment],A68,Table3[Overall scoring priority],"&gt;"&amp;SegmentSOM!$G$2),50000)</f>
        <v>4350000</v>
      </c>
      <c r="G68" s="92">
        <f>COUNTIFS(Table3[CI Segment],A68,Table3[Overall scoring priority],"&gt;"&amp;SegmentSOM!$G$2)</f>
        <v>57</v>
      </c>
      <c r="H68" s="94">
        <f>MROUND('Customer data'!P8,50000)</f>
        <v>450000</v>
      </c>
      <c r="I68" s="92">
        <f>'Customer data'!P7</f>
        <v>34</v>
      </c>
    </row>
    <row r="69" spans="1:13">
      <c r="A69" s="106" t="s">
        <v>1675</v>
      </c>
      <c r="B69" s="97">
        <f>SUM(B64:B68)</f>
        <v>170400000</v>
      </c>
      <c r="C69" s="96">
        <f>SUM(C64:C68)</f>
        <v>1559</v>
      </c>
      <c r="D69" s="97">
        <f t="shared" ref="D69:I69" si="2">SUM(D64:D68)</f>
        <v>90000000</v>
      </c>
      <c r="E69" s="96">
        <f>SUM(E64:E68)</f>
        <v>1559</v>
      </c>
      <c r="F69" s="97">
        <f t="shared" si="2"/>
        <v>42300000</v>
      </c>
      <c r="G69" s="96">
        <f>SUM(G64:G68)</f>
        <v>391</v>
      </c>
      <c r="H69" s="97">
        <f t="shared" si="2"/>
        <v>5750000</v>
      </c>
      <c r="I69" s="96">
        <f t="shared" si="2"/>
        <v>224</v>
      </c>
    </row>
    <row r="71" spans="1:13">
      <c r="A71" s="53"/>
      <c r="B71" s="187" t="s">
        <v>1678</v>
      </c>
      <c r="C71" s="188"/>
      <c r="D71" s="187" t="s">
        <v>1679</v>
      </c>
      <c r="E71" s="188"/>
      <c r="F71" s="187" t="s">
        <v>1680</v>
      </c>
      <c r="G71" s="188"/>
      <c r="H71" s="187" t="s">
        <v>1681</v>
      </c>
      <c r="I71" s="188"/>
    </row>
    <row r="72" spans="1:13" ht="28.5">
      <c r="A72" s="104" t="s">
        <v>1682</v>
      </c>
      <c r="B72" s="53" t="s">
        <v>1683</v>
      </c>
      <c r="C72" s="53" t="s">
        <v>1684</v>
      </c>
      <c r="D72" s="53" t="s">
        <v>1683</v>
      </c>
      <c r="E72" s="53" t="s">
        <v>1684</v>
      </c>
      <c r="F72" s="53" t="s">
        <v>1683</v>
      </c>
      <c r="G72" s="53" t="s">
        <v>1684</v>
      </c>
      <c r="H72" s="53" t="s">
        <v>1683</v>
      </c>
      <c r="I72" s="53" t="s">
        <v>1684</v>
      </c>
      <c r="K72" s="1" t="s">
        <v>1685</v>
      </c>
      <c r="M72" s="3" t="s">
        <v>1686</v>
      </c>
    </row>
    <row r="73" spans="1:13">
      <c r="A73" s="101" t="s">
        <v>20</v>
      </c>
      <c r="B73" s="94">
        <f t="shared" ref="B73:B89" ca="1" si="3">MROUND(SUM(INDIRECT("Table3[Column"&amp;M73&amp;"]")),50000)</f>
        <v>10550000</v>
      </c>
      <c r="C73" s="92">
        <f t="shared" ref="C73:C89" ca="1" si="4">SUM(INDIRECT("Table3["&amp;A73&amp;"]"))</f>
        <v>1179</v>
      </c>
      <c r="D73" s="94">
        <f t="shared" ref="D73:D89" ca="1" si="5">MROUND(B73*($D$69/$B$69),50000)</f>
        <v>5550000</v>
      </c>
      <c r="E73" s="92">
        <f t="shared" ref="E73:E89" ca="1" si="6">SUM(INDIRECT("Table3["&amp;A73&amp;"]"))</f>
        <v>1179</v>
      </c>
      <c r="F73" s="94" cm="1">
        <f t="array" aca="1" ref="F73" ca="1">MROUND(SUMPRODUCT(_xlfn._xlws.FILTER(INDIRECT("Table3[Column"&amp;Summary!M73&amp;"]"),Table3[Overall scoring priority]&gt;SegmentSOM!$G$2),_xlfn._xlws.FILTER(Table3[Multiplier],Table3[Overall scoring priority]&gt;SegmentSOM!$G$2)),50000)</f>
        <v>2000000</v>
      </c>
      <c r="G73" s="92">
        <f ca="1">SUMIF(Table3[Overall scoring priority],"&gt;"&amp;SegmentSOM!$G$2,INDIRECT("Table3["&amp;Summary!A73&amp;"]"))</f>
        <v>360</v>
      </c>
      <c r="H73" s="94">
        <f>MROUND(SUMIF('Customer data'!$J$7:$J$510,Summary!A73,'Customer data'!$F$7:$F$510),50000)</f>
        <v>1150000</v>
      </c>
      <c r="I73" s="92">
        <f>COUNTIF('Customer data'!J7:J510,Summary!A73)</f>
        <v>170</v>
      </c>
      <c r="K73" s="103">
        <f t="shared" ref="K73:K89" ca="1" si="7">H73/F73</f>
        <v>0.57499999999999996</v>
      </c>
      <c r="M73" s="3">
        <v>2</v>
      </c>
    </row>
    <row r="74" spans="1:13">
      <c r="A74" s="102" t="s">
        <v>21</v>
      </c>
      <c r="B74" s="99">
        <f t="shared" ca="1" si="3"/>
        <v>8250000</v>
      </c>
      <c r="C74" s="100">
        <f t="shared" ca="1" si="4"/>
        <v>244</v>
      </c>
      <c r="D74" s="99">
        <f t="shared" ca="1" si="5"/>
        <v>4350000</v>
      </c>
      <c r="E74" s="100">
        <f t="shared" ca="1" si="6"/>
        <v>244</v>
      </c>
      <c r="F74" s="99" cm="1">
        <f t="array" aca="1" ref="F74" ca="1">MROUND(SUMPRODUCT(_xlfn._xlws.FILTER(INDIRECT("Table3[Column"&amp;Summary!M74&amp;"]"),Table3[Overall scoring priority]&gt;SegmentSOM!$G$2),_xlfn._xlws.FILTER(Table3[Multiplier],Table3[Overall scoring priority]&gt;SegmentSOM!$G$2)),50000)</f>
        <v>2100000</v>
      </c>
      <c r="G74" s="100">
        <f ca="1">SUMIF(Table3[Overall scoring priority],"&gt;"&amp;SegmentSOM!$G$2,INDIRECT("Table3["&amp;Summary!A74&amp;"]"))</f>
        <v>114</v>
      </c>
      <c r="H74" s="99">
        <f>MROUND(SUMIF('Customer data'!$J$7:$J$510,Summary!A74,'Customer data'!$F$7:$F$510),50000)</f>
        <v>1000000</v>
      </c>
      <c r="I74" s="100">
        <f>COUNTIF('Customer data'!J8:J511,Summary!A74)</f>
        <v>46</v>
      </c>
      <c r="K74" s="103">
        <f t="shared" ca="1" si="7"/>
        <v>0.47619047619047616</v>
      </c>
      <c r="M74" s="3">
        <v>3</v>
      </c>
    </row>
    <row r="75" spans="1:13">
      <c r="A75" s="101" t="s">
        <v>22</v>
      </c>
      <c r="B75" s="94">
        <f t="shared" ca="1" si="3"/>
        <v>16100000</v>
      </c>
      <c r="C75" s="92">
        <f t="shared" ca="1" si="4"/>
        <v>272</v>
      </c>
      <c r="D75" s="94">
        <f t="shared" ca="1" si="5"/>
        <v>8500000</v>
      </c>
      <c r="E75" s="92">
        <f t="shared" ca="1" si="6"/>
        <v>272</v>
      </c>
      <c r="F75" s="94" cm="1">
        <f t="array" aca="1" ref="F75" ca="1">MROUND(SUMPRODUCT(_xlfn._xlws.FILTER(INDIRECT("Table3[Column"&amp;Summary!M75&amp;"]"),Table3[Overall scoring priority]&gt;SegmentSOM!$G$2),_xlfn._xlws.FILTER(Table3[Multiplier],Table3[Overall scoring priority]&gt;SegmentSOM!$G$2)),50000)</f>
        <v>4650000</v>
      </c>
      <c r="G75" s="92">
        <f ca="1">SUMIF(Table3[Overall scoring priority],"&gt;"&amp;SegmentSOM!$G$2,INDIRECT("Table3["&amp;Summary!A75&amp;"]"))</f>
        <v>130</v>
      </c>
      <c r="H75" s="94">
        <f>MROUND(SUMIF('Customer data'!$J$7:$J$510,Summary!A75,'Customer data'!$F$7:$F$510),50000)</f>
        <v>350000</v>
      </c>
      <c r="I75" s="92">
        <f>COUNTIF('Customer data'!J9:J512,Summary!A75)</f>
        <v>31</v>
      </c>
      <c r="K75" s="103">
        <f t="shared" ca="1" si="7"/>
        <v>7.5268817204301078E-2</v>
      </c>
      <c r="M75" s="3">
        <v>4</v>
      </c>
    </row>
    <row r="76" spans="1:13">
      <c r="A76" s="102" t="s">
        <v>23</v>
      </c>
      <c r="B76" s="99">
        <f t="shared" ca="1" si="3"/>
        <v>9250000</v>
      </c>
      <c r="C76" s="100">
        <f t="shared" ca="1" si="4"/>
        <v>244</v>
      </c>
      <c r="D76" s="99">
        <f t="shared" ca="1" si="5"/>
        <v>4900000</v>
      </c>
      <c r="E76" s="100">
        <f t="shared" ca="1" si="6"/>
        <v>244</v>
      </c>
      <c r="F76" s="99" cm="1">
        <f t="array" aca="1" ref="F76" ca="1">MROUND(SUMPRODUCT(_xlfn._xlws.FILTER(INDIRECT("Table3[Column"&amp;Summary!M76&amp;"]"),Table3[Overall scoring priority]&gt;SegmentSOM!$G$2),_xlfn._xlws.FILTER(Table3[Multiplier],Table3[Overall scoring priority]&gt;SegmentSOM!$G$2)),50000)</f>
        <v>2350000</v>
      </c>
      <c r="G76" s="100">
        <f ca="1">SUMIF(Table3[Overall scoring priority],"&gt;"&amp;SegmentSOM!$G$2,INDIRECT("Table3["&amp;Summary!A76&amp;"]"))</f>
        <v>114</v>
      </c>
      <c r="H76" s="99">
        <f>MROUND(SUMIF('Customer data'!$J$7:$J$510,Summary!A76,'Customer data'!$F$7:$F$510),50000)</f>
        <v>750000</v>
      </c>
      <c r="I76" s="100">
        <f>COUNTIF('Customer data'!J10:J513,Summary!A76)</f>
        <v>53</v>
      </c>
      <c r="K76" s="103">
        <f t="shared" ca="1" si="7"/>
        <v>0.31914893617021278</v>
      </c>
      <c r="M76" s="3">
        <v>5</v>
      </c>
    </row>
    <row r="77" spans="1:13">
      <c r="A77" s="101" t="s">
        <v>24</v>
      </c>
      <c r="B77" s="94">
        <f t="shared" ca="1" si="3"/>
        <v>6350000</v>
      </c>
      <c r="C77" s="92">
        <f t="shared" ca="1" si="4"/>
        <v>140</v>
      </c>
      <c r="D77" s="94">
        <f t="shared" ca="1" si="5"/>
        <v>3350000</v>
      </c>
      <c r="E77" s="92">
        <f t="shared" ca="1" si="6"/>
        <v>140</v>
      </c>
      <c r="F77" s="94" cm="1">
        <f t="array" aca="1" ref="F77" ca="1">MROUND(SUMPRODUCT(_xlfn._xlws.FILTER(INDIRECT("Table3[Column"&amp;Summary!M77&amp;"]"),Table3[Overall scoring priority]&gt;SegmentSOM!$G$2),_xlfn._xlws.FILTER(Table3[Multiplier],Table3[Overall scoring priority]&gt;SegmentSOM!$G$2)),50000)</f>
        <v>2750000</v>
      </c>
      <c r="G77" s="92">
        <f ca="1">SUMIF(Table3[Overall scoring priority],"&gt;"&amp;SegmentSOM!$G$2,INDIRECT("Table3["&amp;Summary!A77&amp;"]"))</f>
        <v>114</v>
      </c>
      <c r="H77" s="94">
        <f>MROUND(SUMIF('Customer data'!$J$7:$J$510,Summary!A77,'Customer data'!$F$7:$F$510),50000)</f>
        <v>500000</v>
      </c>
      <c r="I77" s="92">
        <f>COUNTIF('Customer data'!J11:J514,Summary!A77)</f>
        <v>27</v>
      </c>
      <c r="K77" s="103">
        <f t="shared" ca="1" si="7"/>
        <v>0.18181818181818182</v>
      </c>
      <c r="M77" s="3">
        <v>6</v>
      </c>
    </row>
    <row r="78" spans="1:13">
      <c r="A78" s="102" t="s">
        <v>25</v>
      </c>
      <c r="B78" s="99">
        <f t="shared" ca="1" si="3"/>
        <v>10650000</v>
      </c>
      <c r="C78" s="100">
        <f t="shared" ca="1" si="4"/>
        <v>553</v>
      </c>
      <c r="D78" s="99">
        <f t="shared" ca="1" si="5"/>
        <v>5650000</v>
      </c>
      <c r="E78" s="100">
        <f t="shared" ca="1" si="6"/>
        <v>553</v>
      </c>
      <c r="F78" s="99" cm="1">
        <f t="array" aca="1" ref="F78" ca="1">MROUND(SUMPRODUCT(_xlfn._xlws.FILTER(INDIRECT("Table3[Column"&amp;Summary!M78&amp;"]"),Table3[Overall scoring priority]&gt;SegmentSOM!$G$2),_xlfn._xlws.FILTER(Table3[Multiplier],Table3[Overall scoring priority]&gt;SegmentSOM!$G$2)),50000)</f>
        <v>2700000</v>
      </c>
      <c r="G78" s="100">
        <f ca="1">SUMIF(Table3[Overall scoring priority],"&gt;"&amp;SegmentSOM!$G$2,INDIRECT("Table3["&amp;Summary!A78&amp;"]"))</f>
        <v>232</v>
      </c>
      <c r="H78" s="99">
        <f>MROUND(SUMIF('Customer data'!$J$7:$J$510,Summary!A78,'Customer data'!$F$7:$F$510),50000)</f>
        <v>350000</v>
      </c>
      <c r="I78" s="100">
        <f>COUNTIF('Customer data'!J12:J515,Summary!A78)</f>
        <v>29</v>
      </c>
      <c r="K78" s="103">
        <f t="shared" ca="1" si="7"/>
        <v>0.12962962962962962</v>
      </c>
      <c r="M78" s="3">
        <v>7</v>
      </c>
    </row>
    <row r="79" spans="1:13">
      <c r="A79" s="101" t="s">
        <v>26</v>
      </c>
      <c r="B79" s="94">
        <f t="shared" ca="1" si="3"/>
        <v>7150000</v>
      </c>
      <c r="C79" s="92">
        <f t="shared" ca="1" si="4"/>
        <v>429</v>
      </c>
      <c r="D79" s="94">
        <f t="shared" ca="1" si="5"/>
        <v>3800000</v>
      </c>
      <c r="E79" s="92">
        <f t="shared" ca="1" si="6"/>
        <v>429</v>
      </c>
      <c r="F79" s="94" cm="1">
        <f t="array" aca="1" ref="F79" ca="1">MROUND(SUMPRODUCT(_xlfn._xlws.FILTER(INDIRECT("Table3[Column"&amp;Summary!M79&amp;"]"),Table3[Overall scoring priority]&gt;SegmentSOM!$G$2),_xlfn._xlws.FILTER(Table3[Multiplier],Table3[Overall scoring priority]&gt;SegmentSOM!$G$2)),50000)</f>
        <v>2600000</v>
      </c>
      <c r="G79" s="92">
        <f ca="1">SUMIF(Table3[Overall scoring priority],"&gt;"&amp;SegmentSOM!$G$2,INDIRECT("Table3["&amp;Summary!A79&amp;"]"))</f>
        <v>250</v>
      </c>
      <c r="H79" s="94">
        <f>MROUND(SUMIF('Customer data'!$J$7:$J$510,Summary!A79,'Customer data'!$F$7:$F$510),50000)</f>
        <v>350000</v>
      </c>
      <c r="I79" s="92">
        <f>COUNTIF('Customer data'!J13:J516,Summary!A79)</f>
        <v>25</v>
      </c>
      <c r="K79" s="103">
        <f t="shared" ca="1" si="7"/>
        <v>0.13461538461538461</v>
      </c>
      <c r="M79" s="3">
        <v>8</v>
      </c>
    </row>
    <row r="80" spans="1:13">
      <c r="A80" s="102" t="s">
        <v>27</v>
      </c>
      <c r="B80" s="99">
        <f t="shared" ca="1" si="3"/>
        <v>26650000</v>
      </c>
      <c r="C80" s="100">
        <f t="shared" ca="1" si="4"/>
        <v>553</v>
      </c>
      <c r="D80" s="99">
        <f t="shared" ca="1" si="5"/>
        <v>14100000</v>
      </c>
      <c r="E80" s="100">
        <f t="shared" ca="1" si="6"/>
        <v>553</v>
      </c>
      <c r="F80" s="99" cm="1">
        <f t="array" aca="1" ref="F80" ca="1">MROUND(SUMPRODUCT(_xlfn._xlws.FILTER(INDIRECT("Table3[Column"&amp;Summary!M80&amp;"]"),Table3[Overall scoring priority]&gt;SegmentSOM!$G$2),_xlfn._xlws.FILTER(Table3[Multiplier],Table3[Overall scoring priority]&gt;SegmentSOM!$G$2)),50000)</f>
        <v>6750000</v>
      </c>
      <c r="G80" s="100">
        <f ca="1">SUMIF(Table3[Overall scoring priority],"&gt;"&amp;SegmentSOM!$G$2,INDIRECT("Table3["&amp;Summary!A80&amp;"]"))</f>
        <v>232</v>
      </c>
      <c r="H80" s="99">
        <f>MROUND(SUMIF('Customer data'!$J$7:$J$510,Summary!A80,'Customer data'!$F$7:$F$510),50000)</f>
        <v>600000</v>
      </c>
      <c r="I80" s="100">
        <f>COUNTIF('Customer data'!J14:J517,Summary!A80)</f>
        <v>60</v>
      </c>
      <c r="K80" s="103">
        <f t="shared" ca="1" si="7"/>
        <v>8.8888888888888892E-2</v>
      </c>
      <c r="M80" s="3">
        <v>9</v>
      </c>
    </row>
    <row r="81" spans="1:13">
      <c r="A81" s="101" t="s">
        <v>28</v>
      </c>
      <c r="B81" s="94">
        <f t="shared" ca="1" si="3"/>
        <v>7800000</v>
      </c>
      <c r="C81" s="92">
        <f t="shared" ca="1" si="4"/>
        <v>382</v>
      </c>
      <c r="D81" s="94">
        <f t="shared" ca="1" si="5"/>
        <v>4100000</v>
      </c>
      <c r="E81" s="92">
        <f t="shared" ca="1" si="6"/>
        <v>382</v>
      </c>
      <c r="F81" s="94" cm="1">
        <f t="array" aca="1" ref="F81" ca="1">MROUND(SUMPRODUCT(_xlfn._xlws.FILTER(INDIRECT("Table3[Column"&amp;Summary!M81&amp;"]"),Table3[Overall scoring priority]&gt;SegmentSOM!$G$2),_xlfn._xlws.FILTER(Table3[Multiplier],Table3[Overall scoring priority]&gt;SegmentSOM!$G$2)),50000)</f>
        <v>2650000</v>
      </c>
      <c r="G81" s="92">
        <f ca="1">SUMIF(Table3[Overall scoring priority],"&gt;"&amp;SegmentSOM!$G$2,INDIRECT("Table3["&amp;Summary!A81&amp;"]"))</f>
        <v>215</v>
      </c>
      <c r="H81" s="94">
        <f>MROUND(SUMIF('Customer data'!$J$7:$J$510,Summary!A81,'Customer data'!$F$7:$F$510),50000)</f>
        <v>50000</v>
      </c>
      <c r="I81" s="92">
        <f>COUNTIF('Customer data'!J15:J518,Summary!A81)</f>
        <v>5</v>
      </c>
      <c r="K81" s="103">
        <f t="shared" ca="1" si="7"/>
        <v>1.8867924528301886E-2</v>
      </c>
      <c r="M81" s="3">
        <v>10</v>
      </c>
    </row>
    <row r="82" spans="1:13">
      <c r="A82" s="102" t="s">
        <v>29</v>
      </c>
      <c r="B82" s="99">
        <f t="shared" ca="1" si="3"/>
        <v>13100000</v>
      </c>
      <c r="C82" s="100">
        <f t="shared" ca="1" si="4"/>
        <v>527</v>
      </c>
      <c r="D82" s="99">
        <f t="shared" ca="1" si="5"/>
        <v>6900000</v>
      </c>
      <c r="E82" s="100">
        <f t="shared" ca="1" si="6"/>
        <v>527</v>
      </c>
      <c r="F82" s="99" cm="1">
        <f t="array" aca="1" ref="F82" ca="1">MROUND(SUMPRODUCT(_xlfn._xlws.FILTER(INDIRECT("Table3[Column"&amp;Summary!M82&amp;"]"),Table3[Overall scoring priority]&gt;SegmentSOM!$G$2),_xlfn._xlws.FILTER(Table3[Multiplier],Table3[Overall scoring priority]&gt;SegmentSOM!$G$2)),50000)</f>
        <v>3650000</v>
      </c>
      <c r="G82" s="100">
        <f ca="1">SUMIF(Table3[Overall scoring priority],"&gt;"&amp;SegmentSOM!$G$2,INDIRECT("Table3["&amp;Summary!A82&amp;"]"))</f>
        <v>239</v>
      </c>
      <c r="H82" s="192">
        <f>MROUND(SUMIF('Customer data'!$J$7:$J$510,Summary!A82,'Customer data'!$F$7:$F$510),50000)</f>
        <v>150000</v>
      </c>
      <c r="I82" s="194">
        <f>COUNTIF('Customer data'!J16:J519,Summary!A82)</f>
        <v>13</v>
      </c>
      <c r="K82" s="103">
        <f t="shared" ca="1" si="7"/>
        <v>4.1095890410958902E-2</v>
      </c>
      <c r="M82" s="3">
        <v>11</v>
      </c>
    </row>
    <row r="83" spans="1:13">
      <c r="A83" s="101" t="s">
        <v>30</v>
      </c>
      <c r="B83" s="94">
        <f t="shared" ca="1" si="3"/>
        <v>2350000</v>
      </c>
      <c r="C83" s="92">
        <f t="shared" ca="1" si="4"/>
        <v>268</v>
      </c>
      <c r="D83" s="94">
        <f t="shared" ca="1" si="5"/>
        <v>1250000</v>
      </c>
      <c r="E83" s="92">
        <f t="shared" ca="1" si="6"/>
        <v>268</v>
      </c>
      <c r="F83" s="94" cm="1">
        <f t="array" aca="1" ref="F83" ca="1">MROUND(SUMPRODUCT(_xlfn._xlws.FILTER(INDIRECT("Table3[Column"&amp;Summary!M83&amp;"]"),Table3[Overall scoring priority]&gt;SegmentSOM!$G$2),_xlfn._xlws.FILTER(Table3[Multiplier],Table3[Overall scoring priority]&gt;SegmentSOM!$G$2)),50000)</f>
        <v>850000</v>
      </c>
      <c r="G83" s="92">
        <f ca="1">SUMIF(Table3[Overall scoring priority],"&gt;"&amp;SegmentSOM!$G$2,INDIRECT("Table3["&amp;Summary!A83&amp;"]"))</f>
        <v>138</v>
      </c>
      <c r="H83" s="193"/>
      <c r="I83" s="195"/>
      <c r="K83" s="103">
        <f t="shared" ca="1" si="7"/>
        <v>0</v>
      </c>
      <c r="M83" s="3">
        <v>12</v>
      </c>
    </row>
    <row r="84" spans="1:13">
      <c r="A84" s="102" t="s">
        <v>31</v>
      </c>
      <c r="B84" s="99">
        <f t="shared" ca="1" si="3"/>
        <v>17150000</v>
      </c>
      <c r="C84" s="100">
        <f t="shared" ca="1" si="4"/>
        <v>461</v>
      </c>
      <c r="D84" s="99">
        <f t="shared" ca="1" si="5"/>
        <v>9050000</v>
      </c>
      <c r="E84" s="100">
        <f t="shared" ca="1" si="6"/>
        <v>461</v>
      </c>
      <c r="F84" s="99" cm="1">
        <f t="array" aca="1" ref="F84" ca="1">MROUND(SUMPRODUCT(_xlfn._xlws.FILTER(INDIRECT("Table3[Column"&amp;Summary!M84&amp;"]"),Table3[Overall scoring priority]&gt;SegmentSOM!$G$2),_xlfn._xlws.FILTER(Table3[Multiplier],Table3[Overall scoring priority]&gt;SegmentSOM!$G$2)),50000)</f>
        <v>4250000</v>
      </c>
      <c r="G84" s="100">
        <f ca="1">SUMIF(Table3[Overall scoring priority],"&gt;"&amp;SegmentSOM!$G$2,INDIRECT("Table3["&amp;Summary!A84&amp;"]"))</f>
        <v>166</v>
      </c>
      <c r="H84" s="99">
        <f>MROUND(SUMIF('Customer data'!$J$7:$J$510,Summary!A84,'Customer data'!$F$7:$F$510),50000)</f>
        <v>100000</v>
      </c>
      <c r="I84" s="100">
        <f>COUNTIF('Customer data'!J18:J521,Summary!A84)</f>
        <v>9</v>
      </c>
      <c r="K84" s="103">
        <f t="shared" ca="1" si="7"/>
        <v>2.3529411764705882E-2</v>
      </c>
      <c r="M84" s="3">
        <v>13</v>
      </c>
    </row>
    <row r="85" spans="1:13">
      <c r="A85" s="101" t="s">
        <v>32</v>
      </c>
      <c r="B85" s="94">
        <f t="shared" ca="1" si="3"/>
        <v>6500000</v>
      </c>
      <c r="C85" s="92">
        <f t="shared" ca="1" si="4"/>
        <v>228</v>
      </c>
      <c r="D85" s="94">
        <f t="shared" ca="1" si="5"/>
        <v>3450000</v>
      </c>
      <c r="E85" s="92">
        <f t="shared" ca="1" si="6"/>
        <v>228</v>
      </c>
      <c r="F85" s="94" cm="1">
        <f t="array" aca="1" ref="F85" ca="1">MROUND(SUMPRODUCT(_xlfn._xlws.FILTER(INDIRECT("Table3[Column"&amp;Summary!M85&amp;"]"),Table3[Overall scoring priority]&gt;SegmentSOM!$G$2),_xlfn._xlws.FILTER(Table3[Multiplier],Table3[Overall scoring priority]&gt;SegmentSOM!$G$2)),50000)</f>
        <v>2000000</v>
      </c>
      <c r="G85" s="92">
        <f ca="1">SUMIF(Table3[Overall scoring priority],"&gt;"&amp;SegmentSOM!$G$2,INDIRECT("Table3["&amp;Summary!A85&amp;"]"))</f>
        <v>105</v>
      </c>
      <c r="H85" s="94">
        <f>MROUND(SUMIF('Customer data'!$J$7:$J$510,Summary!A85,'Customer data'!$F$7:$F$510),50000)</f>
        <v>50000</v>
      </c>
      <c r="I85" s="92">
        <f>COUNTIF('Customer data'!J19:J522,Summary!A85)</f>
        <v>2</v>
      </c>
      <c r="K85" s="103">
        <f t="shared" ca="1" si="7"/>
        <v>2.5000000000000001E-2</v>
      </c>
      <c r="M85" s="3">
        <v>14</v>
      </c>
    </row>
    <row r="86" spans="1:13">
      <c r="A86" s="102" t="s">
        <v>33</v>
      </c>
      <c r="B86" s="99">
        <f t="shared" ca="1" si="3"/>
        <v>6550000</v>
      </c>
      <c r="C86" s="100">
        <f t="shared" ca="1" si="4"/>
        <v>522</v>
      </c>
      <c r="D86" s="99">
        <f t="shared" ca="1" si="5"/>
        <v>3450000</v>
      </c>
      <c r="E86" s="100">
        <f t="shared" ca="1" si="6"/>
        <v>522</v>
      </c>
      <c r="F86" s="99" cm="1">
        <f t="array" aca="1" ref="F86" ca="1">MROUND(SUMPRODUCT(_xlfn._xlws.FILTER(INDIRECT("Table3[Column"&amp;Summary!M86&amp;"]"),Table3[Overall scoring priority]&gt;SegmentSOM!$G$2),_xlfn._xlws.FILTER(Table3[Multiplier],Table3[Overall scoring priority]&gt;SegmentSOM!$G$2)),50000)</f>
        <v>750000</v>
      </c>
      <c r="G86" s="100">
        <f ca="1">SUMIF(Table3[Overall scoring priority],"&gt;"&amp;SegmentSOM!$G$2,INDIRECT("Table3["&amp;Summary!A86&amp;"]"))</f>
        <v>82</v>
      </c>
      <c r="H86" s="99">
        <f>MROUND(SUMIF('Customer data'!$J$7:$J$510,Summary!A86,'Customer data'!$F$7:$F$510),5000)</f>
        <v>25000</v>
      </c>
      <c r="I86" s="100">
        <f>COUNTIF('Customer data'!J20:J523,Summary!A86)</f>
        <v>3</v>
      </c>
      <c r="K86" s="103">
        <f t="shared" ca="1" si="7"/>
        <v>3.3333333333333333E-2</v>
      </c>
      <c r="M86" s="3">
        <v>15</v>
      </c>
    </row>
    <row r="87" spans="1:13">
      <c r="A87" s="101" t="s">
        <v>34</v>
      </c>
      <c r="B87" s="94">
        <f t="shared" ca="1" si="3"/>
        <v>7550000</v>
      </c>
      <c r="C87" s="92">
        <f t="shared" ca="1" si="4"/>
        <v>587</v>
      </c>
      <c r="D87" s="94">
        <f t="shared" ca="1" si="5"/>
        <v>4000000</v>
      </c>
      <c r="E87" s="92">
        <f t="shared" ca="1" si="6"/>
        <v>587</v>
      </c>
      <c r="F87" s="94" cm="1">
        <f t="array" aca="1" ref="F87" ca="1">MROUND(SUMPRODUCT(_xlfn._xlws.FILTER(INDIRECT("Table3[Column"&amp;Summary!M87&amp;"]"),Table3[Overall scoring priority]&gt;SegmentSOM!$G$2),_xlfn._xlws.FILTER(Table3[Multiplier],Table3[Overall scoring priority]&gt;SegmentSOM!$G$2)),50000)</f>
        <v>600000</v>
      </c>
      <c r="G87" s="92">
        <f ca="1">SUMIF(Table3[Overall scoring priority],"&gt;"&amp;SegmentSOM!$G$2,INDIRECT("Table3["&amp;Summary!A87&amp;"]"))</f>
        <v>68</v>
      </c>
      <c r="H87" s="94">
        <f>MROUND(SUMIF('Customer data'!$J$7:$J$510,Summary!A87,'Customer data'!$F$7:$F$510),50000)</f>
        <v>100000</v>
      </c>
      <c r="I87" s="92">
        <f>COUNTIF('Customer data'!J21:J524,Summary!A87)</f>
        <v>8</v>
      </c>
      <c r="K87" s="103">
        <f t="shared" ca="1" si="7"/>
        <v>0.16666666666666666</v>
      </c>
      <c r="M87" s="3">
        <v>16</v>
      </c>
    </row>
    <row r="88" spans="1:13">
      <c r="A88" s="102" t="s">
        <v>35</v>
      </c>
      <c r="B88" s="99">
        <f t="shared" ca="1" si="3"/>
        <v>12000000</v>
      </c>
      <c r="C88" s="100">
        <f t="shared" ca="1" si="4"/>
        <v>531</v>
      </c>
      <c r="D88" s="99">
        <f t="shared" ca="1" si="5"/>
        <v>6350000</v>
      </c>
      <c r="E88" s="100">
        <f t="shared" ca="1" si="6"/>
        <v>531</v>
      </c>
      <c r="F88" s="99" cm="1">
        <f t="array" aca="1" ref="F88" ca="1">MROUND(SUMPRODUCT(_xlfn._xlws.FILTER(INDIRECT("Table3[Column"&amp;Summary!M88&amp;"]"),Table3[Overall scoring priority]&gt;SegmentSOM!$G$2),_xlfn._xlws.FILTER(Table3[Multiplier],Table3[Overall scoring priority]&gt;SegmentSOM!$G$2)),50000)</f>
        <v>1350000</v>
      </c>
      <c r="G88" s="100">
        <f ca="1">SUMIF(Table3[Overall scoring priority],"&gt;"&amp;SegmentSOM!$G$2,INDIRECT("Table3["&amp;Summary!A88&amp;"]"))</f>
        <v>82</v>
      </c>
      <c r="H88" s="99">
        <f>MROUND(SUMIF('Customer data'!$J$7:$J$510,Summary!A88,'Customer data'!$F$7:$F$510),50000)</f>
        <v>250000</v>
      </c>
      <c r="I88" s="100">
        <f>COUNTIF('Customer data'!J22:J525,Summary!A88)</f>
        <v>17</v>
      </c>
      <c r="K88" s="103">
        <f t="shared" ca="1" si="7"/>
        <v>0.18518518518518517</v>
      </c>
      <c r="M88" s="3">
        <v>17</v>
      </c>
    </row>
    <row r="89" spans="1:13">
      <c r="A89" s="101" t="s">
        <v>36</v>
      </c>
      <c r="B89" s="94">
        <f t="shared" ca="1" si="3"/>
        <v>2400000</v>
      </c>
      <c r="C89" s="92">
        <f t="shared" ca="1" si="4"/>
        <v>458</v>
      </c>
      <c r="D89" s="94">
        <f t="shared" ca="1" si="5"/>
        <v>1250000</v>
      </c>
      <c r="E89" s="92">
        <f t="shared" ca="1" si="6"/>
        <v>458</v>
      </c>
      <c r="F89" s="94" cm="1">
        <f t="array" aca="1" ref="F89" ca="1">MROUND(SUMPRODUCT(_xlfn._xlws.FILTER(INDIRECT("Table3[Column"&amp;Summary!M89&amp;"]"),Table3[Overall scoring priority]&gt;SegmentSOM!$G$2),_xlfn._xlws.FILTER(Table3[Multiplier],Table3[Overall scoring priority]&gt;SegmentSOM!$G$2)),50000)</f>
        <v>250000</v>
      </c>
      <c r="G89" s="92">
        <f ca="1">SUMIF(Table3[Overall scoring priority],"&gt;"&amp;SegmentSOM!$G$2,INDIRECT("Table3["&amp;Summary!A89&amp;"]"))</f>
        <v>68</v>
      </c>
      <c r="H89" s="94">
        <f>MROUND(SUMIF('Customer data'!$J$7:$J$510,Summary!A89,'Customer data'!$F$7:$F$510),5000)</f>
        <v>10000</v>
      </c>
      <c r="I89" s="92">
        <f>COUNTIF('Customer data'!J23:J526,Summary!A89)</f>
        <v>2</v>
      </c>
      <c r="K89" s="103">
        <f t="shared" ca="1" si="7"/>
        <v>0.04</v>
      </c>
      <c r="M89" s="3">
        <v>18</v>
      </c>
    </row>
    <row r="90" spans="1:13">
      <c r="A90" s="61" t="s">
        <v>1687</v>
      </c>
      <c r="B90" s="105">
        <f ca="1">SUM(B73:B89)</f>
        <v>170350000</v>
      </c>
      <c r="C90" s="61"/>
      <c r="D90" s="105">
        <f ca="1">SUM(D73:D89)</f>
        <v>90000000</v>
      </c>
      <c r="E90" s="61"/>
      <c r="F90" s="105">
        <f ca="1">SUM(F73:F89)</f>
        <v>42250000</v>
      </c>
      <c r="G90" s="61"/>
      <c r="H90" s="105">
        <f>SUM(H73:H89)</f>
        <v>5785000</v>
      </c>
      <c r="I90" s="38"/>
    </row>
    <row r="92" spans="1:13">
      <c r="F92" s="64"/>
    </row>
    <row r="93" spans="1:13">
      <c r="B93" s="1" t="s">
        <v>1683</v>
      </c>
      <c r="C93" s="1" t="s">
        <v>1684</v>
      </c>
    </row>
    <row r="94" spans="1:13">
      <c r="A94" s="1" t="s">
        <v>20</v>
      </c>
      <c r="B94" s="21">
        <f ca="1">SUM(B73)</f>
        <v>10550000</v>
      </c>
      <c r="C94" s="1">
        <f ca="1">C73</f>
        <v>1179</v>
      </c>
    </row>
    <row r="95" spans="1:13">
      <c r="A95" s="1" t="s">
        <v>59</v>
      </c>
      <c r="B95" s="21">
        <f ca="1">SUM(B74:B77)</f>
        <v>39950000</v>
      </c>
      <c r="C95" s="1">
        <f ca="1">MAX(C74:C77)</f>
        <v>272</v>
      </c>
    </row>
    <row r="96" spans="1:13">
      <c r="A96" s="1" t="s">
        <v>1688</v>
      </c>
      <c r="B96" s="21">
        <f ca="1">SUM(B78:B81)</f>
        <v>52250000</v>
      </c>
      <c r="C96" s="1">
        <f ca="1">MAX(C78:C81)</f>
        <v>553</v>
      </c>
    </row>
    <row r="97" spans="1:11">
      <c r="A97" s="1" t="s">
        <v>1640</v>
      </c>
      <c r="B97" s="21">
        <f ca="1">SUM(B82:B85)</f>
        <v>39100000</v>
      </c>
      <c r="C97" s="1">
        <f ca="1">MAX(C82:C85)</f>
        <v>527</v>
      </c>
    </row>
    <row r="98" spans="1:11">
      <c r="A98" s="1" t="s">
        <v>1641</v>
      </c>
      <c r="B98" s="21">
        <f ca="1">SUM(B86:B89)</f>
        <v>28500000</v>
      </c>
      <c r="C98" s="1">
        <f ca="1">MAX(C86:C89)</f>
        <v>587</v>
      </c>
    </row>
    <row r="100" spans="1:11">
      <c r="H100" s="1" t="s">
        <v>1689</v>
      </c>
      <c r="I100" s="1">
        <v>5750000</v>
      </c>
    </row>
    <row r="101" spans="1:11">
      <c r="H101" s="1" t="s">
        <v>152</v>
      </c>
      <c r="I101" s="1">
        <f>K101-J101</f>
        <v>750000</v>
      </c>
      <c r="J101" s="1">
        <v>1150000</v>
      </c>
      <c r="K101" s="1">
        <v>1900000</v>
      </c>
    </row>
    <row r="102" spans="1:11">
      <c r="H102" s="1" t="s">
        <v>1666</v>
      </c>
      <c r="I102" s="1">
        <f>K102-J102</f>
        <v>13050000</v>
      </c>
      <c r="J102" s="1">
        <v>2700000</v>
      </c>
      <c r="K102" s="1">
        <v>15750000</v>
      </c>
    </row>
    <row r="103" spans="1:11">
      <c r="H103" s="1" t="s">
        <v>102</v>
      </c>
      <c r="I103" s="1">
        <f>K103-J103</f>
        <v>14250000</v>
      </c>
      <c r="J103" s="1">
        <v>1150000</v>
      </c>
      <c r="K103" s="1">
        <v>15400000</v>
      </c>
    </row>
    <row r="104" spans="1:11">
      <c r="H104" s="1" t="s">
        <v>66</v>
      </c>
      <c r="I104" s="1">
        <f>K104-J104</f>
        <v>4600000</v>
      </c>
      <c r="J104" s="1">
        <v>300000</v>
      </c>
      <c r="K104" s="1">
        <v>4900000</v>
      </c>
    </row>
    <row r="105" spans="1:11">
      <c r="A105" s="3" t="s">
        <v>1690</v>
      </c>
      <c r="H105" s="1" t="s">
        <v>191</v>
      </c>
      <c r="I105" s="1">
        <f>K105-J105</f>
        <v>2800000</v>
      </c>
      <c r="J105" s="1">
        <v>450000</v>
      </c>
      <c r="K105" s="1">
        <v>3250000</v>
      </c>
    </row>
    <row r="106" spans="1:11">
      <c r="H106" s="1" t="s">
        <v>1675</v>
      </c>
      <c r="I106" s="1">
        <v>41200000</v>
      </c>
    </row>
    <row r="107" spans="1:11">
      <c r="B107" s="1" t="s">
        <v>152</v>
      </c>
      <c r="C107" s="1" t="s">
        <v>1666</v>
      </c>
      <c r="D107" s="1" t="s">
        <v>102</v>
      </c>
      <c r="E107" s="1" t="s">
        <v>66</v>
      </c>
      <c r="F107" s="1" t="s">
        <v>1641</v>
      </c>
    </row>
    <row r="108" spans="1:11">
      <c r="A108" s="1" t="s">
        <v>20</v>
      </c>
      <c r="B108" s="1">
        <f t="shared" ref="B108:F117" si="8">SUMIFS($E$18:$E$38, $C$18:$C$38, $A108, $A$18:$A$38, B$107)</f>
        <v>10600000</v>
      </c>
      <c r="C108" s="1">
        <f t="shared" si="8"/>
        <v>0</v>
      </c>
      <c r="D108" s="1">
        <f t="shared" si="8"/>
        <v>0</v>
      </c>
      <c r="E108" s="1">
        <f t="shared" si="8"/>
        <v>0</v>
      </c>
      <c r="F108" s="1">
        <f t="shared" si="8"/>
        <v>0</v>
      </c>
    </row>
    <row r="109" spans="1:11">
      <c r="A109" s="1" t="s">
        <v>1691</v>
      </c>
      <c r="B109" s="1">
        <f t="shared" si="8"/>
        <v>0</v>
      </c>
      <c r="C109" s="1">
        <f t="shared" si="8"/>
        <v>0</v>
      </c>
      <c r="D109" s="1">
        <f t="shared" si="8"/>
        <v>0</v>
      </c>
      <c r="E109" s="1">
        <f t="shared" si="8"/>
        <v>0</v>
      </c>
      <c r="F109" s="1">
        <f t="shared" si="8"/>
        <v>0</v>
      </c>
    </row>
    <row r="110" spans="1:11">
      <c r="A110" s="1" t="s">
        <v>22</v>
      </c>
      <c r="B110" s="1">
        <f t="shared" si="8"/>
        <v>0</v>
      </c>
      <c r="C110" s="1">
        <f t="shared" si="8"/>
        <v>17150000</v>
      </c>
      <c r="D110" s="1">
        <f t="shared" si="8"/>
        <v>0</v>
      </c>
      <c r="E110" s="1">
        <f t="shared" si="8"/>
        <v>0</v>
      </c>
      <c r="F110" s="1">
        <f t="shared" si="8"/>
        <v>0</v>
      </c>
    </row>
    <row r="111" spans="1:11">
      <c r="A111" s="1" t="s">
        <v>23</v>
      </c>
      <c r="B111" s="1">
        <f t="shared" si="8"/>
        <v>0</v>
      </c>
      <c r="C111" s="1">
        <f t="shared" si="8"/>
        <v>9900000</v>
      </c>
      <c r="D111" s="1">
        <f t="shared" si="8"/>
        <v>0</v>
      </c>
      <c r="E111" s="1">
        <f t="shared" si="8"/>
        <v>0</v>
      </c>
      <c r="F111" s="1">
        <f t="shared" si="8"/>
        <v>0</v>
      </c>
    </row>
    <row r="112" spans="1:11">
      <c r="A112" s="1" t="s">
        <v>24</v>
      </c>
      <c r="B112" s="1">
        <f t="shared" si="8"/>
        <v>0</v>
      </c>
      <c r="C112" s="1">
        <f t="shared" si="8"/>
        <v>6450000</v>
      </c>
      <c r="D112" s="1">
        <f t="shared" si="8"/>
        <v>0</v>
      </c>
      <c r="E112" s="1">
        <f t="shared" si="8"/>
        <v>0</v>
      </c>
      <c r="F112" s="1">
        <f t="shared" si="8"/>
        <v>0</v>
      </c>
    </row>
    <row r="113" spans="1:6">
      <c r="A113" s="1" t="s">
        <v>1667</v>
      </c>
      <c r="B113" s="1">
        <f t="shared" si="8"/>
        <v>0</v>
      </c>
      <c r="C113" s="1">
        <f t="shared" si="8"/>
        <v>46050000</v>
      </c>
      <c r="D113" s="1">
        <f t="shared" si="8"/>
        <v>0</v>
      </c>
      <c r="E113" s="1">
        <f t="shared" si="8"/>
        <v>0</v>
      </c>
      <c r="F113" s="1">
        <f t="shared" si="8"/>
        <v>0</v>
      </c>
    </row>
    <row r="114" spans="1:6">
      <c r="A114" s="1" t="s">
        <v>25</v>
      </c>
      <c r="B114" s="1">
        <f t="shared" si="8"/>
        <v>0</v>
      </c>
      <c r="C114" s="1">
        <f t="shared" si="8"/>
        <v>0</v>
      </c>
      <c r="D114" s="1">
        <f t="shared" si="8"/>
        <v>10450000</v>
      </c>
      <c r="E114" s="1">
        <f t="shared" si="8"/>
        <v>0</v>
      </c>
      <c r="F114" s="1">
        <f t="shared" si="8"/>
        <v>0</v>
      </c>
    </row>
    <row r="115" spans="1:6">
      <c r="A115" s="1" t="s">
        <v>26</v>
      </c>
      <c r="B115" s="1">
        <f t="shared" si="8"/>
        <v>0</v>
      </c>
      <c r="C115" s="1">
        <f t="shared" si="8"/>
        <v>0</v>
      </c>
      <c r="D115" s="1">
        <f t="shared" si="8"/>
        <v>7700000</v>
      </c>
      <c r="E115" s="1">
        <f t="shared" si="8"/>
        <v>0</v>
      </c>
      <c r="F115" s="1">
        <f t="shared" si="8"/>
        <v>0</v>
      </c>
    </row>
    <row r="116" spans="1:6">
      <c r="A116" s="1" t="s">
        <v>27</v>
      </c>
      <c r="B116" s="1">
        <f t="shared" si="8"/>
        <v>0</v>
      </c>
      <c r="C116" s="1">
        <f t="shared" si="8"/>
        <v>0</v>
      </c>
      <c r="D116" s="1">
        <f t="shared" si="8"/>
        <v>27850000</v>
      </c>
      <c r="E116" s="1">
        <f t="shared" si="8"/>
        <v>0</v>
      </c>
      <c r="F116" s="1">
        <f t="shared" si="8"/>
        <v>0</v>
      </c>
    </row>
    <row r="117" spans="1:6">
      <c r="A117" s="1" t="s">
        <v>28</v>
      </c>
      <c r="B117" s="1">
        <f t="shared" si="8"/>
        <v>0</v>
      </c>
      <c r="C117" s="1">
        <f t="shared" si="8"/>
        <v>0</v>
      </c>
      <c r="D117" s="1">
        <f t="shared" si="8"/>
        <v>8600000</v>
      </c>
      <c r="E117" s="1">
        <f t="shared" si="8"/>
        <v>0</v>
      </c>
      <c r="F117" s="1">
        <f t="shared" si="8"/>
        <v>0</v>
      </c>
    </row>
    <row r="118" spans="1:6">
      <c r="A118" s="1" t="s">
        <v>1668</v>
      </c>
      <c r="B118" s="1">
        <f t="shared" ref="B118:F128" si="9">SUMIFS($E$18:$E$38, $C$18:$C$38, $A118, $A$18:$A$38, B$107)</f>
        <v>0</v>
      </c>
      <c r="C118" s="1">
        <f t="shared" si="9"/>
        <v>0</v>
      </c>
      <c r="D118" s="1">
        <f t="shared" si="9"/>
        <v>58150000</v>
      </c>
      <c r="E118" s="1">
        <f t="shared" si="9"/>
        <v>0</v>
      </c>
      <c r="F118" s="1">
        <f t="shared" si="9"/>
        <v>0</v>
      </c>
    </row>
    <row r="119" spans="1:6">
      <c r="A119" s="1" t="s">
        <v>29</v>
      </c>
      <c r="B119" s="1">
        <f t="shared" si="9"/>
        <v>0</v>
      </c>
      <c r="C119" s="1">
        <f t="shared" si="9"/>
        <v>0</v>
      </c>
      <c r="D119" s="1">
        <f t="shared" si="9"/>
        <v>0</v>
      </c>
      <c r="E119" s="1">
        <f t="shared" si="9"/>
        <v>12800000</v>
      </c>
      <c r="F119" s="1">
        <f t="shared" si="9"/>
        <v>0</v>
      </c>
    </row>
    <row r="120" spans="1:6">
      <c r="A120" s="1" t="s">
        <v>30</v>
      </c>
      <c r="B120" s="1">
        <f t="shared" si="9"/>
        <v>0</v>
      </c>
      <c r="C120" s="1">
        <f t="shared" si="9"/>
        <v>0</v>
      </c>
      <c r="D120" s="1">
        <f t="shared" si="9"/>
        <v>0</v>
      </c>
      <c r="E120" s="1">
        <f t="shared" si="9"/>
        <v>2400000</v>
      </c>
      <c r="F120" s="1">
        <f t="shared" si="9"/>
        <v>0</v>
      </c>
    </row>
    <row r="121" spans="1:6">
      <c r="A121" s="1" t="s">
        <v>31</v>
      </c>
      <c r="B121" s="1">
        <f t="shared" si="9"/>
        <v>0</v>
      </c>
      <c r="C121" s="1">
        <f t="shared" si="9"/>
        <v>0</v>
      </c>
      <c r="D121" s="1">
        <f t="shared" si="9"/>
        <v>0</v>
      </c>
      <c r="E121" s="1">
        <f t="shared" si="9"/>
        <v>17450000</v>
      </c>
      <c r="F121" s="1">
        <f t="shared" si="9"/>
        <v>0</v>
      </c>
    </row>
    <row r="122" spans="1:6">
      <c r="A122" s="1" t="s">
        <v>32</v>
      </c>
      <c r="B122" s="1">
        <f t="shared" si="9"/>
        <v>0</v>
      </c>
      <c r="C122" s="1">
        <f t="shared" si="9"/>
        <v>0</v>
      </c>
      <c r="D122" s="1">
        <f t="shared" si="9"/>
        <v>0</v>
      </c>
      <c r="E122" s="1">
        <f t="shared" si="9"/>
        <v>4900000</v>
      </c>
      <c r="F122" s="1">
        <f t="shared" si="9"/>
        <v>0</v>
      </c>
    </row>
    <row r="123" spans="1:6">
      <c r="A123" s="1" t="s">
        <v>1669</v>
      </c>
      <c r="B123" s="1">
        <f t="shared" si="9"/>
        <v>0</v>
      </c>
      <c r="C123" s="1">
        <f t="shared" si="9"/>
        <v>0</v>
      </c>
      <c r="D123" s="1">
        <f t="shared" si="9"/>
        <v>0</v>
      </c>
      <c r="E123" s="1">
        <f t="shared" si="9"/>
        <v>41100000</v>
      </c>
      <c r="F123" s="1">
        <f t="shared" si="9"/>
        <v>0</v>
      </c>
    </row>
    <row r="124" spans="1:6">
      <c r="A124" s="1" t="s">
        <v>33</v>
      </c>
      <c r="B124" s="1">
        <f t="shared" si="9"/>
        <v>0</v>
      </c>
      <c r="C124" s="1">
        <f t="shared" si="9"/>
        <v>0</v>
      </c>
      <c r="D124" s="1">
        <f t="shared" si="9"/>
        <v>0</v>
      </c>
      <c r="E124" s="1">
        <f t="shared" si="9"/>
        <v>0</v>
      </c>
      <c r="F124" s="1">
        <f t="shared" si="9"/>
        <v>7050000</v>
      </c>
    </row>
    <row r="125" spans="1:6">
      <c r="A125" s="1" t="s">
        <v>34</v>
      </c>
      <c r="B125" s="1">
        <f t="shared" si="9"/>
        <v>0</v>
      </c>
      <c r="C125" s="1">
        <f t="shared" si="9"/>
        <v>0</v>
      </c>
      <c r="D125" s="1">
        <f t="shared" si="9"/>
        <v>0</v>
      </c>
      <c r="E125" s="1">
        <f t="shared" si="9"/>
        <v>0</v>
      </c>
      <c r="F125" s="1">
        <f t="shared" si="9"/>
        <v>7900000</v>
      </c>
    </row>
    <row r="126" spans="1:6">
      <c r="A126" s="1" t="s">
        <v>35</v>
      </c>
      <c r="B126" s="1">
        <f t="shared" si="9"/>
        <v>0</v>
      </c>
      <c r="C126" s="1">
        <f t="shared" si="9"/>
        <v>0</v>
      </c>
      <c r="D126" s="1">
        <f t="shared" si="9"/>
        <v>0</v>
      </c>
      <c r="E126" s="1">
        <f t="shared" si="9"/>
        <v>0</v>
      </c>
      <c r="F126" s="1">
        <f t="shared" si="9"/>
        <v>12450000</v>
      </c>
    </row>
    <row r="127" spans="1:6">
      <c r="A127" s="1" t="s">
        <v>36</v>
      </c>
      <c r="B127" s="1">
        <f t="shared" si="9"/>
        <v>0</v>
      </c>
      <c r="C127" s="1">
        <f t="shared" si="9"/>
        <v>0</v>
      </c>
      <c r="D127" s="1">
        <f t="shared" si="9"/>
        <v>0</v>
      </c>
      <c r="E127" s="1">
        <f t="shared" si="9"/>
        <v>0</v>
      </c>
      <c r="F127" s="1">
        <f t="shared" si="9"/>
        <v>0</v>
      </c>
    </row>
    <row r="128" spans="1:6">
      <c r="A128" s="1" t="s">
        <v>1670</v>
      </c>
      <c r="B128" s="1">
        <f t="shared" si="9"/>
        <v>0</v>
      </c>
      <c r="C128" s="1">
        <f t="shared" si="9"/>
        <v>0</v>
      </c>
      <c r="D128" s="1">
        <f t="shared" si="9"/>
        <v>0</v>
      </c>
      <c r="E128" s="1">
        <f t="shared" si="9"/>
        <v>0</v>
      </c>
      <c r="F128" s="1">
        <f t="shared" si="9"/>
        <v>27400000</v>
      </c>
    </row>
    <row r="132" spans="1:6">
      <c r="B132" s="1" t="s">
        <v>152</v>
      </c>
      <c r="C132" s="1" t="s">
        <v>1666</v>
      </c>
      <c r="D132" s="1" t="s">
        <v>102</v>
      </c>
      <c r="E132" s="1" t="s">
        <v>66</v>
      </c>
      <c r="F132" s="1" t="s">
        <v>1641</v>
      </c>
    </row>
    <row r="133" spans="1:6">
      <c r="A133" s="1" t="s">
        <v>20</v>
      </c>
      <c r="B133" s="1">
        <f>B108</f>
        <v>10600000</v>
      </c>
      <c r="C133" s="1">
        <f t="shared" ref="C133:F133" si="10">C108</f>
        <v>0</v>
      </c>
      <c r="D133" s="1">
        <f t="shared" si="10"/>
        <v>0</v>
      </c>
      <c r="E133" s="1">
        <f t="shared" si="10"/>
        <v>0</v>
      </c>
      <c r="F133" s="1">
        <f t="shared" si="10"/>
        <v>0</v>
      </c>
    </row>
    <row r="134" spans="1:6">
      <c r="A134" s="1" t="s">
        <v>1692</v>
      </c>
      <c r="C134" s="1">
        <f>C109</f>
        <v>0</v>
      </c>
      <c r="D134" s="1">
        <f>D114</f>
        <v>10450000</v>
      </c>
      <c r="E134" s="1">
        <f>E119</f>
        <v>12800000</v>
      </c>
      <c r="F134" s="1">
        <f>F124</f>
        <v>7050000</v>
      </c>
    </row>
    <row r="135" spans="1:6">
      <c r="A135" s="1" t="s">
        <v>1693</v>
      </c>
      <c r="C135" s="1">
        <f t="shared" ref="C135:C137" si="11">C110</f>
        <v>17150000</v>
      </c>
      <c r="D135" s="1">
        <f t="shared" ref="D135:D137" si="12">D115</f>
        <v>7700000</v>
      </c>
      <c r="E135" s="1">
        <f t="shared" ref="E135:E137" si="13">E120</f>
        <v>2400000</v>
      </c>
      <c r="F135" s="1">
        <f t="shared" ref="F135:F137" si="14">F125</f>
        <v>7900000</v>
      </c>
    </row>
    <row r="136" spans="1:6">
      <c r="A136" s="1" t="s">
        <v>1694</v>
      </c>
      <c r="C136" s="1">
        <f t="shared" si="11"/>
        <v>9900000</v>
      </c>
      <c r="D136" s="1">
        <f t="shared" si="12"/>
        <v>27850000</v>
      </c>
      <c r="E136" s="1">
        <f t="shared" si="13"/>
        <v>17450000</v>
      </c>
      <c r="F136" s="1">
        <f t="shared" si="14"/>
        <v>12450000</v>
      </c>
    </row>
    <row r="137" spans="1:6">
      <c r="A137" s="1" t="s">
        <v>1695</v>
      </c>
      <c r="C137" s="1">
        <f t="shared" si="11"/>
        <v>6450000</v>
      </c>
      <c r="D137" s="1">
        <f t="shared" si="12"/>
        <v>8600000</v>
      </c>
      <c r="E137" s="1">
        <f t="shared" si="13"/>
        <v>4900000</v>
      </c>
      <c r="F137" s="1">
        <f t="shared" si="14"/>
        <v>0</v>
      </c>
    </row>
    <row r="138" spans="1:6">
      <c r="A138" s="1" t="s">
        <v>1696</v>
      </c>
      <c r="B138" s="1">
        <f>D18</f>
        <v>1179</v>
      </c>
      <c r="C138" s="1">
        <f>MAX(D19:D23)</f>
        <v>272</v>
      </c>
      <c r="D138" s="1">
        <f>MAX(D24:D28)</f>
        <v>553</v>
      </c>
      <c r="E138" s="1">
        <f>MAX(D29:D33)</f>
        <v>527</v>
      </c>
      <c r="F138" s="1">
        <f>MAX(D34:D38)</f>
        <v>587</v>
      </c>
    </row>
    <row r="142" spans="1:6" ht="28.5">
      <c r="A142" s="53"/>
      <c r="B142" s="108" t="s">
        <v>12</v>
      </c>
      <c r="C142" s="108" t="s">
        <v>1682</v>
      </c>
      <c r="D142" s="108" t="s">
        <v>1697</v>
      </c>
    </row>
    <row r="143" spans="1:6">
      <c r="A143" s="50" t="s">
        <v>135</v>
      </c>
      <c r="B143" s="50" cm="1">
        <f t="array" ref="B143">SUM(COUNTIFS(Table3[CI Segment],"Energy User",Table3[Primary theme/sector],$A$143:$A$156))</f>
        <v>458</v>
      </c>
      <c r="C143" s="50">
        <f>COUNTIF(Table3[Primary theme/sector],Summary!$A143)</f>
        <v>352</v>
      </c>
      <c r="D143" s="50">
        <f>COUNTIF(Table3[[Secondary theme/sector (1)]:[Secondary theme/sector (5)]],Summary!$A143)</f>
        <v>110</v>
      </c>
    </row>
    <row r="144" spans="1:6">
      <c r="A144" s="51" t="s">
        <v>60</v>
      </c>
      <c r="B144" s="51" cm="1">
        <f t="array" ref="B144">SUM(COUNTIFS(Table3[CI Segment],"Energy Supply",Table3[Primary theme/sector],$A$143:$A$156))</f>
        <v>263</v>
      </c>
      <c r="C144" s="51">
        <f>COUNTIF(Table3[Primary theme/sector],Summary!$A144)</f>
        <v>96</v>
      </c>
      <c r="D144" s="51">
        <f>COUNTIF(Table3[[Secondary theme/sector (1)]:[Secondary theme/sector (5)]],Summary!$A144)</f>
        <v>18</v>
      </c>
    </row>
    <row r="145" spans="1:4">
      <c r="A145" s="50" t="s">
        <v>61</v>
      </c>
      <c r="B145" s="50" cm="1">
        <f t="array" ref="B145">SUM(COUNTIFS(Table3[CI Segment],"Renewables Generation",Table3[Primary theme/sector],$A$143:$A$156))</f>
        <v>312</v>
      </c>
      <c r="C145" s="50">
        <f>COUNTIF(Table3[Primary theme/sector],Summary!$A145)</f>
        <v>288</v>
      </c>
      <c r="D145" s="50">
        <f>COUNTIF(Table3[[Secondary theme/sector (1)]:[Secondary theme/sector (5)]],Summary!$A145)</f>
        <v>95</v>
      </c>
    </row>
    <row r="146" spans="1:4">
      <c r="A146" s="51" t="s">
        <v>62</v>
      </c>
      <c r="B146" s="51" cm="1">
        <f t="array" ref="B146">SUM(COUNTIFS(Table3[CI Segment],"Flex Generation &amp; Storage",Table3[Primary theme/sector],$A$143:$A$156))</f>
        <v>139</v>
      </c>
      <c r="C146" s="51">
        <f>COUNTIF(Table3[Primary theme/sector],Summary!$A146)</f>
        <v>124</v>
      </c>
      <c r="D146" s="51">
        <f>COUNTIF(Table3[[Secondary theme/sector (1)]:[Secondary theme/sector (5)]],Summary!$A146)</f>
        <v>105</v>
      </c>
    </row>
    <row r="147" spans="1:4">
      <c r="A147" s="50" t="s">
        <v>122</v>
      </c>
      <c r="B147" s="189" cm="1">
        <f t="array" ref="B147">SUM(COUNTIFS(Table3[CI Segment],"Multi-segment",Table3[Primary theme/sector],$A$143:$A$156))</f>
        <v>387</v>
      </c>
      <c r="C147" s="50">
        <f>COUNTIF(Table3[Primary theme/sector],Summary!$A147)</f>
        <v>189</v>
      </c>
      <c r="D147" s="50">
        <f>COUNTIF(Table3[[Secondary theme/sector (1)]:[Secondary theme/sector (5)]],Summary!$A147)</f>
        <v>22</v>
      </c>
    </row>
    <row r="148" spans="1:4">
      <c r="A148" s="107" t="s">
        <v>130</v>
      </c>
      <c r="B148" s="190"/>
      <c r="C148" s="107">
        <f>COUNTIF(Table3[Primary theme/sector],Summary!$A148)</f>
        <v>34</v>
      </c>
      <c r="D148" s="107">
        <f>COUNTIF(Table3[[Secondary theme/sector (1)]:[Secondary theme/sector (5)]],Summary!$A148)</f>
        <v>5</v>
      </c>
    </row>
    <row r="149" spans="1:4">
      <c r="A149" s="50" t="s">
        <v>265</v>
      </c>
      <c r="B149" s="190"/>
      <c r="C149" s="50">
        <f>COUNTIF(Table3[Primary theme/sector],Summary!$A149)</f>
        <v>125</v>
      </c>
      <c r="D149" s="50">
        <f>COUNTIF(Table3[[Secondary theme/sector (1)]:[Secondary theme/sector (5)]],Summary!$A149)</f>
        <v>5</v>
      </c>
    </row>
    <row r="150" spans="1:4">
      <c r="A150" s="51" t="s">
        <v>264</v>
      </c>
      <c r="B150" s="190"/>
      <c r="C150" s="51">
        <f>COUNTIF(Table3[Primary theme/sector],Summary!$A150)</f>
        <v>155</v>
      </c>
      <c r="D150" s="51">
        <f>COUNTIF(Table3[[Secondary theme/sector (1)]:[Secondary theme/sector (5)]],Summary!$A150)</f>
        <v>14</v>
      </c>
    </row>
    <row r="151" spans="1:4">
      <c r="A151" s="50" t="s">
        <v>153</v>
      </c>
      <c r="B151" s="190"/>
      <c r="C151" s="50">
        <f>COUNTIF(Table3[Primary theme/sector],Summary!$A151)</f>
        <v>28</v>
      </c>
      <c r="D151" s="50">
        <f>COUNTIF(Table3[[Secondary theme/sector (1)]:[Secondary theme/sector (5)]],Summary!$A151)</f>
        <v>38</v>
      </c>
    </row>
    <row r="152" spans="1:4">
      <c r="A152" s="51" t="s">
        <v>76</v>
      </c>
      <c r="B152" s="190"/>
      <c r="C152" s="51">
        <f>COUNTIF(Table3[Primary theme/sector],Summary!$A152)</f>
        <v>106</v>
      </c>
      <c r="D152" s="51">
        <f>COUNTIF(Table3[[Secondary theme/sector (1)]:[Secondary theme/sector (5)]],Summary!$A152)</f>
        <v>27</v>
      </c>
    </row>
    <row r="153" spans="1:4">
      <c r="A153" s="50" t="s">
        <v>63</v>
      </c>
      <c r="B153" s="190"/>
      <c r="C153" s="50">
        <f>COUNTIF(Table3[Primary theme/sector],Summary!$A153)</f>
        <v>25</v>
      </c>
      <c r="D153" s="50">
        <f>COUNTIF(Table3[[Secondary theme/sector (1)]:[Secondary theme/sector (5)]],Summary!$A153)</f>
        <v>41</v>
      </c>
    </row>
    <row r="154" spans="1:4">
      <c r="A154" s="107" t="s">
        <v>85</v>
      </c>
      <c r="B154" s="190"/>
      <c r="C154" s="107">
        <f>COUNTIF(Table3[Primary theme/sector],Summary!$A154)</f>
        <v>15</v>
      </c>
      <c r="D154" s="107">
        <f>COUNTIF(Table3[[Secondary theme/sector (1)]:[Secondary theme/sector (5)]],Summary!$A154)</f>
        <v>12</v>
      </c>
    </row>
    <row r="155" spans="1:4">
      <c r="A155" s="50" t="s">
        <v>1133</v>
      </c>
      <c r="B155" s="190"/>
      <c r="C155" s="50">
        <f>COUNTIF(Table3[Primary theme/sector],Summary!$A155)</f>
        <v>13</v>
      </c>
      <c r="D155" s="50">
        <f>COUNTIF(Table3[[Secondary theme/sector (1)]:[Secondary theme/sector (5)]],Summary!$A155)</f>
        <v>1</v>
      </c>
    </row>
    <row r="156" spans="1:4">
      <c r="A156" s="51" t="s">
        <v>144</v>
      </c>
      <c r="B156" s="191"/>
      <c r="C156" s="51">
        <f>COUNTIF(Table3[Primary theme/sector],Summary!$A156)</f>
        <v>9</v>
      </c>
      <c r="D156" s="51">
        <f>COUNTIF(Table3[[Secondary theme/sector (1)]:[Secondary theme/sector (5)]],Summary!$A156)</f>
        <v>3</v>
      </c>
    </row>
  </sheetData>
  <mergeCells count="17">
    <mergeCell ref="F62:G62"/>
    <mergeCell ref="B147:B156"/>
    <mergeCell ref="H82:H83"/>
    <mergeCell ref="I82:I83"/>
    <mergeCell ref="B34:B38"/>
    <mergeCell ref="B71:C71"/>
    <mergeCell ref="D71:E71"/>
    <mergeCell ref="F71:G71"/>
    <mergeCell ref="H71:I71"/>
    <mergeCell ref="H62:I62"/>
    <mergeCell ref="B62:C62"/>
    <mergeCell ref="D62:E62"/>
    <mergeCell ref="C7:F7"/>
    <mergeCell ref="C8:F8"/>
    <mergeCell ref="B19:B23"/>
    <mergeCell ref="B24:B28"/>
    <mergeCell ref="B29:B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D727-11AB-455E-8EEB-8CDA0B7B7E53}">
  <dimension ref="A1:X66"/>
  <sheetViews>
    <sheetView zoomScale="58" zoomScaleNormal="85" workbookViewId="0">
      <selection activeCell="O20" sqref="O20"/>
    </sheetView>
  </sheetViews>
  <sheetFormatPr defaultRowHeight="15"/>
  <cols>
    <col min="2" max="2" width="34.7109375" bestFit="1" customWidth="1"/>
    <col min="3" max="3" width="16.5703125" bestFit="1" customWidth="1"/>
    <col min="4" max="4" width="12.5703125" customWidth="1"/>
    <col min="5" max="5" width="15.28515625" bestFit="1" customWidth="1"/>
    <col min="6" max="6" width="12.5703125" customWidth="1"/>
    <col min="7" max="7" width="18.42578125" bestFit="1" customWidth="1"/>
    <col min="8" max="8" width="12.5703125" customWidth="1"/>
    <col min="9" max="9" width="17.42578125" bestFit="1" customWidth="1"/>
    <col min="10" max="10" width="12.5703125" customWidth="1"/>
    <col min="11" max="11" width="17.42578125" bestFit="1" customWidth="1"/>
    <col min="12" max="12" width="12.5703125" customWidth="1"/>
    <col min="13" max="13" width="37.28515625" bestFit="1" customWidth="1"/>
    <col min="14" max="14" width="12.5703125" customWidth="1"/>
    <col min="15" max="15" width="18.42578125" bestFit="1" customWidth="1"/>
    <col min="17" max="17" width="11.5703125" bestFit="1" customWidth="1"/>
    <col min="24" max="24" width="10.28515625" bestFit="1" customWidth="1"/>
  </cols>
  <sheetData>
    <row r="1" spans="1:24">
      <c r="B1" s="53"/>
      <c r="C1" s="187" t="s">
        <v>1678</v>
      </c>
      <c r="D1" s="188"/>
      <c r="E1" s="187" t="s">
        <v>1679</v>
      </c>
      <c r="F1" s="188"/>
      <c r="G1" s="187" t="s">
        <v>1698</v>
      </c>
      <c r="H1" s="188"/>
      <c r="I1" s="187" t="s">
        <v>1681</v>
      </c>
      <c r="J1" s="188"/>
      <c r="K1" s="187" t="s">
        <v>1699</v>
      </c>
      <c r="L1" s="188"/>
      <c r="M1" s="187" t="s">
        <v>1700</v>
      </c>
      <c r="N1" s="188"/>
      <c r="O1" s="187" t="s">
        <v>1701</v>
      </c>
      <c r="P1" s="188"/>
    </row>
    <row r="2" spans="1:24" ht="43.5">
      <c r="B2" s="104" t="s">
        <v>1682</v>
      </c>
      <c r="C2" s="53" t="s">
        <v>1683</v>
      </c>
      <c r="D2" s="53" t="s">
        <v>1684</v>
      </c>
      <c r="E2" s="53" t="s">
        <v>1683</v>
      </c>
      <c r="F2" s="53" t="s">
        <v>1684</v>
      </c>
      <c r="G2" s="53" t="s">
        <v>1683</v>
      </c>
      <c r="H2" s="53" t="s">
        <v>1684</v>
      </c>
      <c r="I2" s="53" t="s">
        <v>1683</v>
      </c>
      <c r="J2" s="53" t="s">
        <v>1684</v>
      </c>
      <c r="K2" s="111" t="s">
        <v>1683</v>
      </c>
      <c r="L2" s="111" t="s">
        <v>1684</v>
      </c>
      <c r="M2" s="111" t="s">
        <v>1683</v>
      </c>
      <c r="N2" s="111" t="s">
        <v>1684</v>
      </c>
      <c r="O2" s="111" t="s">
        <v>1683</v>
      </c>
      <c r="P2" s="111" t="s">
        <v>1684</v>
      </c>
    </row>
    <row r="3" spans="1:24">
      <c r="A3" t="s">
        <v>20</v>
      </c>
      <c r="B3" s="101" t="s">
        <v>20</v>
      </c>
      <c r="C3" s="94">
        <f t="shared" ref="C3:C19" ca="1" si="0">MROUND(SUM(INDIRECT("Table3[Column"&amp;T3&amp;"]")),50000)</f>
        <v>10550000</v>
      </c>
      <c r="D3" s="92">
        <f t="shared" ref="D3:D19" ca="1" si="1">SUM(INDIRECT("Table3["&amp;B3&amp;"]"))</f>
        <v>1179</v>
      </c>
      <c r="E3" s="94">
        <f ca="1">MROUND(C3*(Summary!$D$69/Summary!$B$69),50000)</f>
        <v>5550000</v>
      </c>
      <c r="F3" s="92">
        <f t="shared" ref="F3:F19" ca="1" si="2">SUM(INDIRECT("Table3["&amp;B3&amp;"]"))</f>
        <v>1179</v>
      </c>
      <c r="G3" s="94" cm="1">
        <f t="array" aca="1" ref="G3" ca="1">MROUND(SUMPRODUCT(_xlfn._xlws.FILTER(INDIRECT("Table3[Column"&amp;Summary!M73&amp;"]"),Table3[Overall scoring priority]&gt;SegmentSOM!$G$2),_xlfn._xlws.FILTER(Table3[Multiplier],Table3[Overall scoring priority]&gt;SegmentSOM!$G$2)),50000)</f>
        <v>2000000</v>
      </c>
      <c r="H3" s="92">
        <f ca="1">SUMIF(Table3[Overall scoring priority],"&gt;"&amp;SegmentSOM!$G$2,INDIRECT("Table3["&amp;B3&amp;"]"))</f>
        <v>360</v>
      </c>
      <c r="I3" s="94">
        <f>MROUND(SUMIF('Customer data'!$J$7:$J$510,B3,'Customer data'!$F$7:$F$510),50000)</f>
        <v>1150000</v>
      </c>
      <c r="J3" s="92">
        <f>COUNTIF('Customer data'!$J$7:$J$510,B3)</f>
        <v>170</v>
      </c>
      <c r="K3" s="94" cm="1">
        <f t="array" aca="1" ref="K3" ca="1">MROUND(SUMPRODUCT(_xlfn._xlws.FILTER(INDIRECT("Table3[Column"&amp;Summary!M73&amp;"]"),(Table3[Overall scoring priority]&gt;SegmentSOM!$G$2)*(Table3[CI subs customer? (existing and past 2 years)]="")),_xlfn._xlws.FILTER(Table3[Multiplier],(Table3[Overall scoring priority]&gt;SegmentSOM!$G$2)*(Table3[CI subs customer? (existing and past 2 years)]=""))),50000)</f>
        <v>600000</v>
      </c>
      <c r="L3" s="92">
        <f ca="1">MROUND(COUNTIFS(INDIRECT("Table3[Column"&amp;T3&amp;"]"),"&gt;0",Table3[Overall scoring priority],"&gt;"&amp;SegmentSOM!$G$2,Table3[CI subs customer? (existing and past 2 years)],"")*0.5,1)</f>
        <v>64</v>
      </c>
      <c r="M3" s="94">
        <f ca="1">MROUND(SUM(INDIRECT("Table7["&amp;B3&amp;"]")),50000)</f>
        <v>500000</v>
      </c>
      <c r="N3" s="92">
        <f>COUNTIF('Customer data'!$J$7:$J$510,B3)</f>
        <v>170</v>
      </c>
      <c r="O3" s="94">
        <f t="shared" ref="O3:O19" ca="1" si="3">SUM(I3,K3,M3)</f>
        <v>2250000</v>
      </c>
      <c r="P3" s="92">
        <f t="shared" ref="P3:P19" ca="1" si="4">SUM(L3,N3)</f>
        <v>234</v>
      </c>
      <c r="T3">
        <v>2</v>
      </c>
    </row>
    <row r="4" spans="1:24">
      <c r="A4" s="197" t="s">
        <v>59</v>
      </c>
      <c r="B4" s="102" t="s">
        <v>21</v>
      </c>
      <c r="C4" s="99">
        <f t="shared" ca="1" si="0"/>
        <v>8250000</v>
      </c>
      <c r="D4" s="100">
        <f t="shared" ca="1" si="1"/>
        <v>244</v>
      </c>
      <c r="E4" s="99">
        <f ca="1">MROUND(C4*(Summary!$D$69/Summary!$B$69),50000)</f>
        <v>4350000</v>
      </c>
      <c r="F4" s="100">
        <f t="shared" ca="1" si="2"/>
        <v>244</v>
      </c>
      <c r="G4" s="99" cm="1">
        <f t="array" aca="1" ref="G4" ca="1">MROUND(SUMPRODUCT(_xlfn._xlws.FILTER(INDIRECT("Table3[Column"&amp;Summary!M74&amp;"]"),Table3[Overall scoring priority]&gt;SegmentSOM!$G$2),_xlfn._xlws.FILTER(Table3[Multiplier],Table3[Overall scoring priority]&gt;SegmentSOM!$G$2)),50000)</f>
        <v>2100000</v>
      </c>
      <c r="H4" s="100">
        <f ca="1">SUMIF(Table3[Overall scoring priority],"&gt;"&amp;SegmentSOM!$G$2,INDIRECT("Table3["&amp;B4&amp;"]"))</f>
        <v>114</v>
      </c>
      <c r="I4" s="99">
        <f>MROUND(SUMIF('Customer data'!$J$7:$J$510,B4,'Customer data'!$F$7:$F$510),50000)</f>
        <v>1000000</v>
      </c>
      <c r="J4" s="100">
        <f>COUNTIF('Customer data'!$J$7:$J$510,B4)</f>
        <v>46</v>
      </c>
      <c r="K4" s="99" cm="1">
        <f t="array" aca="1" ref="K4" ca="1">MROUND(SUMPRODUCT(_xlfn._xlws.FILTER(INDIRECT("Table3[Column"&amp;Summary!M74&amp;"]"),(Table3[Overall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150000</v>
      </c>
      <c r="L4" s="100">
        <f ca="1">MROUND(COUNTIFS(INDIRECT("Table3[Column"&amp;T4&amp;"]"),"&gt;0",Table3[Overall scoring priority],"&gt;"&amp;SegmentSOM!$G$2,Table3[CI subs customer? (existing and past 2 years)],"")*0.5,1)</f>
        <v>22</v>
      </c>
      <c r="M4" s="99">
        <f t="shared" ref="M4:M19" ca="1" si="5">MROUND(SUM(INDIRECT("Table7["&amp;B4&amp;"]"))*$N$24,50000)</f>
        <v>300000</v>
      </c>
      <c r="N4" s="100">
        <f>COUNTIF('Customer data'!$J$7:$J$510,B4)</f>
        <v>46</v>
      </c>
      <c r="O4" s="99">
        <f t="shared" ca="1" si="3"/>
        <v>1450000</v>
      </c>
      <c r="P4" s="100">
        <f t="shared" ca="1" si="4"/>
        <v>68</v>
      </c>
      <c r="T4">
        <v>3</v>
      </c>
    </row>
    <row r="5" spans="1:24">
      <c r="A5" s="197"/>
      <c r="B5" s="101" t="s">
        <v>22</v>
      </c>
      <c r="C5" s="94">
        <f t="shared" ca="1" si="0"/>
        <v>16100000</v>
      </c>
      <c r="D5" s="92">
        <f t="shared" ca="1" si="1"/>
        <v>272</v>
      </c>
      <c r="E5" s="94">
        <f ca="1">MROUND(C5*(Summary!$D$69/Summary!$B$69),50000)</f>
        <v>8500000</v>
      </c>
      <c r="F5" s="92">
        <f t="shared" ca="1" si="2"/>
        <v>272</v>
      </c>
      <c r="G5" s="94" cm="1">
        <f t="array" aca="1" ref="G5" ca="1">MROUND(SUMPRODUCT(_xlfn._xlws.FILTER(INDIRECT("Table3[Column"&amp;Summary!M75&amp;"]"),Table3[Overall scoring priority]&gt;SegmentSOM!$G$2),_xlfn._xlws.FILTER(Table3[Multiplier],Table3[Overall scoring priority]&gt;SegmentSOM!$G$2)),50000)</f>
        <v>4650000</v>
      </c>
      <c r="H5" s="92">
        <f ca="1">SUMIF(Table3[Overall scoring priority],"&gt;"&amp;SegmentSOM!$G$2,INDIRECT("Table3["&amp;B5&amp;"]"))</f>
        <v>130</v>
      </c>
      <c r="I5" s="94">
        <f>MROUND(SUMIF('Customer data'!$J$7:$J$510,B5,'Customer data'!$F$7:$F$510),50000)</f>
        <v>350000</v>
      </c>
      <c r="J5" s="92">
        <f>COUNTIF('Customer data'!$J$7:$J$510,B5)</f>
        <v>31</v>
      </c>
      <c r="K5" s="94" cm="1">
        <f t="array" aca="1" ref="K5" ca="1">MROUND(SUMPRODUCT(_xlfn._xlws.FILTER(INDIRECT("Table3[Column"&amp;Summary!M75&amp;"]"),(Table3[Overall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350000</v>
      </c>
      <c r="L5" s="92">
        <f ca="1">MROUND(COUNTIFS(INDIRECT("Table3[Column"&amp;T5&amp;"]"),"&gt;0",Table3[Overall scoring priority],"&gt;"&amp;SegmentSOM!$G$2,Table3[CI subs customer? (existing and past 2 years)],"")*0.5,1)</f>
        <v>24</v>
      </c>
      <c r="M5" s="94">
        <f t="shared" ca="1" si="5"/>
        <v>750000</v>
      </c>
      <c r="N5" s="92">
        <f>COUNTIF('Customer data'!$J$7:$J$510,B5)</f>
        <v>31</v>
      </c>
      <c r="O5" s="94">
        <f t="shared" ca="1" si="3"/>
        <v>1450000</v>
      </c>
      <c r="P5" s="92">
        <f t="shared" ca="1" si="4"/>
        <v>55</v>
      </c>
      <c r="T5">
        <v>4</v>
      </c>
    </row>
    <row r="6" spans="1:24">
      <c r="A6" s="197"/>
      <c r="B6" s="102" t="s">
        <v>23</v>
      </c>
      <c r="C6" s="99">
        <f t="shared" ca="1" si="0"/>
        <v>9250000</v>
      </c>
      <c r="D6" s="100">
        <f t="shared" ca="1" si="1"/>
        <v>244</v>
      </c>
      <c r="E6" s="99">
        <f ca="1">MROUND(C6*(Summary!$D$69/Summary!$B$69),50000)</f>
        <v>4900000</v>
      </c>
      <c r="F6" s="100">
        <f t="shared" ca="1" si="2"/>
        <v>244</v>
      </c>
      <c r="G6" s="99" cm="1">
        <f t="array" aca="1" ref="G6" ca="1">MROUND(SUMPRODUCT(_xlfn._xlws.FILTER(INDIRECT("Table3[Column"&amp;Summary!M76&amp;"]"),Table3[Overall scoring priority]&gt;SegmentSOM!$G$2),_xlfn._xlws.FILTER(Table3[Multiplier],Table3[Overall scoring priority]&gt;SegmentSOM!$G$2)),50000)</f>
        <v>2350000</v>
      </c>
      <c r="H6" s="100">
        <f ca="1">SUMIF(Table3[Overall scoring priority],"&gt;"&amp;SegmentSOM!$G$2,INDIRECT("Table3["&amp;B6&amp;"]"))</f>
        <v>114</v>
      </c>
      <c r="I6" s="99">
        <f>MROUND(SUMIF('Customer data'!$J$7:$J$510,B6,'Customer data'!$F$7:$F$510),50000)</f>
        <v>750000</v>
      </c>
      <c r="J6" s="100">
        <f>COUNTIF('Customer data'!$J$7:$J$510,B6)</f>
        <v>53</v>
      </c>
      <c r="K6" s="99" cm="1">
        <f t="array" aca="1" ref="K6" ca="1">MROUND(SUMPRODUCT(_xlfn._xlws.FILTER(INDIRECT("Table3[Column"&amp;Summary!M76&amp;"]"),(Table3[Overall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200000</v>
      </c>
      <c r="L6" s="100">
        <f ca="1">MROUND(COUNTIFS(INDIRECT("Table3[Column"&amp;T6&amp;"]"),"&gt;0",Table3[Overall scoring priority],"&gt;"&amp;SegmentSOM!$G$2,Table3[CI subs customer? (existing and past 2 years)],"")*0.5,1)</f>
        <v>22</v>
      </c>
      <c r="M6" s="99">
        <f t="shared" ca="1" si="5"/>
        <v>200000</v>
      </c>
      <c r="N6" s="100">
        <f>COUNTIF('Customer data'!$J$7:$J$510,B6)</f>
        <v>53</v>
      </c>
      <c r="O6" s="99">
        <f t="shared" ca="1" si="3"/>
        <v>1150000</v>
      </c>
      <c r="P6" s="100">
        <f t="shared" ca="1" si="4"/>
        <v>75</v>
      </c>
      <c r="T6">
        <v>5</v>
      </c>
    </row>
    <row r="7" spans="1:24">
      <c r="A7" s="197"/>
      <c r="B7" s="101" t="s">
        <v>24</v>
      </c>
      <c r="C7" s="94">
        <f t="shared" ca="1" si="0"/>
        <v>6350000</v>
      </c>
      <c r="D7" s="92">
        <f t="shared" ca="1" si="1"/>
        <v>140</v>
      </c>
      <c r="E7" s="94">
        <f ca="1">MROUND(C7*(Summary!$D$69/Summary!$B$69),50000)</f>
        <v>3350000</v>
      </c>
      <c r="F7" s="92">
        <f t="shared" ca="1" si="2"/>
        <v>140</v>
      </c>
      <c r="G7" s="94" cm="1">
        <f t="array" aca="1" ref="G7" ca="1">MROUND(SUMPRODUCT(_xlfn._xlws.FILTER(INDIRECT("Table3[Column"&amp;Summary!M77&amp;"]"),Table3[Overall scoring priority]&gt;SegmentSOM!$G$2),_xlfn._xlws.FILTER(Table3[Multiplier],Table3[Overall scoring priority]&gt;SegmentSOM!$G$2)),50000)</f>
        <v>2750000</v>
      </c>
      <c r="H7" s="92">
        <f ca="1">SUMIF(Table3[Overall scoring priority],"&gt;"&amp;SegmentSOM!$G$2,INDIRECT("Table3["&amp;B7&amp;"]"))</f>
        <v>114</v>
      </c>
      <c r="I7" s="94">
        <f>MROUND(SUMIF('Customer data'!$J$7:$J$510,B7,'Customer data'!$F$7:$F$510),50000)</f>
        <v>500000</v>
      </c>
      <c r="J7" s="92">
        <f>COUNTIF('Customer data'!$J$7:$J$510,B7)</f>
        <v>27</v>
      </c>
      <c r="K7" s="94" cm="1">
        <f t="array" aca="1" ref="K7" ca="1">MROUND(SUMPRODUCT(_xlfn._xlws.FILTER(INDIRECT("Table3[Column"&amp;Summary!M77&amp;"]"),(Table3[Overall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200000</v>
      </c>
      <c r="L7" s="92">
        <f ca="1">MROUND(COUNTIFS(INDIRECT("Table3[Column"&amp;T7&amp;"]"),"&gt;0",Table3[Overall scoring priority],"&gt;"&amp;SegmentSOM!$G$2,Table3[CI subs customer? (existing and past 2 years)],"")*0.5,1)</f>
        <v>22</v>
      </c>
      <c r="M7" s="94">
        <f t="shared" ca="1" si="5"/>
        <v>250000</v>
      </c>
      <c r="N7" s="92">
        <f>COUNTIF('Customer data'!$J$7:$J$510,B7)</f>
        <v>27</v>
      </c>
      <c r="O7" s="94">
        <f t="shared" ca="1" si="3"/>
        <v>950000</v>
      </c>
      <c r="P7" s="92">
        <f t="shared" ca="1" si="4"/>
        <v>49</v>
      </c>
      <c r="T7">
        <v>6</v>
      </c>
    </row>
    <row r="8" spans="1:24">
      <c r="A8" s="197" t="s">
        <v>1702</v>
      </c>
      <c r="B8" s="102" t="s">
        <v>25</v>
      </c>
      <c r="C8" s="99">
        <f t="shared" ca="1" si="0"/>
        <v>10650000</v>
      </c>
      <c r="D8" s="100">
        <f t="shared" ca="1" si="1"/>
        <v>553</v>
      </c>
      <c r="E8" s="99">
        <f ca="1">MROUND(C8*(Summary!$D$69/Summary!$B$69),50000)</f>
        <v>5650000</v>
      </c>
      <c r="F8" s="100">
        <f t="shared" ca="1" si="2"/>
        <v>553</v>
      </c>
      <c r="G8" s="99" cm="1">
        <f t="array" aca="1" ref="G8" ca="1">MROUND(SUMPRODUCT(_xlfn._xlws.FILTER(INDIRECT("Table3[Column"&amp;Summary!M78&amp;"]"),Table3[Overall scoring priority]&gt;SegmentSOM!$G$2),_xlfn._xlws.FILTER(Table3[Multiplier],Table3[Overall scoring priority]&gt;SegmentSOM!$G$2)),50000)</f>
        <v>2700000</v>
      </c>
      <c r="H8" s="100">
        <f ca="1">SUMIF(Table3[Overall scoring priority],"&gt;"&amp;SegmentSOM!$G$2,INDIRECT("Table3["&amp;B8&amp;"]"))</f>
        <v>232</v>
      </c>
      <c r="I8" s="99">
        <f>MROUND(SUMIF('Customer data'!$J$7:$J$510,B8,'Customer data'!$F$7:$F$510),50000)</f>
        <v>350000</v>
      </c>
      <c r="J8" s="100">
        <f>COUNTIF('Customer data'!$J$7:$J$510,B8)</f>
        <v>29</v>
      </c>
      <c r="K8" s="99" cm="1">
        <f t="array" aca="1" ref="K8" ca="1">MROUND(SUMPRODUCT(_xlfn._xlws.FILTER(INDIRECT("Table3[Column"&amp;Summary!M78&amp;"]"),(Table3[Overall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400000</v>
      </c>
      <c r="L8" s="100">
        <f ca="1">MROUND(COUNTIFS(INDIRECT("Table3[Column"&amp;T8&amp;"]"),"&gt;0",Table3[Overall scoring priority],"&gt;"&amp;SegmentSOM!$G$2,Table3[CI subs customer? (existing and past 2 years)],"")*0.5,1)</f>
        <v>41</v>
      </c>
      <c r="M8" s="99">
        <f t="shared" ca="1" si="5"/>
        <v>200000</v>
      </c>
      <c r="N8" s="100">
        <f>COUNTIF('Customer data'!$J$7:$J$510,B8)</f>
        <v>29</v>
      </c>
      <c r="O8" s="99">
        <f t="shared" ca="1" si="3"/>
        <v>950000</v>
      </c>
      <c r="P8" s="100">
        <f t="shared" ca="1" si="4"/>
        <v>70</v>
      </c>
      <c r="T8">
        <v>7</v>
      </c>
      <c r="W8" t="s">
        <v>1678</v>
      </c>
      <c r="X8">
        <f>170300000-90000000</f>
        <v>80300000</v>
      </c>
    </row>
    <row r="9" spans="1:24">
      <c r="A9" s="197"/>
      <c r="B9" s="101" t="s">
        <v>26</v>
      </c>
      <c r="C9" s="94">
        <f t="shared" ca="1" si="0"/>
        <v>7150000</v>
      </c>
      <c r="D9" s="92">
        <f t="shared" ca="1" si="1"/>
        <v>429</v>
      </c>
      <c r="E9" s="94">
        <f ca="1">MROUND(C9*(Summary!$D$69/Summary!$B$69),50000)</f>
        <v>3800000</v>
      </c>
      <c r="F9" s="92">
        <f t="shared" ca="1" si="2"/>
        <v>429</v>
      </c>
      <c r="G9" s="94" cm="1">
        <f t="array" aca="1" ref="G9" ca="1">MROUND(SUMPRODUCT(_xlfn._xlws.FILTER(INDIRECT("Table3[Column"&amp;Summary!M79&amp;"]"),Table3[Overall scoring priority]&gt;SegmentSOM!$G$2),_xlfn._xlws.FILTER(Table3[Multiplier],Table3[Overall scoring priority]&gt;SegmentSOM!$G$2)),50000)</f>
        <v>2600000</v>
      </c>
      <c r="H9" s="92">
        <f ca="1">SUMIF(Table3[Overall scoring priority],"&gt;"&amp;SegmentSOM!$G$2,INDIRECT("Table3["&amp;B9&amp;"]"))</f>
        <v>250</v>
      </c>
      <c r="I9" s="94">
        <f>MROUND(SUMIF('Customer data'!$J$7:$J$510,B9,'Customer data'!$F$7:$F$510),50000)</f>
        <v>350000</v>
      </c>
      <c r="J9" s="92">
        <f>COUNTIF('Customer data'!$J$7:$J$510,B9)</f>
        <v>26</v>
      </c>
      <c r="K9" s="94" cm="1">
        <f t="array" aca="1" ref="K9" ca="1">MROUND(SUMPRODUCT(_xlfn._xlws.FILTER(INDIRECT("Table3[Column"&amp;Summary!M79&amp;"]"),(Table3[Overall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300000</v>
      </c>
      <c r="L9" s="92">
        <f ca="1">MROUND(COUNTIFS(INDIRECT("Table3[Column"&amp;T9&amp;"]"),"&gt;0",Table3[Overall scoring priority],"&gt;"&amp;SegmentSOM!$G$2,Table3[CI subs customer? (existing and past 2 years)],"")*0.5,1)</f>
        <v>39</v>
      </c>
      <c r="M9" s="94">
        <f t="shared" ca="1" si="5"/>
        <v>300000</v>
      </c>
      <c r="N9" s="92">
        <f>COUNTIF('Customer data'!$J$7:$J$510,B9)</f>
        <v>26</v>
      </c>
      <c r="O9" s="94">
        <f t="shared" ca="1" si="3"/>
        <v>950000</v>
      </c>
      <c r="P9" s="92">
        <f t="shared" ca="1" si="4"/>
        <v>65</v>
      </c>
      <c r="T9">
        <v>8</v>
      </c>
      <c r="W9" t="s">
        <v>1679</v>
      </c>
      <c r="X9">
        <f>90000000-X10</f>
        <v>73950000</v>
      </c>
    </row>
    <row r="10" spans="1:24">
      <c r="A10" s="197"/>
      <c r="B10" s="102" t="s">
        <v>27</v>
      </c>
      <c r="C10" s="99">
        <f t="shared" ca="1" si="0"/>
        <v>26650000</v>
      </c>
      <c r="D10" s="100">
        <f t="shared" ca="1" si="1"/>
        <v>553</v>
      </c>
      <c r="E10" s="99">
        <f ca="1">MROUND(C10*(Summary!$D$69/Summary!$B$69),50000)</f>
        <v>14100000</v>
      </c>
      <c r="F10" s="100">
        <f t="shared" ca="1" si="2"/>
        <v>553</v>
      </c>
      <c r="G10" s="99" cm="1">
        <f t="array" aca="1" ref="G10" ca="1">MROUND(SUMPRODUCT(_xlfn._xlws.FILTER(INDIRECT("Table3[Column"&amp;Summary!M80&amp;"]"),Table3[Overall scoring priority]&gt;SegmentSOM!$G$2),_xlfn._xlws.FILTER(Table3[Multiplier],Table3[Overall scoring priority]&gt;SegmentSOM!$G$2)),50000)</f>
        <v>6750000</v>
      </c>
      <c r="H10" s="100">
        <f ca="1">SUMIF(Table3[Overall scoring priority],"&gt;"&amp;SegmentSOM!$G$2,INDIRECT("Table3["&amp;B10&amp;"]"))</f>
        <v>232</v>
      </c>
      <c r="I10" s="99">
        <f>MROUND(SUMIF('Customer data'!$J$7:$J$510,B10,'Customer data'!$F$7:$F$510),50000)</f>
        <v>600000</v>
      </c>
      <c r="J10" s="100">
        <f>COUNTIF('Customer data'!$J$7:$J$510,B10)</f>
        <v>62</v>
      </c>
      <c r="K10" s="99" cm="1">
        <f t="array" aca="1" ref="K10" ca="1">MROUND(SUMPRODUCT(_xlfn._xlws.FILTER(INDIRECT("Table3[Column"&amp;Summary!M80&amp;"]"),(Table3[Overall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1000000</v>
      </c>
      <c r="L10" s="100">
        <f ca="1">MROUND(COUNTIFS(INDIRECT("Table3[Column"&amp;T10&amp;"]"),"&gt;0",Table3[Overall scoring priority],"&gt;"&amp;SegmentSOM!$G$2,Table3[CI subs customer? (existing and past 2 years)],"")*0.5,1)</f>
        <v>41</v>
      </c>
      <c r="M10" s="99">
        <f t="shared" ca="1" si="5"/>
        <v>550000</v>
      </c>
      <c r="N10" s="100">
        <f>COUNTIF('Customer data'!$J$7:$J$510,B10)</f>
        <v>62</v>
      </c>
      <c r="O10" s="99">
        <f t="shared" ca="1" si="3"/>
        <v>2150000</v>
      </c>
      <c r="P10" s="100">
        <f t="shared" ca="1" si="4"/>
        <v>103</v>
      </c>
      <c r="T10">
        <v>9</v>
      </c>
      <c r="W10" t="s">
        <v>1680</v>
      </c>
      <c r="X10">
        <v>16050000</v>
      </c>
    </row>
    <row r="11" spans="1:24">
      <c r="A11" s="197"/>
      <c r="B11" s="101" t="s">
        <v>28</v>
      </c>
      <c r="C11" s="94">
        <f t="shared" ca="1" si="0"/>
        <v>7800000</v>
      </c>
      <c r="D11" s="92">
        <f t="shared" ca="1" si="1"/>
        <v>382</v>
      </c>
      <c r="E11" s="94">
        <f ca="1">MROUND(C11*(Summary!$D$69/Summary!$B$69),50000)</f>
        <v>4100000</v>
      </c>
      <c r="F11" s="92">
        <f t="shared" ca="1" si="2"/>
        <v>382</v>
      </c>
      <c r="G11" s="94" cm="1">
        <f t="array" aca="1" ref="G11" ca="1">MROUND(SUMPRODUCT(_xlfn._xlws.FILTER(INDIRECT("Table3[Column"&amp;Summary!M81&amp;"]"),Table3[Overall scoring priority]&gt;SegmentSOM!$G$2),_xlfn._xlws.FILTER(Table3[Multiplier],Table3[Overall scoring priority]&gt;SegmentSOM!$G$2)),50000)</f>
        <v>2650000</v>
      </c>
      <c r="H11" s="92">
        <f ca="1">SUMIF(Table3[Overall scoring priority],"&gt;"&amp;SegmentSOM!$G$2,INDIRECT("Table3["&amp;B11&amp;"]"))</f>
        <v>215</v>
      </c>
      <c r="I11" s="94">
        <f>MROUND(SUMIF('Customer data'!$J$7:$J$510,B11,'Customer data'!$F$7:$F$510),50000)</f>
        <v>50000</v>
      </c>
      <c r="J11" s="92">
        <f>COUNTIF('Customer data'!$J$7:$J$510,B11)</f>
        <v>5</v>
      </c>
      <c r="K11" s="94" cm="1">
        <f t="array" aca="1" ref="K11" ca="1">MROUND(SUMPRODUCT(_xlfn._xlws.FILTER(INDIRECT("Table3[Column"&amp;Summary!M81&amp;"]"),(Table3[Overall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350000</v>
      </c>
      <c r="L11" s="92">
        <f ca="1">MROUND(COUNTIFS(INDIRECT("Table3[Column"&amp;T11&amp;"]"),"&gt;0",Table3[Overall scoring priority],"&gt;"&amp;SegmentSOM!$G$2,Table3[CI subs customer? (existing and past 2 years)],"")*0.5,1)</f>
        <v>37</v>
      </c>
      <c r="M11" s="94">
        <f t="shared" ca="1" si="5"/>
        <v>300000</v>
      </c>
      <c r="N11" s="92">
        <f>COUNTIF('Customer data'!$J$7:$J$510,B11)</f>
        <v>5</v>
      </c>
      <c r="O11" s="94">
        <f t="shared" ca="1" si="3"/>
        <v>700000</v>
      </c>
      <c r="P11" s="92">
        <f t="shared" ca="1" si="4"/>
        <v>42</v>
      </c>
      <c r="T11">
        <v>10</v>
      </c>
    </row>
    <row r="12" spans="1:24">
      <c r="A12" s="197" t="s">
        <v>1703</v>
      </c>
      <c r="B12" s="102" t="s">
        <v>29</v>
      </c>
      <c r="C12" s="99">
        <f t="shared" ca="1" si="0"/>
        <v>13100000</v>
      </c>
      <c r="D12" s="100">
        <f t="shared" ca="1" si="1"/>
        <v>527</v>
      </c>
      <c r="E12" s="99">
        <f ca="1">MROUND(C12*(Summary!$D$69/Summary!$B$69),50000)</f>
        <v>6900000</v>
      </c>
      <c r="F12" s="100">
        <f t="shared" ca="1" si="2"/>
        <v>527</v>
      </c>
      <c r="G12" s="99" cm="1">
        <f t="array" aca="1" ref="G12" ca="1">MROUND(SUMPRODUCT(_xlfn._xlws.FILTER(INDIRECT("Table3[Column"&amp;Summary!M82&amp;"]"),Table3[Overall scoring priority]&gt;SegmentSOM!$G$2),_xlfn._xlws.FILTER(Table3[Multiplier],Table3[Overall scoring priority]&gt;SegmentSOM!$G$2)),50000)</f>
        <v>3650000</v>
      </c>
      <c r="H12" s="100">
        <f ca="1">SUMIF(Table3[Overall scoring priority],"&gt;"&amp;SegmentSOM!$G$2,INDIRECT("Table3["&amp;B12&amp;"]"))</f>
        <v>239</v>
      </c>
      <c r="I12" s="192">
        <f>MROUND(SUMIF('Customer data'!$J$7:$J$510,B12,'Customer data'!$F$7:$F$510),50000)</f>
        <v>150000</v>
      </c>
      <c r="J12" s="194">
        <f>COUNTIF('Customer data'!$J$7:$J$510,B12)</f>
        <v>13</v>
      </c>
      <c r="K12" s="99" cm="1">
        <f t="array" aca="1" ref="K12" ca="1">MROUND(SUMPRODUCT(_xlfn._xlws.FILTER(INDIRECT("Table3[Column"&amp;Summary!M82&amp;"]"),(Table3[Overall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400000</v>
      </c>
      <c r="L12" s="100">
        <f ca="1">MROUND(COUNTIFS(INDIRECT("Table3[Column"&amp;T12&amp;"]"),"&gt;0",Table3[Overall scoring priority],"&gt;"&amp;SegmentSOM!$G$2,Table3[CI subs customer? (existing and past 2 years)],"")*0.5,1)</f>
        <v>45</v>
      </c>
      <c r="M12" s="99">
        <f t="shared" ca="1" si="5"/>
        <v>450000</v>
      </c>
      <c r="N12" s="194">
        <f>COUNTIF('Customer data'!$J$7:$J$510,B12)</f>
        <v>13</v>
      </c>
      <c r="O12" s="99">
        <f t="shared" ca="1" si="3"/>
        <v>1000000</v>
      </c>
      <c r="P12" s="100">
        <f t="shared" ca="1" si="4"/>
        <v>58</v>
      </c>
      <c r="T12">
        <v>11</v>
      </c>
    </row>
    <row r="13" spans="1:24">
      <c r="A13" s="197"/>
      <c r="B13" s="101" t="s">
        <v>30</v>
      </c>
      <c r="C13" s="94">
        <f t="shared" ca="1" si="0"/>
        <v>2350000</v>
      </c>
      <c r="D13" s="92">
        <f t="shared" ca="1" si="1"/>
        <v>268</v>
      </c>
      <c r="E13" s="94">
        <f ca="1">MROUND(C13*(Summary!$D$69/Summary!$B$69),50000)</f>
        <v>1250000</v>
      </c>
      <c r="F13" s="92">
        <f t="shared" ca="1" si="2"/>
        <v>268</v>
      </c>
      <c r="G13" s="94" cm="1">
        <f t="array" aca="1" ref="G13" ca="1">MROUND(SUMPRODUCT(_xlfn._xlws.FILTER(INDIRECT("Table3[Column"&amp;Summary!M83&amp;"]"),Table3[Overall scoring priority]&gt;SegmentSOM!$G$2),_xlfn._xlws.FILTER(Table3[Multiplier],Table3[Overall scoring priority]&gt;SegmentSOM!$G$2)),50000)</f>
        <v>850000</v>
      </c>
      <c r="H13" s="92">
        <f ca="1">SUMIF(Table3[Overall scoring priority],"&gt;"&amp;SegmentSOM!$G$2,INDIRECT("Table3["&amp;B13&amp;"]"))</f>
        <v>138</v>
      </c>
      <c r="I13" s="193"/>
      <c r="J13" s="195"/>
      <c r="K13" s="94" cm="1">
        <f t="array" aca="1" ref="K13" ca="1">MROUND(SUMPRODUCT(_xlfn._xlws.FILTER(INDIRECT("Table3[Column"&amp;Summary!M83&amp;"]"),(Table3[Overall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50000</v>
      </c>
      <c r="L13" s="92">
        <f ca="1">MROUND(COUNTIFS(INDIRECT("Table3[Column"&amp;T13&amp;"]"),"&gt;0",Table3[Overall scoring priority],"&gt;"&amp;SegmentSOM!$G$2,Table3[CI subs customer? (existing and past 2 years)],"")*0.5,1)</f>
        <v>16</v>
      </c>
      <c r="M13" s="94">
        <f t="shared" ca="1" si="5"/>
        <v>150000</v>
      </c>
      <c r="N13" s="195"/>
      <c r="O13" s="94">
        <f t="shared" ca="1" si="3"/>
        <v>200000</v>
      </c>
      <c r="P13" s="92">
        <f t="shared" ca="1" si="4"/>
        <v>16</v>
      </c>
      <c r="T13">
        <v>12</v>
      </c>
      <c r="W13" t="s">
        <v>1678</v>
      </c>
      <c r="X13">
        <v>170300000</v>
      </c>
    </row>
    <row r="14" spans="1:24">
      <c r="A14" s="197"/>
      <c r="B14" s="102" t="s">
        <v>31</v>
      </c>
      <c r="C14" s="99">
        <f t="shared" ca="1" si="0"/>
        <v>17150000</v>
      </c>
      <c r="D14" s="100">
        <f t="shared" ca="1" si="1"/>
        <v>461</v>
      </c>
      <c r="E14" s="99">
        <f ca="1">MROUND(C14*(Summary!$D$69/Summary!$B$69),50000)</f>
        <v>9050000</v>
      </c>
      <c r="F14" s="100">
        <f t="shared" ca="1" si="2"/>
        <v>461</v>
      </c>
      <c r="G14" s="99" cm="1">
        <f t="array" aca="1" ref="G14" ca="1">MROUND(SUMPRODUCT(_xlfn._xlws.FILTER(INDIRECT("Table3[Column"&amp;Summary!M84&amp;"]"),Table3[Overall scoring priority]&gt;SegmentSOM!$G$2),_xlfn._xlws.FILTER(Table3[Multiplier],Table3[Overall scoring priority]&gt;SegmentSOM!$G$2)),50000)</f>
        <v>4250000</v>
      </c>
      <c r="H14" s="100">
        <f ca="1">SUMIF(Table3[Overall scoring priority],"&gt;"&amp;SegmentSOM!$G$2,INDIRECT("Table3["&amp;B14&amp;"]"))</f>
        <v>166</v>
      </c>
      <c r="I14" s="99">
        <f>MROUND(SUMIF('Customer data'!$J$7:$J$510,B14,'Customer data'!$F$7:$F$510),50000)</f>
        <v>100000</v>
      </c>
      <c r="J14" s="100">
        <f>COUNTIF('Customer data'!$J$7:$J$510,B14)</f>
        <v>9</v>
      </c>
      <c r="K14" s="99" cm="1">
        <f t="array" aca="1" ref="K14" ca="1">MROUND(SUMPRODUCT(_xlfn._xlws.FILTER(INDIRECT("Table3[Column"&amp;Summary!M84&amp;"]"),(Table3[Overall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500000</v>
      </c>
      <c r="L14" s="100">
        <f ca="1">MROUND(COUNTIFS(INDIRECT("Table3[Column"&amp;T14&amp;"]"),"&gt;0",Table3[Overall scoring priority],"&gt;"&amp;SegmentSOM!$G$2,Table3[CI subs customer? (existing and past 2 years)],"")*0.5,1)</f>
        <v>24</v>
      </c>
      <c r="M14" s="99">
        <f t="shared" ca="1" si="5"/>
        <v>550000</v>
      </c>
      <c r="N14" s="100">
        <f>COUNTIF('Customer data'!$J$7:$J$510,B14)</f>
        <v>9</v>
      </c>
      <c r="O14" s="99">
        <f t="shared" ca="1" si="3"/>
        <v>1150000</v>
      </c>
      <c r="P14" s="100">
        <f t="shared" ca="1" si="4"/>
        <v>33</v>
      </c>
      <c r="T14">
        <v>13</v>
      </c>
    </row>
    <row r="15" spans="1:24">
      <c r="A15" s="197"/>
      <c r="B15" s="101" t="s">
        <v>32</v>
      </c>
      <c r="C15" s="94">
        <f t="shared" ca="1" si="0"/>
        <v>6500000</v>
      </c>
      <c r="D15" s="92">
        <f t="shared" ca="1" si="1"/>
        <v>228</v>
      </c>
      <c r="E15" s="94">
        <f ca="1">MROUND(C15*(Summary!$D$69/Summary!$B$69),50000)</f>
        <v>3450000</v>
      </c>
      <c r="F15" s="92">
        <f t="shared" ca="1" si="2"/>
        <v>228</v>
      </c>
      <c r="G15" s="94" cm="1">
        <f t="array" aca="1" ref="G15" ca="1">MROUND(SUMPRODUCT(_xlfn._xlws.FILTER(INDIRECT("Table3[Column"&amp;Summary!M85&amp;"]"),Table3[Overall scoring priority]&gt;SegmentSOM!$G$2),_xlfn._xlws.FILTER(Table3[Multiplier],Table3[Overall scoring priority]&gt;SegmentSOM!$G$2)),50000)</f>
        <v>2000000</v>
      </c>
      <c r="H15" s="92">
        <f ca="1">SUMIF(Table3[Overall scoring priority],"&gt;"&amp;SegmentSOM!$G$2,INDIRECT("Table3["&amp;B15&amp;"]"))</f>
        <v>105</v>
      </c>
      <c r="I15" s="94">
        <f>MROUND(SUMIF('Customer data'!$J$7:$J$510,B15,'Customer data'!$F$7:$F$510),50000)</f>
        <v>50000</v>
      </c>
      <c r="J15" s="92">
        <f>COUNTIF('Customer data'!$J$7:$J$510,B15)</f>
        <v>2</v>
      </c>
      <c r="K15" s="94" cm="1">
        <f t="array" aca="1" ref="K15" ca="1">MROUND(SUMPRODUCT(_xlfn._xlws.FILTER(INDIRECT("Table3[Column"&amp;Summary!M85&amp;"]"),(Table3[Overall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200000</v>
      </c>
      <c r="L15" s="92">
        <f ca="1">MROUND(COUNTIFS(INDIRECT("Table3[Column"&amp;T15&amp;"]"),"&gt;0",Table3[Overall scoring priority],"&gt;"&amp;SegmentSOM!$G$2,Table3[CI subs customer? (existing and past 2 years)],"")*0.5,1)</f>
        <v>15</v>
      </c>
      <c r="M15" s="94">
        <f t="shared" ca="1" si="5"/>
        <v>300000</v>
      </c>
      <c r="N15" s="92">
        <f>COUNTIF('Customer data'!$J$7:$J$510,B15)</f>
        <v>2</v>
      </c>
      <c r="O15" s="94">
        <f t="shared" ca="1" si="3"/>
        <v>550000</v>
      </c>
      <c r="P15" s="92">
        <f t="shared" ca="1" si="4"/>
        <v>17</v>
      </c>
      <c r="T15">
        <v>14</v>
      </c>
      <c r="W15" t="s">
        <v>1678</v>
      </c>
      <c r="X15">
        <v>80300000</v>
      </c>
    </row>
    <row r="16" spans="1:24">
      <c r="A16" s="197" t="s">
        <v>1641</v>
      </c>
      <c r="B16" s="102" t="s">
        <v>33</v>
      </c>
      <c r="C16" s="99">
        <f t="shared" ca="1" si="0"/>
        <v>6550000</v>
      </c>
      <c r="D16" s="100">
        <f t="shared" ca="1" si="1"/>
        <v>522</v>
      </c>
      <c r="E16" s="99">
        <f ca="1">MROUND(C16*(Summary!$D$69/Summary!$B$69),50000)</f>
        <v>3450000</v>
      </c>
      <c r="F16" s="100">
        <f t="shared" ca="1" si="2"/>
        <v>522</v>
      </c>
      <c r="G16" s="99" cm="1">
        <f t="array" aca="1" ref="G16" ca="1">MROUND(SUMPRODUCT(_xlfn._xlws.FILTER(INDIRECT("Table3[Column"&amp;Summary!M86&amp;"]"),Table3[Overall scoring priority]&gt;SegmentSOM!$H$2),_xlfn._xlws.FILTER(Table3[Multiplier],Table3[Overall scoring priority]&gt;SegmentSOM!$H$2)),50000)</f>
        <v>2150000</v>
      </c>
      <c r="H16" s="100">
        <f ca="1">SUMIF(Table3[Overall scoring priority],"&gt;"&amp;SegmentSOM!$G$2,INDIRECT("Table3["&amp;B16&amp;"]"))</f>
        <v>82</v>
      </c>
      <c r="I16" s="99">
        <f>MROUND(SUMIF('Customer data'!$J$7:$J$510,B16,'Customer data'!$F$7:$F$510),50000)</f>
        <v>0</v>
      </c>
      <c r="J16" s="100">
        <f>COUNTIF('Customer data'!$J$7:$J$510,B16)</f>
        <v>3</v>
      </c>
      <c r="K16" s="99" cm="1">
        <f t="array" aca="1" ref="K16" ca="1">MROUND(SUMPRODUCT(_xlfn._xlws.FILTER(INDIRECT("Table3[Column"&amp;Summary!M86&amp;"]"),(Table3[Overall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100000</v>
      </c>
      <c r="L16" s="100">
        <f ca="1">MROUND(COUNTIFS(INDIRECT("Table3[Column"&amp;T16&amp;"]"),"&gt;0",Table3[Overall scoring priority],"&gt;"&amp;SegmentSOM!$G$2,Table3[CI subs customer? (existing and past 2 years)],"")*0.5,1)</f>
        <v>10</v>
      </c>
      <c r="M16" s="99">
        <f t="shared" ca="1" si="5"/>
        <v>200000</v>
      </c>
      <c r="N16" s="100">
        <f>COUNTIF('Customer data'!$J$7:$J$510,B16)</f>
        <v>3</v>
      </c>
      <c r="O16" s="99">
        <f t="shared" ca="1" si="3"/>
        <v>300000</v>
      </c>
      <c r="P16" s="100">
        <f t="shared" ca="1" si="4"/>
        <v>13</v>
      </c>
      <c r="T16">
        <v>15</v>
      </c>
      <c r="W16" t="s">
        <v>1679</v>
      </c>
      <c r="X16">
        <v>90000000</v>
      </c>
    </row>
    <row r="17" spans="1:20">
      <c r="A17" s="197"/>
      <c r="B17" s="101" t="s">
        <v>34</v>
      </c>
      <c r="C17" s="94">
        <f t="shared" ca="1" si="0"/>
        <v>7550000</v>
      </c>
      <c r="D17" s="92">
        <f t="shared" ca="1" si="1"/>
        <v>587</v>
      </c>
      <c r="E17" s="94">
        <f ca="1">MROUND(C17*(Summary!$D$69/Summary!$B$69),50000)</f>
        <v>4000000</v>
      </c>
      <c r="F17" s="92">
        <f t="shared" ca="1" si="2"/>
        <v>587</v>
      </c>
      <c r="G17" s="94" cm="1">
        <f t="array" aca="1" ref="G17" ca="1">MROUND(SUMPRODUCT(_xlfn._xlws.FILTER(INDIRECT("Table3[Column"&amp;Summary!M87&amp;"]"),Table3[Overall scoring priority]&gt;SegmentSOM!$H$2),_xlfn._xlws.FILTER(Table3[Multiplier],Table3[Overall scoring priority]&gt;SegmentSOM!$H$2)),50000)</f>
        <v>2050000</v>
      </c>
      <c r="H17" s="92">
        <f ca="1">SUMIF(Table3[Overall scoring priority],"&gt;"&amp;SegmentSOM!$G$2,INDIRECT("Table3["&amp;B17&amp;"]"))</f>
        <v>68</v>
      </c>
      <c r="I17" s="94">
        <f>MROUND(SUMIF('Customer data'!$J$7:$J$510,B17,'Customer data'!$F$7:$F$510),50000)</f>
        <v>100000</v>
      </c>
      <c r="J17" s="92">
        <f>COUNTIF('Customer data'!$J$7:$J$510,B17)</f>
        <v>8</v>
      </c>
      <c r="K17" s="94" cm="1">
        <f t="array" aca="1" ref="K17" ca="1">MROUND(SUMPRODUCT(_xlfn._xlws.FILTER(INDIRECT("Table3[Column"&amp;Summary!M87&amp;"]"),(Table3[Overall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50000</v>
      </c>
      <c r="L17" s="92">
        <f ca="1">MROUND(COUNTIFS(INDIRECT("Table3[Column"&amp;T17&amp;"]"),"&gt;0",Table3[Overall scoring priority],"&gt;"&amp;SegmentSOM!$G$2,Table3[CI subs customer? (existing and past 2 years)],"")*0.5,1)</f>
        <v>7</v>
      </c>
      <c r="M17" s="94">
        <f t="shared" ca="1" si="5"/>
        <v>250000</v>
      </c>
      <c r="N17" s="92">
        <f>COUNTIF('Customer data'!$J$7:$J$510,B17)</f>
        <v>8</v>
      </c>
      <c r="O17" s="94">
        <f t="shared" ca="1" si="3"/>
        <v>400000</v>
      </c>
      <c r="P17" s="92">
        <f t="shared" ca="1" si="4"/>
        <v>15</v>
      </c>
      <c r="T17">
        <v>16</v>
      </c>
    </row>
    <row r="18" spans="1:20">
      <c r="A18" s="197"/>
      <c r="B18" s="102" t="s">
        <v>35</v>
      </c>
      <c r="C18" s="99">
        <f t="shared" ca="1" si="0"/>
        <v>12000000</v>
      </c>
      <c r="D18" s="100">
        <f t="shared" ca="1" si="1"/>
        <v>531</v>
      </c>
      <c r="E18" s="99">
        <f ca="1">MROUND(C18*(Summary!$D$69/Summary!$B$69),50000)</f>
        <v>6350000</v>
      </c>
      <c r="F18" s="100">
        <f t="shared" ca="1" si="2"/>
        <v>531</v>
      </c>
      <c r="G18" s="99" cm="1">
        <f t="array" aca="1" ref="G18" ca="1">MROUND(SUMPRODUCT(_xlfn._xlws.FILTER(INDIRECT("Table3[Column"&amp;Summary!M88&amp;"]"),Table3[Overall scoring priority]&gt;SegmentSOM!$H$2),_xlfn._xlws.FILTER(Table3[Multiplier],Table3[Overall scoring priority]&gt;SegmentSOM!$H$2)),50000)</f>
        <v>3850000</v>
      </c>
      <c r="H18" s="100">
        <f ca="1">SUMIF(Table3[Overall scoring priority],"&gt;"&amp;SegmentSOM!$G$2,INDIRECT("Table3["&amp;B18&amp;"]"))</f>
        <v>82</v>
      </c>
      <c r="I18" s="99">
        <f>MROUND(SUMIF('Customer data'!$J$7:$J$510,B18,'Customer data'!$F$7:$F$510),50000)</f>
        <v>250000</v>
      </c>
      <c r="J18" s="100">
        <f>COUNTIF('Customer data'!$J$7:$J$510,B18)</f>
        <v>18</v>
      </c>
      <c r="K18" s="99" cm="1">
        <f t="array" aca="1" ref="K18" ca="1">MROUND(SUMPRODUCT(_xlfn._xlws.FILTER(INDIRECT("Table3[Column"&amp;Summary!M88&amp;"]"),(Table3[Overall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150000</v>
      </c>
      <c r="L18" s="100">
        <f ca="1">MROUND(COUNTIFS(INDIRECT("Table3[Column"&amp;T18&amp;"]"),"&gt;0",Table3[Overall scoring priority],"&gt;"&amp;SegmentSOM!$G$2,Table3[CI subs customer? (existing and past 2 years)],"")*0.5,1)</f>
        <v>10</v>
      </c>
      <c r="M18" s="99">
        <f t="shared" ca="1" si="5"/>
        <v>300000</v>
      </c>
      <c r="N18" s="100">
        <f>COUNTIF('Customer data'!$J$7:$J$510,B18)</f>
        <v>18</v>
      </c>
      <c r="O18" s="99">
        <f t="shared" ca="1" si="3"/>
        <v>700000</v>
      </c>
      <c r="P18" s="100">
        <f t="shared" ca="1" si="4"/>
        <v>28</v>
      </c>
      <c r="T18">
        <v>17</v>
      </c>
    </row>
    <row r="19" spans="1:20">
      <c r="A19" s="197"/>
      <c r="B19" s="101" t="s">
        <v>36</v>
      </c>
      <c r="C19" s="94">
        <f t="shared" ca="1" si="0"/>
        <v>2400000</v>
      </c>
      <c r="D19" s="92">
        <f t="shared" ca="1" si="1"/>
        <v>458</v>
      </c>
      <c r="E19" s="94">
        <f ca="1">MROUND(C19*(Summary!$D$69/Summary!$B$69),50000)</f>
        <v>1250000</v>
      </c>
      <c r="F19" s="92">
        <f t="shared" ca="1" si="2"/>
        <v>458</v>
      </c>
      <c r="G19" s="94" cm="1">
        <f t="array" aca="1" ref="G19" ca="1">MROUND(SUMPRODUCT(_xlfn._xlws.FILTER(INDIRECT("Table3[Column"&amp;Summary!M89&amp;"]"),Table3[Overall scoring priority]&gt;SegmentSOM!$H$2),_xlfn._xlws.FILTER(Table3[Multiplier],Table3[Overall scoring priority]&gt;SegmentSOM!$H$2)),50000)</f>
        <v>800000</v>
      </c>
      <c r="H19" s="92">
        <f ca="1">SUMIF(Table3[Overall scoring priority],"&gt;"&amp;SegmentSOM!$G$2,INDIRECT("Table3["&amp;B19&amp;"]"))</f>
        <v>68</v>
      </c>
      <c r="I19" s="94">
        <f>MROUND(SUMIF('Customer data'!$J$7:$J$510,B19,'Customer data'!$F$7:$F$510),50000)</f>
        <v>0</v>
      </c>
      <c r="J19" s="92">
        <f>COUNTIF('Customer data'!$J$7:$J$510,B19)</f>
        <v>2</v>
      </c>
      <c r="K19" s="94" cm="1">
        <f t="array" aca="1" ref="K19" ca="1">MROUND(SUMPRODUCT(_xlfn._xlws.FILTER(INDIRECT("Table3[Column"&amp;Summary!M89&amp;"]"),(Table3[Overall scoring priority]&gt;SegmentSOM!$G$2)*(Table3[CI subs customer? (existing and past 2 years)]="")),_xlfn._xlws.FILTER(Table3[Multiplier],(Table3[Overall scoring priority]&gt;SegmentSOM!$G$2)*(Table3[CI subs customer? (existing and past 2 years)]="")))*$N$23,50000)</f>
        <v>0</v>
      </c>
      <c r="L19" s="92">
        <f ca="1">MROUND(COUNTIFS(INDIRECT("Table3[Column"&amp;T19&amp;"]"),"&gt;0",Table3[Overall scoring priority],"&gt;"&amp;SegmentSOM!$G$2,Table3[CI subs customer? (existing and past 2 years)],"")*0.5,1)</f>
        <v>7</v>
      </c>
      <c r="M19" s="94">
        <f t="shared" ca="1" si="5"/>
        <v>100000</v>
      </c>
      <c r="N19" s="92">
        <f>COUNTIF('Customer data'!$J$7:$J$510,B19)</f>
        <v>2</v>
      </c>
      <c r="O19" s="94">
        <f t="shared" ca="1" si="3"/>
        <v>100000</v>
      </c>
      <c r="P19" s="92">
        <f t="shared" ca="1" si="4"/>
        <v>9</v>
      </c>
      <c r="T19">
        <v>18</v>
      </c>
    </row>
    <row r="20" spans="1:20">
      <c r="B20" s="61" t="s">
        <v>1687</v>
      </c>
      <c r="C20" s="105">
        <f ca="1">SUM(C3:C19)</f>
        <v>170350000</v>
      </c>
      <c r="D20" s="61"/>
      <c r="E20" s="105">
        <f ca="1">SUM(E3:E19)</f>
        <v>90000000</v>
      </c>
      <c r="F20" s="61"/>
      <c r="G20" s="105">
        <f ca="1">SUM(G3:G19)</f>
        <v>48150000</v>
      </c>
      <c r="H20" s="61"/>
      <c r="I20" s="105">
        <f>SUM(I3:I19)</f>
        <v>5750000</v>
      </c>
      <c r="J20" s="38"/>
      <c r="K20" s="105">
        <f ca="1">SUM(K3:K19)</f>
        <v>5000000</v>
      </c>
      <c r="L20" s="38"/>
      <c r="M20" s="105">
        <f ca="1">SUM(M3:M19)</f>
        <v>5650000</v>
      </c>
      <c r="N20" s="38"/>
      <c r="O20" s="113">
        <f ca="1">SUM(O3:O19)</f>
        <v>16400000</v>
      </c>
      <c r="P20" s="100"/>
    </row>
    <row r="23" spans="1:20">
      <c r="C23" t="s">
        <v>1704</v>
      </c>
      <c r="D23" t="s">
        <v>1705</v>
      </c>
      <c r="E23" t="s">
        <v>1700</v>
      </c>
      <c r="F23" t="s">
        <v>1706</v>
      </c>
      <c r="M23" t="s">
        <v>1707</v>
      </c>
      <c r="N23">
        <v>0.4</v>
      </c>
    </row>
    <row r="24" spans="1:20">
      <c r="B24" t="s">
        <v>1708</v>
      </c>
      <c r="C24" s="110">
        <v>5750000</v>
      </c>
      <c r="D24" s="110"/>
      <c r="E24" s="110"/>
      <c r="F24" s="110">
        <f>C24</f>
        <v>5750000</v>
      </c>
      <c r="J24" s="110"/>
      <c r="M24" t="s">
        <v>1709</v>
      </c>
      <c r="N24">
        <v>0.5</v>
      </c>
    </row>
    <row r="25" spans="1:20">
      <c r="B25" t="s">
        <v>20</v>
      </c>
      <c r="C25" s="110">
        <v>5750000</v>
      </c>
      <c r="D25" s="110">
        <f ca="1">SUM(K3)</f>
        <v>600000</v>
      </c>
      <c r="E25" s="110">
        <f ca="1">SUM(M3)</f>
        <v>500000</v>
      </c>
      <c r="F25" s="110">
        <f t="shared" ref="F25:F30" si="6">C25</f>
        <v>5750000</v>
      </c>
      <c r="J25" s="110"/>
    </row>
    <row r="26" spans="1:20">
      <c r="B26" t="s">
        <v>59</v>
      </c>
      <c r="C26" s="110">
        <f ca="1">SUM(C25:E25)</f>
        <v>6850000</v>
      </c>
      <c r="D26" s="110">
        <f ca="1">SUM(K4,K5,K6,K7)</f>
        <v>900000</v>
      </c>
      <c r="E26" s="110">
        <f ca="1">SUM(M4,M5,M6,M7)</f>
        <v>1500000</v>
      </c>
      <c r="F26" s="110">
        <f t="shared" ca="1" si="6"/>
        <v>6850000</v>
      </c>
      <c r="J26" s="110"/>
    </row>
    <row r="27" spans="1:20">
      <c r="B27" t="s">
        <v>1702</v>
      </c>
      <c r="C27" s="110">
        <f t="shared" ref="C27:C30" ca="1" si="7">SUM(C26:E26)</f>
        <v>9250000</v>
      </c>
      <c r="D27" s="110">
        <f ca="1">SUM(K8,K9,K10,K11)</f>
        <v>2050000</v>
      </c>
      <c r="E27" s="110">
        <f ca="1">SUM(M8,M9,M10,M11)</f>
        <v>1350000</v>
      </c>
      <c r="F27" s="110">
        <f t="shared" ca="1" si="6"/>
        <v>9250000</v>
      </c>
      <c r="J27" s="110"/>
    </row>
    <row r="28" spans="1:20">
      <c r="B28" t="s">
        <v>1703</v>
      </c>
      <c r="C28" s="110">
        <f t="shared" ca="1" si="7"/>
        <v>12650000</v>
      </c>
      <c r="D28" s="110">
        <f ca="1">SUM(K12,K13,K14,K15)</f>
        <v>1150000</v>
      </c>
      <c r="E28" s="110">
        <f ca="1">SUM(M12,M13,M14,M15)</f>
        <v>1450000</v>
      </c>
      <c r="F28" s="110">
        <f t="shared" ca="1" si="6"/>
        <v>12650000</v>
      </c>
      <c r="J28" s="110"/>
    </row>
    <row r="29" spans="1:20">
      <c r="B29" t="s">
        <v>1641</v>
      </c>
      <c r="C29" s="110">
        <f t="shared" ca="1" si="7"/>
        <v>15250000</v>
      </c>
      <c r="D29" s="110">
        <f ca="1">SUM(K16,K17,K18,K19)</f>
        <v>300000</v>
      </c>
      <c r="E29" s="110">
        <f ca="1">SUM(M16,M17,M18,M19)</f>
        <v>850000</v>
      </c>
      <c r="F29" s="110">
        <f t="shared" ca="1" si="6"/>
        <v>15250000</v>
      </c>
    </row>
    <row r="30" spans="1:20">
      <c r="B30" t="s">
        <v>1675</v>
      </c>
      <c r="C30" s="110">
        <f t="shared" ca="1" si="7"/>
        <v>16400000</v>
      </c>
      <c r="F30" s="110">
        <f t="shared" ca="1" si="6"/>
        <v>16400000</v>
      </c>
    </row>
    <row r="33" spans="2:6">
      <c r="C33" s="110">
        <f ca="1">SUM(K3,M3)</f>
        <v>1100000</v>
      </c>
    </row>
    <row r="34" spans="2:6">
      <c r="C34" s="110">
        <f ca="1">SUM(K4,M4,K5,M5,K6,M6,K7,M7)</f>
        <v>2400000</v>
      </c>
    </row>
    <row r="35" spans="2:6">
      <c r="C35" s="110">
        <f ca="1">SUM(K8,M8,K9,M9,K10,M10,K11,M11)</f>
        <v>3400000</v>
      </c>
    </row>
    <row r="36" spans="2:6">
      <c r="C36" s="110">
        <f ca="1">SUM(K12,M12,K13,M13,K14,M14,K15,M15)</f>
        <v>2600000</v>
      </c>
    </row>
    <row r="37" spans="2:6">
      <c r="C37" s="110">
        <f ca="1">SUM(K16,M16,K17,M17,K18,M18,K19,M19)</f>
        <v>1150000</v>
      </c>
    </row>
    <row r="40" spans="2:6">
      <c r="C40" t="s">
        <v>1704</v>
      </c>
      <c r="D40" t="s">
        <v>1705</v>
      </c>
      <c r="E40" t="s">
        <v>1700</v>
      </c>
      <c r="F40" t="s">
        <v>1706</v>
      </c>
    </row>
    <row r="41" spans="2:6">
      <c r="B41" t="s">
        <v>1708</v>
      </c>
      <c r="C41" s="110">
        <v>5750000</v>
      </c>
      <c r="D41" s="110"/>
      <c r="E41" s="110"/>
      <c r="F41" s="110">
        <f>C41</f>
        <v>5750000</v>
      </c>
    </row>
    <row r="42" spans="2:6">
      <c r="B42" t="s">
        <v>1710</v>
      </c>
      <c r="C42" s="110">
        <v>5750000</v>
      </c>
      <c r="D42" s="110">
        <f ca="1">SUM(K3)</f>
        <v>600000</v>
      </c>
      <c r="E42" s="110">
        <f ca="1">SUM(M3)</f>
        <v>500000</v>
      </c>
      <c r="F42" s="110">
        <f t="shared" ref="F42:F47" si="8">C42</f>
        <v>5750000</v>
      </c>
    </row>
    <row r="43" spans="2:6">
      <c r="B43" t="s">
        <v>1692</v>
      </c>
      <c r="C43" s="110">
        <f ca="1">SUM(C42:E42)</f>
        <v>6850000</v>
      </c>
      <c r="D43" s="110">
        <f ca="1">SUM(K4,K8,K12,K16)</f>
        <v>1050000</v>
      </c>
      <c r="E43" s="110">
        <f ca="1">SUM(M4,M8,M12,M16)</f>
        <v>1150000</v>
      </c>
      <c r="F43" s="110">
        <f t="shared" ca="1" si="8"/>
        <v>6850000</v>
      </c>
    </row>
    <row r="44" spans="2:6">
      <c r="B44" t="s">
        <v>1693</v>
      </c>
      <c r="C44" s="110">
        <f t="shared" ref="C44:C47" ca="1" si="9">SUM(C43:E43)</f>
        <v>9050000</v>
      </c>
      <c r="D44" s="110">
        <f ca="1">SUM(K5,K9,K13,K17)</f>
        <v>750000</v>
      </c>
      <c r="E44" s="110">
        <f ca="1">SUM(M5,M9,M13,M17)</f>
        <v>1450000</v>
      </c>
      <c r="F44" s="110">
        <f t="shared" ca="1" si="8"/>
        <v>9050000</v>
      </c>
    </row>
    <row r="45" spans="2:6">
      <c r="B45" t="s">
        <v>1694</v>
      </c>
      <c r="C45" s="110">
        <f t="shared" ca="1" si="9"/>
        <v>11250000</v>
      </c>
      <c r="D45" s="110">
        <f ca="1">SUM(K6,K10,K14,K18)</f>
        <v>1850000</v>
      </c>
      <c r="E45" s="110">
        <f ca="1">SUM(M6,M10,M14,M18)</f>
        <v>1600000</v>
      </c>
      <c r="F45" s="110">
        <f t="shared" ca="1" si="8"/>
        <v>11250000</v>
      </c>
    </row>
    <row r="46" spans="2:6">
      <c r="B46" t="s">
        <v>1695</v>
      </c>
      <c r="C46" s="110">
        <f t="shared" ca="1" si="9"/>
        <v>14700000</v>
      </c>
      <c r="D46" s="110">
        <f ca="1">SUM(K7,K11,K15,K19)</f>
        <v>750000</v>
      </c>
      <c r="E46" s="110">
        <f ca="1">SUM(M7,M11,M15,M19)</f>
        <v>950000</v>
      </c>
      <c r="F46" s="110">
        <f t="shared" ca="1" si="8"/>
        <v>14700000</v>
      </c>
    </row>
    <row r="47" spans="2:6">
      <c r="B47" t="s">
        <v>1675</v>
      </c>
      <c r="C47" s="110">
        <f t="shared" ca="1" si="9"/>
        <v>16400000</v>
      </c>
      <c r="F47" s="110">
        <f t="shared" ca="1" si="8"/>
        <v>16400000</v>
      </c>
    </row>
    <row r="53" spans="2:3">
      <c r="B53">
        <f>COUNTIFS(Table3[CI subs customer? (existing and past 2 years)],"Yes",Table3[Overall scoring priority],"&gt;19")</f>
        <v>255</v>
      </c>
    </row>
    <row r="54" spans="2:3">
      <c r="B54">
        <f>COUNTIF(Table3[Overall scoring priority],"&gt;19")</f>
        <v>391</v>
      </c>
    </row>
    <row r="55" spans="2:3">
      <c r="B55">
        <f>B53/B54</f>
        <v>0.65217391304347827</v>
      </c>
    </row>
    <row r="57" spans="2:3">
      <c r="B57" t="s">
        <v>1711</v>
      </c>
      <c r="C57" t="s">
        <v>1712</v>
      </c>
    </row>
    <row r="58" spans="2:3">
      <c r="B58" t="s">
        <v>1713</v>
      </c>
      <c r="C58">
        <v>24300000</v>
      </c>
    </row>
    <row r="59" spans="2:3">
      <c r="B59" t="s">
        <v>1714</v>
      </c>
      <c r="C59">
        <v>20000000</v>
      </c>
    </row>
    <row r="60" spans="2:3">
      <c r="B60" t="s">
        <v>1715</v>
      </c>
      <c r="C60">
        <v>16050000</v>
      </c>
    </row>
    <row r="61" spans="2:3">
      <c r="B61" t="s">
        <v>1716</v>
      </c>
      <c r="C61">
        <v>5750000</v>
      </c>
    </row>
    <row r="62" spans="2:3">
      <c r="B62" t="s">
        <v>1717</v>
      </c>
      <c r="C62">
        <v>4000000</v>
      </c>
    </row>
    <row r="64" spans="2:3">
      <c r="B64" t="s">
        <v>1718</v>
      </c>
      <c r="C64">
        <v>300000</v>
      </c>
    </row>
    <row r="65" spans="2:3">
      <c r="B65" t="s">
        <v>1719</v>
      </c>
      <c r="C65">
        <v>3050000</v>
      </c>
    </row>
    <row r="66" spans="2:3">
      <c r="B66" t="s">
        <v>1717</v>
      </c>
      <c r="C66">
        <v>4000000</v>
      </c>
    </row>
  </sheetData>
  <mergeCells count="14">
    <mergeCell ref="A16:A19"/>
    <mergeCell ref="O1:P1"/>
    <mergeCell ref="K1:L1"/>
    <mergeCell ref="M1:N1"/>
    <mergeCell ref="N12:N13"/>
    <mergeCell ref="A4:A7"/>
    <mergeCell ref="A8:A11"/>
    <mergeCell ref="A12:A15"/>
    <mergeCell ref="C1:D1"/>
    <mergeCell ref="E1:F1"/>
    <mergeCell ref="G1:H1"/>
    <mergeCell ref="I1:J1"/>
    <mergeCell ref="I12:I13"/>
    <mergeCell ref="J12:J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74F6-2BFE-4E07-B131-BB40C90E3F99}">
  <dimension ref="A1:C15"/>
  <sheetViews>
    <sheetView topLeftCell="B1" workbookViewId="0">
      <selection activeCell="O15" sqref="O15"/>
    </sheetView>
  </sheetViews>
  <sheetFormatPr defaultRowHeight="15"/>
  <cols>
    <col min="1" max="1" width="27.5703125" bestFit="1" customWidth="1"/>
    <col min="2" max="2" width="14.140625" bestFit="1" customWidth="1"/>
    <col min="3" max="3" width="18.85546875" bestFit="1" customWidth="1"/>
  </cols>
  <sheetData>
    <row r="1" spans="1:3">
      <c r="A1" t="s">
        <v>1720</v>
      </c>
      <c r="B1" t="s">
        <v>1721</v>
      </c>
      <c r="C1" t="s">
        <v>1722</v>
      </c>
    </row>
    <row r="2" spans="1:3">
      <c r="A2" t="str" cm="1">
        <f t="array" ref="A2:A15">_xlfn.UNIQUE(Table3[Primary theme/sector])</f>
        <v>Energy supplier</v>
      </c>
      <c r="B2">
        <f>COUNTIFS(Table3[[Primary theme/sector]:[Primary theme/sector]],$A2,Table3[[Overall scoring priority]:[Overall scoring priority]],"&gt;19",Table3[[CI subs customer? (existing and past 2 years)]:[CI subs customer? (existing and past 2 years)]],"Yes")</f>
        <v>53</v>
      </c>
      <c r="C2">
        <v>11</v>
      </c>
    </row>
    <row r="3" spans="1:3">
      <c r="A3" t="str">
        <v>Flexibility generator/developer</v>
      </c>
      <c r="B3">
        <f>COUNTIFS(Table3[[Primary theme/sector]:[Primary theme/sector]],$A3,Table3[[Overall scoring priority]:[Overall scoring priority]],"&gt;19",Table3[[CI subs customer? (existing and past 2 years)]:[CI subs customer? (existing and past 2 years)]],"Yes")</f>
        <v>20</v>
      </c>
      <c r="C3">
        <v>39</v>
      </c>
    </row>
    <row r="4" spans="1:3">
      <c r="A4" t="str">
        <v>Energy traders</v>
      </c>
      <c r="B4">
        <f>COUNTIFS(Table3[[Primary theme/sector]:[Primary theme/sector]],$A4,Table3[[Overall scoring priority]:[Overall scoring priority]],"&gt;19",Table3[[CI subs customer? (existing and past 2 years)]:[CI subs customer? (existing and past 2 years)]],"Yes")</f>
        <v>16</v>
      </c>
      <c r="C4">
        <v>0</v>
      </c>
    </row>
    <row r="5" spans="1:3">
      <c r="A5" t="str">
        <v>Renewables generator/developer</v>
      </c>
      <c r="B5">
        <f>COUNTIFS(Table3[[Primary theme/sector]:[Primary theme/sector]],$A5,Table3[[Overall scoring priority]:[Overall scoring priority]],"&gt;19",Table3[[CI subs customer? (existing and past 2 years)]:[CI subs customer? (existing and past 2 years)]],"Yes")</f>
        <v>97</v>
      </c>
      <c r="C5">
        <v>65</v>
      </c>
    </row>
    <row r="6" spans="1:3">
      <c r="A6" t="str">
        <v>Investor</v>
      </c>
      <c r="B6">
        <f>COUNTIFS(Table3[[Primary theme/sector]:[Primary theme/sector]],$A6,Table3[[Overall scoring priority]:[Overall scoring priority]],"&gt;19",Table3[[CI subs customer? (existing and past 2 years)]:[CI subs customer? (existing and past 2 years)]],"Yes")</f>
        <v>16</v>
      </c>
      <c r="C6">
        <v>39</v>
      </c>
    </row>
    <row r="7" spans="1:3">
      <c r="A7" t="str">
        <v>Public body</v>
      </c>
      <c r="B7">
        <f>COUNTIFS(Table3[[Primary theme/sector]:[Primary theme/sector]],$A7,Table3[[Overall scoring priority]:[Overall scoring priority]],"&gt;19",Table3[[CI subs customer? (existing and past 2 years)]:[CI subs customer? (existing and past 2 years)]],"Yes")</f>
        <v>4</v>
      </c>
      <c r="C7">
        <v>4</v>
      </c>
    </row>
    <row r="8" spans="1:3">
      <c r="A8" t="str">
        <v>End user</v>
      </c>
      <c r="B8">
        <f>COUNTIFS(Table3[[Primary theme/sector]:[Primary theme/sector]],$A8,Table3[[Overall scoring priority]:[Overall scoring priority]],"&gt;19",Table3[[CI subs customer? (existing and past 2 years)]:[CI subs customer? (existing and past 2 years)]],"Yes")</f>
        <v>38</v>
      </c>
      <c r="C8">
        <v>0</v>
      </c>
    </row>
    <row r="9" spans="1:3">
      <c r="A9" t="str">
        <v>E-mobility</v>
      </c>
      <c r="B9">
        <f>COUNTIFS(Table3[[Primary theme/sector]:[Primary theme/sector]],$A9,Table3[[Overall scoring priority]:[Overall scoring priority]],"&gt;19",Table3[[CI subs customer? (existing and past 2 years)]:[CI subs customer? (existing and past 2 years)]],"Yes")</f>
        <v>11</v>
      </c>
      <c r="C9">
        <v>0</v>
      </c>
    </row>
    <row r="10" spans="1:3">
      <c r="A10" t="str">
        <v>DSR</v>
      </c>
      <c r="B10">
        <f>COUNTIFS(Table3[[Primary theme/sector]:[Primary theme/sector]],$A10,Table3[[Overall scoring priority]:[Overall scoring priority]],"&gt;19",Table3[[CI subs customer? (existing and past 2 years)]:[CI subs customer? (existing and past 2 years)]],"Yes")</f>
        <v>0</v>
      </c>
      <c r="C10">
        <v>0</v>
      </c>
    </row>
    <row r="11" spans="1:3">
      <c r="A11" t="str">
        <v>Network company</v>
      </c>
      <c r="B11">
        <f>COUNTIFS(Table3[[Primary theme/sector]:[Primary theme/sector]],$A11,Table3[[Overall scoring priority]:[Overall scoring priority]],"&gt;19",Table3[[CI subs customer? (existing and past 2 years)]:[CI subs customer? (existing and past 2 years)]],"Yes")</f>
        <v>0</v>
      </c>
      <c r="C11">
        <v>0</v>
      </c>
    </row>
    <row r="12" spans="1:3">
      <c r="A12" t="str">
        <v>TPI</v>
      </c>
      <c r="B12">
        <f>COUNTIFS(Table3[[Primary theme/sector]:[Primary theme/sector]],$A12,Table3[[Overall scoring priority]:[Overall scoring priority]],"&gt;19",Table3[[CI subs customer? (existing and past 2 years)]:[CI subs customer? (existing and past 2 years)]],"Yes")</f>
        <v>0</v>
      </c>
      <c r="C12">
        <v>0</v>
      </c>
    </row>
    <row r="13" spans="1:3">
      <c r="A13" t="str">
        <v>Metering</v>
      </c>
      <c r="B13">
        <f>COUNTIFS(Table3[[Primary theme/sector]:[Primary theme/sector]],$A13,Table3[[Overall scoring priority]:[Overall scoring priority]],"&gt;19",Table3[[CI subs customer? (existing and past 2 years)]:[CI subs customer? (existing and past 2 years)]],"Yes")</f>
        <v>0</v>
      </c>
      <c r="C13">
        <v>0</v>
      </c>
    </row>
    <row r="14" spans="1:3">
      <c r="A14" t="str">
        <v>Professional services</v>
      </c>
      <c r="B14">
        <f>COUNTIFS(Table3[[Primary theme/sector]:[Primary theme/sector]],$A14,Table3[[Overall scoring priority]:[Overall scoring priority]],"&gt;19",Table3[[CI subs customer? (existing and past 2 years)]:[CI subs customer? (existing and past 2 years)]],"Yes")</f>
        <v>0</v>
      </c>
      <c r="C14">
        <v>0</v>
      </c>
    </row>
    <row r="15" spans="1:3">
      <c r="A15" t="str">
        <v>Trade body</v>
      </c>
      <c r="B15">
        <f>COUNTIFS(Table3[[Primary theme/sector]:[Primary theme/sector]],$A15,Table3[[Overall scoring priority]:[Overall scoring priority]],"&gt;19",Table3[[CI subs customer? (existing and past 2 years)]:[CI subs customer? (existing and past 2 years)]],"Yes")</f>
        <v>0</v>
      </c>
      <c r="C1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2B21-7778-48E8-B2AA-60F129CFDC91}">
  <dimension ref="A1:H40"/>
  <sheetViews>
    <sheetView workbookViewId="0">
      <selection activeCell="H3" sqref="H3"/>
    </sheetView>
  </sheetViews>
  <sheetFormatPr defaultRowHeight="15"/>
  <cols>
    <col min="1" max="1" width="26.7109375" customWidth="1"/>
    <col min="2" max="2" width="25.5703125" customWidth="1"/>
    <col min="3" max="3" width="24.28515625" customWidth="1"/>
    <col min="4" max="4" width="13.85546875" bestFit="1" customWidth="1"/>
    <col min="6" max="6" width="12.28515625" bestFit="1" customWidth="1"/>
    <col min="7" max="7" width="12.140625" bestFit="1" customWidth="1"/>
    <col min="8" max="8" width="10.7109375" bestFit="1" customWidth="1"/>
    <col min="9" max="9" width="13.85546875" bestFit="1" customWidth="1"/>
    <col min="13" max="13" width="10.7109375" bestFit="1" customWidth="1"/>
    <col min="14" max="14" width="13.85546875" bestFit="1" customWidth="1"/>
    <col min="18" max="18" width="10.7109375" bestFit="1" customWidth="1"/>
    <col min="19" max="19" width="13.85546875" bestFit="1" customWidth="1"/>
    <col min="23" max="23" width="10.7109375" bestFit="1" customWidth="1"/>
    <col min="24" max="24" width="13.85546875" bestFit="1" customWidth="1"/>
  </cols>
  <sheetData>
    <row r="1" spans="1:8">
      <c r="A1" s="198" t="s">
        <v>59</v>
      </c>
      <c r="B1" s="199"/>
      <c r="C1" s="199"/>
      <c r="D1" s="200"/>
    </row>
    <row r="2" spans="1:8">
      <c r="A2" s="53" t="s">
        <v>1672</v>
      </c>
      <c r="B2" s="53" t="s">
        <v>1673</v>
      </c>
      <c r="C2" s="39" t="s">
        <v>1672</v>
      </c>
      <c r="D2" s="53" t="s">
        <v>1674</v>
      </c>
      <c r="F2" s="76" t="s">
        <v>1723</v>
      </c>
      <c r="G2" s="76">
        <v>19</v>
      </c>
      <c r="H2">
        <v>17</v>
      </c>
    </row>
    <row r="3" spans="1:8">
      <c r="A3" s="50">
        <v>5</v>
      </c>
      <c r="B3" s="50">
        <f>COUNTIFS('Company lists'!$K$3:$K$1561,A3,'Company lists'!$M$3:$M$1561,SegmentSOM!A$1,'Company lists'!$L$3:$L$1561,"&gt;"&amp;$G$2)</f>
        <v>35</v>
      </c>
      <c r="C3" s="56">
        <v>250000</v>
      </c>
      <c r="D3" s="56">
        <f>MROUND(SUMIFS(Table3[Total Spend],Table3[CI Segment],SegmentSOM!$A$1,Table3[Propensity to buy/ buyer readiness],SegmentSOM!A3,Table3[Overall scoring priority],"&gt;"&amp;$G$2),50000)</f>
        <v>8500000</v>
      </c>
      <c r="F3" s="76" t="s">
        <v>1675</v>
      </c>
      <c r="G3" s="77">
        <f>SUM(D8+D16+D24+D32+D40)</f>
        <v>42300000</v>
      </c>
    </row>
    <row r="4" spans="1:8">
      <c r="A4" s="51">
        <v>4</v>
      </c>
      <c r="B4" s="78">
        <f>COUNTIFS('Company lists'!$K$3:$K$1561,A4,'Company lists'!$M$3:$M$1561,SegmentSOM!A$1,'Company lists'!$L$3:$L$1561,"&gt;"&amp;$G$2)</f>
        <v>33</v>
      </c>
      <c r="C4" s="57">
        <v>150000</v>
      </c>
      <c r="D4" s="98">
        <f>MROUND(SUMIFS(Table3[Total Spend],Table3[CI Segment],SegmentSOM!$A$1,Table3[Propensity to buy/ buyer readiness],SegmentSOM!A4,Table3[Overall scoring priority],"&gt;"&amp;$G$2),50000)</f>
        <v>4950000</v>
      </c>
    </row>
    <row r="5" spans="1:8">
      <c r="A5" s="50">
        <v>3</v>
      </c>
      <c r="B5" s="50">
        <f>COUNTIFS('Company lists'!$K$3:$K$1561,A5,'Company lists'!$M$3:$M$1561,SegmentSOM!A$1,'Company lists'!$L$3:$L$1561,"&gt;"&amp;$G$2)</f>
        <v>46</v>
      </c>
      <c r="C5" s="56">
        <v>50000</v>
      </c>
      <c r="D5" s="56">
        <f>MROUND(SUMIFS(Table3[Total Spend],Table3[CI Segment],SegmentSOM!$A$1,Table3[Propensity to buy/ buyer readiness],SegmentSOM!A5,Table3[Overall scoring priority],"&gt;"&amp;$G$2),50000)</f>
        <v>2300000</v>
      </c>
    </row>
    <row r="6" spans="1:8">
      <c r="A6" s="51">
        <v>2</v>
      </c>
      <c r="B6" s="78">
        <f>COUNTIFS('Company lists'!$K$3:$K$1561,A6,'Company lists'!$M$3:$M$1561,SegmentSOM!A$1,'Company lists'!$L$3:$L$1561,"&gt;"&amp;$G$2)</f>
        <v>0</v>
      </c>
      <c r="C6" s="57">
        <v>10000</v>
      </c>
      <c r="D6" s="98">
        <f>MROUND(SUMIFS(Table3[Total Spend],Table3[CI Segment],SegmentSOM!$A$1,Table3[Propensity to buy/ buyer readiness],SegmentSOM!A6,Table3[Overall scoring priority],"&gt;"&amp;$G$2),50000)</f>
        <v>0</v>
      </c>
      <c r="F6">
        <f>COUNTIFS('Company lists'!B3:B1561,"Yes",'Company lists'!L3:L1561,"&gt;19")</f>
        <v>255</v>
      </c>
    </row>
    <row r="7" spans="1:8">
      <c r="A7" s="50">
        <v>1</v>
      </c>
      <c r="B7" s="50">
        <f>COUNTIFS('Company lists'!$K$3:$K$1561,A7,'Company lists'!$M$3:$M$1561,SegmentSOM!A$1,'Company lists'!$L$3:$L$1561,"&gt;"&amp;$G$2)</f>
        <v>0</v>
      </c>
      <c r="C7" s="56">
        <v>0</v>
      </c>
      <c r="D7" s="56">
        <f>MROUND(SUMIFS(Table3[Total Spend],Table3[CI Segment],SegmentSOM!$A$1,Table3[Propensity to buy/ buyer readiness],SegmentSOM!A7,Table3[Overall scoring priority],"&gt;"&amp;$G$2),50000)</f>
        <v>0</v>
      </c>
      <c r="F7">
        <f>COUNTIF('Company lists'!L3:L1561,"&gt;19")</f>
        <v>391</v>
      </c>
    </row>
    <row r="8" spans="1:8">
      <c r="A8" s="70" t="s">
        <v>1675</v>
      </c>
      <c r="B8" s="70">
        <f>SUM(B3:B7)</f>
        <v>114</v>
      </c>
      <c r="C8" s="71"/>
      <c r="D8" s="71">
        <f>SUM(D3:D7)</f>
        <v>15750000</v>
      </c>
      <c r="F8">
        <f>F7-F6</f>
        <v>136</v>
      </c>
    </row>
    <row r="9" spans="1:8">
      <c r="A9" s="198" t="s">
        <v>102</v>
      </c>
      <c r="B9" s="199"/>
      <c r="C9" s="199"/>
      <c r="D9" s="200"/>
    </row>
    <row r="10" spans="1:8">
      <c r="A10" s="53" t="s">
        <v>1672</v>
      </c>
      <c r="B10" s="53" t="s">
        <v>1673</v>
      </c>
      <c r="C10" s="39" t="s">
        <v>1672</v>
      </c>
      <c r="D10" s="53" t="s">
        <v>1674</v>
      </c>
    </row>
    <row r="11" spans="1:8">
      <c r="A11" s="50">
        <v>5</v>
      </c>
      <c r="B11" s="50">
        <f>COUNTIFS('Company lists'!$K$3:$K$1561,A11,'Company lists'!$M$3:$M$1561,SegmentSOM!A$9,'Company lists'!$L$3:$L$1561,"&gt;"&amp;$G$2)</f>
        <v>20</v>
      </c>
      <c r="C11" s="56">
        <v>250000</v>
      </c>
      <c r="D11" s="56">
        <f>MROUND(SUMIFS(Table3[Total Spend],Table3[CI Segment],SegmentSOM!$A$9,Table3[Propensity to buy/ buyer readiness],SegmentSOM!A11,Table3[Overall scoring priority],"&gt;"&amp;$G$2),50000)</f>
        <v>4200000</v>
      </c>
    </row>
    <row r="12" spans="1:8">
      <c r="A12" s="51">
        <v>4</v>
      </c>
      <c r="B12" s="78">
        <f>COUNTIFS('Company lists'!$K$3:$K$1561,A12,'Company lists'!$M$3:$M$1561,SegmentSOM!A$9,'Company lists'!$L$3:$L$1561,"&gt;"&amp;$G$2)</f>
        <v>44</v>
      </c>
      <c r="C12" s="57">
        <v>150000</v>
      </c>
      <c r="D12" s="98">
        <f>MROUND(SUMIFS(Table3[Total Spend],Table3[CI Segment],SegmentSOM!$A$9,Table3[Propensity to buy/ buyer readiness],SegmentSOM!A12,Table3[Overall scoring priority],"&gt;"&amp;$G$2),50000)</f>
        <v>5800000</v>
      </c>
    </row>
    <row r="13" spans="1:8">
      <c r="A13" s="50">
        <v>3</v>
      </c>
      <c r="B13" s="50">
        <f>COUNTIFS('Company lists'!$K$3:$K$1561,A13,'Company lists'!$M$3:$M$1561,SegmentSOM!A$9,'Company lists'!$L$3:$L$1561,"&gt;"&amp;$G$2)</f>
        <v>107</v>
      </c>
      <c r="C13" s="56">
        <v>50000</v>
      </c>
      <c r="D13" s="56">
        <f>MROUND(SUMIFS(Table3[Total Spend],Table3[CI Segment],SegmentSOM!$A$9,Table3[Propensity to buy/ buyer readiness],SegmentSOM!A13,Table3[Overall scoring priority],"&gt;"&amp;$G$2),50000)</f>
        <v>5350000</v>
      </c>
    </row>
    <row r="14" spans="1:8">
      <c r="A14" s="51">
        <v>2</v>
      </c>
      <c r="B14" s="78">
        <f>COUNTIFS('Company lists'!$K$3:$K$1561,A14,'Company lists'!$M$3:$M$1561,SegmentSOM!A$9,'Company lists'!$L$3:$L$1561,"&gt;"&amp;$G$2)</f>
        <v>2</v>
      </c>
      <c r="C14" s="57">
        <v>10000</v>
      </c>
      <c r="D14" s="98">
        <f>MROUND(SUMIFS(Table3[Total Spend],Table3[CI Segment],SegmentSOM!$A$9,Table3[Propensity to buy/ buyer readiness],SegmentSOM!A14,Table3[Overall scoring priority],"&gt;"&amp;$G$2),50000)</f>
        <v>0</v>
      </c>
    </row>
    <row r="15" spans="1:8">
      <c r="A15" s="50">
        <v>1</v>
      </c>
      <c r="B15" s="50">
        <f>COUNTIFS('Company lists'!$K$3:$K$1561,A15,'Company lists'!$M$3:$M$1561,SegmentSOM!A$9,'Company lists'!$L$3:$L$1561,"&gt;"&amp;$G$2)</f>
        <v>0</v>
      </c>
      <c r="C15" s="56">
        <v>0</v>
      </c>
      <c r="D15" s="56">
        <f>MROUND(SUMIFS(Table3[Total Spend],Table3[CI Segment],SegmentSOM!$A$9,Table3[Propensity to buy/ buyer readiness],SegmentSOM!A15,Table3[Overall scoring priority],"&gt;"&amp;$G$2),50000)</f>
        <v>0</v>
      </c>
    </row>
    <row r="16" spans="1:8">
      <c r="A16" s="70" t="s">
        <v>1675</v>
      </c>
      <c r="B16" s="70">
        <f>SUM(B11:B15)</f>
        <v>173</v>
      </c>
      <c r="C16" s="71"/>
      <c r="D16" s="56">
        <f>SUM(D11:D15)</f>
        <v>15350000</v>
      </c>
    </row>
    <row r="17" spans="1:4">
      <c r="A17" s="198" t="s">
        <v>66</v>
      </c>
      <c r="B17" s="199"/>
      <c r="C17" s="199"/>
      <c r="D17" s="200"/>
    </row>
    <row r="18" spans="1:4">
      <c r="A18" s="53" t="s">
        <v>1672</v>
      </c>
      <c r="B18" s="53" t="s">
        <v>1673</v>
      </c>
      <c r="C18" s="39" t="s">
        <v>1672</v>
      </c>
      <c r="D18" s="53" t="s">
        <v>1674</v>
      </c>
    </row>
    <row r="19" spans="1:4">
      <c r="A19" s="50">
        <v>5</v>
      </c>
      <c r="B19" s="50">
        <f>COUNTIFS('Company lists'!$K$3:$K$1561,A19,'Company lists'!$M$3:$M$1561,SegmentSOM!A$17,'Company lists'!$L$3:$L$1561,"&gt;"&amp;$G$2)</f>
        <v>15</v>
      </c>
      <c r="C19" s="56">
        <v>250000</v>
      </c>
      <c r="D19" s="56">
        <f>MROUND(SUMIFS(Table3[Total Spend],Table3[CI Segment],SegmentSOM!$A$17,Table3[Propensity to buy/ buyer readiness],SegmentSOM!A19,Table3[Overall scoring priority],"&gt;"&amp;$G$2),50000)</f>
        <v>3100000</v>
      </c>
    </row>
    <row r="20" spans="1:4">
      <c r="A20" s="51">
        <v>4</v>
      </c>
      <c r="B20" s="78">
        <f>COUNTIFS('Company lists'!$K$3:$K$1561,A20,'Company lists'!$M$3:$M$1561,SegmentSOM!A$17,'Company lists'!$L$3:$L$1561,"&gt;"&amp;$G$2)</f>
        <v>12</v>
      </c>
      <c r="C20" s="57">
        <v>150000</v>
      </c>
      <c r="D20" s="98">
        <f>MROUND(SUMIFS(Table3[Total Spend],Table3[CI Segment],SegmentSOM!$A$17,Table3[Propensity to buy/ buyer readiness],SegmentSOM!A20,Table3[Overall scoring priority],"&gt;"&amp;$G$2),50000)</f>
        <v>1700000</v>
      </c>
    </row>
    <row r="21" spans="1:4">
      <c r="A21" s="50">
        <v>3</v>
      </c>
      <c r="B21" s="50">
        <f>COUNTIFS('Company lists'!$K$3:$K$1561,A21,'Company lists'!$M$3:$M$1561,SegmentSOM!A$17,'Company lists'!$L$3:$L$1561,"&gt;"&amp;$G$2)</f>
        <v>3</v>
      </c>
      <c r="C21" s="56">
        <v>50000</v>
      </c>
      <c r="D21" s="56">
        <f>MROUND(SUMIFS(Table3[Total Spend],Table3[CI Segment],SegmentSOM!$A$17,Table3[Propensity to buy/ buyer readiness],SegmentSOM!A21,Table3[Overall scoring priority],"&gt;"&amp;$G$2),50000)</f>
        <v>150000</v>
      </c>
    </row>
    <row r="22" spans="1:4">
      <c r="A22" s="51">
        <v>2</v>
      </c>
      <c r="B22" s="78">
        <f>COUNTIFS('Company lists'!$K$3:$K$1561,A22,'Company lists'!$M$3:$M$1561,SegmentSOM!A$17,'Company lists'!$L$3:$L$1561,"&gt;"&amp;$G$2)</f>
        <v>0</v>
      </c>
      <c r="C22" s="57">
        <v>10000</v>
      </c>
      <c r="D22" s="98">
        <f>MROUND(SUMIFS(Table3[Total Spend],Table3[CI Segment],SegmentSOM!$A$17,Table3[Propensity to buy/ buyer readiness],SegmentSOM!A22,Table3[Overall scoring priority],"&gt;"&amp;$G$2),50000)</f>
        <v>0</v>
      </c>
    </row>
    <row r="23" spans="1:4">
      <c r="A23" s="50">
        <v>1</v>
      </c>
      <c r="B23" s="50">
        <f>COUNTIFS('Company lists'!$K$3:$K$1561,A23,'Company lists'!$M$3:$M$1561,SegmentSOM!A$17,'Company lists'!$L$3:$L$1561,"&gt;"&amp;$G$2)</f>
        <v>0</v>
      </c>
      <c r="C23" s="56">
        <v>0</v>
      </c>
      <c r="D23" s="56">
        <f>MROUND(SUMIFS(Table3[Total Spend],Table3[CI Segment],SegmentSOM!$A$17,Table3[Propensity to buy/ buyer readiness],SegmentSOM!A23,Table3[Overall scoring priority],"&gt;"&amp;$G$2),50000)</f>
        <v>0</v>
      </c>
    </row>
    <row r="24" spans="1:4">
      <c r="A24" s="70" t="s">
        <v>1675</v>
      </c>
      <c r="B24" s="70">
        <f>SUM(B19:B23)</f>
        <v>30</v>
      </c>
      <c r="C24" s="71"/>
      <c r="D24" s="56">
        <f>SUM(D19:D23)</f>
        <v>4950000</v>
      </c>
    </row>
    <row r="25" spans="1:4">
      <c r="A25" s="198" t="s">
        <v>191</v>
      </c>
      <c r="B25" s="199"/>
      <c r="C25" s="199"/>
      <c r="D25" s="200"/>
    </row>
    <row r="26" spans="1:4">
      <c r="A26" s="53" t="s">
        <v>1672</v>
      </c>
      <c r="B26" s="53" t="s">
        <v>1673</v>
      </c>
      <c r="C26" s="39" t="s">
        <v>1672</v>
      </c>
      <c r="D26" s="53" t="s">
        <v>1674</v>
      </c>
    </row>
    <row r="27" spans="1:4">
      <c r="A27" s="50">
        <v>5</v>
      </c>
      <c r="B27" s="50">
        <f>COUNTIFS('Company lists'!$K$3:$K$1561,A27,'Company lists'!$M$3:$M$1561,SegmentSOM!A$25,'Company lists'!$L$3:$L$1561,"&gt;"&amp;$G$2)</f>
        <v>1</v>
      </c>
      <c r="C27" s="56">
        <v>250000</v>
      </c>
      <c r="D27" s="56">
        <f>MROUND(SUMIFS(Table3[Total Spend],Table3[CI Segment],SegmentSOM!$A$25,Table3[Propensity to buy/ buyer readiness],SegmentSOM!A27,Table3[Overall scoring priority],"&gt;"&amp;$G$2),50000)</f>
        <v>250000</v>
      </c>
    </row>
    <row r="28" spans="1:4">
      <c r="A28" s="51">
        <v>4</v>
      </c>
      <c r="B28" s="78">
        <f>COUNTIFS('Company lists'!$K$3:$K$1561,A28,'Company lists'!$M$3:$M$1561,SegmentSOM!A$25,'Company lists'!$L$3:$L$1561,"&gt;"&amp;$G$2)</f>
        <v>32</v>
      </c>
      <c r="C28" s="57">
        <v>150000</v>
      </c>
      <c r="D28" s="98">
        <f>MROUND(SUMIFS(Table3[Total Spend],Table3[CI Segment],SegmentSOM!$A$25,Table3[Propensity to buy/ buyer readiness],SegmentSOM!A28,Table3[Overall scoring priority],"&gt;"&amp;$G$2),50000)</f>
        <v>2900000</v>
      </c>
    </row>
    <row r="29" spans="1:4">
      <c r="A29" s="50">
        <v>3</v>
      </c>
      <c r="B29" s="50">
        <f>COUNTIFS('Company lists'!$K$3:$K$1561,A29,'Company lists'!$M$3:$M$1561,SegmentSOM!A$25,'Company lists'!$L$3:$L$1561,"&gt;"&amp;$G$2)</f>
        <v>24</v>
      </c>
      <c r="C29" s="56">
        <v>50000</v>
      </c>
      <c r="D29" s="56">
        <f>MROUND(SUMIFS(Table3[Total Spend],Table3[CI Segment],SegmentSOM!$A$25,Table3[Propensity to buy/ buyer readiness],SegmentSOM!A29,Table3[Overall scoring priority],"&gt;"&amp;$G$2),50000)</f>
        <v>1200000</v>
      </c>
    </row>
    <row r="30" spans="1:4">
      <c r="A30" s="51">
        <v>2</v>
      </c>
      <c r="B30" s="78">
        <f>COUNTIFS('Company lists'!$K$3:$K$1561,A30,'Company lists'!$M$3:$M$1561,SegmentSOM!A$25,'Company lists'!$L$3:$L$1561,"&gt;"&amp;$G$2)</f>
        <v>0</v>
      </c>
      <c r="C30" s="57">
        <v>10000</v>
      </c>
      <c r="D30" s="98">
        <f>MROUND(SUMIFS(Table3[Total Spend],Table3[CI Segment],SegmentSOM!$A$25,Table3[Propensity to buy/ buyer readiness],SegmentSOM!A30,Table3[Overall scoring priority],"&gt;"&amp;$G$2),50000)</f>
        <v>0</v>
      </c>
    </row>
    <row r="31" spans="1:4">
      <c r="A31" s="50">
        <v>1</v>
      </c>
      <c r="B31" s="50">
        <f>COUNTIFS('Company lists'!$K$3:$K$1561,A31,'Company lists'!$M$3:$M$1561,SegmentSOM!A$25,'Company lists'!$L$3:$L$1561,"&gt;"&amp;$G$2)</f>
        <v>0</v>
      </c>
      <c r="C31" s="56">
        <v>0</v>
      </c>
      <c r="D31" s="56">
        <f>MROUND(SUMIFS(Table3[Total Spend],Table3[CI Segment],SegmentSOM!$A$25,Table3[Propensity to buy/ buyer readiness],SegmentSOM!A31,Table3[Overall scoring priority],"&gt;"&amp;$G$2),50000)</f>
        <v>0</v>
      </c>
    </row>
    <row r="32" spans="1:4">
      <c r="A32" s="70" t="s">
        <v>1675</v>
      </c>
      <c r="B32" s="70">
        <f>SUM(B27:B31)</f>
        <v>57</v>
      </c>
      <c r="C32" s="71"/>
      <c r="D32" s="71">
        <f>SUM(D27:D31)</f>
        <v>4350000</v>
      </c>
    </row>
    <row r="33" spans="1:4">
      <c r="A33" s="198" t="s">
        <v>152</v>
      </c>
      <c r="B33" s="199"/>
      <c r="C33" s="199"/>
      <c r="D33" s="200"/>
    </row>
    <row r="34" spans="1:4">
      <c r="A34" s="53" t="s">
        <v>1672</v>
      </c>
      <c r="B34" s="53" t="s">
        <v>1673</v>
      </c>
      <c r="C34" s="39" t="s">
        <v>1672</v>
      </c>
      <c r="D34" s="53" t="s">
        <v>1674</v>
      </c>
    </row>
    <row r="35" spans="1:4">
      <c r="A35" s="50">
        <v>5</v>
      </c>
      <c r="B35" s="50">
        <f>COUNTIFS('Company lists'!$K$3:$K$1561,A35,'Company lists'!$M$3:$M$1561,SegmentSOM!A$33,'Company lists'!$L$3:$L$1561,"&gt;"&amp;$G$2)</f>
        <v>4</v>
      </c>
      <c r="C35" s="56">
        <v>250000</v>
      </c>
      <c r="D35" s="56">
        <f>MROUND(SUMIFS(Table3[Total Spend],Table3[CI Segment],SegmentSOM!$A$33,Table3[Propensity to buy/ buyer readiness],SegmentSOM!A35,Table3[Overall scoring priority],"&gt;"&amp;$G$2),50000)</f>
        <v>500000</v>
      </c>
    </row>
    <row r="36" spans="1:4">
      <c r="A36" s="51">
        <v>4</v>
      </c>
      <c r="B36" s="78">
        <f>COUNTIFS('Company lists'!$K$3:$K$1561,A36,'Company lists'!$M$3:$M$1561,SegmentSOM!A$33,'Company lists'!$L$3:$L$1561,"&gt;"&amp;$G$2)</f>
        <v>12</v>
      </c>
      <c r="C36" s="57">
        <v>150000</v>
      </c>
      <c r="D36" s="98">
        <f>MROUND(SUMIFS(Table3[Total Spend],Table3[CI Segment],SegmentSOM!$A$33,Table3[Propensity to buy/ buyer readiness],SegmentSOM!A36,Table3[Overall scoring priority],"&gt;"&amp;$G$2),50000)</f>
        <v>1350000</v>
      </c>
    </row>
    <row r="37" spans="1:4">
      <c r="A37" s="50">
        <v>3</v>
      </c>
      <c r="B37" s="50">
        <f>COUNTIFS('Company lists'!$K$3:$K$1561,A37,'Company lists'!$M$3:$M$1561,SegmentSOM!A$33,'Company lists'!$L$3:$L$1561,"&gt;"&amp;$G$2)</f>
        <v>1</v>
      </c>
      <c r="C37" s="56">
        <v>50000</v>
      </c>
      <c r="D37" s="56">
        <f>MROUND(SUMIFS(Table3[Total Spend],Table3[CI Segment],SegmentSOM!$A$33,Table3[Propensity to buy/ buyer readiness],SegmentSOM!A37,Table3[Overall scoring priority],"&gt;"&amp;$G$2),50000)</f>
        <v>50000</v>
      </c>
    </row>
    <row r="38" spans="1:4">
      <c r="A38" s="51">
        <v>2</v>
      </c>
      <c r="B38" s="78">
        <f>COUNTIFS('Company lists'!$K$3:$K$1561,A38,'Company lists'!$M$3:$M$1561,SegmentSOM!A$33,'Company lists'!$L$3:$L$1561,"&gt;"&amp;$G$2)</f>
        <v>0</v>
      </c>
      <c r="C38" s="57">
        <v>10000</v>
      </c>
      <c r="D38" s="98">
        <f>MROUND(SUMIFS(Table3[Total Spend],Table3[CI Segment],SegmentSOM!$A$33,Table3[Propensity to buy/ buyer readiness],SegmentSOM!A38,Table3[Overall scoring priority],"&gt;"&amp;$G$2),50000)</f>
        <v>0</v>
      </c>
    </row>
    <row r="39" spans="1:4">
      <c r="A39" s="50">
        <v>1</v>
      </c>
      <c r="B39" s="50">
        <f>COUNTIFS('Company lists'!$K$3:$K$1561,A39,'Company lists'!$M$3:$M$1561,SegmentSOM!A$33,'Company lists'!$L$3:$L$1561,"&gt;"&amp;$G$2)</f>
        <v>0</v>
      </c>
      <c r="C39" s="56">
        <v>0</v>
      </c>
      <c r="D39" s="56">
        <f>MROUND(SUMIFS(Table3[Total Spend],Table3[CI Segment],SegmentSOM!$A$33,Table3[Propensity to buy/ buyer readiness],SegmentSOM!A39,Table3[Overall scoring priority],"&gt;"&amp;$G$2),50000)</f>
        <v>0</v>
      </c>
    </row>
    <row r="40" spans="1:4">
      <c r="A40" s="70" t="s">
        <v>1675</v>
      </c>
      <c r="B40" s="70">
        <f>SUM(B35:B39)</f>
        <v>17</v>
      </c>
      <c r="C40" s="71"/>
      <c r="D40" s="71">
        <f>SUM(D35:D39)</f>
        <v>1900000</v>
      </c>
    </row>
  </sheetData>
  <mergeCells count="5">
    <mergeCell ref="A17:D17"/>
    <mergeCell ref="A25:D25"/>
    <mergeCell ref="A33:D33"/>
    <mergeCell ref="A1:D1"/>
    <mergeCell ref="A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27A8-ED42-49F0-8C12-A9450F2F9544}">
  <dimension ref="A1:AD56"/>
  <sheetViews>
    <sheetView zoomScale="55" zoomScaleNormal="55" workbookViewId="0">
      <selection activeCell="V2" sqref="V2:V18"/>
    </sheetView>
  </sheetViews>
  <sheetFormatPr defaultRowHeight="15"/>
  <cols>
    <col min="1" max="1" width="17.7109375" bestFit="1" customWidth="1"/>
    <col min="2" max="2" width="12" customWidth="1"/>
    <col min="3" max="3" width="14.85546875" customWidth="1"/>
    <col min="4" max="5" width="13" customWidth="1"/>
    <col min="6" max="6" width="14" customWidth="1"/>
    <col min="7" max="7" width="14.7109375" customWidth="1"/>
    <col min="8" max="9" width="12.42578125" customWidth="1"/>
    <col min="10" max="10" width="13.28515625" customWidth="1"/>
    <col min="11" max="11" width="13.140625" customWidth="1"/>
    <col min="12" max="12" width="14.42578125" customWidth="1"/>
    <col min="13" max="13" width="13" customWidth="1"/>
    <col min="14" max="14" width="14.7109375" customWidth="1"/>
    <col min="15" max="16" width="13.7109375" customWidth="1"/>
    <col min="17" max="17" width="8.7109375" customWidth="1"/>
    <col min="18" max="18" width="32.85546875" bestFit="1" customWidth="1"/>
    <col min="19" max="21" width="9.85546875" customWidth="1"/>
    <col min="22" max="22" width="13.5703125" bestFit="1" customWidth="1"/>
    <col min="23" max="24" width="14.42578125" customWidth="1"/>
    <col min="25" max="25" width="13.28515625" customWidth="1"/>
    <col min="26" max="26" width="9.28515625" bestFit="1" customWidth="1"/>
    <col min="29" max="29" width="14.85546875" bestFit="1" customWidth="1"/>
    <col min="30" max="30" width="16.85546875" bestFit="1" customWidth="1"/>
  </cols>
  <sheetData>
    <row r="1" spans="1:30">
      <c r="A1" t="s">
        <v>1724</v>
      </c>
      <c r="B1" t="s">
        <v>1725</v>
      </c>
      <c r="C1" t="s">
        <v>1726</v>
      </c>
      <c r="D1" t="s">
        <v>1727</v>
      </c>
      <c r="E1" t="s">
        <v>1728</v>
      </c>
      <c r="F1" t="s">
        <v>1729</v>
      </c>
      <c r="G1" t="s">
        <v>1730</v>
      </c>
      <c r="H1" t="s">
        <v>1731</v>
      </c>
      <c r="I1" t="s">
        <v>1732</v>
      </c>
      <c r="J1" t="s">
        <v>1733</v>
      </c>
      <c r="K1" t="s">
        <v>1734</v>
      </c>
      <c r="L1" t="s">
        <v>1735</v>
      </c>
      <c r="M1" t="s">
        <v>1736</v>
      </c>
      <c r="N1" t="s">
        <v>1737</v>
      </c>
      <c r="O1" t="s">
        <v>1738</v>
      </c>
      <c r="P1" t="s">
        <v>1739</v>
      </c>
      <c r="R1" s="47" t="s">
        <v>1740</v>
      </c>
      <c r="S1" s="47" t="s">
        <v>1741</v>
      </c>
      <c r="T1" s="47" t="s">
        <v>1742</v>
      </c>
      <c r="U1" s="47" t="s">
        <v>1743</v>
      </c>
      <c r="V1" s="47" t="s">
        <v>1664</v>
      </c>
      <c r="W1" s="47" t="s">
        <v>1744</v>
      </c>
      <c r="X1" s="47" t="s">
        <v>92</v>
      </c>
      <c r="Y1" s="47" t="s">
        <v>1745</v>
      </c>
      <c r="Z1" s="49" t="s">
        <v>58</v>
      </c>
      <c r="AC1" s="47" t="s">
        <v>1746</v>
      </c>
      <c r="AD1" s="47" t="s">
        <v>1678</v>
      </c>
    </row>
    <row r="2" spans="1:30" ht="29.25">
      <c r="A2" s="5" t="s">
        <v>20</v>
      </c>
      <c r="B2" t="s">
        <v>60</v>
      </c>
      <c r="C2" t="s">
        <v>61</v>
      </c>
      <c r="D2" t="s">
        <v>62</v>
      </c>
      <c r="E2" t="s">
        <v>122</v>
      </c>
      <c r="F2" t="s">
        <v>130</v>
      </c>
      <c r="G2" t="s">
        <v>265</v>
      </c>
      <c r="H2" t="s">
        <v>264</v>
      </c>
      <c r="I2" t="s">
        <v>153</v>
      </c>
      <c r="J2" t="s">
        <v>63</v>
      </c>
      <c r="K2" t="s">
        <v>85</v>
      </c>
      <c r="L2" t="s">
        <v>1133</v>
      </c>
      <c r="M2" t="s">
        <v>144</v>
      </c>
      <c r="R2" s="49" t="str">
        <f>Table15[[#This Row],[Product/Package]]</f>
        <v>Industry Essentials</v>
      </c>
      <c r="S2" s="48">
        <v>10000</v>
      </c>
      <c r="T2" s="48">
        <f>S2*0.9</f>
        <v>9000</v>
      </c>
      <c r="U2" s="49">
        <f>INDEX('Company lists'!$U$1:$AK$1, MATCH(Table15[[#This Row],[Product/Package]], Table3[[#Headers],[Industry Essentials]:[Energy User Regulation]],0))</f>
        <v>1179</v>
      </c>
      <c r="V2" s="48">
        <f t="shared" ref="V2:V18" si="0">MROUND(U2*T2,50000)</f>
        <v>10600000</v>
      </c>
      <c r="W2" s="48">
        <v>9000</v>
      </c>
      <c r="X2" s="48">
        <f t="shared" ref="X2:X18" si="1">W2*0.9</f>
        <v>8100</v>
      </c>
      <c r="Y2" s="48">
        <v>12000</v>
      </c>
      <c r="Z2" s="48">
        <f t="shared" ref="Z2:Z18" si="2">Y2*0.9</f>
        <v>10800</v>
      </c>
      <c r="AC2" s="49" t="s">
        <v>59</v>
      </c>
      <c r="AD2" s="48">
        <f>MROUND((V2/3)+V3+V4+V5+V6,50000)</f>
        <v>46050000</v>
      </c>
    </row>
    <row r="3" spans="1:30" ht="43.5">
      <c r="A3" s="5" t="s">
        <v>21</v>
      </c>
      <c r="B3" t="s">
        <v>60</v>
      </c>
      <c r="C3" t="s">
        <v>265</v>
      </c>
      <c r="R3" s="49" t="str">
        <f>Table15[[#This Row],[Product/Package]]</f>
        <v>Energy Supply Market Intelligence</v>
      </c>
      <c r="S3" s="48">
        <v>41000</v>
      </c>
      <c r="T3" s="48">
        <f t="shared" ref="T3:T18" si="3">S3*0.9</f>
        <v>36900</v>
      </c>
      <c r="U3" s="49">
        <f>INDEX('Company lists'!$U$1:$AK$1, MATCH(Table15[[#This Row],[Product/Package]], Table3[[#Headers],[Industry Essentials]:[Energy User Regulation]],0))</f>
        <v>244</v>
      </c>
      <c r="V3" s="48">
        <f t="shared" si="0"/>
        <v>9000000</v>
      </c>
      <c r="W3" s="48">
        <v>34000</v>
      </c>
      <c r="X3" s="48">
        <f t="shared" si="1"/>
        <v>30600</v>
      </c>
      <c r="Y3" s="48">
        <v>48000</v>
      </c>
      <c r="Z3" s="48">
        <f t="shared" si="2"/>
        <v>43200</v>
      </c>
      <c r="AC3" s="49" t="s">
        <v>1702</v>
      </c>
      <c r="AD3" s="48">
        <f>MROUND((V2/3)+V7+V8+V9+V10,50000)</f>
        <v>58150000</v>
      </c>
    </row>
    <row r="4" spans="1:30" ht="29.25">
      <c r="A4" s="5" t="s">
        <v>22</v>
      </c>
      <c r="B4" t="s">
        <v>60</v>
      </c>
      <c r="C4" t="s">
        <v>63</v>
      </c>
      <c r="D4" t="s">
        <v>265</v>
      </c>
      <c r="R4" s="49" t="str">
        <f>Table15[[#This Row],[Product/Package]]</f>
        <v>Energy Supply RTM Analysis</v>
      </c>
      <c r="S4" s="48">
        <v>70000</v>
      </c>
      <c r="T4" s="48">
        <f t="shared" si="3"/>
        <v>63000</v>
      </c>
      <c r="U4" s="49">
        <f>INDEX('Company lists'!$U$1:$AK$1, MATCH(Table15[[#This Row],[Product/Package]], Table3[[#Headers],[Industry Essentials]:[Energy User Regulation]],0))</f>
        <v>272</v>
      </c>
      <c r="V4" s="48">
        <f t="shared" si="0"/>
        <v>17150000</v>
      </c>
      <c r="W4" s="48">
        <v>59000</v>
      </c>
      <c r="X4" s="48">
        <f t="shared" si="1"/>
        <v>53100</v>
      </c>
      <c r="Y4" s="48">
        <v>82000</v>
      </c>
      <c r="Z4" s="48">
        <f t="shared" si="2"/>
        <v>73800</v>
      </c>
      <c r="AC4" s="49" t="s">
        <v>1703</v>
      </c>
      <c r="AD4" s="48">
        <f>MROUND((V2/3)+V11+V12+V13+V14,50000)</f>
        <v>41100000</v>
      </c>
    </row>
    <row r="5" spans="1:30" ht="29.25">
      <c r="A5" s="5" t="s">
        <v>23</v>
      </c>
      <c r="B5" t="s">
        <v>60</v>
      </c>
      <c r="C5" s="19" t="s">
        <v>265</v>
      </c>
      <c r="R5" s="49" t="str">
        <f>Table15[[#This Row],[Product/Package]]</f>
        <v>Energy Supply Forecasts</v>
      </c>
      <c r="S5" s="48">
        <v>45000</v>
      </c>
      <c r="T5" s="48">
        <f t="shared" si="3"/>
        <v>40500</v>
      </c>
      <c r="U5" s="49">
        <f>INDEX('Company lists'!$U$1:$AK$1, MATCH(Table15[[#This Row],[Product/Package]], Table3[[#Headers],[Industry Essentials]:[Energy User Regulation]],0))</f>
        <v>244</v>
      </c>
      <c r="V5" s="48">
        <f t="shared" si="0"/>
        <v>9900000</v>
      </c>
      <c r="W5" s="48">
        <v>38000</v>
      </c>
      <c r="X5" s="48">
        <f t="shared" si="1"/>
        <v>34200</v>
      </c>
      <c r="Y5" s="48">
        <v>54000</v>
      </c>
      <c r="Z5" s="48">
        <f t="shared" si="2"/>
        <v>48600</v>
      </c>
      <c r="AC5" s="49" t="s">
        <v>1641</v>
      </c>
      <c r="AD5" s="48">
        <f>MROUND(V15+V16+V17+V18,50000)</f>
        <v>27400000</v>
      </c>
    </row>
    <row r="6" spans="1:30" ht="29.25">
      <c r="A6" s="5" t="s">
        <v>24</v>
      </c>
      <c r="B6" t="s">
        <v>60</v>
      </c>
      <c r="C6" t="s">
        <v>85</v>
      </c>
      <c r="R6" s="49" t="str">
        <f>Table15[[#This Row],[Product/Package]]</f>
        <v>Energy Supply Regulation</v>
      </c>
      <c r="S6" s="48">
        <v>51000</v>
      </c>
      <c r="T6" s="48">
        <f t="shared" si="3"/>
        <v>45900</v>
      </c>
      <c r="U6" s="49">
        <f>INDEX('Company lists'!$U$1:$AK$1, MATCH(Table15[[#This Row],[Product/Package]], Table3[[#Headers],[Industry Essentials]:[Energy User Regulation]],0))</f>
        <v>140</v>
      </c>
      <c r="V6" s="48">
        <f t="shared" si="0"/>
        <v>6450000</v>
      </c>
      <c r="W6" s="48">
        <v>44000</v>
      </c>
      <c r="X6" s="48">
        <f t="shared" si="1"/>
        <v>39600</v>
      </c>
      <c r="Y6" s="48">
        <v>62000</v>
      </c>
      <c r="Z6" s="48">
        <f t="shared" si="2"/>
        <v>55800</v>
      </c>
    </row>
    <row r="7" spans="1:30" ht="43.5">
      <c r="A7" s="5" t="s">
        <v>25</v>
      </c>
      <c r="B7" t="s">
        <v>61</v>
      </c>
      <c r="C7" t="s">
        <v>122</v>
      </c>
      <c r="R7" s="49" t="str">
        <f>Table15[[#This Row],[Product/Package]]</f>
        <v>Renewables Market Intelligence</v>
      </c>
      <c r="S7" s="48">
        <v>21000</v>
      </c>
      <c r="T7" s="48">
        <f t="shared" si="3"/>
        <v>18900</v>
      </c>
      <c r="U7" s="49">
        <f>INDEX('Company lists'!$U$1:$AK$1, MATCH(Table15[[#This Row],[Product/Package]], Table3[[#Headers],[Industry Essentials]:[Energy User Regulation]],0))</f>
        <v>553</v>
      </c>
      <c r="V7" s="48">
        <f t="shared" si="0"/>
        <v>10450000</v>
      </c>
      <c r="W7" s="48">
        <v>19000</v>
      </c>
      <c r="X7" s="48">
        <f t="shared" si="1"/>
        <v>17100</v>
      </c>
      <c r="Y7" s="48">
        <v>26000</v>
      </c>
      <c r="Z7" s="48">
        <f t="shared" si="2"/>
        <v>23400</v>
      </c>
    </row>
    <row r="8" spans="1:30" ht="29.25">
      <c r="A8" s="5" t="s">
        <v>26</v>
      </c>
      <c r="B8" t="s">
        <v>61</v>
      </c>
      <c r="C8" t="s">
        <v>63</v>
      </c>
      <c r="R8" s="49" t="str">
        <f>Table15[[#This Row],[Product/Package]]</f>
        <v>Renewables RTM Analysis</v>
      </c>
      <c r="S8" s="48">
        <v>20000</v>
      </c>
      <c r="T8" s="48">
        <f t="shared" si="3"/>
        <v>18000</v>
      </c>
      <c r="U8" s="49">
        <f>INDEX('Company lists'!$U$1:$AK$1, MATCH(Table15[[#This Row],[Product/Package]], Table3[[#Headers],[Industry Essentials]:[Energy User Regulation]],0))</f>
        <v>429</v>
      </c>
      <c r="V8" s="48">
        <f t="shared" si="0"/>
        <v>7700000</v>
      </c>
      <c r="W8" s="48">
        <v>17000</v>
      </c>
      <c r="X8" s="48">
        <f t="shared" si="1"/>
        <v>15300</v>
      </c>
      <c r="Y8" s="48">
        <v>23000</v>
      </c>
      <c r="Z8" s="48">
        <f t="shared" si="2"/>
        <v>20700</v>
      </c>
    </row>
    <row r="9" spans="1:30" ht="29.25">
      <c r="A9" s="5" t="s">
        <v>27</v>
      </c>
      <c r="B9" t="s">
        <v>61</v>
      </c>
      <c r="C9" t="s">
        <v>122</v>
      </c>
      <c r="R9" s="49" t="str">
        <f>Table15[[#This Row],[Product/Package]]</f>
        <v>Renewables Forecasts</v>
      </c>
      <c r="S9" s="48">
        <v>56000</v>
      </c>
      <c r="T9" s="48">
        <f t="shared" si="3"/>
        <v>50400</v>
      </c>
      <c r="U9" s="49">
        <f>INDEX('Company lists'!$U$1:$AK$1, MATCH(Table15[[#This Row],[Product/Package]], Table3[[#Headers],[Industry Essentials]:[Energy User Regulation]],0))</f>
        <v>553</v>
      </c>
      <c r="V9" s="48">
        <f t="shared" si="0"/>
        <v>27850000</v>
      </c>
      <c r="W9" s="48">
        <v>47000</v>
      </c>
      <c r="X9" s="48">
        <f t="shared" si="1"/>
        <v>42300</v>
      </c>
      <c r="Y9" s="48">
        <v>66000</v>
      </c>
      <c r="Z9" s="48">
        <f t="shared" si="2"/>
        <v>59400</v>
      </c>
    </row>
    <row r="10" spans="1:30" ht="29.25">
      <c r="A10" s="5" t="s">
        <v>28</v>
      </c>
      <c r="B10" t="s">
        <v>61</v>
      </c>
      <c r="R10" s="49" t="str">
        <f>Table15[[#This Row],[Product/Package]]</f>
        <v>Renewables Regulation</v>
      </c>
      <c r="S10" s="48">
        <v>25000</v>
      </c>
      <c r="T10" s="48">
        <f t="shared" si="3"/>
        <v>22500</v>
      </c>
      <c r="U10" s="49">
        <f>INDEX('Company lists'!$U$1:$AK$1, MATCH(Table15[[#This Row],[Product/Package]], Table3[[#Headers],[Industry Essentials]:[Energy User Regulation]],0))</f>
        <v>382</v>
      </c>
      <c r="V10" s="48">
        <f t="shared" si="0"/>
        <v>8600000</v>
      </c>
      <c r="W10" s="48">
        <v>21000</v>
      </c>
      <c r="X10" s="48">
        <f t="shared" si="1"/>
        <v>18900</v>
      </c>
      <c r="Y10" s="48">
        <v>29000</v>
      </c>
      <c r="Z10" s="48">
        <f t="shared" si="2"/>
        <v>26100</v>
      </c>
    </row>
    <row r="11" spans="1:30" ht="43.5">
      <c r="A11" s="5" t="s">
        <v>29</v>
      </c>
      <c r="B11" t="s">
        <v>62</v>
      </c>
      <c r="C11" t="s">
        <v>122</v>
      </c>
      <c r="D11" t="s">
        <v>63</v>
      </c>
      <c r="E11" t="s">
        <v>60</v>
      </c>
      <c r="R11" s="49" t="str">
        <f>Table15[[#This Row],[Product/Package]]</f>
        <v>Flexibility Market Intelligence</v>
      </c>
      <c r="S11" s="48">
        <v>27000</v>
      </c>
      <c r="T11" s="48">
        <f t="shared" si="3"/>
        <v>24300</v>
      </c>
      <c r="U11" s="49">
        <f>INDEX('Company lists'!$U$1:$AK$1, MATCH(Table15[[#This Row],[Product/Package]], Table3[[#Headers],[Industry Essentials]:[Energy User Regulation]],0))</f>
        <v>527</v>
      </c>
      <c r="V11" s="48">
        <f t="shared" si="0"/>
        <v>12800000</v>
      </c>
      <c r="W11" s="48">
        <v>24000</v>
      </c>
      <c r="X11" s="48">
        <f t="shared" si="1"/>
        <v>21600</v>
      </c>
      <c r="Y11" s="48">
        <v>33000</v>
      </c>
      <c r="Z11" s="48">
        <f t="shared" si="2"/>
        <v>29700</v>
      </c>
    </row>
    <row r="12" spans="1:30" ht="29.25">
      <c r="A12" s="5" t="s">
        <v>30</v>
      </c>
      <c r="B12" t="s">
        <v>62</v>
      </c>
      <c r="C12" t="s">
        <v>63</v>
      </c>
      <c r="R12" s="49" t="str">
        <f>Table15[[#This Row],[Product/Package]]</f>
        <v>Flexibility RTM Analysis</v>
      </c>
      <c r="S12" s="48">
        <v>10000</v>
      </c>
      <c r="T12" s="48">
        <f t="shared" si="3"/>
        <v>9000</v>
      </c>
      <c r="U12" s="49">
        <f>INDEX('Company lists'!$U$1:$AK$1, MATCH(Table15[[#This Row],[Product/Package]], Table3[[#Headers],[Industry Essentials]:[Energy User Regulation]],0))</f>
        <v>268</v>
      </c>
      <c r="V12" s="48">
        <f t="shared" si="0"/>
        <v>2400000</v>
      </c>
      <c r="W12" s="48">
        <v>8500</v>
      </c>
      <c r="X12" s="48">
        <f t="shared" si="1"/>
        <v>7650</v>
      </c>
      <c r="Y12" s="48">
        <v>12000</v>
      </c>
      <c r="Z12" s="48">
        <f t="shared" si="2"/>
        <v>10800</v>
      </c>
    </row>
    <row r="13" spans="1:30" ht="29.25">
      <c r="A13" s="5" t="s">
        <v>31</v>
      </c>
      <c r="B13" t="s">
        <v>62</v>
      </c>
      <c r="C13" t="s">
        <v>122</v>
      </c>
      <c r="D13" t="s">
        <v>144</v>
      </c>
      <c r="E13" t="s">
        <v>63</v>
      </c>
      <c r="R13" s="49" t="str">
        <f>Table15[[#This Row],[Product/Package]]</f>
        <v>Flexibility Forecasts</v>
      </c>
      <c r="S13" s="48">
        <v>42000</v>
      </c>
      <c r="T13" s="48">
        <f t="shared" si="3"/>
        <v>37800</v>
      </c>
      <c r="U13" s="49">
        <f>INDEX('Company lists'!$U$1:$AK$1, MATCH(Table15[[#This Row],[Product/Package]], Table3[[#Headers],[Industry Essentials]:[Energy User Regulation]],0))</f>
        <v>461</v>
      </c>
      <c r="V13" s="48">
        <f t="shared" si="0"/>
        <v>17450000</v>
      </c>
      <c r="W13" s="48">
        <v>35000</v>
      </c>
      <c r="X13" s="48">
        <f t="shared" si="1"/>
        <v>31500</v>
      </c>
      <c r="Y13" s="48">
        <v>49000</v>
      </c>
      <c r="Z13" s="48">
        <f t="shared" si="2"/>
        <v>44100</v>
      </c>
    </row>
    <row r="14" spans="1:30" ht="29.25">
      <c r="A14" s="5" t="s">
        <v>32</v>
      </c>
      <c r="B14" t="s">
        <v>62</v>
      </c>
      <c r="R14" s="49" t="str">
        <f>Table15[[#This Row],[Product/Package]]</f>
        <v>Flexibility Regulation</v>
      </c>
      <c r="S14" s="48">
        <v>24000</v>
      </c>
      <c r="T14" s="48">
        <f t="shared" si="3"/>
        <v>21600</v>
      </c>
      <c r="U14" s="49">
        <f>INDEX('Company lists'!$U$1:$AK$1, MATCH(Table15[[#This Row],[Product/Package]], Table3[[#Headers],[Industry Essentials]:[Energy User Regulation]],0))</f>
        <v>228</v>
      </c>
      <c r="V14" s="48">
        <f t="shared" si="0"/>
        <v>4900000</v>
      </c>
      <c r="W14" s="48">
        <v>28000</v>
      </c>
      <c r="X14" s="48">
        <f t="shared" si="1"/>
        <v>25200</v>
      </c>
      <c r="Y14" s="48">
        <v>40000</v>
      </c>
      <c r="Z14" s="48">
        <f t="shared" si="2"/>
        <v>36000</v>
      </c>
    </row>
    <row r="15" spans="1:30" ht="29.25">
      <c r="A15" s="5" t="s">
        <v>33</v>
      </c>
      <c r="B15" t="s">
        <v>135</v>
      </c>
      <c r="C15" t="s">
        <v>76</v>
      </c>
      <c r="R15" s="49" t="str">
        <f>Table15[[#This Row],[Product/Package]]</f>
        <v>Business Energy Essentials</v>
      </c>
      <c r="S15" s="48">
        <v>15000</v>
      </c>
      <c r="T15" s="48">
        <f t="shared" si="3"/>
        <v>13500</v>
      </c>
      <c r="U15" s="49">
        <f>INDEX('Company lists'!$U$1:$AK$1, MATCH(Table15[[#This Row],[Product/Package]], Table3[[#Headers],[Industry Essentials]:[Energy User Regulation]],0))</f>
        <v>522</v>
      </c>
      <c r="V15" s="48">
        <f t="shared" si="0"/>
        <v>7050000</v>
      </c>
      <c r="W15" s="48">
        <v>12000</v>
      </c>
      <c r="X15" s="48">
        <f t="shared" si="1"/>
        <v>10800</v>
      </c>
      <c r="Y15" s="48">
        <v>17000</v>
      </c>
      <c r="Z15" s="48">
        <f t="shared" si="2"/>
        <v>15300</v>
      </c>
    </row>
    <row r="16" spans="1:30" ht="29.25">
      <c r="A16" s="5" t="s">
        <v>34</v>
      </c>
      <c r="B16" t="s">
        <v>135</v>
      </c>
      <c r="C16" t="s">
        <v>265</v>
      </c>
      <c r="R16" s="49" t="str">
        <f>Table15[[#This Row],[Product/Package]]</f>
        <v>Energy User RTM Analysis</v>
      </c>
      <c r="S16" s="48">
        <v>15000</v>
      </c>
      <c r="T16" s="48">
        <f t="shared" si="3"/>
        <v>13500</v>
      </c>
      <c r="U16" s="49">
        <f>INDEX('Company lists'!$U$1:$AK$1, MATCH(Table15[[#This Row],[Product/Package]], Table3[[#Headers],[Industry Essentials]:[Energy User Regulation]],0))</f>
        <v>587</v>
      </c>
      <c r="V16" s="48">
        <f t="shared" si="0"/>
        <v>7900000</v>
      </c>
      <c r="W16" s="48">
        <v>12500</v>
      </c>
      <c r="X16" s="48">
        <f t="shared" si="1"/>
        <v>11250</v>
      </c>
      <c r="Y16" s="48">
        <v>17500</v>
      </c>
      <c r="Z16" s="48">
        <f t="shared" si="2"/>
        <v>15750</v>
      </c>
    </row>
    <row r="17" spans="1:26" ht="29.25">
      <c r="A17" s="5" t="s">
        <v>35</v>
      </c>
      <c r="B17" t="s">
        <v>135</v>
      </c>
      <c r="C17" t="s">
        <v>144</v>
      </c>
      <c r="D17" t="s">
        <v>76</v>
      </c>
      <c r="R17" s="49" t="str">
        <f>Table15[[#This Row],[Product/Package]]</f>
        <v>Energy User Forecasts</v>
      </c>
      <c r="S17" s="48">
        <v>26000</v>
      </c>
      <c r="T17" s="48">
        <f t="shared" si="3"/>
        <v>23400</v>
      </c>
      <c r="U17" s="49">
        <f>INDEX('Company lists'!$U$1:$AK$1, MATCH(Table15[[#This Row],[Product/Package]], Table3[[#Headers],[Industry Essentials]:[Energy User Regulation]],0))</f>
        <v>531</v>
      </c>
      <c r="V17" s="48">
        <f t="shared" si="0"/>
        <v>12450000</v>
      </c>
      <c r="W17" s="48">
        <v>22000</v>
      </c>
      <c r="X17" s="48">
        <f t="shared" si="1"/>
        <v>19800</v>
      </c>
      <c r="Y17" s="48">
        <v>30000</v>
      </c>
      <c r="Z17" s="48">
        <f t="shared" si="2"/>
        <v>27000</v>
      </c>
    </row>
    <row r="18" spans="1:26" ht="29.25">
      <c r="A18" s="5" t="s">
        <v>36</v>
      </c>
      <c r="B18" t="s">
        <v>135</v>
      </c>
      <c r="R18" s="49" t="str">
        <f>Table15[[#This Row],[Product/Package]]</f>
        <v>Energy User Regulation</v>
      </c>
      <c r="S18" s="48">
        <v>6000</v>
      </c>
      <c r="T18" s="48">
        <f t="shared" si="3"/>
        <v>5400</v>
      </c>
      <c r="U18" s="49">
        <f>INDEX('Company lists'!$U$1:$AK$1, MATCH(Table15[[#This Row],[Product/Package]], Table3[[#Headers],[Industry Essentials]:[Energy User Regulation]],0))</f>
        <v>0</v>
      </c>
      <c r="V18" s="48">
        <f t="shared" si="0"/>
        <v>0</v>
      </c>
      <c r="W18" s="48">
        <v>5000</v>
      </c>
      <c r="X18" s="48">
        <f t="shared" si="1"/>
        <v>4500</v>
      </c>
      <c r="Y18" s="48">
        <v>7000</v>
      </c>
      <c r="Z18" s="48">
        <f t="shared" si="2"/>
        <v>6300</v>
      </c>
    </row>
    <row r="19" spans="1:26">
      <c r="A19" s="5" t="s">
        <v>58</v>
      </c>
    </row>
    <row r="20" spans="1:26">
      <c r="A20" t="s">
        <v>1724</v>
      </c>
      <c r="B20" t="s">
        <v>1725</v>
      </c>
      <c r="C20" t="s">
        <v>1726</v>
      </c>
      <c r="D20" t="s">
        <v>1727</v>
      </c>
      <c r="E20" t="s">
        <v>1728</v>
      </c>
      <c r="F20" t="s">
        <v>1729</v>
      </c>
      <c r="G20" t="s">
        <v>1730</v>
      </c>
      <c r="H20" t="s">
        <v>1731</v>
      </c>
      <c r="I20" t="s">
        <v>1732</v>
      </c>
      <c r="J20" t="s">
        <v>1733</v>
      </c>
      <c r="K20" t="s">
        <v>1734</v>
      </c>
      <c r="L20" t="s">
        <v>1735</v>
      </c>
      <c r="M20" t="s">
        <v>1736</v>
      </c>
      <c r="N20" t="s">
        <v>1737</v>
      </c>
      <c r="O20" t="s">
        <v>1738</v>
      </c>
      <c r="P20" t="s">
        <v>1739</v>
      </c>
    </row>
    <row r="21" spans="1:26" ht="29.25">
      <c r="A21" s="5" t="s">
        <v>20</v>
      </c>
      <c r="B21">
        <f>IFERROR(INDEX(Categories!$E$2:$E$15, MATCH('New pivot'!B2, Users,0)),0)</f>
        <v>25</v>
      </c>
      <c r="C21">
        <f>IFERROR(INDEX(Categories!$E$2:$E$15, MATCH('New pivot'!C2, Users,0)),0)</f>
        <v>25</v>
      </c>
      <c r="D21">
        <f>IFERROR(INDEX(Categories!$E$2:$E$15, MATCH('New pivot'!D2, Users,0)),0)</f>
        <v>28</v>
      </c>
      <c r="E21">
        <f>IFERROR(INDEX(Categories!$E$2:$E$15, MATCH('New pivot'!E2, Users,0)),0)</f>
        <v>122</v>
      </c>
      <c r="F21">
        <f>IFERROR(INDEX(Categories!$E$2:$E$15, MATCH('New pivot'!F2, Users,0)),0)</f>
        <v>18</v>
      </c>
      <c r="G21">
        <f>IFERROR(INDEX(Categories!$E$2:$E$15, MATCH('New pivot'!G2, Users,0)),0)</f>
        <v>23</v>
      </c>
      <c r="H21">
        <f>IFERROR(INDEX(Categories!$E$2:$E$15, MATCH('New pivot'!H2, Users,0)),0)</f>
        <v>58</v>
      </c>
      <c r="I21">
        <f>IFERROR(INDEX(Categories!$E$2:$E$15, MATCH('New pivot'!I2, Users,0)),0)</f>
        <v>18</v>
      </c>
      <c r="J21">
        <f>IFERROR(INDEX(Categories!$E$2:$E$15, MATCH('New pivot'!J2, Users,0)),0)</f>
        <v>15</v>
      </c>
      <c r="K21">
        <f>IFERROR(INDEX(Categories!$E$2:$E$15, MATCH('New pivot'!K2, Users,0)),0)</f>
        <v>9</v>
      </c>
      <c r="L21">
        <f>IFERROR(INDEX(Categories!$E$2:$E$15, MATCH('New pivot'!L2, Users,0)),0)</f>
        <v>4</v>
      </c>
      <c r="M21">
        <f>IFERROR(INDEX(Categories!$E$2:$E$15, MATCH('New pivot'!M2, Users,0)),0)</f>
        <v>2</v>
      </c>
      <c r="N21">
        <f>IFERROR(INDEX(Categories!$E$2:$E$15, MATCH('New pivot'!N2, Users,0)),0)</f>
        <v>0</v>
      </c>
      <c r="O21">
        <f>IFERROR(INDEX(Categories!$E$2:$E$15, MATCH('New pivot'!O2, Users,0)),0)</f>
        <v>0</v>
      </c>
      <c r="P21">
        <f>IFERROR(INDEX(Categories!$E$2:$E$15, MATCH('New pivot'!P2, Users,0)),0)</f>
        <v>0</v>
      </c>
    </row>
    <row r="22" spans="1:26" ht="43.5">
      <c r="A22" s="5" t="s">
        <v>1691</v>
      </c>
      <c r="B22">
        <f>IFERROR(INDEX(Categories!$E$2:$E$15, MATCH('New pivot'!B3, Users,0)),0)</f>
        <v>25</v>
      </c>
      <c r="C22">
        <f>IFERROR(INDEX(Categories!$E$2:$E$15, MATCH('New pivot'!C3, Users,0)),0)</f>
        <v>23</v>
      </c>
      <c r="D22">
        <f>IFERROR(INDEX(Categories!$E$2:$E$15, MATCH('New pivot'!D3, Users,0)),0)</f>
        <v>0</v>
      </c>
      <c r="E22">
        <f>IFERROR(INDEX(Categories!$E$2:$E$15, MATCH('New pivot'!E3, Users,0)),0)</f>
        <v>0</v>
      </c>
      <c r="F22">
        <f>IFERROR(INDEX(Categories!$E$2:$E$15, MATCH('New pivot'!F3, Users,0)),0)</f>
        <v>0</v>
      </c>
      <c r="G22">
        <f>IFERROR(INDEX(Categories!$E$2:$E$15, MATCH('New pivot'!G3, Users,0)),0)</f>
        <v>0</v>
      </c>
      <c r="H22">
        <f>IFERROR(INDEX(Categories!$E$2:$E$15, MATCH('New pivot'!H3, Users,0)),0)</f>
        <v>0</v>
      </c>
      <c r="I22">
        <f>IFERROR(INDEX(Categories!$E$2:$E$15, MATCH('New pivot'!I3, Users,0)),0)</f>
        <v>0</v>
      </c>
      <c r="J22">
        <f>IFERROR(INDEX(Categories!$E$2:$E$15, MATCH('New pivot'!J3, Users,0)),0)</f>
        <v>0</v>
      </c>
      <c r="K22">
        <f>IFERROR(INDEX(Categories!$E$2:$E$15, MATCH('New pivot'!K3, Users,0)),0)</f>
        <v>0</v>
      </c>
      <c r="L22">
        <f>IFERROR(INDEX(Categories!$E$2:$E$15, MATCH('New pivot'!L3, Users,0)),0)</f>
        <v>0</v>
      </c>
      <c r="M22">
        <f>IFERROR(INDEX(Categories!$E$2:$E$15, MATCH('New pivot'!M3, Users,0)),0)</f>
        <v>0</v>
      </c>
      <c r="N22">
        <f>IFERROR(INDEX(Categories!$E$2:$E$15, MATCH('New pivot'!N3, Users,0)),0)</f>
        <v>0</v>
      </c>
      <c r="O22">
        <f>IFERROR(INDEX(Categories!$E$2:$E$15, MATCH('New pivot'!O3, Users,0)),0)</f>
        <v>0</v>
      </c>
      <c r="P22">
        <f>IFERROR(INDEX(Categories!$E$2:$E$15, MATCH('New pivot'!P3, Users,0)),0)</f>
        <v>0</v>
      </c>
    </row>
    <row r="23" spans="1:26" ht="29.25">
      <c r="A23" s="5" t="s">
        <v>22</v>
      </c>
      <c r="B23">
        <f>IFERROR(INDEX(Categories!$E$2:$E$15, MATCH('New pivot'!B4, Users,0)),0)</f>
        <v>25</v>
      </c>
      <c r="C23">
        <f>IFERROR(INDEX(Categories!$E$2:$E$15, MATCH('New pivot'!C4, Users,0)),0)</f>
        <v>15</v>
      </c>
      <c r="D23">
        <f>IFERROR(INDEX(Categories!$E$2:$E$15, MATCH('New pivot'!D4, Users,0)),0)</f>
        <v>23</v>
      </c>
      <c r="E23">
        <f>IFERROR(INDEX(Categories!$E$2:$E$15, MATCH('New pivot'!E4, Users,0)),0)</f>
        <v>0</v>
      </c>
      <c r="F23">
        <f>IFERROR(INDEX(Categories!$E$2:$E$15, MATCH('New pivot'!F4, Users,0)),0)</f>
        <v>0</v>
      </c>
      <c r="G23">
        <f>IFERROR(INDEX(Categories!$E$2:$E$15, MATCH('New pivot'!G4, Users,0)),0)</f>
        <v>0</v>
      </c>
      <c r="H23">
        <f>IFERROR(INDEX(Categories!$E$2:$E$15, MATCH('New pivot'!H4, Users,0)),0)</f>
        <v>0</v>
      </c>
      <c r="I23">
        <f>IFERROR(INDEX(Categories!$E$2:$E$15, MATCH('New pivot'!I4, Users,0)),0)</f>
        <v>0</v>
      </c>
      <c r="J23">
        <f>IFERROR(INDEX(Categories!$E$2:$E$15, MATCH('New pivot'!J4, Users,0)),0)</f>
        <v>0</v>
      </c>
      <c r="K23">
        <f>IFERROR(INDEX(Categories!$E$2:$E$15, MATCH('New pivot'!K4, Users,0)),0)</f>
        <v>0</v>
      </c>
      <c r="L23">
        <f>IFERROR(INDEX(Categories!$E$2:$E$15, MATCH('New pivot'!L4, Users,0)),0)</f>
        <v>0</v>
      </c>
      <c r="M23">
        <f>IFERROR(INDEX(Categories!$E$2:$E$15, MATCH('New pivot'!M4, Users,0)),0)</f>
        <v>0</v>
      </c>
      <c r="N23">
        <f>IFERROR(INDEX(Categories!$E$2:$E$15, MATCH('New pivot'!N4, Users,0)),0)</f>
        <v>0</v>
      </c>
      <c r="O23">
        <f>IFERROR(INDEX(Categories!$E$2:$E$15, MATCH('New pivot'!O4, Users,0)),0)</f>
        <v>0</v>
      </c>
      <c r="P23">
        <f>IFERROR(INDEX(Categories!$E$2:$E$15, MATCH('New pivot'!P4, Users,0)),0)</f>
        <v>0</v>
      </c>
    </row>
    <row r="24" spans="1:26" ht="29.25">
      <c r="A24" s="5" t="s">
        <v>23</v>
      </c>
      <c r="B24">
        <f>IFERROR(INDEX(Categories!$E$2:$E$15, MATCH('New pivot'!B5, Users,0)),0)</f>
        <v>25</v>
      </c>
      <c r="C24">
        <f>IFERROR(INDEX(Categories!$E$2:$E$15, MATCH('New pivot'!C5, Users,0)),0)</f>
        <v>23</v>
      </c>
      <c r="D24">
        <f>IFERROR(INDEX(Categories!$E$2:$E$15, MATCH('New pivot'!D5, Users,0)),0)</f>
        <v>0</v>
      </c>
      <c r="E24">
        <f>IFERROR(INDEX(Categories!$E$2:$E$15, MATCH('New pivot'!E5, Users,0)),0)</f>
        <v>0</v>
      </c>
      <c r="F24">
        <f>IFERROR(INDEX(Categories!$E$2:$E$15, MATCH('New pivot'!F5, Users,0)),0)</f>
        <v>0</v>
      </c>
      <c r="G24">
        <f>IFERROR(INDEX(Categories!$E$2:$E$15, MATCH('New pivot'!G5, Users,0)),0)</f>
        <v>0</v>
      </c>
      <c r="H24">
        <f>IFERROR(INDEX(Categories!$E$2:$E$15, MATCH('New pivot'!H5, Users,0)),0)</f>
        <v>0</v>
      </c>
      <c r="I24">
        <f>IFERROR(INDEX(Categories!$E$2:$E$15, MATCH('New pivot'!I5, Users,0)),0)</f>
        <v>0</v>
      </c>
      <c r="J24">
        <f>IFERROR(INDEX(Categories!$E$2:$E$15, MATCH('New pivot'!J5, Users,0)),0)</f>
        <v>0</v>
      </c>
      <c r="K24">
        <f>IFERROR(INDEX(Categories!$E$2:$E$15, MATCH('New pivot'!K5, Users,0)),0)</f>
        <v>0</v>
      </c>
      <c r="L24">
        <f>IFERROR(INDEX(Categories!$E$2:$E$15, MATCH('New pivot'!L5, Users,0)),0)</f>
        <v>0</v>
      </c>
      <c r="M24">
        <f>IFERROR(INDEX(Categories!$E$2:$E$15, MATCH('New pivot'!M5, Users,0)),0)</f>
        <v>0</v>
      </c>
      <c r="N24">
        <f>IFERROR(INDEX(Categories!$E$2:$E$15, MATCH('New pivot'!N5, Users,0)),0)</f>
        <v>0</v>
      </c>
      <c r="O24">
        <f>IFERROR(INDEX(Categories!$E$2:$E$15, MATCH('New pivot'!O5, Users,0)),0)</f>
        <v>0</v>
      </c>
      <c r="P24">
        <f>IFERROR(INDEX(Categories!$E$2:$E$15, MATCH('New pivot'!P5, Users,0)),0)</f>
        <v>0</v>
      </c>
    </row>
    <row r="25" spans="1:26" ht="29.25">
      <c r="A25" s="5" t="s">
        <v>24</v>
      </c>
      <c r="B25">
        <f>IFERROR(INDEX(Categories!$E$2:$E$15, MATCH('New pivot'!B6, Users,0)),0)</f>
        <v>25</v>
      </c>
      <c r="C25">
        <f>IFERROR(INDEX(Categories!$E$2:$E$15, MATCH('New pivot'!C6, Users,0)),0)</f>
        <v>9</v>
      </c>
      <c r="D25">
        <f>IFERROR(INDEX(Categories!$E$2:$E$15, MATCH('New pivot'!D6, Users,0)),0)</f>
        <v>0</v>
      </c>
      <c r="E25">
        <f>IFERROR(INDEX(Categories!$E$2:$E$15, MATCH('New pivot'!E6, Users,0)),0)</f>
        <v>0</v>
      </c>
      <c r="F25">
        <f>IFERROR(INDEX(Categories!$E$2:$E$15, MATCH('New pivot'!F6, Users,0)),0)</f>
        <v>0</v>
      </c>
      <c r="G25">
        <f>IFERROR(INDEX(Categories!$E$2:$E$15, MATCH('New pivot'!G6, Users,0)),0)</f>
        <v>0</v>
      </c>
      <c r="H25">
        <f>IFERROR(INDEX(Categories!$E$2:$E$15, MATCH('New pivot'!H6, Users,0)),0)</f>
        <v>0</v>
      </c>
      <c r="I25">
        <f>IFERROR(INDEX(Categories!$E$2:$E$15, MATCH('New pivot'!I6, Users,0)),0)</f>
        <v>0</v>
      </c>
      <c r="J25">
        <f>IFERROR(INDEX(Categories!$E$2:$E$15, MATCH('New pivot'!J6, Users,0)),0)</f>
        <v>0</v>
      </c>
      <c r="K25">
        <f>IFERROR(INDEX(Categories!$E$2:$E$15, MATCH('New pivot'!K6, Users,0)),0)</f>
        <v>0</v>
      </c>
      <c r="L25">
        <f>IFERROR(INDEX(Categories!$E$2:$E$15, MATCH('New pivot'!L6, Users,0)),0)</f>
        <v>0</v>
      </c>
      <c r="M25">
        <f>IFERROR(INDEX(Categories!$E$2:$E$15, MATCH('New pivot'!M6, Users,0)),0)</f>
        <v>0</v>
      </c>
      <c r="N25">
        <f>IFERROR(INDEX(Categories!$E$2:$E$15, MATCH('New pivot'!N6, Users,0)),0)</f>
        <v>0</v>
      </c>
      <c r="O25">
        <f>IFERROR(INDEX(Categories!$E$2:$E$15, MATCH('New pivot'!O6, Users,0)),0)</f>
        <v>0</v>
      </c>
      <c r="P25">
        <f>IFERROR(INDEX(Categories!$E$2:$E$15, MATCH('New pivot'!P6, Users,0)),0)</f>
        <v>0</v>
      </c>
    </row>
    <row r="26" spans="1:26" ht="43.5">
      <c r="A26" s="5" t="s">
        <v>25</v>
      </c>
      <c r="B26">
        <f>IFERROR(INDEX(Categories!$E$2:$E$15, MATCH('New pivot'!B7, Users,0)),0)</f>
        <v>25</v>
      </c>
      <c r="C26">
        <f>IFERROR(INDEX(Categories!$E$2:$E$15, MATCH('New pivot'!C7, Users,0)),0)</f>
        <v>122</v>
      </c>
      <c r="D26">
        <f>IFERROR(INDEX(Categories!$E$2:$E$15, MATCH('New pivot'!D7, Users,0)),0)</f>
        <v>0</v>
      </c>
      <c r="E26">
        <f>IFERROR(INDEX(Categories!$E$2:$E$15, MATCH('New pivot'!E7, Users,0)),0)</f>
        <v>0</v>
      </c>
      <c r="F26">
        <f>IFERROR(INDEX(Categories!$E$2:$E$15, MATCH('New pivot'!F7, Users,0)),0)</f>
        <v>0</v>
      </c>
      <c r="G26">
        <f>IFERROR(INDEX(Categories!$E$2:$E$15, MATCH('New pivot'!G7, Users,0)),0)</f>
        <v>0</v>
      </c>
      <c r="H26">
        <f>IFERROR(INDEX(Categories!$E$2:$E$15, MATCH('New pivot'!H7, Users,0)),0)</f>
        <v>0</v>
      </c>
      <c r="I26">
        <f>IFERROR(INDEX(Categories!$E$2:$E$15, MATCH('New pivot'!I7, Users,0)),0)</f>
        <v>0</v>
      </c>
      <c r="J26">
        <f>IFERROR(INDEX(Categories!$E$2:$E$15, MATCH('New pivot'!J7, Users,0)),0)</f>
        <v>0</v>
      </c>
      <c r="K26">
        <f>IFERROR(INDEX(Categories!$E$2:$E$15, MATCH('New pivot'!K7, Users,0)),0)</f>
        <v>0</v>
      </c>
      <c r="L26">
        <f>IFERROR(INDEX(Categories!$E$2:$E$15, MATCH('New pivot'!L7, Users,0)),0)</f>
        <v>0</v>
      </c>
      <c r="M26">
        <f>IFERROR(INDEX(Categories!$E$2:$E$15, MATCH('New pivot'!M7, Users,0)),0)</f>
        <v>0</v>
      </c>
      <c r="N26">
        <f>IFERROR(INDEX(Categories!$E$2:$E$15, MATCH('New pivot'!N7, Users,0)),0)</f>
        <v>0</v>
      </c>
      <c r="O26">
        <f>IFERROR(INDEX(Categories!$E$2:$E$15, MATCH('New pivot'!O7, Users,0)),0)</f>
        <v>0</v>
      </c>
      <c r="P26">
        <f>IFERROR(INDEX(Categories!$E$2:$E$15, MATCH('New pivot'!P7, Users,0)),0)</f>
        <v>0</v>
      </c>
    </row>
    <row r="27" spans="1:26" ht="29.25">
      <c r="A27" s="5" t="s">
        <v>26</v>
      </c>
      <c r="B27">
        <f>IFERROR(INDEX(Categories!$E$2:$E$15, MATCH('New pivot'!B8, Users,0)),0)</f>
        <v>25</v>
      </c>
      <c r="C27">
        <f>IFERROR(INDEX(Categories!$E$2:$E$15, MATCH('New pivot'!C8, Users,0)),0)</f>
        <v>15</v>
      </c>
      <c r="D27">
        <f>IFERROR(INDEX(Categories!$E$2:$E$15, MATCH('New pivot'!D8, Users,0)),0)</f>
        <v>0</v>
      </c>
      <c r="E27">
        <f>IFERROR(INDEX(Categories!$E$2:$E$15, MATCH('New pivot'!E8, Users,0)),0)</f>
        <v>0</v>
      </c>
      <c r="F27">
        <f>IFERROR(INDEX(Categories!$E$2:$E$15, MATCH('New pivot'!F8, Users,0)),0)</f>
        <v>0</v>
      </c>
      <c r="G27">
        <f>IFERROR(INDEX(Categories!$E$2:$E$15, MATCH('New pivot'!G8, Users,0)),0)</f>
        <v>0</v>
      </c>
      <c r="H27">
        <f>IFERROR(INDEX(Categories!$E$2:$E$15, MATCH('New pivot'!H8, Users,0)),0)</f>
        <v>0</v>
      </c>
      <c r="I27">
        <f>IFERROR(INDEX(Categories!$E$2:$E$15, MATCH('New pivot'!I8, Users,0)),0)</f>
        <v>0</v>
      </c>
      <c r="J27">
        <f>IFERROR(INDEX(Categories!$E$2:$E$15, MATCH('New pivot'!J8, Users,0)),0)</f>
        <v>0</v>
      </c>
      <c r="K27">
        <f>IFERROR(INDEX(Categories!$E$2:$E$15, MATCH('New pivot'!K8, Users,0)),0)</f>
        <v>0</v>
      </c>
      <c r="L27">
        <f>IFERROR(INDEX(Categories!$E$2:$E$15, MATCH('New pivot'!L8, Users,0)),0)</f>
        <v>0</v>
      </c>
      <c r="M27">
        <f>IFERROR(INDEX(Categories!$E$2:$E$15, MATCH('New pivot'!M8, Users,0)),0)</f>
        <v>0</v>
      </c>
      <c r="N27">
        <f>IFERROR(INDEX(Categories!$E$2:$E$15, MATCH('New pivot'!N8, Users,0)),0)</f>
        <v>0</v>
      </c>
      <c r="O27">
        <f>IFERROR(INDEX(Categories!$E$2:$E$15, MATCH('New pivot'!O8, Users,0)),0)</f>
        <v>0</v>
      </c>
      <c r="P27">
        <f>IFERROR(INDEX(Categories!$E$2:$E$15, MATCH('New pivot'!P8, Users,0)),0)</f>
        <v>0</v>
      </c>
    </row>
    <row r="28" spans="1:26" ht="29.25">
      <c r="A28" s="5" t="s">
        <v>27</v>
      </c>
      <c r="B28">
        <f>IFERROR(INDEX(Categories!$E$2:$E$15, MATCH('New pivot'!B9, Users,0)),0)</f>
        <v>25</v>
      </c>
      <c r="C28">
        <f>IFERROR(INDEX(Categories!$E$2:$E$15, MATCH('New pivot'!C9, Users,0)),0)</f>
        <v>122</v>
      </c>
      <c r="D28">
        <f>IFERROR(INDEX(Categories!$E$2:$E$15, MATCH('New pivot'!D9, Users,0)),0)</f>
        <v>0</v>
      </c>
      <c r="E28">
        <f>IFERROR(INDEX(Categories!$E$2:$E$15, MATCH('New pivot'!E9, Users,0)),0)</f>
        <v>0</v>
      </c>
      <c r="F28">
        <f>IFERROR(INDEX(Categories!$E$2:$E$15, MATCH('New pivot'!F9, Users,0)),0)</f>
        <v>0</v>
      </c>
      <c r="G28">
        <f>IFERROR(INDEX(Categories!$E$2:$E$15, MATCH('New pivot'!G9, Users,0)),0)</f>
        <v>0</v>
      </c>
      <c r="H28">
        <f>IFERROR(INDEX(Categories!$E$2:$E$15, MATCH('New pivot'!H9, Users,0)),0)</f>
        <v>0</v>
      </c>
      <c r="I28">
        <f>IFERROR(INDEX(Categories!$E$2:$E$15, MATCH('New pivot'!I9, Users,0)),0)</f>
        <v>0</v>
      </c>
      <c r="J28">
        <f>IFERROR(INDEX(Categories!$E$2:$E$15, MATCH('New pivot'!J9, Users,0)),0)</f>
        <v>0</v>
      </c>
      <c r="K28">
        <f>IFERROR(INDEX(Categories!$E$2:$E$15, MATCH('New pivot'!K9, Users,0)),0)</f>
        <v>0</v>
      </c>
      <c r="L28">
        <f>IFERROR(INDEX(Categories!$E$2:$E$15, MATCH('New pivot'!L9, Users,0)),0)</f>
        <v>0</v>
      </c>
      <c r="M28">
        <f>IFERROR(INDEX(Categories!$E$2:$E$15, MATCH('New pivot'!M9, Users,0)),0)</f>
        <v>0</v>
      </c>
      <c r="N28">
        <f>IFERROR(INDEX(Categories!$E$2:$E$15, MATCH('New pivot'!N9, Users,0)),0)</f>
        <v>0</v>
      </c>
      <c r="O28">
        <f>IFERROR(INDEX(Categories!$E$2:$E$15, MATCH('New pivot'!O9, Users,0)),0)</f>
        <v>0</v>
      </c>
      <c r="P28">
        <f>IFERROR(INDEX(Categories!$E$2:$E$15, MATCH('New pivot'!P9, Users,0)),0)</f>
        <v>0</v>
      </c>
    </row>
    <row r="29" spans="1:26" ht="29.25">
      <c r="A29" s="5" t="s">
        <v>28</v>
      </c>
      <c r="B29">
        <f>IFERROR(INDEX(Categories!$E$2:$E$15, MATCH('New pivot'!B10, Users,0)),0)</f>
        <v>25</v>
      </c>
      <c r="C29">
        <f>IFERROR(INDEX(Categories!$E$2:$E$15, MATCH('New pivot'!C10, Users,0)),0)</f>
        <v>0</v>
      </c>
      <c r="D29">
        <f>IFERROR(INDEX(Categories!$E$2:$E$15, MATCH('New pivot'!D10, Users,0)),0)</f>
        <v>0</v>
      </c>
      <c r="E29">
        <f>IFERROR(INDEX(Categories!$E$2:$E$15, MATCH('New pivot'!E10, Users,0)),0)</f>
        <v>0</v>
      </c>
      <c r="F29">
        <f>IFERROR(INDEX(Categories!$E$2:$E$15, MATCH('New pivot'!F10, Users,0)),0)</f>
        <v>0</v>
      </c>
      <c r="G29">
        <f>IFERROR(INDEX(Categories!$E$2:$E$15, MATCH('New pivot'!G10, Users,0)),0)</f>
        <v>0</v>
      </c>
      <c r="H29">
        <f>IFERROR(INDEX(Categories!$E$2:$E$15, MATCH('New pivot'!H10, Users,0)),0)</f>
        <v>0</v>
      </c>
      <c r="I29">
        <f>IFERROR(INDEX(Categories!$E$2:$E$15, MATCH('New pivot'!I10, Users,0)),0)</f>
        <v>0</v>
      </c>
      <c r="J29">
        <f>IFERROR(INDEX(Categories!$E$2:$E$15, MATCH('New pivot'!J10, Users,0)),0)</f>
        <v>0</v>
      </c>
      <c r="K29">
        <f>IFERROR(INDEX(Categories!$E$2:$E$15, MATCH('New pivot'!K10, Users,0)),0)</f>
        <v>0</v>
      </c>
      <c r="L29">
        <f>IFERROR(INDEX(Categories!$E$2:$E$15, MATCH('New pivot'!L10, Users,0)),0)</f>
        <v>0</v>
      </c>
      <c r="M29">
        <f>IFERROR(INDEX(Categories!$E$2:$E$15, MATCH('New pivot'!M10, Users,0)),0)</f>
        <v>0</v>
      </c>
      <c r="N29">
        <f>IFERROR(INDEX(Categories!$E$2:$E$15, MATCH('New pivot'!N10, Users,0)),0)</f>
        <v>0</v>
      </c>
      <c r="O29">
        <f>IFERROR(INDEX(Categories!$E$2:$E$15, MATCH('New pivot'!O10, Users,0)),0)</f>
        <v>0</v>
      </c>
      <c r="P29">
        <f>IFERROR(INDEX(Categories!$E$2:$E$15, MATCH('New pivot'!P10, Users,0)),0)</f>
        <v>0</v>
      </c>
    </row>
    <row r="30" spans="1:26" ht="43.5">
      <c r="A30" s="5" t="s">
        <v>29</v>
      </c>
      <c r="B30">
        <f>IFERROR(INDEX(Categories!$E$2:$E$15, MATCH('New pivot'!B11, Users,0)),0)</f>
        <v>28</v>
      </c>
      <c r="C30">
        <f>IFERROR(INDEX(Categories!$E$2:$E$15, MATCH('New pivot'!C11, Users,0)),0)</f>
        <v>122</v>
      </c>
      <c r="D30">
        <f>IFERROR(INDEX(Categories!$E$2:$E$15, MATCH('New pivot'!D11, Users,0)),0)</f>
        <v>15</v>
      </c>
      <c r="E30">
        <f>IFERROR(INDEX(Categories!$E$2:$E$15, MATCH('New pivot'!E11, Users,0)),0)</f>
        <v>25</v>
      </c>
      <c r="F30">
        <f>IFERROR(INDEX(Categories!$E$2:$E$15, MATCH('New pivot'!F11, Users,0)),0)</f>
        <v>0</v>
      </c>
      <c r="G30">
        <f>IFERROR(INDEX(Categories!$E$2:$E$15, MATCH('New pivot'!G11, Users,0)),0)</f>
        <v>0</v>
      </c>
      <c r="H30">
        <f>IFERROR(INDEX(Categories!$E$2:$E$15, MATCH('New pivot'!H11, Users,0)),0)</f>
        <v>0</v>
      </c>
      <c r="I30">
        <f>IFERROR(INDEX(Categories!$E$2:$E$15, MATCH('New pivot'!I11, Users,0)),0)</f>
        <v>0</v>
      </c>
      <c r="J30">
        <f>IFERROR(INDEX(Categories!$E$2:$E$15, MATCH('New pivot'!J11, Users,0)),0)</f>
        <v>0</v>
      </c>
      <c r="K30">
        <f>IFERROR(INDEX(Categories!$E$2:$E$15, MATCH('New pivot'!K11, Users,0)),0)</f>
        <v>0</v>
      </c>
      <c r="L30">
        <f>IFERROR(INDEX(Categories!$E$2:$E$15, MATCH('New pivot'!L11, Users,0)),0)</f>
        <v>0</v>
      </c>
      <c r="M30">
        <f>IFERROR(INDEX(Categories!$E$2:$E$15, MATCH('New pivot'!M11, Users,0)),0)</f>
        <v>0</v>
      </c>
      <c r="N30">
        <f>IFERROR(INDEX(Categories!$E$2:$E$15, MATCH('New pivot'!N11, Users,0)),0)</f>
        <v>0</v>
      </c>
      <c r="O30">
        <f>IFERROR(INDEX(Categories!$E$2:$E$15, MATCH('New pivot'!O11, Users,0)),0)</f>
        <v>0</v>
      </c>
      <c r="P30">
        <f>IFERROR(INDEX(Categories!$E$2:$E$15, MATCH('New pivot'!P11, Users,0)),0)</f>
        <v>0</v>
      </c>
    </row>
    <row r="31" spans="1:26" ht="29.25">
      <c r="A31" s="5" t="s">
        <v>30</v>
      </c>
      <c r="B31">
        <f>IFERROR(INDEX(Categories!$E$2:$E$15, MATCH('New pivot'!B12, Users,0)),0)</f>
        <v>28</v>
      </c>
      <c r="C31">
        <f>IFERROR(INDEX(Categories!$E$2:$E$15, MATCH('New pivot'!C12, Users,0)),0)</f>
        <v>15</v>
      </c>
      <c r="D31">
        <f>IFERROR(INDEX(Categories!$E$2:$E$15, MATCH('New pivot'!D12, Users,0)),0)</f>
        <v>0</v>
      </c>
      <c r="E31">
        <f>IFERROR(INDEX(Categories!$E$2:$E$15, MATCH('New pivot'!E12, Users,0)),0)</f>
        <v>0</v>
      </c>
      <c r="F31">
        <f>IFERROR(INDEX(Categories!$E$2:$E$15, MATCH('New pivot'!F12, Users,0)),0)</f>
        <v>0</v>
      </c>
      <c r="G31">
        <f>IFERROR(INDEX(Categories!$E$2:$E$15, MATCH('New pivot'!G12, Users,0)),0)</f>
        <v>0</v>
      </c>
      <c r="H31">
        <f>IFERROR(INDEX(Categories!$E$2:$E$15, MATCH('New pivot'!H12, Users,0)),0)</f>
        <v>0</v>
      </c>
      <c r="I31">
        <f>IFERROR(INDEX(Categories!$E$2:$E$15, MATCH('New pivot'!I12, Users,0)),0)</f>
        <v>0</v>
      </c>
      <c r="J31">
        <f>IFERROR(INDEX(Categories!$E$2:$E$15, MATCH('New pivot'!J12, Users,0)),0)</f>
        <v>0</v>
      </c>
      <c r="K31">
        <f>IFERROR(INDEX(Categories!$E$2:$E$15, MATCH('New pivot'!K12, Users,0)),0)</f>
        <v>0</v>
      </c>
      <c r="L31">
        <f>IFERROR(INDEX(Categories!$E$2:$E$15, MATCH('New pivot'!L12, Users,0)),0)</f>
        <v>0</v>
      </c>
      <c r="M31">
        <f>IFERROR(INDEX(Categories!$E$2:$E$15, MATCH('New pivot'!M12, Users,0)),0)</f>
        <v>0</v>
      </c>
      <c r="N31">
        <f>IFERROR(INDEX(Categories!$E$2:$E$15, MATCH('New pivot'!N12, Users,0)),0)</f>
        <v>0</v>
      </c>
      <c r="O31">
        <f>IFERROR(INDEX(Categories!$E$2:$E$15, MATCH('New pivot'!O12, Users,0)),0)</f>
        <v>0</v>
      </c>
      <c r="P31">
        <f>IFERROR(INDEX(Categories!$E$2:$E$15, MATCH('New pivot'!P12, Users,0)),0)</f>
        <v>0</v>
      </c>
    </row>
    <row r="32" spans="1:26" ht="29.25">
      <c r="A32" s="5" t="s">
        <v>31</v>
      </c>
      <c r="B32">
        <f>IFERROR(INDEX(Categories!$E$2:$E$15, MATCH('New pivot'!B13, Users,0)),0)</f>
        <v>28</v>
      </c>
      <c r="C32">
        <f>IFERROR(INDEX(Categories!$E$2:$E$15, MATCH('New pivot'!C13, Users,0)),0)</f>
        <v>122</v>
      </c>
      <c r="D32">
        <f>IFERROR(INDEX(Categories!$E$2:$E$15, MATCH('New pivot'!D13, Users,0)),0)</f>
        <v>2</v>
      </c>
      <c r="E32">
        <f>IFERROR(INDEX(Categories!$E$2:$E$15, MATCH('New pivot'!E13, Users,0)),0)</f>
        <v>15</v>
      </c>
      <c r="F32">
        <f>IFERROR(INDEX(Categories!$E$2:$E$15, MATCH('New pivot'!F13, Users,0)),0)</f>
        <v>0</v>
      </c>
      <c r="G32">
        <f>IFERROR(INDEX(Categories!$E$2:$E$15, MATCH('New pivot'!G13, Users,0)),0)</f>
        <v>0</v>
      </c>
      <c r="H32">
        <f>IFERROR(INDEX(Categories!$E$2:$E$15, MATCH('New pivot'!H13, Users,0)),0)</f>
        <v>0</v>
      </c>
      <c r="I32">
        <f>IFERROR(INDEX(Categories!$E$2:$E$15, MATCH('New pivot'!I13, Users,0)),0)</f>
        <v>0</v>
      </c>
      <c r="J32">
        <f>IFERROR(INDEX(Categories!$E$2:$E$15, MATCH('New pivot'!J13, Users,0)),0)</f>
        <v>0</v>
      </c>
      <c r="K32">
        <f>IFERROR(INDEX(Categories!$E$2:$E$15, MATCH('New pivot'!K13, Users,0)),0)</f>
        <v>0</v>
      </c>
      <c r="L32">
        <f>IFERROR(INDEX(Categories!$E$2:$E$15, MATCH('New pivot'!L13, Users,0)),0)</f>
        <v>0</v>
      </c>
      <c r="M32">
        <f>IFERROR(INDEX(Categories!$E$2:$E$15, MATCH('New pivot'!M13, Users,0)),0)</f>
        <v>0</v>
      </c>
      <c r="N32">
        <f>IFERROR(INDEX(Categories!$E$2:$E$15, MATCH('New pivot'!N13, Users,0)),0)</f>
        <v>0</v>
      </c>
      <c r="O32">
        <f>IFERROR(INDEX(Categories!$E$2:$E$15, MATCH('New pivot'!O13, Users,0)),0)</f>
        <v>0</v>
      </c>
      <c r="P32">
        <f>IFERROR(INDEX(Categories!$E$2:$E$15, MATCH('New pivot'!P13, Users,0)),0)</f>
        <v>0</v>
      </c>
    </row>
    <row r="33" spans="1:16" ht="29.25">
      <c r="A33" s="5" t="s">
        <v>32</v>
      </c>
      <c r="B33">
        <f>IFERROR(INDEX(Categories!$E$2:$E$15, MATCH('New pivot'!B14, Users,0)),0)</f>
        <v>28</v>
      </c>
      <c r="C33">
        <f>IFERROR(INDEX(Categories!$E$2:$E$15, MATCH('New pivot'!C14, Users,0)),0)</f>
        <v>0</v>
      </c>
      <c r="D33">
        <f>IFERROR(INDEX(Categories!$E$2:$E$15, MATCH('New pivot'!D14, Users,0)),0)</f>
        <v>0</v>
      </c>
      <c r="E33">
        <f>IFERROR(INDEX(Categories!$E$2:$E$15, MATCH('New pivot'!E14, Users,0)),0)</f>
        <v>0</v>
      </c>
      <c r="F33">
        <f>IFERROR(INDEX(Categories!$E$2:$E$15, MATCH('New pivot'!F14, Users,0)),0)</f>
        <v>0</v>
      </c>
      <c r="G33">
        <f>IFERROR(INDEX(Categories!$E$2:$E$15, MATCH('New pivot'!G14, Users,0)),0)</f>
        <v>0</v>
      </c>
      <c r="H33">
        <f>IFERROR(INDEX(Categories!$E$2:$E$15, MATCH('New pivot'!H14, Users,0)),0)</f>
        <v>0</v>
      </c>
      <c r="I33">
        <f>IFERROR(INDEX(Categories!$E$2:$E$15, MATCH('New pivot'!I14, Users,0)),0)</f>
        <v>0</v>
      </c>
      <c r="J33">
        <f>IFERROR(INDEX(Categories!$E$2:$E$15, MATCH('New pivot'!J14, Users,0)),0)</f>
        <v>0</v>
      </c>
      <c r="K33">
        <f>IFERROR(INDEX(Categories!$E$2:$E$15, MATCH('New pivot'!K14, Users,0)),0)</f>
        <v>0</v>
      </c>
      <c r="L33">
        <f>IFERROR(INDEX(Categories!$E$2:$E$15, MATCH('New pivot'!L14, Users,0)),0)</f>
        <v>0</v>
      </c>
      <c r="M33">
        <f>IFERROR(INDEX(Categories!$E$2:$E$15, MATCH('New pivot'!M14, Users,0)),0)</f>
        <v>0</v>
      </c>
      <c r="N33">
        <f>IFERROR(INDEX(Categories!$E$2:$E$15, MATCH('New pivot'!N14, Users,0)),0)</f>
        <v>0</v>
      </c>
      <c r="O33">
        <f>IFERROR(INDEX(Categories!$E$2:$E$15, MATCH('New pivot'!O14, Users,0)),0)</f>
        <v>0</v>
      </c>
      <c r="P33">
        <f>IFERROR(INDEX(Categories!$E$2:$E$15, MATCH('New pivot'!P14, Users,0)),0)</f>
        <v>0</v>
      </c>
    </row>
    <row r="34" spans="1:16" ht="29.25">
      <c r="A34" s="5" t="s">
        <v>33</v>
      </c>
      <c r="B34">
        <f>IFERROR(INDEX(Categories!$E$2:$E$15, MATCH('New pivot'!B15, Users,0)),0)</f>
        <v>154</v>
      </c>
      <c r="C34">
        <f>IFERROR(INDEX(Categories!$E$2:$E$15, MATCH('New pivot'!C15, Users,0)),0)</f>
        <v>28</v>
      </c>
      <c r="D34">
        <f>IFERROR(INDEX(Categories!$E$2:$E$15, MATCH('New pivot'!D15, Users,0)),0)</f>
        <v>0</v>
      </c>
      <c r="E34">
        <f>IFERROR(INDEX(Categories!$E$2:$E$15, MATCH('New pivot'!E15, Users,0)),0)</f>
        <v>0</v>
      </c>
      <c r="F34">
        <f>IFERROR(INDEX(Categories!$E$2:$E$15, MATCH('New pivot'!F15, Users,0)),0)</f>
        <v>0</v>
      </c>
      <c r="G34">
        <f>IFERROR(INDEX(Categories!$E$2:$E$15, MATCH('New pivot'!G15, Users,0)),0)</f>
        <v>0</v>
      </c>
      <c r="H34">
        <f>IFERROR(INDEX(Categories!$E$2:$E$15, MATCH('New pivot'!H15, Users,0)),0)</f>
        <v>0</v>
      </c>
      <c r="I34">
        <f>IFERROR(INDEX(Categories!$E$2:$E$15, MATCH('New pivot'!I15, Users,0)),0)</f>
        <v>0</v>
      </c>
      <c r="J34">
        <f>IFERROR(INDEX(Categories!$E$2:$E$15, MATCH('New pivot'!J15, Users,0)),0)</f>
        <v>0</v>
      </c>
      <c r="K34">
        <f>IFERROR(INDEX(Categories!$E$2:$E$15, MATCH('New pivot'!K15, Users,0)),0)</f>
        <v>0</v>
      </c>
      <c r="L34">
        <f>IFERROR(INDEX(Categories!$E$2:$E$15, MATCH('New pivot'!L15, Users,0)),0)</f>
        <v>0</v>
      </c>
      <c r="M34">
        <f>IFERROR(INDEX(Categories!$E$2:$E$15, MATCH('New pivot'!M15, Users,0)),0)</f>
        <v>0</v>
      </c>
      <c r="N34">
        <f>IFERROR(INDEX(Categories!$E$2:$E$15, MATCH('New pivot'!N15, Users,0)),0)</f>
        <v>0</v>
      </c>
      <c r="O34">
        <f>IFERROR(INDEX(Categories!$E$2:$E$15, MATCH('New pivot'!O15, Users,0)),0)</f>
        <v>0</v>
      </c>
      <c r="P34">
        <f>IFERROR(INDEX(Categories!$E$2:$E$15, MATCH('New pivot'!P15, Users,0)),0)</f>
        <v>0</v>
      </c>
    </row>
    <row r="35" spans="1:16" ht="29.25">
      <c r="A35" s="5" t="s">
        <v>34</v>
      </c>
      <c r="B35">
        <f>IFERROR(INDEX(Categories!$E$2:$E$15, MATCH('New pivot'!B16, Users,0)),0)</f>
        <v>154</v>
      </c>
      <c r="C35">
        <f>IFERROR(INDEX(Categories!$E$2:$E$15, MATCH('New pivot'!C16, Users,0)),0)</f>
        <v>23</v>
      </c>
      <c r="D35">
        <f>IFERROR(INDEX(Categories!$E$2:$E$15, MATCH('New pivot'!D16, Users,0)),0)</f>
        <v>0</v>
      </c>
      <c r="E35">
        <f>IFERROR(INDEX(Categories!$E$2:$E$15, MATCH('New pivot'!E16, Users,0)),0)</f>
        <v>0</v>
      </c>
      <c r="F35">
        <f>IFERROR(INDEX(Categories!$E$2:$E$15, MATCH('New pivot'!F16, Users,0)),0)</f>
        <v>0</v>
      </c>
      <c r="G35">
        <f>IFERROR(INDEX(Categories!$E$2:$E$15, MATCH('New pivot'!G16, Users,0)),0)</f>
        <v>0</v>
      </c>
      <c r="H35">
        <f>IFERROR(INDEX(Categories!$E$2:$E$15, MATCH('New pivot'!H16, Users,0)),0)</f>
        <v>0</v>
      </c>
      <c r="I35">
        <f>IFERROR(INDEX(Categories!$E$2:$E$15, MATCH('New pivot'!I16, Users,0)),0)</f>
        <v>0</v>
      </c>
      <c r="J35">
        <f>IFERROR(INDEX(Categories!$E$2:$E$15, MATCH('New pivot'!J16, Users,0)),0)</f>
        <v>0</v>
      </c>
      <c r="K35">
        <f>IFERROR(INDEX(Categories!$E$2:$E$15, MATCH('New pivot'!K16, Users,0)),0)</f>
        <v>0</v>
      </c>
      <c r="L35">
        <f>IFERROR(INDEX(Categories!$E$2:$E$15, MATCH('New pivot'!L16, Users,0)),0)</f>
        <v>0</v>
      </c>
      <c r="M35">
        <f>IFERROR(INDEX(Categories!$E$2:$E$15, MATCH('New pivot'!M16, Users,0)),0)</f>
        <v>0</v>
      </c>
      <c r="N35">
        <f>IFERROR(INDEX(Categories!$E$2:$E$15, MATCH('New pivot'!N16, Users,0)),0)</f>
        <v>0</v>
      </c>
      <c r="O35">
        <f>IFERROR(INDEX(Categories!$E$2:$E$15, MATCH('New pivot'!O16, Users,0)),0)</f>
        <v>0</v>
      </c>
      <c r="P35">
        <f>IFERROR(INDEX(Categories!$E$2:$E$15, MATCH('New pivot'!P16, Users,0)),0)</f>
        <v>0</v>
      </c>
    </row>
    <row r="36" spans="1:16" ht="29.25">
      <c r="A36" s="5" t="s">
        <v>35</v>
      </c>
      <c r="B36">
        <f>IFERROR(INDEX(Categories!$E$2:$E$15, MATCH('New pivot'!B17, Users,0)),0)</f>
        <v>154</v>
      </c>
      <c r="C36">
        <f>IFERROR(INDEX(Categories!$E$2:$E$15, MATCH('New pivot'!C17, Users,0)),0)</f>
        <v>2</v>
      </c>
      <c r="D36">
        <f>IFERROR(INDEX(Categories!$E$2:$E$15, MATCH('New pivot'!D17, Users,0)),0)</f>
        <v>28</v>
      </c>
      <c r="E36">
        <f>IFERROR(INDEX(Categories!$E$2:$E$15, MATCH('New pivot'!E17, Users,0)),0)</f>
        <v>0</v>
      </c>
      <c r="F36">
        <f>IFERROR(INDEX(Categories!$E$2:$E$15, MATCH('New pivot'!F17, Users,0)),0)</f>
        <v>0</v>
      </c>
      <c r="G36">
        <f>IFERROR(INDEX(Categories!$E$2:$E$15, MATCH('New pivot'!G17, Users,0)),0)</f>
        <v>0</v>
      </c>
      <c r="H36">
        <f>IFERROR(INDEX(Categories!$E$2:$E$15, MATCH('New pivot'!H17, Users,0)),0)</f>
        <v>0</v>
      </c>
      <c r="I36">
        <f>IFERROR(INDEX(Categories!$E$2:$E$15, MATCH('New pivot'!I17, Users,0)),0)</f>
        <v>0</v>
      </c>
      <c r="J36">
        <f>IFERROR(INDEX(Categories!$E$2:$E$15, MATCH('New pivot'!J17, Users,0)),0)</f>
        <v>0</v>
      </c>
      <c r="K36">
        <f>IFERROR(INDEX(Categories!$E$2:$E$15, MATCH('New pivot'!K17, Users,0)),0)</f>
        <v>0</v>
      </c>
      <c r="L36">
        <f>IFERROR(INDEX(Categories!$E$2:$E$15, MATCH('New pivot'!L17, Users,0)),0)</f>
        <v>0</v>
      </c>
      <c r="M36">
        <f>IFERROR(INDEX(Categories!$E$2:$E$15, MATCH('New pivot'!M17, Users,0)),0)</f>
        <v>0</v>
      </c>
      <c r="N36">
        <f>IFERROR(INDEX(Categories!$E$2:$E$15, MATCH('New pivot'!N17, Users,0)),0)</f>
        <v>0</v>
      </c>
      <c r="O36">
        <f>IFERROR(INDEX(Categories!$E$2:$E$15, MATCH('New pivot'!O17, Users,0)),0)</f>
        <v>0</v>
      </c>
      <c r="P36">
        <f>IFERROR(INDEX(Categories!$E$2:$E$15, MATCH('New pivot'!P17, Users,0)),0)</f>
        <v>0</v>
      </c>
    </row>
    <row r="37" spans="1:16" ht="29.25">
      <c r="A37" s="5" t="s">
        <v>36</v>
      </c>
      <c r="B37">
        <f>IFERROR(INDEX(Categories!$E$2:$E$15, MATCH('New pivot'!B18, Users,0)),0)</f>
        <v>154</v>
      </c>
      <c r="C37">
        <f>IFERROR(INDEX(Categories!$E$2:$E$15, MATCH('New pivot'!C18, Users,0)),0)</f>
        <v>0</v>
      </c>
      <c r="D37">
        <f>IFERROR(INDEX(Categories!$E$2:$E$15, MATCH('New pivot'!D18, Users,0)),0)</f>
        <v>0</v>
      </c>
      <c r="E37">
        <f>IFERROR(INDEX(Categories!$E$2:$E$15, MATCH('New pivot'!E18, Users,0)),0)</f>
        <v>0</v>
      </c>
      <c r="F37">
        <f>IFERROR(INDEX(Categories!$E$2:$E$15, MATCH('New pivot'!F18, Users,0)),0)</f>
        <v>0</v>
      </c>
      <c r="G37">
        <f>IFERROR(INDEX(Categories!$E$2:$E$15, MATCH('New pivot'!G18, Users,0)),0)</f>
        <v>0</v>
      </c>
      <c r="H37">
        <f>IFERROR(INDEX(Categories!$E$2:$E$15, MATCH('New pivot'!H18, Users,0)),0)</f>
        <v>0</v>
      </c>
      <c r="I37">
        <f>IFERROR(INDEX(Categories!$E$2:$E$15, MATCH('New pivot'!I18, Users,0)),0)</f>
        <v>0</v>
      </c>
      <c r="J37">
        <f>IFERROR(INDEX(Categories!$E$2:$E$15, MATCH('New pivot'!J18, Users,0)),0)</f>
        <v>0</v>
      </c>
      <c r="K37">
        <f>IFERROR(INDEX(Categories!$E$2:$E$15, MATCH('New pivot'!K18, Users,0)),0)</f>
        <v>0</v>
      </c>
      <c r="L37">
        <f>IFERROR(INDEX(Categories!$E$2:$E$15, MATCH('New pivot'!L18, Users,0)),0)</f>
        <v>0</v>
      </c>
      <c r="M37">
        <f>IFERROR(INDEX(Categories!$E$2:$E$15, MATCH('New pivot'!M18, Users,0)),0)</f>
        <v>0</v>
      </c>
      <c r="N37">
        <f>IFERROR(INDEX(Categories!$E$2:$E$15, MATCH('New pivot'!N18, Users,0)),0)</f>
        <v>0</v>
      </c>
      <c r="O37">
        <f>IFERROR(INDEX(Categories!$E$2:$E$15, MATCH('New pivot'!O18, Users,0)),0)</f>
        <v>0</v>
      </c>
      <c r="P37">
        <f>IFERROR(INDEX(Categories!$E$2:$E$15, MATCH('New pivot'!P18, Users,0)),0)</f>
        <v>0</v>
      </c>
    </row>
    <row r="38" spans="1:16">
      <c r="A38" t="s">
        <v>92</v>
      </c>
    </row>
    <row r="39" spans="1:16">
      <c r="A39" t="s">
        <v>1724</v>
      </c>
      <c r="B39" t="s">
        <v>1725</v>
      </c>
      <c r="C39" t="s">
        <v>1726</v>
      </c>
      <c r="D39" t="s">
        <v>1727</v>
      </c>
      <c r="E39" t="s">
        <v>1728</v>
      </c>
      <c r="F39" t="s">
        <v>1729</v>
      </c>
      <c r="G39" t="s">
        <v>1730</v>
      </c>
      <c r="H39" t="s">
        <v>1731</v>
      </c>
      <c r="I39" t="s">
        <v>1732</v>
      </c>
      <c r="J39" t="s">
        <v>1733</v>
      </c>
      <c r="K39" t="s">
        <v>1734</v>
      </c>
      <c r="L39" t="s">
        <v>1735</v>
      </c>
      <c r="M39" t="s">
        <v>1736</v>
      </c>
      <c r="N39" t="s">
        <v>1737</v>
      </c>
      <c r="O39" t="s">
        <v>1738</v>
      </c>
      <c r="P39" t="s">
        <v>1739</v>
      </c>
    </row>
    <row r="40" spans="1:16" ht="29.25">
      <c r="A40" s="5" t="s">
        <v>20</v>
      </c>
      <c r="B40">
        <f>IFERROR(INDEX(Categories!$F$2:$F$15, MATCH('New pivot'!B2, Users,0)),0)</f>
        <v>89</v>
      </c>
      <c r="C40">
        <f>IFERROR(INDEX(Categories!$F$2:$F$15, MATCH('New pivot'!C2, Users,0)),0)</f>
        <v>358</v>
      </c>
      <c r="D40">
        <f>IFERROR(INDEX(Categories!$F$2:$F$15, MATCH('New pivot'!D2, Users,0)),0)</f>
        <v>201</v>
      </c>
      <c r="E40">
        <f>IFERROR(INDEX(Categories!$F$2:$F$15, MATCH('New pivot'!E2, Users,0)),0)</f>
        <v>89</v>
      </c>
      <c r="F40">
        <f>IFERROR(INDEX(Categories!$F$2:$F$15, MATCH('New pivot'!F2, Users,0)),0)</f>
        <v>21</v>
      </c>
      <c r="G40">
        <f>IFERROR(INDEX(Categories!$F$2:$F$15, MATCH('New pivot'!G2, Users,0)),0)</f>
        <v>107</v>
      </c>
      <c r="H40">
        <f>IFERROR(INDEX(Categories!$F$2:$F$15, MATCH('New pivot'!H2, Users,0)),0)</f>
        <v>111</v>
      </c>
      <c r="I40">
        <f>IFERROR(INDEX(Categories!$F$2:$F$15, MATCH('New pivot'!I2, Users,0)),0)</f>
        <v>48</v>
      </c>
      <c r="J40">
        <f>IFERROR(INDEX(Categories!$F$2:$F$15, MATCH('New pivot'!J2, Users,0)),0)</f>
        <v>51</v>
      </c>
      <c r="K40">
        <f>IFERROR(INDEX(Categories!$F$2:$F$15, MATCH('New pivot'!K2, Users,0)),0)</f>
        <v>18</v>
      </c>
      <c r="L40">
        <f>IFERROR(INDEX(Categories!$F$2:$F$15, MATCH('New pivot'!L2, Users,0)),0)</f>
        <v>10</v>
      </c>
      <c r="M40">
        <f>IFERROR(INDEX(Categories!$F$2:$F$15, MATCH('New pivot'!M2, Users,0)),0)</f>
        <v>10</v>
      </c>
      <c r="N40">
        <f>IFERROR(INDEX(Categories!$F$2:$F$15, MATCH('New pivot'!N2, Users,0)),0)</f>
        <v>0</v>
      </c>
      <c r="O40">
        <f>IFERROR(INDEX(Categories!$F$2:$F$15, MATCH('New pivot'!O2, Users,0)),0)</f>
        <v>0</v>
      </c>
      <c r="P40">
        <f>IFERROR(INDEX(Categories!$F$2:$F$15, MATCH('New pivot'!P2, Users,0)),0)</f>
        <v>0</v>
      </c>
    </row>
    <row r="41" spans="1:16" ht="43.5">
      <c r="A41" s="5" t="s">
        <v>1691</v>
      </c>
      <c r="B41">
        <f>IFERROR(INDEX(Categories!$F$2:$F$15, MATCH('New pivot'!B3, Users,0)),0)</f>
        <v>89</v>
      </c>
      <c r="C41">
        <f>IFERROR(INDEX(Categories!$F$2:$F$15, MATCH('New pivot'!C3, Users,0)),0)</f>
        <v>107</v>
      </c>
      <c r="D41">
        <f>IFERROR(INDEX(Categories!$F$2:$F$15, MATCH('New pivot'!D3, Users,0)),0)</f>
        <v>0</v>
      </c>
      <c r="E41">
        <f>IFERROR(INDEX(Categories!$F$2:$F$15, MATCH('New pivot'!E3, Users,0)),0)</f>
        <v>0</v>
      </c>
      <c r="F41">
        <f>IFERROR(INDEX(Categories!$F$2:$F$15, MATCH('New pivot'!F3, Users,0)),0)</f>
        <v>0</v>
      </c>
      <c r="G41">
        <f>IFERROR(INDEX(Categories!$F$2:$F$15, MATCH('New pivot'!G3, Users,0)),0)</f>
        <v>0</v>
      </c>
      <c r="H41">
        <f>IFERROR(INDEX(Categories!$F$2:$F$15, MATCH('New pivot'!H3, Users,0)),0)</f>
        <v>0</v>
      </c>
      <c r="I41">
        <f>IFERROR(INDEX(Categories!$F$2:$F$15, MATCH('New pivot'!I3, Users,0)),0)</f>
        <v>0</v>
      </c>
      <c r="J41">
        <f>IFERROR(INDEX(Categories!$F$2:$F$15, MATCH('New pivot'!J3, Users,0)),0)</f>
        <v>0</v>
      </c>
      <c r="K41">
        <f>IFERROR(INDEX(Categories!$F$2:$F$15, MATCH('New pivot'!K3, Users,0)),0)</f>
        <v>0</v>
      </c>
      <c r="L41">
        <f>IFERROR(INDEX(Categories!$F$2:$F$15, MATCH('New pivot'!L3, Users,0)),0)</f>
        <v>0</v>
      </c>
      <c r="M41">
        <f>IFERROR(INDEX(Categories!$F$2:$F$15, MATCH('New pivot'!M3, Users,0)),0)</f>
        <v>0</v>
      </c>
      <c r="N41">
        <f>IFERROR(INDEX(Categories!$F$2:$F$15, MATCH('New pivot'!N3, Users,0)),0)</f>
        <v>0</v>
      </c>
      <c r="O41">
        <f>IFERROR(INDEX(Categories!$F$2:$F$15, MATCH('New pivot'!O3, Users,0)),0)</f>
        <v>0</v>
      </c>
      <c r="P41">
        <f>IFERROR(INDEX(Categories!$F$2:$F$15, MATCH('New pivot'!P3, Users,0)),0)</f>
        <v>0</v>
      </c>
    </row>
    <row r="42" spans="1:16" ht="29.25">
      <c r="A42" s="5" t="s">
        <v>22</v>
      </c>
      <c r="B42">
        <f>IFERROR(INDEX(Categories!$F$2:$F$15, MATCH('New pivot'!B4, Users,0)),0)</f>
        <v>89</v>
      </c>
      <c r="C42">
        <f>IFERROR(INDEX(Categories!$F$2:$F$15, MATCH('New pivot'!C4, Users,0)),0)</f>
        <v>51</v>
      </c>
      <c r="D42">
        <f>IFERROR(INDEX(Categories!$F$2:$F$15, MATCH('New pivot'!D4, Users,0)),0)</f>
        <v>107</v>
      </c>
      <c r="E42">
        <f>IFERROR(INDEX(Categories!$F$2:$F$15, MATCH('New pivot'!E4, Users,0)),0)</f>
        <v>0</v>
      </c>
      <c r="F42">
        <f>IFERROR(INDEX(Categories!$F$2:$F$15, MATCH('New pivot'!F4, Users,0)),0)</f>
        <v>0</v>
      </c>
      <c r="G42">
        <f>IFERROR(INDEX(Categories!$F$2:$F$15, MATCH('New pivot'!G4, Users,0)),0)</f>
        <v>0</v>
      </c>
      <c r="H42">
        <f>IFERROR(INDEX(Categories!$F$2:$F$15, MATCH('New pivot'!H4, Users,0)),0)</f>
        <v>0</v>
      </c>
      <c r="I42">
        <f>IFERROR(INDEX(Categories!$F$2:$F$15, MATCH('New pivot'!I4, Users,0)),0)</f>
        <v>0</v>
      </c>
      <c r="J42">
        <f>IFERROR(INDEX(Categories!$F$2:$F$15, MATCH('New pivot'!J4, Users,0)),0)</f>
        <v>0</v>
      </c>
      <c r="K42">
        <f>IFERROR(INDEX(Categories!$F$2:$F$15, MATCH('New pivot'!K4, Users,0)),0)</f>
        <v>0</v>
      </c>
      <c r="L42">
        <f>IFERROR(INDEX(Categories!$F$2:$F$15, MATCH('New pivot'!L4, Users,0)),0)</f>
        <v>0</v>
      </c>
      <c r="M42">
        <f>IFERROR(INDEX(Categories!$F$2:$F$15, MATCH('New pivot'!M4, Users,0)),0)</f>
        <v>0</v>
      </c>
      <c r="N42">
        <f>IFERROR(INDEX(Categories!$F$2:$F$15, MATCH('New pivot'!N4, Users,0)),0)</f>
        <v>0</v>
      </c>
      <c r="O42">
        <f>IFERROR(INDEX(Categories!$F$2:$F$15, MATCH('New pivot'!O4, Users,0)),0)</f>
        <v>0</v>
      </c>
      <c r="P42">
        <f>IFERROR(INDEX(Categories!$F$2:$F$15, MATCH('New pivot'!P4, Users,0)),0)</f>
        <v>0</v>
      </c>
    </row>
    <row r="43" spans="1:16" ht="29.25">
      <c r="A43" s="5" t="s">
        <v>23</v>
      </c>
      <c r="B43">
        <f>IFERROR(INDEX(Categories!$F$2:$F$15, MATCH('New pivot'!B5, Users,0)),0)</f>
        <v>89</v>
      </c>
      <c r="C43">
        <f>IFERROR(INDEX(Categories!$F$2:$F$15, MATCH('New pivot'!C5, Users,0)),0)</f>
        <v>107</v>
      </c>
      <c r="D43">
        <f>IFERROR(INDEX(Categories!$F$2:$F$15, MATCH('New pivot'!D5, Users,0)),0)</f>
        <v>0</v>
      </c>
      <c r="E43">
        <f>IFERROR(INDEX(Categories!$F$2:$F$15, MATCH('New pivot'!E5, Users,0)),0)</f>
        <v>0</v>
      </c>
      <c r="F43">
        <f>IFERROR(INDEX(Categories!$F$2:$F$15, MATCH('New pivot'!F5, Users,0)),0)</f>
        <v>0</v>
      </c>
      <c r="G43">
        <f>IFERROR(INDEX(Categories!$F$2:$F$15, MATCH('New pivot'!G5, Users,0)),0)</f>
        <v>0</v>
      </c>
      <c r="H43">
        <f>IFERROR(INDEX(Categories!$F$2:$F$15, MATCH('New pivot'!H5, Users,0)),0)</f>
        <v>0</v>
      </c>
      <c r="I43">
        <f>IFERROR(INDEX(Categories!$F$2:$F$15, MATCH('New pivot'!I5, Users,0)),0)</f>
        <v>0</v>
      </c>
      <c r="J43">
        <f>IFERROR(INDEX(Categories!$F$2:$F$15, MATCH('New pivot'!J5, Users,0)),0)</f>
        <v>0</v>
      </c>
      <c r="K43">
        <f>IFERROR(INDEX(Categories!$F$2:$F$15, MATCH('New pivot'!K5, Users,0)),0)</f>
        <v>0</v>
      </c>
      <c r="L43">
        <f>IFERROR(INDEX(Categories!$F$2:$F$15, MATCH('New pivot'!L5, Users,0)),0)</f>
        <v>0</v>
      </c>
      <c r="M43">
        <f>IFERROR(INDEX(Categories!$F$2:$F$15, MATCH('New pivot'!M5, Users,0)),0)</f>
        <v>0</v>
      </c>
      <c r="N43">
        <f>IFERROR(INDEX(Categories!$F$2:$F$15, MATCH('New pivot'!N5, Users,0)),0)</f>
        <v>0</v>
      </c>
      <c r="O43">
        <f>IFERROR(INDEX(Categories!$F$2:$F$15, MATCH('New pivot'!O5, Users,0)),0)</f>
        <v>0</v>
      </c>
      <c r="P43">
        <f>IFERROR(INDEX(Categories!$F$2:$F$15, MATCH('New pivot'!P5, Users,0)),0)</f>
        <v>0</v>
      </c>
    </row>
    <row r="44" spans="1:16" ht="29.25">
      <c r="A44" s="5" t="s">
        <v>24</v>
      </c>
      <c r="B44">
        <f>IFERROR(INDEX(Categories!$F$2:$F$15, MATCH('New pivot'!B6, Users,0)),0)</f>
        <v>89</v>
      </c>
      <c r="C44">
        <f>IFERROR(INDEX(Categories!$F$2:$F$15, MATCH('New pivot'!C6, Users,0)),0)</f>
        <v>18</v>
      </c>
      <c r="D44">
        <f>IFERROR(INDEX(Categories!$F$2:$F$15, MATCH('New pivot'!D6, Users,0)),0)</f>
        <v>0</v>
      </c>
      <c r="E44">
        <f>IFERROR(INDEX(Categories!$F$2:$F$15, MATCH('New pivot'!E6, Users,0)),0)</f>
        <v>0</v>
      </c>
      <c r="F44">
        <f>IFERROR(INDEX(Categories!$F$2:$F$15, MATCH('New pivot'!F6, Users,0)),0)</f>
        <v>0</v>
      </c>
      <c r="G44">
        <f>IFERROR(INDEX(Categories!$F$2:$F$15, MATCH('New pivot'!G6, Users,0)),0)</f>
        <v>0</v>
      </c>
      <c r="H44">
        <f>IFERROR(INDEX(Categories!$F$2:$F$15, MATCH('New pivot'!H6, Users,0)),0)</f>
        <v>0</v>
      </c>
      <c r="I44">
        <f>IFERROR(INDEX(Categories!$F$2:$F$15, MATCH('New pivot'!I6, Users,0)),0)</f>
        <v>0</v>
      </c>
      <c r="J44">
        <f>IFERROR(INDEX(Categories!$F$2:$F$15, MATCH('New pivot'!J6, Users,0)),0)</f>
        <v>0</v>
      </c>
      <c r="K44">
        <f>IFERROR(INDEX(Categories!$F$2:$F$15, MATCH('New pivot'!K6, Users,0)),0)</f>
        <v>0</v>
      </c>
      <c r="L44">
        <f>IFERROR(INDEX(Categories!$F$2:$F$15, MATCH('New pivot'!L6, Users,0)),0)</f>
        <v>0</v>
      </c>
      <c r="M44">
        <f>IFERROR(INDEX(Categories!$F$2:$F$15, MATCH('New pivot'!M6, Users,0)),0)</f>
        <v>0</v>
      </c>
      <c r="N44">
        <f>IFERROR(INDEX(Categories!$F$2:$F$15, MATCH('New pivot'!N6, Users,0)),0)</f>
        <v>0</v>
      </c>
      <c r="O44">
        <f>IFERROR(INDEX(Categories!$F$2:$F$15, MATCH('New pivot'!O6, Users,0)),0)</f>
        <v>0</v>
      </c>
      <c r="P44">
        <f>IFERROR(INDEX(Categories!$F$2:$F$15, MATCH('New pivot'!P6, Users,0)),0)</f>
        <v>0</v>
      </c>
    </row>
    <row r="45" spans="1:16" ht="43.5">
      <c r="A45" s="5" t="s">
        <v>25</v>
      </c>
      <c r="B45">
        <f>IFERROR(INDEX(Categories!$F$2:$F$15, MATCH('New pivot'!B7, Users,0)),0)</f>
        <v>358</v>
      </c>
      <c r="C45">
        <f>IFERROR(INDEX(Categories!$F$2:$F$15, MATCH('New pivot'!C7, Users,0)),0)</f>
        <v>89</v>
      </c>
      <c r="D45">
        <f>IFERROR(INDEX(Categories!$F$2:$F$15, MATCH('New pivot'!D7, Users,0)),0)</f>
        <v>0</v>
      </c>
      <c r="E45">
        <f>IFERROR(INDEX(Categories!$F$2:$F$15, MATCH('New pivot'!E7, Users,0)),0)</f>
        <v>0</v>
      </c>
      <c r="F45">
        <f>IFERROR(INDEX(Categories!$F$2:$F$15, MATCH('New pivot'!F7, Users,0)),0)</f>
        <v>0</v>
      </c>
      <c r="G45">
        <f>IFERROR(INDEX(Categories!$F$2:$F$15, MATCH('New pivot'!G7, Users,0)),0)</f>
        <v>0</v>
      </c>
      <c r="H45">
        <f>IFERROR(INDEX(Categories!$F$2:$F$15, MATCH('New pivot'!H7, Users,0)),0)</f>
        <v>0</v>
      </c>
      <c r="I45">
        <f>IFERROR(INDEX(Categories!$F$2:$F$15, MATCH('New pivot'!I7, Users,0)),0)</f>
        <v>0</v>
      </c>
      <c r="J45">
        <f>IFERROR(INDEX(Categories!$F$2:$F$15, MATCH('New pivot'!J7, Users,0)),0)</f>
        <v>0</v>
      </c>
      <c r="K45">
        <f>IFERROR(INDEX(Categories!$F$2:$F$15, MATCH('New pivot'!K7, Users,0)),0)</f>
        <v>0</v>
      </c>
      <c r="L45">
        <f>IFERROR(INDEX(Categories!$F$2:$F$15, MATCH('New pivot'!L7, Users,0)),0)</f>
        <v>0</v>
      </c>
      <c r="M45">
        <f>IFERROR(INDEX(Categories!$F$2:$F$15, MATCH('New pivot'!M7, Users,0)),0)</f>
        <v>0</v>
      </c>
      <c r="N45">
        <f>IFERROR(INDEX(Categories!$F$2:$F$15, MATCH('New pivot'!N7, Users,0)),0)</f>
        <v>0</v>
      </c>
      <c r="O45">
        <f>IFERROR(INDEX(Categories!$F$2:$F$15, MATCH('New pivot'!O7, Users,0)),0)</f>
        <v>0</v>
      </c>
      <c r="P45">
        <f>IFERROR(INDEX(Categories!$F$2:$F$15, MATCH('New pivot'!P7, Users,0)),0)</f>
        <v>0</v>
      </c>
    </row>
    <row r="46" spans="1:16" ht="29.25">
      <c r="A46" s="5" t="s">
        <v>26</v>
      </c>
      <c r="B46">
        <f>IFERROR(INDEX(Categories!$F$2:$F$15, MATCH('New pivot'!B8, Users,0)),0)</f>
        <v>358</v>
      </c>
      <c r="C46">
        <f>IFERROR(INDEX(Categories!$F$2:$F$15, MATCH('New pivot'!C8, Users,0)),0)</f>
        <v>51</v>
      </c>
      <c r="D46">
        <f>IFERROR(INDEX(Categories!$F$2:$F$15, MATCH('New pivot'!D8, Users,0)),0)</f>
        <v>0</v>
      </c>
      <c r="E46">
        <f>IFERROR(INDEX(Categories!$F$2:$F$15, MATCH('New pivot'!E8, Users,0)),0)</f>
        <v>0</v>
      </c>
      <c r="F46">
        <f>IFERROR(INDEX(Categories!$F$2:$F$15, MATCH('New pivot'!F8, Users,0)),0)</f>
        <v>0</v>
      </c>
      <c r="G46">
        <f>IFERROR(INDEX(Categories!$F$2:$F$15, MATCH('New pivot'!G8, Users,0)),0)</f>
        <v>0</v>
      </c>
      <c r="H46">
        <f>IFERROR(INDEX(Categories!$F$2:$F$15, MATCH('New pivot'!H8, Users,0)),0)</f>
        <v>0</v>
      </c>
      <c r="I46">
        <f>IFERROR(INDEX(Categories!$F$2:$F$15, MATCH('New pivot'!I8, Users,0)),0)</f>
        <v>0</v>
      </c>
      <c r="J46">
        <f>IFERROR(INDEX(Categories!$F$2:$F$15, MATCH('New pivot'!J8, Users,0)),0)</f>
        <v>0</v>
      </c>
      <c r="K46">
        <f>IFERROR(INDEX(Categories!$F$2:$F$15, MATCH('New pivot'!K8, Users,0)),0)</f>
        <v>0</v>
      </c>
      <c r="L46">
        <f>IFERROR(INDEX(Categories!$F$2:$F$15, MATCH('New pivot'!L8, Users,0)),0)</f>
        <v>0</v>
      </c>
      <c r="M46">
        <f>IFERROR(INDEX(Categories!$F$2:$F$15, MATCH('New pivot'!M8, Users,0)),0)</f>
        <v>0</v>
      </c>
      <c r="N46">
        <f>IFERROR(INDEX(Categories!$F$2:$F$15, MATCH('New pivot'!N8, Users,0)),0)</f>
        <v>0</v>
      </c>
      <c r="O46">
        <f>IFERROR(INDEX(Categories!$F$2:$F$15, MATCH('New pivot'!O8, Users,0)),0)</f>
        <v>0</v>
      </c>
      <c r="P46">
        <f>IFERROR(INDEX(Categories!$F$2:$F$15, MATCH('New pivot'!P8, Users,0)),0)</f>
        <v>0</v>
      </c>
    </row>
    <row r="47" spans="1:16" ht="29.25">
      <c r="A47" s="5" t="s">
        <v>27</v>
      </c>
      <c r="B47">
        <f>IFERROR(INDEX(Categories!$F$2:$F$15, MATCH('New pivot'!B9, Users,0)),0)</f>
        <v>358</v>
      </c>
      <c r="C47">
        <f>IFERROR(INDEX(Categories!$F$2:$F$15, MATCH('New pivot'!C9, Users,0)),0)</f>
        <v>89</v>
      </c>
      <c r="D47">
        <f>IFERROR(INDEX(Categories!$F$2:$F$15, MATCH('New pivot'!D9, Users,0)),0)</f>
        <v>0</v>
      </c>
      <c r="E47">
        <f>IFERROR(INDEX(Categories!$F$2:$F$15, MATCH('New pivot'!E9, Users,0)),0)</f>
        <v>0</v>
      </c>
      <c r="F47">
        <f>IFERROR(INDEX(Categories!$F$2:$F$15, MATCH('New pivot'!F9, Users,0)),0)</f>
        <v>0</v>
      </c>
      <c r="G47">
        <f>IFERROR(INDEX(Categories!$F$2:$F$15, MATCH('New pivot'!G9, Users,0)),0)</f>
        <v>0</v>
      </c>
      <c r="H47">
        <f>IFERROR(INDEX(Categories!$F$2:$F$15, MATCH('New pivot'!H9, Users,0)),0)</f>
        <v>0</v>
      </c>
      <c r="I47">
        <f>IFERROR(INDEX(Categories!$F$2:$F$15, MATCH('New pivot'!I9, Users,0)),0)</f>
        <v>0</v>
      </c>
      <c r="J47">
        <f>IFERROR(INDEX(Categories!$F$2:$F$15, MATCH('New pivot'!J9, Users,0)),0)</f>
        <v>0</v>
      </c>
      <c r="K47">
        <f>IFERROR(INDEX(Categories!$F$2:$F$15, MATCH('New pivot'!K9, Users,0)),0)</f>
        <v>0</v>
      </c>
      <c r="L47">
        <f>IFERROR(INDEX(Categories!$F$2:$F$15, MATCH('New pivot'!L9, Users,0)),0)</f>
        <v>0</v>
      </c>
      <c r="M47">
        <f>IFERROR(INDEX(Categories!$F$2:$F$15, MATCH('New pivot'!M9, Users,0)),0)</f>
        <v>0</v>
      </c>
      <c r="N47">
        <f>IFERROR(INDEX(Categories!$F$2:$F$15, MATCH('New pivot'!N9, Users,0)),0)</f>
        <v>0</v>
      </c>
      <c r="O47">
        <f>IFERROR(INDEX(Categories!$F$2:$F$15, MATCH('New pivot'!O9, Users,0)),0)</f>
        <v>0</v>
      </c>
      <c r="P47">
        <f>IFERROR(INDEX(Categories!$F$2:$F$15, MATCH('New pivot'!P9, Users,0)),0)</f>
        <v>0</v>
      </c>
    </row>
    <row r="48" spans="1:16" ht="29.25">
      <c r="A48" s="5" t="s">
        <v>28</v>
      </c>
      <c r="B48">
        <f>IFERROR(INDEX(Categories!$F$2:$F$15, MATCH('New pivot'!B10, Users,0)),0)</f>
        <v>358</v>
      </c>
      <c r="C48">
        <f>IFERROR(INDEX(Categories!$F$2:$F$15, MATCH('New pivot'!C10, Users,0)),0)</f>
        <v>0</v>
      </c>
      <c r="D48">
        <f>IFERROR(INDEX(Categories!$F$2:$F$15, MATCH('New pivot'!D10, Users,0)),0)</f>
        <v>0</v>
      </c>
      <c r="E48">
        <f>IFERROR(INDEX(Categories!$F$2:$F$15, MATCH('New pivot'!E10, Users,0)),0)</f>
        <v>0</v>
      </c>
      <c r="F48">
        <f>IFERROR(INDEX(Categories!$F$2:$F$15, MATCH('New pivot'!F10, Users,0)),0)</f>
        <v>0</v>
      </c>
      <c r="G48">
        <f>IFERROR(INDEX(Categories!$F$2:$F$15, MATCH('New pivot'!G10, Users,0)),0)</f>
        <v>0</v>
      </c>
      <c r="H48">
        <f>IFERROR(INDEX(Categories!$F$2:$F$15, MATCH('New pivot'!H10, Users,0)),0)</f>
        <v>0</v>
      </c>
      <c r="I48">
        <f>IFERROR(INDEX(Categories!$F$2:$F$15, MATCH('New pivot'!I10, Users,0)),0)</f>
        <v>0</v>
      </c>
      <c r="J48">
        <f>IFERROR(INDEX(Categories!$F$2:$F$15, MATCH('New pivot'!J10, Users,0)),0)</f>
        <v>0</v>
      </c>
      <c r="K48">
        <f>IFERROR(INDEX(Categories!$F$2:$F$15, MATCH('New pivot'!K10, Users,0)),0)</f>
        <v>0</v>
      </c>
      <c r="L48">
        <f>IFERROR(INDEX(Categories!$F$2:$F$15, MATCH('New pivot'!L10, Users,0)),0)</f>
        <v>0</v>
      </c>
      <c r="M48">
        <f>IFERROR(INDEX(Categories!$F$2:$F$15, MATCH('New pivot'!M10, Users,0)),0)</f>
        <v>0</v>
      </c>
      <c r="N48">
        <f>IFERROR(INDEX(Categories!$F$2:$F$15, MATCH('New pivot'!N10, Users,0)),0)</f>
        <v>0</v>
      </c>
      <c r="O48">
        <f>IFERROR(INDEX(Categories!$F$2:$F$15, MATCH('New pivot'!O10, Users,0)),0)</f>
        <v>0</v>
      </c>
      <c r="P48">
        <f>IFERROR(INDEX(Categories!$F$2:$F$15, MATCH('New pivot'!P10, Users,0)),0)</f>
        <v>0</v>
      </c>
    </row>
    <row r="49" spans="1:16" ht="43.5">
      <c r="A49" s="5" t="s">
        <v>29</v>
      </c>
      <c r="B49">
        <f>IFERROR(INDEX(Categories!$F$2:$F$15, MATCH('New pivot'!B11, Users,0)),0)</f>
        <v>201</v>
      </c>
      <c r="C49">
        <f>IFERROR(INDEX(Categories!$F$2:$F$15, MATCH('New pivot'!C11, Users,0)),0)</f>
        <v>89</v>
      </c>
      <c r="D49">
        <f>IFERROR(INDEX(Categories!$F$2:$F$15, MATCH('New pivot'!D11, Users,0)),0)</f>
        <v>51</v>
      </c>
      <c r="E49">
        <f>IFERROR(INDEX(Categories!$F$2:$F$15, MATCH('New pivot'!E11, Users,0)),0)</f>
        <v>89</v>
      </c>
      <c r="F49">
        <f>IFERROR(INDEX(Categories!$F$2:$F$15, MATCH('New pivot'!F11, Users,0)),0)</f>
        <v>0</v>
      </c>
      <c r="G49">
        <f>IFERROR(INDEX(Categories!$F$2:$F$15, MATCH('New pivot'!G11, Users,0)),0)</f>
        <v>0</v>
      </c>
      <c r="H49">
        <f>IFERROR(INDEX(Categories!$F$2:$F$15, MATCH('New pivot'!H11, Users,0)),0)</f>
        <v>0</v>
      </c>
      <c r="I49">
        <f>IFERROR(INDEX(Categories!$F$2:$F$15, MATCH('New pivot'!I11, Users,0)),0)</f>
        <v>0</v>
      </c>
      <c r="J49">
        <f>IFERROR(INDEX(Categories!$F$2:$F$15, MATCH('New pivot'!J11, Users,0)),0)</f>
        <v>0</v>
      </c>
      <c r="K49">
        <f>IFERROR(INDEX(Categories!$F$2:$F$15, MATCH('New pivot'!K11, Users,0)),0)</f>
        <v>0</v>
      </c>
      <c r="L49">
        <f>IFERROR(INDEX(Categories!$F$2:$F$15, MATCH('New pivot'!L11, Users,0)),0)</f>
        <v>0</v>
      </c>
      <c r="M49">
        <f>IFERROR(INDEX(Categories!$F$2:$F$15, MATCH('New pivot'!M11, Users,0)),0)</f>
        <v>0</v>
      </c>
      <c r="N49">
        <f>IFERROR(INDEX(Categories!$F$2:$F$15, MATCH('New pivot'!N11, Users,0)),0)</f>
        <v>0</v>
      </c>
      <c r="O49">
        <f>IFERROR(INDEX(Categories!$F$2:$F$15, MATCH('New pivot'!O11, Users,0)),0)</f>
        <v>0</v>
      </c>
      <c r="P49">
        <f>IFERROR(INDEX(Categories!$F$2:$F$15, MATCH('New pivot'!P11, Users,0)),0)</f>
        <v>0</v>
      </c>
    </row>
    <row r="50" spans="1:16" ht="29.25">
      <c r="A50" s="5" t="s">
        <v>30</v>
      </c>
      <c r="B50">
        <f>IFERROR(INDEX(Categories!$F$2:$F$15, MATCH('New pivot'!B12, Users,0)),0)</f>
        <v>201</v>
      </c>
      <c r="C50">
        <f>IFERROR(INDEX(Categories!$F$2:$F$15, MATCH('New pivot'!C12, Users,0)),0)</f>
        <v>51</v>
      </c>
      <c r="D50">
        <f>IFERROR(INDEX(Categories!$F$2:$F$15, MATCH('New pivot'!D12, Users,0)),0)</f>
        <v>0</v>
      </c>
      <c r="E50">
        <f>IFERROR(INDEX(Categories!$F$2:$F$15, MATCH('New pivot'!E12, Users,0)),0)</f>
        <v>0</v>
      </c>
      <c r="F50">
        <f>IFERROR(INDEX(Categories!$F$2:$F$15, MATCH('New pivot'!F12, Users,0)),0)</f>
        <v>0</v>
      </c>
      <c r="G50">
        <f>IFERROR(INDEX(Categories!$F$2:$F$15, MATCH('New pivot'!G12, Users,0)),0)</f>
        <v>0</v>
      </c>
      <c r="H50">
        <f>IFERROR(INDEX(Categories!$F$2:$F$15, MATCH('New pivot'!H12, Users,0)),0)</f>
        <v>0</v>
      </c>
      <c r="I50">
        <f>IFERROR(INDEX(Categories!$F$2:$F$15, MATCH('New pivot'!I12, Users,0)),0)</f>
        <v>0</v>
      </c>
      <c r="J50">
        <f>IFERROR(INDEX(Categories!$F$2:$F$15, MATCH('New pivot'!J12, Users,0)),0)</f>
        <v>0</v>
      </c>
      <c r="K50">
        <f>IFERROR(INDEX(Categories!$F$2:$F$15, MATCH('New pivot'!K12, Users,0)),0)</f>
        <v>0</v>
      </c>
      <c r="L50">
        <f>IFERROR(INDEX(Categories!$F$2:$F$15, MATCH('New pivot'!L12, Users,0)),0)</f>
        <v>0</v>
      </c>
      <c r="M50">
        <f>IFERROR(INDEX(Categories!$F$2:$F$15, MATCH('New pivot'!M12, Users,0)),0)</f>
        <v>0</v>
      </c>
      <c r="N50">
        <f>IFERROR(INDEX(Categories!$F$2:$F$15, MATCH('New pivot'!N12, Users,0)),0)</f>
        <v>0</v>
      </c>
      <c r="O50">
        <f>IFERROR(INDEX(Categories!$F$2:$F$15, MATCH('New pivot'!O12, Users,0)),0)</f>
        <v>0</v>
      </c>
      <c r="P50">
        <f>IFERROR(INDEX(Categories!$F$2:$F$15, MATCH('New pivot'!P12, Users,0)),0)</f>
        <v>0</v>
      </c>
    </row>
    <row r="51" spans="1:16" ht="29.25">
      <c r="A51" s="5" t="s">
        <v>31</v>
      </c>
      <c r="B51">
        <f>IFERROR(INDEX(Categories!$F$2:$F$15, MATCH('New pivot'!B13, Users,0)),0)</f>
        <v>201</v>
      </c>
      <c r="C51">
        <f>IFERROR(INDEX(Categories!$F$2:$F$15, MATCH('New pivot'!C13, Users,0)),0)</f>
        <v>89</v>
      </c>
      <c r="D51">
        <f>IFERROR(INDEX(Categories!$F$2:$F$15, MATCH('New pivot'!D13, Users,0)),0)</f>
        <v>10</v>
      </c>
      <c r="E51">
        <f>IFERROR(INDEX(Categories!$F$2:$F$15, MATCH('New pivot'!E13, Users,0)),0)</f>
        <v>51</v>
      </c>
      <c r="F51">
        <f>IFERROR(INDEX(Categories!$F$2:$F$15, MATCH('New pivot'!F13, Users,0)),0)</f>
        <v>0</v>
      </c>
      <c r="G51">
        <f>IFERROR(INDEX(Categories!$F$2:$F$15, MATCH('New pivot'!G13, Users,0)),0)</f>
        <v>0</v>
      </c>
      <c r="H51">
        <f>IFERROR(INDEX(Categories!$F$2:$F$15, MATCH('New pivot'!H13, Users,0)),0)</f>
        <v>0</v>
      </c>
      <c r="I51">
        <f>IFERROR(INDEX(Categories!$F$2:$F$15, MATCH('New pivot'!I13, Users,0)),0)</f>
        <v>0</v>
      </c>
      <c r="J51">
        <f>IFERROR(INDEX(Categories!$F$2:$F$15, MATCH('New pivot'!J13, Users,0)),0)</f>
        <v>0</v>
      </c>
      <c r="K51">
        <f>IFERROR(INDEX(Categories!$F$2:$F$15, MATCH('New pivot'!K13, Users,0)),0)</f>
        <v>0</v>
      </c>
      <c r="L51">
        <f>IFERROR(INDEX(Categories!$F$2:$F$15, MATCH('New pivot'!L13, Users,0)),0)</f>
        <v>0</v>
      </c>
      <c r="M51">
        <f>IFERROR(INDEX(Categories!$F$2:$F$15, MATCH('New pivot'!M13, Users,0)),0)</f>
        <v>0</v>
      </c>
      <c r="N51">
        <f>IFERROR(INDEX(Categories!$F$2:$F$15, MATCH('New pivot'!N13, Users,0)),0)</f>
        <v>0</v>
      </c>
      <c r="O51">
        <f>IFERROR(INDEX(Categories!$F$2:$F$15, MATCH('New pivot'!O13, Users,0)),0)</f>
        <v>0</v>
      </c>
      <c r="P51">
        <f>IFERROR(INDEX(Categories!$F$2:$F$15, MATCH('New pivot'!P13, Users,0)),0)</f>
        <v>0</v>
      </c>
    </row>
    <row r="52" spans="1:16" ht="29.25">
      <c r="A52" s="5" t="s">
        <v>32</v>
      </c>
      <c r="B52">
        <f>IFERROR(INDEX(Categories!$F$2:$F$15, MATCH('New pivot'!B14, Users,0)),0)</f>
        <v>201</v>
      </c>
      <c r="C52">
        <f>IFERROR(INDEX(Categories!$F$2:$F$15, MATCH('New pivot'!C14, Users,0)),0)</f>
        <v>0</v>
      </c>
      <c r="D52">
        <f>IFERROR(INDEX(Categories!$F$2:$F$15, MATCH('New pivot'!D14, Users,0)),0)</f>
        <v>0</v>
      </c>
      <c r="E52">
        <f>IFERROR(INDEX(Categories!$F$2:$F$15, MATCH('New pivot'!E14, Users,0)),0)</f>
        <v>0</v>
      </c>
      <c r="F52">
        <f>IFERROR(INDEX(Categories!$F$2:$F$15, MATCH('New pivot'!F14, Users,0)),0)</f>
        <v>0</v>
      </c>
      <c r="G52">
        <f>IFERROR(INDEX(Categories!$F$2:$F$15, MATCH('New pivot'!G14, Users,0)),0)</f>
        <v>0</v>
      </c>
      <c r="H52">
        <f>IFERROR(INDEX(Categories!$F$2:$F$15, MATCH('New pivot'!H14, Users,0)),0)</f>
        <v>0</v>
      </c>
      <c r="I52">
        <f>IFERROR(INDEX(Categories!$F$2:$F$15, MATCH('New pivot'!I14, Users,0)),0)</f>
        <v>0</v>
      </c>
      <c r="J52">
        <f>IFERROR(INDEX(Categories!$F$2:$F$15, MATCH('New pivot'!J14, Users,0)),0)</f>
        <v>0</v>
      </c>
      <c r="K52">
        <f>IFERROR(INDEX(Categories!$F$2:$F$15, MATCH('New pivot'!K14, Users,0)),0)</f>
        <v>0</v>
      </c>
      <c r="L52">
        <f>IFERROR(INDEX(Categories!$F$2:$F$15, MATCH('New pivot'!L14, Users,0)),0)</f>
        <v>0</v>
      </c>
      <c r="M52">
        <f>IFERROR(INDEX(Categories!$F$2:$F$15, MATCH('New pivot'!M14, Users,0)),0)</f>
        <v>0</v>
      </c>
      <c r="N52">
        <f>IFERROR(INDEX(Categories!$F$2:$F$15, MATCH('New pivot'!N14, Users,0)),0)</f>
        <v>0</v>
      </c>
      <c r="O52">
        <f>IFERROR(INDEX(Categories!$F$2:$F$15, MATCH('New pivot'!O14, Users,0)),0)</f>
        <v>0</v>
      </c>
      <c r="P52">
        <f>IFERROR(INDEX(Categories!$F$2:$F$15, MATCH('New pivot'!P14, Users,0)),0)</f>
        <v>0</v>
      </c>
    </row>
    <row r="53" spans="1:16" ht="29.25">
      <c r="A53" s="5" t="s">
        <v>33</v>
      </c>
      <c r="B53">
        <f>IFERROR(INDEX(Categories!$F$2:$F$15, MATCH('New pivot'!B15, Users,0)),0)</f>
        <v>308</v>
      </c>
      <c r="C53">
        <f>IFERROR(INDEX(Categories!$F$2:$F$15, MATCH('New pivot'!C15, Users,0)),0)</f>
        <v>105</v>
      </c>
      <c r="D53">
        <f>IFERROR(INDEX(Categories!$F$2:$F$15, MATCH('New pivot'!D15, Users,0)),0)</f>
        <v>0</v>
      </c>
      <c r="E53">
        <f>IFERROR(INDEX(Categories!$F$2:$F$15, MATCH('New pivot'!E15, Users,0)),0)</f>
        <v>0</v>
      </c>
      <c r="F53">
        <f>IFERROR(INDEX(Categories!$F$2:$F$15, MATCH('New pivot'!F15, Users,0)),0)</f>
        <v>0</v>
      </c>
      <c r="G53">
        <f>IFERROR(INDEX(Categories!$F$2:$F$15, MATCH('New pivot'!G15, Users,0)),0)</f>
        <v>0</v>
      </c>
      <c r="H53">
        <f>IFERROR(INDEX(Categories!$F$2:$F$15, MATCH('New pivot'!H15, Users,0)),0)</f>
        <v>0</v>
      </c>
      <c r="I53">
        <f>IFERROR(INDEX(Categories!$F$2:$F$15, MATCH('New pivot'!I15, Users,0)),0)</f>
        <v>0</v>
      </c>
      <c r="J53">
        <f>IFERROR(INDEX(Categories!$F$2:$F$15, MATCH('New pivot'!J15, Users,0)),0)</f>
        <v>0</v>
      </c>
      <c r="K53">
        <f>IFERROR(INDEX(Categories!$F$2:$F$15, MATCH('New pivot'!K15, Users,0)),0)</f>
        <v>0</v>
      </c>
      <c r="L53">
        <f>IFERROR(INDEX(Categories!$F$2:$F$15, MATCH('New pivot'!L15, Users,0)),0)</f>
        <v>0</v>
      </c>
      <c r="M53">
        <f>IFERROR(INDEX(Categories!$F$2:$F$15, MATCH('New pivot'!M15, Users,0)),0)</f>
        <v>0</v>
      </c>
      <c r="N53">
        <f>IFERROR(INDEX(Categories!$F$2:$F$15, MATCH('New pivot'!N15, Users,0)),0)</f>
        <v>0</v>
      </c>
      <c r="O53">
        <f>IFERROR(INDEX(Categories!$F$2:$F$15, MATCH('New pivot'!O15, Users,0)),0)</f>
        <v>0</v>
      </c>
      <c r="P53">
        <f>IFERROR(INDEX(Categories!$F$2:$F$15, MATCH('New pivot'!P15, Users,0)),0)</f>
        <v>0</v>
      </c>
    </row>
    <row r="54" spans="1:16" ht="29.25">
      <c r="A54" s="5" t="s">
        <v>34</v>
      </c>
      <c r="B54">
        <f>IFERROR(INDEX(Categories!$F$2:$F$15, MATCH('New pivot'!B16, Users,0)),0)</f>
        <v>308</v>
      </c>
      <c r="C54">
        <f>IFERROR(INDEX(Categories!$F$2:$F$15, MATCH('New pivot'!C16, Users,0)),0)</f>
        <v>107</v>
      </c>
      <c r="D54">
        <f>IFERROR(INDEX(Categories!$F$2:$F$15, MATCH('New pivot'!D16, Users,0)),0)</f>
        <v>0</v>
      </c>
      <c r="E54">
        <f>IFERROR(INDEX(Categories!$F$2:$F$15, MATCH('New pivot'!E16, Users,0)),0)</f>
        <v>0</v>
      </c>
      <c r="F54">
        <f>IFERROR(INDEX(Categories!$F$2:$F$15, MATCH('New pivot'!F16, Users,0)),0)</f>
        <v>0</v>
      </c>
      <c r="G54">
        <f>IFERROR(INDEX(Categories!$F$2:$F$15, MATCH('New pivot'!G16, Users,0)),0)</f>
        <v>0</v>
      </c>
      <c r="H54">
        <f>IFERROR(INDEX(Categories!$F$2:$F$15, MATCH('New pivot'!H16, Users,0)),0)</f>
        <v>0</v>
      </c>
      <c r="I54">
        <f>IFERROR(INDEX(Categories!$F$2:$F$15, MATCH('New pivot'!I16, Users,0)),0)</f>
        <v>0</v>
      </c>
      <c r="J54">
        <f>IFERROR(INDEX(Categories!$F$2:$F$15, MATCH('New pivot'!J16, Users,0)),0)</f>
        <v>0</v>
      </c>
      <c r="K54">
        <f>IFERROR(INDEX(Categories!$F$2:$F$15, MATCH('New pivot'!K16, Users,0)),0)</f>
        <v>0</v>
      </c>
      <c r="L54">
        <f>IFERROR(INDEX(Categories!$F$2:$F$15, MATCH('New pivot'!L16, Users,0)),0)</f>
        <v>0</v>
      </c>
      <c r="M54">
        <f>IFERROR(INDEX(Categories!$F$2:$F$15, MATCH('New pivot'!M16, Users,0)),0)</f>
        <v>0</v>
      </c>
      <c r="N54">
        <f>IFERROR(INDEX(Categories!$F$2:$F$15, MATCH('New pivot'!N16, Users,0)),0)</f>
        <v>0</v>
      </c>
      <c r="O54">
        <f>IFERROR(INDEX(Categories!$F$2:$F$15, MATCH('New pivot'!O16, Users,0)),0)</f>
        <v>0</v>
      </c>
      <c r="P54">
        <f>IFERROR(INDEX(Categories!$F$2:$F$15, MATCH('New pivot'!P16, Users,0)),0)</f>
        <v>0</v>
      </c>
    </row>
    <row r="55" spans="1:16" ht="29.25">
      <c r="A55" s="5" t="s">
        <v>35</v>
      </c>
      <c r="B55">
        <f>IFERROR(INDEX(Categories!$F$2:$F$15, MATCH('New pivot'!B17, Users,0)),0)</f>
        <v>308</v>
      </c>
      <c r="C55">
        <f>IFERROR(INDEX(Categories!$F$2:$F$15, MATCH('New pivot'!C17, Users,0)),0)</f>
        <v>10</v>
      </c>
      <c r="D55">
        <f>IFERROR(INDEX(Categories!$F$2:$F$15, MATCH('New pivot'!D17, Users,0)),0)</f>
        <v>105</v>
      </c>
      <c r="E55">
        <f>IFERROR(INDEX(Categories!$F$2:$F$15, MATCH('New pivot'!E17, Users,0)),0)</f>
        <v>0</v>
      </c>
      <c r="F55">
        <f>IFERROR(INDEX(Categories!$F$2:$F$15, MATCH('New pivot'!F17, Users,0)),0)</f>
        <v>0</v>
      </c>
      <c r="G55">
        <f>IFERROR(INDEX(Categories!$F$2:$F$15, MATCH('New pivot'!G17, Users,0)),0)</f>
        <v>0</v>
      </c>
      <c r="H55">
        <f>IFERROR(INDEX(Categories!$F$2:$F$15, MATCH('New pivot'!H17, Users,0)),0)</f>
        <v>0</v>
      </c>
      <c r="I55">
        <f>IFERROR(INDEX(Categories!$F$2:$F$15, MATCH('New pivot'!I17, Users,0)),0)</f>
        <v>0</v>
      </c>
      <c r="J55">
        <f>IFERROR(INDEX(Categories!$F$2:$F$15, MATCH('New pivot'!J17, Users,0)),0)</f>
        <v>0</v>
      </c>
      <c r="K55">
        <f>IFERROR(INDEX(Categories!$F$2:$F$15, MATCH('New pivot'!K17, Users,0)),0)</f>
        <v>0</v>
      </c>
      <c r="L55">
        <f>IFERROR(INDEX(Categories!$F$2:$F$15, MATCH('New pivot'!L17, Users,0)),0)</f>
        <v>0</v>
      </c>
      <c r="M55">
        <f>IFERROR(INDEX(Categories!$F$2:$F$15, MATCH('New pivot'!M17, Users,0)),0)</f>
        <v>0</v>
      </c>
      <c r="N55">
        <f>IFERROR(INDEX(Categories!$F$2:$F$15, MATCH('New pivot'!N17, Users,0)),0)</f>
        <v>0</v>
      </c>
      <c r="O55">
        <f>IFERROR(INDEX(Categories!$F$2:$F$15, MATCH('New pivot'!O17, Users,0)),0)</f>
        <v>0</v>
      </c>
      <c r="P55">
        <f>IFERROR(INDEX(Categories!$F$2:$F$15, MATCH('New pivot'!P17, Users,0)),0)</f>
        <v>0</v>
      </c>
    </row>
    <row r="56" spans="1:16" ht="29.25">
      <c r="A56" s="5" t="s">
        <v>36</v>
      </c>
      <c r="B56">
        <f>IFERROR(INDEX(Categories!$F$2:$F$15, MATCH('New pivot'!B18, Users,0)),0)</f>
        <v>308</v>
      </c>
      <c r="C56">
        <f>IFERROR(INDEX(Categories!$F$2:$F$15, MATCH('New pivot'!C18, Users,0)),0)</f>
        <v>0</v>
      </c>
      <c r="D56">
        <f>IFERROR(INDEX(Categories!$F$2:$F$15, MATCH('New pivot'!D18, Users,0)),0)</f>
        <v>0</v>
      </c>
      <c r="E56">
        <f>IFERROR(INDEX(Categories!$F$2:$F$15, MATCH('New pivot'!E18, Users,0)),0)</f>
        <v>0</v>
      </c>
      <c r="F56">
        <f>IFERROR(INDEX(Categories!$F$2:$F$15, MATCH('New pivot'!F18, Users,0)),0)</f>
        <v>0</v>
      </c>
      <c r="G56">
        <f>IFERROR(INDEX(Categories!$F$2:$F$15, MATCH('New pivot'!G18, Users,0)),0)</f>
        <v>0</v>
      </c>
      <c r="H56">
        <f>IFERROR(INDEX(Categories!$F$2:$F$15, MATCH('New pivot'!H18, Users,0)),0)</f>
        <v>0</v>
      </c>
      <c r="I56">
        <f>IFERROR(INDEX(Categories!$F$2:$F$15, MATCH('New pivot'!I18, Users,0)),0)</f>
        <v>0</v>
      </c>
      <c r="J56">
        <f>IFERROR(INDEX(Categories!$F$2:$F$15, MATCH('New pivot'!J18, Users,0)),0)</f>
        <v>0</v>
      </c>
      <c r="K56">
        <f>IFERROR(INDEX(Categories!$F$2:$F$15, MATCH('New pivot'!K18, Users,0)),0)</f>
        <v>0</v>
      </c>
      <c r="L56">
        <f>IFERROR(INDEX(Categories!$F$2:$F$15, MATCH('New pivot'!L18, Users,0)),0)</f>
        <v>0</v>
      </c>
      <c r="M56">
        <f>IFERROR(INDEX(Categories!$F$2:$F$15, MATCH('New pivot'!M18, Users,0)),0)</f>
        <v>0</v>
      </c>
      <c r="N56">
        <f>IFERROR(INDEX(Categories!$F$2:$F$15, MATCH('New pivot'!N18, Users,0)),0)</f>
        <v>0</v>
      </c>
      <c r="O56">
        <f>IFERROR(INDEX(Categories!$F$2:$F$15, MATCH('New pivot'!O18, Users,0)),0)</f>
        <v>0</v>
      </c>
      <c r="P56">
        <f>IFERROR(INDEX(Categories!$F$2:$F$15, MATCH('New pivot'!P18, Users,0)),0)</f>
        <v>0</v>
      </c>
    </row>
  </sheetData>
  <phoneticPr fontId="12" type="noConversion"/>
  <dataValidations disablePrompts="1" count="1">
    <dataValidation type="list" allowBlank="1" showInputMessage="1" showErrorMessage="1" sqref="B2:P2 B17:E17 B3:N16 B18:N18 G17:N17" xr:uid="{30F3DACD-2A37-40A8-9F2A-C43CA34CAD3D}">
      <formula1>Users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F584-1710-4432-B649-C82CEA64F029}">
  <dimension ref="A1:L37"/>
  <sheetViews>
    <sheetView topLeftCell="A11" workbookViewId="0">
      <selection activeCell="F13" sqref="F13"/>
    </sheetView>
  </sheetViews>
  <sheetFormatPr defaultColWidth="8.7109375" defaultRowHeight="14.25"/>
  <cols>
    <col min="1" max="1" width="8.7109375" style="1"/>
    <col min="2" max="2" width="9.5703125" style="1" customWidth="1"/>
    <col min="3" max="3" width="9.85546875" style="1" customWidth="1"/>
    <col min="4" max="4" width="12.42578125" style="1" customWidth="1"/>
    <col min="5" max="5" width="12.140625" style="1" customWidth="1"/>
    <col min="6" max="6" width="13.42578125" style="1" customWidth="1"/>
    <col min="7" max="16384" width="8.7109375" style="1"/>
  </cols>
  <sheetData>
    <row r="1" spans="1:7">
      <c r="A1" s="3" t="s">
        <v>1747</v>
      </c>
    </row>
    <row r="2" spans="1:7">
      <c r="A2" s="1" t="s">
        <v>1748</v>
      </c>
    </row>
    <row r="3" spans="1:7">
      <c r="A3" s="1" t="s">
        <v>1749</v>
      </c>
    </row>
    <row r="4" spans="1:7">
      <c r="A4" s="1" t="s">
        <v>1750</v>
      </c>
    </row>
    <row r="5" spans="1:7">
      <c r="A5" s="1" t="s">
        <v>1751</v>
      </c>
    </row>
    <row r="6" spans="1:7">
      <c r="A6" s="1" t="s">
        <v>1752</v>
      </c>
    </row>
    <row r="7" spans="1:7">
      <c r="A7" s="1" t="s">
        <v>1753</v>
      </c>
    </row>
    <row r="8" spans="1:7">
      <c r="A8" s="1" t="s">
        <v>1754</v>
      </c>
    </row>
    <row r="9" spans="1:7">
      <c r="A9" s="1" t="s">
        <v>1755</v>
      </c>
    </row>
    <row r="11" spans="1:7">
      <c r="A11" s="3" t="s">
        <v>1756</v>
      </c>
    </row>
    <row r="12" spans="1:7" ht="57">
      <c r="A12" s="61" t="s">
        <v>1757</v>
      </c>
      <c r="B12" s="67" t="s">
        <v>1758</v>
      </c>
      <c r="C12" s="67" t="s">
        <v>7</v>
      </c>
      <c r="D12" s="67" t="s">
        <v>8</v>
      </c>
      <c r="E12" s="67" t="s">
        <v>9</v>
      </c>
      <c r="F12" s="67" t="s">
        <v>1759</v>
      </c>
      <c r="G12" s="67" t="s">
        <v>1760</v>
      </c>
    </row>
    <row r="13" spans="1:7" ht="85.5">
      <c r="A13" s="68">
        <v>5</v>
      </c>
      <c r="B13" s="69" t="s">
        <v>1761</v>
      </c>
      <c r="C13" s="69" t="s">
        <v>1762</v>
      </c>
      <c r="D13" s="69" t="s">
        <v>1763</v>
      </c>
      <c r="E13" s="69" t="s">
        <v>1764</v>
      </c>
      <c r="F13" s="69" t="s">
        <v>1765</v>
      </c>
      <c r="G13" s="69">
        <v>250000</v>
      </c>
    </row>
    <row r="14" spans="1:7" ht="57">
      <c r="A14" s="68">
        <v>4</v>
      </c>
      <c r="B14" s="69" t="s">
        <v>1766</v>
      </c>
      <c r="C14" s="69" t="s">
        <v>1767</v>
      </c>
      <c r="D14" s="69" t="s">
        <v>1768</v>
      </c>
      <c r="E14" s="69" t="s">
        <v>1769</v>
      </c>
      <c r="F14" s="69" t="s">
        <v>1770</v>
      </c>
      <c r="G14" s="69">
        <v>150000</v>
      </c>
    </row>
    <row r="15" spans="1:7" ht="57">
      <c r="A15" s="68">
        <v>3</v>
      </c>
      <c r="B15" s="69" t="s">
        <v>1771</v>
      </c>
      <c r="C15" s="69" t="s">
        <v>1772</v>
      </c>
      <c r="D15" s="69" t="s">
        <v>1773</v>
      </c>
      <c r="E15" s="69" t="s">
        <v>1774</v>
      </c>
      <c r="F15" s="69" t="s">
        <v>1775</v>
      </c>
      <c r="G15" s="69">
        <v>50000</v>
      </c>
    </row>
    <row r="16" spans="1:7" ht="57">
      <c r="A16" s="68">
        <v>2</v>
      </c>
      <c r="B16" s="69" t="s">
        <v>1776</v>
      </c>
      <c r="C16" s="69" t="s">
        <v>1777</v>
      </c>
      <c r="D16" s="69" t="s">
        <v>1778</v>
      </c>
      <c r="E16" s="69" t="s">
        <v>1779</v>
      </c>
      <c r="F16" s="69" t="s">
        <v>1780</v>
      </c>
      <c r="G16" s="69">
        <v>10000</v>
      </c>
    </row>
    <row r="17" spans="1:12" ht="57">
      <c r="A17" s="68">
        <v>1</v>
      </c>
      <c r="B17" s="69" t="s">
        <v>1781</v>
      </c>
      <c r="C17" s="69" t="s">
        <v>1782</v>
      </c>
      <c r="D17" s="69" t="s">
        <v>1783</v>
      </c>
      <c r="E17" s="69" t="s">
        <v>1784</v>
      </c>
      <c r="F17" s="69" t="s">
        <v>1785</v>
      </c>
      <c r="G17" s="69">
        <v>0</v>
      </c>
    </row>
    <row r="19" spans="1:12">
      <c r="A19" s="3" t="s">
        <v>1786</v>
      </c>
    </row>
    <row r="20" spans="1:12" ht="15">
      <c r="A20"/>
      <c r="B20" s="68" t="s">
        <v>92</v>
      </c>
      <c r="C20" s="68" t="s">
        <v>58</v>
      </c>
      <c r="G20"/>
      <c r="H20"/>
      <c r="I20"/>
      <c r="J20"/>
      <c r="K20"/>
      <c r="L20"/>
    </row>
    <row r="21" spans="1:12" ht="15">
      <c r="A21" s="68" t="s">
        <v>20</v>
      </c>
      <c r="B21" s="68">
        <v>8100</v>
      </c>
      <c r="C21" s="68">
        <v>10800</v>
      </c>
      <c r="G21"/>
      <c r="H21"/>
      <c r="I21"/>
      <c r="J21"/>
      <c r="K21"/>
      <c r="L21"/>
    </row>
    <row r="22" spans="1:12">
      <c r="A22" s="68" t="s">
        <v>21</v>
      </c>
      <c r="B22" s="68">
        <v>30600</v>
      </c>
      <c r="C22" s="68">
        <v>43200</v>
      </c>
    </row>
    <row r="23" spans="1:12">
      <c r="A23" s="68" t="s">
        <v>22</v>
      </c>
      <c r="B23" s="68">
        <v>53100</v>
      </c>
      <c r="C23" s="68">
        <v>73800</v>
      </c>
    </row>
    <row r="24" spans="1:12">
      <c r="A24" s="68" t="s">
        <v>23</v>
      </c>
      <c r="B24" s="68">
        <v>34200</v>
      </c>
      <c r="C24" s="68">
        <v>48600</v>
      </c>
    </row>
    <row r="25" spans="1:12">
      <c r="A25" s="68" t="s">
        <v>24</v>
      </c>
      <c r="B25" s="68">
        <v>39600</v>
      </c>
      <c r="C25" s="68">
        <v>55800</v>
      </c>
    </row>
    <row r="26" spans="1:12">
      <c r="A26" s="68" t="s">
        <v>25</v>
      </c>
      <c r="B26" s="68">
        <v>17100</v>
      </c>
      <c r="C26" s="68">
        <v>23400</v>
      </c>
    </row>
    <row r="27" spans="1:12">
      <c r="A27" s="68" t="s">
        <v>26</v>
      </c>
      <c r="B27" s="68">
        <v>15300</v>
      </c>
      <c r="C27" s="68">
        <v>20700</v>
      </c>
    </row>
    <row r="28" spans="1:12">
      <c r="A28" s="68" t="s">
        <v>27</v>
      </c>
      <c r="B28" s="68">
        <v>42300</v>
      </c>
      <c r="C28" s="68">
        <v>59400</v>
      </c>
    </row>
    <row r="29" spans="1:12">
      <c r="A29" s="68" t="s">
        <v>28</v>
      </c>
      <c r="B29" s="68">
        <v>18900</v>
      </c>
      <c r="C29" s="68">
        <v>26100</v>
      </c>
    </row>
    <row r="30" spans="1:12">
      <c r="A30" s="68" t="s">
        <v>29</v>
      </c>
      <c r="B30" s="68">
        <v>21600</v>
      </c>
      <c r="C30" s="68">
        <v>29700</v>
      </c>
    </row>
    <row r="31" spans="1:12">
      <c r="A31" s="68" t="s">
        <v>30</v>
      </c>
      <c r="B31" s="68">
        <v>7650</v>
      </c>
      <c r="C31" s="68">
        <v>10800</v>
      </c>
    </row>
    <row r="32" spans="1:12">
      <c r="A32" s="68" t="s">
        <v>31</v>
      </c>
      <c r="B32" s="68">
        <v>31500</v>
      </c>
      <c r="C32" s="68">
        <v>44100</v>
      </c>
    </row>
    <row r="33" spans="1:3">
      <c r="A33" s="68" t="s">
        <v>32</v>
      </c>
      <c r="B33" s="68">
        <v>25200</v>
      </c>
      <c r="C33" s="68">
        <v>36000</v>
      </c>
    </row>
    <row r="34" spans="1:3">
      <c r="A34" s="68" t="s">
        <v>33</v>
      </c>
      <c r="B34" s="68">
        <v>10800</v>
      </c>
      <c r="C34" s="68">
        <v>15300</v>
      </c>
    </row>
    <row r="35" spans="1:3">
      <c r="A35" s="68" t="s">
        <v>34</v>
      </c>
      <c r="B35" s="68">
        <v>11250</v>
      </c>
      <c r="C35" s="68">
        <v>15750</v>
      </c>
    </row>
    <row r="36" spans="1:3">
      <c r="A36" s="68" t="s">
        <v>35</v>
      </c>
      <c r="B36" s="68">
        <v>19800</v>
      </c>
      <c r="C36" s="68">
        <v>27000</v>
      </c>
    </row>
    <row r="37" spans="1:3">
      <c r="A37" s="68" t="s">
        <v>36</v>
      </c>
      <c r="B37" s="68">
        <v>4500</v>
      </c>
      <c r="C37" s="68">
        <v>6300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331A-4147-409D-AD53-C6E9C2032A68}">
  <dimension ref="A1:V163"/>
  <sheetViews>
    <sheetView topLeftCell="H1" workbookViewId="0">
      <pane ySplit="1" topLeftCell="A2" activePane="bottomLeft" state="frozen"/>
      <selection pane="bottomLeft" activeCell="P24" sqref="P24"/>
    </sheetView>
  </sheetViews>
  <sheetFormatPr defaultRowHeight="15"/>
  <cols>
    <col min="1" max="1" width="42.7109375" customWidth="1"/>
    <col min="2" max="2" width="26.85546875" bestFit="1" customWidth="1"/>
    <col min="3" max="3" width="26.85546875" customWidth="1"/>
    <col min="4" max="4" width="22.85546875" bestFit="1" customWidth="1"/>
    <col min="5" max="5" width="24.7109375" bestFit="1" customWidth="1"/>
    <col min="6" max="6" width="53" bestFit="1" customWidth="1"/>
    <col min="7" max="7" width="48.85546875" bestFit="1" customWidth="1"/>
    <col min="8" max="8" width="36.42578125" bestFit="1" customWidth="1"/>
    <col min="11" max="12" width="34.28515625" bestFit="1" customWidth="1"/>
    <col min="13" max="13" width="30" bestFit="1" customWidth="1"/>
    <col min="14" max="14" width="22.28515625" bestFit="1" customWidth="1"/>
    <col min="15" max="15" width="28" bestFit="1" customWidth="1"/>
    <col min="16" max="16" width="55" bestFit="1" customWidth="1"/>
    <col min="17" max="17" width="30.140625" bestFit="1" customWidth="1"/>
    <col min="18" max="18" width="17.7109375" bestFit="1" customWidth="1"/>
    <col min="19" max="19" width="30.7109375" bestFit="1" customWidth="1"/>
    <col min="20" max="20" width="41.140625" bestFit="1" customWidth="1"/>
    <col min="21" max="21" width="17.5703125" bestFit="1" customWidth="1"/>
    <col min="22" max="22" width="20.5703125" bestFit="1" customWidth="1"/>
  </cols>
  <sheetData>
    <row r="1" spans="1:22">
      <c r="A1" s="76" t="s">
        <v>1787</v>
      </c>
      <c r="B1" s="76" t="s">
        <v>1661</v>
      </c>
      <c r="C1" s="76" t="s">
        <v>1788</v>
      </c>
      <c r="D1" s="76" t="s">
        <v>1789</v>
      </c>
      <c r="E1" s="76" t="s">
        <v>1790</v>
      </c>
      <c r="F1" s="76" t="s">
        <v>1791</v>
      </c>
      <c r="G1" s="76" t="s">
        <v>1792</v>
      </c>
      <c r="H1" s="76" t="s">
        <v>1793</v>
      </c>
    </row>
    <row r="2" spans="1:22">
      <c r="A2" t="s">
        <v>1794</v>
      </c>
      <c r="B2" t="s">
        <v>102</v>
      </c>
      <c r="D2" t="s">
        <v>1694</v>
      </c>
      <c r="E2" t="s">
        <v>1795</v>
      </c>
      <c r="F2" t="s">
        <v>1794</v>
      </c>
      <c r="G2" t="str">
        <f>B2&amp;" "&amp;D2</f>
        <v>Renewables Generation Forecasts</v>
      </c>
      <c r="H2" t="str">
        <f>IF(ISBLANK(C2),"",_xlfn.CONCAT(C2," ",D2))</f>
        <v/>
      </c>
    </row>
    <row r="3" spans="1:22">
      <c r="A3" t="s">
        <v>1796</v>
      </c>
      <c r="B3" t="s">
        <v>1640</v>
      </c>
      <c r="D3" t="s">
        <v>1694</v>
      </c>
      <c r="E3" t="s">
        <v>1703</v>
      </c>
      <c r="F3" t="s">
        <v>1796</v>
      </c>
      <c r="G3" t="str">
        <f t="shared" ref="G3:G66" si="0">B3&amp;" "&amp;D3</f>
        <v>Flexible Generation &amp; Storage Forecasts</v>
      </c>
      <c r="H3" t="str">
        <f t="shared" ref="H3:H66" si="1">IF(ISBLANK(C3),"",_xlfn.CONCAT(C3," ",D3))</f>
        <v/>
      </c>
    </row>
    <row r="4" spans="1:22">
      <c r="A4" t="s">
        <v>1797</v>
      </c>
      <c r="B4" t="s">
        <v>1640</v>
      </c>
      <c r="D4" t="s">
        <v>1692</v>
      </c>
      <c r="E4" t="s">
        <v>1703</v>
      </c>
      <c r="F4" t="s">
        <v>1797</v>
      </c>
      <c r="G4" t="str">
        <f t="shared" si="0"/>
        <v>Flexible Generation &amp; Storage Market Intelligence</v>
      </c>
      <c r="H4" t="str">
        <f t="shared" si="1"/>
        <v/>
      </c>
      <c r="K4" s="76" t="s">
        <v>1798</v>
      </c>
      <c r="L4" s="76" t="s">
        <v>1795</v>
      </c>
      <c r="M4" s="76" t="s">
        <v>1703</v>
      </c>
      <c r="N4" s="76" t="s">
        <v>1799</v>
      </c>
      <c r="O4" s="76" t="s">
        <v>33</v>
      </c>
      <c r="P4" s="76" t="s">
        <v>1800</v>
      </c>
      <c r="Q4" s="76" t="s">
        <v>1801</v>
      </c>
      <c r="R4" s="76" t="s">
        <v>1802</v>
      </c>
      <c r="S4" s="76" t="s">
        <v>1803</v>
      </c>
      <c r="T4" s="76" t="s">
        <v>1804</v>
      </c>
      <c r="U4" s="76" t="s">
        <v>1805</v>
      </c>
      <c r="V4" s="76" t="s">
        <v>1806</v>
      </c>
    </row>
    <row r="5" spans="1:22">
      <c r="A5" t="s">
        <v>1807</v>
      </c>
      <c r="B5" t="s">
        <v>20</v>
      </c>
      <c r="D5" t="s">
        <v>1710</v>
      </c>
      <c r="E5" t="s">
        <v>1799</v>
      </c>
      <c r="F5" t="s">
        <v>1799</v>
      </c>
      <c r="G5" t="str">
        <f t="shared" si="0"/>
        <v>Industry Essentials Industry News &amp; Analysis</v>
      </c>
      <c r="H5" t="str">
        <f t="shared" si="1"/>
        <v/>
      </c>
      <c r="K5" t="s">
        <v>1808</v>
      </c>
      <c r="L5" t="s">
        <v>1808</v>
      </c>
      <c r="M5" t="s">
        <v>1796</v>
      </c>
      <c r="O5" t="s">
        <v>1809</v>
      </c>
      <c r="P5" t="s">
        <v>1810</v>
      </c>
      <c r="Q5" t="s">
        <v>1811</v>
      </c>
      <c r="R5" t="s">
        <v>1812</v>
      </c>
      <c r="S5" t="s">
        <v>1813</v>
      </c>
      <c r="T5" t="s">
        <v>1814</v>
      </c>
      <c r="U5" t="s">
        <v>1815</v>
      </c>
      <c r="V5" t="s">
        <v>1816</v>
      </c>
    </row>
    <row r="6" spans="1:22">
      <c r="A6" t="s">
        <v>1817</v>
      </c>
      <c r="B6" t="s">
        <v>1818</v>
      </c>
      <c r="D6" t="s">
        <v>1694</v>
      </c>
      <c r="E6" t="s">
        <v>33</v>
      </c>
      <c r="F6" t="s">
        <v>1817</v>
      </c>
      <c r="G6" t="str">
        <f t="shared" si="0"/>
        <v>End Users Forecasts</v>
      </c>
      <c r="H6" t="str">
        <f t="shared" si="1"/>
        <v/>
      </c>
      <c r="K6" t="s">
        <v>1819</v>
      </c>
      <c r="L6" t="s">
        <v>1820</v>
      </c>
      <c r="M6" t="s">
        <v>1797</v>
      </c>
      <c r="P6" t="s">
        <v>1821</v>
      </c>
      <c r="Q6" t="s">
        <v>1822</v>
      </c>
      <c r="S6" t="s">
        <v>1823</v>
      </c>
      <c r="T6" t="s">
        <v>1824</v>
      </c>
      <c r="U6" t="s">
        <v>1825</v>
      </c>
    </row>
    <row r="7" spans="1:22">
      <c r="A7" t="s">
        <v>1809</v>
      </c>
      <c r="B7" t="s">
        <v>20</v>
      </c>
      <c r="D7" t="s">
        <v>1710</v>
      </c>
      <c r="E7" t="s">
        <v>33</v>
      </c>
      <c r="F7" t="s">
        <v>1809</v>
      </c>
      <c r="G7" t="str">
        <f t="shared" si="0"/>
        <v>Industry Essentials Industry News &amp; Analysis</v>
      </c>
      <c r="H7" t="str">
        <f t="shared" si="1"/>
        <v/>
      </c>
      <c r="K7" t="s">
        <v>1826</v>
      </c>
      <c r="L7" t="s">
        <v>1819</v>
      </c>
      <c r="M7" t="s">
        <v>1827</v>
      </c>
      <c r="P7" t="s">
        <v>1828</v>
      </c>
      <c r="Q7" t="s">
        <v>1829</v>
      </c>
      <c r="S7" t="s">
        <v>1830</v>
      </c>
      <c r="T7" t="s">
        <v>1831</v>
      </c>
    </row>
    <row r="8" spans="1:22">
      <c r="A8" t="s">
        <v>1832</v>
      </c>
      <c r="B8" t="s">
        <v>20</v>
      </c>
      <c r="D8" t="s">
        <v>1710</v>
      </c>
      <c r="E8" t="s">
        <v>33</v>
      </c>
      <c r="F8" t="s">
        <v>1809</v>
      </c>
      <c r="G8" t="str">
        <f t="shared" si="0"/>
        <v>Industry Essentials Industry News &amp; Analysis</v>
      </c>
      <c r="H8" t="str">
        <f t="shared" si="1"/>
        <v/>
      </c>
      <c r="K8" t="s">
        <v>1833</v>
      </c>
      <c r="L8" t="s">
        <v>1826</v>
      </c>
      <c r="M8" t="s">
        <v>1834</v>
      </c>
      <c r="P8" t="s">
        <v>1835</v>
      </c>
      <c r="S8" t="s">
        <v>1836</v>
      </c>
      <c r="T8" t="s">
        <v>1837</v>
      </c>
    </row>
    <row r="9" spans="1:22">
      <c r="A9" t="s">
        <v>1810</v>
      </c>
      <c r="B9" t="s">
        <v>59</v>
      </c>
      <c r="D9" t="s">
        <v>1692</v>
      </c>
      <c r="E9" t="s">
        <v>1800</v>
      </c>
      <c r="F9" t="s">
        <v>1810</v>
      </c>
      <c r="G9" t="str">
        <f t="shared" si="0"/>
        <v>Energy Supply Market Intelligence</v>
      </c>
      <c r="H9" t="str">
        <f t="shared" si="1"/>
        <v/>
      </c>
      <c r="K9" t="s">
        <v>1838</v>
      </c>
      <c r="L9" t="s">
        <v>1839</v>
      </c>
      <c r="M9" t="s">
        <v>1840</v>
      </c>
      <c r="P9" t="s">
        <v>1841</v>
      </c>
      <c r="T9" t="s">
        <v>1842</v>
      </c>
    </row>
    <row r="10" spans="1:22">
      <c r="A10" t="s">
        <v>1821</v>
      </c>
      <c r="B10" t="s">
        <v>59</v>
      </c>
      <c r="D10" t="s">
        <v>1692</v>
      </c>
      <c r="E10" t="s">
        <v>1800</v>
      </c>
      <c r="F10" t="s">
        <v>1821</v>
      </c>
      <c r="G10" t="str">
        <f t="shared" si="0"/>
        <v>Energy Supply Market Intelligence</v>
      </c>
      <c r="H10" t="str">
        <f t="shared" si="1"/>
        <v/>
      </c>
      <c r="L10" t="s">
        <v>1833</v>
      </c>
      <c r="P10" t="s">
        <v>1843</v>
      </c>
      <c r="T10" t="s">
        <v>1844</v>
      </c>
    </row>
    <row r="11" spans="1:22">
      <c r="A11" t="s">
        <v>1845</v>
      </c>
      <c r="B11" t="s">
        <v>1640</v>
      </c>
      <c r="C11" t="s">
        <v>102</v>
      </c>
      <c r="D11" t="s">
        <v>1694</v>
      </c>
      <c r="E11" t="s">
        <v>1795</v>
      </c>
      <c r="F11" t="s">
        <v>1845</v>
      </c>
      <c r="G11" t="str">
        <f t="shared" si="0"/>
        <v>Flexible Generation &amp; Storage Forecasts</v>
      </c>
      <c r="H11" t="str">
        <f t="shared" si="1"/>
        <v>Renewables Generation Forecasts</v>
      </c>
      <c r="L11" t="s">
        <v>1838</v>
      </c>
      <c r="T11" t="s">
        <v>1846</v>
      </c>
    </row>
    <row r="12" spans="1:22">
      <c r="A12" t="s">
        <v>1847</v>
      </c>
      <c r="B12" t="s">
        <v>59</v>
      </c>
      <c r="C12" t="s">
        <v>102</v>
      </c>
      <c r="D12" t="s">
        <v>1694</v>
      </c>
      <c r="E12" t="s">
        <v>1801</v>
      </c>
      <c r="F12" t="s">
        <v>1811</v>
      </c>
      <c r="G12" t="str">
        <f t="shared" si="0"/>
        <v>Energy Supply Forecasts</v>
      </c>
      <c r="H12" t="str">
        <f t="shared" si="1"/>
        <v>Renewables Generation Forecasts</v>
      </c>
      <c r="T12" t="s">
        <v>1848</v>
      </c>
    </row>
    <row r="13" spans="1:22">
      <c r="A13" t="s">
        <v>1849</v>
      </c>
      <c r="B13" t="s">
        <v>102</v>
      </c>
      <c r="D13" t="s">
        <v>1850</v>
      </c>
      <c r="E13" t="s">
        <v>1802</v>
      </c>
      <c r="F13" t="s">
        <v>1812</v>
      </c>
      <c r="G13" t="str">
        <f t="shared" si="0"/>
        <v>Renewables Generation Annuity Consulting</v>
      </c>
      <c r="H13" t="str">
        <f t="shared" si="1"/>
        <v/>
      </c>
      <c r="T13" t="s">
        <v>1851</v>
      </c>
    </row>
    <row r="14" spans="1:22">
      <c r="A14" t="s">
        <v>1852</v>
      </c>
      <c r="B14" t="s">
        <v>20</v>
      </c>
      <c r="D14" t="s">
        <v>1710</v>
      </c>
      <c r="E14" t="s">
        <v>1799</v>
      </c>
      <c r="F14" t="s">
        <v>1799</v>
      </c>
      <c r="G14" t="str">
        <f t="shared" si="0"/>
        <v>Industry Essentials Industry News &amp; Analysis</v>
      </c>
      <c r="H14" t="str">
        <f t="shared" si="1"/>
        <v/>
      </c>
      <c r="T14" t="s">
        <v>1853</v>
      </c>
    </row>
    <row r="15" spans="1:22">
      <c r="A15" t="s">
        <v>1813</v>
      </c>
      <c r="B15" t="s">
        <v>59</v>
      </c>
      <c r="D15" t="s">
        <v>1692</v>
      </c>
      <c r="E15" t="s">
        <v>1803</v>
      </c>
      <c r="F15" t="s">
        <v>1813</v>
      </c>
      <c r="G15" t="str">
        <f t="shared" si="0"/>
        <v>Energy Supply Market Intelligence</v>
      </c>
      <c r="H15" t="str">
        <f t="shared" si="1"/>
        <v/>
      </c>
    </row>
    <row r="16" spans="1:22">
      <c r="A16" t="s">
        <v>1854</v>
      </c>
      <c r="B16" t="s">
        <v>20</v>
      </c>
      <c r="D16" t="s">
        <v>1710</v>
      </c>
      <c r="E16" t="s">
        <v>1799</v>
      </c>
      <c r="F16" t="s">
        <v>1855</v>
      </c>
      <c r="G16" t="str">
        <f t="shared" si="0"/>
        <v>Industry Essentials Industry News &amp; Analysis</v>
      </c>
      <c r="H16" t="str">
        <f t="shared" si="1"/>
        <v/>
      </c>
    </row>
    <row r="17" spans="1:8">
      <c r="A17" t="s">
        <v>1856</v>
      </c>
      <c r="B17" t="s">
        <v>59</v>
      </c>
      <c r="D17" t="s">
        <v>1692</v>
      </c>
      <c r="E17" t="s">
        <v>1803</v>
      </c>
      <c r="F17" t="s">
        <v>1823</v>
      </c>
      <c r="G17" t="str">
        <f t="shared" si="0"/>
        <v>Energy Supply Market Intelligence</v>
      </c>
      <c r="H17" t="str">
        <f t="shared" si="1"/>
        <v/>
      </c>
    </row>
    <row r="18" spans="1:8">
      <c r="A18" t="s">
        <v>1814</v>
      </c>
      <c r="B18" t="s">
        <v>59</v>
      </c>
      <c r="D18" t="s">
        <v>1695</v>
      </c>
      <c r="E18" t="s">
        <v>1804</v>
      </c>
      <c r="F18" t="s">
        <v>1814</v>
      </c>
      <c r="G18" t="str">
        <f t="shared" si="0"/>
        <v>Energy Supply Regulation</v>
      </c>
      <c r="H18" t="str">
        <f t="shared" si="1"/>
        <v/>
      </c>
    </row>
    <row r="19" spans="1:8">
      <c r="A19" t="s">
        <v>1830</v>
      </c>
      <c r="B19" t="s">
        <v>59</v>
      </c>
      <c r="D19" t="s">
        <v>1692</v>
      </c>
      <c r="E19" t="s">
        <v>1803</v>
      </c>
      <c r="F19" t="s">
        <v>1830</v>
      </c>
      <c r="G19" t="str">
        <f t="shared" si="0"/>
        <v>Energy Supply Market Intelligence</v>
      </c>
      <c r="H19" t="str">
        <f t="shared" si="1"/>
        <v/>
      </c>
    </row>
    <row r="20" spans="1:8">
      <c r="A20" t="s">
        <v>1823</v>
      </c>
      <c r="B20" t="s">
        <v>59</v>
      </c>
      <c r="D20" t="s">
        <v>1692</v>
      </c>
      <c r="E20" t="s">
        <v>1803</v>
      </c>
      <c r="F20" t="s">
        <v>1823</v>
      </c>
      <c r="G20" t="str">
        <f t="shared" si="0"/>
        <v>Energy Supply Market Intelligence</v>
      </c>
      <c r="H20" t="str">
        <f t="shared" si="1"/>
        <v/>
      </c>
    </row>
    <row r="21" spans="1:8">
      <c r="A21" t="s">
        <v>1836</v>
      </c>
      <c r="B21" t="s">
        <v>59</v>
      </c>
      <c r="D21" t="s">
        <v>1692</v>
      </c>
      <c r="E21" t="s">
        <v>1803</v>
      </c>
      <c r="F21" t="s">
        <v>1836</v>
      </c>
      <c r="G21" t="str">
        <f t="shared" si="0"/>
        <v>Energy Supply Market Intelligence</v>
      </c>
      <c r="H21" t="str">
        <f t="shared" si="1"/>
        <v/>
      </c>
    </row>
    <row r="22" spans="1:8">
      <c r="A22" t="s">
        <v>1824</v>
      </c>
      <c r="B22" t="s">
        <v>1695</v>
      </c>
      <c r="D22" t="s">
        <v>1695</v>
      </c>
      <c r="E22" t="s">
        <v>1804</v>
      </c>
      <c r="F22" t="s">
        <v>1824</v>
      </c>
      <c r="G22" t="str">
        <f t="shared" si="0"/>
        <v>Regulation Regulation</v>
      </c>
      <c r="H22" t="str">
        <f t="shared" si="1"/>
        <v/>
      </c>
    </row>
    <row r="23" spans="1:8">
      <c r="A23" t="s">
        <v>1815</v>
      </c>
      <c r="B23" t="s">
        <v>102</v>
      </c>
      <c r="C23" t="s">
        <v>1640</v>
      </c>
      <c r="D23" t="s">
        <v>1694</v>
      </c>
      <c r="E23" t="s">
        <v>1805</v>
      </c>
      <c r="F23" t="s">
        <v>1815</v>
      </c>
      <c r="G23" t="str">
        <f t="shared" si="0"/>
        <v>Renewables Generation Forecasts</v>
      </c>
      <c r="H23" t="str">
        <f t="shared" si="1"/>
        <v>Flexible Generation &amp; Storage Forecasts</v>
      </c>
    </row>
    <row r="24" spans="1:8">
      <c r="A24" t="s">
        <v>1857</v>
      </c>
      <c r="B24" t="s">
        <v>20</v>
      </c>
      <c r="D24" t="s">
        <v>1710</v>
      </c>
      <c r="E24" t="s">
        <v>1799</v>
      </c>
      <c r="F24" t="s">
        <v>1857</v>
      </c>
      <c r="G24" t="str">
        <f t="shared" si="0"/>
        <v>Industry Essentials Industry News &amp; Analysis</v>
      </c>
      <c r="H24" t="str">
        <f t="shared" si="1"/>
        <v/>
      </c>
    </row>
    <row r="25" spans="1:8">
      <c r="A25" t="s">
        <v>1855</v>
      </c>
      <c r="B25" t="s">
        <v>20</v>
      </c>
      <c r="D25" t="s">
        <v>1710</v>
      </c>
      <c r="E25" t="s">
        <v>1799</v>
      </c>
      <c r="F25" t="s">
        <v>1855</v>
      </c>
      <c r="G25" t="str">
        <f t="shared" si="0"/>
        <v>Industry Essentials Industry News &amp; Analysis</v>
      </c>
      <c r="H25" t="str">
        <f t="shared" si="1"/>
        <v/>
      </c>
    </row>
    <row r="26" spans="1:8">
      <c r="A26" t="s">
        <v>1858</v>
      </c>
      <c r="B26" t="s">
        <v>1859</v>
      </c>
      <c r="D26" t="s">
        <v>1859</v>
      </c>
      <c r="E26" t="s">
        <v>1859</v>
      </c>
      <c r="F26" t="s">
        <v>1858</v>
      </c>
      <c r="G26" t="str">
        <f t="shared" si="0"/>
        <v>Ireland Ireland</v>
      </c>
      <c r="H26" t="str">
        <f t="shared" si="1"/>
        <v/>
      </c>
    </row>
    <row r="27" spans="1:8">
      <c r="A27" t="s">
        <v>1816</v>
      </c>
      <c r="B27" t="s">
        <v>1818</v>
      </c>
      <c r="D27" t="s">
        <v>1692</v>
      </c>
      <c r="E27" t="s">
        <v>1806</v>
      </c>
      <c r="F27" t="s">
        <v>1816</v>
      </c>
      <c r="G27" t="str">
        <f t="shared" si="0"/>
        <v>End Users Market Intelligence</v>
      </c>
      <c r="H27" t="str">
        <f t="shared" si="1"/>
        <v/>
      </c>
    </row>
    <row r="28" spans="1:8">
      <c r="A28" t="s">
        <v>1822</v>
      </c>
      <c r="B28" t="s">
        <v>59</v>
      </c>
      <c r="D28" t="s">
        <v>1694</v>
      </c>
      <c r="E28" t="s">
        <v>1801</v>
      </c>
      <c r="F28" t="s">
        <v>1822</v>
      </c>
      <c r="G28" t="str">
        <f t="shared" si="0"/>
        <v>Energy Supply Forecasts</v>
      </c>
      <c r="H28" t="str">
        <f t="shared" si="1"/>
        <v/>
      </c>
    </row>
    <row r="29" spans="1:8">
      <c r="A29" t="s">
        <v>1827</v>
      </c>
      <c r="B29" t="s">
        <v>1640</v>
      </c>
      <c r="D29" t="s">
        <v>1692</v>
      </c>
      <c r="E29" t="s">
        <v>1703</v>
      </c>
      <c r="F29" t="s">
        <v>1827</v>
      </c>
      <c r="G29" t="str">
        <f t="shared" si="0"/>
        <v>Flexible Generation &amp; Storage Market Intelligence</v>
      </c>
      <c r="H29" t="str">
        <f t="shared" si="1"/>
        <v/>
      </c>
    </row>
    <row r="30" spans="1:8">
      <c r="A30" t="s">
        <v>1834</v>
      </c>
      <c r="B30" t="s">
        <v>1640</v>
      </c>
      <c r="D30" t="s">
        <v>1692</v>
      </c>
      <c r="E30" t="s">
        <v>1703</v>
      </c>
      <c r="F30" t="s">
        <v>1834</v>
      </c>
      <c r="G30" t="str">
        <f t="shared" si="0"/>
        <v>Flexible Generation &amp; Storage Market Intelligence</v>
      </c>
      <c r="H30" t="str">
        <f t="shared" si="1"/>
        <v/>
      </c>
    </row>
    <row r="31" spans="1:8">
      <c r="A31" t="s">
        <v>1860</v>
      </c>
      <c r="B31" t="s">
        <v>1640</v>
      </c>
      <c r="D31" t="s">
        <v>1692</v>
      </c>
      <c r="E31" t="s">
        <v>1703</v>
      </c>
      <c r="F31" t="s">
        <v>1703</v>
      </c>
      <c r="G31" t="str">
        <f t="shared" si="0"/>
        <v>Flexible Generation &amp; Storage Market Intelligence</v>
      </c>
      <c r="H31" t="str">
        <f t="shared" si="1"/>
        <v/>
      </c>
    </row>
    <row r="32" spans="1:8">
      <c r="A32" t="s">
        <v>1840</v>
      </c>
      <c r="B32" t="s">
        <v>1640</v>
      </c>
      <c r="D32" t="s">
        <v>1692</v>
      </c>
      <c r="E32" t="s">
        <v>1703</v>
      </c>
      <c r="F32" t="s">
        <v>1840</v>
      </c>
      <c r="G32" t="str">
        <f t="shared" si="0"/>
        <v>Flexible Generation &amp; Storage Market Intelligence</v>
      </c>
      <c r="H32" t="str">
        <f t="shared" si="1"/>
        <v/>
      </c>
    </row>
    <row r="33" spans="1:8">
      <c r="A33" t="s">
        <v>1831</v>
      </c>
      <c r="B33" t="s">
        <v>1695</v>
      </c>
      <c r="D33" t="s">
        <v>1695</v>
      </c>
      <c r="E33" t="s">
        <v>1804</v>
      </c>
      <c r="F33" t="s">
        <v>1831</v>
      </c>
      <c r="G33" t="str">
        <f t="shared" si="0"/>
        <v>Regulation Regulation</v>
      </c>
      <c r="H33" t="str">
        <f t="shared" si="1"/>
        <v/>
      </c>
    </row>
    <row r="34" spans="1:8">
      <c r="A34" t="s">
        <v>1861</v>
      </c>
      <c r="B34" t="s">
        <v>1640</v>
      </c>
      <c r="D34" t="s">
        <v>1694</v>
      </c>
      <c r="E34" t="s">
        <v>1703</v>
      </c>
      <c r="F34" t="s">
        <v>1862</v>
      </c>
      <c r="G34" t="str">
        <f t="shared" si="0"/>
        <v>Flexible Generation &amp; Storage Forecasts</v>
      </c>
      <c r="H34" t="str">
        <f t="shared" si="1"/>
        <v/>
      </c>
    </row>
    <row r="35" spans="1:8">
      <c r="A35" t="s">
        <v>1863</v>
      </c>
      <c r="B35" t="s">
        <v>102</v>
      </c>
      <c r="D35" t="s">
        <v>1694</v>
      </c>
      <c r="E35" t="s">
        <v>1795</v>
      </c>
      <c r="F35" t="s">
        <v>1864</v>
      </c>
      <c r="G35" t="str">
        <f t="shared" si="0"/>
        <v>Renewables Generation Forecasts</v>
      </c>
      <c r="H35" t="str">
        <f t="shared" si="1"/>
        <v/>
      </c>
    </row>
    <row r="36" spans="1:8">
      <c r="A36" t="s">
        <v>1808</v>
      </c>
      <c r="B36" t="s">
        <v>102</v>
      </c>
      <c r="C36" t="s">
        <v>59</v>
      </c>
      <c r="D36" t="s">
        <v>1692</v>
      </c>
      <c r="E36" t="s">
        <v>1795</v>
      </c>
      <c r="F36" t="s">
        <v>1808</v>
      </c>
      <c r="G36" t="str">
        <f t="shared" si="0"/>
        <v>Renewables Generation Market Intelligence</v>
      </c>
      <c r="H36" t="str">
        <f t="shared" si="1"/>
        <v>Energy Supply Market Intelligence</v>
      </c>
    </row>
    <row r="37" spans="1:8">
      <c r="A37" t="s">
        <v>1820</v>
      </c>
      <c r="B37" t="s">
        <v>102</v>
      </c>
      <c r="D37" t="s">
        <v>1692</v>
      </c>
      <c r="E37" t="s">
        <v>1795</v>
      </c>
      <c r="F37" t="s">
        <v>1820</v>
      </c>
      <c r="G37" t="str">
        <f t="shared" si="0"/>
        <v>Renewables Generation Market Intelligence</v>
      </c>
      <c r="H37" t="str">
        <f t="shared" si="1"/>
        <v/>
      </c>
    </row>
    <row r="38" spans="1:8">
      <c r="A38" t="s">
        <v>1819</v>
      </c>
      <c r="B38" t="s">
        <v>102</v>
      </c>
      <c r="D38" t="s">
        <v>1692</v>
      </c>
      <c r="E38" t="s">
        <v>1795</v>
      </c>
      <c r="F38" t="s">
        <v>1819</v>
      </c>
      <c r="G38" t="str">
        <f t="shared" si="0"/>
        <v>Renewables Generation Market Intelligence</v>
      </c>
      <c r="H38" t="str">
        <f t="shared" si="1"/>
        <v/>
      </c>
    </row>
    <row r="39" spans="1:8">
      <c r="A39" t="s">
        <v>1865</v>
      </c>
      <c r="B39" t="s">
        <v>1695</v>
      </c>
      <c r="D39" t="s">
        <v>1695</v>
      </c>
      <c r="E39" t="s">
        <v>1804</v>
      </c>
      <c r="F39" t="s">
        <v>1804</v>
      </c>
      <c r="G39" t="str">
        <f t="shared" si="0"/>
        <v>Regulation Regulation</v>
      </c>
      <c r="H39" t="str">
        <f t="shared" si="1"/>
        <v/>
      </c>
    </row>
    <row r="40" spans="1:8">
      <c r="A40" t="s">
        <v>1866</v>
      </c>
      <c r="B40" t="s">
        <v>20</v>
      </c>
      <c r="D40" t="s">
        <v>1710</v>
      </c>
      <c r="E40" t="s">
        <v>1799</v>
      </c>
      <c r="F40" t="s">
        <v>1799</v>
      </c>
      <c r="G40" t="str">
        <f t="shared" si="0"/>
        <v>Industry Essentials Industry News &amp; Analysis</v>
      </c>
      <c r="H40" t="str">
        <f t="shared" si="1"/>
        <v/>
      </c>
    </row>
    <row r="41" spans="1:8">
      <c r="A41" t="s">
        <v>1867</v>
      </c>
      <c r="B41" t="s">
        <v>1859</v>
      </c>
      <c r="D41" t="s">
        <v>1859</v>
      </c>
      <c r="E41" t="s">
        <v>1799</v>
      </c>
      <c r="F41" t="s">
        <v>1855</v>
      </c>
      <c r="G41" t="str">
        <f t="shared" si="0"/>
        <v>Ireland Ireland</v>
      </c>
      <c r="H41" t="str">
        <f t="shared" si="1"/>
        <v/>
      </c>
    </row>
    <row r="42" spans="1:8">
      <c r="A42" t="s">
        <v>1868</v>
      </c>
      <c r="B42" t="s">
        <v>102</v>
      </c>
      <c r="C42" t="s">
        <v>59</v>
      </c>
      <c r="D42" t="s">
        <v>1694</v>
      </c>
      <c r="E42" t="s">
        <v>1795</v>
      </c>
      <c r="F42" t="s">
        <v>1826</v>
      </c>
      <c r="G42" t="str">
        <f t="shared" si="0"/>
        <v>Renewables Generation Forecasts</v>
      </c>
      <c r="H42" t="str">
        <f t="shared" si="1"/>
        <v>Energy Supply Forecasts</v>
      </c>
    </row>
    <row r="43" spans="1:8">
      <c r="A43" t="s">
        <v>1837</v>
      </c>
      <c r="B43" t="s">
        <v>1695</v>
      </c>
      <c r="D43" t="s">
        <v>1695</v>
      </c>
      <c r="E43" t="s">
        <v>1804</v>
      </c>
      <c r="F43" t="s">
        <v>1837</v>
      </c>
      <c r="G43" t="str">
        <f t="shared" si="0"/>
        <v>Regulation Regulation</v>
      </c>
      <c r="H43" t="str">
        <f t="shared" si="1"/>
        <v/>
      </c>
    </row>
    <row r="44" spans="1:8">
      <c r="A44" t="s">
        <v>1869</v>
      </c>
      <c r="B44" t="s">
        <v>102</v>
      </c>
      <c r="C44" t="s">
        <v>1640</v>
      </c>
      <c r="D44" t="s">
        <v>1694</v>
      </c>
      <c r="E44" t="s">
        <v>1805</v>
      </c>
      <c r="F44" t="s">
        <v>1805</v>
      </c>
      <c r="G44" t="str">
        <f t="shared" si="0"/>
        <v>Renewables Generation Forecasts</v>
      </c>
      <c r="H44" t="str">
        <f t="shared" si="1"/>
        <v>Flexible Generation &amp; Storage Forecasts</v>
      </c>
    </row>
    <row r="45" spans="1:8">
      <c r="A45" t="s">
        <v>1842</v>
      </c>
      <c r="B45" t="s">
        <v>59</v>
      </c>
      <c r="D45" t="s">
        <v>1695</v>
      </c>
      <c r="E45" t="s">
        <v>1804</v>
      </c>
      <c r="F45" t="s">
        <v>1842</v>
      </c>
      <c r="G45" t="str">
        <f t="shared" si="0"/>
        <v>Energy Supply Regulation</v>
      </c>
      <c r="H45" t="str">
        <f t="shared" si="1"/>
        <v/>
      </c>
    </row>
    <row r="46" spans="1:8">
      <c r="A46" t="s">
        <v>1828</v>
      </c>
      <c r="B46" t="s">
        <v>59</v>
      </c>
      <c r="D46" t="s">
        <v>1692</v>
      </c>
      <c r="E46" t="s">
        <v>1800</v>
      </c>
      <c r="F46" t="s">
        <v>1828</v>
      </c>
      <c r="G46" t="str">
        <f t="shared" si="0"/>
        <v>Energy Supply Market Intelligence</v>
      </c>
      <c r="H46" t="str">
        <f t="shared" si="1"/>
        <v/>
      </c>
    </row>
    <row r="47" spans="1:8">
      <c r="A47" t="s">
        <v>1870</v>
      </c>
      <c r="B47" t="s">
        <v>20</v>
      </c>
      <c r="D47" t="s">
        <v>1710</v>
      </c>
      <c r="E47" t="s">
        <v>1799</v>
      </c>
      <c r="F47" t="s">
        <v>1799</v>
      </c>
      <c r="G47" t="str">
        <f t="shared" si="0"/>
        <v>Industry Essentials Industry News &amp; Analysis</v>
      </c>
      <c r="H47" t="str">
        <f t="shared" si="1"/>
        <v/>
      </c>
    </row>
    <row r="48" spans="1:8">
      <c r="A48" t="s">
        <v>1871</v>
      </c>
      <c r="B48" t="s">
        <v>1695</v>
      </c>
      <c r="D48" t="s">
        <v>1695</v>
      </c>
      <c r="E48" t="s">
        <v>1804</v>
      </c>
      <c r="F48" t="s">
        <v>1804</v>
      </c>
      <c r="G48" t="str">
        <f t="shared" si="0"/>
        <v>Regulation Regulation</v>
      </c>
      <c r="H48" t="str">
        <f t="shared" si="1"/>
        <v/>
      </c>
    </row>
    <row r="49" spans="1:8">
      <c r="A49" t="s">
        <v>1853</v>
      </c>
      <c r="B49" t="s">
        <v>1695</v>
      </c>
      <c r="D49" t="s">
        <v>1695</v>
      </c>
      <c r="E49" t="s">
        <v>1804</v>
      </c>
      <c r="F49" t="s">
        <v>1804</v>
      </c>
      <c r="G49" t="str">
        <f t="shared" si="0"/>
        <v>Regulation Regulation</v>
      </c>
      <c r="H49" t="str">
        <f t="shared" si="1"/>
        <v/>
      </c>
    </row>
    <row r="50" spans="1:8">
      <c r="A50" t="s">
        <v>1872</v>
      </c>
      <c r="B50" t="s">
        <v>102</v>
      </c>
      <c r="D50" t="s">
        <v>1692</v>
      </c>
      <c r="E50" t="s">
        <v>1795</v>
      </c>
      <c r="F50" t="s">
        <v>1839</v>
      </c>
      <c r="G50" t="str">
        <f t="shared" si="0"/>
        <v>Renewables Generation Market Intelligence</v>
      </c>
      <c r="H50" t="str">
        <f t="shared" si="1"/>
        <v/>
      </c>
    </row>
    <row r="51" spans="1:8">
      <c r="A51" t="s">
        <v>1833</v>
      </c>
      <c r="B51" t="s">
        <v>102</v>
      </c>
      <c r="C51" t="s">
        <v>59</v>
      </c>
      <c r="D51" t="s">
        <v>1692</v>
      </c>
      <c r="E51" t="s">
        <v>1795</v>
      </c>
      <c r="F51" t="s">
        <v>1833</v>
      </c>
      <c r="G51" t="str">
        <f t="shared" si="0"/>
        <v>Renewables Generation Market Intelligence</v>
      </c>
      <c r="H51" t="str">
        <f t="shared" si="1"/>
        <v>Energy Supply Market Intelligence</v>
      </c>
    </row>
    <row r="52" spans="1:8">
      <c r="A52" t="s">
        <v>1873</v>
      </c>
      <c r="B52" t="s">
        <v>1859</v>
      </c>
      <c r="D52" t="s">
        <v>1859</v>
      </c>
      <c r="E52" t="s">
        <v>1859</v>
      </c>
      <c r="F52" t="s">
        <v>1873</v>
      </c>
      <c r="G52" t="str">
        <f t="shared" si="0"/>
        <v>Ireland Ireland</v>
      </c>
      <c r="H52" t="str">
        <f t="shared" si="1"/>
        <v/>
      </c>
    </row>
    <row r="53" spans="1:8">
      <c r="A53" t="s">
        <v>1874</v>
      </c>
      <c r="B53" t="s">
        <v>1859</v>
      </c>
      <c r="D53" t="s">
        <v>1859</v>
      </c>
      <c r="E53" t="s">
        <v>1859</v>
      </c>
      <c r="F53" t="s">
        <v>1874</v>
      </c>
      <c r="G53" t="str">
        <f t="shared" si="0"/>
        <v>Ireland Ireland</v>
      </c>
      <c r="H53" t="str">
        <f t="shared" si="1"/>
        <v/>
      </c>
    </row>
    <row r="54" spans="1:8">
      <c r="A54" t="s">
        <v>1875</v>
      </c>
      <c r="B54" t="s">
        <v>1859</v>
      </c>
      <c r="D54" t="s">
        <v>1859</v>
      </c>
      <c r="E54" t="s">
        <v>1859</v>
      </c>
      <c r="F54" t="s">
        <v>1875</v>
      </c>
      <c r="G54" t="str">
        <f t="shared" si="0"/>
        <v>Ireland Ireland</v>
      </c>
      <c r="H54" t="str">
        <f t="shared" si="1"/>
        <v/>
      </c>
    </row>
    <row r="55" spans="1:8">
      <c r="A55" t="s">
        <v>1835</v>
      </c>
      <c r="B55" t="s">
        <v>59</v>
      </c>
      <c r="D55" t="s">
        <v>1692</v>
      </c>
      <c r="E55" t="s">
        <v>1800</v>
      </c>
      <c r="F55" t="s">
        <v>1835</v>
      </c>
      <c r="G55" t="str">
        <f t="shared" si="0"/>
        <v>Energy Supply Market Intelligence</v>
      </c>
      <c r="H55" t="str">
        <f t="shared" si="1"/>
        <v/>
      </c>
    </row>
    <row r="56" spans="1:8">
      <c r="A56" t="s">
        <v>1841</v>
      </c>
      <c r="B56" t="s">
        <v>59</v>
      </c>
      <c r="D56" t="s">
        <v>1692</v>
      </c>
      <c r="E56" t="s">
        <v>1800</v>
      </c>
      <c r="F56" t="s">
        <v>1841</v>
      </c>
      <c r="G56" t="str">
        <f t="shared" si="0"/>
        <v>Energy Supply Market Intelligence</v>
      </c>
      <c r="H56" t="str">
        <f t="shared" si="1"/>
        <v/>
      </c>
    </row>
    <row r="57" spans="1:8">
      <c r="A57" t="s">
        <v>1829</v>
      </c>
      <c r="B57" t="s">
        <v>59</v>
      </c>
      <c r="D57" t="s">
        <v>1694</v>
      </c>
      <c r="E57" t="s">
        <v>1801</v>
      </c>
      <c r="F57" t="s">
        <v>1829</v>
      </c>
      <c r="G57" t="str">
        <f t="shared" si="0"/>
        <v>Energy Supply Forecasts</v>
      </c>
      <c r="H57" t="str">
        <f t="shared" si="1"/>
        <v/>
      </c>
    </row>
    <row r="58" spans="1:8">
      <c r="A58" t="s">
        <v>1825</v>
      </c>
      <c r="B58" t="s">
        <v>102</v>
      </c>
      <c r="C58" t="s">
        <v>1640</v>
      </c>
      <c r="D58" t="s">
        <v>1694</v>
      </c>
      <c r="E58" t="s">
        <v>1805</v>
      </c>
      <c r="F58" t="s">
        <v>1825</v>
      </c>
      <c r="G58" t="str">
        <f t="shared" si="0"/>
        <v>Renewables Generation Forecasts</v>
      </c>
      <c r="H58" t="str">
        <f t="shared" si="1"/>
        <v>Flexible Generation &amp; Storage Forecasts</v>
      </c>
    </row>
    <row r="59" spans="1:8">
      <c r="A59" t="s">
        <v>1843</v>
      </c>
      <c r="B59" t="s">
        <v>59</v>
      </c>
      <c r="D59" t="s">
        <v>1692</v>
      </c>
      <c r="E59" t="s">
        <v>1800</v>
      </c>
      <c r="F59" t="s">
        <v>1843</v>
      </c>
      <c r="G59" t="str">
        <f t="shared" si="0"/>
        <v>Energy Supply Market Intelligence</v>
      </c>
      <c r="H59" t="str">
        <f t="shared" si="1"/>
        <v/>
      </c>
    </row>
    <row r="60" spans="1:8">
      <c r="A60" t="s">
        <v>1876</v>
      </c>
      <c r="B60" t="s">
        <v>20</v>
      </c>
      <c r="D60" t="s">
        <v>1710</v>
      </c>
      <c r="E60" t="s">
        <v>1799</v>
      </c>
      <c r="F60" t="s">
        <v>1799</v>
      </c>
      <c r="G60" t="str">
        <f t="shared" si="0"/>
        <v>Industry Essentials Industry News &amp; Analysis</v>
      </c>
      <c r="H60" t="str">
        <f t="shared" si="1"/>
        <v/>
      </c>
    </row>
    <row r="61" spans="1:8">
      <c r="A61" t="s">
        <v>1877</v>
      </c>
      <c r="B61" t="s">
        <v>1859</v>
      </c>
      <c r="D61" t="s">
        <v>1859</v>
      </c>
      <c r="E61" t="s">
        <v>1859</v>
      </c>
      <c r="F61" t="s">
        <v>1858</v>
      </c>
      <c r="G61" t="str">
        <f t="shared" si="0"/>
        <v>Ireland Ireland</v>
      </c>
      <c r="H61" t="str">
        <f t="shared" si="1"/>
        <v/>
      </c>
    </row>
    <row r="62" spans="1:8">
      <c r="A62" t="s">
        <v>1878</v>
      </c>
      <c r="B62" t="s">
        <v>20</v>
      </c>
      <c r="D62" t="s">
        <v>1710</v>
      </c>
      <c r="E62" t="s">
        <v>1799</v>
      </c>
      <c r="F62" t="s">
        <v>1799</v>
      </c>
      <c r="G62" t="str">
        <f t="shared" si="0"/>
        <v>Industry Essentials Industry News &amp; Analysis</v>
      </c>
      <c r="H62" t="str">
        <f t="shared" si="1"/>
        <v/>
      </c>
    </row>
    <row r="63" spans="1:8">
      <c r="A63" t="s">
        <v>1879</v>
      </c>
      <c r="B63" t="s">
        <v>20</v>
      </c>
      <c r="D63" t="s">
        <v>1710</v>
      </c>
      <c r="E63" t="s">
        <v>33</v>
      </c>
      <c r="F63" t="s">
        <v>33</v>
      </c>
      <c r="G63" t="str">
        <f t="shared" si="0"/>
        <v>Industry Essentials Industry News &amp; Analysis</v>
      </c>
      <c r="H63" t="str">
        <f t="shared" si="1"/>
        <v/>
      </c>
    </row>
    <row r="64" spans="1:8">
      <c r="A64" t="s">
        <v>1838</v>
      </c>
      <c r="B64" t="s">
        <v>102</v>
      </c>
      <c r="C64" t="s">
        <v>59</v>
      </c>
      <c r="D64" t="s">
        <v>1694</v>
      </c>
      <c r="E64" t="s">
        <v>1795</v>
      </c>
      <c r="F64" t="s">
        <v>1838</v>
      </c>
      <c r="G64" t="str">
        <f t="shared" si="0"/>
        <v>Renewables Generation Forecasts</v>
      </c>
      <c r="H64" t="str">
        <f t="shared" si="1"/>
        <v>Energy Supply Forecasts</v>
      </c>
    </row>
    <row r="65" spans="1:8">
      <c r="A65" t="s">
        <v>1794</v>
      </c>
      <c r="B65" t="s">
        <v>102</v>
      </c>
      <c r="D65" t="s">
        <v>1694</v>
      </c>
      <c r="E65" t="s">
        <v>1795</v>
      </c>
      <c r="F65" t="s">
        <v>1794</v>
      </c>
      <c r="G65" t="str">
        <f t="shared" si="0"/>
        <v>Renewables Generation Forecasts</v>
      </c>
      <c r="H65" t="str">
        <f t="shared" si="1"/>
        <v/>
      </c>
    </row>
    <row r="66" spans="1:8">
      <c r="A66" t="s">
        <v>1796</v>
      </c>
      <c r="B66" t="s">
        <v>1640</v>
      </c>
      <c r="D66" t="s">
        <v>1694</v>
      </c>
      <c r="E66" t="s">
        <v>1703</v>
      </c>
      <c r="F66" t="s">
        <v>1796</v>
      </c>
      <c r="G66" t="str">
        <f t="shared" si="0"/>
        <v>Flexible Generation &amp; Storage Forecasts</v>
      </c>
      <c r="H66" t="str">
        <f t="shared" si="1"/>
        <v/>
      </c>
    </row>
    <row r="67" spans="1:8">
      <c r="A67" t="s">
        <v>1880</v>
      </c>
      <c r="B67" t="s">
        <v>102</v>
      </c>
      <c r="D67" t="s">
        <v>1694</v>
      </c>
      <c r="E67" t="s">
        <v>1795</v>
      </c>
      <c r="F67" t="s">
        <v>1864</v>
      </c>
      <c r="G67" t="str">
        <f t="shared" ref="G67:G130" si="2">B67&amp;" "&amp;D67</f>
        <v>Renewables Generation Forecasts</v>
      </c>
      <c r="H67" t="str">
        <f t="shared" ref="H67:H130" si="3">IF(ISBLANK(C67),"",_xlfn.CONCAT(C67," ",D67))</f>
        <v/>
      </c>
    </row>
    <row r="68" spans="1:8">
      <c r="A68" t="s">
        <v>1864</v>
      </c>
      <c r="B68" t="s">
        <v>102</v>
      </c>
      <c r="D68" t="s">
        <v>1694</v>
      </c>
      <c r="E68" t="s">
        <v>1795</v>
      </c>
      <c r="F68" t="s">
        <v>1864</v>
      </c>
      <c r="G68" t="str">
        <f t="shared" si="2"/>
        <v>Renewables Generation Forecasts</v>
      </c>
      <c r="H68" t="str">
        <f t="shared" si="3"/>
        <v/>
      </c>
    </row>
    <row r="69" spans="1:8">
      <c r="A69" t="s">
        <v>1881</v>
      </c>
      <c r="B69" t="s">
        <v>1695</v>
      </c>
      <c r="D69" t="s">
        <v>1695</v>
      </c>
      <c r="E69" t="s">
        <v>1804</v>
      </c>
      <c r="F69" t="s">
        <v>1804</v>
      </c>
      <c r="G69" t="str">
        <f t="shared" si="2"/>
        <v>Regulation Regulation</v>
      </c>
      <c r="H69" t="str">
        <f t="shared" si="3"/>
        <v/>
      </c>
    </row>
    <row r="70" spans="1:8">
      <c r="A70" t="s">
        <v>1882</v>
      </c>
      <c r="B70" t="s">
        <v>1695</v>
      </c>
      <c r="D70" t="s">
        <v>1695</v>
      </c>
      <c r="E70" t="s">
        <v>1804</v>
      </c>
      <c r="F70" t="s">
        <v>1804</v>
      </c>
      <c r="G70" t="str">
        <f t="shared" si="2"/>
        <v>Regulation Regulation</v>
      </c>
      <c r="H70" t="str">
        <f t="shared" si="3"/>
        <v/>
      </c>
    </row>
    <row r="71" spans="1:8">
      <c r="A71" t="s">
        <v>1817</v>
      </c>
      <c r="B71" t="s">
        <v>1818</v>
      </c>
      <c r="D71" t="s">
        <v>1694</v>
      </c>
      <c r="E71" t="s">
        <v>33</v>
      </c>
      <c r="F71" t="s">
        <v>1817</v>
      </c>
      <c r="G71" t="str">
        <f t="shared" si="2"/>
        <v>End Users Forecasts</v>
      </c>
      <c r="H71" t="str">
        <f t="shared" si="3"/>
        <v/>
      </c>
    </row>
    <row r="72" spans="1:8">
      <c r="A72" t="s">
        <v>33</v>
      </c>
      <c r="B72" t="s">
        <v>20</v>
      </c>
      <c r="D72" t="s">
        <v>1710</v>
      </c>
      <c r="E72" t="s">
        <v>33</v>
      </c>
      <c r="F72" t="s">
        <v>33</v>
      </c>
      <c r="G72" t="str">
        <f t="shared" si="2"/>
        <v>Industry Essentials Industry News &amp; Analysis</v>
      </c>
      <c r="H72" t="str">
        <f t="shared" si="3"/>
        <v/>
      </c>
    </row>
    <row r="73" spans="1:8">
      <c r="A73" t="s">
        <v>1883</v>
      </c>
      <c r="B73" t="s">
        <v>20</v>
      </c>
      <c r="D73" t="s">
        <v>1710</v>
      </c>
      <c r="E73" t="s">
        <v>33</v>
      </c>
      <c r="F73" t="s">
        <v>33</v>
      </c>
      <c r="G73" t="str">
        <f t="shared" si="2"/>
        <v>Industry Essentials Industry News &amp; Analysis</v>
      </c>
      <c r="H73" t="str">
        <f t="shared" si="3"/>
        <v/>
      </c>
    </row>
    <row r="74" spans="1:8">
      <c r="A74" t="s">
        <v>1884</v>
      </c>
      <c r="B74" t="s">
        <v>20</v>
      </c>
      <c r="D74" t="s">
        <v>1710</v>
      </c>
      <c r="E74" t="s">
        <v>33</v>
      </c>
      <c r="F74" t="s">
        <v>33</v>
      </c>
      <c r="G74" t="str">
        <f t="shared" si="2"/>
        <v>Industry Essentials Industry News &amp; Analysis</v>
      </c>
      <c r="H74" t="str">
        <f t="shared" si="3"/>
        <v/>
      </c>
    </row>
    <row r="75" spans="1:8">
      <c r="A75" t="s">
        <v>1885</v>
      </c>
      <c r="B75" t="s">
        <v>20</v>
      </c>
      <c r="D75" t="s">
        <v>1710</v>
      </c>
      <c r="E75" t="s">
        <v>33</v>
      </c>
      <c r="F75" t="s">
        <v>33</v>
      </c>
      <c r="G75" t="str">
        <f t="shared" si="2"/>
        <v>Industry Essentials Industry News &amp; Analysis</v>
      </c>
      <c r="H75" t="str">
        <f t="shared" si="3"/>
        <v/>
      </c>
    </row>
    <row r="76" spans="1:8">
      <c r="A76" t="s">
        <v>1809</v>
      </c>
      <c r="B76" t="s">
        <v>20</v>
      </c>
      <c r="D76" t="s">
        <v>1710</v>
      </c>
      <c r="E76" t="s">
        <v>33</v>
      </c>
      <c r="F76" t="s">
        <v>1809</v>
      </c>
      <c r="G76" t="str">
        <f t="shared" si="2"/>
        <v>Industry Essentials Industry News &amp; Analysis</v>
      </c>
      <c r="H76" t="str">
        <f t="shared" si="3"/>
        <v/>
      </c>
    </row>
    <row r="77" spans="1:8">
      <c r="A77" t="s">
        <v>1832</v>
      </c>
      <c r="B77" t="s">
        <v>20</v>
      </c>
      <c r="D77" t="s">
        <v>1710</v>
      </c>
      <c r="E77" t="s">
        <v>33</v>
      </c>
      <c r="F77" t="s">
        <v>1809</v>
      </c>
      <c r="G77" t="str">
        <f t="shared" si="2"/>
        <v>Industry Essentials Industry News &amp; Analysis</v>
      </c>
      <c r="H77" t="str">
        <f t="shared" si="3"/>
        <v/>
      </c>
    </row>
    <row r="78" spans="1:8">
      <c r="A78" t="s">
        <v>1810</v>
      </c>
      <c r="B78" t="s">
        <v>59</v>
      </c>
      <c r="D78" t="s">
        <v>1692</v>
      </c>
      <c r="E78" t="s">
        <v>1800</v>
      </c>
      <c r="F78" t="s">
        <v>1810</v>
      </c>
      <c r="G78" t="str">
        <f t="shared" si="2"/>
        <v>Energy Supply Market Intelligence</v>
      </c>
      <c r="H78" t="str">
        <f t="shared" si="3"/>
        <v/>
      </c>
    </row>
    <row r="79" spans="1:8">
      <c r="A79" t="s">
        <v>1821</v>
      </c>
      <c r="B79" t="s">
        <v>59</v>
      </c>
      <c r="D79" t="s">
        <v>1692</v>
      </c>
      <c r="E79" t="s">
        <v>1800</v>
      </c>
      <c r="F79" t="s">
        <v>1821</v>
      </c>
      <c r="G79" t="str">
        <f t="shared" si="2"/>
        <v>Energy Supply Market Intelligence</v>
      </c>
      <c r="H79" t="str">
        <f t="shared" si="3"/>
        <v/>
      </c>
    </row>
    <row r="80" spans="1:8">
      <c r="A80" t="s">
        <v>1886</v>
      </c>
      <c r="B80" t="s">
        <v>59</v>
      </c>
      <c r="D80" t="s">
        <v>1887</v>
      </c>
      <c r="E80" t="s">
        <v>1800</v>
      </c>
      <c r="F80" t="s">
        <v>1800</v>
      </c>
      <c r="G80" t="str">
        <f t="shared" si="2"/>
        <v>Energy Supply -</v>
      </c>
      <c r="H80" t="str">
        <f t="shared" si="3"/>
        <v/>
      </c>
    </row>
    <row r="81" spans="1:8">
      <c r="A81" t="s">
        <v>1888</v>
      </c>
      <c r="B81" t="s">
        <v>59</v>
      </c>
      <c r="D81" t="s">
        <v>1887</v>
      </c>
      <c r="E81" t="s">
        <v>1800</v>
      </c>
      <c r="F81" t="s">
        <v>1800</v>
      </c>
      <c r="G81" t="str">
        <f t="shared" si="2"/>
        <v>Energy Supply -</v>
      </c>
      <c r="H81" t="str">
        <f t="shared" si="3"/>
        <v/>
      </c>
    </row>
    <row r="82" spans="1:8">
      <c r="A82" t="s">
        <v>1889</v>
      </c>
      <c r="B82" t="s">
        <v>59</v>
      </c>
      <c r="D82" t="s">
        <v>1887</v>
      </c>
      <c r="E82" t="s">
        <v>1800</v>
      </c>
      <c r="F82" t="s">
        <v>1800</v>
      </c>
      <c r="G82" t="str">
        <f t="shared" si="2"/>
        <v>Energy Supply -</v>
      </c>
      <c r="H82" t="str">
        <f t="shared" si="3"/>
        <v/>
      </c>
    </row>
    <row r="83" spans="1:8">
      <c r="A83" t="s">
        <v>1845</v>
      </c>
      <c r="B83" t="s">
        <v>1640</v>
      </c>
      <c r="C83" t="s">
        <v>102</v>
      </c>
      <c r="D83" t="s">
        <v>1694</v>
      </c>
      <c r="E83" t="s">
        <v>1795</v>
      </c>
      <c r="F83" t="s">
        <v>1845</v>
      </c>
      <c r="G83" t="str">
        <f t="shared" si="2"/>
        <v>Flexible Generation &amp; Storage Forecasts</v>
      </c>
      <c r="H83" t="str">
        <f t="shared" si="3"/>
        <v>Renewables Generation Forecasts</v>
      </c>
    </row>
    <row r="84" spans="1:8">
      <c r="A84" t="s">
        <v>1890</v>
      </c>
      <c r="B84" t="s">
        <v>1640</v>
      </c>
      <c r="C84" t="s">
        <v>102</v>
      </c>
      <c r="D84" t="s">
        <v>1694</v>
      </c>
      <c r="E84" t="s">
        <v>1795</v>
      </c>
      <c r="F84" t="s">
        <v>1845</v>
      </c>
      <c r="G84" t="str">
        <f t="shared" si="2"/>
        <v>Flexible Generation &amp; Storage Forecasts</v>
      </c>
      <c r="H84" t="str">
        <f t="shared" si="3"/>
        <v>Renewables Generation Forecasts</v>
      </c>
    </row>
    <row r="85" spans="1:8">
      <c r="A85" t="s">
        <v>1891</v>
      </c>
      <c r="B85" t="s">
        <v>59</v>
      </c>
      <c r="C85" t="s">
        <v>102</v>
      </c>
      <c r="D85" t="s">
        <v>1694</v>
      </c>
      <c r="E85" t="s">
        <v>1801</v>
      </c>
      <c r="F85" t="s">
        <v>1811</v>
      </c>
      <c r="G85" t="str">
        <f t="shared" si="2"/>
        <v>Energy Supply Forecasts</v>
      </c>
      <c r="H85" t="str">
        <f t="shared" si="3"/>
        <v>Renewables Generation Forecasts</v>
      </c>
    </row>
    <row r="86" spans="1:8">
      <c r="A86" t="s">
        <v>1811</v>
      </c>
      <c r="B86" t="s">
        <v>59</v>
      </c>
      <c r="C86" t="s">
        <v>102</v>
      </c>
      <c r="D86" t="s">
        <v>1694</v>
      </c>
      <c r="E86" t="s">
        <v>1801</v>
      </c>
      <c r="F86" t="s">
        <v>1811</v>
      </c>
      <c r="G86" t="str">
        <f t="shared" si="2"/>
        <v>Energy Supply Forecasts</v>
      </c>
      <c r="H86" t="str">
        <f t="shared" si="3"/>
        <v>Renewables Generation Forecasts</v>
      </c>
    </row>
    <row r="87" spans="1:8">
      <c r="A87" t="s">
        <v>1844</v>
      </c>
      <c r="B87" t="s">
        <v>59</v>
      </c>
      <c r="D87" t="s">
        <v>1695</v>
      </c>
      <c r="E87" t="s">
        <v>1804</v>
      </c>
      <c r="F87" t="s">
        <v>1844</v>
      </c>
      <c r="G87" t="str">
        <f t="shared" si="2"/>
        <v>Energy Supply Regulation</v>
      </c>
      <c r="H87" t="str">
        <f t="shared" si="3"/>
        <v/>
      </c>
    </row>
    <row r="88" spans="1:8">
      <c r="A88" t="s">
        <v>1813</v>
      </c>
      <c r="B88" t="s">
        <v>59</v>
      </c>
      <c r="D88" t="s">
        <v>1692</v>
      </c>
      <c r="E88" t="s">
        <v>1803</v>
      </c>
      <c r="F88" t="s">
        <v>1813</v>
      </c>
      <c r="G88" t="str">
        <f t="shared" si="2"/>
        <v>Energy Supply Market Intelligence</v>
      </c>
      <c r="H88" t="str">
        <f t="shared" si="3"/>
        <v/>
      </c>
    </row>
    <row r="89" spans="1:8">
      <c r="A89" t="s">
        <v>1814</v>
      </c>
      <c r="B89" t="s">
        <v>59</v>
      </c>
      <c r="D89" t="s">
        <v>1695</v>
      </c>
      <c r="E89" t="s">
        <v>1804</v>
      </c>
      <c r="F89" t="s">
        <v>1814</v>
      </c>
      <c r="G89" t="str">
        <f t="shared" si="2"/>
        <v>Energy Supply Regulation</v>
      </c>
      <c r="H89" t="str">
        <f t="shared" si="3"/>
        <v/>
      </c>
    </row>
    <row r="90" spans="1:8">
      <c r="A90" t="s">
        <v>1830</v>
      </c>
      <c r="B90" t="s">
        <v>59</v>
      </c>
      <c r="D90" t="s">
        <v>1692</v>
      </c>
      <c r="E90" t="s">
        <v>1803</v>
      </c>
      <c r="F90" t="s">
        <v>1830</v>
      </c>
      <c r="G90" t="str">
        <f t="shared" si="2"/>
        <v>Energy Supply Market Intelligence</v>
      </c>
      <c r="H90" t="str">
        <f t="shared" si="3"/>
        <v/>
      </c>
    </row>
    <row r="91" spans="1:8">
      <c r="A91" t="s">
        <v>1823</v>
      </c>
      <c r="B91" t="s">
        <v>59</v>
      </c>
      <c r="D91" t="s">
        <v>1692</v>
      </c>
      <c r="E91" t="s">
        <v>1803</v>
      </c>
      <c r="F91" t="s">
        <v>1823</v>
      </c>
      <c r="G91" t="str">
        <f t="shared" si="2"/>
        <v>Energy Supply Market Intelligence</v>
      </c>
      <c r="H91" t="str">
        <f t="shared" si="3"/>
        <v/>
      </c>
    </row>
    <row r="92" spans="1:8">
      <c r="A92" t="s">
        <v>1836</v>
      </c>
      <c r="B92" t="s">
        <v>59</v>
      </c>
      <c r="D92" t="s">
        <v>1692</v>
      </c>
      <c r="E92" t="s">
        <v>1803</v>
      </c>
      <c r="F92" t="s">
        <v>1836</v>
      </c>
      <c r="G92" t="str">
        <f t="shared" si="2"/>
        <v>Energy Supply Market Intelligence</v>
      </c>
      <c r="H92" t="str">
        <f t="shared" si="3"/>
        <v/>
      </c>
    </row>
    <row r="93" spans="1:8">
      <c r="A93" t="s">
        <v>1892</v>
      </c>
      <c r="B93" t="s">
        <v>1695</v>
      </c>
      <c r="D93" t="s">
        <v>1695</v>
      </c>
      <c r="E93" t="s">
        <v>1804</v>
      </c>
      <c r="F93" t="s">
        <v>1837</v>
      </c>
      <c r="G93" t="str">
        <f t="shared" si="2"/>
        <v>Regulation Regulation</v>
      </c>
      <c r="H93" t="str">
        <f t="shared" si="3"/>
        <v/>
      </c>
    </row>
    <row r="94" spans="1:8">
      <c r="A94" t="s">
        <v>1824</v>
      </c>
      <c r="B94" t="s">
        <v>1695</v>
      </c>
      <c r="D94" t="s">
        <v>1695</v>
      </c>
      <c r="E94" t="s">
        <v>1804</v>
      </c>
      <c r="F94" t="s">
        <v>1824</v>
      </c>
      <c r="G94" t="str">
        <f t="shared" si="2"/>
        <v>Regulation Regulation</v>
      </c>
      <c r="H94" t="str">
        <f t="shared" si="3"/>
        <v/>
      </c>
    </row>
    <row r="95" spans="1:8">
      <c r="A95" t="s">
        <v>1846</v>
      </c>
      <c r="B95" t="s">
        <v>1695</v>
      </c>
      <c r="D95" t="s">
        <v>1695</v>
      </c>
      <c r="E95" t="s">
        <v>1804</v>
      </c>
      <c r="F95" t="s">
        <v>1846</v>
      </c>
      <c r="G95" t="str">
        <f t="shared" si="2"/>
        <v>Regulation Regulation</v>
      </c>
      <c r="H95" t="str">
        <f t="shared" si="3"/>
        <v/>
      </c>
    </row>
    <row r="96" spans="1:8">
      <c r="A96" t="s">
        <v>1815</v>
      </c>
      <c r="B96" t="s">
        <v>102</v>
      </c>
      <c r="C96" t="s">
        <v>1640</v>
      </c>
      <c r="D96" t="s">
        <v>1694</v>
      </c>
      <c r="E96" t="s">
        <v>1805</v>
      </c>
      <c r="F96" t="s">
        <v>1815</v>
      </c>
      <c r="G96" t="str">
        <f t="shared" si="2"/>
        <v>Renewables Generation Forecasts</v>
      </c>
      <c r="H96" t="str">
        <f t="shared" si="3"/>
        <v>Flexible Generation &amp; Storage Forecasts</v>
      </c>
    </row>
    <row r="97" spans="1:8">
      <c r="A97" t="s">
        <v>1857</v>
      </c>
      <c r="B97" t="s">
        <v>20</v>
      </c>
      <c r="D97" t="s">
        <v>1710</v>
      </c>
      <c r="E97" t="s">
        <v>1799</v>
      </c>
      <c r="F97" t="s">
        <v>1857</v>
      </c>
      <c r="G97" t="str">
        <f t="shared" si="2"/>
        <v>Industry Essentials Industry News &amp; Analysis</v>
      </c>
      <c r="H97" t="str">
        <f t="shared" si="3"/>
        <v/>
      </c>
    </row>
    <row r="98" spans="1:8">
      <c r="A98" t="s">
        <v>1855</v>
      </c>
      <c r="B98" t="s">
        <v>20</v>
      </c>
      <c r="D98" t="s">
        <v>1710</v>
      </c>
      <c r="E98" t="s">
        <v>1799</v>
      </c>
      <c r="F98" t="s">
        <v>1855</v>
      </c>
      <c r="G98" t="str">
        <f t="shared" si="2"/>
        <v>Industry Essentials Industry News &amp; Analysis</v>
      </c>
      <c r="H98" t="str">
        <f t="shared" si="3"/>
        <v/>
      </c>
    </row>
    <row r="99" spans="1:8">
      <c r="A99" t="s">
        <v>1893</v>
      </c>
      <c r="B99" t="s">
        <v>20</v>
      </c>
      <c r="D99" t="s">
        <v>1710</v>
      </c>
      <c r="E99" t="s">
        <v>1799</v>
      </c>
      <c r="F99" t="s">
        <v>1855</v>
      </c>
      <c r="G99" t="str">
        <f t="shared" si="2"/>
        <v>Industry Essentials Industry News &amp; Analysis</v>
      </c>
      <c r="H99" t="str">
        <f t="shared" si="3"/>
        <v/>
      </c>
    </row>
    <row r="100" spans="1:8">
      <c r="A100" t="s">
        <v>1858</v>
      </c>
      <c r="B100" t="s">
        <v>1859</v>
      </c>
      <c r="D100" t="s">
        <v>1859</v>
      </c>
      <c r="E100" t="s">
        <v>1859</v>
      </c>
      <c r="F100" t="s">
        <v>1858</v>
      </c>
      <c r="G100" t="str">
        <f t="shared" si="2"/>
        <v>Ireland Ireland</v>
      </c>
      <c r="H100" t="str">
        <f t="shared" si="3"/>
        <v/>
      </c>
    </row>
    <row r="101" spans="1:8">
      <c r="A101" t="s">
        <v>1848</v>
      </c>
      <c r="B101" t="s">
        <v>59</v>
      </c>
      <c r="D101" t="s">
        <v>1695</v>
      </c>
      <c r="E101" t="s">
        <v>1804</v>
      </c>
      <c r="F101" t="s">
        <v>1848</v>
      </c>
      <c r="G101" t="str">
        <f t="shared" si="2"/>
        <v>Energy Supply Regulation</v>
      </c>
      <c r="H101" t="str">
        <f t="shared" si="3"/>
        <v/>
      </c>
    </row>
    <row r="102" spans="1:8">
      <c r="A102" t="s">
        <v>1816</v>
      </c>
      <c r="B102" t="s">
        <v>1818</v>
      </c>
      <c r="D102" t="s">
        <v>1692</v>
      </c>
      <c r="E102" t="s">
        <v>1806</v>
      </c>
      <c r="F102" t="s">
        <v>1816</v>
      </c>
      <c r="G102" t="str">
        <f t="shared" si="2"/>
        <v>End Users Market Intelligence</v>
      </c>
      <c r="H102" t="str">
        <f t="shared" si="3"/>
        <v/>
      </c>
    </row>
    <row r="103" spans="1:8">
      <c r="A103" t="s">
        <v>1822</v>
      </c>
      <c r="B103" t="s">
        <v>59</v>
      </c>
      <c r="D103" t="s">
        <v>1694</v>
      </c>
      <c r="E103" t="s">
        <v>1801</v>
      </c>
      <c r="F103" t="s">
        <v>1822</v>
      </c>
      <c r="G103" t="str">
        <f t="shared" si="2"/>
        <v>Energy Supply Forecasts</v>
      </c>
      <c r="H103" t="str">
        <f t="shared" si="3"/>
        <v/>
      </c>
    </row>
    <row r="104" spans="1:8">
      <c r="A104" t="s">
        <v>1894</v>
      </c>
      <c r="B104" t="s">
        <v>59</v>
      </c>
      <c r="D104" t="s">
        <v>1694</v>
      </c>
      <c r="E104" t="s">
        <v>1801</v>
      </c>
      <c r="F104" t="s">
        <v>1822</v>
      </c>
      <c r="G104" t="str">
        <f t="shared" si="2"/>
        <v>Energy Supply Forecasts</v>
      </c>
      <c r="H104" t="str">
        <f t="shared" si="3"/>
        <v/>
      </c>
    </row>
    <row r="105" spans="1:8">
      <c r="A105" t="s">
        <v>1895</v>
      </c>
      <c r="B105" t="s">
        <v>1640</v>
      </c>
      <c r="D105" t="s">
        <v>1692</v>
      </c>
      <c r="E105" t="s">
        <v>1703</v>
      </c>
      <c r="F105" t="s">
        <v>1703</v>
      </c>
      <c r="G105" t="str">
        <f t="shared" si="2"/>
        <v>Flexible Generation &amp; Storage Market Intelligence</v>
      </c>
      <c r="H105" t="str">
        <f t="shared" si="3"/>
        <v/>
      </c>
    </row>
    <row r="106" spans="1:8">
      <c r="A106" t="s">
        <v>1896</v>
      </c>
      <c r="B106" t="s">
        <v>1640</v>
      </c>
      <c r="D106" t="s">
        <v>1692</v>
      </c>
      <c r="E106" t="s">
        <v>1703</v>
      </c>
      <c r="F106" t="s">
        <v>1703</v>
      </c>
      <c r="G106" t="str">
        <f t="shared" si="2"/>
        <v>Flexible Generation &amp; Storage Market Intelligence</v>
      </c>
      <c r="H106" t="str">
        <f t="shared" si="3"/>
        <v/>
      </c>
    </row>
    <row r="107" spans="1:8">
      <c r="A107" t="s">
        <v>1827</v>
      </c>
      <c r="B107" t="s">
        <v>1640</v>
      </c>
      <c r="D107" t="s">
        <v>1692</v>
      </c>
      <c r="E107" t="s">
        <v>1703</v>
      </c>
      <c r="F107" t="s">
        <v>1827</v>
      </c>
      <c r="G107" t="str">
        <f t="shared" si="2"/>
        <v>Flexible Generation &amp; Storage Market Intelligence</v>
      </c>
      <c r="H107" t="str">
        <f t="shared" si="3"/>
        <v/>
      </c>
    </row>
    <row r="108" spans="1:8">
      <c r="A108" t="s">
        <v>1897</v>
      </c>
      <c r="B108" t="s">
        <v>1640</v>
      </c>
      <c r="D108" t="s">
        <v>1692</v>
      </c>
      <c r="E108" t="s">
        <v>1703</v>
      </c>
      <c r="F108" t="s">
        <v>1834</v>
      </c>
      <c r="G108" t="str">
        <f t="shared" si="2"/>
        <v>Flexible Generation &amp; Storage Market Intelligence</v>
      </c>
      <c r="H108" t="str">
        <f t="shared" si="3"/>
        <v/>
      </c>
    </row>
    <row r="109" spans="1:8">
      <c r="A109" t="s">
        <v>1898</v>
      </c>
      <c r="B109" t="s">
        <v>1640</v>
      </c>
      <c r="D109" t="s">
        <v>1692</v>
      </c>
      <c r="E109" t="s">
        <v>1703</v>
      </c>
      <c r="F109" t="s">
        <v>1834</v>
      </c>
      <c r="G109" t="str">
        <f t="shared" si="2"/>
        <v>Flexible Generation &amp; Storage Market Intelligence</v>
      </c>
      <c r="H109" t="str">
        <f t="shared" si="3"/>
        <v/>
      </c>
    </row>
    <row r="110" spans="1:8">
      <c r="A110" t="s">
        <v>1840</v>
      </c>
      <c r="B110" t="s">
        <v>1640</v>
      </c>
      <c r="D110" t="s">
        <v>1692</v>
      </c>
      <c r="E110" t="s">
        <v>1703</v>
      </c>
      <c r="F110" t="s">
        <v>1840</v>
      </c>
      <c r="G110" t="str">
        <f t="shared" si="2"/>
        <v>Flexible Generation &amp; Storage Market Intelligence</v>
      </c>
      <c r="H110" t="str">
        <f t="shared" si="3"/>
        <v/>
      </c>
    </row>
    <row r="111" spans="1:8">
      <c r="A111" t="s">
        <v>1899</v>
      </c>
      <c r="B111" t="s">
        <v>1695</v>
      </c>
      <c r="D111" t="s">
        <v>1695</v>
      </c>
      <c r="E111" t="s">
        <v>1804</v>
      </c>
      <c r="F111" t="s">
        <v>1837</v>
      </c>
      <c r="G111" t="str">
        <f t="shared" si="2"/>
        <v>Regulation Regulation</v>
      </c>
      <c r="H111" t="str">
        <f t="shared" si="3"/>
        <v/>
      </c>
    </row>
    <row r="112" spans="1:8">
      <c r="A112" t="s">
        <v>1831</v>
      </c>
      <c r="B112" t="s">
        <v>1695</v>
      </c>
      <c r="D112" t="s">
        <v>1695</v>
      </c>
      <c r="E112" t="s">
        <v>1804</v>
      </c>
      <c r="F112" t="s">
        <v>1831</v>
      </c>
      <c r="G112" t="str">
        <f t="shared" si="2"/>
        <v>Regulation Regulation</v>
      </c>
      <c r="H112" t="str">
        <f t="shared" si="3"/>
        <v/>
      </c>
    </row>
    <row r="113" spans="1:8">
      <c r="A113" t="s">
        <v>1808</v>
      </c>
      <c r="B113" t="s">
        <v>102</v>
      </c>
      <c r="D113" t="s">
        <v>1692</v>
      </c>
      <c r="E113" t="s">
        <v>1795</v>
      </c>
      <c r="F113" t="s">
        <v>1808</v>
      </c>
      <c r="G113" t="str">
        <f t="shared" si="2"/>
        <v>Renewables Generation Market Intelligence</v>
      </c>
      <c r="H113" t="str">
        <f t="shared" si="3"/>
        <v/>
      </c>
    </row>
    <row r="114" spans="1:8">
      <c r="A114" t="s">
        <v>1820</v>
      </c>
      <c r="B114" t="s">
        <v>102</v>
      </c>
      <c r="D114" t="s">
        <v>1692</v>
      </c>
      <c r="E114" t="s">
        <v>1795</v>
      </c>
      <c r="F114" t="s">
        <v>1820</v>
      </c>
      <c r="G114" t="str">
        <f t="shared" si="2"/>
        <v>Renewables Generation Market Intelligence</v>
      </c>
      <c r="H114" t="str">
        <f t="shared" si="3"/>
        <v/>
      </c>
    </row>
    <row r="115" spans="1:8">
      <c r="A115" t="s">
        <v>1819</v>
      </c>
      <c r="B115" t="s">
        <v>102</v>
      </c>
      <c r="D115" t="s">
        <v>1692</v>
      </c>
      <c r="E115" t="s">
        <v>1795</v>
      </c>
      <c r="F115" t="s">
        <v>1819</v>
      </c>
      <c r="G115" t="str">
        <f t="shared" si="2"/>
        <v>Renewables Generation Market Intelligence</v>
      </c>
      <c r="H115" t="str">
        <f t="shared" si="3"/>
        <v/>
      </c>
    </row>
    <row r="116" spans="1:8">
      <c r="A116" t="s">
        <v>1900</v>
      </c>
      <c r="B116" t="s">
        <v>59</v>
      </c>
      <c r="D116" t="s">
        <v>1887</v>
      </c>
      <c r="E116" t="s">
        <v>1803</v>
      </c>
      <c r="F116" t="s">
        <v>1803</v>
      </c>
      <c r="G116" t="str">
        <f t="shared" si="2"/>
        <v>Energy Supply -</v>
      </c>
      <c r="H116" t="str">
        <f t="shared" si="3"/>
        <v/>
      </c>
    </row>
    <row r="117" spans="1:8">
      <c r="A117" t="s">
        <v>1901</v>
      </c>
      <c r="B117" t="s">
        <v>59</v>
      </c>
      <c r="D117" t="s">
        <v>1887</v>
      </c>
      <c r="E117" t="s">
        <v>1803</v>
      </c>
      <c r="F117" t="s">
        <v>1803</v>
      </c>
      <c r="G117" t="str">
        <f t="shared" si="2"/>
        <v>Energy Supply -</v>
      </c>
      <c r="H117" t="str">
        <f t="shared" si="3"/>
        <v/>
      </c>
    </row>
    <row r="118" spans="1:8">
      <c r="A118" t="s">
        <v>1865</v>
      </c>
      <c r="B118" t="s">
        <v>1695</v>
      </c>
      <c r="D118" t="s">
        <v>1695</v>
      </c>
      <c r="E118" t="s">
        <v>1804</v>
      </c>
      <c r="F118" t="s">
        <v>1804</v>
      </c>
      <c r="G118" t="str">
        <f t="shared" si="2"/>
        <v>Regulation Regulation</v>
      </c>
      <c r="H118" t="str">
        <f t="shared" si="3"/>
        <v/>
      </c>
    </row>
    <row r="119" spans="1:8">
      <c r="A119" t="s">
        <v>20</v>
      </c>
      <c r="B119" t="s">
        <v>20</v>
      </c>
      <c r="D119" t="s">
        <v>1710</v>
      </c>
      <c r="E119" t="s">
        <v>1799</v>
      </c>
      <c r="F119" t="s">
        <v>1799</v>
      </c>
      <c r="G119" t="str">
        <f t="shared" si="2"/>
        <v>Industry Essentials Industry News &amp; Analysis</v>
      </c>
      <c r="H119" t="str">
        <f t="shared" si="3"/>
        <v/>
      </c>
    </row>
    <row r="120" spans="1:8">
      <c r="A120" t="s">
        <v>1902</v>
      </c>
      <c r="B120" t="s">
        <v>1859</v>
      </c>
      <c r="D120" t="s">
        <v>1859</v>
      </c>
      <c r="E120" t="s">
        <v>1859</v>
      </c>
      <c r="F120" t="s">
        <v>1902</v>
      </c>
      <c r="G120" t="str">
        <f t="shared" si="2"/>
        <v>Ireland Ireland</v>
      </c>
      <c r="H120" t="str">
        <f t="shared" si="3"/>
        <v/>
      </c>
    </row>
    <row r="121" spans="1:8">
      <c r="A121" t="s">
        <v>1903</v>
      </c>
      <c r="B121" t="s">
        <v>1859</v>
      </c>
      <c r="D121" t="s">
        <v>1859</v>
      </c>
      <c r="E121" t="s">
        <v>1859</v>
      </c>
      <c r="F121" t="s">
        <v>1902</v>
      </c>
      <c r="G121" t="str">
        <f t="shared" si="2"/>
        <v>Ireland Ireland</v>
      </c>
      <c r="H121" t="str">
        <f t="shared" si="3"/>
        <v/>
      </c>
    </row>
    <row r="122" spans="1:8">
      <c r="A122" t="s">
        <v>1826</v>
      </c>
      <c r="B122" t="s">
        <v>102</v>
      </c>
      <c r="C122" t="s">
        <v>59</v>
      </c>
      <c r="D122" t="s">
        <v>1694</v>
      </c>
      <c r="E122" t="s">
        <v>1795</v>
      </c>
      <c r="F122" t="s">
        <v>1826</v>
      </c>
      <c r="G122" t="str">
        <f t="shared" si="2"/>
        <v>Renewables Generation Forecasts</v>
      </c>
      <c r="H122" t="str">
        <f t="shared" si="3"/>
        <v>Energy Supply Forecasts</v>
      </c>
    </row>
    <row r="123" spans="1:8">
      <c r="A123" t="s">
        <v>1904</v>
      </c>
      <c r="B123" t="s">
        <v>102</v>
      </c>
      <c r="D123" t="s">
        <v>1887</v>
      </c>
      <c r="E123" t="s">
        <v>1795</v>
      </c>
      <c r="F123" t="s">
        <v>1795</v>
      </c>
      <c r="G123" t="str">
        <f t="shared" si="2"/>
        <v>Renewables Generation -</v>
      </c>
      <c r="H123" t="str">
        <f t="shared" si="3"/>
        <v/>
      </c>
    </row>
    <row r="124" spans="1:8">
      <c r="A124" t="s">
        <v>1905</v>
      </c>
      <c r="B124" t="s">
        <v>59</v>
      </c>
      <c r="D124" t="s">
        <v>1692</v>
      </c>
      <c r="E124" t="s">
        <v>1803</v>
      </c>
      <c r="F124" t="s">
        <v>1830</v>
      </c>
      <c r="G124" t="str">
        <f t="shared" si="2"/>
        <v>Energy Supply Market Intelligence</v>
      </c>
      <c r="H124" t="str">
        <f t="shared" si="3"/>
        <v/>
      </c>
    </row>
    <row r="125" spans="1:8">
      <c r="A125" t="s">
        <v>1906</v>
      </c>
      <c r="B125" t="s">
        <v>59</v>
      </c>
      <c r="D125" t="s">
        <v>1692</v>
      </c>
      <c r="E125" t="s">
        <v>1800</v>
      </c>
      <c r="F125" t="s">
        <v>1810</v>
      </c>
      <c r="G125" t="str">
        <f t="shared" si="2"/>
        <v>Energy Supply Market Intelligence</v>
      </c>
      <c r="H125" t="str">
        <f t="shared" si="3"/>
        <v/>
      </c>
    </row>
    <row r="126" spans="1:8">
      <c r="A126" t="s">
        <v>1907</v>
      </c>
      <c r="B126" t="s">
        <v>59</v>
      </c>
      <c r="D126" t="s">
        <v>1692</v>
      </c>
      <c r="E126" t="s">
        <v>1800</v>
      </c>
      <c r="F126" t="s">
        <v>1821</v>
      </c>
      <c r="G126" t="str">
        <f t="shared" si="2"/>
        <v>Energy Supply Market Intelligence</v>
      </c>
      <c r="H126" t="str">
        <f t="shared" si="3"/>
        <v/>
      </c>
    </row>
    <row r="127" spans="1:8">
      <c r="A127" t="s">
        <v>1837</v>
      </c>
      <c r="B127" t="s">
        <v>1695</v>
      </c>
      <c r="D127" t="s">
        <v>1695</v>
      </c>
      <c r="E127" t="s">
        <v>1804</v>
      </c>
      <c r="F127" t="s">
        <v>1837</v>
      </c>
      <c r="G127" t="str">
        <f t="shared" si="2"/>
        <v>Regulation Regulation</v>
      </c>
      <c r="H127" t="str">
        <f t="shared" si="3"/>
        <v/>
      </c>
    </row>
    <row r="128" spans="1:8">
      <c r="A128" t="s">
        <v>1908</v>
      </c>
      <c r="B128" t="s">
        <v>1695</v>
      </c>
      <c r="D128" t="s">
        <v>1695</v>
      </c>
      <c r="E128" t="s">
        <v>1804</v>
      </c>
      <c r="F128" t="s">
        <v>1804</v>
      </c>
      <c r="G128" t="str">
        <f t="shared" si="2"/>
        <v>Regulation Regulation</v>
      </c>
      <c r="H128" t="str">
        <f t="shared" si="3"/>
        <v/>
      </c>
    </row>
    <row r="129" spans="1:8">
      <c r="A129" t="s">
        <v>1909</v>
      </c>
      <c r="B129" t="s">
        <v>102</v>
      </c>
      <c r="C129" t="s">
        <v>1640</v>
      </c>
      <c r="D129" t="s">
        <v>1694</v>
      </c>
      <c r="E129" t="s">
        <v>1805</v>
      </c>
      <c r="F129" t="s">
        <v>1805</v>
      </c>
      <c r="G129" t="str">
        <f t="shared" si="2"/>
        <v>Renewables Generation Forecasts</v>
      </c>
      <c r="H129" t="str">
        <f t="shared" si="3"/>
        <v>Flexible Generation &amp; Storage Forecasts</v>
      </c>
    </row>
    <row r="130" spans="1:8">
      <c r="A130" t="s">
        <v>1910</v>
      </c>
      <c r="B130" t="s">
        <v>59</v>
      </c>
      <c r="D130" t="s">
        <v>1694</v>
      </c>
      <c r="E130" t="s">
        <v>1801</v>
      </c>
      <c r="F130" t="s">
        <v>1801</v>
      </c>
      <c r="G130" t="str">
        <f t="shared" si="2"/>
        <v>Energy Supply Forecasts</v>
      </c>
      <c r="H130" t="str">
        <f t="shared" si="3"/>
        <v/>
      </c>
    </row>
    <row r="131" spans="1:8">
      <c r="A131" t="s">
        <v>1842</v>
      </c>
      <c r="B131" t="s">
        <v>59</v>
      </c>
      <c r="D131" t="s">
        <v>1695</v>
      </c>
      <c r="E131" t="s">
        <v>1804</v>
      </c>
      <c r="F131" t="s">
        <v>1842</v>
      </c>
      <c r="G131" t="str">
        <f t="shared" ref="G131:G163" si="4">B131&amp;" "&amp;D131</f>
        <v>Energy Supply Regulation</v>
      </c>
      <c r="H131" t="str">
        <f t="shared" ref="H131:H163" si="5">IF(ISBLANK(C131),"",_xlfn.CONCAT(C131," ",D131))</f>
        <v/>
      </c>
    </row>
    <row r="132" spans="1:8">
      <c r="A132" t="s">
        <v>1828</v>
      </c>
      <c r="B132" t="s">
        <v>59</v>
      </c>
      <c r="D132" t="s">
        <v>1692</v>
      </c>
      <c r="E132" t="s">
        <v>1800</v>
      </c>
      <c r="F132" t="s">
        <v>1828</v>
      </c>
      <c r="G132" t="str">
        <f t="shared" si="4"/>
        <v>Energy Supply Market Intelligence</v>
      </c>
      <c r="H132" t="str">
        <f t="shared" si="5"/>
        <v/>
      </c>
    </row>
    <row r="133" spans="1:8">
      <c r="A133" t="s">
        <v>1911</v>
      </c>
      <c r="B133" t="s">
        <v>1695</v>
      </c>
      <c r="D133" t="s">
        <v>1695</v>
      </c>
      <c r="E133" t="s">
        <v>1804</v>
      </c>
      <c r="F133" t="s">
        <v>1851</v>
      </c>
      <c r="G133" t="str">
        <f t="shared" si="4"/>
        <v>Regulation Regulation</v>
      </c>
      <c r="H133" t="str">
        <f t="shared" si="5"/>
        <v/>
      </c>
    </row>
    <row r="134" spans="1:8">
      <c r="A134" t="s">
        <v>1851</v>
      </c>
      <c r="B134" t="s">
        <v>1695</v>
      </c>
      <c r="D134" t="s">
        <v>1695</v>
      </c>
      <c r="E134" t="s">
        <v>1804</v>
      </c>
      <c r="F134" t="s">
        <v>1851</v>
      </c>
      <c r="G134" t="str">
        <f t="shared" si="4"/>
        <v>Regulation Regulation</v>
      </c>
      <c r="H134" t="str">
        <f t="shared" si="5"/>
        <v/>
      </c>
    </row>
    <row r="135" spans="1:8">
      <c r="A135" t="s">
        <v>1853</v>
      </c>
      <c r="B135" t="s">
        <v>1695</v>
      </c>
      <c r="D135" t="s">
        <v>1695</v>
      </c>
      <c r="E135" t="s">
        <v>1804</v>
      </c>
      <c r="F135" t="s">
        <v>1853</v>
      </c>
      <c r="G135" t="str">
        <f t="shared" si="4"/>
        <v>Regulation Regulation</v>
      </c>
      <c r="H135" t="str">
        <f t="shared" si="5"/>
        <v/>
      </c>
    </row>
    <row r="136" spans="1:8">
      <c r="A136" t="s">
        <v>1912</v>
      </c>
      <c r="B136" t="s">
        <v>1695</v>
      </c>
      <c r="D136" t="s">
        <v>1695</v>
      </c>
      <c r="E136" t="s">
        <v>1804</v>
      </c>
      <c r="F136" t="s">
        <v>1804</v>
      </c>
      <c r="G136" t="str">
        <f t="shared" si="4"/>
        <v>Regulation Regulation</v>
      </c>
      <c r="H136" t="str">
        <f t="shared" si="5"/>
        <v/>
      </c>
    </row>
    <row r="137" spans="1:8">
      <c r="A137" t="s">
        <v>1913</v>
      </c>
      <c r="B137" t="s">
        <v>1695</v>
      </c>
      <c r="D137" t="s">
        <v>1695</v>
      </c>
      <c r="E137" t="s">
        <v>1804</v>
      </c>
      <c r="F137" t="s">
        <v>1804</v>
      </c>
      <c r="G137" t="str">
        <f t="shared" si="4"/>
        <v>Regulation Regulation</v>
      </c>
      <c r="H137" t="str">
        <f t="shared" si="5"/>
        <v/>
      </c>
    </row>
    <row r="138" spans="1:8">
      <c r="A138" t="s">
        <v>1914</v>
      </c>
      <c r="B138" t="s">
        <v>1695</v>
      </c>
      <c r="D138" t="s">
        <v>1695</v>
      </c>
      <c r="E138" t="s">
        <v>1804</v>
      </c>
      <c r="F138" t="s">
        <v>1804</v>
      </c>
      <c r="G138" t="str">
        <f t="shared" si="4"/>
        <v>Regulation Regulation</v>
      </c>
      <c r="H138" t="str">
        <f t="shared" si="5"/>
        <v/>
      </c>
    </row>
    <row r="139" spans="1:8">
      <c r="A139" t="s">
        <v>1915</v>
      </c>
      <c r="B139" t="s">
        <v>1695</v>
      </c>
      <c r="D139" t="s">
        <v>1695</v>
      </c>
      <c r="E139" t="s">
        <v>1804</v>
      </c>
      <c r="F139" t="s">
        <v>1804</v>
      </c>
      <c r="G139" t="str">
        <f t="shared" si="4"/>
        <v>Regulation Regulation</v>
      </c>
      <c r="H139" t="str">
        <f t="shared" si="5"/>
        <v/>
      </c>
    </row>
    <row r="140" spans="1:8">
      <c r="A140" t="s">
        <v>1916</v>
      </c>
      <c r="B140" t="s">
        <v>102</v>
      </c>
      <c r="D140" t="s">
        <v>1692</v>
      </c>
      <c r="E140" t="s">
        <v>1795</v>
      </c>
      <c r="F140" t="s">
        <v>1839</v>
      </c>
      <c r="G140" t="str">
        <f t="shared" si="4"/>
        <v>Renewables Generation Market Intelligence</v>
      </c>
      <c r="H140" t="str">
        <f t="shared" si="5"/>
        <v/>
      </c>
    </row>
    <row r="141" spans="1:8">
      <c r="A141" t="s">
        <v>1917</v>
      </c>
      <c r="B141" t="s">
        <v>102</v>
      </c>
      <c r="D141" t="s">
        <v>1692</v>
      </c>
      <c r="E141" t="s">
        <v>1795</v>
      </c>
      <c r="F141" t="s">
        <v>1833</v>
      </c>
      <c r="G141" t="str">
        <f t="shared" si="4"/>
        <v>Renewables Generation Market Intelligence</v>
      </c>
      <c r="H141" t="str">
        <f t="shared" si="5"/>
        <v/>
      </c>
    </row>
    <row r="142" spans="1:8">
      <c r="A142" t="s">
        <v>1833</v>
      </c>
      <c r="B142" t="s">
        <v>102</v>
      </c>
      <c r="D142" t="s">
        <v>1692</v>
      </c>
      <c r="E142" t="s">
        <v>1795</v>
      </c>
      <c r="F142" t="s">
        <v>1833</v>
      </c>
      <c r="G142" t="str">
        <f t="shared" si="4"/>
        <v>Renewables Generation Market Intelligence</v>
      </c>
      <c r="H142" t="str">
        <f t="shared" si="5"/>
        <v/>
      </c>
    </row>
    <row r="143" spans="1:8">
      <c r="A143" t="s">
        <v>1918</v>
      </c>
      <c r="B143" t="s">
        <v>102</v>
      </c>
      <c r="C143" t="s">
        <v>59</v>
      </c>
      <c r="D143" t="s">
        <v>1887</v>
      </c>
      <c r="E143" t="s">
        <v>1795</v>
      </c>
      <c r="F143" t="s">
        <v>1798</v>
      </c>
      <c r="G143" t="str">
        <f t="shared" si="4"/>
        <v>Renewables Generation -</v>
      </c>
      <c r="H143" t="str">
        <f t="shared" si="5"/>
        <v>Energy Supply -</v>
      </c>
    </row>
    <row r="144" spans="1:8">
      <c r="A144" t="s">
        <v>1919</v>
      </c>
      <c r="B144" t="s">
        <v>102</v>
      </c>
      <c r="C144" t="s">
        <v>59</v>
      </c>
      <c r="D144" t="s">
        <v>1694</v>
      </c>
      <c r="E144" t="s">
        <v>1795</v>
      </c>
      <c r="F144" t="s">
        <v>1838</v>
      </c>
      <c r="G144" t="str">
        <f t="shared" si="4"/>
        <v>Renewables Generation Forecasts</v>
      </c>
      <c r="H144" t="str">
        <f t="shared" si="5"/>
        <v>Energy Supply Forecasts</v>
      </c>
    </row>
    <row r="145" spans="1:8">
      <c r="A145" t="s">
        <v>1920</v>
      </c>
      <c r="B145" t="s">
        <v>102</v>
      </c>
      <c r="C145" t="s">
        <v>59</v>
      </c>
      <c r="D145" t="s">
        <v>1694</v>
      </c>
      <c r="E145" t="s">
        <v>1795</v>
      </c>
      <c r="F145" t="s">
        <v>1826</v>
      </c>
      <c r="G145" t="str">
        <f t="shared" si="4"/>
        <v>Renewables Generation Forecasts</v>
      </c>
      <c r="H145" t="str">
        <f t="shared" si="5"/>
        <v>Energy Supply Forecasts</v>
      </c>
    </row>
    <row r="146" spans="1:8">
      <c r="A146" t="s">
        <v>1921</v>
      </c>
      <c r="B146" t="s">
        <v>102</v>
      </c>
      <c r="C146" t="s">
        <v>59</v>
      </c>
      <c r="D146" t="s">
        <v>1694</v>
      </c>
      <c r="E146" t="s">
        <v>1795</v>
      </c>
      <c r="F146" t="s">
        <v>1838</v>
      </c>
      <c r="G146" t="str">
        <f t="shared" si="4"/>
        <v>Renewables Generation Forecasts</v>
      </c>
      <c r="H146" t="str">
        <f t="shared" si="5"/>
        <v>Energy Supply Forecasts</v>
      </c>
    </row>
    <row r="147" spans="1:8">
      <c r="A147" t="s">
        <v>1873</v>
      </c>
      <c r="B147" t="s">
        <v>1859</v>
      </c>
      <c r="D147" t="s">
        <v>1859</v>
      </c>
      <c r="E147" t="s">
        <v>1859</v>
      </c>
      <c r="F147" t="s">
        <v>1873</v>
      </c>
      <c r="G147" t="str">
        <f t="shared" si="4"/>
        <v>Ireland Ireland</v>
      </c>
      <c r="H147" t="str">
        <f t="shared" si="5"/>
        <v/>
      </c>
    </row>
    <row r="148" spans="1:8">
      <c r="A148" t="s">
        <v>1922</v>
      </c>
      <c r="B148" t="s">
        <v>1859</v>
      </c>
      <c r="D148" t="s">
        <v>1859</v>
      </c>
      <c r="E148" t="s">
        <v>1859</v>
      </c>
      <c r="F148" t="s">
        <v>1922</v>
      </c>
      <c r="G148" t="str">
        <f t="shared" si="4"/>
        <v>Ireland Ireland</v>
      </c>
      <c r="H148" t="str">
        <f t="shared" si="5"/>
        <v/>
      </c>
    </row>
    <row r="149" spans="1:8">
      <c r="A149" t="s">
        <v>1875</v>
      </c>
      <c r="B149" t="s">
        <v>1859</v>
      </c>
      <c r="D149" t="s">
        <v>1859</v>
      </c>
      <c r="E149" t="s">
        <v>1859</v>
      </c>
      <c r="F149" t="s">
        <v>1875</v>
      </c>
      <c r="G149" t="str">
        <f t="shared" si="4"/>
        <v>Ireland Ireland</v>
      </c>
      <c r="H149" t="str">
        <f t="shared" si="5"/>
        <v/>
      </c>
    </row>
    <row r="150" spans="1:8">
      <c r="A150" t="s">
        <v>1923</v>
      </c>
      <c r="B150" t="s">
        <v>59</v>
      </c>
      <c r="D150" t="s">
        <v>1692</v>
      </c>
      <c r="E150" t="s">
        <v>1800</v>
      </c>
      <c r="F150" t="s">
        <v>1835</v>
      </c>
      <c r="G150" t="str">
        <f t="shared" si="4"/>
        <v>Energy Supply Market Intelligence</v>
      </c>
      <c r="H150" t="str">
        <f t="shared" si="5"/>
        <v/>
      </c>
    </row>
    <row r="151" spans="1:8">
      <c r="A151" t="s">
        <v>1835</v>
      </c>
      <c r="B151" t="s">
        <v>59</v>
      </c>
      <c r="D151" t="s">
        <v>1692</v>
      </c>
      <c r="E151" t="s">
        <v>1800</v>
      </c>
      <c r="F151" t="s">
        <v>1835</v>
      </c>
      <c r="G151" t="str">
        <f t="shared" si="4"/>
        <v>Energy Supply Market Intelligence</v>
      </c>
      <c r="H151" t="str">
        <f t="shared" si="5"/>
        <v/>
      </c>
    </row>
    <row r="152" spans="1:8">
      <c r="A152" t="s">
        <v>1841</v>
      </c>
      <c r="B152" t="s">
        <v>59</v>
      </c>
      <c r="D152" t="s">
        <v>1692</v>
      </c>
      <c r="E152" t="s">
        <v>1800</v>
      </c>
      <c r="F152" t="s">
        <v>1841</v>
      </c>
      <c r="G152" t="str">
        <f t="shared" si="4"/>
        <v>Energy Supply Market Intelligence</v>
      </c>
      <c r="H152" t="str">
        <f t="shared" si="5"/>
        <v/>
      </c>
    </row>
    <row r="153" spans="1:8">
      <c r="A153" t="s">
        <v>1924</v>
      </c>
      <c r="B153" t="s">
        <v>59</v>
      </c>
      <c r="D153" t="s">
        <v>1695</v>
      </c>
      <c r="E153" t="s">
        <v>1804</v>
      </c>
      <c r="F153" t="s">
        <v>1814</v>
      </c>
      <c r="G153" t="str">
        <f t="shared" si="4"/>
        <v>Energy Supply Regulation</v>
      </c>
      <c r="H153" t="str">
        <f t="shared" si="5"/>
        <v/>
      </c>
    </row>
    <row r="154" spans="1:8">
      <c r="A154" t="s">
        <v>1925</v>
      </c>
      <c r="B154" t="s">
        <v>59</v>
      </c>
      <c r="D154" t="s">
        <v>1695</v>
      </c>
      <c r="E154" t="s">
        <v>1804</v>
      </c>
      <c r="F154" t="s">
        <v>1842</v>
      </c>
      <c r="G154" t="str">
        <f t="shared" si="4"/>
        <v>Energy Supply Regulation</v>
      </c>
      <c r="H154" t="str">
        <f t="shared" si="5"/>
        <v/>
      </c>
    </row>
    <row r="155" spans="1:8">
      <c r="A155" t="s">
        <v>1926</v>
      </c>
      <c r="B155" t="s">
        <v>59</v>
      </c>
      <c r="D155" t="s">
        <v>1692</v>
      </c>
      <c r="E155" t="s">
        <v>1803</v>
      </c>
      <c r="F155" t="s">
        <v>1823</v>
      </c>
      <c r="G155" t="str">
        <f t="shared" si="4"/>
        <v>Energy Supply Market Intelligence</v>
      </c>
      <c r="H155" t="str">
        <f t="shared" si="5"/>
        <v/>
      </c>
    </row>
    <row r="156" spans="1:8">
      <c r="A156" t="s">
        <v>1927</v>
      </c>
      <c r="B156" t="s">
        <v>59</v>
      </c>
      <c r="D156" t="s">
        <v>1692</v>
      </c>
      <c r="E156" t="s">
        <v>1800</v>
      </c>
      <c r="F156" t="s">
        <v>1828</v>
      </c>
      <c r="G156" t="str">
        <f t="shared" si="4"/>
        <v>Energy Supply Market Intelligence</v>
      </c>
      <c r="H156" t="str">
        <f t="shared" si="5"/>
        <v/>
      </c>
    </row>
    <row r="157" spans="1:8">
      <c r="A157" t="s">
        <v>1829</v>
      </c>
      <c r="B157" t="s">
        <v>59</v>
      </c>
      <c r="D157" t="s">
        <v>1694</v>
      </c>
      <c r="E157" t="s">
        <v>1801</v>
      </c>
      <c r="F157" t="s">
        <v>1829</v>
      </c>
      <c r="G157" t="str">
        <f t="shared" si="4"/>
        <v>Energy Supply Forecasts</v>
      </c>
      <c r="H157" t="str">
        <f t="shared" si="5"/>
        <v/>
      </c>
    </row>
    <row r="158" spans="1:8">
      <c r="A158" t="s">
        <v>1928</v>
      </c>
      <c r="B158" t="s">
        <v>59</v>
      </c>
      <c r="D158" t="s">
        <v>1694</v>
      </c>
      <c r="E158" t="s">
        <v>1801</v>
      </c>
      <c r="F158" t="s">
        <v>1829</v>
      </c>
      <c r="G158" t="str">
        <f t="shared" si="4"/>
        <v>Energy Supply Forecasts</v>
      </c>
      <c r="H158" t="str">
        <f t="shared" si="5"/>
        <v/>
      </c>
    </row>
    <row r="159" spans="1:8">
      <c r="A159" t="s">
        <v>1929</v>
      </c>
      <c r="B159" t="s">
        <v>59</v>
      </c>
      <c r="D159" t="s">
        <v>1692</v>
      </c>
      <c r="E159" t="s">
        <v>1800</v>
      </c>
      <c r="F159" t="s">
        <v>1929</v>
      </c>
      <c r="G159" t="str">
        <f t="shared" si="4"/>
        <v>Energy Supply Market Intelligence</v>
      </c>
      <c r="H159" t="str">
        <f t="shared" si="5"/>
        <v/>
      </c>
    </row>
    <row r="160" spans="1:8">
      <c r="A160" t="s">
        <v>1825</v>
      </c>
      <c r="B160" t="s">
        <v>102</v>
      </c>
      <c r="C160" t="s">
        <v>1640</v>
      </c>
      <c r="D160" t="s">
        <v>1694</v>
      </c>
      <c r="E160" t="s">
        <v>1805</v>
      </c>
      <c r="F160" t="s">
        <v>1825</v>
      </c>
      <c r="G160" t="str">
        <f t="shared" si="4"/>
        <v>Renewables Generation Forecasts</v>
      </c>
      <c r="H160" t="str">
        <f t="shared" si="5"/>
        <v>Flexible Generation &amp; Storage Forecasts</v>
      </c>
    </row>
    <row r="161" spans="1:8">
      <c r="A161" t="s">
        <v>1843</v>
      </c>
      <c r="B161" t="s">
        <v>59</v>
      </c>
      <c r="D161" t="s">
        <v>1692</v>
      </c>
      <c r="E161" t="s">
        <v>1800</v>
      </c>
      <c r="F161" t="s">
        <v>1843</v>
      </c>
      <c r="G161" t="str">
        <f t="shared" si="4"/>
        <v>Energy Supply Market Intelligence</v>
      </c>
      <c r="H161" t="str">
        <f t="shared" si="5"/>
        <v/>
      </c>
    </row>
    <row r="162" spans="1:8">
      <c r="A162" t="s">
        <v>1930</v>
      </c>
      <c r="B162" t="s">
        <v>59</v>
      </c>
      <c r="D162" t="s">
        <v>1692</v>
      </c>
      <c r="E162" t="s">
        <v>1800</v>
      </c>
      <c r="F162" t="s">
        <v>1930</v>
      </c>
      <c r="G162" t="str">
        <f t="shared" si="4"/>
        <v>Energy Supply Market Intelligence</v>
      </c>
      <c r="H162" t="str">
        <f t="shared" si="5"/>
        <v/>
      </c>
    </row>
    <row r="163" spans="1:8">
      <c r="A163" t="s">
        <v>1838</v>
      </c>
      <c r="B163" t="s">
        <v>102</v>
      </c>
      <c r="C163" t="s">
        <v>59</v>
      </c>
      <c r="D163" t="s">
        <v>1694</v>
      </c>
      <c r="E163" t="s">
        <v>1795</v>
      </c>
      <c r="F163" t="s">
        <v>1838</v>
      </c>
      <c r="G163" t="str">
        <f t="shared" si="4"/>
        <v>Renewables Generation Forecasts</v>
      </c>
      <c r="H163" t="str">
        <f t="shared" si="5"/>
        <v>Energy Supply Forecasts</v>
      </c>
    </row>
  </sheetData>
  <autoFilter ref="A1:G163" xr:uid="{229A717A-4D7F-4FE9-8928-60CCE7D0D6E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5E244-7012-4016-9231-8DC43BD9D165}">
  <dimension ref="A1:K219"/>
  <sheetViews>
    <sheetView workbookViewId="0">
      <selection activeCell="B1" sqref="B1:K1"/>
    </sheetView>
  </sheetViews>
  <sheetFormatPr defaultRowHeight="15"/>
  <cols>
    <col min="1" max="1" width="55.5703125" bestFit="1" customWidth="1"/>
    <col min="2" max="2" width="17.85546875" bestFit="1" customWidth="1"/>
    <col min="3" max="3" width="29.140625" bestFit="1" customWidth="1"/>
    <col min="4" max="4" width="20.85546875" bestFit="1" customWidth="1"/>
    <col min="5" max="5" width="26.85546875" bestFit="1" customWidth="1"/>
    <col min="6" max="6" width="18.5703125" bestFit="1" customWidth="1"/>
    <col min="7" max="7" width="30.7109375" bestFit="1" customWidth="1"/>
    <col min="8" max="8" width="22.42578125" bestFit="1" customWidth="1"/>
    <col min="9" max="9" width="28.7109375" bestFit="1" customWidth="1"/>
    <col min="10" max="10" width="20.42578125" bestFit="1" customWidth="1"/>
    <col min="11" max="11" width="10.42578125" bestFit="1" customWidth="1"/>
  </cols>
  <sheetData>
    <row r="1" spans="1:11">
      <c r="B1" t="s">
        <v>20</v>
      </c>
      <c r="C1" t="s">
        <v>25</v>
      </c>
      <c r="D1" t="s">
        <v>27</v>
      </c>
      <c r="E1" t="s">
        <v>29</v>
      </c>
      <c r="F1" t="s">
        <v>31</v>
      </c>
      <c r="G1" t="s">
        <v>21</v>
      </c>
      <c r="H1" t="s">
        <v>23</v>
      </c>
      <c r="I1" t="s">
        <v>1931</v>
      </c>
      <c r="J1" t="s">
        <v>35</v>
      </c>
      <c r="K1" t="s">
        <v>1695</v>
      </c>
    </row>
    <row r="2" spans="1:11">
      <c r="A2" t="s">
        <v>1932</v>
      </c>
    </row>
    <row r="3" spans="1:11">
      <c r="A3" t="s">
        <v>361</v>
      </c>
    </row>
    <row r="4" spans="1:11">
      <c r="A4" t="s">
        <v>1933</v>
      </c>
    </row>
    <row r="5" spans="1:11">
      <c r="A5" t="s">
        <v>601</v>
      </c>
    </row>
    <row r="6" spans="1:11">
      <c r="A6" t="s">
        <v>97</v>
      </c>
    </row>
    <row r="7" spans="1:11">
      <c r="A7" t="s">
        <v>1934</v>
      </c>
    </row>
    <row r="8" spans="1:11">
      <c r="A8" t="s">
        <v>1935</v>
      </c>
    </row>
    <row r="9" spans="1:11">
      <c r="A9" t="s">
        <v>168</v>
      </c>
    </row>
    <row r="10" spans="1:11">
      <c r="A10" t="s">
        <v>1936</v>
      </c>
    </row>
    <row r="11" spans="1:11">
      <c r="A11" t="s">
        <v>440</v>
      </c>
    </row>
    <row r="12" spans="1:11">
      <c r="A12" t="s">
        <v>1387</v>
      </c>
    </row>
    <row r="13" spans="1:11">
      <c r="A13" t="s">
        <v>963</v>
      </c>
    </row>
    <row r="14" spans="1:11">
      <c r="A14" t="s">
        <v>1937</v>
      </c>
    </row>
    <row r="15" spans="1:11">
      <c r="A15" t="s">
        <v>1416</v>
      </c>
    </row>
    <row r="16" spans="1:11">
      <c r="A16" t="s">
        <v>115</v>
      </c>
    </row>
    <row r="17" spans="1:1">
      <c r="A17" t="s">
        <v>999</v>
      </c>
    </row>
    <row r="18" spans="1:1">
      <c r="A18" t="s">
        <v>1014</v>
      </c>
    </row>
    <row r="19" spans="1:1">
      <c r="A19" t="s">
        <v>117</v>
      </c>
    </row>
    <row r="20" spans="1:1">
      <c r="A20" t="s">
        <v>1081</v>
      </c>
    </row>
    <row r="21" spans="1:1">
      <c r="A21" t="s">
        <v>1938</v>
      </c>
    </row>
    <row r="22" spans="1:1">
      <c r="A22" t="s">
        <v>1939</v>
      </c>
    </row>
    <row r="23" spans="1:1">
      <c r="A23" t="s">
        <v>1066</v>
      </c>
    </row>
    <row r="24" spans="1:1">
      <c r="A24" t="s">
        <v>1940</v>
      </c>
    </row>
    <row r="25" spans="1:1">
      <c r="A25" t="s">
        <v>431</v>
      </c>
    </row>
    <row r="26" spans="1:1">
      <c r="A26" t="s">
        <v>306</v>
      </c>
    </row>
    <row r="27" spans="1:1">
      <c r="A27" t="s">
        <v>1941</v>
      </c>
    </row>
    <row r="28" spans="1:1">
      <c r="A28" t="s">
        <v>1942</v>
      </c>
    </row>
    <row r="29" spans="1:1">
      <c r="A29" t="s">
        <v>867</v>
      </c>
    </row>
    <row r="30" spans="1:1">
      <c r="A30" t="s">
        <v>200</v>
      </c>
    </row>
    <row r="31" spans="1:1">
      <c r="A31" t="s">
        <v>301</v>
      </c>
    </row>
    <row r="32" spans="1:1">
      <c r="A32" t="s">
        <v>409</v>
      </c>
    </row>
    <row r="33" spans="1:1">
      <c r="A33" t="s">
        <v>170</v>
      </c>
    </row>
    <row r="34" spans="1:1">
      <c r="A34" t="s">
        <v>1178</v>
      </c>
    </row>
    <row r="35" spans="1:1">
      <c r="A35" t="s">
        <v>78</v>
      </c>
    </row>
    <row r="36" spans="1:1">
      <c r="A36" t="s">
        <v>1943</v>
      </c>
    </row>
    <row r="37" spans="1:1">
      <c r="A37" t="s">
        <v>103</v>
      </c>
    </row>
    <row r="38" spans="1:1">
      <c r="A38" t="s">
        <v>1944</v>
      </c>
    </row>
    <row r="39" spans="1:1">
      <c r="A39" t="s">
        <v>1945</v>
      </c>
    </row>
    <row r="40" spans="1:1">
      <c r="A40" t="s">
        <v>129</v>
      </c>
    </row>
    <row r="41" spans="1:1">
      <c r="A41" t="s">
        <v>351</v>
      </c>
    </row>
    <row r="42" spans="1:1">
      <c r="A42" t="s">
        <v>1946</v>
      </c>
    </row>
    <row r="43" spans="1:1">
      <c r="A43" t="s">
        <v>466</v>
      </c>
    </row>
    <row r="44" spans="1:1">
      <c r="A44" t="s">
        <v>1947</v>
      </c>
    </row>
    <row r="45" spans="1:1">
      <c r="A45" t="s">
        <v>140</v>
      </c>
    </row>
    <row r="46" spans="1:1">
      <c r="A46" t="s">
        <v>1393</v>
      </c>
    </row>
    <row r="47" spans="1:1">
      <c r="A47" t="s">
        <v>157</v>
      </c>
    </row>
    <row r="48" spans="1:1">
      <c r="A48" t="s">
        <v>862</v>
      </c>
    </row>
    <row r="49" spans="1:1">
      <c r="A49" t="s">
        <v>563</v>
      </c>
    </row>
    <row r="50" spans="1:1">
      <c r="A50" t="s">
        <v>56</v>
      </c>
    </row>
    <row r="51" spans="1:1">
      <c r="A51" t="s">
        <v>1948</v>
      </c>
    </row>
    <row r="52" spans="1:1">
      <c r="A52" t="s">
        <v>132</v>
      </c>
    </row>
    <row r="53" spans="1:1">
      <c r="A53" t="s">
        <v>912</v>
      </c>
    </row>
    <row r="54" spans="1:1">
      <c r="A54" t="s">
        <v>169</v>
      </c>
    </row>
    <row r="55" spans="1:1">
      <c r="A55" t="s">
        <v>1395</v>
      </c>
    </row>
    <row r="56" spans="1:1">
      <c r="A56" t="s">
        <v>199</v>
      </c>
    </row>
    <row r="57" spans="1:1">
      <c r="A57" t="s">
        <v>213</v>
      </c>
    </row>
    <row r="58" spans="1:1">
      <c r="A58" t="s">
        <v>1949</v>
      </c>
    </row>
    <row r="59" spans="1:1">
      <c r="A59" t="s">
        <v>1950</v>
      </c>
    </row>
    <row r="60" spans="1:1">
      <c r="A60" t="s">
        <v>91</v>
      </c>
    </row>
    <row r="61" spans="1:1">
      <c r="A61" t="s">
        <v>120</v>
      </c>
    </row>
    <row r="62" spans="1:1">
      <c r="A62" t="s">
        <v>1076</v>
      </c>
    </row>
    <row r="63" spans="1:1">
      <c r="A63" t="s">
        <v>178</v>
      </c>
    </row>
    <row r="64" spans="1:1">
      <c r="A64" t="s">
        <v>966</v>
      </c>
    </row>
    <row r="65" spans="1:1">
      <c r="A65" t="s">
        <v>100</v>
      </c>
    </row>
    <row r="66" spans="1:1">
      <c r="A66" t="s">
        <v>1951</v>
      </c>
    </row>
    <row r="67" spans="1:1">
      <c r="A67" t="s">
        <v>290</v>
      </c>
    </row>
    <row r="68" spans="1:1">
      <c r="A68" t="s">
        <v>1020</v>
      </c>
    </row>
    <row r="69" spans="1:1">
      <c r="A69" t="s">
        <v>1952</v>
      </c>
    </row>
    <row r="70" spans="1:1">
      <c r="A70" t="s">
        <v>88</v>
      </c>
    </row>
    <row r="71" spans="1:1">
      <c r="A71" t="s">
        <v>1366</v>
      </c>
    </row>
    <row r="72" spans="1:1">
      <c r="A72" t="s">
        <v>1228</v>
      </c>
    </row>
    <row r="73" spans="1:1">
      <c r="A73" t="s">
        <v>1953</v>
      </c>
    </row>
    <row r="74" spans="1:1">
      <c r="A74" t="s">
        <v>1954</v>
      </c>
    </row>
    <row r="75" spans="1:1">
      <c r="A75" t="s">
        <v>1955</v>
      </c>
    </row>
    <row r="76" spans="1:1">
      <c r="A76" t="s">
        <v>260</v>
      </c>
    </row>
    <row r="77" spans="1:1">
      <c r="A77" t="s">
        <v>347</v>
      </c>
    </row>
    <row r="78" spans="1:1">
      <c r="A78" t="s">
        <v>1956</v>
      </c>
    </row>
    <row r="79" spans="1:1">
      <c r="A79" t="s">
        <v>1957</v>
      </c>
    </row>
    <row r="80" spans="1:1">
      <c r="A80" t="s">
        <v>1958</v>
      </c>
    </row>
    <row r="81" spans="1:1">
      <c r="A81" t="s">
        <v>820</v>
      </c>
    </row>
    <row r="82" spans="1:1">
      <c r="A82" t="s">
        <v>1959</v>
      </c>
    </row>
    <row r="83" spans="1:1">
      <c r="A83" t="s">
        <v>1115</v>
      </c>
    </row>
    <row r="84" spans="1:1">
      <c r="A84" t="s">
        <v>522</v>
      </c>
    </row>
    <row r="85" spans="1:1">
      <c r="A85" t="s">
        <v>1960</v>
      </c>
    </row>
    <row r="86" spans="1:1">
      <c r="A86" t="s">
        <v>1154</v>
      </c>
    </row>
    <row r="87" spans="1:1">
      <c r="A87" t="s">
        <v>1961</v>
      </c>
    </row>
    <row r="88" spans="1:1">
      <c r="A88" t="s">
        <v>923</v>
      </c>
    </row>
    <row r="89" spans="1:1">
      <c r="A89" t="s">
        <v>298</v>
      </c>
    </row>
    <row r="90" spans="1:1">
      <c r="A90" t="s">
        <v>972</v>
      </c>
    </row>
    <row r="91" spans="1:1">
      <c r="A91" t="s">
        <v>1962</v>
      </c>
    </row>
    <row r="92" spans="1:1">
      <c r="A92" t="s">
        <v>1963</v>
      </c>
    </row>
    <row r="93" spans="1:1">
      <c r="A93" t="s">
        <v>193</v>
      </c>
    </row>
    <row r="94" spans="1:1">
      <c r="A94" t="s">
        <v>166</v>
      </c>
    </row>
    <row r="95" spans="1:1">
      <c r="A95" t="s">
        <v>1964</v>
      </c>
    </row>
    <row r="96" spans="1:1">
      <c r="A96" t="s">
        <v>1965</v>
      </c>
    </row>
    <row r="97" spans="1:1">
      <c r="A97" t="s">
        <v>1966</v>
      </c>
    </row>
    <row r="98" spans="1:1">
      <c r="A98" t="s">
        <v>388</v>
      </c>
    </row>
    <row r="99" spans="1:1">
      <c r="A99" t="s">
        <v>408</v>
      </c>
    </row>
    <row r="100" spans="1:1">
      <c r="A100" t="s">
        <v>1967</v>
      </c>
    </row>
    <row r="101" spans="1:1">
      <c r="A101" t="s">
        <v>729</v>
      </c>
    </row>
    <row r="102" spans="1:1">
      <c r="A102" t="s">
        <v>1968</v>
      </c>
    </row>
    <row r="103" spans="1:1">
      <c r="A103" t="s">
        <v>79</v>
      </c>
    </row>
    <row r="104" spans="1:1">
      <c r="A104" t="s">
        <v>1969</v>
      </c>
    </row>
    <row r="105" spans="1:1">
      <c r="A105" t="s">
        <v>295</v>
      </c>
    </row>
    <row r="106" spans="1:1">
      <c r="A106" t="s">
        <v>422</v>
      </c>
    </row>
    <row r="107" spans="1:1">
      <c r="A107" t="s">
        <v>1970</v>
      </c>
    </row>
    <row r="108" spans="1:1">
      <c r="A108" t="s">
        <v>171</v>
      </c>
    </row>
    <row r="109" spans="1:1">
      <c r="A109" t="s">
        <v>602</v>
      </c>
    </row>
    <row r="110" spans="1:1">
      <c r="A110" t="s">
        <v>1971</v>
      </c>
    </row>
    <row r="111" spans="1:1">
      <c r="A111" t="s">
        <v>141</v>
      </c>
    </row>
    <row r="112" spans="1:1">
      <c r="A112" t="s">
        <v>64</v>
      </c>
    </row>
    <row r="113" spans="1:1">
      <c r="A113" t="s">
        <v>1972</v>
      </c>
    </row>
    <row r="114" spans="1:1">
      <c r="A114" t="s">
        <v>1973</v>
      </c>
    </row>
    <row r="115" spans="1:1">
      <c r="A115" t="s">
        <v>73</v>
      </c>
    </row>
    <row r="116" spans="1:1">
      <c r="A116" t="s">
        <v>1974</v>
      </c>
    </row>
    <row r="117" spans="1:1">
      <c r="A117" t="s">
        <v>314</v>
      </c>
    </row>
    <row r="118" spans="1:1">
      <c r="A118" t="s">
        <v>1975</v>
      </c>
    </row>
    <row r="119" spans="1:1">
      <c r="A119" t="s">
        <v>1976</v>
      </c>
    </row>
    <row r="120" spans="1:1">
      <c r="A120" t="s">
        <v>1977</v>
      </c>
    </row>
    <row r="121" spans="1:1">
      <c r="A121" t="s">
        <v>89</v>
      </c>
    </row>
    <row r="122" spans="1:1">
      <c r="A122" t="s">
        <v>75</v>
      </c>
    </row>
    <row r="123" spans="1:1">
      <c r="A123" t="s">
        <v>1978</v>
      </c>
    </row>
    <row r="124" spans="1:1">
      <c r="A124" t="s">
        <v>1979</v>
      </c>
    </row>
    <row r="125" spans="1:1">
      <c r="A125" t="s">
        <v>1980</v>
      </c>
    </row>
    <row r="126" spans="1:1">
      <c r="A126" t="s">
        <v>71</v>
      </c>
    </row>
    <row r="127" spans="1:1">
      <c r="A127" t="s">
        <v>890</v>
      </c>
    </row>
    <row r="128" spans="1:1">
      <c r="A128" t="s">
        <v>1981</v>
      </c>
    </row>
    <row r="129" spans="1:1">
      <c r="A129" t="s">
        <v>1982</v>
      </c>
    </row>
    <row r="130" spans="1:1">
      <c r="A130" t="s">
        <v>1983</v>
      </c>
    </row>
    <row r="131" spans="1:1">
      <c r="A131" t="s">
        <v>1984</v>
      </c>
    </row>
    <row r="132" spans="1:1">
      <c r="A132" t="s">
        <v>172</v>
      </c>
    </row>
    <row r="133" spans="1:1">
      <c r="A133" t="s">
        <v>307</v>
      </c>
    </row>
    <row r="134" spans="1:1">
      <c r="A134" t="s">
        <v>1985</v>
      </c>
    </row>
    <row r="135" spans="1:1">
      <c r="A135" t="s">
        <v>1986</v>
      </c>
    </row>
    <row r="136" spans="1:1">
      <c r="A136" t="s">
        <v>1987</v>
      </c>
    </row>
    <row r="137" spans="1:1">
      <c r="A137" t="s">
        <v>1988</v>
      </c>
    </row>
    <row r="138" spans="1:1">
      <c r="A138" t="s">
        <v>1989</v>
      </c>
    </row>
    <row r="139" spans="1:1">
      <c r="A139" t="s">
        <v>1990</v>
      </c>
    </row>
    <row r="140" spans="1:1">
      <c r="A140" t="s">
        <v>1991</v>
      </c>
    </row>
    <row r="141" spans="1:1">
      <c r="A141" t="s">
        <v>230</v>
      </c>
    </row>
    <row r="142" spans="1:1">
      <c r="A142" t="s">
        <v>158</v>
      </c>
    </row>
    <row r="143" spans="1:1">
      <c r="A143" t="s">
        <v>179</v>
      </c>
    </row>
    <row r="144" spans="1:1">
      <c r="A144" t="s">
        <v>1992</v>
      </c>
    </row>
    <row r="145" spans="1:1">
      <c r="A145" t="s">
        <v>149</v>
      </c>
    </row>
    <row r="146" spans="1:1">
      <c r="A146" t="s">
        <v>1993</v>
      </c>
    </row>
    <row r="147" spans="1:1">
      <c r="A147" t="s">
        <v>1230</v>
      </c>
    </row>
    <row r="148" spans="1:1">
      <c r="A148" t="s">
        <v>448</v>
      </c>
    </row>
    <row r="149" spans="1:1">
      <c r="A149" t="s">
        <v>1994</v>
      </c>
    </row>
    <row r="150" spans="1:1">
      <c r="A150" t="s">
        <v>490</v>
      </c>
    </row>
    <row r="151" spans="1:1">
      <c r="A151" t="s">
        <v>1995</v>
      </c>
    </row>
    <row r="152" spans="1:1">
      <c r="A152" t="s">
        <v>188</v>
      </c>
    </row>
    <row r="153" spans="1:1">
      <c r="A153" t="s">
        <v>1442</v>
      </c>
    </row>
    <row r="154" spans="1:1">
      <c r="A154" t="s">
        <v>354</v>
      </c>
    </row>
    <row r="155" spans="1:1">
      <c r="A155" t="s">
        <v>1996</v>
      </c>
    </row>
    <row r="156" spans="1:1">
      <c r="A156" t="s">
        <v>913</v>
      </c>
    </row>
    <row r="157" spans="1:1">
      <c r="A157" t="s">
        <v>118</v>
      </c>
    </row>
    <row r="158" spans="1:1">
      <c r="A158" t="s">
        <v>399</v>
      </c>
    </row>
    <row r="159" spans="1:1">
      <c r="A159" t="s">
        <v>1997</v>
      </c>
    </row>
    <row r="160" spans="1:1">
      <c r="A160" t="s">
        <v>343</v>
      </c>
    </row>
    <row r="161" spans="1:1">
      <c r="A161" t="s">
        <v>1998</v>
      </c>
    </row>
    <row r="162" spans="1:1">
      <c r="A162" t="s">
        <v>459</v>
      </c>
    </row>
    <row r="163" spans="1:1">
      <c r="A163" t="s">
        <v>1999</v>
      </c>
    </row>
    <row r="164" spans="1:1">
      <c r="A164" t="s">
        <v>155</v>
      </c>
    </row>
    <row r="165" spans="1:1">
      <c r="A165" t="s">
        <v>1019</v>
      </c>
    </row>
    <row r="166" spans="1:1">
      <c r="A166" t="s">
        <v>400</v>
      </c>
    </row>
    <row r="167" spans="1:1">
      <c r="A167" t="s">
        <v>766</v>
      </c>
    </row>
    <row r="168" spans="1:1">
      <c r="A168" t="s">
        <v>2000</v>
      </c>
    </row>
    <row r="169" spans="1:1">
      <c r="A169" t="s">
        <v>241</v>
      </c>
    </row>
    <row r="170" spans="1:1">
      <c r="A170" t="s">
        <v>131</v>
      </c>
    </row>
    <row r="171" spans="1:1">
      <c r="A171" t="s">
        <v>842</v>
      </c>
    </row>
    <row r="172" spans="1:1">
      <c r="A172" t="s">
        <v>181</v>
      </c>
    </row>
    <row r="173" spans="1:1">
      <c r="A173" t="s">
        <v>317</v>
      </c>
    </row>
    <row r="174" spans="1:1">
      <c r="A174" t="s">
        <v>105</v>
      </c>
    </row>
    <row r="175" spans="1:1">
      <c r="A175" t="s">
        <v>622</v>
      </c>
    </row>
    <row r="176" spans="1:1">
      <c r="A176" t="s">
        <v>2001</v>
      </c>
    </row>
    <row r="177" spans="1:1">
      <c r="A177" t="s">
        <v>2002</v>
      </c>
    </row>
    <row r="178" spans="1:1">
      <c r="A178" t="s">
        <v>960</v>
      </c>
    </row>
    <row r="179" spans="1:1">
      <c r="A179" t="s">
        <v>970</v>
      </c>
    </row>
    <row r="180" spans="1:1">
      <c r="A180" t="s">
        <v>1099</v>
      </c>
    </row>
    <row r="181" spans="1:1">
      <c r="A181" t="s">
        <v>1069</v>
      </c>
    </row>
    <row r="182" spans="1:1">
      <c r="A182" t="s">
        <v>2003</v>
      </c>
    </row>
    <row r="183" spans="1:1">
      <c r="A183" t="s">
        <v>2004</v>
      </c>
    </row>
    <row r="184" spans="1:1">
      <c r="A184" t="s">
        <v>1213</v>
      </c>
    </row>
    <row r="185" spans="1:1">
      <c r="A185" t="s">
        <v>993</v>
      </c>
    </row>
    <row r="186" spans="1:1">
      <c r="A186" t="s">
        <v>296</v>
      </c>
    </row>
    <row r="187" spans="1:1">
      <c r="A187" t="s">
        <v>425</v>
      </c>
    </row>
    <row r="188" spans="1:1">
      <c r="A188" t="s">
        <v>1102</v>
      </c>
    </row>
    <row r="189" spans="1:1">
      <c r="A189" t="s">
        <v>553</v>
      </c>
    </row>
    <row r="190" spans="1:1">
      <c r="A190" t="s">
        <v>2005</v>
      </c>
    </row>
    <row r="191" spans="1:1">
      <c r="A191" t="s">
        <v>2006</v>
      </c>
    </row>
    <row r="192" spans="1:1">
      <c r="A192" t="s">
        <v>167</v>
      </c>
    </row>
    <row r="193" spans="1:1">
      <c r="A193" t="s">
        <v>1009</v>
      </c>
    </row>
    <row r="194" spans="1:1">
      <c r="A194" t="s">
        <v>1074</v>
      </c>
    </row>
    <row r="195" spans="1:1">
      <c r="A195" t="s">
        <v>2007</v>
      </c>
    </row>
    <row r="196" spans="1:1">
      <c r="A196" t="s">
        <v>2008</v>
      </c>
    </row>
    <row r="197" spans="1:1">
      <c r="A197" t="s">
        <v>2009</v>
      </c>
    </row>
    <row r="198" spans="1:1">
      <c r="A198" t="s">
        <v>161</v>
      </c>
    </row>
    <row r="199" spans="1:1">
      <c r="A199" t="s">
        <v>175</v>
      </c>
    </row>
    <row r="200" spans="1:1">
      <c r="A200" t="s">
        <v>2010</v>
      </c>
    </row>
    <row r="201" spans="1:1">
      <c r="A201" t="s">
        <v>2011</v>
      </c>
    </row>
    <row r="202" spans="1:1">
      <c r="A202" t="s">
        <v>844</v>
      </c>
    </row>
    <row r="203" spans="1:1">
      <c r="A203" t="s">
        <v>113</v>
      </c>
    </row>
    <row r="204" spans="1:1">
      <c r="A204" t="s">
        <v>1106</v>
      </c>
    </row>
    <row r="205" spans="1:1">
      <c r="A205" t="s">
        <v>1086</v>
      </c>
    </row>
    <row r="206" spans="1:1">
      <c r="A206" t="s">
        <v>2012</v>
      </c>
    </row>
    <row r="207" spans="1:1">
      <c r="A207" t="s">
        <v>2013</v>
      </c>
    </row>
    <row r="208" spans="1:1">
      <c r="A208" t="s">
        <v>2014</v>
      </c>
    </row>
    <row r="209" spans="1:1">
      <c r="A209" t="s">
        <v>2015</v>
      </c>
    </row>
    <row r="210" spans="1:1">
      <c r="A210" t="s">
        <v>2016</v>
      </c>
    </row>
    <row r="211" spans="1:1">
      <c r="A211" t="s">
        <v>669</v>
      </c>
    </row>
    <row r="212" spans="1:1">
      <c r="A212" t="s">
        <v>1039</v>
      </c>
    </row>
    <row r="213" spans="1:1">
      <c r="A213" t="s">
        <v>1011</v>
      </c>
    </row>
    <row r="214" spans="1:1">
      <c r="A214" t="s">
        <v>2017</v>
      </c>
    </row>
    <row r="215" spans="1:1">
      <c r="A215" t="s">
        <v>2018</v>
      </c>
    </row>
    <row r="216" spans="1:1">
      <c r="A216" t="s">
        <v>1166</v>
      </c>
    </row>
    <row r="217" spans="1:1">
      <c r="A217" t="s">
        <v>2019</v>
      </c>
    </row>
    <row r="218" spans="1:1">
      <c r="A218" t="s">
        <v>2020</v>
      </c>
    </row>
    <row r="219" spans="1:1">
      <c r="A219" t="s">
        <v>2021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0D52D-931E-4902-9A28-2608F2F5BFB7}">
  <dimension ref="B2:BA527"/>
  <sheetViews>
    <sheetView topLeftCell="L1" zoomScale="49" zoomScaleNormal="70" workbookViewId="0">
      <selection activeCell="AI11" sqref="AI11"/>
    </sheetView>
  </sheetViews>
  <sheetFormatPr defaultColWidth="8.7109375" defaultRowHeight="14.25"/>
  <cols>
    <col min="1" max="1" width="3.7109375" style="1" customWidth="1"/>
    <col min="2" max="2" width="12.42578125" style="1" bestFit="1" customWidth="1"/>
    <col min="3" max="3" width="53.28515625" style="1" bestFit="1" customWidth="1"/>
    <col min="4" max="4" width="10.42578125" style="1" bestFit="1" customWidth="1"/>
    <col min="5" max="5" width="41.28515625" style="1" bestFit="1" customWidth="1"/>
    <col min="6" max="6" width="8.85546875" style="1" bestFit="1" customWidth="1"/>
    <col min="7" max="7" width="8.7109375" style="1"/>
    <col min="8" max="8" width="21.5703125" style="1" bestFit="1" customWidth="1"/>
    <col min="9" max="9" width="20.5703125" style="1" customWidth="1"/>
    <col min="10" max="10" width="34.7109375" style="1" bestFit="1" customWidth="1"/>
    <col min="11" max="11" width="8.7109375" style="1"/>
    <col min="12" max="12" width="59.5703125" style="1" bestFit="1" customWidth="1"/>
    <col min="13" max="13" width="16.140625" style="1" bestFit="1" customWidth="1"/>
    <col min="14" max="14" width="17.7109375" style="1" bestFit="1" customWidth="1"/>
    <col min="15" max="16" width="15.28515625" style="1" bestFit="1" customWidth="1"/>
    <col min="17" max="17" width="14.5703125" style="1" bestFit="1" customWidth="1"/>
    <col min="18" max="34" width="0" style="1" hidden="1" customWidth="1"/>
    <col min="35" max="36" width="8.7109375" style="1"/>
    <col min="37" max="37" width="21.85546875" style="1" customWidth="1"/>
    <col min="38" max="38" width="36.28515625" style="1" customWidth="1"/>
    <col min="39" max="39" width="30.7109375" style="1" customWidth="1"/>
    <col min="40" max="40" width="26.7109375" style="1" customWidth="1"/>
    <col min="41" max="41" width="28" style="1" customWidth="1"/>
    <col min="42" max="42" width="34.42578125" style="1" customWidth="1"/>
    <col min="43" max="43" width="28.85546875" style="1" customWidth="1"/>
    <col min="44" max="44" width="24.85546875" style="1" customWidth="1"/>
    <col min="45" max="45" width="26.140625" style="1" customWidth="1"/>
    <col min="46" max="46" width="32.140625" style="1" customWidth="1"/>
    <col min="47" max="47" width="26.5703125" style="1" customWidth="1"/>
    <col min="48" max="48" width="22.5703125" style="1" customWidth="1"/>
    <col min="49" max="49" width="23.85546875" style="1" customWidth="1"/>
    <col min="50" max="50" width="29.42578125" style="1" customWidth="1"/>
    <col min="51" max="51" width="28.85546875" style="1" customWidth="1"/>
    <col min="52" max="52" width="24.85546875" style="1" customWidth="1"/>
    <col min="53" max="53" width="26.140625" style="1" customWidth="1"/>
    <col min="54" max="16384" width="8.7109375" style="1"/>
  </cols>
  <sheetData>
    <row r="2" spans="2:53">
      <c r="B2" s="3" t="s">
        <v>2022</v>
      </c>
    </row>
    <row r="3" spans="2:53">
      <c r="B3" s="1" t="s">
        <v>2023</v>
      </c>
    </row>
    <row r="6" spans="2:53">
      <c r="B6" s="61" t="s">
        <v>2024</v>
      </c>
      <c r="C6" s="61" t="s">
        <v>2025</v>
      </c>
      <c r="D6" s="61" t="s">
        <v>2026</v>
      </c>
      <c r="E6" s="61" t="s">
        <v>2027</v>
      </c>
      <c r="F6" s="62" t="s">
        <v>2028</v>
      </c>
      <c r="G6" s="38"/>
      <c r="H6" s="61" t="s">
        <v>2029</v>
      </c>
      <c r="I6" s="61" t="s">
        <v>2030</v>
      </c>
      <c r="J6" s="61" t="s">
        <v>1662</v>
      </c>
      <c r="L6" s="38"/>
      <c r="M6" s="61" t="s">
        <v>2031</v>
      </c>
      <c r="N6" s="61" t="s">
        <v>1702</v>
      </c>
      <c r="O6" s="61" t="s">
        <v>1703</v>
      </c>
      <c r="P6" s="61" t="s">
        <v>191</v>
      </c>
      <c r="Q6" s="61" t="s">
        <v>2032</v>
      </c>
    </row>
    <row r="7" spans="2:53">
      <c r="B7" s="38" t="s">
        <v>2033</v>
      </c>
      <c r="C7" s="38" t="s">
        <v>321</v>
      </c>
      <c r="D7" s="38" t="s">
        <v>2034</v>
      </c>
      <c r="E7" s="38" t="s">
        <v>1864</v>
      </c>
      <c r="F7" s="63">
        <v>9500</v>
      </c>
      <c r="G7" s="38"/>
      <c r="H7" s="38" t="s">
        <v>1702</v>
      </c>
      <c r="I7" s="38" t="s">
        <v>1702</v>
      </c>
      <c r="J7" s="38" t="s">
        <v>27</v>
      </c>
      <c r="L7" s="38" t="s">
        <v>1673</v>
      </c>
      <c r="M7" s="38">
        <f>COUNTIF($M$11:$M$234,M6)</f>
        <v>79</v>
      </c>
      <c r="N7" s="38">
        <f t="shared" ref="N7:Q7" si="0">COUNTIF($M$11:$M$234,N6)</f>
        <v>53</v>
      </c>
      <c r="O7" s="38">
        <f t="shared" si="0"/>
        <v>16</v>
      </c>
      <c r="P7" s="38">
        <f t="shared" si="0"/>
        <v>34</v>
      </c>
      <c r="Q7" s="38">
        <f t="shared" si="0"/>
        <v>42</v>
      </c>
    </row>
    <row r="8" spans="2:53">
      <c r="B8" s="38" t="s">
        <v>2033</v>
      </c>
      <c r="C8" s="38" t="s">
        <v>321</v>
      </c>
      <c r="D8" s="38" t="s">
        <v>2035</v>
      </c>
      <c r="E8" s="38" t="s">
        <v>1855</v>
      </c>
      <c r="F8" s="63">
        <v>1000</v>
      </c>
      <c r="G8" s="38"/>
      <c r="H8" s="38" t="s">
        <v>1702</v>
      </c>
      <c r="I8" s="38" t="s">
        <v>2032</v>
      </c>
      <c r="J8" s="38" t="s">
        <v>20</v>
      </c>
      <c r="L8" s="38" t="s">
        <v>2036</v>
      </c>
      <c r="M8" s="65">
        <f>SUMIF($I$7:$I$510,M6,$F$7:$F$510)</f>
        <v>2715210.8353734328</v>
      </c>
      <c r="N8" s="65">
        <f t="shared" ref="N8:Q8" si="1">SUMIF($I$7:$I$510,N6,$F$7:$F$510)</f>
        <v>1163014.3999559344</v>
      </c>
      <c r="O8" s="65">
        <f t="shared" si="1"/>
        <v>277425.72904761904</v>
      </c>
      <c r="P8" s="65">
        <f t="shared" si="1"/>
        <v>435411.84</v>
      </c>
      <c r="Q8" s="65">
        <f t="shared" si="1"/>
        <v>1140191.0071428574</v>
      </c>
    </row>
    <row r="9" spans="2:53">
      <c r="B9" s="38" t="s">
        <v>2037</v>
      </c>
      <c r="C9" s="38" t="s">
        <v>1115</v>
      </c>
      <c r="D9" s="38" t="s">
        <v>2038</v>
      </c>
      <c r="E9" s="38" t="s">
        <v>1838</v>
      </c>
      <c r="F9" s="63">
        <v>6055</v>
      </c>
      <c r="G9" s="38"/>
      <c r="H9" s="38" t="s">
        <v>1702</v>
      </c>
      <c r="I9" s="38" t="s">
        <v>1702</v>
      </c>
      <c r="J9" s="38" t="s">
        <v>27</v>
      </c>
      <c r="M9" s="64"/>
      <c r="N9" s="64"/>
      <c r="O9" s="64"/>
      <c r="P9" s="64"/>
      <c r="Q9" s="1">
        <v>1</v>
      </c>
      <c r="R9" s="1">
        <v>2</v>
      </c>
      <c r="S9" s="1">
        <v>3</v>
      </c>
      <c r="T9" s="1">
        <v>4</v>
      </c>
      <c r="U9" s="1">
        <v>5</v>
      </c>
      <c r="V9" s="1">
        <v>6</v>
      </c>
      <c r="W9" s="1">
        <v>7</v>
      </c>
      <c r="X9" s="1">
        <v>8</v>
      </c>
      <c r="Y9" s="1">
        <v>9</v>
      </c>
      <c r="Z9" s="1">
        <v>10</v>
      </c>
      <c r="AA9" s="1">
        <v>11</v>
      </c>
      <c r="AB9" s="1">
        <v>12</v>
      </c>
      <c r="AC9" s="1">
        <v>13</v>
      </c>
      <c r="AD9" s="1">
        <v>14</v>
      </c>
      <c r="AE9" s="1">
        <v>15</v>
      </c>
      <c r="AF9" s="1">
        <v>16</v>
      </c>
      <c r="AG9" s="1">
        <v>17</v>
      </c>
      <c r="AH9" s="1">
        <v>18</v>
      </c>
    </row>
    <row r="10" spans="2:53">
      <c r="B10" s="38" t="s">
        <v>2039</v>
      </c>
      <c r="C10" s="38" t="s">
        <v>143</v>
      </c>
      <c r="D10" s="38" t="s">
        <v>2040</v>
      </c>
      <c r="E10" s="38" t="s">
        <v>1799</v>
      </c>
      <c r="F10" s="63">
        <v>9000</v>
      </c>
      <c r="G10" s="38"/>
      <c r="H10" s="38" t="s">
        <v>1702</v>
      </c>
      <c r="I10" s="38" t="s">
        <v>2032</v>
      </c>
      <c r="J10" s="38" t="s">
        <v>20</v>
      </c>
      <c r="R10" s="1" t="s">
        <v>20</v>
      </c>
      <c r="S10" s="1" t="s">
        <v>21</v>
      </c>
      <c r="T10" s="1" t="s">
        <v>22</v>
      </c>
      <c r="U10" s="1" t="s">
        <v>23</v>
      </c>
      <c r="V10" s="1" t="s">
        <v>24</v>
      </c>
      <c r="W10" s="1" t="s">
        <v>25</v>
      </c>
      <c r="X10" s="1" t="s">
        <v>26</v>
      </c>
      <c r="Y10" s="1" t="s">
        <v>27</v>
      </c>
      <c r="Z10" s="1" t="s">
        <v>28</v>
      </c>
      <c r="AA10" s="1" t="s">
        <v>29</v>
      </c>
      <c r="AB10" s="1" t="s">
        <v>30</v>
      </c>
      <c r="AC10" s="1" t="s">
        <v>31</v>
      </c>
      <c r="AD10" s="1" t="s">
        <v>32</v>
      </c>
      <c r="AE10" s="1" t="s">
        <v>33</v>
      </c>
      <c r="AF10" s="1" t="s">
        <v>34</v>
      </c>
      <c r="AG10" s="1" t="s">
        <v>35</v>
      </c>
      <c r="AH10" s="1" t="s">
        <v>36</v>
      </c>
      <c r="AK10" s="1" t="s">
        <v>20</v>
      </c>
      <c r="AL10" s="1" t="s">
        <v>21</v>
      </c>
      <c r="AM10" s="1" t="s">
        <v>22</v>
      </c>
      <c r="AN10" s="1" t="s">
        <v>23</v>
      </c>
      <c r="AO10" s="1" t="s">
        <v>24</v>
      </c>
      <c r="AP10" s="1" t="s">
        <v>25</v>
      </c>
      <c r="AQ10" s="1" t="s">
        <v>26</v>
      </c>
      <c r="AR10" s="1" t="s">
        <v>27</v>
      </c>
      <c r="AS10" s="1" t="s">
        <v>28</v>
      </c>
      <c r="AT10" s="1" t="s">
        <v>29</v>
      </c>
      <c r="AU10" s="1" t="s">
        <v>30</v>
      </c>
      <c r="AV10" s="1" t="s">
        <v>31</v>
      </c>
      <c r="AW10" s="1" t="s">
        <v>32</v>
      </c>
      <c r="AX10" s="1" t="s">
        <v>33</v>
      </c>
      <c r="AY10" s="1" t="s">
        <v>34</v>
      </c>
      <c r="AZ10" s="1" t="s">
        <v>35</v>
      </c>
      <c r="BA10" s="1" t="s">
        <v>36</v>
      </c>
    </row>
    <row r="11" spans="2:53">
      <c r="B11" s="38" t="s">
        <v>2041</v>
      </c>
      <c r="C11" s="38" t="s">
        <v>188</v>
      </c>
      <c r="D11" s="38" t="s">
        <v>2042</v>
      </c>
      <c r="E11" s="38" t="s">
        <v>1819</v>
      </c>
      <c r="F11" s="63">
        <v>6500</v>
      </c>
      <c r="G11" s="38"/>
      <c r="H11" s="38" t="s">
        <v>1702</v>
      </c>
      <c r="I11" s="38" t="s">
        <v>1702</v>
      </c>
      <c r="J11" s="38" t="s">
        <v>26</v>
      </c>
      <c r="L11" s="1" t="str" cm="1">
        <f t="array" ref="L11:L234">_xlfn._xlws.SORT(_xlfn.UNIQUE(C7:C510))</f>
        <v>ACP I Shareco Ltd</v>
      </c>
      <c r="M11" s="1" t="str">
        <f>INDEX($H$7:$H$510,MATCH(L11,$C$7:$C$510))</f>
        <v>Renewables</v>
      </c>
      <c r="N11" s="109">
        <f>SUMIF(C7:C510,L11,F7:F510)</f>
        <v>10500</v>
      </c>
      <c r="O11" s="1">
        <f>IFERROR(IF(INDEX(Table3[[Total Spend]:[Total Spend]],MATCH(L11,Table3[[Company name]:[Company name]],0))&gt;N11,INDEX(Table3[[Total Spend]:[Total Spend]],MATCH(L11,Table3[[Company name]:[Company name]])),N11),50000)</f>
        <v>50000</v>
      </c>
      <c r="P11" s="109">
        <f>IF(O11&gt;N11,O11-N11,N11)</f>
        <v>39500</v>
      </c>
      <c r="Q11" s="103">
        <f>IF(IFERROR(N11/O11,0)&gt;1,1,IFERROR(N11/O11,0))</f>
        <v>0.21</v>
      </c>
      <c r="R11" s="1">
        <f ca="1">IFERROR(INDEX(INDIRECT("Table3[Column"&amp;R$9&amp;"]"),MATCH($L11,Table3[[Company name]:[Company name]],0)),0)</f>
        <v>8100</v>
      </c>
      <c r="S11" s="1">
        <f ca="1">IFERROR(INDEX(INDIRECT("Table3[Column"&amp;S$9&amp;"]"),MATCH($L11,Table3[[Company name]:[Company name]],0)),0)</f>
        <v>0</v>
      </c>
      <c r="T11" s="1">
        <f ca="1">IFERROR(INDEX(INDIRECT("Table3[Column"&amp;T$9&amp;"]"),MATCH($L11,Table3[[Company name]:[Company name]],0)),0)</f>
        <v>0</v>
      </c>
      <c r="U11" s="1">
        <f ca="1">IFERROR(INDEX(INDIRECT("Table3[Column"&amp;U$9&amp;"]"),MATCH($L11,Table3[[Company name]:[Company name]],0)),0)</f>
        <v>0</v>
      </c>
      <c r="V11" s="1">
        <f ca="1">IFERROR(INDEX(INDIRECT("Table3[Column"&amp;V$9&amp;"]"),MATCH($L11,Table3[[Company name]:[Company name]],0)),0)</f>
        <v>0</v>
      </c>
      <c r="W11" s="1">
        <f ca="1">IFERROR(INDEX(INDIRECT("Table3[Column"&amp;W$9&amp;"]"),MATCH($L11,Table3[[Company name]:[Company name]],0)),0)</f>
        <v>17100</v>
      </c>
      <c r="X11" s="1">
        <f ca="1">IFERROR(INDEX(INDIRECT("Table3[Column"&amp;X$9&amp;"]"),MATCH($L11,Table3[[Company name]:[Company name]],0)),0)</f>
        <v>15300</v>
      </c>
      <c r="Y11" s="1">
        <f ca="1">IFERROR(INDEX(INDIRECT("Table3[Column"&amp;Y$9&amp;"]"),MATCH($L11,Table3[[Company name]:[Company name]],0)),0)</f>
        <v>42300</v>
      </c>
      <c r="Z11" s="1">
        <f ca="1">IFERROR(INDEX(INDIRECT("Table3[Column"&amp;Z$9&amp;"]"),MATCH($L11,Table3[[Company name]:[Company name]],0)),0)</f>
        <v>18900</v>
      </c>
      <c r="AA11" s="1">
        <f ca="1">IFERROR(INDEX(INDIRECT("Table3[Column"&amp;AA$9&amp;"]"),MATCH($L11,Table3[[Company name]:[Company name]],0)),0)</f>
        <v>21600</v>
      </c>
      <c r="AB11" s="1">
        <f ca="1">IFERROR(INDEX(INDIRECT("Table3[Column"&amp;AB$9&amp;"]"),MATCH($L11,Table3[[Company name]:[Company name]],0)),0)</f>
        <v>0</v>
      </c>
      <c r="AC11" s="1">
        <f ca="1">IFERROR(INDEX(INDIRECT("Table3[Column"&amp;AC$9&amp;"]"),MATCH($L11,Table3[[Company name]:[Company name]],0)),0)</f>
        <v>31500</v>
      </c>
      <c r="AD11" s="1">
        <f ca="1">IFERROR(INDEX(INDIRECT("Table3[Column"&amp;AD$9&amp;"]"),MATCH($L11,Table3[[Company name]:[Company name]],0)),0)</f>
        <v>0</v>
      </c>
      <c r="AE11" s="1">
        <f ca="1">IFERROR(INDEX(INDIRECT("Table3[Column"&amp;AE$9&amp;"]"),MATCH($L11,Table3[[Company name]:[Company name]],0)),0)</f>
        <v>0</v>
      </c>
      <c r="AF11" s="1">
        <f ca="1">IFERROR(INDEX(INDIRECT("Table3[Column"&amp;AF$9&amp;"]"),MATCH($L11,Table3[[Company name]:[Company name]],0)),0)</f>
        <v>0</v>
      </c>
      <c r="AG11" s="1">
        <f ca="1">IFERROR(INDEX(INDIRECT("Table3[Column"&amp;AG$9&amp;"]"),MATCH($L11,Table3[[Company name]:[Company name]],0)),0)</f>
        <v>0</v>
      </c>
      <c r="AH11" s="1">
        <f ca="1">IFERROR(INDEX(INDIRECT("Table3[Column"&amp;AH$9&amp;"]"),MATCH($L11,Table3[[Company name]:[Company name]],0)),0)</f>
        <v>0</v>
      </c>
      <c r="AI11" s="1">
        <f ca="1">SUM(R11:AH11)</f>
        <v>154800</v>
      </c>
      <c r="AK11" s="1">
        <f>IF(COUNTIFS($J$7:$J$510,Table7[[#Headers],[Industry Essentials]],$C$7:$C$510,$L11)&gt;0,0,MROUND(R11,100))</f>
        <v>0</v>
      </c>
      <c r="AL11" s="1">
        <f ca="1">IF(COUNTIFS($J$7:$J$510,Table7[[#Headers],[Energy Supply Market Intelligence]],$C$7:$C$510,$L11)&gt;0,0,MROUND(IFERROR(S11*($P11/$AI11),0),100))</f>
        <v>0</v>
      </c>
      <c r="AM11" s="1">
        <f ca="1">IF(COUNTIFS($J$7:$J$510,Table7[[#Headers],[Energy Supply RTM Analysis]],$C$7:$C$510,$L11)&gt;0,0,MROUND(IFERROR(T11*($P11/$AI11),0),100))</f>
        <v>0</v>
      </c>
      <c r="AN11" s="1">
        <f ca="1">IF(COUNTIFS($J$7:$J$510,Table7[[#Headers],[Energy Supply Forecasts]],$C$7:$C$510,$L11)&gt;0,0,MROUND(IFERROR(U11*($P11/$AI11),0),100))</f>
        <v>0</v>
      </c>
      <c r="AO11" s="1">
        <f ca="1">IF(COUNTIFS($J$7:$J$510,Table7[[#Headers],[Energy Supply Regulation]],$C$7:$C$510,$L11)&gt;0,0,MROUND(IFERROR(V11*($P11/$AI11),0),100))</f>
        <v>0</v>
      </c>
      <c r="AP11" s="1">
        <f ca="1">IF(COUNTIFS($J$7:$J$510,Table7[[#Headers],[Renewables Market Intelligence]],$C$7:$C$510,$L11)&gt;0,0,MROUND(IFERROR(W11*($P11/$AI11),0),100))</f>
        <v>4400</v>
      </c>
      <c r="AQ11" s="1">
        <f ca="1">IF(COUNTIFS($J$7:$J$510,Table7[[#Headers],[Renewables RTM Analysis]],$C$7:$C$510,$L11)&gt;0,0,MROUND(IFERROR(X11*($P11/$AI11),0),100))</f>
        <v>3900</v>
      </c>
      <c r="AR11" s="1">
        <f>IF(COUNTIFS($J$7:$J$510,Table7[[#Headers],[Renewables Forecasts]],$C$7:$C$510,$L11)&gt;0,0,MROUND(IFERROR(Y11*($P11/$AI11),0),100))</f>
        <v>0</v>
      </c>
      <c r="AS11" s="1">
        <f ca="1">IF(COUNTIFS($J$7:$J$510,Table7[[#Headers],[Renewables Regulation]],$C$7:$C$510,$L11)&gt;0,0,MROUND(IFERROR(Z11*($P11/$AI11),0),100))</f>
        <v>4800</v>
      </c>
      <c r="AT11" s="1">
        <f ca="1">IF(COUNTIFS($J$7:$J$510,Table7[[#Headers],[Flexibility Market Intelligence]],$C$7:$C$510,$L11)&gt;0,0,MROUND(IFERROR(AA11*($P11/$AI11),0),100))</f>
        <v>5500</v>
      </c>
      <c r="AU11" s="1">
        <f ca="1">IF(COUNTIFS($J$7:$J$510,Table7[[#Headers],[Flexibility RTM Analysis]],$C$7:$C$510,$L11)&gt;0,0,MROUND(IFERROR(AB11*($P11/$AI11),0),100))</f>
        <v>0</v>
      </c>
      <c r="AV11" s="1">
        <f ca="1">IF(COUNTIFS($J$7:$J$510,Table7[[#Headers],[Flexibility Forecasts]],$C$7:$C$510,$L11)&gt;0,0,MROUND(IFERROR(AC11*($P11/$AI11),0),100))</f>
        <v>8000</v>
      </c>
      <c r="AW11" s="1">
        <f ca="1">IF(COUNTIFS($J$7:$J$510,Table7[[#Headers],[Flexibility Regulation]],$C$7:$C$510,$L11)&gt;0,0,MROUND(IFERROR(AD11*($P11/$AI11),0),100))</f>
        <v>0</v>
      </c>
      <c r="AX11" s="1">
        <f ca="1">IF(COUNTIFS($J$7:$J$510,Table7[[#Headers],[Business Energy Essentials]],$C$7:$C$510,$L11)&gt;0,0,MROUND(IFERROR(AE11*($P11/$AI11),0),100))</f>
        <v>0</v>
      </c>
      <c r="AY11" s="1">
        <f ca="1">IF(COUNTIFS($J$7:$J$510,Table7[[#Headers],[Energy User RTM Analysis]],$C$7:$C$510,$L11)&gt;0,0,MROUND(IFERROR(AF11*($P11/$AI11),0),100))</f>
        <v>0</v>
      </c>
      <c r="AZ11" s="1">
        <f ca="1">IF(COUNTIFS($J$7:$J$510,Table7[[#Headers],[Energy User Forecasts]],$C$7:$C$510,$L11)&gt;0,0,MROUND(IFERROR(AG11*($P11/$AI11),0),100))</f>
        <v>0</v>
      </c>
      <c r="BA11" s="1">
        <f ca="1">IF(COUNTIFS($J$7:$J$510,Table7[[#Headers],[Energy User Regulation]],$C$7:$C$510,$L11)&gt;0,0,MROUND(IFERROR(AH11*($P11/$AI11),0),100))</f>
        <v>0</v>
      </c>
    </row>
    <row r="12" spans="2:53">
      <c r="B12" s="38" t="s">
        <v>2043</v>
      </c>
      <c r="C12" s="38" t="s">
        <v>819</v>
      </c>
      <c r="D12" s="38" t="s">
        <v>2044</v>
      </c>
      <c r="E12" s="38" t="s">
        <v>1912</v>
      </c>
      <c r="F12" s="63">
        <v>15050</v>
      </c>
      <c r="G12" s="38"/>
      <c r="H12" s="38" t="s">
        <v>2031</v>
      </c>
      <c r="I12" s="38" t="s">
        <v>2031</v>
      </c>
      <c r="J12" s="38" t="s">
        <v>24</v>
      </c>
      <c r="L12" s="1" t="str">
        <v>Action Renewables Energy Trading Limited</v>
      </c>
      <c r="M12" s="1" t="str">
        <f t="shared" ref="M12:M75" si="2">INDEX($H$7:$H$510,MATCH(L12,$C$7:$C$510))</f>
        <v>Renewables</v>
      </c>
      <c r="N12" s="109">
        <f t="shared" ref="N12:N75" si="3">SUMIF(C8:C511,L12,F8:F511)</f>
        <v>6055</v>
      </c>
      <c r="O12" s="1">
        <f>IFERROR(IF(INDEX(Table3[[Total Spend]:[Total Spend]],MATCH(L12,Table3[[Company name]:[Company name]],0))&gt;N12,INDEX(Table3[[Total Spend]:[Total Spend]],MATCH(L12,Table3[[Company name]:[Company name]])),N12),50000)</f>
        <v>50000</v>
      </c>
      <c r="P12" s="109">
        <f t="shared" ref="P12:P75" si="4">IF(O12&gt;N12,O12-N12,N12)</f>
        <v>43945</v>
      </c>
      <c r="Q12" s="103">
        <f t="shared" ref="Q12:Q75" si="5">IF(IFERROR(N12/O12,0)&gt;1,1,IFERROR(N12/O12,0))</f>
        <v>0.1211</v>
      </c>
      <c r="R12" s="1">
        <f ca="1">IFERROR(INDEX(INDIRECT("Table3[Column"&amp;R$9&amp;"]"),MATCH($L12,Table3[[Company name]:[Company name]],0)),0)</f>
        <v>8100</v>
      </c>
      <c r="S12" s="1">
        <f ca="1">IFERROR(INDEX(INDIRECT("Table3[Column"&amp;S$9&amp;"]"),MATCH($L12,Table3[[Company name]:[Company name]],0)),0)</f>
        <v>30600</v>
      </c>
      <c r="T12" s="1">
        <f ca="1">IFERROR(INDEX(INDIRECT("Table3[Column"&amp;T$9&amp;"]"),MATCH($L12,Table3[[Company name]:[Company name]],0)),0)</f>
        <v>53100</v>
      </c>
      <c r="U12" s="1">
        <f ca="1">IFERROR(INDEX(INDIRECT("Table3[Column"&amp;U$9&amp;"]"),MATCH($L12,Table3[[Company name]:[Company name]],0)),0)</f>
        <v>34200</v>
      </c>
      <c r="V12" s="1">
        <f ca="1">IFERROR(INDEX(INDIRECT("Table3[Column"&amp;V$9&amp;"]"),MATCH($L12,Table3[[Company name]:[Company name]],0)),0)</f>
        <v>0</v>
      </c>
      <c r="W12" s="1">
        <f ca="1">IFERROR(INDEX(INDIRECT("Table3[Column"&amp;W$9&amp;"]"),MATCH($L12,Table3[[Company name]:[Company name]],0)),0)</f>
        <v>0</v>
      </c>
      <c r="X12" s="1">
        <f ca="1">IFERROR(INDEX(INDIRECT("Table3[Column"&amp;X$9&amp;"]"),MATCH($L12,Table3[[Company name]:[Company name]],0)),0)</f>
        <v>0</v>
      </c>
      <c r="Y12" s="1">
        <f ca="1">IFERROR(INDEX(INDIRECT("Table3[Column"&amp;Y$9&amp;"]"),MATCH($L12,Table3[[Company name]:[Company name]],0)),0)</f>
        <v>0</v>
      </c>
      <c r="Z12" s="1">
        <f ca="1">IFERROR(INDEX(INDIRECT("Table3[Column"&amp;Z$9&amp;"]"),MATCH($L12,Table3[[Company name]:[Company name]],0)),0)</f>
        <v>0</v>
      </c>
      <c r="AA12" s="1">
        <f ca="1">IFERROR(INDEX(INDIRECT("Table3[Column"&amp;AA$9&amp;"]"),MATCH($L12,Table3[[Company name]:[Company name]],0)),0)</f>
        <v>0</v>
      </c>
      <c r="AB12" s="1">
        <f ca="1">IFERROR(INDEX(INDIRECT("Table3[Column"&amp;AB$9&amp;"]"),MATCH($L12,Table3[[Company name]:[Company name]],0)),0)</f>
        <v>0</v>
      </c>
      <c r="AC12" s="1">
        <f ca="1">IFERROR(INDEX(INDIRECT("Table3[Column"&amp;AC$9&amp;"]"),MATCH($L12,Table3[[Company name]:[Company name]],0)),0)</f>
        <v>0</v>
      </c>
      <c r="AD12" s="1">
        <f ca="1">IFERROR(INDEX(INDIRECT("Table3[Column"&amp;AD$9&amp;"]"),MATCH($L12,Table3[[Company name]:[Company name]],0)),0)</f>
        <v>0</v>
      </c>
      <c r="AE12" s="1">
        <f ca="1">IFERROR(INDEX(INDIRECT("Table3[Column"&amp;AE$9&amp;"]"),MATCH($L12,Table3[[Company name]:[Company name]],0)),0)</f>
        <v>0</v>
      </c>
      <c r="AF12" s="1">
        <f ca="1">IFERROR(INDEX(INDIRECT("Table3[Column"&amp;AF$9&amp;"]"),MATCH($L12,Table3[[Company name]:[Company name]],0)),0)</f>
        <v>11250</v>
      </c>
      <c r="AG12" s="1">
        <f ca="1">IFERROR(INDEX(INDIRECT("Table3[Column"&amp;AG$9&amp;"]"),MATCH($L12,Table3[[Company name]:[Company name]],0)),0)</f>
        <v>0</v>
      </c>
      <c r="AH12" s="1">
        <f ca="1">IFERROR(INDEX(INDIRECT("Table3[Column"&amp;AH$9&amp;"]"),MATCH($L12,Table3[[Company name]:[Company name]],0)),0)</f>
        <v>0</v>
      </c>
      <c r="AI12" s="1">
        <f t="shared" ref="AI12:AI75" ca="1" si="6">SUM(R12:AH12)</f>
        <v>137250</v>
      </c>
      <c r="AK12" s="1">
        <f ca="1">IF(COUNTIFS($J$7:$J$510,Table7[[#Headers],[Industry Essentials]],$C$7:$C$510,$L12)&gt;0,0,MROUND(R12,100))</f>
        <v>8100</v>
      </c>
      <c r="AL12" s="1">
        <f ca="1">IF(COUNTIFS($J$7:$J$510,Table7[[#Headers],[Energy Supply Market Intelligence]],$C$7:$C$510,$L12)&gt;0,0,MROUND(IFERROR(S12*($P12/$AI12),0),100))</f>
        <v>9800</v>
      </c>
      <c r="AM12" s="1">
        <f ca="1">IF(COUNTIFS($J$7:$J$510,Table7[[#Headers],[Energy Supply RTM Analysis]],$C$7:$C$510,$L12)&gt;0,0,MROUND(IFERROR(T12*($P12/$AI12),0),100))</f>
        <v>17000</v>
      </c>
      <c r="AN12" s="1">
        <f ca="1">IF(COUNTIFS($J$7:$J$510,Table7[[#Headers],[Energy Supply Forecasts]],$C$7:$C$510,$L12)&gt;0,0,MROUND(IFERROR(U12*($P12/$AI12),0),100))</f>
        <v>11000</v>
      </c>
      <c r="AO12" s="1">
        <f ca="1">IF(COUNTIFS($J$7:$J$510,Table7[[#Headers],[Energy Supply Regulation]],$C$7:$C$510,$L12)&gt;0,0,MROUND(IFERROR(V12*($P12/$AI12),0),100))</f>
        <v>0</v>
      </c>
      <c r="AP12" s="1">
        <f ca="1">IF(COUNTIFS($J$7:$J$510,Table7[[#Headers],[Renewables Market Intelligence]],$C$7:$C$510,$L12)&gt;0,0,MROUND(IFERROR(W12*($P12/$AI12),0),100))</f>
        <v>0</v>
      </c>
      <c r="AQ12" s="1">
        <f ca="1">IF(COUNTIFS($J$7:$J$510,Table7[[#Headers],[Renewables RTM Analysis]],$C$7:$C$510,$L12)&gt;0,0,MROUND(IFERROR(X12*($P12/$AI12),0),100))</f>
        <v>0</v>
      </c>
      <c r="AR12" s="1">
        <f>IF(COUNTIFS($J$7:$J$510,Table7[[#Headers],[Renewables Forecasts]],$C$7:$C$510,$L12)&gt;0,0,MROUND(IFERROR(Y12*($P12/$AI12),0),100))</f>
        <v>0</v>
      </c>
      <c r="AS12" s="1">
        <f ca="1">IF(COUNTIFS($J$7:$J$510,Table7[[#Headers],[Renewables Regulation]],$C$7:$C$510,$L12)&gt;0,0,MROUND(IFERROR(Z12*($P12/$AI12),0),100))</f>
        <v>0</v>
      </c>
      <c r="AT12" s="1">
        <f ca="1">IF(COUNTIFS($J$7:$J$510,Table7[[#Headers],[Flexibility Market Intelligence]],$C$7:$C$510,$L12)&gt;0,0,MROUND(IFERROR(AA12*($P12/$AI12),0),100))</f>
        <v>0</v>
      </c>
      <c r="AU12" s="1">
        <f ca="1">IF(COUNTIFS($J$7:$J$510,Table7[[#Headers],[Flexibility RTM Analysis]],$C$7:$C$510,$L12)&gt;0,0,MROUND(IFERROR(AB12*($P12/$AI12),0),100))</f>
        <v>0</v>
      </c>
      <c r="AV12" s="1">
        <f ca="1">IF(COUNTIFS($J$7:$J$510,Table7[[#Headers],[Flexibility Forecasts]],$C$7:$C$510,$L12)&gt;0,0,MROUND(IFERROR(AC12*($P12/$AI12),0),100))</f>
        <v>0</v>
      </c>
      <c r="AW12" s="1">
        <f ca="1">IF(COUNTIFS($J$7:$J$510,Table7[[#Headers],[Flexibility Regulation]],$C$7:$C$510,$L12)&gt;0,0,MROUND(IFERROR(AD12*($P12/$AI12),0),100))</f>
        <v>0</v>
      </c>
      <c r="AX12" s="1">
        <f ca="1">IF(COUNTIFS($J$7:$J$510,Table7[[#Headers],[Business Energy Essentials]],$C$7:$C$510,$L12)&gt;0,0,MROUND(IFERROR(AE12*($P12/$AI12),0),100))</f>
        <v>0</v>
      </c>
      <c r="AY12" s="1">
        <f ca="1">IF(COUNTIFS($J$7:$J$510,Table7[[#Headers],[Energy User RTM Analysis]],$C$7:$C$510,$L12)&gt;0,0,MROUND(IFERROR(AF12*($P12/$AI12),0),100))</f>
        <v>3600</v>
      </c>
      <c r="AZ12" s="1">
        <f ca="1">IF(COUNTIFS($J$7:$J$510,Table7[[#Headers],[Energy User Forecasts]],$C$7:$C$510,$L12)&gt;0,0,MROUND(IFERROR(AG12*($P12/$AI12),0),100))</f>
        <v>0</v>
      </c>
      <c r="BA12" s="1">
        <f ca="1">IF(COUNTIFS($J$7:$J$510,Table7[[#Headers],[Energy User Regulation]],$C$7:$C$510,$L12)&gt;0,0,MROUND(IFERROR(AH12*($P12/$AI12),0),100))</f>
        <v>0</v>
      </c>
    </row>
    <row r="13" spans="2:53">
      <c r="B13" s="38" t="s">
        <v>2045</v>
      </c>
      <c r="C13" s="38" t="s">
        <v>820</v>
      </c>
      <c r="D13" s="38" t="s">
        <v>2040</v>
      </c>
      <c r="E13" s="38" t="s">
        <v>1799</v>
      </c>
      <c r="F13" s="63">
        <v>3750</v>
      </c>
      <c r="G13" s="38"/>
      <c r="H13" s="38" t="s">
        <v>2031</v>
      </c>
      <c r="I13" s="38" t="s">
        <v>2032</v>
      </c>
      <c r="J13" s="38" t="s">
        <v>20</v>
      </c>
      <c r="L13" s="1" t="str">
        <v>Aggreko Ltd</v>
      </c>
      <c r="M13" s="1" t="str">
        <f t="shared" si="2"/>
        <v>Renewables</v>
      </c>
      <c r="N13" s="109">
        <f t="shared" si="3"/>
        <v>9000</v>
      </c>
      <c r="O13" s="1">
        <f>IFERROR(IF(INDEX(Table3[[Total Spend]:[Total Spend]],MATCH(L13,Table3[[Company name]:[Company name]],0))&gt;N13,INDEX(Table3[[Total Spend]:[Total Spend]],MATCH(L13,Table3[[Company name]:[Company name]])),N13),50000)</f>
        <v>50000</v>
      </c>
      <c r="P13" s="109">
        <f t="shared" si="4"/>
        <v>41000</v>
      </c>
      <c r="Q13" s="103">
        <f t="shared" si="5"/>
        <v>0.18</v>
      </c>
      <c r="R13" s="1">
        <f ca="1">IFERROR(INDEX(INDIRECT("Table3[Column"&amp;R$9&amp;"]"),MATCH($L13,Table3[[Company name]:[Company name]],0)),0)</f>
        <v>10800</v>
      </c>
      <c r="S13" s="1">
        <f ca="1">IFERROR(INDEX(INDIRECT("Table3[Column"&amp;S$9&amp;"]"),MATCH($L13,Table3[[Company name]:[Company name]],0)),0)</f>
        <v>0</v>
      </c>
      <c r="T13" s="1">
        <f ca="1">IFERROR(INDEX(INDIRECT("Table3[Column"&amp;T$9&amp;"]"),MATCH($L13,Table3[[Company name]:[Company name]],0)),0)</f>
        <v>0</v>
      </c>
      <c r="U13" s="1">
        <f ca="1">IFERROR(INDEX(INDIRECT("Table3[Column"&amp;U$9&amp;"]"),MATCH($L13,Table3[[Company name]:[Company name]],0)),0)</f>
        <v>0</v>
      </c>
      <c r="V13" s="1">
        <f ca="1">IFERROR(INDEX(INDIRECT("Table3[Column"&amp;V$9&amp;"]"),MATCH($L13,Table3[[Company name]:[Company name]],0)),0)</f>
        <v>0</v>
      </c>
      <c r="W13" s="1">
        <f ca="1">IFERROR(INDEX(INDIRECT("Table3[Column"&amp;W$9&amp;"]"),MATCH($L13,Table3[[Company name]:[Company name]],0)),0)</f>
        <v>23400</v>
      </c>
      <c r="X13" s="1">
        <f ca="1">IFERROR(INDEX(INDIRECT("Table3[Column"&amp;X$9&amp;"]"),MATCH($L13,Table3[[Company name]:[Company name]],0)),0)</f>
        <v>20700</v>
      </c>
      <c r="Y13" s="1">
        <f ca="1">IFERROR(INDEX(INDIRECT("Table3[Column"&amp;Y$9&amp;"]"),MATCH($L13,Table3[[Company name]:[Company name]],0)),0)</f>
        <v>59400</v>
      </c>
      <c r="Z13" s="1">
        <f ca="1">IFERROR(INDEX(INDIRECT("Table3[Column"&amp;Z$9&amp;"]"),MATCH($L13,Table3[[Company name]:[Company name]],0)),0)</f>
        <v>26100</v>
      </c>
      <c r="AA13" s="1">
        <f ca="1">IFERROR(INDEX(INDIRECT("Table3[Column"&amp;AA$9&amp;"]"),MATCH($L13,Table3[[Company name]:[Company name]],0)),0)</f>
        <v>29700</v>
      </c>
      <c r="AB13" s="1">
        <f ca="1">IFERROR(INDEX(INDIRECT("Table3[Column"&amp;AB$9&amp;"]"),MATCH($L13,Table3[[Company name]:[Company name]],0)),0)</f>
        <v>10800</v>
      </c>
      <c r="AC13" s="1">
        <f ca="1">IFERROR(INDEX(INDIRECT("Table3[Column"&amp;AC$9&amp;"]"),MATCH($L13,Table3[[Company name]:[Company name]],0)),0)</f>
        <v>44100</v>
      </c>
      <c r="AD13" s="1">
        <f ca="1">IFERROR(INDEX(INDIRECT("Table3[Column"&amp;AD$9&amp;"]"),MATCH($L13,Table3[[Company name]:[Company name]],0)),0)</f>
        <v>36000</v>
      </c>
      <c r="AE13" s="1">
        <f ca="1">IFERROR(INDEX(INDIRECT("Table3[Column"&amp;AE$9&amp;"]"),MATCH($L13,Table3[[Company name]:[Company name]],0)),0)</f>
        <v>15300</v>
      </c>
      <c r="AF13" s="1">
        <f ca="1">IFERROR(INDEX(INDIRECT("Table3[Column"&amp;AF$9&amp;"]"),MATCH($L13,Table3[[Company name]:[Company name]],0)),0)</f>
        <v>15750</v>
      </c>
      <c r="AG13" s="1">
        <f ca="1">IFERROR(INDEX(INDIRECT("Table3[Column"&amp;AG$9&amp;"]"),MATCH($L13,Table3[[Company name]:[Company name]],0)),0)</f>
        <v>27000</v>
      </c>
      <c r="AH13" s="1">
        <f ca="1">IFERROR(INDEX(INDIRECT("Table3[Column"&amp;AH$9&amp;"]"),MATCH($L13,Table3[[Company name]:[Company name]],0)),0)</f>
        <v>6300</v>
      </c>
      <c r="AI13" s="1">
        <f t="shared" ca="1" si="6"/>
        <v>325350</v>
      </c>
      <c r="AK13" s="1">
        <f>IF(COUNTIFS($J$7:$J$510,Table7[[#Headers],[Industry Essentials]],$C$7:$C$510,$L13)&gt;0,0,MROUND(R13,100))</f>
        <v>0</v>
      </c>
      <c r="AL13" s="1">
        <f ca="1">IF(COUNTIFS($J$7:$J$510,Table7[[#Headers],[Energy Supply Market Intelligence]],$C$7:$C$510,$L13)&gt;0,0,MROUND(IFERROR(S13*($P13/$AI13),0),100))</f>
        <v>0</v>
      </c>
      <c r="AM13" s="1">
        <f ca="1">IF(COUNTIFS($J$7:$J$510,Table7[[#Headers],[Energy Supply RTM Analysis]],$C$7:$C$510,$L13)&gt;0,0,MROUND(IFERROR(T13*($P13/$AI13),0),100))</f>
        <v>0</v>
      </c>
      <c r="AN13" s="1">
        <f ca="1">IF(COUNTIFS($J$7:$J$510,Table7[[#Headers],[Energy Supply Forecasts]],$C$7:$C$510,$L13)&gt;0,0,MROUND(IFERROR(U13*($P13/$AI13),0),100))</f>
        <v>0</v>
      </c>
      <c r="AO13" s="1">
        <f ca="1">IF(COUNTIFS($J$7:$J$510,Table7[[#Headers],[Energy Supply Regulation]],$C$7:$C$510,$L13)&gt;0,0,MROUND(IFERROR(V13*($P13/$AI13),0),100))</f>
        <v>0</v>
      </c>
      <c r="AP13" s="1">
        <f ca="1">IF(COUNTIFS($J$7:$J$510,Table7[[#Headers],[Renewables Market Intelligence]],$C$7:$C$510,$L13)&gt;0,0,MROUND(IFERROR(W13*($P13/$AI13),0),100))</f>
        <v>2900</v>
      </c>
      <c r="AQ13" s="1">
        <f ca="1">IF(COUNTIFS($J$7:$J$510,Table7[[#Headers],[Renewables RTM Analysis]],$C$7:$C$510,$L13)&gt;0,0,MROUND(IFERROR(X13*($P13/$AI13),0),100))</f>
        <v>2600</v>
      </c>
      <c r="AR13" s="1">
        <f ca="1">IF(COUNTIFS($J$7:$J$510,Table7[[#Headers],[Renewables Forecasts]],$C$7:$C$510,$L13)&gt;0,0,MROUND(IFERROR(Y13*($P13/$AI13),0),100))</f>
        <v>7500</v>
      </c>
      <c r="AS13" s="1">
        <f ca="1">IF(COUNTIFS($J$7:$J$510,Table7[[#Headers],[Renewables Regulation]],$C$7:$C$510,$L13)&gt;0,0,MROUND(IFERROR(Z13*($P13/$AI13),0),100))</f>
        <v>3300</v>
      </c>
      <c r="AT13" s="1">
        <f ca="1">IF(COUNTIFS($J$7:$J$510,Table7[[#Headers],[Flexibility Market Intelligence]],$C$7:$C$510,$L13)&gt;0,0,MROUND(IFERROR(AA13*($P13/$AI13),0),100))</f>
        <v>3700</v>
      </c>
      <c r="AU13" s="1">
        <f ca="1">IF(COUNTIFS($J$7:$J$510,Table7[[#Headers],[Flexibility RTM Analysis]],$C$7:$C$510,$L13)&gt;0,0,MROUND(IFERROR(AB13*($P13/$AI13),0),100))</f>
        <v>1400</v>
      </c>
      <c r="AV13" s="1">
        <f ca="1">IF(COUNTIFS($J$7:$J$510,Table7[[#Headers],[Flexibility Forecasts]],$C$7:$C$510,$L13)&gt;0,0,MROUND(IFERROR(AC13*($P13/$AI13),0),100))</f>
        <v>5600</v>
      </c>
      <c r="AW13" s="1">
        <f ca="1">IF(COUNTIFS($J$7:$J$510,Table7[[#Headers],[Flexibility Regulation]],$C$7:$C$510,$L13)&gt;0,0,MROUND(IFERROR(AD13*($P13/$AI13),0),100))</f>
        <v>4500</v>
      </c>
      <c r="AX13" s="1">
        <f ca="1">IF(COUNTIFS($J$7:$J$510,Table7[[#Headers],[Business Energy Essentials]],$C$7:$C$510,$L13)&gt;0,0,MROUND(IFERROR(AE13*($P13/$AI13),0),100))</f>
        <v>1900</v>
      </c>
      <c r="AY13" s="1">
        <f ca="1">IF(COUNTIFS($J$7:$J$510,Table7[[#Headers],[Energy User RTM Analysis]],$C$7:$C$510,$L13)&gt;0,0,MROUND(IFERROR(AF13*($P13/$AI13),0),100))</f>
        <v>2000</v>
      </c>
      <c r="AZ13" s="1">
        <f ca="1">IF(COUNTIFS($J$7:$J$510,Table7[[#Headers],[Energy User Forecasts]],$C$7:$C$510,$L13)&gt;0,0,MROUND(IFERROR(AG13*($P13/$AI13),0),100))</f>
        <v>3400</v>
      </c>
      <c r="BA13" s="1">
        <f ca="1">IF(COUNTIFS($J$7:$J$510,Table7[[#Headers],[Energy User Regulation]],$C$7:$C$510,$L13)&gt;0,0,MROUND(IFERROR(AH13*($P13/$AI13),0),100))</f>
        <v>800</v>
      </c>
    </row>
    <row r="14" spans="2:53">
      <c r="B14" s="38" t="s">
        <v>2046</v>
      </c>
      <c r="C14" s="38" t="s">
        <v>639</v>
      </c>
      <c r="D14" s="38" t="s">
        <v>2040</v>
      </c>
      <c r="E14" s="38" t="s">
        <v>1799</v>
      </c>
      <c r="F14" s="63">
        <v>8100</v>
      </c>
      <c r="G14" s="38"/>
      <c r="H14" s="38" t="s">
        <v>1703</v>
      </c>
      <c r="I14" s="38" t="s">
        <v>2032</v>
      </c>
      <c r="J14" s="38" t="s">
        <v>20</v>
      </c>
      <c r="L14" s="1" t="str">
        <v>Alpha Real Capital LLP</v>
      </c>
      <c r="M14" s="1" t="str">
        <f t="shared" si="2"/>
        <v>Renewables</v>
      </c>
      <c r="N14" s="109">
        <f t="shared" si="3"/>
        <v>6500</v>
      </c>
      <c r="O14" s="1">
        <f>IFERROR(IF(INDEX(Table3[[Total Spend]:[Total Spend]],MATCH(L14,Table3[[Company name]:[Company name]],0))&gt;N14,INDEX(Table3[[Total Spend]:[Total Spend]],MATCH(L14,Table3[[Company name]:[Company name]])),N14),50000)</f>
        <v>50000</v>
      </c>
      <c r="P14" s="109">
        <f t="shared" si="4"/>
        <v>43500</v>
      </c>
      <c r="Q14" s="103">
        <f t="shared" si="5"/>
        <v>0.13</v>
      </c>
      <c r="R14" s="1">
        <f ca="1">IFERROR(INDEX(INDIRECT("Table3[Column"&amp;R$9&amp;"]"),MATCH($L14,Table3[[Company name]:[Company name]],0)),0)</f>
        <v>8100</v>
      </c>
      <c r="S14" s="1">
        <f ca="1">IFERROR(INDEX(INDIRECT("Table3[Column"&amp;S$9&amp;"]"),MATCH($L14,Table3[[Company name]:[Company name]],0)),0)</f>
        <v>0</v>
      </c>
      <c r="T14" s="1">
        <f ca="1">IFERROR(INDEX(INDIRECT("Table3[Column"&amp;T$9&amp;"]"),MATCH($L14,Table3[[Company name]:[Company name]],0)),0)</f>
        <v>0</v>
      </c>
      <c r="U14" s="1">
        <f ca="1">IFERROR(INDEX(INDIRECT("Table3[Column"&amp;U$9&amp;"]"),MATCH($L14,Table3[[Company name]:[Company name]],0)),0)</f>
        <v>0</v>
      </c>
      <c r="V14" s="1">
        <f ca="1">IFERROR(INDEX(INDIRECT("Table3[Column"&amp;V$9&amp;"]"),MATCH($L14,Table3[[Company name]:[Company name]],0)),0)</f>
        <v>0</v>
      </c>
      <c r="W14" s="1">
        <f ca="1">IFERROR(INDEX(INDIRECT("Table3[Column"&amp;W$9&amp;"]"),MATCH($L14,Table3[[Company name]:[Company name]],0)),0)</f>
        <v>17100</v>
      </c>
      <c r="X14" s="1">
        <f ca="1">IFERROR(INDEX(INDIRECT("Table3[Column"&amp;X$9&amp;"]"),MATCH($L14,Table3[[Company name]:[Company name]],0)),0)</f>
        <v>15300</v>
      </c>
      <c r="Y14" s="1">
        <f ca="1">IFERROR(INDEX(INDIRECT("Table3[Column"&amp;Y$9&amp;"]"),MATCH($L14,Table3[[Company name]:[Company name]],0)),0)</f>
        <v>42300</v>
      </c>
      <c r="Z14" s="1">
        <f ca="1">IFERROR(INDEX(INDIRECT("Table3[Column"&amp;Z$9&amp;"]"),MATCH($L14,Table3[[Company name]:[Company name]],0)),0)</f>
        <v>18900</v>
      </c>
      <c r="AA14" s="1">
        <f ca="1">IFERROR(INDEX(INDIRECT("Table3[Column"&amp;AA$9&amp;"]"),MATCH($L14,Table3[[Company name]:[Company name]],0)),0)</f>
        <v>21600</v>
      </c>
      <c r="AB14" s="1">
        <f ca="1">IFERROR(INDEX(INDIRECT("Table3[Column"&amp;AB$9&amp;"]"),MATCH($L14,Table3[[Company name]:[Company name]],0)),0)</f>
        <v>7650</v>
      </c>
      <c r="AC14" s="1">
        <f ca="1">IFERROR(INDEX(INDIRECT("Table3[Column"&amp;AC$9&amp;"]"),MATCH($L14,Table3[[Company name]:[Company name]],0)),0)</f>
        <v>31500</v>
      </c>
      <c r="AD14" s="1">
        <f ca="1">IFERROR(INDEX(INDIRECT("Table3[Column"&amp;AD$9&amp;"]"),MATCH($L14,Table3[[Company name]:[Company name]],0)),0)</f>
        <v>25200</v>
      </c>
      <c r="AE14" s="1">
        <f ca="1">IFERROR(INDEX(INDIRECT("Table3[Column"&amp;AE$9&amp;"]"),MATCH($L14,Table3[[Company name]:[Company name]],0)),0)</f>
        <v>0</v>
      </c>
      <c r="AF14" s="1">
        <f ca="1">IFERROR(INDEX(INDIRECT("Table3[Column"&amp;AF$9&amp;"]"),MATCH($L14,Table3[[Company name]:[Company name]],0)),0)</f>
        <v>0</v>
      </c>
      <c r="AG14" s="1">
        <f ca="1">IFERROR(INDEX(INDIRECT("Table3[Column"&amp;AG$9&amp;"]"),MATCH($L14,Table3[[Company name]:[Company name]],0)),0)</f>
        <v>0</v>
      </c>
      <c r="AH14" s="1">
        <f ca="1">IFERROR(INDEX(INDIRECT("Table3[Column"&amp;AH$9&amp;"]"),MATCH($L14,Table3[[Company name]:[Company name]],0)),0)</f>
        <v>0</v>
      </c>
      <c r="AI14" s="1">
        <f t="shared" ca="1" si="6"/>
        <v>187650</v>
      </c>
      <c r="AK14" s="1">
        <f ca="1">IF(COUNTIFS($J$7:$J$510,Table7[[#Headers],[Industry Essentials]],$C$7:$C$510,$L14)&gt;0,0,MROUND(R14,100))</f>
        <v>8100</v>
      </c>
      <c r="AL14" s="1">
        <f ca="1">IF(COUNTIFS($J$7:$J$510,Table7[[#Headers],[Energy Supply Market Intelligence]],$C$7:$C$510,$L14)&gt;0,0,MROUND(IFERROR(S14*($P14/$AI14),0),100))</f>
        <v>0</v>
      </c>
      <c r="AM14" s="1">
        <f ca="1">IF(COUNTIFS($J$7:$J$510,Table7[[#Headers],[Energy Supply RTM Analysis]],$C$7:$C$510,$L14)&gt;0,0,MROUND(IFERROR(T14*($P14/$AI14),0),100))</f>
        <v>0</v>
      </c>
      <c r="AN14" s="1">
        <f ca="1">IF(COUNTIFS($J$7:$J$510,Table7[[#Headers],[Energy Supply Forecasts]],$C$7:$C$510,$L14)&gt;0,0,MROUND(IFERROR(U14*($P14/$AI14),0),100))</f>
        <v>0</v>
      </c>
      <c r="AO14" s="1">
        <f ca="1">IF(COUNTIFS($J$7:$J$510,Table7[[#Headers],[Energy Supply Regulation]],$C$7:$C$510,$L14)&gt;0,0,MROUND(IFERROR(V14*($P14/$AI14),0),100))</f>
        <v>0</v>
      </c>
      <c r="AP14" s="1">
        <f ca="1">IF(COUNTIFS($J$7:$J$510,Table7[[#Headers],[Renewables Market Intelligence]],$C$7:$C$510,$L14)&gt;0,0,MROUND(IFERROR(W14*($P14/$AI14),0),100))</f>
        <v>4000</v>
      </c>
      <c r="AQ14" s="1">
        <f>IF(COUNTIFS($J$7:$J$510,Table7[[#Headers],[Renewables RTM Analysis]],$C$7:$C$510,$L14)&gt;0,0,MROUND(IFERROR(X14*($P14/$AI14),0),100))</f>
        <v>0</v>
      </c>
      <c r="AR14" s="1">
        <f ca="1">IF(COUNTIFS($J$7:$J$510,Table7[[#Headers],[Renewables Forecasts]],$C$7:$C$510,$L14)&gt;0,0,MROUND(IFERROR(Y14*($P14/$AI14),0),100))</f>
        <v>9800</v>
      </c>
      <c r="AS14" s="1">
        <f ca="1">IF(COUNTIFS($J$7:$J$510,Table7[[#Headers],[Renewables Regulation]],$C$7:$C$510,$L14)&gt;0,0,MROUND(IFERROR(Z14*($P14/$AI14),0),100))</f>
        <v>4400</v>
      </c>
      <c r="AT14" s="1">
        <f ca="1">IF(COUNTIFS($J$7:$J$510,Table7[[#Headers],[Flexibility Market Intelligence]],$C$7:$C$510,$L14)&gt;0,0,MROUND(IFERROR(AA14*($P14/$AI14),0),100))</f>
        <v>5000</v>
      </c>
      <c r="AU14" s="1">
        <f ca="1">IF(COUNTIFS($J$7:$J$510,Table7[[#Headers],[Flexibility RTM Analysis]],$C$7:$C$510,$L14)&gt;0,0,MROUND(IFERROR(AB14*($P14/$AI14),0),100))</f>
        <v>1800</v>
      </c>
      <c r="AV14" s="1">
        <f ca="1">IF(COUNTIFS($J$7:$J$510,Table7[[#Headers],[Flexibility Forecasts]],$C$7:$C$510,$L14)&gt;0,0,MROUND(IFERROR(AC14*($P14/$AI14),0),100))</f>
        <v>7300</v>
      </c>
      <c r="AW14" s="1">
        <f ca="1">IF(COUNTIFS($J$7:$J$510,Table7[[#Headers],[Flexibility Regulation]],$C$7:$C$510,$L14)&gt;0,0,MROUND(IFERROR(AD14*($P14/$AI14),0),100))</f>
        <v>5800</v>
      </c>
      <c r="AX14" s="1">
        <f ca="1">IF(COUNTIFS($J$7:$J$510,Table7[[#Headers],[Business Energy Essentials]],$C$7:$C$510,$L14)&gt;0,0,MROUND(IFERROR(AE14*($P14/$AI14),0),100))</f>
        <v>0</v>
      </c>
      <c r="AY14" s="1">
        <f ca="1">IF(COUNTIFS($J$7:$J$510,Table7[[#Headers],[Energy User RTM Analysis]],$C$7:$C$510,$L14)&gt;0,0,MROUND(IFERROR(AF14*($P14/$AI14),0),100))</f>
        <v>0</v>
      </c>
      <c r="AZ14" s="1">
        <f ca="1">IF(COUNTIFS($J$7:$J$510,Table7[[#Headers],[Energy User Forecasts]],$C$7:$C$510,$L14)&gt;0,0,MROUND(IFERROR(AG14*($P14/$AI14),0),100))</f>
        <v>0</v>
      </c>
      <c r="BA14" s="1">
        <f ca="1">IF(COUNTIFS($J$7:$J$510,Table7[[#Headers],[Energy User Regulation]],$C$7:$C$510,$L14)&gt;0,0,MROUND(IFERROR(AH14*($P14/$AI14),0),100))</f>
        <v>0</v>
      </c>
    </row>
    <row r="15" spans="2:53">
      <c r="B15" s="38" t="s">
        <v>2047</v>
      </c>
      <c r="C15" s="38" t="s">
        <v>923</v>
      </c>
      <c r="D15" s="38" t="s">
        <v>2048</v>
      </c>
      <c r="E15" s="38" t="s">
        <v>2049</v>
      </c>
      <c r="F15" s="63">
        <v>3150</v>
      </c>
      <c r="G15" s="38"/>
      <c r="H15" s="38" t="s">
        <v>2031</v>
      </c>
      <c r="I15" s="38" t="s">
        <v>2032</v>
      </c>
      <c r="J15" s="38" t="s">
        <v>20</v>
      </c>
      <c r="L15" s="1" t="str">
        <v>Amber Energy Solutions Ltd</v>
      </c>
      <c r="M15" s="1" t="str">
        <f t="shared" si="2"/>
        <v>Supply</v>
      </c>
      <c r="N15" s="109">
        <f t="shared" si="3"/>
        <v>15050</v>
      </c>
      <c r="O15" s="1">
        <f>IFERROR(IF(INDEX(Table3[[Total Spend]:[Total Spend]],MATCH(L15,Table3[[Company name]:[Company name]],0))&gt;N15,INDEX(Table3[[Total Spend]:[Total Spend]],MATCH(L15,Table3[[Company name]:[Company name]])),N15),50000)</f>
        <v>50000</v>
      </c>
      <c r="P15" s="109">
        <f t="shared" si="4"/>
        <v>34950</v>
      </c>
      <c r="Q15" s="103">
        <f t="shared" si="5"/>
        <v>0.30099999999999999</v>
      </c>
      <c r="R15" s="1">
        <f ca="1">IFERROR(INDEX(INDIRECT("Table3[Column"&amp;R$9&amp;"]"),MATCH($L15,Table3[[Company name]:[Company name]],0)),0)</f>
        <v>10800</v>
      </c>
      <c r="S15" s="1">
        <f ca="1">IFERROR(INDEX(INDIRECT("Table3[Column"&amp;S$9&amp;"]"),MATCH($L15,Table3[[Company name]:[Company name]],0)),0)</f>
        <v>43200</v>
      </c>
      <c r="T15" s="1">
        <f ca="1">IFERROR(INDEX(INDIRECT("Table3[Column"&amp;T$9&amp;"]"),MATCH($L15,Table3[[Company name]:[Company name]],0)),0)</f>
        <v>73800</v>
      </c>
      <c r="U15" s="1">
        <f ca="1">IFERROR(INDEX(INDIRECT("Table3[Column"&amp;U$9&amp;"]"),MATCH($L15,Table3[[Company name]:[Company name]],0)),0)</f>
        <v>48600</v>
      </c>
      <c r="V15" s="1">
        <f ca="1">IFERROR(INDEX(INDIRECT("Table3[Column"&amp;V$9&amp;"]"),MATCH($L15,Table3[[Company name]:[Company name]],0)),0)</f>
        <v>0</v>
      </c>
      <c r="W15" s="1">
        <f ca="1">IFERROR(INDEX(INDIRECT("Table3[Column"&amp;W$9&amp;"]"),MATCH($L15,Table3[[Company name]:[Company name]],0)),0)</f>
        <v>0</v>
      </c>
      <c r="X15" s="1">
        <f ca="1">IFERROR(INDEX(INDIRECT("Table3[Column"&amp;X$9&amp;"]"),MATCH($L15,Table3[[Company name]:[Company name]],0)),0)</f>
        <v>0</v>
      </c>
      <c r="Y15" s="1">
        <f ca="1">IFERROR(INDEX(INDIRECT("Table3[Column"&amp;Y$9&amp;"]"),MATCH($L15,Table3[[Company name]:[Company name]],0)),0)</f>
        <v>0</v>
      </c>
      <c r="Z15" s="1">
        <f ca="1">IFERROR(INDEX(INDIRECT("Table3[Column"&amp;Z$9&amp;"]"),MATCH($L15,Table3[[Company name]:[Company name]],0)),0)</f>
        <v>0</v>
      </c>
      <c r="AA15" s="1">
        <f ca="1">IFERROR(INDEX(INDIRECT("Table3[Column"&amp;AA$9&amp;"]"),MATCH($L15,Table3[[Company name]:[Company name]],0)),0)</f>
        <v>0</v>
      </c>
      <c r="AB15" s="1">
        <f ca="1">IFERROR(INDEX(INDIRECT("Table3[Column"&amp;AB$9&amp;"]"),MATCH($L15,Table3[[Company name]:[Company name]],0)),0)</f>
        <v>0</v>
      </c>
      <c r="AC15" s="1">
        <f ca="1">IFERROR(INDEX(INDIRECT("Table3[Column"&amp;AC$9&amp;"]"),MATCH($L15,Table3[[Company name]:[Company name]],0)),0)</f>
        <v>0</v>
      </c>
      <c r="AD15" s="1">
        <f ca="1">IFERROR(INDEX(INDIRECT("Table3[Column"&amp;AD$9&amp;"]"),MATCH($L15,Table3[[Company name]:[Company name]],0)),0)</f>
        <v>0</v>
      </c>
      <c r="AE15" s="1">
        <f ca="1">IFERROR(INDEX(INDIRECT("Table3[Column"&amp;AE$9&amp;"]"),MATCH($L15,Table3[[Company name]:[Company name]],0)),0)</f>
        <v>0</v>
      </c>
      <c r="AF15" s="1">
        <f ca="1">IFERROR(INDEX(INDIRECT("Table3[Column"&amp;AF$9&amp;"]"),MATCH($L15,Table3[[Company name]:[Company name]],0)),0)</f>
        <v>15750</v>
      </c>
      <c r="AG15" s="1">
        <f ca="1">IFERROR(INDEX(INDIRECT("Table3[Column"&amp;AG$9&amp;"]"),MATCH($L15,Table3[[Company name]:[Company name]],0)),0)</f>
        <v>0</v>
      </c>
      <c r="AH15" s="1">
        <f ca="1">IFERROR(INDEX(INDIRECT("Table3[Column"&amp;AH$9&amp;"]"),MATCH($L15,Table3[[Company name]:[Company name]],0)),0)</f>
        <v>0</v>
      </c>
      <c r="AI15" s="1">
        <f t="shared" ca="1" si="6"/>
        <v>192150</v>
      </c>
      <c r="AK15" s="1">
        <f ca="1">IF(COUNTIFS($J$7:$J$510,Table7[[#Headers],[Industry Essentials]],$C$7:$C$510,$L15)&gt;0,0,MROUND(R15,100))</f>
        <v>10800</v>
      </c>
      <c r="AL15" s="1">
        <f ca="1">IF(COUNTIFS($J$7:$J$510,Table7[[#Headers],[Energy Supply Market Intelligence]],$C$7:$C$510,$L15)&gt;0,0,MROUND(IFERROR(S15*($P15/$AI15),0),100))</f>
        <v>7900</v>
      </c>
      <c r="AM15" s="1">
        <f ca="1">IF(COUNTIFS($J$7:$J$510,Table7[[#Headers],[Energy Supply RTM Analysis]],$C$7:$C$510,$L15)&gt;0,0,MROUND(IFERROR(T15*($P15/$AI15),0),100))</f>
        <v>13400</v>
      </c>
      <c r="AN15" s="1">
        <f ca="1">IF(COUNTIFS($J$7:$J$510,Table7[[#Headers],[Energy Supply Forecasts]],$C$7:$C$510,$L15)&gt;0,0,MROUND(IFERROR(U15*($P15/$AI15),0),100))</f>
        <v>8800</v>
      </c>
      <c r="AO15" s="1">
        <f>IF(COUNTIFS($J$7:$J$510,Table7[[#Headers],[Energy Supply Regulation]],$C$7:$C$510,$L15)&gt;0,0,MROUND(IFERROR(V15*($P15/$AI15),0),100))</f>
        <v>0</v>
      </c>
      <c r="AP15" s="1">
        <f ca="1">IF(COUNTIFS($J$7:$J$510,Table7[[#Headers],[Renewables Market Intelligence]],$C$7:$C$510,$L15)&gt;0,0,MROUND(IFERROR(W15*($P15/$AI15),0),100))</f>
        <v>0</v>
      </c>
      <c r="AQ15" s="1">
        <f ca="1">IF(COUNTIFS($J$7:$J$510,Table7[[#Headers],[Renewables RTM Analysis]],$C$7:$C$510,$L15)&gt;0,0,MROUND(IFERROR(X15*($P15/$AI15),0),100))</f>
        <v>0</v>
      </c>
      <c r="AR15" s="1">
        <f ca="1">IF(COUNTIFS($J$7:$J$510,Table7[[#Headers],[Renewables Forecasts]],$C$7:$C$510,$L15)&gt;0,0,MROUND(IFERROR(Y15*($P15/$AI15),0),100))</f>
        <v>0</v>
      </c>
      <c r="AS15" s="1">
        <f ca="1">IF(COUNTIFS($J$7:$J$510,Table7[[#Headers],[Renewables Regulation]],$C$7:$C$510,$L15)&gt;0,0,MROUND(IFERROR(Z15*($P15/$AI15),0),100))</f>
        <v>0</v>
      </c>
      <c r="AT15" s="1">
        <f ca="1">IF(COUNTIFS($J$7:$J$510,Table7[[#Headers],[Flexibility Market Intelligence]],$C$7:$C$510,$L15)&gt;0,0,MROUND(IFERROR(AA15*($P15/$AI15),0),100))</f>
        <v>0</v>
      </c>
      <c r="AU15" s="1">
        <f ca="1">IF(COUNTIFS($J$7:$J$510,Table7[[#Headers],[Flexibility RTM Analysis]],$C$7:$C$510,$L15)&gt;0,0,MROUND(IFERROR(AB15*($P15/$AI15),0),100))</f>
        <v>0</v>
      </c>
      <c r="AV15" s="1">
        <f ca="1">IF(COUNTIFS($J$7:$J$510,Table7[[#Headers],[Flexibility Forecasts]],$C$7:$C$510,$L15)&gt;0,0,MROUND(IFERROR(AC15*($P15/$AI15),0),100))</f>
        <v>0</v>
      </c>
      <c r="AW15" s="1">
        <f ca="1">IF(COUNTIFS($J$7:$J$510,Table7[[#Headers],[Flexibility Regulation]],$C$7:$C$510,$L15)&gt;0,0,MROUND(IFERROR(AD15*($P15/$AI15),0),100))</f>
        <v>0</v>
      </c>
      <c r="AX15" s="1">
        <f ca="1">IF(COUNTIFS($J$7:$J$510,Table7[[#Headers],[Business Energy Essentials]],$C$7:$C$510,$L15)&gt;0,0,MROUND(IFERROR(AE15*($P15/$AI15),0),100))</f>
        <v>0</v>
      </c>
      <c r="AY15" s="1">
        <f ca="1">IF(COUNTIFS($J$7:$J$510,Table7[[#Headers],[Energy User RTM Analysis]],$C$7:$C$510,$L15)&gt;0,0,MROUND(IFERROR(AF15*($P15/$AI15),0),100))</f>
        <v>2900</v>
      </c>
      <c r="AZ15" s="1">
        <f ca="1">IF(COUNTIFS($J$7:$J$510,Table7[[#Headers],[Energy User Forecasts]],$C$7:$C$510,$L15)&gt;0,0,MROUND(IFERROR(AG15*($P15/$AI15),0),100))</f>
        <v>0</v>
      </c>
      <c r="BA15" s="1">
        <f ca="1">IF(COUNTIFS($J$7:$J$510,Table7[[#Headers],[Energy User Regulation]],$C$7:$C$510,$L15)&gt;0,0,MROUND(IFERROR(AH15*($P15/$AI15),0),100))</f>
        <v>0</v>
      </c>
    </row>
    <row r="16" spans="2:53">
      <c r="B16" s="38" t="s">
        <v>2050</v>
      </c>
      <c r="C16" s="38" t="s">
        <v>193</v>
      </c>
      <c r="D16" s="38" t="s">
        <v>2051</v>
      </c>
      <c r="E16" s="38" t="s">
        <v>1817</v>
      </c>
      <c r="F16" s="63">
        <v>17700</v>
      </c>
      <c r="G16" s="38"/>
      <c r="H16" s="38" t="s">
        <v>191</v>
      </c>
      <c r="I16" s="38" t="s">
        <v>191</v>
      </c>
      <c r="J16" s="38" t="s">
        <v>35</v>
      </c>
      <c r="L16" s="1" t="str">
        <v>Ameresco Limited</v>
      </c>
      <c r="M16" s="1" t="str">
        <f t="shared" si="2"/>
        <v>Supply</v>
      </c>
      <c r="N16" s="109">
        <f t="shared" si="3"/>
        <v>3750</v>
      </c>
      <c r="O16" s="1">
        <f>IFERROR(IF(INDEX(Table3[[Total Spend]:[Total Spend]],MATCH(L16,Table3[[Company name]:[Company name]],0))&gt;N16,INDEX(Table3[[Total Spend]:[Total Spend]],MATCH(L16,Table3[[Company name]:[Company name]])),N16),50000)</f>
        <v>50000</v>
      </c>
      <c r="P16" s="109">
        <f t="shared" si="4"/>
        <v>46250</v>
      </c>
      <c r="Q16" s="103">
        <f t="shared" si="5"/>
        <v>7.4999999999999997E-2</v>
      </c>
      <c r="R16" s="1">
        <f ca="1">IFERROR(INDEX(INDIRECT("Table3[Column"&amp;R$9&amp;"]"),MATCH($L16,Table3[[Company name]:[Company name]],0)),0)</f>
        <v>10800</v>
      </c>
      <c r="S16" s="1">
        <f ca="1">IFERROR(INDEX(INDIRECT("Table3[Column"&amp;S$9&amp;"]"),MATCH($L16,Table3[[Company name]:[Company name]],0)),0)</f>
        <v>43200</v>
      </c>
      <c r="T16" s="1">
        <f ca="1">IFERROR(INDEX(INDIRECT("Table3[Column"&amp;T$9&amp;"]"),MATCH($L16,Table3[[Company name]:[Company name]],0)),0)</f>
        <v>73800</v>
      </c>
      <c r="U16" s="1">
        <f ca="1">IFERROR(INDEX(INDIRECT("Table3[Column"&amp;U$9&amp;"]"),MATCH($L16,Table3[[Company name]:[Company name]],0)),0)</f>
        <v>48600</v>
      </c>
      <c r="V16" s="1">
        <f ca="1">IFERROR(INDEX(INDIRECT("Table3[Column"&amp;V$9&amp;"]"),MATCH($L16,Table3[[Company name]:[Company name]],0)),0)</f>
        <v>0</v>
      </c>
      <c r="W16" s="1">
        <f ca="1">IFERROR(INDEX(INDIRECT("Table3[Column"&amp;W$9&amp;"]"),MATCH($L16,Table3[[Company name]:[Company name]],0)),0)</f>
        <v>0</v>
      </c>
      <c r="X16" s="1">
        <f ca="1">IFERROR(INDEX(INDIRECT("Table3[Column"&amp;X$9&amp;"]"),MATCH($L16,Table3[[Company name]:[Company name]],0)),0)</f>
        <v>0</v>
      </c>
      <c r="Y16" s="1">
        <f ca="1">IFERROR(INDEX(INDIRECT("Table3[Column"&amp;Y$9&amp;"]"),MATCH($L16,Table3[[Company name]:[Company name]],0)),0)</f>
        <v>0</v>
      </c>
      <c r="Z16" s="1">
        <f ca="1">IFERROR(INDEX(INDIRECT("Table3[Column"&amp;Z$9&amp;"]"),MATCH($L16,Table3[[Company name]:[Company name]],0)),0)</f>
        <v>0</v>
      </c>
      <c r="AA16" s="1">
        <f ca="1">IFERROR(INDEX(INDIRECT("Table3[Column"&amp;AA$9&amp;"]"),MATCH($L16,Table3[[Company name]:[Company name]],0)),0)</f>
        <v>0</v>
      </c>
      <c r="AB16" s="1">
        <f ca="1">IFERROR(INDEX(INDIRECT("Table3[Column"&amp;AB$9&amp;"]"),MATCH($L16,Table3[[Company name]:[Company name]],0)),0)</f>
        <v>0</v>
      </c>
      <c r="AC16" s="1">
        <f ca="1">IFERROR(INDEX(INDIRECT("Table3[Column"&amp;AC$9&amp;"]"),MATCH($L16,Table3[[Company name]:[Company name]],0)),0)</f>
        <v>0</v>
      </c>
      <c r="AD16" s="1">
        <f ca="1">IFERROR(INDEX(INDIRECT("Table3[Column"&amp;AD$9&amp;"]"),MATCH($L16,Table3[[Company name]:[Company name]],0)),0)</f>
        <v>0</v>
      </c>
      <c r="AE16" s="1">
        <f ca="1">IFERROR(INDEX(INDIRECT("Table3[Column"&amp;AE$9&amp;"]"),MATCH($L16,Table3[[Company name]:[Company name]],0)),0)</f>
        <v>0</v>
      </c>
      <c r="AF16" s="1">
        <f ca="1">IFERROR(INDEX(INDIRECT("Table3[Column"&amp;AF$9&amp;"]"),MATCH($L16,Table3[[Company name]:[Company name]],0)),0)</f>
        <v>15750</v>
      </c>
      <c r="AG16" s="1">
        <f ca="1">IFERROR(INDEX(INDIRECT("Table3[Column"&amp;AG$9&amp;"]"),MATCH($L16,Table3[[Company name]:[Company name]],0)),0)</f>
        <v>0</v>
      </c>
      <c r="AH16" s="1">
        <f ca="1">IFERROR(INDEX(INDIRECT("Table3[Column"&amp;AH$9&amp;"]"),MATCH($L16,Table3[[Company name]:[Company name]],0)),0)</f>
        <v>0</v>
      </c>
      <c r="AI16" s="1">
        <f t="shared" ca="1" si="6"/>
        <v>192150</v>
      </c>
      <c r="AK16" s="1">
        <f>IF(COUNTIFS($J$7:$J$510,Table7[[#Headers],[Industry Essentials]],$C$7:$C$510,$L16)&gt;0,0,MROUND(R16,100))</f>
        <v>0</v>
      </c>
      <c r="AL16" s="1">
        <f ca="1">IF(COUNTIFS($J$7:$J$510,Table7[[#Headers],[Energy Supply Market Intelligence]],$C$7:$C$510,$L16)&gt;0,0,MROUND(IFERROR(S16*($P16/$AI16),0),100))</f>
        <v>10400</v>
      </c>
      <c r="AM16" s="1">
        <f ca="1">IF(COUNTIFS($J$7:$J$510,Table7[[#Headers],[Energy Supply RTM Analysis]],$C$7:$C$510,$L16)&gt;0,0,MROUND(IFERROR(T16*($P16/$AI16),0),100))</f>
        <v>17800</v>
      </c>
      <c r="AN16" s="1">
        <f ca="1">IF(COUNTIFS($J$7:$J$510,Table7[[#Headers],[Energy Supply Forecasts]],$C$7:$C$510,$L16)&gt;0,0,MROUND(IFERROR(U16*($P16/$AI16),0),100))</f>
        <v>11700</v>
      </c>
      <c r="AO16" s="1">
        <f ca="1">IF(COUNTIFS($J$7:$J$510,Table7[[#Headers],[Energy Supply Regulation]],$C$7:$C$510,$L16)&gt;0,0,MROUND(IFERROR(V16*($P16/$AI16),0),100))</f>
        <v>0</v>
      </c>
      <c r="AP16" s="1">
        <f ca="1">IF(COUNTIFS($J$7:$J$510,Table7[[#Headers],[Renewables Market Intelligence]],$C$7:$C$510,$L16)&gt;0,0,MROUND(IFERROR(W16*($P16/$AI16),0),100))</f>
        <v>0</v>
      </c>
      <c r="AQ16" s="1">
        <f ca="1">IF(COUNTIFS($J$7:$J$510,Table7[[#Headers],[Renewables RTM Analysis]],$C$7:$C$510,$L16)&gt;0,0,MROUND(IFERROR(X16*($P16/$AI16),0),100))</f>
        <v>0</v>
      </c>
      <c r="AR16" s="1">
        <f ca="1">IF(COUNTIFS($J$7:$J$510,Table7[[#Headers],[Renewables Forecasts]],$C$7:$C$510,$L16)&gt;0,0,MROUND(IFERROR(Y16*($P16/$AI16),0),100))</f>
        <v>0</v>
      </c>
      <c r="AS16" s="1">
        <f ca="1">IF(COUNTIFS($J$7:$J$510,Table7[[#Headers],[Renewables Regulation]],$C$7:$C$510,$L16)&gt;0,0,MROUND(IFERROR(Z16*($P16/$AI16),0),100))</f>
        <v>0</v>
      </c>
      <c r="AT16" s="1">
        <f ca="1">IF(COUNTIFS($J$7:$J$510,Table7[[#Headers],[Flexibility Market Intelligence]],$C$7:$C$510,$L16)&gt;0,0,MROUND(IFERROR(AA16*($P16/$AI16),0),100))</f>
        <v>0</v>
      </c>
      <c r="AU16" s="1">
        <f ca="1">IF(COUNTIFS($J$7:$J$510,Table7[[#Headers],[Flexibility RTM Analysis]],$C$7:$C$510,$L16)&gt;0,0,MROUND(IFERROR(AB16*($P16/$AI16),0),100))</f>
        <v>0</v>
      </c>
      <c r="AV16" s="1">
        <f ca="1">IF(COUNTIFS($J$7:$J$510,Table7[[#Headers],[Flexibility Forecasts]],$C$7:$C$510,$L16)&gt;0,0,MROUND(IFERROR(AC16*($P16/$AI16),0),100))</f>
        <v>0</v>
      </c>
      <c r="AW16" s="1">
        <f ca="1">IF(COUNTIFS($J$7:$J$510,Table7[[#Headers],[Flexibility Regulation]],$C$7:$C$510,$L16)&gt;0,0,MROUND(IFERROR(AD16*($P16/$AI16),0),100))</f>
        <v>0</v>
      </c>
      <c r="AX16" s="1">
        <f ca="1">IF(COUNTIFS($J$7:$J$510,Table7[[#Headers],[Business Energy Essentials]],$C$7:$C$510,$L16)&gt;0,0,MROUND(IFERROR(AE16*($P16/$AI16),0),100))</f>
        <v>0</v>
      </c>
      <c r="AY16" s="1">
        <f ca="1">IF(COUNTIFS($J$7:$J$510,Table7[[#Headers],[Energy User RTM Analysis]],$C$7:$C$510,$L16)&gt;0,0,MROUND(IFERROR(AF16*($P16/$AI16),0),100))</f>
        <v>3800</v>
      </c>
      <c r="AZ16" s="1">
        <f ca="1">IF(COUNTIFS($J$7:$J$510,Table7[[#Headers],[Energy User Forecasts]],$C$7:$C$510,$L16)&gt;0,0,MROUND(IFERROR(AG16*($P16/$AI16),0),100))</f>
        <v>0</v>
      </c>
      <c r="BA16" s="1">
        <f ca="1">IF(COUNTIFS($J$7:$J$510,Table7[[#Headers],[Energy User Regulation]],$C$7:$C$510,$L16)&gt;0,0,MROUND(IFERROR(AH16*($P16/$AI16),0),100))</f>
        <v>0</v>
      </c>
    </row>
    <row r="17" spans="2:53">
      <c r="B17" s="38" t="s">
        <v>2050</v>
      </c>
      <c r="C17" s="38" t="s">
        <v>193</v>
      </c>
      <c r="D17" s="38" t="s">
        <v>2040</v>
      </c>
      <c r="E17" s="38" t="s">
        <v>1799</v>
      </c>
      <c r="F17" s="63">
        <v>7000</v>
      </c>
      <c r="G17" s="38"/>
      <c r="H17" s="38" t="s">
        <v>191</v>
      </c>
      <c r="I17" s="38" t="s">
        <v>2032</v>
      </c>
      <c r="J17" s="38" t="s">
        <v>20</v>
      </c>
      <c r="L17" s="1" t="str">
        <v>AMP Energy Services Limited</v>
      </c>
      <c r="M17" s="1" t="str">
        <f t="shared" si="2"/>
        <v>Flexibility</v>
      </c>
      <c r="N17" s="109">
        <f t="shared" si="3"/>
        <v>8100</v>
      </c>
      <c r="O17" s="1">
        <f>IFERROR(IF(INDEX(Table3[[Total Spend]:[Total Spend]],MATCH(L17,Table3[[Company name]:[Company name]],0))&gt;N17,INDEX(Table3[[Total Spend]:[Total Spend]],MATCH(L17,Table3[[Company name]:[Company name]])),N17),50000)</f>
        <v>50000</v>
      </c>
      <c r="P17" s="109">
        <f t="shared" si="4"/>
        <v>41900</v>
      </c>
      <c r="Q17" s="103">
        <f t="shared" si="5"/>
        <v>0.16200000000000001</v>
      </c>
      <c r="R17" s="1">
        <f ca="1">IFERROR(INDEX(INDIRECT("Table3[Column"&amp;R$9&amp;"]"),MATCH($L17,Table3[[Company name]:[Company name]],0)),0)</f>
        <v>8100</v>
      </c>
      <c r="S17" s="1">
        <f ca="1">IFERROR(INDEX(INDIRECT("Table3[Column"&amp;S$9&amp;"]"),MATCH($L17,Table3[[Company name]:[Company name]],0)),0)</f>
        <v>0</v>
      </c>
      <c r="T17" s="1">
        <f ca="1">IFERROR(INDEX(INDIRECT("Table3[Column"&amp;T$9&amp;"]"),MATCH($L17,Table3[[Company name]:[Company name]],0)),0)</f>
        <v>0</v>
      </c>
      <c r="U17" s="1">
        <f ca="1">IFERROR(INDEX(INDIRECT("Table3[Column"&amp;U$9&amp;"]"),MATCH($L17,Table3[[Company name]:[Company name]],0)),0)</f>
        <v>0</v>
      </c>
      <c r="V17" s="1">
        <f ca="1">IFERROR(INDEX(INDIRECT("Table3[Column"&amp;V$9&amp;"]"),MATCH($L17,Table3[[Company name]:[Company name]],0)),0)</f>
        <v>0</v>
      </c>
      <c r="W17" s="1">
        <f ca="1">IFERROR(INDEX(INDIRECT("Table3[Column"&amp;W$9&amp;"]"),MATCH($L17,Table3[[Company name]:[Company name]],0)),0)</f>
        <v>0</v>
      </c>
      <c r="X17" s="1">
        <f ca="1">IFERROR(INDEX(INDIRECT("Table3[Column"&amp;X$9&amp;"]"),MATCH($L17,Table3[[Company name]:[Company name]],0)),0)</f>
        <v>0</v>
      </c>
      <c r="Y17" s="1">
        <f ca="1">IFERROR(INDEX(INDIRECT("Table3[Column"&amp;Y$9&amp;"]"),MATCH($L17,Table3[[Company name]:[Company name]],0)),0)</f>
        <v>0</v>
      </c>
      <c r="Z17" s="1">
        <f ca="1">IFERROR(INDEX(INDIRECT("Table3[Column"&amp;Z$9&amp;"]"),MATCH($L17,Table3[[Company name]:[Company name]],0)),0)</f>
        <v>0</v>
      </c>
      <c r="AA17" s="1">
        <f ca="1">IFERROR(INDEX(INDIRECT("Table3[Column"&amp;AA$9&amp;"]"),MATCH($L17,Table3[[Company name]:[Company name]],0)),0)</f>
        <v>21600</v>
      </c>
      <c r="AB17" s="1">
        <f ca="1">IFERROR(INDEX(INDIRECT("Table3[Column"&amp;AB$9&amp;"]"),MATCH($L17,Table3[[Company name]:[Company name]],0)),0)</f>
        <v>7650</v>
      </c>
      <c r="AC17" s="1">
        <f ca="1">IFERROR(INDEX(INDIRECT("Table3[Column"&amp;AC$9&amp;"]"),MATCH($L17,Table3[[Company name]:[Company name]],0)),0)</f>
        <v>31500</v>
      </c>
      <c r="AD17" s="1">
        <f ca="1">IFERROR(INDEX(INDIRECT("Table3[Column"&amp;AD$9&amp;"]"),MATCH($L17,Table3[[Company name]:[Company name]],0)),0)</f>
        <v>25200</v>
      </c>
      <c r="AE17" s="1">
        <f ca="1">IFERROR(INDEX(INDIRECT("Table3[Column"&amp;AE$9&amp;"]"),MATCH($L17,Table3[[Company name]:[Company name]],0)),0)</f>
        <v>0</v>
      </c>
      <c r="AF17" s="1">
        <f ca="1">IFERROR(INDEX(INDIRECT("Table3[Column"&amp;AF$9&amp;"]"),MATCH($L17,Table3[[Company name]:[Company name]],0)),0)</f>
        <v>0</v>
      </c>
      <c r="AG17" s="1">
        <f ca="1">IFERROR(INDEX(INDIRECT("Table3[Column"&amp;AG$9&amp;"]"),MATCH($L17,Table3[[Company name]:[Company name]],0)),0)</f>
        <v>0</v>
      </c>
      <c r="AH17" s="1">
        <f ca="1">IFERROR(INDEX(INDIRECT("Table3[Column"&amp;AH$9&amp;"]"),MATCH($L17,Table3[[Company name]:[Company name]],0)),0)</f>
        <v>0</v>
      </c>
      <c r="AI17" s="1">
        <f t="shared" ca="1" si="6"/>
        <v>94050</v>
      </c>
      <c r="AK17" s="1">
        <f>IF(COUNTIFS($J$7:$J$510,Table7[[#Headers],[Industry Essentials]],$C$7:$C$510,$L17)&gt;0,0,MROUND(R17,100))</f>
        <v>0</v>
      </c>
      <c r="AL17" s="1">
        <f ca="1">IF(COUNTIFS($J$7:$J$510,Table7[[#Headers],[Energy Supply Market Intelligence]],$C$7:$C$510,$L17)&gt;0,0,MROUND(IFERROR(S17*($P17/$AI17),0),100))</f>
        <v>0</v>
      </c>
      <c r="AM17" s="1">
        <f ca="1">IF(COUNTIFS($J$7:$J$510,Table7[[#Headers],[Energy Supply RTM Analysis]],$C$7:$C$510,$L17)&gt;0,0,MROUND(IFERROR(T17*($P17/$AI17),0),100))</f>
        <v>0</v>
      </c>
      <c r="AN17" s="1">
        <f ca="1">IF(COUNTIFS($J$7:$J$510,Table7[[#Headers],[Energy Supply Forecasts]],$C$7:$C$510,$L17)&gt;0,0,MROUND(IFERROR(U17*($P17/$AI17),0),100))</f>
        <v>0</v>
      </c>
      <c r="AO17" s="1">
        <f ca="1">IF(COUNTIFS($J$7:$J$510,Table7[[#Headers],[Energy Supply Regulation]],$C$7:$C$510,$L17)&gt;0,0,MROUND(IFERROR(V17*($P17/$AI17),0),100))</f>
        <v>0</v>
      </c>
      <c r="AP17" s="1">
        <f ca="1">IF(COUNTIFS($J$7:$J$510,Table7[[#Headers],[Renewables Market Intelligence]],$C$7:$C$510,$L17)&gt;0,0,MROUND(IFERROR(W17*($P17/$AI17),0),100))</f>
        <v>0</v>
      </c>
      <c r="AQ17" s="1">
        <f ca="1">IF(COUNTIFS($J$7:$J$510,Table7[[#Headers],[Renewables RTM Analysis]],$C$7:$C$510,$L17)&gt;0,0,MROUND(IFERROR(X17*($P17/$AI17),0),100))</f>
        <v>0</v>
      </c>
      <c r="AR17" s="1">
        <f ca="1">IF(COUNTIFS($J$7:$J$510,Table7[[#Headers],[Renewables Forecasts]],$C$7:$C$510,$L17)&gt;0,0,MROUND(IFERROR(Y17*($P17/$AI17),0),100))</f>
        <v>0</v>
      </c>
      <c r="AS17" s="1">
        <f ca="1">IF(COUNTIFS($J$7:$J$510,Table7[[#Headers],[Renewables Regulation]],$C$7:$C$510,$L17)&gt;0,0,MROUND(IFERROR(Z17*($P17/$AI17),0),100))</f>
        <v>0</v>
      </c>
      <c r="AT17" s="1">
        <f ca="1">IF(COUNTIFS($J$7:$J$510,Table7[[#Headers],[Flexibility Market Intelligence]],$C$7:$C$510,$L17)&gt;0,0,MROUND(IFERROR(AA17*($P17/$AI17),0),100))</f>
        <v>9600</v>
      </c>
      <c r="AU17" s="1">
        <f ca="1">IF(COUNTIFS($J$7:$J$510,Table7[[#Headers],[Flexibility RTM Analysis]],$C$7:$C$510,$L17)&gt;0,0,MROUND(IFERROR(AB17*($P17/$AI17),0),100))</f>
        <v>3400</v>
      </c>
      <c r="AV17" s="1">
        <f ca="1">IF(COUNTIFS($J$7:$J$510,Table7[[#Headers],[Flexibility Forecasts]],$C$7:$C$510,$L17)&gt;0,0,MROUND(IFERROR(AC17*($P17/$AI17),0),100))</f>
        <v>14000</v>
      </c>
      <c r="AW17" s="1">
        <f ca="1">IF(COUNTIFS($J$7:$J$510,Table7[[#Headers],[Flexibility Regulation]],$C$7:$C$510,$L17)&gt;0,0,MROUND(IFERROR(AD17*($P17/$AI17),0),100))</f>
        <v>11200</v>
      </c>
      <c r="AX17" s="1">
        <f ca="1">IF(COUNTIFS($J$7:$J$510,Table7[[#Headers],[Business Energy Essentials]],$C$7:$C$510,$L17)&gt;0,0,MROUND(IFERROR(AE17*($P17/$AI17),0),100))</f>
        <v>0</v>
      </c>
      <c r="AY17" s="1">
        <f ca="1">IF(COUNTIFS($J$7:$J$510,Table7[[#Headers],[Energy User RTM Analysis]],$C$7:$C$510,$L17)&gt;0,0,MROUND(IFERROR(AF17*($P17/$AI17),0),100))</f>
        <v>0</v>
      </c>
      <c r="AZ17" s="1">
        <f ca="1">IF(COUNTIFS($J$7:$J$510,Table7[[#Headers],[Energy User Forecasts]],$C$7:$C$510,$L17)&gt;0,0,MROUND(IFERROR(AG17*($P17/$AI17),0),100))</f>
        <v>0</v>
      </c>
      <c r="BA17" s="1">
        <f ca="1">IF(COUNTIFS($J$7:$J$510,Table7[[#Headers],[Energy User Regulation]],$C$7:$C$510,$L17)&gt;0,0,MROUND(IFERROR(AH17*($P17/$AI17),0),100))</f>
        <v>0</v>
      </c>
    </row>
    <row r="18" spans="2:53">
      <c r="B18" s="38" t="s">
        <v>2052</v>
      </c>
      <c r="C18" s="38" t="s">
        <v>120</v>
      </c>
      <c r="D18" s="38" t="s">
        <v>2040</v>
      </c>
      <c r="E18" s="38" t="s">
        <v>1799</v>
      </c>
      <c r="F18" s="63">
        <v>5670</v>
      </c>
      <c r="G18" s="38"/>
      <c r="H18" s="38" t="s">
        <v>2031</v>
      </c>
      <c r="I18" s="38" t="s">
        <v>2032</v>
      </c>
      <c r="J18" s="38" t="s">
        <v>20</v>
      </c>
      <c r="L18" s="1" t="str">
        <v>Apple Tree Value Solutions Limited</v>
      </c>
      <c r="M18" s="1" t="str">
        <f t="shared" si="2"/>
        <v>Supply</v>
      </c>
      <c r="N18" s="109">
        <f t="shared" si="3"/>
        <v>3150</v>
      </c>
      <c r="O18" s="1">
        <f>IFERROR(IF(INDEX(Table3[[Total Spend]:[Total Spend]],MATCH(L18,Table3[[Company name]:[Company name]],0))&gt;N18,INDEX(Table3[[Total Spend]:[Total Spend]],MATCH(L18,Table3[[Company name]:[Company name]])),N18),50000)</f>
        <v>50000</v>
      </c>
      <c r="P18" s="109">
        <f t="shared" si="4"/>
        <v>46850</v>
      </c>
      <c r="Q18" s="103">
        <f t="shared" si="5"/>
        <v>6.3E-2</v>
      </c>
      <c r="R18" s="1">
        <f ca="1">IFERROR(INDEX(INDIRECT("Table3[Column"&amp;R$9&amp;"]"),MATCH($L18,Table3[[Company name]:[Company name]],0)),0)</f>
        <v>8100</v>
      </c>
      <c r="S18" s="1">
        <f ca="1">IFERROR(INDEX(INDIRECT("Table3[Column"&amp;S$9&amp;"]"),MATCH($L18,Table3[[Company name]:[Company name]],0)),0)</f>
        <v>30600</v>
      </c>
      <c r="T18" s="1">
        <f ca="1">IFERROR(INDEX(INDIRECT("Table3[Column"&amp;T$9&amp;"]"),MATCH($L18,Table3[[Company name]:[Company name]],0)),0)</f>
        <v>53100</v>
      </c>
      <c r="U18" s="1">
        <f ca="1">IFERROR(INDEX(INDIRECT("Table3[Column"&amp;U$9&amp;"]"),MATCH($L18,Table3[[Company name]:[Company name]],0)),0)</f>
        <v>34200</v>
      </c>
      <c r="V18" s="1">
        <f ca="1">IFERROR(INDEX(INDIRECT("Table3[Column"&amp;V$9&amp;"]"),MATCH($L18,Table3[[Company name]:[Company name]],0)),0)</f>
        <v>0</v>
      </c>
      <c r="W18" s="1">
        <f ca="1">IFERROR(INDEX(INDIRECT("Table3[Column"&amp;W$9&amp;"]"),MATCH($L18,Table3[[Company name]:[Company name]],0)),0)</f>
        <v>0</v>
      </c>
      <c r="X18" s="1">
        <f ca="1">IFERROR(INDEX(INDIRECT("Table3[Column"&amp;X$9&amp;"]"),MATCH($L18,Table3[[Company name]:[Company name]],0)),0)</f>
        <v>0</v>
      </c>
      <c r="Y18" s="1">
        <f ca="1">IFERROR(INDEX(INDIRECT("Table3[Column"&amp;Y$9&amp;"]"),MATCH($L18,Table3[[Company name]:[Company name]],0)),0)</f>
        <v>0</v>
      </c>
      <c r="Z18" s="1">
        <f ca="1">IFERROR(INDEX(INDIRECT("Table3[Column"&amp;Z$9&amp;"]"),MATCH($L18,Table3[[Company name]:[Company name]],0)),0)</f>
        <v>0</v>
      </c>
      <c r="AA18" s="1">
        <f ca="1">IFERROR(INDEX(INDIRECT("Table3[Column"&amp;AA$9&amp;"]"),MATCH($L18,Table3[[Company name]:[Company name]],0)),0)</f>
        <v>0</v>
      </c>
      <c r="AB18" s="1">
        <f ca="1">IFERROR(INDEX(INDIRECT("Table3[Column"&amp;AB$9&amp;"]"),MATCH($L18,Table3[[Company name]:[Company name]],0)),0)</f>
        <v>0</v>
      </c>
      <c r="AC18" s="1">
        <f ca="1">IFERROR(INDEX(INDIRECT("Table3[Column"&amp;AC$9&amp;"]"),MATCH($L18,Table3[[Company name]:[Company name]],0)),0)</f>
        <v>0</v>
      </c>
      <c r="AD18" s="1">
        <f ca="1">IFERROR(INDEX(INDIRECT("Table3[Column"&amp;AD$9&amp;"]"),MATCH($L18,Table3[[Company name]:[Company name]],0)),0)</f>
        <v>0</v>
      </c>
      <c r="AE18" s="1">
        <f ca="1">IFERROR(INDEX(INDIRECT("Table3[Column"&amp;AE$9&amp;"]"),MATCH($L18,Table3[[Company name]:[Company name]],0)),0)</f>
        <v>0</v>
      </c>
      <c r="AF18" s="1">
        <f ca="1">IFERROR(INDEX(INDIRECT("Table3[Column"&amp;AF$9&amp;"]"),MATCH($L18,Table3[[Company name]:[Company name]],0)),0)</f>
        <v>11250</v>
      </c>
      <c r="AG18" s="1">
        <f ca="1">IFERROR(INDEX(INDIRECT("Table3[Column"&amp;AG$9&amp;"]"),MATCH($L18,Table3[[Company name]:[Company name]],0)),0)</f>
        <v>0</v>
      </c>
      <c r="AH18" s="1">
        <f ca="1">IFERROR(INDEX(INDIRECT("Table3[Column"&amp;AH$9&amp;"]"),MATCH($L18,Table3[[Company name]:[Company name]],0)),0)</f>
        <v>0</v>
      </c>
      <c r="AI18" s="1">
        <f t="shared" ca="1" si="6"/>
        <v>137250</v>
      </c>
      <c r="AK18" s="1">
        <f>IF(COUNTIFS($J$7:$J$510,Table7[[#Headers],[Industry Essentials]],$C$7:$C$510,$L18)&gt;0,0,MROUND(R18,100))</f>
        <v>0</v>
      </c>
      <c r="AL18" s="1">
        <f ca="1">IF(COUNTIFS($J$7:$J$510,Table7[[#Headers],[Energy Supply Market Intelligence]],$C$7:$C$510,$L18)&gt;0,0,MROUND(IFERROR(S18*($P18/$AI18),0),100))</f>
        <v>10400</v>
      </c>
      <c r="AM18" s="1">
        <f ca="1">IF(COUNTIFS($J$7:$J$510,Table7[[#Headers],[Energy Supply RTM Analysis]],$C$7:$C$510,$L18)&gt;0,0,MROUND(IFERROR(T18*($P18/$AI18),0),100))</f>
        <v>18100</v>
      </c>
      <c r="AN18" s="1">
        <f ca="1">IF(COUNTIFS($J$7:$J$510,Table7[[#Headers],[Energy Supply Forecasts]],$C$7:$C$510,$L18)&gt;0,0,MROUND(IFERROR(U18*($P18/$AI18),0),100))</f>
        <v>11700</v>
      </c>
      <c r="AO18" s="1">
        <f ca="1">IF(COUNTIFS($J$7:$J$510,Table7[[#Headers],[Energy Supply Regulation]],$C$7:$C$510,$L18)&gt;0,0,MROUND(IFERROR(V18*($P18/$AI18),0),100))</f>
        <v>0</v>
      </c>
      <c r="AP18" s="1">
        <f ca="1">IF(COUNTIFS($J$7:$J$510,Table7[[#Headers],[Renewables Market Intelligence]],$C$7:$C$510,$L18)&gt;0,0,MROUND(IFERROR(W18*($P18/$AI18),0),100))</f>
        <v>0</v>
      </c>
      <c r="AQ18" s="1">
        <f ca="1">IF(COUNTIFS($J$7:$J$510,Table7[[#Headers],[Renewables RTM Analysis]],$C$7:$C$510,$L18)&gt;0,0,MROUND(IFERROR(X18*($P18/$AI18),0),100))</f>
        <v>0</v>
      </c>
      <c r="AR18" s="1">
        <f ca="1">IF(COUNTIFS($J$7:$J$510,Table7[[#Headers],[Renewables Forecasts]],$C$7:$C$510,$L18)&gt;0,0,MROUND(IFERROR(Y18*($P18/$AI18),0),100))</f>
        <v>0</v>
      </c>
      <c r="AS18" s="1">
        <f ca="1">IF(COUNTIFS($J$7:$J$510,Table7[[#Headers],[Renewables Regulation]],$C$7:$C$510,$L18)&gt;0,0,MROUND(IFERROR(Z18*($P18/$AI18),0),100))</f>
        <v>0</v>
      </c>
      <c r="AT18" s="1">
        <f ca="1">IF(COUNTIFS($J$7:$J$510,Table7[[#Headers],[Flexibility Market Intelligence]],$C$7:$C$510,$L18)&gt;0,0,MROUND(IFERROR(AA18*($P18/$AI18),0),100))</f>
        <v>0</v>
      </c>
      <c r="AU18" s="1">
        <f ca="1">IF(COUNTIFS($J$7:$J$510,Table7[[#Headers],[Flexibility RTM Analysis]],$C$7:$C$510,$L18)&gt;0,0,MROUND(IFERROR(AB18*($P18/$AI18),0),100))</f>
        <v>0</v>
      </c>
      <c r="AV18" s="1">
        <f ca="1">IF(COUNTIFS($J$7:$J$510,Table7[[#Headers],[Flexibility Forecasts]],$C$7:$C$510,$L18)&gt;0,0,MROUND(IFERROR(AC18*($P18/$AI18),0),100))</f>
        <v>0</v>
      </c>
      <c r="AW18" s="1">
        <f ca="1">IF(COUNTIFS($J$7:$J$510,Table7[[#Headers],[Flexibility Regulation]],$C$7:$C$510,$L18)&gt;0,0,MROUND(IFERROR(AD18*($P18/$AI18),0),100))</f>
        <v>0</v>
      </c>
      <c r="AX18" s="1">
        <f ca="1">IF(COUNTIFS($J$7:$J$510,Table7[[#Headers],[Business Energy Essentials]],$C$7:$C$510,$L18)&gt;0,0,MROUND(IFERROR(AE18*($P18/$AI18),0),100))</f>
        <v>0</v>
      </c>
      <c r="AY18" s="1">
        <f ca="1">IF(COUNTIFS($J$7:$J$510,Table7[[#Headers],[Energy User RTM Analysis]],$C$7:$C$510,$L18)&gt;0,0,MROUND(IFERROR(AF18*($P18/$AI18),0),100))</f>
        <v>3800</v>
      </c>
      <c r="AZ18" s="1">
        <f ca="1">IF(COUNTIFS($J$7:$J$510,Table7[[#Headers],[Energy User Forecasts]],$C$7:$C$510,$L18)&gt;0,0,MROUND(IFERROR(AG18*($P18/$AI18),0),100))</f>
        <v>0</v>
      </c>
      <c r="BA18" s="1">
        <f ca="1">IF(COUNTIFS($J$7:$J$510,Table7[[#Headers],[Energy User Regulation]],$C$7:$C$510,$L18)&gt;0,0,MROUND(IFERROR(AH18*($P18/$AI18),0),100))</f>
        <v>0</v>
      </c>
    </row>
    <row r="19" spans="2:53">
      <c r="B19" s="38" t="s">
        <v>2052</v>
      </c>
      <c r="C19" s="38" t="s">
        <v>120</v>
      </c>
      <c r="D19" s="38" t="s">
        <v>2038</v>
      </c>
      <c r="E19" s="38" t="s">
        <v>1838</v>
      </c>
      <c r="F19" s="63">
        <v>5500</v>
      </c>
      <c r="G19" s="38"/>
      <c r="H19" s="38" t="s">
        <v>2031</v>
      </c>
      <c r="I19" s="38" t="s">
        <v>1702</v>
      </c>
      <c r="J19" s="38" t="s">
        <v>27</v>
      </c>
      <c r="L19" s="1" t="str">
        <v>Asper Dhuk Holding Company Ltd</v>
      </c>
      <c r="M19" s="1" t="str">
        <f t="shared" si="2"/>
        <v>Supply</v>
      </c>
      <c r="N19" s="109">
        <f t="shared" si="3"/>
        <v>8100</v>
      </c>
      <c r="O19" s="1">
        <f>IFERROR(IF(INDEX(Table3[[Total Spend]:[Total Spend]],MATCH(L19,Table3[[Company name]:[Company name]],0))&gt;N19,INDEX(Table3[[Total Spend]:[Total Spend]],MATCH(L19,Table3[[Company name]:[Company name]])),N19),50000)</f>
        <v>50000</v>
      </c>
      <c r="P19" s="109">
        <f t="shared" si="4"/>
        <v>41900</v>
      </c>
      <c r="Q19" s="103">
        <f t="shared" si="5"/>
        <v>0.16200000000000001</v>
      </c>
      <c r="R19" s="1">
        <f ca="1">IFERROR(INDEX(INDIRECT("Table3[Column"&amp;R$9&amp;"]"),MATCH($L19,Table3[[Company name]:[Company name]],0)),0)</f>
        <v>10800</v>
      </c>
      <c r="S19" s="1">
        <f ca="1">IFERROR(INDEX(INDIRECT("Table3[Column"&amp;S$9&amp;"]"),MATCH($L19,Table3[[Company name]:[Company name]],0)),0)</f>
        <v>0</v>
      </c>
      <c r="T19" s="1">
        <f ca="1">IFERROR(INDEX(INDIRECT("Table3[Column"&amp;T$9&amp;"]"),MATCH($L19,Table3[[Company name]:[Company name]],0)),0)</f>
        <v>0</v>
      </c>
      <c r="U19" s="1">
        <f ca="1">IFERROR(INDEX(INDIRECT("Table3[Column"&amp;U$9&amp;"]"),MATCH($L19,Table3[[Company name]:[Company name]],0)),0)</f>
        <v>0</v>
      </c>
      <c r="V19" s="1">
        <f ca="1">IFERROR(INDEX(INDIRECT("Table3[Column"&amp;V$9&amp;"]"),MATCH($L19,Table3[[Company name]:[Company name]],0)),0)</f>
        <v>0</v>
      </c>
      <c r="W19" s="1">
        <f ca="1">IFERROR(INDEX(INDIRECT("Table3[Column"&amp;W$9&amp;"]"),MATCH($L19,Table3[[Company name]:[Company name]],0)),0)</f>
        <v>23400</v>
      </c>
      <c r="X19" s="1">
        <f ca="1">IFERROR(INDEX(INDIRECT("Table3[Column"&amp;X$9&amp;"]"),MATCH($L19,Table3[[Company name]:[Company name]],0)),0)</f>
        <v>0</v>
      </c>
      <c r="Y19" s="1">
        <f ca="1">IFERROR(INDEX(INDIRECT("Table3[Column"&amp;Y$9&amp;"]"),MATCH($L19,Table3[[Company name]:[Company name]],0)),0)</f>
        <v>59400</v>
      </c>
      <c r="Z19" s="1">
        <f ca="1">IFERROR(INDEX(INDIRECT("Table3[Column"&amp;Z$9&amp;"]"),MATCH($L19,Table3[[Company name]:[Company name]],0)),0)</f>
        <v>0</v>
      </c>
      <c r="AA19" s="1">
        <f ca="1">IFERROR(INDEX(INDIRECT("Table3[Column"&amp;AA$9&amp;"]"),MATCH($L19,Table3[[Company name]:[Company name]],0)),0)</f>
        <v>29700</v>
      </c>
      <c r="AB19" s="1">
        <f ca="1">IFERROR(INDEX(INDIRECT("Table3[Column"&amp;AB$9&amp;"]"),MATCH($L19,Table3[[Company name]:[Company name]],0)),0)</f>
        <v>10800</v>
      </c>
      <c r="AC19" s="1">
        <f ca="1">IFERROR(INDEX(INDIRECT("Table3[Column"&amp;AC$9&amp;"]"),MATCH($L19,Table3[[Company name]:[Company name]],0)),0)</f>
        <v>44100</v>
      </c>
      <c r="AD19" s="1">
        <f ca="1">IFERROR(INDEX(INDIRECT("Table3[Column"&amp;AD$9&amp;"]"),MATCH($L19,Table3[[Company name]:[Company name]],0)),0)</f>
        <v>36000</v>
      </c>
      <c r="AE19" s="1">
        <f ca="1">IFERROR(INDEX(INDIRECT("Table3[Column"&amp;AE$9&amp;"]"),MATCH($L19,Table3[[Company name]:[Company name]],0)),0)</f>
        <v>0</v>
      </c>
      <c r="AF19" s="1">
        <f ca="1">IFERROR(INDEX(INDIRECT("Table3[Column"&amp;AF$9&amp;"]"),MATCH($L19,Table3[[Company name]:[Company name]],0)),0)</f>
        <v>0</v>
      </c>
      <c r="AG19" s="1">
        <f ca="1">IFERROR(INDEX(INDIRECT("Table3[Column"&amp;AG$9&amp;"]"),MATCH($L19,Table3[[Company name]:[Company name]],0)),0)</f>
        <v>0</v>
      </c>
      <c r="AH19" s="1">
        <f ca="1">IFERROR(INDEX(INDIRECT("Table3[Column"&amp;AH$9&amp;"]"),MATCH($L19,Table3[[Company name]:[Company name]],0)),0)</f>
        <v>0</v>
      </c>
      <c r="AI19" s="1">
        <f t="shared" ca="1" si="6"/>
        <v>214200</v>
      </c>
      <c r="AK19" s="1">
        <f>IF(COUNTIFS($J$7:$J$510,Table7[[#Headers],[Industry Essentials]],$C$7:$C$510,$L19)&gt;0,0,MROUND(R19,100))</f>
        <v>0</v>
      </c>
      <c r="AL19" s="1">
        <f ca="1">IF(COUNTIFS($J$7:$J$510,Table7[[#Headers],[Energy Supply Market Intelligence]],$C$7:$C$510,$L19)&gt;0,0,MROUND(IFERROR(S19*($P19/$AI19),0),100))</f>
        <v>0</v>
      </c>
      <c r="AM19" s="1">
        <f ca="1">IF(COUNTIFS($J$7:$J$510,Table7[[#Headers],[Energy Supply RTM Analysis]],$C$7:$C$510,$L19)&gt;0,0,MROUND(IFERROR(T19*($P19/$AI19),0),100))</f>
        <v>0</v>
      </c>
      <c r="AN19" s="1">
        <f ca="1">IF(COUNTIFS($J$7:$J$510,Table7[[#Headers],[Energy Supply Forecasts]],$C$7:$C$510,$L19)&gt;0,0,MROUND(IFERROR(U19*($P19/$AI19),0),100))</f>
        <v>0</v>
      </c>
      <c r="AO19" s="1">
        <f ca="1">IF(COUNTIFS($J$7:$J$510,Table7[[#Headers],[Energy Supply Regulation]],$C$7:$C$510,$L19)&gt;0,0,MROUND(IFERROR(V19*($P19/$AI19),0),100))</f>
        <v>0</v>
      </c>
      <c r="AP19" s="1">
        <f ca="1">IF(COUNTIFS($J$7:$J$510,Table7[[#Headers],[Renewables Market Intelligence]],$C$7:$C$510,$L19)&gt;0,0,MROUND(IFERROR(W19*($P19/$AI19),0),100))</f>
        <v>4600</v>
      </c>
      <c r="AQ19" s="1">
        <f ca="1">IF(COUNTIFS($J$7:$J$510,Table7[[#Headers],[Renewables RTM Analysis]],$C$7:$C$510,$L19)&gt;0,0,MROUND(IFERROR(X19*($P19/$AI19),0),100))</f>
        <v>0</v>
      </c>
      <c r="AR19" s="1">
        <f ca="1">IF(COUNTIFS($J$7:$J$510,Table7[[#Headers],[Renewables Forecasts]],$C$7:$C$510,$L19)&gt;0,0,MROUND(IFERROR(Y19*($P19/$AI19),0),100))</f>
        <v>11600</v>
      </c>
      <c r="AS19" s="1">
        <f ca="1">IF(COUNTIFS($J$7:$J$510,Table7[[#Headers],[Renewables Regulation]],$C$7:$C$510,$L19)&gt;0,0,MROUND(IFERROR(Z19*($P19/$AI19),0),100))</f>
        <v>0</v>
      </c>
      <c r="AT19" s="1">
        <f ca="1">IF(COUNTIFS($J$7:$J$510,Table7[[#Headers],[Flexibility Market Intelligence]],$C$7:$C$510,$L19)&gt;0,0,MROUND(IFERROR(AA19*($P19/$AI19),0),100))</f>
        <v>5800</v>
      </c>
      <c r="AU19" s="1">
        <f ca="1">IF(COUNTIFS($J$7:$J$510,Table7[[#Headers],[Flexibility RTM Analysis]],$C$7:$C$510,$L19)&gt;0,0,MROUND(IFERROR(AB19*($P19/$AI19),0),100))</f>
        <v>2100</v>
      </c>
      <c r="AV19" s="1">
        <f ca="1">IF(COUNTIFS($J$7:$J$510,Table7[[#Headers],[Flexibility Forecasts]],$C$7:$C$510,$L19)&gt;0,0,MROUND(IFERROR(AC19*($P19/$AI19),0),100))</f>
        <v>8600</v>
      </c>
      <c r="AW19" s="1">
        <f ca="1">IF(COUNTIFS($J$7:$J$510,Table7[[#Headers],[Flexibility Regulation]],$C$7:$C$510,$L19)&gt;0,0,MROUND(IFERROR(AD19*($P19/$AI19),0),100))</f>
        <v>7000</v>
      </c>
      <c r="AX19" s="1">
        <f ca="1">IF(COUNTIFS($J$7:$J$510,Table7[[#Headers],[Business Energy Essentials]],$C$7:$C$510,$L19)&gt;0,0,MROUND(IFERROR(AE19*($P19/$AI19),0),100))</f>
        <v>0</v>
      </c>
      <c r="AY19" s="1">
        <f ca="1">IF(COUNTIFS($J$7:$J$510,Table7[[#Headers],[Energy User RTM Analysis]],$C$7:$C$510,$L19)&gt;0,0,MROUND(IFERROR(AF19*($P19/$AI19),0),100))</f>
        <v>0</v>
      </c>
      <c r="AZ19" s="1">
        <f ca="1">IF(COUNTIFS($J$7:$J$510,Table7[[#Headers],[Energy User Forecasts]],$C$7:$C$510,$L19)&gt;0,0,MROUND(IFERROR(AG19*($P19/$AI19),0),100))</f>
        <v>0</v>
      </c>
      <c r="BA19" s="1">
        <f ca="1">IF(COUNTIFS($J$7:$J$510,Table7[[#Headers],[Energy User Regulation]],$C$7:$C$510,$L19)&gt;0,0,MROUND(IFERROR(AH19*($P19/$AI19),0),100))</f>
        <v>0</v>
      </c>
    </row>
    <row r="20" spans="2:53">
      <c r="B20" s="38" t="s">
        <v>2053</v>
      </c>
      <c r="C20" s="38" t="s">
        <v>146</v>
      </c>
      <c r="D20" s="38" t="s">
        <v>2040</v>
      </c>
      <c r="E20" s="38" t="s">
        <v>1799</v>
      </c>
      <c r="F20" s="63">
        <v>7650.0000000000009</v>
      </c>
      <c r="G20" s="38"/>
      <c r="H20" s="38" t="s">
        <v>1702</v>
      </c>
      <c r="I20" s="38" t="s">
        <v>2032</v>
      </c>
      <c r="J20" s="38" t="s">
        <v>20</v>
      </c>
      <c r="L20" s="1" t="str">
        <v>Associated British Ports</v>
      </c>
      <c r="M20" s="1" t="str">
        <f t="shared" si="2"/>
        <v>Energy User</v>
      </c>
      <c r="N20" s="109">
        <f t="shared" si="3"/>
        <v>24700</v>
      </c>
      <c r="O20" s="1">
        <f>IFERROR(IF(INDEX(Table3[[Total Spend]:[Total Spend]],MATCH(L20,Table3[[Company name]:[Company name]],0))&gt;N20,INDEX(Table3[[Total Spend]:[Total Spend]],MATCH(L20,Table3[[Company name]:[Company name]])),N20),50000)</f>
        <v>50000</v>
      </c>
      <c r="P20" s="109">
        <f t="shared" si="4"/>
        <v>25300</v>
      </c>
      <c r="Q20" s="103">
        <f t="shared" si="5"/>
        <v>0.49399999999999999</v>
      </c>
      <c r="R20" s="1">
        <f ca="1">IFERROR(INDEX(INDIRECT("Table3[Column"&amp;R$9&amp;"]"),MATCH($L20,Table3[[Company name]:[Company name]],0)),0)</f>
        <v>0</v>
      </c>
      <c r="S20" s="1">
        <f ca="1">IFERROR(INDEX(INDIRECT("Table3[Column"&amp;S$9&amp;"]"),MATCH($L20,Table3[[Company name]:[Company name]],0)),0)</f>
        <v>0</v>
      </c>
      <c r="T20" s="1">
        <f ca="1">IFERROR(INDEX(INDIRECT("Table3[Column"&amp;T$9&amp;"]"),MATCH($L20,Table3[[Company name]:[Company name]],0)),0)</f>
        <v>0</v>
      </c>
      <c r="U20" s="1">
        <f ca="1">IFERROR(INDEX(INDIRECT("Table3[Column"&amp;U$9&amp;"]"),MATCH($L20,Table3[[Company name]:[Company name]],0)),0)</f>
        <v>0</v>
      </c>
      <c r="V20" s="1">
        <f ca="1">IFERROR(INDEX(INDIRECT("Table3[Column"&amp;V$9&amp;"]"),MATCH($L20,Table3[[Company name]:[Company name]],0)),0)</f>
        <v>0</v>
      </c>
      <c r="W20" s="1">
        <f ca="1">IFERROR(INDEX(INDIRECT("Table3[Column"&amp;W$9&amp;"]"),MATCH($L20,Table3[[Company name]:[Company name]],0)),0)</f>
        <v>0</v>
      </c>
      <c r="X20" s="1">
        <f ca="1">IFERROR(INDEX(INDIRECT("Table3[Column"&amp;X$9&amp;"]"),MATCH($L20,Table3[[Company name]:[Company name]],0)),0)</f>
        <v>0</v>
      </c>
      <c r="Y20" s="1">
        <f ca="1">IFERROR(INDEX(INDIRECT("Table3[Column"&amp;Y$9&amp;"]"),MATCH($L20,Table3[[Company name]:[Company name]],0)),0)</f>
        <v>0</v>
      </c>
      <c r="Z20" s="1">
        <f ca="1">IFERROR(INDEX(INDIRECT("Table3[Column"&amp;Z$9&amp;"]"),MATCH($L20,Table3[[Company name]:[Company name]],0)),0)</f>
        <v>0</v>
      </c>
      <c r="AA20" s="1">
        <f ca="1">IFERROR(INDEX(INDIRECT("Table3[Column"&amp;AA$9&amp;"]"),MATCH($L20,Table3[[Company name]:[Company name]],0)),0)</f>
        <v>0</v>
      </c>
      <c r="AB20" s="1">
        <f ca="1">IFERROR(INDEX(INDIRECT("Table3[Column"&amp;AB$9&amp;"]"),MATCH($L20,Table3[[Company name]:[Company name]],0)),0)</f>
        <v>0</v>
      </c>
      <c r="AC20" s="1">
        <f ca="1">IFERROR(INDEX(INDIRECT("Table3[Column"&amp;AC$9&amp;"]"),MATCH($L20,Table3[[Company name]:[Company name]],0)),0)</f>
        <v>0</v>
      </c>
      <c r="AD20" s="1">
        <f ca="1">IFERROR(INDEX(INDIRECT("Table3[Column"&amp;AD$9&amp;"]"),MATCH($L20,Table3[[Company name]:[Company name]],0)),0)</f>
        <v>0</v>
      </c>
      <c r="AE20" s="1">
        <f ca="1">IFERROR(INDEX(INDIRECT("Table3[Column"&amp;AE$9&amp;"]"),MATCH($L20,Table3[[Company name]:[Company name]],0)),0)</f>
        <v>15300</v>
      </c>
      <c r="AF20" s="1">
        <f ca="1">IFERROR(INDEX(INDIRECT("Table3[Column"&amp;AF$9&amp;"]"),MATCH($L20,Table3[[Company name]:[Company name]],0)),0)</f>
        <v>15750</v>
      </c>
      <c r="AG20" s="1">
        <f ca="1">IFERROR(INDEX(INDIRECT("Table3[Column"&amp;AG$9&amp;"]"),MATCH($L20,Table3[[Company name]:[Company name]],0)),0)</f>
        <v>27000</v>
      </c>
      <c r="AH20" s="1">
        <f ca="1">IFERROR(INDEX(INDIRECT("Table3[Column"&amp;AH$9&amp;"]"),MATCH($L20,Table3[[Company name]:[Company name]],0)),0)</f>
        <v>6300</v>
      </c>
      <c r="AI20" s="1">
        <f t="shared" ca="1" si="6"/>
        <v>64350</v>
      </c>
      <c r="AK20" s="1">
        <f>IF(COUNTIFS($J$7:$J$510,Table7[[#Headers],[Industry Essentials]],$C$7:$C$510,$L20)&gt;0,0,MROUND(R20,100))</f>
        <v>0</v>
      </c>
      <c r="AL20" s="1">
        <f ca="1">IF(COUNTIFS($J$7:$J$510,Table7[[#Headers],[Energy Supply Market Intelligence]],$C$7:$C$510,$L20)&gt;0,0,MROUND(IFERROR(S20*($P20/$AI20),0),100))</f>
        <v>0</v>
      </c>
      <c r="AM20" s="1">
        <f ca="1">IF(COUNTIFS($J$7:$J$510,Table7[[#Headers],[Energy Supply RTM Analysis]],$C$7:$C$510,$L20)&gt;0,0,MROUND(IFERROR(T20*($P20/$AI20),0),100))</f>
        <v>0</v>
      </c>
      <c r="AN20" s="1">
        <f ca="1">IF(COUNTIFS($J$7:$J$510,Table7[[#Headers],[Energy Supply Forecasts]],$C$7:$C$510,$L20)&gt;0,0,MROUND(IFERROR(U20*($P20/$AI20),0),100))</f>
        <v>0</v>
      </c>
      <c r="AO20" s="1">
        <f ca="1">IF(COUNTIFS($J$7:$J$510,Table7[[#Headers],[Energy Supply Regulation]],$C$7:$C$510,$L20)&gt;0,0,MROUND(IFERROR(V20*($P20/$AI20),0),100))</f>
        <v>0</v>
      </c>
      <c r="AP20" s="1">
        <f ca="1">IF(COUNTIFS($J$7:$J$510,Table7[[#Headers],[Renewables Market Intelligence]],$C$7:$C$510,$L20)&gt;0,0,MROUND(IFERROR(W20*($P20/$AI20),0),100))</f>
        <v>0</v>
      </c>
      <c r="AQ20" s="1">
        <f ca="1">IF(COUNTIFS($J$7:$J$510,Table7[[#Headers],[Renewables RTM Analysis]],$C$7:$C$510,$L20)&gt;0,0,MROUND(IFERROR(X20*($P20/$AI20),0),100))</f>
        <v>0</v>
      </c>
      <c r="AR20" s="1">
        <f ca="1">IF(COUNTIFS($J$7:$J$510,Table7[[#Headers],[Renewables Forecasts]],$C$7:$C$510,$L20)&gt;0,0,MROUND(IFERROR(Y20*($P20/$AI20),0),100))</f>
        <v>0</v>
      </c>
      <c r="AS20" s="1">
        <f ca="1">IF(COUNTIFS($J$7:$J$510,Table7[[#Headers],[Renewables Regulation]],$C$7:$C$510,$L20)&gt;0,0,MROUND(IFERROR(Z20*($P20/$AI20),0),100))</f>
        <v>0</v>
      </c>
      <c r="AT20" s="1">
        <f ca="1">IF(COUNTIFS($J$7:$J$510,Table7[[#Headers],[Flexibility Market Intelligence]],$C$7:$C$510,$L20)&gt;0,0,MROUND(IFERROR(AA20*($P20/$AI20),0),100))</f>
        <v>0</v>
      </c>
      <c r="AU20" s="1">
        <f ca="1">IF(COUNTIFS($J$7:$J$510,Table7[[#Headers],[Flexibility RTM Analysis]],$C$7:$C$510,$L20)&gt;0,0,MROUND(IFERROR(AB20*($P20/$AI20),0),100))</f>
        <v>0</v>
      </c>
      <c r="AV20" s="1">
        <f ca="1">IF(COUNTIFS($J$7:$J$510,Table7[[#Headers],[Flexibility Forecasts]],$C$7:$C$510,$L20)&gt;0,0,MROUND(IFERROR(AC20*($P20/$AI20),0),100))</f>
        <v>0</v>
      </c>
      <c r="AW20" s="1">
        <f ca="1">IF(COUNTIFS($J$7:$J$510,Table7[[#Headers],[Flexibility Regulation]],$C$7:$C$510,$L20)&gt;0,0,MROUND(IFERROR(AD20*($P20/$AI20),0),100))</f>
        <v>0</v>
      </c>
      <c r="AX20" s="1">
        <f ca="1">IF(COUNTIFS($J$7:$J$510,Table7[[#Headers],[Business Energy Essentials]],$C$7:$C$510,$L20)&gt;0,0,MROUND(IFERROR(AE20*($P20/$AI20),0),100))</f>
        <v>6000</v>
      </c>
      <c r="AY20" s="1">
        <f ca="1">IF(COUNTIFS($J$7:$J$510,Table7[[#Headers],[Energy User RTM Analysis]],$C$7:$C$510,$L20)&gt;0,0,MROUND(IFERROR(AF20*($P20/$AI20),0),100))</f>
        <v>6200</v>
      </c>
      <c r="AZ20" s="1">
        <f>IF(COUNTIFS($J$7:$J$510,Table7[[#Headers],[Energy User Forecasts]],$C$7:$C$510,$L20)&gt;0,0,MROUND(IFERROR(AG20*($P20/$AI20),0),100))</f>
        <v>0</v>
      </c>
      <c r="BA20" s="1">
        <f ca="1">IF(COUNTIFS($J$7:$J$510,Table7[[#Headers],[Energy User Regulation]],$C$7:$C$510,$L20)&gt;0,0,MROUND(IFERROR(AH20*($P20/$AI20),0),100))</f>
        <v>2500</v>
      </c>
    </row>
    <row r="21" spans="2:53">
      <c r="B21" s="38" t="s">
        <v>2053</v>
      </c>
      <c r="C21" s="38" t="s">
        <v>146</v>
      </c>
      <c r="D21" s="38" t="s">
        <v>2054</v>
      </c>
      <c r="E21" s="38" t="s">
        <v>2055</v>
      </c>
      <c r="F21" s="63">
        <v>14025</v>
      </c>
      <c r="G21" s="38"/>
      <c r="H21" s="38" t="s">
        <v>1702</v>
      </c>
      <c r="I21" s="38" t="s">
        <v>1702</v>
      </c>
      <c r="J21" s="38" t="s">
        <v>27</v>
      </c>
      <c r="L21" s="1" t="str">
        <v>Axpo UK Limited</v>
      </c>
      <c r="M21" s="1" t="str">
        <f t="shared" si="2"/>
        <v>Supply</v>
      </c>
      <c r="N21" s="109">
        <f t="shared" si="3"/>
        <v>11170</v>
      </c>
      <c r="O21" s="1">
        <f>IFERROR(IF(INDEX(Table3[[Total Spend]:[Total Spend]],MATCH(L21,Table3[[Company name]:[Company name]],0))&gt;N21,INDEX(Table3[[Total Spend]:[Total Spend]],MATCH(L21,Table3[[Company name]:[Company name]])),N21),50000)</f>
        <v>50000</v>
      </c>
      <c r="P21" s="109">
        <f t="shared" si="4"/>
        <v>38830</v>
      </c>
      <c r="Q21" s="103">
        <f t="shared" si="5"/>
        <v>0.22339999999999999</v>
      </c>
      <c r="R21" s="1">
        <f ca="1">IFERROR(INDEX(INDIRECT("Table3[Column"&amp;R$9&amp;"]"),MATCH($L21,Table3[[Company name]:[Company name]],0)),0)</f>
        <v>8100</v>
      </c>
      <c r="S21" s="1">
        <f ca="1">IFERROR(INDEX(INDIRECT("Table3[Column"&amp;S$9&amp;"]"),MATCH($L21,Table3[[Company name]:[Company name]],0)),0)</f>
        <v>30600</v>
      </c>
      <c r="T21" s="1">
        <f ca="1">IFERROR(INDEX(INDIRECT("Table3[Column"&amp;T$9&amp;"]"),MATCH($L21,Table3[[Company name]:[Company name]],0)),0)</f>
        <v>53100</v>
      </c>
      <c r="U21" s="1">
        <f ca="1">IFERROR(INDEX(INDIRECT("Table3[Column"&amp;U$9&amp;"]"),MATCH($L21,Table3[[Company name]:[Company name]],0)),0)</f>
        <v>34200</v>
      </c>
      <c r="V21" s="1">
        <f ca="1">IFERROR(INDEX(INDIRECT("Table3[Column"&amp;V$9&amp;"]"),MATCH($L21,Table3[[Company name]:[Company name]],0)),0)</f>
        <v>39600</v>
      </c>
      <c r="W21" s="1">
        <f ca="1">IFERROR(INDEX(INDIRECT("Table3[Column"&amp;W$9&amp;"]"),MATCH($L21,Table3[[Company name]:[Company name]],0)),0)</f>
        <v>0</v>
      </c>
      <c r="X21" s="1">
        <f ca="1">IFERROR(INDEX(INDIRECT("Table3[Column"&amp;X$9&amp;"]"),MATCH($L21,Table3[[Company name]:[Company name]],0)),0)</f>
        <v>15300</v>
      </c>
      <c r="Y21" s="1">
        <f ca="1">IFERROR(INDEX(INDIRECT("Table3[Column"&amp;Y$9&amp;"]"),MATCH($L21,Table3[[Company name]:[Company name]],0)),0)</f>
        <v>0</v>
      </c>
      <c r="Z21" s="1">
        <f ca="1">IFERROR(INDEX(INDIRECT("Table3[Column"&amp;Z$9&amp;"]"),MATCH($L21,Table3[[Company name]:[Company name]],0)),0)</f>
        <v>0</v>
      </c>
      <c r="AA21" s="1">
        <f ca="1">IFERROR(INDEX(INDIRECT("Table3[Column"&amp;AA$9&amp;"]"),MATCH($L21,Table3[[Company name]:[Company name]],0)),0)</f>
        <v>21600</v>
      </c>
      <c r="AB21" s="1">
        <f ca="1">IFERROR(INDEX(INDIRECT("Table3[Column"&amp;AB$9&amp;"]"),MATCH($L21,Table3[[Company name]:[Company name]],0)),0)</f>
        <v>7650</v>
      </c>
      <c r="AC21" s="1">
        <f ca="1">IFERROR(INDEX(INDIRECT("Table3[Column"&amp;AC$9&amp;"]"),MATCH($L21,Table3[[Company name]:[Company name]],0)),0)</f>
        <v>31500</v>
      </c>
      <c r="AD21" s="1">
        <f ca="1">IFERROR(INDEX(INDIRECT("Table3[Column"&amp;AD$9&amp;"]"),MATCH($L21,Table3[[Company name]:[Company name]],0)),0)</f>
        <v>0</v>
      </c>
      <c r="AE21" s="1">
        <f ca="1">IFERROR(INDEX(INDIRECT("Table3[Column"&amp;AE$9&amp;"]"),MATCH($L21,Table3[[Company name]:[Company name]],0)),0)</f>
        <v>0</v>
      </c>
      <c r="AF21" s="1">
        <f ca="1">IFERROR(INDEX(INDIRECT("Table3[Column"&amp;AF$9&amp;"]"),MATCH($L21,Table3[[Company name]:[Company name]],0)),0)</f>
        <v>0</v>
      </c>
      <c r="AG21" s="1">
        <f ca="1">IFERROR(INDEX(INDIRECT("Table3[Column"&amp;AG$9&amp;"]"),MATCH($L21,Table3[[Company name]:[Company name]],0)),0)</f>
        <v>0</v>
      </c>
      <c r="AH21" s="1">
        <f ca="1">IFERROR(INDEX(INDIRECT("Table3[Column"&amp;AH$9&amp;"]"),MATCH($L21,Table3[[Company name]:[Company name]],0)),0)</f>
        <v>0</v>
      </c>
      <c r="AI21" s="1">
        <f t="shared" ca="1" si="6"/>
        <v>241650</v>
      </c>
      <c r="AK21" s="1">
        <f>IF(COUNTIFS($J$7:$J$510,Table7[[#Headers],[Industry Essentials]],$C$7:$C$510,$L21)&gt;0,0,MROUND(R21,100))</f>
        <v>0</v>
      </c>
      <c r="AL21" s="1">
        <f ca="1">IF(COUNTIFS($J$7:$J$510,Table7[[#Headers],[Energy Supply Market Intelligence]],$C$7:$C$510,$L21)&gt;0,0,MROUND(IFERROR(S21*($P21/$AI21),0),100))</f>
        <v>4900</v>
      </c>
      <c r="AM21" s="1">
        <f ca="1">IF(COUNTIFS($J$7:$J$510,Table7[[#Headers],[Energy Supply RTM Analysis]],$C$7:$C$510,$L21)&gt;0,0,MROUND(IFERROR(T21*($P21/$AI21),0),100))</f>
        <v>8500</v>
      </c>
      <c r="AN21" s="1">
        <f ca="1">IF(COUNTIFS($J$7:$J$510,Table7[[#Headers],[Energy Supply Forecasts]],$C$7:$C$510,$L21)&gt;0,0,MROUND(IFERROR(U21*($P21/$AI21),0),100))</f>
        <v>5500</v>
      </c>
      <c r="AO21" s="1">
        <f ca="1">IF(COUNTIFS($J$7:$J$510,Table7[[#Headers],[Energy Supply Regulation]],$C$7:$C$510,$L21)&gt;0,0,MROUND(IFERROR(V21*($P21/$AI21),0),100))</f>
        <v>6400</v>
      </c>
      <c r="AP21" s="1">
        <f ca="1">IF(COUNTIFS($J$7:$J$510,Table7[[#Headers],[Renewables Market Intelligence]],$C$7:$C$510,$L21)&gt;0,0,MROUND(IFERROR(W21*($P21/$AI21),0),100))</f>
        <v>0</v>
      </c>
      <c r="AQ21" s="1">
        <f ca="1">IF(COUNTIFS($J$7:$J$510,Table7[[#Headers],[Renewables RTM Analysis]],$C$7:$C$510,$L21)&gt;0,0,MROUND(IFERROR(X21*($P21/$AI21),0),100))</f>
        <v>2500</v>
      </c>
      <c r="AR21" s="1">
        <f>IF(COUNTIFS($J$7:$J$510,Table7[[#Headers],[Renewables Forecasts]],$C$7:$C$510,$L21)&gt;0,0,MROUND(IFERROR(Y21*($P21/$AI21),0),100))</f>
        <v>0</v>
      </c>
      <c r="AS21" s="1">
        <f ca="1">IF(COUNTIFS($J$7:$J$510,Table7[[#Headers],[Renewables Regulation]],$C$7:$C$510,$L21)&gt;0,0,MROUND(IFERROR(Z21*($P21/$AI21),0),100))</f>
        <v>0</v>
      </c>
      <c r="AT21" s="1">
        <f ca="1">IF(COUNTIFS($J$7:$J$510,Table7[[#Headers],[Flexibility Market Intelligence]],$C$7:$C$510,$L21)&gt;0,0,MROUND(IFERROR(AA21*($P21/$AI21),0),100))</f>
        <v>3500</v>
      </c>
      <c r="AU21" s="1">
        <f ca="1">IF(COUNTIFS($J$7:$J$510,Table7[[#Headers],[Flexibility RTM Analysis]],$C$7:$C$510,$L21)&gt;0,0,MROUND(IFERROR(AB21*($P21/$AI21),0),100))</f>
        <v>1200</v>
      </c>
      <c r="AV21" s="1">
        <f ca="1">IF(COUNTIFS($J$7:$J$510,Table7[[#Headers],[Flexibility Forecasts]],$C$7:$C$510,$L21)&gt;0,0,MROUND(IFERROR(AC21*($P21/$AI21),0),100))</f>
        <v>5100</v>
      </c>
      <c r="AW21" s="1">
        <f ca="1">IF(COUNTIFS($J$7:$J$510,Table7[[#Headers],[Flexibility Regulation]],$C$7:$C$510,$L21)&gt;0,0,MROUND(IFERROR(AD21*($P21/$AI21),0),100))</f>
        <v>0</v>
      </c>
      <c r="AX21" s="1">
        <f ca="1">IF(COUNTIFS($J$7:$J$510,Table7[[#Headers],[Business Energy Essentials]],$C$7:$C$510,$L21)&gt;0,0,MROUND(IFERROR(AE21*($P21/$AI21),0),100))</f>
        <v>0</v>
      </c>
      <c r="AY21" s="1">
        <f ca="1">IF(COUNTIFS($J$7:$J$510,Table7[[#Headers],[Energy User RTM Analysis]],$C$7:$C$510,$L21)&gt;0,0,MROUND(IFERROR(AF21*($P21/$AI21),0),100))</f>
        <v>0</v>
      </c>
      <c r="AZ21" s="1">
        <f ca="1">IF(COUNTIFS($J$7:$J$510,Table7[[#Headers],[Energy User Forecasts]],$C$7:$C$510,$L21)&gt;0,0,MROUND(IFERROR(AG21*($P21/$AI21),0),100))</f>
        <v>0</v>
      </c>
      <c r="BA21" s="1">
        <f ca="1">IF(COUNTIFS($J$7:$J$510,Table7[[#Headers],[Energy User Regulation]],$C$7:$C$510,$L21)&gt;0,0,MROUND(IFERROR(AH21*($P21/$AI21),0),100))</f>
        <v>0</v>
      </c>
    </row>
    <row r="22" spans="2:53">
      <c r="B22" s="38" t="s">
        <v>2056</v>
      </c>
      <c r="C22" s="38" t="s">
        <v>199</v>
      </c>
      <c r="D22" s="38" t="s">
        <v>2057</v>
      </c>
      <c r="E22" s="38" t="s">
        <v>1826</v>
      </c>
      <c r="F22" s="63">
        <v>6340.99</v>
      </c>
      <c r="G22" s="38"/>
      <c r="H22" s="38" t="s">
        <v>1702</v>
      </c>
      <c r="I22" s="38" t="s">
        <v>1702</v>
      </c>
      <c r="J22" s="38" t="s">
        <v>27</v>
      </c>
      <c r="L22" s="1" t="str">
        <v>BayWa r.e. UK Limited</v>
      </c>
      <c r="M22" s="1" t="str">
        <f t="shared" si="2"/>
        <v>Renewables</v>
      </c>
      <c r="N22" s="109">
        <f t="shared" si="3"/>
        <v>21675</v>
      </c>
      <c r="O22" s="1">
        <f>IFERROR(IF(INDEX(Table3[[Total Spend]:[Total Spend]],MATCH(L22,Table3[[Company name]:[Company name]],0))&gt;N22,INDEX(Table3[[Total Spend]:[Total Spend]],MATCH(L22,Table3[[Company name]:[Company name]])),N22),50000)</f>
        <v>50000</v>
      </c>
      <c r="P22" s="109">
        <f t="shared" si="4"/>
        <v>28325</v>
      </c>
      <c r="Q22" s="103">
        <f t="shared" si="5"/>
        <v>0.4335</v>
      </c>
      <c r="R22" s="1">
        <f ca="1">IFERROR(INDEX(INDIRECT("Table3[Column"&amp;R$9&amp;"]"),MATCH($L22,Table3[[Company name]:[Company name]],0)),0)</f>
        <v>10800</v>
      </c>
      <c r="S22" s="1">
        <f ca="1">IFERROR(INDEX(INDIRECT("Table3[Column"&amp;S$9&amp;"]"),MATCH($L22,Table3[[Company name]:[Company name]],0)),0)</f>
        <v>0</v>
      </c>
      <c r="T22" s="1">
        <f ca="1">IFERROR(INDEX(INDIRECT("Table3[Column"&amp;T$9&amp;"]"),MATCH($L22,Table3[[Company name]:[Company name]],0)),0)</f>
        <v>0</v>
      </c>
      <c r="U22" s="1">
        <f ca="1">IFERROR(INDEX(INDIRECT("Table3[Column"&amp;U$9&amp;"]"),MATCH($L22,Table3[[Company name]:[Company name]],0)),0)</f>
        <v>0</v>
      </c>
      <c r="V22" s="1">
        <f ca="1">IFERROR(INDEX(INDIRECT("Table3[Column"&amp;V$9&amp;"]"),MATCH($L22,Table3[[Company name]:[Company name]],0)),0)</f>
        <v>0</v>
      </c>
      <c r="W22" s="1">
        <f ca="1">IFERROR(INDEX(INDIRECT("Table3[Column"&amp;W$9&amp;"]"),MATCH($L22,Table3[[Company name]:[Company name]],0)),0)</f>
        <v>23400</v>
      </c>
      <c r="X22" s="1">
        <f ca="1">IFERROR(INDEX(INDIRECT("Table3[Column"&amp;X$9&amp;"]"),MATCH($L22,Table3[[Company name]:[Company name]],0)),0)</f>
        <v>20700</v>
      </c>
      <c r="Y22" s="1">
        <f ca="1">IFERROR(INDEX(INDIRECT("Table3[Column"&amp;Y$9&amp;"]"),MATCH($L22,Table3[[Company name]:[Company name]],0)),0)</f>
        <v>59400</v>
      </c>
      <c r="Z22" s="1">
        <f ca="1">IFERROR(INDEX(INDIRECT("Table3[Column"&amp;Z$9&amp;"]"),MATCH($L22,Table3[[Company name]:[Company name]],0)),0)</f>
        <v>26100</v>
      </c>
      <c r="AA22" s="1">
        <f ca="1">IFERROR(INDEX(INDIRECT("Table3[Column"&amp;AA$9&amp;"]"),MATCH($L22,Table3[[Company name]:[Company name]],0)),0)</f>
        <v>29700</v>
      </c>
      <c r="AB22" s="1">
        <f ca="1">IFERROR(INDEX(INDIRECT("Table3[Column"&amp;AB$9&amp;"]"),MATCH($L22,Table3[[Company name]:[Company name]],0)),0)</f>
        <v>10800</v>
      </c>
      <c r="AC22" s="1">
        <f ca="1">IFERROR(INDEX(INDIRECT("Table3[Column"&amp;AC$9&amp;"]"),MATCH($L22,Table3[[Company name]:[Company name]],0)),0)</f>
        <v>44100</v>
      </c>
      <c r="AD22" s="1">
        <f ca="1">IFERROR(INDEX(INDIRECT("Table3[Column"&amp;AD$9&amp;"]"),MATCH($L22,Table3[[Company name]:[Company name]],0)),0)</f>
        <v>36000</v>
      </c>
      <c r="AE22" s="1">
        <f ca="1">IFERROR(INDEX(INDIRECT("Table3[Column"&amp;AE$9&amp;"]"),MATCH($L22,Table3[[Company name]:[Company name]],0)),0)</f>
        <v>0</v>
      </c>
      <c r="AF22" s="1">
        <f ca="1">IFERROR(INDEX(INDIRECT("Table3[Column"&amp;AF$9&amp;"]"),MATCH($L22,Table3[[Company name]:[Company name]],0)),0)</f>
        <v>0</v>
      </c>
      <c r="AG22" s="1">
        <f ca="1">IFERROR(INDEX(INDIRECT("Table3[Column"&amp;AG$9&amp;"]"),MATCH($L22,Table3[[Company name]:[Company name]],0)),0)</f>
        <v>0</v>
      </c>
      <c r="AH22" s="1">
        <f ca="1">IFERROR(INDEX(INDIRECT("Table3[Column"&amp;AH$9&amp;"]"),MATCH($L22,Table3[[Company name]:[Company name]],0)),0)</f>
        <v>0</v>
      </c>
      <c r="AI22" s="1">
        <f t="shared" ca="1" si="6"/>
        <v>261000</v>
      </c>
      <c r="AK22" s="1">
        <f>IF(COUNTIFS($J$7:$J$510,Table7[[#Headers],[Industry Essentials]],$C$7:$C$510,$L22)&gt;0,0,MROUND(R22,100))</f>
        <v>0</v>
      </c>
      <c r="AL22" s="1">
        <f ca="1">IF(COUNTIFS($J$7:$J$510,Table7[[#Headers],[Energy Supply Market Intelligence]],$C$7:$C$510,$L22)&gt;0,0,MROUND(IFERROR(S22*($P22/$AI22),0),100))</f>
        <v>0</v>
      </c>
      <c r="AM22" s="1">
        <f ca="1">IF(COUNTIFS($J$7:$J$510,Table7[[#Headers],[Energy Supply RTM Analysis]],$C$7:$C$510,$L22)&gt;0,0,MROUND(IFERROR(T22*($P22/$AI22),0),100))</f>
        <v>0</v>
      </c>
      <c r="AN22" s="1">
        <f ca="1">IF(COUNTIFS($J$7:$J$510,Table7[[#Headers],[Energy Supply Forecasts]],$C$7:$C$510,$L22)&gt;0,0,MROUND(IFERROR(U22*($P22/$AI22),0),100))</f>
        <v>0</v>
      </c>
      <c r="AO22" s="1">
        <f ca="1">IF(COUNTIFS($J$7:$J$510,Table7[[#Headers],[Energy Supply Regulation]],$C$7:$C$510,$L22)&gt;0,0,MROUND(IFERROR(V22*($P22/$AI22),0),100))</f>
        <v>0</v>
      </c>
      <c r="AP22" s="1">
        <f ca="1">IF(COUNTIFS($J$7:$J$510,Table7[[#Headers],[Renewables Market Intelligence]],$C$7:$C$510,$L22)&gt;0,0,MROUND(IFERROR(W22*($P22/$AI22),0),100))</f>
        <v>2500</v>
      </c>
      <c r="AQ22" s="1">
        <f ca="1">IF(COUNTIFS($J$7:$J$510,Table7[[#Headers],[Renewables RTM Analysis]],$C$7:$C$510,$L22)&gt;0,0,MROUND(IFERROR(X22*($P22/$AI22),0),100))</f>
        <v>2200</v>
      </c>
      <c r="AR22" s="1">
        <f>IF(COUNTIFS($J$7:$J$510,Table7[[#Headers],[Renewables Forecasts]],$C$7:$C$510,$L22)&gt;0,0,MROUND(IFERROR(Y22*($P22/$AI22),0),100))</f>
        <v>0</v>
      </c>
      <c r="AS22" s="1">
        <f ca="1">IF(COUNTIFS($J$7:$J$510,Table7[[#Headers],[Renewables Regulation]],$C$7:$C$510,$L22)&gt;0,0,MROUND(IFERROR(Z22*($P22/$AI22),0),100))</f>
        <v>2800</v>
      </c>
      <c r="AT22" s="1">
        <f ca="1">IF(COUNTIFS($J$7:$J$510,Table7[[#Headers],[Flexibility Market Intelligence]],$C$7:$C$510,$L22)&gt;0,0,MROUND(IFERROR(AA22*($P22/$AI22),0),100))</f>
        <v>3200</v>
      </c>
      <c r="AU22" s="1">
        <f ca="1">IF(COUNTIFS($J$7:$J$510,Table7[[#Headers],[Flexibility RTM Analysis]],$C$7:$C$510,$L22)&gt;0,0,MROUND(IFERROR(AB22*($P22/$AI22),0),100))</f>
        <v>1200</v>
      </c>
      <c r="AV22" s="1">
        <f ca="1">IF(COUNTIFS($J$7:$J$510,Table7[[#Headers],[Flexibility Forecasts]],$C$7:$C$510,$L22)&gt;0,0,MROUND(IFERROR(AC22*($P22/$AI22),0),100))</f>
        <v>4800</v>
      </c>
      <c r="AW22" s="1">
        <f ca="1">IF(COUNTIFS($J$7:$J$510,Table7[[#Headers],[Flexibility Regulation]],$C$7:$C$510,$L22)&gt;0,0,MROUND(IFERROR(AD22*($P22/$AI22),0),100))</f>
        <v>3900</v>
      </c>
      <c r="AX22" s="1">
        <f ca="1">IF(COUNTIFS($J$7:$J$510,Table7[[#Headers],[Business Energy Essentials]],$C$7:$C$510,$L22)&gt;0,0,MROUND(IFERROR(AE22*($P22/$AI22),0),100))</f>
        <v>0</v>
      </c>
      <c r="AY22" s="1">
        <f ca="1">IF(COUNTIFS($J$7:$J$510,Table7[[#Headers],[Energy User RTM Analysis]],$C$7:$C$510,$L22)&gt;0,0,MROUND(IFERROR(AF22*($P22/$AI22),0),100))</f>
        <v>0</v>
      </c>
      <c r="AZ22" s="1">
        <f ca="1">IF(COUNTIFS($J$7:$J$510,Table7[[#Headers],[Energy User Forecasts]],$C$7:$C$510,$L22)&gt;0,0,MROUND(IFERROR(AG22*($P22/$AI22),0),100))</f>
        <v>0</v>
      </c>
      <c r="BA22" s="1">
        <f ca="1">IF(COUNTIFS($J$7:$J$510,Table7[[#Headers],[Energy User Regulation]],$C$7:$C$510,$L22)&gt;0,0,MROUND(IFERROR(AH22*($P22/$AI22),0),100))</f>
        <v>0</v>
      </c>
    </row>
    <row r="23" spans="2:53">
      <c r="B23" s="38" t="s">
        <v>2056</v>
      </c>
      <c r="C23" s="38" t="s">
        <v>199</v>
      </c>
      <c r="D23" s="38" t="s">
        <v>2038</v>
      </c>
      <c r="E23" s="38" t="s">
        <v>1838</v>
      </c>
      <c r="F23" s="63">
        <v>6340.99</v>
      </c>
      <c r="G23" s="38"/>
      <c r="H23" s="38" t="s">
        <v>1702</v>
      </c>
      <c r="I23" s="38" t="s">
        <v>1702</v>
      </c>
      <c r="J23" s="38" t="s">
        <v>27</v>
      </c>
      <c r="L23" s="1" t="str">
        <v>Biffa Waste Services Ltd</v>
      </c>
      <c r="M23" s="1" t="str">
        <f t="shared" si="2"/>
        <v>Renewables</v>
      </c>
      <c r="N23" s="109">
        <f t="shared" si="3"/>
        <v>12681.98</v>
      </c>
      <c r="O23" s="1">
        <f>IFERROR(IF(INDEX(Table3[[Total Spend]:[Total Spend]],MATCH(L23,Table3[[Company name]:[Company name]],0))&gt;N23,INDEX(Table3[[Total Spend]:[Total Spend]],MATCH(L23,Table3[[Company name]:[Company name]])),N23),50000)</f>
        <v>50000</v>
      </c>
      <c r="P23" s="109">
        <f t="shared" si="4"/>
        <v>37318.020000000004</v>
      </c>
      <c r="Q23" s="103">
        <f t="shared" si="5"/>
        <v>0.25363959999999997</v>
      </c>
      <c r="R23" s="1">
        <f ca="1">IFERROR(INDEX(INDIRECT("Table3[Column"&amp;R$9&amp;"]"),MATCH($L23,Table3[[Company name]:[Company name]],0)),0)</f>
        <v>8100</v>
      </c>
      <c r="S23" s="1">
        <f ca="1">IFERROR(INDEX(INDIRECT("Table3[Column"&amp;S$9&amp;"]"),MATCH($L23,Table3[[Company name]:[Company name]],0)),0)</f>
        <v>0</v>
      </c>
      <c r="T23" s="1">
        <f ca="1">IFERROR(INDEX(INDIRECT("Table3[Column"&amp;T$9&amp;"]"),MATCH($L23,Table3[[Company name]:[Company name]],0)),0)</f>
        <v>0</v>
      </c>
      <c r="U23" s="1">
        <f ca="1">IFERROR(INDEX(INDIRECT("Table3[Column"&amp;U$9&amp;"]"),MATCH($L23,Table3[[Company name]:[Company name]],0)),0)</f>
        <v>0</v>
      </c>
      <c r="V23" s="1">
        <f ca="1">IFERROR(INDEX(INDIRECT("Table3[Column"&amp;V$9&amp;"]"),MATCH($L23,Table3[[Company name]:[Company name]],0)),0)</f>
        <v>0</v>
      </c>
      <c r="W23" s="1">
        <f ca="1">IFERROR(INDEX(INDIRECT("Table3[Column"&amp;W$9&amp;"]"),MATCH($L23,Table3[[Company name]:[Company name]],0)),0)</f>
        <v>17100</v>
      </c>
      <c r="X23" s="1">
        <f ca="1">IFERROR(INDEX(INDIRECT("Table3[Column"&amp;X$9&amp;"]"),MATCH($L23,Table3[[Company name]:[Company name]],0)),0)</f>
        <v>15300</v>
      </c>
      <c r="Y23" s="1">
        <f ca="1">IFERROR(INDEX(INDIRECT("Table3[Column"&amp;Y$9&amp;"]"),MATCH($L23,Table3[[Company name]:[Company name]],0)),0)</f>
        <v>42300</v>
      </c>
      <c r="Z23" s="1">
        <f ca="1">IFERROR(INDEX(INDIRECT("Table3[Column"&amp;Z$9&amp;"]"),MATCH($L23,Table3[[Company name]:[Company name]],0)),0)</f>
        <v>18900</v>
      </c>
      <c r="AA23" s="1">
        <f ca="1">IFERROR(INDEX(INDIRECT("Table3[Column"&amp;AA$9&amp;"]"),MATCH($L23,Table3[[Company name]:[Company name]],0)),0)</f>
        <v>0</v>
      </c>
      <c r="AB23" s="1">
        <f ca="1">IFERROR(INDEX(INDIRECT("Table3[Column"&amp;AB$9&amp;"]"),MATCH($L23,Table3[[Company name]:[Company name]],0)),0)</f>
        <v>0</v>
      </c>
      <c r="AC23" s="1">
        <f ca="1">IFERROR(INDEX(INDIRECT("Table3[Column"&amp;AC$9&amp;"]"),MATCH($L23,Table3[[Company name]:[Company name]],0)),0)</f>
        <v>0</v>
      </c>
      <c r="AD23" s="1">
        <f ca="1">IFERROR(INDEX(INDIRECT("Table3[Column"&amp;AD$9&amp;"]"),MATCH($L23,Table3[[Company name]:[Company name]],0)),0)</f>
        <v>0</v>
      </c>
      <c r="AE23" s="1">
        <f ca="1">IFERROR(INDEX(INDIRECT("Table3[Column"&amp;AE$9&amp;"]"),MATCH($L23,Table3[[Company name]:[Company name]],0)),0)</f>
        <v>10800</v>
      </c>
      <c r="AF23" s="1">
        <f ca="1">IFERROR(INDEX(INDIRECT("Table3[Column"&amp;AF$9&amp;"]"),MATCH($L23,Table3[[Company name]:[Company name]],0)),0)</f>
        <v>11250</v>
      </c>
      <c r="AG23" s="1">
        <f ca="1">IFERROR(INDEX(INDIRECT("Table3[Column"&amp;AG$9&amp;"]"),MATCH($L23,Table3[[Company name]:[Company name]],0)),0)</f>
        <v>19800</v>
      </c>
      <c r="AH23" s="1">
        <f ca="1">IFERROR(INDEX(INDIRECT("Table3[Column"&amp;AH$9&amp;"]"),MATCH($L23,Table3[[Company name]:[Company name]],0)),0)</f>
        <v>4500</v>
      </c>
      <c r="AI23" s="1">
        <f t="shared" ca="1" si="6"/>
        <v>148050</v>
      </c>
      <c r="AK23" s="1">
        <f ca="1">IF(COUNTIFS($J$7:$J$510,Table7[[#Headers],[Industry Essentials]],$C$7:$C$510,$L23)&gt;0,0,MROUND(R23,100))</f>
        <v>8100</v>
      </c>
      <c r="AL23" s="1">
        <f ca="1">IF(COUNTIFS($J$7:$J$510,Table7[[#Headers],[Energy Supply Market Intelligence]],$C$7:$C$510,$L23)&gt;0,0,MROUND(IFERROR(S23*($P23/$AI23),0),100))</f>
        <v>0</v>
      </c>
      <c r="AM23" s="1">
        <f ca="1">IF(COUNTIFS($J$7:$J$510,Table7[[#Headers],[Energy Supply RTM Analysis]],$C$7:$C$510,$L23)&gt;0,0,MROUND(IFERROR(T23*($P23/$AI23),0),100))</f>
        <v>0</v>
      </c>
      <c r="AN23" s="1">
        <f ca="1">IF(COUNTIFS($J$7:$J$510,Table7[[#Headers],[Energy Supply Forecasts]],$C$7:$C$510,$L23)&gt;0,0,MROUND(IFERROR(U23*($P23/$AI23),0),100))</f>
        <v>0</v>
      </c>
      <c r="AO23" s="1">
        <f ca="1">IF(COUNTIFS($J$7:$J$510,Table7[[#Headers],[Energy Supply Regulation]],$C$7:$C$510,$L23)&gt;0,0,MROUND(IFERROR(V23*($P23/$AI23),0),100))</f>
        <v>0</v>
      </c>
      <c r="AP23" s="1">
        <f ca="1">IF(COUNTIFS($J$7:$J$510,Table7[[#Headers],[Renewables Market Intelligence]],$C$7:$C$510,$L23)&gt;0,0,MROUND(IFERROR(W23*($P23/$AI23),0),100))</f>
        <v>4300</v>
      </c>
      <c r="AQ23" s="1">
        <f ca="1">IF(COUNTIFS($J$7:$J$510,Table7[[#Headers],[Renewables RTM Analysis]],$C$7:$C$510,$L23)&gt;0,0,MROUND(IFERROR(X23*($P23/$AI23),0),100))</f>
        <v>3900</v>
      </c>
      <c r="AR23" s="1">
        <f>IF(COUNTIFS($J$7:$J$510,Table7[[#Headers],[Renewables Forecasts]],$C$7:$C$510,$L23)&gt;0,0,MROUND(IFERROR(Y23*($P23/$AI23),0),100))</f>
        <v>0</v>
      </c>
      <c r="AS23" s="1">
        <f ca="1">IF(COUNTIFS($J$7:$J$510,Table7[[#Headers],[Renewables Regulation]],$C$7:$C$510,$L23)&gt;0,0,MROUND(IFERROR(Z23*($P23/$AI23),0),100))</f>
        <v>4800</v>
      </c>
      <c r="AT23" s="1">
        <f ca="1">IF(COUNTIFS($J$7:$J$510,Table7[[#Headers],[Flexibility Market Intelligence]],$C$7:$C$510,$L23)&gt;0,0,MROUND(IFERROR(AA23*($P23/$AI23),0),100))</f>
        <v>0</v>
      </c>
      <c r="AU23" s="1">
        <f ca="1">IF(COUNTIFS($J$7:$J$510,Table7[[#Headers],[Flexibility RTM Analysis]],$C$7:$C$510,$L23)&gt;0,0,MROUND(IFERROR(AB23*($P23/$AI23),0),100))</f>
        <v>0</v>
      </c>
      <c r="AV23" s="1">
        <f ca="1">IF(COUNTIFS($J$7:$J$510,Table7[[#Headers],[Flexibility Forecasts]],$C$7:$C$510,$L23)&gt;0,0,MROUND(IFERROR(AC23*($P23/$AI23),0),100))</f>
        <v>0</v>
      </c>
      <c r="AW23" s="1">
        <f ca="1">IF(COUNTIFS($J$7:$J$510,Table7[[#Headers],[Flexibility Regulation]],$C$7:$C$510,$L23)&gt;0,0,MROUND(IFERROR(AD23*($P23/$AI23),0),100))</f>
        <v>0</v>
      </c>
      <c r="AX23" s="1">
        <f ca="1">IF(COUNTIFS($J$7:$J$510,Table7[[#Headers],[Business Energy Essentials]],$C$7:$C$510,$L23)&gt;0,0,MROUND(IFERROR(AE23*($P23/$AI23),0),100))</f>
        <v>2700</v>
      </c>
      <c r="AY23" s="1">
        <f ca="1">IF(COUNTIFS($J$7:$J$510,Table7[[#Headers],[Energy User RTM Analysis]],$C$7:$C$510,$L23)&gt;0,0,MROUND(IFERROR(AF23*($P23/$AI23),0),100))</f>
        <v>2800</v>
      </c>
      <c r="AZ23" s="1">
        <f ca="1">IF(COUNTIFS($J$7:$J$510,Table7[[#Headers],[Energy User Forecasts]],$C$7:$C$510,$L23)&gt;0,0,MROUND(IFERROR(AG23*($P23/$AI23),0),100))</f>
        <v>5000</v>
      </c>
      <c r="BA23" s="1">
        <f ca="1">IF(COUNTIFS($J$7:$J$510,Table7[[#Headers],[Energy User Regulation]],$C$7:$C$510,$L23)&gt;0,0,MROUND(IFERROR(AH23*($P23/$AI23),0),100))</f>
        <v>1100</v>
      </c>
    </row>
    <row r="24" spans="2:53">
      <c r="B24" s="38" t="s">
        <v>2058</v>
      </c>
      <c r="C24" s="38" t="s">
        <v>200</v>
      </c>
      <c r="D24" s="38" t="s">
        <v>2059</v>
      </c>
      <c r="E24" s="38" t="s">
        <v>1808</v>
      </c>
      <c r="F24" s="63">
        <v>4250</v>
      </c>
      <c r="G24" s="38"/>
      <c r="H24" s="38" t="s">
        <v>1702</v>
      </c>
      <c r="I24" s="38" t="s">
        <v>1702</v>
      </c>
      <c r="J24" s="38" t="s">
        <v>25</v>
      </c>
      <c r="L24" s="1" t="str">
        <v>Bio Capital Ltd</v>
      </c>
      <c r="M24" s="1" t="str">
        <f t="shared" si="2"/>
        <v>Renewables</v>
      </c>
      <c r="N24" s="109">
        <f t="shared" si="3"/>
        <v>4250</v>
      </c>
      <c r="O24" s="1">
        <f>IFERROR(IF(INDEX(Table3[[Total Spend]:[Total Spend]],MATCH(L24,Table3[[Company name]:[Company name]],0))&gt;N24,INDEX(Table3[[Total Spend]:[Total Spend]],MATCH(L24,Table3[[Company name]:[Company name]])),N24),50000)</f>
        <v>50000</v>
      </c>
      <c r="P24" s="109">
        <f t="shared" si="4"/>
        <v>45750</v>
      </c>
      <c r="Q24" s="103">
        <f t="shared" si="5"/>
        <v>8.5000000000000006E-2</v>
      </c>
      <c r="R24" s="1">
        <f ca="1">IFERROR(INDEX(INDIRECT("Table3[Column"&amp;R$9&amp;"]"),MATCH($L24,Table3[[Company name]:[Company name]],0)),0)</f>
        <v>8100</v>
      </c>
      <c r="S24" s="1">
        <f ca="1">IFERROR(INDEX(INDIRECT("Table3[Column"&amp;S$9&amp;"]"),MATCH($L24,Table3[[Company name]:[Company name]],0)),0)</f>
        <v>0</v>
      </c>
      <c r="T24" s="1">
        <f ca="1">IFERROR(INDEX(INDIRECT("Table3[Column"&amp;T$9&amp;"]"),MATCH($L24,Table3[[Company name]:[Company name]],0)),0)</f>
        <v>0</v>
      </c>
      <c r="U24" s="1">
        <f ca="1">IFERROR(INDEX(INDIRECT("Table3[Column"&amp;U$9&amp;"]"),MATCH($L24,Table3[[Company name]:[Company name]],0)),0)</f>
        <v>0</v>
      </c>
      <c r="V24" s="1">
        <f ca="1">IFERROR(INDEX(INDIRECT("Table3[Column"&amp;V$9&amp;"]"),MATCH($L24,Table3[[Company name]:[Company name]],0)),0)</f>
        <v>0</v>
      </c>
      <c r="W24" s="1">
        <f ca="1">IFERROR(INDEX(INDIRECT("Table3[Column"&amp;W$9&amp;"]"),MATCH($L24,Table3[[Company name]:[Company name]],0)),0)</f>
        <v>17100</v>
      </c>
      <c r="X24" s="1">
        <f ca="1">IFERROR(INDEX(INDIRECT("Table3[Column"&amp;X$9&amp;"]"),MATCH($L24,Table3[[Company name]:[Company name]],0)),0)</f>
        <v>15300</v>
      </c>
      <c r="Y24" s="1">
        <f ca="1">IFERROR(INDEX(INDIRECT("Table3[Column"&amp;Y$9&amp;"]"),MATCH($L24,Table3[[Company name]:[Company name]],0)),0)</f>
        <v>42300</v>
      </c>
      <c r="Z24" s="1">
        <f ca="1">IFERROR(INDEX(INDIRECT("Table3[Column"&amp;Z$9&amp;"]"),MATCH($L24,Table3[[Company name]:[Company name]],0)),0)</f>
        <v>18900</v>
      </c>
      <c r="AA24" s="1">
        <f ca="1">IFERROR(INDEX(INDIRECT("Table3[Column"&amp;AA$9&amp;"]"),MATCH($L24,Table3[[Company name]:[Company name]],0)),0)</f>
        <v>21600</v>
      </c>
      <c r="AB24" s="1">
        <f ca="1">IFERROR(INDEX(INDIRECT("Table3[Column"&amp;AB$9&amp;"]"),MATCH($L24,Table3[[Company name]:[Company name]],0)),0)</f>
        <v>7650</v>
      </c>
      <c r="AC24" s="1">
        <f ca="1">IFERROR(INDEX(INDIRECT("Table3[Column"&amp;AC$9&amp;"]"),MATCH($L24,Table3[[Company name]:[Company name]],0)),0)</f>
        <v>31500</v>
      </c>
      <c r="AD24" s="1">
        <f ca="1">IFERROR(INDEX(INDIRECT("Table3[Column"&amp;AD$9&amp;"]"),MATCH($L24,Table3[[Company name]:[Company name]],0)),0)</f>
        <v>25200</v>
      </c>
      <c r="AE24" s="1">
        <f ca="1">IFERROR(INDEX(INDIRECT("Table3[Column"&amp;AE$9&amp;"]"),MATCH($L24,Table3[[Company name]:[Company name]],0)),0)</f>
        <v>0</v>
      </c>
      <c r="AF24" s="1">
        <f ca="1">IFERROR(INDEX(INDIRECT("Table3[Column"&amp;AF$9&amp;"]"),MATCH($L24,Table3[[Company name]:[Company name]],0)),0)</f>
        <v>0</v>
      </c>
      <c r="AG24" s="1">
        <f ca="1">IFERROR(INDEX(INDIRECT("Table3[Column"&amp;AG$9&amp;"]"),MATCH($L24,Table3[[Company name]:[Company name]],0)),0)</f>
        <v>0</v>
      </c>
      <c r="AH24" s="1">
        <f ca="1">IFERROR(INDEX(INDIRECT("Table3[Column"&amp;AH$9&amp;"]"),MATCH($L24,Table3[[Company name]:[Company name]],0)),0)</f>
        <v>0</v>
      </c>
      <c r="AI24" s="1">
        <f t="shared" ca="1" si="6"/>
        <v>187650</v>
      </c>
      <c r="AK24" s="1">
        <f ca="1">IF(COUNTIFS($J$7:$J$510,Table7[[#Headers],[Industry Essentials]],$C$7:$C$510,$L24)&gt;0,0,MROUND(R24,100))</f>
        <v>8100</v>
      </c>
      <c r="AL24" s="1">
        <f ca="1">IF(COUNTIFS($J$7:$J$510,Table7[[#Headers],[Energy Supply Market Intelligence]],$C$7:$C$510,$L24)&gt;0,0,MROUND(IFERROR(S24*($P24/$AI24),0),100))</f>
        <v>0</v>
      </c>
      <c r="AM24" s="1">
        <f ca="1">IF(COUNTIFS($J$7:$J$510,Table7[[#Headers],[Energy Supply RTM Analysis]],$C$7:$C$510,$L24)&gt;0,0,MROUND(IFERROR(T24*($P24/$AI24),0),100))</f>
        <v>0</v>
      </c>
      <c r="AN24" s="1">
        <f ca="1">IF(COUNTIFS($J$7:$J$510,Table7[[#Headers],[Energy Supply Forecasts]],$C$7:$C$510,$L24)&gt;0,0,MROUND(IFERROR(U24*($P24/$AI24),0),100))</f>
        <v>0</v>
      </c>
      <c r="AO24" s="1">
        <f ca="1">IF(COUNTIFS($J$7:$J$510,Table7[[#Headers],[Energy Supply Regulation]],$C$7:$C$510,$L24)&gt;0,0,MROUND(IFERROR(V24*($P24/$AI24),0),100))</f>
        <v>0</v>
      </c>
      <c r="AP24" s="1">
        <f>IF(COUNTIFS($J$7:$J$510,Table7[[#Headers],[Renewables Market Intelligence]],$C$7:$C$510,$L24)&gt;0,0,MROUND(IFERROR(W24*($P24/$AI24),0),100))</f>
        <v>0</v>
      </c>
      <c r="AQ24" s="1">
        <f ca="1">IF(COUNTIFS($J$7:$J$510,Table7[[#Headers],[Renewables RTM Analysis]],$C$7:$C$510,$L24)&gt;0,0,MROUND(IFERROR(X24*($P24/$AI24),0),100))</f>
        <v>3700</v>
      </c>
      <c r="AR24" s="1">
        <f ca="1">IF(COUNTIFS($J$7:$J$510,Table7[[#Headers],[Renewables Forecasts]],$C$7:$C$510,$L24)&gt;0,0,MROUND(IFERROR(Y24*($P24/$AI24),0),100))</f>
        <v>10300</v>
      </c>
      <c r="AS24" s="1">
        <f ca="1">IF(COUNTIFS($J$7:$J$510,Table7[[#Headers],[Renewables Regulation]],$C$7:$C$510,$L24)&gt;0,0,MROUND(IFERROR(Z24*($P24/$AI24),0),100))</f>
        <v>4600</v>
      </c>
      <c r="AT24" s="1">
        <f ca="1">IF(COUNTIFS($J$7:$J$510,Table7[[#Headers],[Flexibility Market Intelligence]],$C$7:$C$510,$L24)&gt;0,0,MROUND(IFERROR(AA24*($P24/$AI24),0),100))</f>
        <v>5300</v>
      </c>
      <c r="AU24" s="1">
        <f ca="1">IF(COUNTIFS($J$7:$J$510,Table7[[#Headers],[Flexibility RTM Analysis]],$C$7:$C$510,$L24)&gt;0,0,MROUND(IFERROR(AB24*($P24/$AI24),0),100))</f>
        <v>1900</v>
      </c>
      <c r="AV24" s="1">
        <f ca="1">IF(COUNTIFS($J$7:$J$510,Table7[[#Headers],[Flexibility Forecasts]],$C$7:$C$510,$L24)&gt;0,0,MROUND(IFERROR(AC24*($P24/$AI24),0),100))</f>
        <v>7700</v>
      </c>
      <c r="AW24" s="1">
        <f ca="1">IF(COUNTIFS($J$7:$J$510,Table7[[#Headers],[Flexibility Regulation]],$C$7:$C$510,$L24)&gt;0,0,MROUND(IFERROR(AD24*($P24/$AI24),0),100))</f>
        <v>6100</v>
      </c>
      <c r="AX24" s="1">
        <f ca="1">IF(COUNTIFS($J$7:$J$510,Table7[[#Headers],[Business Energy Essentials]],$C$7:$C$510,$L24)&gt;0,0,MROUND(IFERROR(AE24*($P24/$AI24),0),100))</f>
        <v>0</v>
      </c>
      <c r="AY24" s="1">
        <f ca="1">IF(COUNTIFS($J$7:$J$510,Table7[[#Headers],[Energy User RTM Analysis]],$C$7:$C$510,$L24)&gt;0,0,MROUND(IFERROR(AF24*($P24/$AI24),0),100))</f>
        <v>0</v>
      </c>
      <c r="AZ24" s="1">
        <f ca="1">IF(COUNTIFS($J$7:$J$510,Table7[[#Headers],[Energy User Forecasts]],$C$7:$C$510,$L24)&gt;0,0,MROUND(IFERROR(AG24*($P24/$AI24),0),100))</f>
        <v>0</v>
      </c>
      <c r="BA24" s="1">
        <f ca="1">IF(COUNTIFS($J$7:$J$510,Table7[[#Headers],[Energy User Regulation]],$C$7:$C$510,$L24)&gt;0,0,MROUND(IFERROR(AH24*($P24/$AI24),0),100))</f>
        <v>0</v>
      </c>
    </row>
    <row r="25" spans="2:53">
      <c r="B25" s="38" t="s">
        <v>2060</v>
      </c>
      <c r="C25" s="38" t="s">
        <v>121</v>
      </c>
      <c r="D25" s="38" t="s">
        <v>2061</v>
      </c>
      <c r="E25" s="38" t="s">
        <v>1820</v>
      </c>
      <c r="F25" s="63">
        <v>10613</v>
      </c>
      <c r="G25" s="38"/>
      <c r="H25" s="38" t="s">
        <v>1702</v>
      </c>
      <c r="I25" s="38" t="s">
        <v>1702</v>
      </c>
      <c r="J25" s="38" t="s">
        <v>25</v>
      </c>
      <c r="L25" s="1" t="str">
        <v>Bluefield Partners LLP</v>
      </c>
      <c r="M25" s="1" t="str">
        <f t="shared" si="2"/>
        <v>Renewables</v>
      </c>
      <c r="N25" s="109">
        <f t="shared" si="3"/>
        <v>26384</v>
      </c>
      <c r="O25" s="1">
        <f>IFERROR(IF(INDEX(Table3[[Total Spend]:[Total Spend]],MATCH(L25,Table3[[Company name]:[Company name]],0))&gt;N25,INDEX(Table3[[Total Spend]:[Total Spend]],MATCH(L25,Table3[[Company name]:[Company name]])),N25),50000)</f>
        <v>50000</v>
      </c>
      <c r="P25" s="109">
        <f t="shared" si="4"/>
        <v>23616</v>
      </c>
      <c r="Q25" s="103">
        <f t="shared" si="5"/>
        <v>0.52768000000000004</v>
      </c>
      <c r="R25" s="1">
        <f ca="1">IFERROR(INDEX(INDIRECT("Table3[Column"&amp;R$9&amp;"]"),MATCH($L25,Table3[[Company name]:[Company name]],0)),0)</f>
        <v>10800</v>
      </c>
      <c r="S25" s="1">
        <f ca="1">IFERROR(INDEX(INDIRECT("Table3[Column"&amp;S$9&amp;"]"),MATCH($L25,Table3[[Company name]:[Company name]],0)),0)</f>
        <v>0</v>
      </c>
      <c r="T25" s="1">
        <f ca="1">IFERROR(INDEX(INDIRECT("Table3[Column"&amp;T$9&amp;"]"),MATCH($L25,Table3[[Company name]:[Company name]],0)),0)</f>
        <v>0</v>
      </c>
      <c r="U25" s="1">
        <f ca="1">IFERROR(INDEX(INDIRECT("Table3[Column"&amp;U$9&amp;"]"),MATCH($L25,Table3[[Company name]:[Company name]],0)),0)</f>
        <v>0</v>
      </c>
      <c r="V25" s="1">
        <f ca="1">IFERROR(INDEX(INDIRECT("Table3[Column"&amp;V$9&amp;"]"),MATCH($L25,Table3[[Company name]:[Company name]],0)),0)</f>
        <v>0</v>
      </c>
      <c r="W25" s="1">
        <f ca="1">IFERROR(INDEX(INDIRECT("Table3[Column"&amp;W$9&amp;"]"),MATCH($L25,Table3[[Company name]:[Company name]],0)),0)</f>
        <v>23400</v>
      </c>
      <c r="X25" s="1">
        <f ca="1">IFERROR(INDEX(INDIRECT("Table3[Column"&amp;X$9&amp;"]"),MATCH($L25,Table3[[Company name]:[Company name]],0)),0)</f>
        <v>20700</v>
      </c>
      <c r="Y25" s="1">
        <f ca="1">IFERROR(INDEX(INDIRECT("Table3[Column"&amp;Y$9&amp;"]"),MATCH($L25,Table3[[Company name]:[Company name]],0)),0)</f>
        <v>59400</v>
      </c>
      <c r="Z25" s="1">
        <f ca="1">IFERROR(INDEX(INDIRECT("Table3[Column"&amp;Z$9&amp;"]"),MATCH($L25,Table3[[Company name]:[Company name]],0)),0)</f>
        <v>26100</v>
      </c>
      <c r="AA25" s="1">
        <f ca="1">IFERROR(INDEX(INDIRECT("Table3[Column"&amp;AA$9&amp;"]"),MATCH($L25,Table3[[Company name]:[Company name]],0)),0)</f>
        <v>29700</v>
      </c>
      <c r="AB25" s="1">
        <f ca="1">IFERROR(INDEX(INDIRECT("Table3[Column"&amp;AB$9&amp;"]"),MATCH($L25,Table3[[Company name]:[Company name]],0)),0)</f>
        <v>10800</v>
      </c>
      <c r="AC25" s="1">
        <f ca="1">IFERROR(INDEX(INDIRECT("Table3[Column"&amp;AC$9&amp;"]"),MATCH($L25,Table3[[Company name]:[Company name]],0)),0)</f>
        <v>44100</v>
      </c>
      <c r="AD25" s="1">
        <f ca="1">IFERROR(INDEX(INDIRECT("Table3[Column"&amp;AD$9&amp;"]"),MATCH($L25,Table3[[Company name]:[Company name]],0)),0)</f>
        <v>36000</v>
      </c>
      <c r="AE25" s="1">
        <f ca="1">IFERROR(INDEX(INDIRECT("Table3[Column"&amp;AE$9&amp;"]"),MATCH($L25,Table3[[Company name]:[Company name]],0)),0)</f>
        <v>0</v>
      </c>
      <c r="AF25" s="1">
        <f ca="1">IFERROR(INDEX(INDIRECT("Table3[Column"&amp;AF$9&amp;"]"),MATCH($L25,Table3[[Company name]:[Company name]],0)),0)</f>
        <v>0</v>
      </c>
      <c r="AG25" s="1">
        <f ca="1">IFERROR(INDEX(INDIRECT("Table3[Column"&amp;AG$9&amp;"]"),MATCH($L25,Table3[[Company name]:[Company name]],0)),0)</f>
        <v>0</v>
      </c>
      <c r="AH25" s="1">
        <f ca="1">IFERROR(INDEX(INDIRECT("Table3[Column"&amp;AH$9&amp;"]"),MATCH($L25,Table3[[Company name]:[Company name]],0)),0)</f>
        <v>0</v>
      </c>
      <c r="AI25" s="1">
        <f t="shared" ca="1" si="6"/>
        <v>261000</v>
      </c>
      <c r="AK25" s="1">
        <f>IF(COUNTIFS($J$7:$J$510,Table7[[#Headers],[Industry Essentials]],$C$7:$C$510,$L25)&gt;0,0,MROUND(R25,100))</f>
        <v>0</v>
      </c>
      <c r="AL25" s="1">
        <f ca="1">IF(COUNTIFS($J$7:$J$510,Table7[[#Headers],[Energy Supply Market Intelligence]],$C$7:$C$510,$L25)&gt;0,0,MROUND(IFERROR(S25*($P25/$AI25),0),100))</f>
        <v>0</v>
      </c>
      <c r="AM25" s="1">
        <f ca="1">IF(COUNTIFS($J$7:$J$510,Table7[[#Headers],[Energy Supply RTM Analysis]],$C$7:$C$510,$L25)&gt;0,0,MROUND(IFERROR(T25*($P25/$AI25),0),100))</f>
        <v>0</v>
      </c>
      <c r="AN25" s="1">
        <f ca="1">IF(COUNTIFS($J$7:$J$510,Table7[[#Headers],[Energy Supply Forecasts]],$C$7:$C$510,$L25)&gt;0,0,MROUND(IFERROR(U25*($P25/$AI25),0),100))</f>
        <v>0</v>
      </c>
      <c r="AO25" s="1">
        <f ca="1">IF(COUNTIFS($J$7:$J$510,Table7[[#Headers],[Energy Supply Regulation]],$C$7:$C$510,$L25)&gt;0,0,MROUND(IFERROR(V25*($P25/$AI25),0),100))</f>
        <v>0</v>
      </c>
      <c r="AP25" s="1">
        <f>IF(COUNTIFS($J$7:$J$510,Table7[[#Headers],[Renewables Market Intelligence]],$C$7:$C$510,$L25)&gt;0,0,MROUND(IFERROR(W25*($P25/$AI25),0),100))</f>
        <v>0</v>
      </c>
      <c r="AQ25" s="1">
        <f>IF(COUNTIFS($J$7:$J$510,Table7[[#Headers],[Renewables RTM Analysis]],$C$7:$C$510,$L25)&gt;0,0,MROUND(IFERROR(X25*($P25/$AI25),0),100))</f>
        <v>0</v>
      </c>
      <c r="AR25" s="1">
        <f ca="1">IF(COUNTIFS($J$7:$J$510,Table7[[#Headers],[Renewables Forecasts]],$C$7:$C$510,$L25)&gt;0,0,MROUND(IFERROR(Y25*($P25/$AI25),0),100))</f>
        <v>5400</v>
      </c>
      <c r="AS25" s="1">
        <f ca="1">IF(COUNTIFS($J$7:$J$510,Table7[[#Headers],[Renewables Regulation]],$C$7:$C$510,$L25)&gt;0,0,MROUND(IFERROR(Z25*($P25/$AI25),0),100))</f>
        <v>2400</v>
      </c>
      <c r="AT25" s="1">
        <f ca="1">IF(COUNTIFS($J$7:$J$510,Table7[[#Headers],[Flexibility Market Intelligence]],$C$7:$C$510,$L25)&gt;0,0,MROUND(IFERROR(AA25*($P25/$AI25),0),100))</f>
        <v>2700</v>
      </c>
      <c r="AU25" s="1">
        <f ca="1">IF(COUNTIFS($J$7:$J$510,Table7[[#Headers],[Flexibility RTM Analysis]],$C$7:$C$510,$L25)&gt;0,0,MROUND(IFERROR(AB25*($P25/$AI25),0),100))</f>
        <v>1000</v>
      </c>
      <c r="AV25" s="1">
        <f ca="1">IF(COUNTIFS($J$7:$J$510,Table7[[#Headers],[Flexibility Forecasts]],$C$7:$C$510,$L25)&gt;0,0,MROUND(IFERROR(AC25*($P25/$AI25),0),100))</f>
        <v>4000</v>
      </c>
      <c r="AW25" s="1">
        <f ca="1">IF(COUNTIFS($J$7:$J$510,Table7[[#Headers],[Flexibility Regulation]],$C$7:$C$510,$L25)&gt;0,0,MROUND(IFERROR(AD25*($P25/$AI25),0),100))</f>
        <v>3300</v>
      </c>
      <c r="AX25" s="1">
        <f ca="1">IF(COUNTIFS($J$7:$J$510,Table7[[#Headers],[Business Energy Essentials]],$C$7:$C$510,$L25)&gt;0,0,MROUND(IFERROR(AE25*($P25/$AI25),0),100))</f>
        <v>0</v>
      </c>
      <c r="AY25" s="1">
        <f ca="1">IF(COUNTIFS($J$7:$J$510,Table7[[#Headers],[Energy User RTM Analysis]],$C$7:$C$510,$L25)&gt;0,0,MROUND(IFERROR(AF25*($P25/$AI25),0),100))</f>
        <v>0</v>
      </c>
      <c r="AZ25" s="1">
        <f ca="1">IF(COUNTIFS($J$7:$J$510,Table7[[#Headers],[Energy User Forecasts]],$C$7:$C$510,$L25)&gt;0,0,MROUND(IFERROR(AG25*($P25/$AI25),0),100))</f>
        <v>0</v>
      </c>
      <c r="BA25" s="1">
        <f ca="1">IF(COUNTIFS($J$7:$J$510,Table7[[#Headers],[Energy User Regulation]],$C$7:$C$510,$L25)&gt;0,0,MROUND(IFERROR(AH25*($P25/$AI25),0),100))</f>
        <v>0</v>
      </c>
    </row>
    <row r="26" spans="2:53">
      <c r="B26" s="38" t="s">
        <v>2060</v>
      </c>
      <c r="C26" s="38" t="s">
        <v>121</v>
      </c>
      <c r="D26" s="38" t="s">
        <v>2042</v>
      </c>
      <c r="E26" s="38" t="s">
        <v>1819</v>
      </c>
      <c r="F26" s="63">
        <v>8271</v>
      </c>
      <c r="G26" s="38"/>
      <c r="H26" s="38" t="s">
        <v>1702</v>
      </c>
      <c r="I26" s="38" t="s">
        <v>1702</v>
      </c>
      <c r="J26" s="38" t="s">
        <v>26</v>
      </c>
      <c r="L26" s="1" t="str">
        <v>BOC Limited</v>
      </c>
      <c r="M26" s="1" t="str">
        <f t="shared" si="2"/>
        <v>Energy User</v>
      </c>
      <c r="N26" s="109">
        <f t="shared" si="3"/>
        <v>5000</v>
      </c>
      <c r="O26" s="1">
        <f>IFERROR(IF(INDEX(Table3[[Total Spend]:[Total Spend]],MATCH(L26,Table3[[Company name]:[Company name]],0))&gt;N26,INDEX(Table3[[Total Spend]:[Total Spend]],MATCH(L26,Table3[[Company name]:[Company name]])),N26),50000)</f>
        <v>50000</v>
      </c>
      <c r="P26" s="109">
        <f t="shared" si="4"/>
        <v>45000</v>
      </c>
      <c r="Q26" s="103">
        <f t="shared" si="5"/>
        <v>0.1</v>
      </c>
      <c r="R26" s="1">
        <f ca="1">IFERROR(INDEX(INDIRECT("Table3[Column"&amp;R$9&amp;"]"),MATCH($L26,Table3[[Company name]:[Company name]],0)),0)</f>
        <v>0</v>
      </c>
      <c r="S26" s="1">
        <f ca="1">IFERROR(INDEX(INDIRECT("Table3[Column"&amp;S$9&amp;"]"),MATCH($L26,Table3[[Company name]:[Company name]],0)),0)</f>
        <v>0</v>
      </c>
      <c r="T26" s="1">
        <f ca="1">IFERROR(INDEX(INDIRECT("Table3[Column"&amp;T$9&amp;"]"),MATCH($L26,Table3[[Company name]:[Company name]],0)),0)</f>
        <v>0</v>
      </c>
      <c r="U26" s="1">
        <f ca="1">IFERROR(INDEX(INDIRECT("Table3[Column"&amp;U$9&amp;"]"),MATCH($L26,Table3[[Company name]:[Company name]],0)),0)</f>
        <v>0</v>
      </c>
      <c r="V26" s="1">
        <f ca="1">IFERROR(INDEX(INDIRECT("Table3[Column"&amp;V$9&amp;"]"),MATCH($L26,Table3[[Company name]:[Company name]],0)),0)</f>
        <v>0</v>
      </c>
      <c r="W26" s="1">
        <f ca="1">IFERROR(INDEX(INDIRECT("Table3[Column"&amp;W$9&amp;"]"),MATCH($L26,Table3[[Company name]:[Company name]],0)),0)</f>
        <v>0</v>
      </c>
      <c r="X26" s="1">
        <f ca="1">IFERROR(INDEX(INDIRECT("Table3[Column"&amp;X$9&amp;"]"),MATCH($L26,Table3[[Company name]:[Company name]],0)),0)</f>
        <v>0</v>
      </c>
      <c r="Y26" s="1">
        <f ca="1">IFERROR(INDEX(INDIRECT("Table3[Column"&amp;Y$9&amp;"]"),MATCH($L26,Table3[[Company name]:[Company name]],0)),0)</f>
        <v>0</v>
      </c>
      <c r="Z26" s="1">
        <f ca="1">IFERROR(INDEX(INDIRECT("Table3[Column"&amp;Z$9&amp;"]"),MATCH($L26,Table3[[Company name]:[Company name]],0)),0)</f>
        <v>0</v>
      </c>
      <c r="AA26" s="1">
        <f ca="1">IFERROR(INDEX(INDIRECT("Table3[Column"&amp;AA$9&amp;"]"),MATCH($L26,Table3[[Company name]:[Company name]],0)),0)</f>
        <v>0</v>
      </c>
      <c r="AB26" s="1">
        <f ca="1">IFERROR(INDEX(INDIRECT("Table3[Column"&amp;AB$9&amp;"]"),MATCH($L26,Table3[[Company name]:[Company name]],0)),0)</f>
        <v>0</v>
      </c>
      <c r="AC26" s="1">
        <f ca="1">IFERROR(INDEX(INDIRECT("Table3[Column"&amp;AC$9&amp;"]"),MATCH($L26,Table3[[Company name]:[Company name]],0)),0)</f>
        <v>0</v>
      </c>
      <c r="AD26" s="1">
        <f ca="1">IFERROR(INDEX(INDIRECT("Table3[Column"&amp;AD$9&amp;"]"),MATCH($L26,Table3[[Company name]:[Company name]],0)),0)</f>
        <v>0</v>
      </c>
      <c r="AE26" s="1">
        <f ca="1">IFERROR(INDEX(INDIRECT("Table3[Column"&amp;AE$9&amp;"]"),MATCH($L26,Table3[[Company name]:[Company name]],0)),0)</f>
        <v>15300</v>
      </c>
      <c r="AF26" s="1">
        <f ca="1">IFERROR(INDEX(INDIRECT("Table3[Column"&amp;AF$9&amp;"]"),MATCH($L26,Table3[[Company name]:[Company name]],0)),0)</f>
        <v>15750</v>
      </c>
      <c r="AG26" s="1">
        <f ca="1">IFERROR(INDEX(INDIRECT("Table3[Column"&amp;AG$9&amp;"]"),MATCH($L26,Table3[[Company name]:[Company name]],0)),0)</f>
        <v>27000</v>
      </c>
      <c r="AH26" s="1">
        <f ca="1">IFERROR(INDEX(INDIRECT("Table3[Column"&amp;AH$9&amp;"]"),MATCH($L26,Table3[[Company name]:[Company name]],0)),0)</f>
        <v>6300</v>
      </c>
      <c r="AI26" s="1">
        <f t="shared" ca="1" si="6"/>
        <v>64350</v>
      </c>
      <c r="AK26" s="1">
        <f ca="1">IF(COUNTIFS($J$7:$J$510,Table7[[#Headers],[Industry Essentials]],$C$7:$C$510,$L26)&gt;0,0,MROUND(R26,100))</f>
        <v>0</v>
      </c>
      <c r="AL26" s="1">
        <f ca="1">IF(COUNTIFS($J$7:$J$510,Table7[[#Headers],[Energy Supply Market Intelligence]],$C$7:$C$510,$L26)&gt;0,0,MROUND(IFERROR(S26*($P26/$AI26),0),100))</f>
        <v>0</v>
      </c>
      <c r="AM26" s="1">
        <f ca="1">IF(COUNTIFS($J$7:$J$510,Table7[[#Headers],[Energy Supply RTM Analysis]],$C$7:$C$510,$L26)&gt;0,0,MROUND(IFERROR(T26*($P26/$AI26),0),100))</f>
        <v>0</v>
      </c>
      <c r="AN26" s="1">
        <f ca="1">IF(COUNTIFS($J$7:$J$510,Table7[[#Headers],[Energy Supply Forecasts]],$C$7:$C$510,$L26)&gt;0,0,MROUND(IFERROR(U26*($P26/$AI26),0),100))</f>
        <v>0</v>
      </c>
      <c r="AO26" s="1">
        <f ca="1">IF(COUNTIFS($J$7:$J$510,Table7[[#Headers],[Energy Supply Regulation]],$C$7:$C$510,$L26)&gt;0,0,MROUND(IFERROR(V26*($P26/$AI26),0),100))</f>
        <v>0</v>
      </c>
      <c r="AP26" s="1">
        <f ca="1">IF(COUNTIFS($J$7:$J$510,Table7[[#Headers],[Renewables Market Intelligence]],$C$7:$C$510,$L26)&gt;0,0,MROUND(IFERROR(W26*($P26/$AI26),0),100))</f>
        <v>0</v>
      </c>
      <c r="AQ26" s="1">
        <f ca="1">IF(COUNTIFS($J$7:$J$510,Table7[[#Headers],[Renewables RTM Analysis]],$C$7:$C$510,$L26)&gt;0,0,MROUND(IFERROR(X26*($P26/$AI26),0),100))</f>
        <v>0</v>
      </c>
      <c r="AR26" s="1">
        <f ca="1">IF(COUNTIFS($J$7:$J$510,Table7[[#Headers],[Renewables Forecasts]],$C$7:$C$510,$L26)&gt;0,0,MROUND(IFERROR(Y26*($P26/$AI26),0),100))</f>
        <v>0</v>
      </c>
      <c r="AS26" s="1">
        <f ca="1">IF(COUNTIFS($J$7:$J$510,Table7[[#Headers],[Renewables Regulation]],$C$7:$C$510,$L26)&gt;0,0,MROUND(IFERROR(Z26*($P26/$AI26),0),100))</f>
        <v>0</v>
      </c>
      <c r="AT26" s="1">
        <f ca="1">IF(COUNTIFS($J$7:$J$510,Table7[[#Headers],[Flexibility Market Intelligence]],$C$7:$C$510,$L26)&gt;0,0,MROUND(IFERROR(AA26*($P26/$AI26),0),100))</f>
        <v>0</v>
      </c>
      <c r="AU26" s="1">
        <f ca="1">IF(COUNTIFS($J$7:$J$510,Table7[[#Headers],[Flexibility RTM Analysis]],$C$7:$C$510,$L26)&gt;0,0,MROUND(IFERROR(AB26*($P26/$AI26),0),100))</f>
        <v>0</v>
      </c>
      <c r="AV26" s="1">
        <f ca="1">IF(COUNTIFS($J$7:$J$510,Table7[[#Headers],[Flexibility Forecasts]],$C$7:$C$510,$L26)&gt;0,0,MROUND(IFERROR(AC26*($P26/$AI26),0),100))</f>
        <v>0</v>
      </c>
      <c r="AW26" s="1">
        <f ca="1">IF(COUNTIFS($J$7:$J$510,Table7[[#Headers],[Flexibility Regulation]],$C$7:$C$510,$L26)&gt;0,0,MROUND(IFERROR(AD26*($P26/$AI26),0),100))</f>
        <v>0</v>
      </c>
      <c r="AX26" s="1">
        <f ca="1">IF(COUNTIFS($J$7:$J$510,Table7[[#Headers],[Business Energy Essentials]],$C$7:$C$510,$L26)&gt;0,0,MROUND(IFERROR(AE26*($P26/$AI26),0),100))</f>
        <v>10700</v>
      </c>
      <c r="AY26" s="1">
        <f ca="1">IF(COUNTIFS($J$7:$J$510,Table7[[#Headers],[Energy User RTM Analysis]],$C$7:$C$510,$L26)&gt;0,0,MROUND(IFERROR(AF26*($P26/$AI26),0),100))</f>
        <v>11000</v>
      </c>
      <c r="AZ26" s="1">
        <f ca="1">IF(COUNTIFS($J$7:$J$510,Table7[[#Headers],[Energy User Forecasts]],$C$7:$C$510,$L26)&gt;0,0,MROUND(IFERROR(AG26*($P26/$AI26),0),100))</f>
        <v>18900</v>
      </c>
      <c r="BA26" s="1">
        <f>IF(COUNTIFS($J$7:$J$510,Table7[[#Headers],[Energy User Regulation]],$C$7:$C$510,$L26)&gt;0,0,MROUND(IFERROR(AH26*($P26/$AI26),0),100))</f>
        <v>0</v>
      </c>
    </row>
    <row r="27" spans="2:53">
      <c r="B27" s="38" t="s">
        <v>2060</v>
      </c>
      <c r="C27" s="38" t="s">
        <v>121</v>
      </c>
      <c r="D27" s="38" t="s">
        <v>2040</v>
      </c>
      <c r="E27" s="38" t="s">
        <v>1799</v>
      </c>
      <c r="F27" s="63">
        <v>7500</v>
      </c>
      <c r="G27" s="38"/>
      <c r="H27" s="38" t="s">
        <v>1702</v>
      </c>
      <c r="I27" s="38" t="s">
        <v>2032</v>
      </c>
      <c r="J27" s="38" t="s">
        <v>20</v>
      </c>
      <c r="L27" s="1" t="str">
        <v>Boston Consulting Group UK LLP</v>
      </c>
      <c r="M27" s="1" t="str">
        <f t="shared" si="2"/>
        <v>Other</v>
      </c>
      <c r="N27" s="109">
        <f t="shared" si="3"/>
        <v>3750</v>
      </c>
      <c r="O27" s="1">
        <f>IFERROR(IF(INDEX(Table3[[Total Spend]:[Total Spend]],MATCH(L27,Table3[[Company name]:[Company name]],0))&gt;N27,INDEX(Table3[[Total Spend]:[Total Spend]],MATCH(L27,Table3[[Company name]:[Company name]])),N27),50000)</f>
        <v>50000</v>
      </c>
      <c r="P27" s="109">
        <f t="shared" si="4"/>
        <v>46250</v>
      </c>
      <c r="Q27" s="103">
        <f t="shared" si="5"/>
        <v>7.4999999999999997E-2</v>
      </c>
      <c r="R27" s="1">
        <f ca="1">IFERROR(INDEX(INDIRECT("Table3[Column"&amp;R$9&amp;"]"),MATCH($L27,Table3[[Company name]:[Company name]],0)),0)</f>
        <v>10800</v>
      </c>
      <c r="S27" s="1">
        <f ca="1">IFERROR(INDEX(INDIRECT("Table3[Column"&amp;S$9&amp;"]"),MATCH($L27,Table3[[Company name]:[Company name]],0)),0)</f>
        <v>0</v>
      </c>
      <c r="T27" s="1">
        <f ca="1">IFERROR(INDEX(INDIRECT("Table3[Column"&amp;T$9&amp;"]"),MATCH($L27,Table3[[Company name]:[Company name]],0)),0)</f>
        <v>0</v>
      </c>
      <c r="U27" s="1">
        <f ca="1">IFERROR(INDEX(INDIRECT("Table3[Column"&amp;U$9&amp;"]"),MATCH($L27,Table3[[Company name]:[Company name]],0)),0)</f>
        <v>0</v>
      </c>
      <c r="V27" s="1">
        <f ca="1">IFERROR(INDEX(INDIRECT("Table3[Column"&amp;V$9&amp;"]"),MATCH($L27,Table3[[Company name]:[Company name]],0)),0)</f>
        <v>0</v>
      </c>
      <c r="W27" s="1">
        <f ca="1">IFERROR(INDEX(INDIRECT("Table3[Column"&amp;W$9&amp;"]"),MATCH($L27,Table3[[Company name]:[Company name]],0)),0)</f>
        <v>0</v>
      </c>
      <c r="X27" s="1">
        <f ca="1">IFERROR(INDEX(INDIRECT("Table3[Column"&amp;X$9&amp;"]"),MATCH($L27,Table3[[Company name]:[Company name]],0)),0)</f>
        <v>0</v>
      </c>
      <c r="Y27" s="1">
        <f ca="1">IFERROR(INDEX(INDIRECT("Table3[Column"&amp;Y$9&amp;"]"),MATCH($L27,Table3[[Company name]:[Company name]],0)),0)</f>
        <v>0</v>
      </c>
      <c r="Z27" s="1">
        <f ca="1">IFERROR(INDEX(INDIRECT("Table3[Column"&amp;Z$9&amp;"]"),MATCH($L27,Table3[[Company name]:[Company name]],0)),0)</f>
        <v>0</v>
      </c>
      <c r="AA27" s="1">
        <f ca="1">IFERROR(INDEX(INDIRECT("Table3[Column"&amp;AA$9&amp;"]"),MATCH($L27,Table3[[Company name]:[Company name]],0)),0)</f>
        <v>0</v>
      </c>
      <c r="AB27" s="1">
        <f ca="1">IFERROR(INDEX(INDIRECT("Table3[Column"&amp;AB$9&amp;"]"),MATCH($L27,Table3[[Company name]:[Company name]],0)),0)</f>
        <v>0</v>
      </c>
      <c r="AC27" s="1">
        <f ca="1">IFERROR(INDEX(INDIRECT("Table3[Column"&amp;AC$9&amp;"]"),MATCH($L27,Table3[[Company name]:[Company name]],0)),0)</f>
        <v>0</v>
      </c>
      <c r="AD27" s="1">
        <f ca="1">IFERROR(INDEX(INDIRECT("Table3[Column"&amp;AD$9&amp;"]"),MATCH($L27,Table3[[Company name]:[Company name]],0)),0)</f>
        <v>0</v>
      </c>
      <c r="AE27" s="1">
        <f ca="1">IFERROR(INDEX(INDIRECT("Table3[Column"&amp;AE$9&amp;"]"),MATCH($L27,Table3[[Company name]:[Company name]],0)),0)</f>
        <v>0</v>
      </c>
      <c r="AF27" s="1">
        <f ca="1">IFERROR(INDEX(INDIRECT("Table3[Column"&amp;AF$9&amp;"]"),MATCH($L27,Table3[[Company name]:[Company name]],0)),0)</f>
        <v>0</v>
      </c>
      <c r="AG27" s="1">
        <f ca="1">IFERROR(INDEX(INDIRECT("Table3[Column"&amp;AG$9&amp;"]"),MATCH($L27,Table3[[Company name]:[Company name]],0)),0)</f>
        <v>0</v>
      </c>
      <c r="AH27" s="1">
        <f ca="1">IFERROR(INDEX(INDIRECT("Table3[Column"&amp;AH$9&amp;"]"),MATCH($L27,Table3[[Company name]:[Company name]],0)),0)</f>
        <v>0</v>
      </c>
      <c r="AI27" s="1">
        <f t="shared" ca="1" si="6"/>
        <v>10800</v>
      </c>
      <c r="AK27" s="1">
        <f>IF(COUNTIFS($J$7:$J$510,Table7[[#Headers],[Industry Essentials]],$C$7:$C$510,$L27)&gt;0,0,MROUND(R27,100))</f>
        <v>0</v>
      </c>
      <c r="AL27" s="1">
        <f ca="1">IF(COUNTIFS($J$7:$J$510,Table7[[#Headers],[Energy Supply Market Intelligence]],$C$7:$C$510,$L27)&gt;0,0,MROUND(IFERROR(S27*($P27/$AI27),0),100))</f>
        <v>0</v>
      </c>
      <c r="AM27" s="1">
        <f ca="1">IF(COUNTIFS($J$7:$J$510,Table7[[#Headers],[Energy Supply RTM Analysis]],$C$7:$C$510,$L27)&gt;0,0,MROUND(IFERROR(T27*($P27/$AI27),0),100))</f>
        <v>0</v>
      </c>
      <c r="AN27" s="1">
        <f ca="1">IF(COUNTIFS($J$7:$J$510,Table7[[#Headers],[Energy Supply Forecasts]],$C$7:$C$510,$L27)&gt;0,0,MROUND(IFERROR(U27*($P27/$AI27),0),100))</f>
        <v>0</v>
      </c>
      <c r="AO27" s="1">
        <f ca="1">IF(COUNTIFS($J$7:$J$510,Table7[[#Headers],[Energy Supply Regulation]],$C$7:$C$510,$L27)&gt;0,0,MROUND(IFERROR(V27*($P27/$AI27),0),100))</f>
        <v>0</v>
      </c>
      <c r="AP27" s="1">
        <f ca="1">IF(COUNTIFS($J$7:$J$510,Table7[[#Headers],[Renewables Market Intelligence]],$C$7:$C$510,$L27)&gt;0,0,MROUND(IFERROR(W27*($P27/$AI27),0),100))</f>
        <v>0</v>
      </c>
      <c r="AQ27" s="1">
        <f ca="1">IF(COUNTIFS($J$7:$J$510,Table7[[#Headers],[Renewables RTM Analysis]],$C$7:$C$510,$L27)&gt;0,0,MROUND(IFERROR(X27*($P27/$AI27),0),100))</f>
        <v>0</v>
      </c>
      <c r="AR27" s="1">
        <f ca="1">IF(COUNTIFS($J$7:$J$510,Table7[[#Headers],[Renewables Forecasts]],$C$7:$C$510,$L27)&gt;0,0,MROUND(IFERROR(Y27*($P27/$AI27),0),100))</f>
        <v>0</v>
      </c>
      <c r="AS27" s="1">
        <f ca="1">IF(COUNTIFS($J$7:$J$510,Table7[[#Headers],[Renewables Regulation]],$C$7:$C$510,$L27)&gt;0,0,MROUND(IFERROR(Z27*($P27/$AI27),0),100))</f>
        <v>0</v>
      </c>
      <c r="AT27" s="1">
        <f ca="1">IF(COUNTIFS($J$7:$J$510,Table7[[#Headers],[Flexibility Market Intelligence]],$C$7:$C$510,$L27)&gt;0,0,MROUND(IFERROR(AA27*($P27/$AI27),0),100))</f>
        <v>0</v>
      </c>
      <c r="AU27" s="1">
        <f ca="1">IF(COUNTIFS($J$7:$J$510,Table7[[#Headers],[Flexibility RTM Analysis]],$C$7:$C$510,$L27)&gt;0,0,MROUND(IFERROR(AB27*($P27/$AI27),0),100))</f>
        <v>0</v>
      </c>
      <c r="AV27" s="1">
        <f ca="1">IF(COUNTIFS($J$7:$J$510,Table7[[#Headers],[Flexibility Forecasts]],$C$7:$C$510,$L27)&gt;0,0,MROUND(IFERROR(AC27*($P27/$AI27),0),100))</f>
        <v>0</v>
      </c>
      <c r="AW27" s="1">
        <f ca="1">IF(COUNTIFS($J$7:$J$510,Table7[[#Headers],[Flexibility Regulation]],$C$7:$C$510,$L27)&gt;0,0,MROUND(IFERROR(AD27*($P27/$AI27),0),100))</f>
        <v>0</v>
      </c>
      <c r="AX27" s="1">
        <f ca="1">IF(COUNTIFS($J$7:$J$510,Table7[[#Headers],[Business Energy Essentials]],$C$7:$C$510,$L27)&gt;0,0,MROUND(IFERROR(AE27*($P27/$AI27),0),100))</f>
        <v>0</v>
      </c>
      <c r="AY27" s="1">
        <f ca="1">IF(COUNTIFS($J$7:$J$510,Table7[[#Headers],[Energy User RTM Analysis]],$C$7:$C$510,$L27)&gt;0,0,MROUND(IFERROR(AF27*($P27/$AI27),0),100))</f>
        <v>0</v>
      </c>
      <c r="AZ27" s="1">
        <f ca="1">IF(COUNTIFS($J$7:$J$510,Table7[[#Headers],[Energy User Forecasts]],$C$7:$C$510,$L27)&gt;0,0,MROUND(IFERROR(AG27*($P27/$AI27),0),100))</f>
        <v>0</v>
      </c>
      <c r="BA27" s="1">
        <f ca="1">IF(COUNTIFS($J$7:$J$510,Table7[[#Headers],[Energy User Regulation]],$C$7:$C$510,$L27)&gt;0,0,MROUND(IFERROR(AH27*($P27/$AI27),0),100))</f>
        <v>0</v>
      </c>
    </row>
    <row r="28" spans="2:53">
      <c r="B28" s="38" t="s">
        <v>2062</v>
      </c>
      <c r="C28" s="38" t="s">
        <v>204</v>
      </c>
      <c r="D28" s="38" t="s">
        <v>2063</v>
      </c>
      <c r="E28" s="38" t="s">
        <v>2064</v>
      </c>
      <c r="F28" s="63">
        <v>5000</v>
      </c>
      <c r="G28" s="38"/>
      <c r="H28" s="38" t="s">
        <v>191</v>
      </c>
      <c r="I28" s="38" t="s">
        <v>191</v>
      </c>
      <c r="J28" s="38" t="s">
        <v>36</v>
      </c>
      <c r="L28" s="1" t="str">
        <v>British Gas Trading Ltd</v>
      </c>
      <c r="M28" s="1" t="str">
        <f t="shared" si="2"/>
        <v>Supply</v>
      </c>
      <c r="N28" s="109">
        <f t="shared" si="3"/>
        <v>241800</v>
      </c>
      <c r="O28" s="1">
        <f>IFERROR(IF(INDEX(Table3[[Total Spend]:[Total Spend]],MATCH(L28,Table3[[Company name]:[Company name]],0))&gt;N28,INDEX(Table3[[Total Spend]:[Total Spend]],MATCH(L28,Table3[[Company name]:[Company name]])),N28),50000)</f>
        <v>250000</v>
      </c>
      <c r="P28" s="109">
        <f t="shared" si="4"/>
        <v>8200</v>
      </c>
      <c r="Q28" s="103">
        <f t="shared" si="5"/>
        <v>0.96719999999999995</v>
      </c>
      <c r="R28" s="1">
        <f ca="1">IFERROR(INDEX(INDIRECT("Table3[Column"&amp;R$9&amp;"]"),MATCH($L28,Table3[[Company name]:[Company name]],0)),0)</f>
        <v>10800</v>
      </c>
      <c r="S28" s="1">
        <f ca="1">IFERROR(INDEX(INDIRECT("Table3[Column"&amp;S$9&amp;"]"),MATCH($L28,Table3[[Company name]:[Company name]],0)),0)</f>
        <v>43200</v>
      </c>
      <c r="T28" s="1">
        <f ca="1">IFERROR(INDEX(INDIRECT("Table3[Column"&amp;T$9&amp;"]"),MATCH($L28,Table3[[Company name]:[Company name]],0)),0)</f>
        <v>73800</v>
      </c>
      <c r="U28" s="1">
        <f ca="1">IFERROR(INDEX(INDIRECT("Table3[Column"&amp;U$9&amp;"]"),MATCH($L28,Table3[[Company name]:[Company name]],0)),0)</f>
        <v>48600</v>
      </c>
      <c r="V28" s="1">
        <f ca="1">IFERROR(INDEX(INDIRECT("Table3[Column"&amp;V$9&amp;"]"),MATCH($L28,Table3[[Company name]:[Company name]],0)),0)</f>
        <v>55800</v>
      </c>
      <c r="W28" s="1">
        <f ca="1">IFERROR(INDEX(INDIRECT("Table3[Column"&amp;W$9&amp;"]"),MATCH($L28,Table3[[Company name]:[Company name]],0)),0)</f>
        <v>23400</v>
      </c>
      <c r="X28" s="1">
        <f ca="1">IFERROR(INDEX(INDIRECT("Table3[Column"&amp;X$9&amp;"]"),MATCH($L28,Table3[[Company name]:[Company name]],0)),0)</f>
        <v>20700</v>
      </c>
      <c r="Y28" s="1">
        <f ca="1">IFERROR(INDEX(INDIRECT("Table3[Column"&amp;Y$9&amp;"]"),MATCH($L28,Table3[[Company name]:[Company name]],0)),0)</f>
        <v>59400</v>
      </c>
      <c r="Z28" s="1">
        <f ca="1">IFERROR(INDEX(INDIRECT("Table3[Column"&amp;Z$9&amp;"]"),MATCH($L28,Table3[[Company name]:[Company name]],0)),0)</f>
        <v>26100</v>
      </c>
      <c r="AA28" s="1">
        <f ca="1">IFERROR(INDEX(INDIRECT("Table3[Column"&amp;AA$9&amp;"]"),MATCH($L28,Table3[[Company name]:[Company name]],0)),0)</f>
        <v>29700</v>
      </c>
      <c r="AB28" s="1">
        <f ca="1">IFERROR(INDEX(INDIRECT("Table3[Column"&amp;AB$9&amp;"]"),MATCH($L28,Table3[[Company name]:[Company name]],0)),0)</f>
        <v>10800</v>
      </c>
      <c r="AC28" s="1">
        <f ca="1">IFERROR(INDEX(INDIRECT("Table3[Column"&amp;AC$9&amp;"]"),MATCH($L28,Table3[[Company name]:[Company name]],0)),0)</f>
        <v>44100</v>
      </c>
      <c r="AD28" s="1">
        <f ca="1">IFERROR(INDEX(INDIRECT("Table3[Column"&amp;AD$9&amp;"]"),MATCH($L28,Table3[[Company name]:[Company name]],0)),0)</f>
        <v>36000</v>
      </c>
      <c r="AE28" s="1">
        <f ca="1">IFERROR(INDEX(INDIRECT("Table3[Column"&amp;AE$9&amp;"]"),MATCH($L28,Table3[[Company name]:[Company name]],0)),0)</f>
        <v>0</v>
      </c>
      <c r="AF28" s="1">
        <f ca="1">IFERROR(INDEX(INDIRECT("Table3[Column"&amp;AF$9&amp;"]"),MATCH($L28,Table3[[Company name]:[Company name]],0)),0)</f>
        <v>0</v>
      </c>
      <c r="AG28" s="1">
        <f ca="1">IFERROR(INDEX(INDIRECT("Table3[Column"&amp;AG$9&amp;"]"),MATCH($L28,Table3[[Company name]:[Company name]],0)),0)</f>
        <v>0</v>
      </c>
      <c r="AH28" s="1">
        <f ca="1">IFERROR(INDEX(INDIRECT("Table3[Column"&amp;AH$9&amp;"]"),MATCH($L28,Table3[[Company name]:[Company name]],0)),0)</f>
        <v>0</v>
      </c>
      <c r="AI28" s="1">
        <f t="shared" ca="1" si="6"/>
        <v>482400</v>
      </c>
      <c r="AK28" s="1">
        <f>IF(COUNTIFS($J$7:$J$510,Table7[[#Headers],[Industry Essentials]],$C$7:$C$510,$L28)&gt;0,0,MROUND(R28,100))</f>
        <v>0</v>
      </c>
      <c r="AL28" s="1">
        <f>IF(COUNTIFS($J$7:$J$510,Table7[[#Headers],[Energy Supply Market Intelligence]],$C$7:$C$510,$L28)&gt;0,0,MROUND(IFERROR(S28*($P28/$AI28),0),100))</f>
        <v>0</v>
      </c>
      <c r="AM28" s="1">
        <f ca="1">IF(COUNTIFS($J$7:$J$510,Table7[[#Headers],[Energy Supply RTM Analysis]],$C$7:$C$510,$L28)&gt;0,0,MROUND(IFERROR(T28*($P28/$AI28),0),100))</f>
        <v>1300</v>
      </c>
      <c r="AN28" s="1">
        <f>IF(COUNTIFS($J$7:$J$510,Table7[[#Headers],[Energy Supply Forecasts]],$C$7:$C$510,$L28)&gt;0,0,MROUND(IFERROR(U28*($P28/$AI28),0),100))</f>
        <v>0</v>
      </c>
      <c r="AO28" s="1">
        <f ca="1">IF(COUNTIFS($J$7:$J$510,Table7[[#Headers],[Energy Supply Regulation]],$C$7:$C$510,$L28)&gt;0,0,MROUND(IFERROR(V28*($P28/$AI28),0),100))</f>
        <v>900</v>
      </c>
      <c r="AP28" s="1">
        <f ca="1">IF(COUNTIFS($J$7:$J$510,Table7[[#Headers],[Renewables Market Intelligence]],$C$7:$C$510,$L28)&gt;0,0,MROUND(IFERROR(W28*($P28/$AI28),0),100))</f>
        <v>400</v>
      </c>
      <c r="AQ28" s="1">
        <f>IF(COUNTIFS($J$7:$J$510,Table7[[#Headers],[Renewables RTM Analysis]],$C$7:$C$510,$L28)&gt;0,0,MROUND(IFERROR(X28*($P28/$AI28),0),100))</f>
        <v>0</v>
      </c>
      <c r="AR28" s="1">
        <f ca="1">IF(COUNTIFS($J$7:$J$510,Table7[[#Headers],[Renewables Forecasts]],$C$7:$C$510,$L28)&gt;0,0,MROUND(IFERROR(Y28*($P28/$AI28),0),100))</f>
        <v>1000</v>
      </c>
      <c r="AS28" s="1">
        <f ca="1">IF(COUNTIFS($J$7:$J$510,Table7[[#Headers],[Renewables Regulation]],$C$7:$C$510,$L28)&gt;0,0,MROUND(IFERROR(Z28*($P28/$AI28),0),100))</f>
        <v>400</v>
      </c>
      <c r="AT28" s="1">
        <f ca="1">IF(COUNTIFS($J$7:$J$510,Table7[[#Headers],[Flexibility Market Intelligence]],$C$7:$C$510,$L28)&gt;0,0,MROUND(IFERROR(AA28*($P28/$AI28),0),100))</f>
        <v>500</v>
      </c>
      <c r="AU28" s="1">
        <f ca="1">IF(COUNTIFS($J$7:$J$510,Table7[[#Headers],[Flexibility RTM Analysis]],$C$7:$C$510,$L28)&gt;0,0,MROUND(IFERROR(AB28*($P28/$AI28),0),100))</f>
        <v>200</v>
      </c>
      <c r="AV28" s="1">
        <f ca="1">IF(COUNTIFS($J$7:$J$510,Table7[[#Headers],[Flexibility Forecasts]],$C$7:$C$510,$L28)&gt;0,0,MROUND(IFERROR(AC28*($P28/$AI28),0),100))</f>
        <v>700</v>
      </c>
      <c r="AW28" s="1">
        <f ca="1">IF(COUNTIFS($J$7:$J$510,Table7[[#Headers],[Flexibility Regulation]],$C$7:$C$510,$L28)&gt;0,0,MROUND(IFERROR(AD28*($P28/$AI28),0),100))</f>
        <v>600</v>
      </c>
      <c r="AX28" s="1">
        <f ca="1">IF(COUNTIFS($J$7:$J$510,Table7[[#Headers],[Business Energy Essentials]],$C$7:$C$510,$L28)&gt;0,0,MROUND(IFERROR(AE28*($P28/$AI28),0),100))</f>
        <v>0</v>
      </c>
      <c r="AY28" s="1">
        <f ca="1">IF(COUNTIFS($J$7:$J$510,Table7[[#Headers],[Energy User RTM Analysis]],$C$7:$C$510,$L28)&gt;0,0,MROUND(IFERROR(AF28*($P28/$AI28),0),100))</f>
        <v>0</v>
      </c>
      <c r="AZ28" s="1">
        <f ca="1">IF(COUNTIFS($J$7:$J$510,Table7[[#Headers],[Energy User Forecasts]],$C$7:$C$510,$L28)&gt;0,0,MROUND(IFERROR(AG28*($P28/$AI28),0),100))</f>
        <v>0</v>
      </c>
      <c r="BA28" s="1">
        <f ca="1">IF(COUNTIFS($J$7:$J$510,Table7[[#Headers],[Energy User Regulation]],$C$7:$C$510,$L28)&gt;0,0,MROUND(IFERROR(AH28*($P28/$AI28),0),100))</f>
        <v>0</v>
      </c>
    </row>
    <row r="29" spans="2:53">
      <c r="B29" s="38" t="s">
        <v>2065</v>
      </c>
      <c r="C29" s="38" t="s">
        <v>1154</v>
      </c>
      <c r="D29" s="38" t="s">
        <v>2035</v>
      </c>
      <c r="E29" s="38" t="s">
        <v>1855</v>
      </c>
      <c r="F29" s="63">
        <v>3750</v>
      </c>
      <c r="G29" s="38"/>
      <c r="H29" s="38" t="s">
        <v>2032</v>
      </c>
      <c r="I29" s="38" t="s">
        <v>2032</v>
      </c>
      <c r="J29" s="38" t="s">
        <v>20</v>
      </c>
      <c r="L29" s="1" t="str">
        <v>British Telecommunications Plc</v>
      </c>
      <c r="M29" s="1" t="str">
        <f t="shared" si="2"/>
        <v>Energy User</v>
      </c>
      <c r="N29" s="109">
        <f t="shared" si="3"/>
        <v>17677</v>
      </c>
      <c r="O29" s="1">
        <f>IFERROR(IF(INDEX(Table3[[Total Spend]:[Total Spend]],MATCH(L29,Table3[[Company name]:[Company name]],0))&gt;N29,INDEX(Table3[[Total Spend]:[Total Spend]],MATCH(L29,Table3[[Company name]:[Company name]])),N29),50000)</f>
        <v>250000</v>
      </c>
      <c r="P29" s="109">
        <f t="shared" si="4"/>
        <v>232323</v>
      </c>
      <c r="Q29" s="103">
        <f t="shared" si="5"/>
        <v>7.0707999999999993E-2</v>
      </c>
      <c r="R29" s="1">
        <f ca="1">IFERROR(INDEX(INDIRECT("Table3[Column"&amp;R$9&amp;"]"),MATCH($L29,Table3[[Company name]:[Company name]],0)),0)</f>
        <v>0</v>
      </c>
      <c r="S29" s="1">
        <f ca="1">IFERROR(INDEX(INDIRECT("Table3[Column"&amp;S$9&amp;"]"),MATCH($L29,Table3[[Company name]:[Company name]],0)),0)</f>
        <v>0</v>
      </c>
      <c r="T29" s="1">
        <f ca="1">IFERROR(INDEX(INDIRECT("Table3[Column"&amp;T$9&amp;"]"),MATCH($L29,Table3[[Company name]:[Company name]],0)),0)</f>
        <v>0</v>
      </c>
      <c r="U29" s="1">
        <f ca="1">IFERROR(INDEX(INDIRECT("Table3[Column"&amp;U$9&amp;"]"),MATCH($L29,Table3[[Company name]:[Company name]],0)),0)</f>
        <v>0</v>
      </c>
      <c r="V29" s="1">
        <f ca="1">IFERROR(INDEX(INDIRECT("Table3[Column"&amp;V$9&amp;"]"),MATCH($L29,Table3[[Company name]:[Company name]],0)),0)</f>
        <v>0</v>
      </c>
      <c r="W29" s="1">
        <f ca="1">IFERROR(INDEX(INDIRECT("Table3[Column"&amp;W$9&amp;"]"),MATCH($L29,Table3[[Company name]:[Company name]],0)),0)</f>
        <v>0</v>
      </c>
      <c r="X29" s="1">
        <f ca="1">IFERROR(INDEX(INDIRECT("Table3[Column"&amp;X$9&amp;"]"),MATCH($L29,Table3[[Company name]:[Company name]],0)),0)</f>
        <v>0</v>
      </c>
      <c r="Y29" s="1">
        <f ca="1">IFERROR(INDEX(INDIRECT("Table3[Column"&amp;Y$9&amp;"]"),MATCH($L29,Table3[[Company name]:[Company name]],0)),0)</f>
        <v>0</v>
      </c>
      <c r="Z29" s="1">
        <f ca="1">IFERROR(INDEX(INDIRECT("Table3[Column"&amp;Z$9&amp;"]"),MATCH($L29,Table3[[Company name]:[Company name]],0)),0)</f>
        <v>0</v>
      </c>
      <c r="AA29" s="1">
        <f ca="1">IFERROR(INDEX(INDIRECT("Table3[Column"&amp;AA$9&amp;"]"),MATCH($L29,Table3[[Company name]:[Company name]],0)),0)</f>
        <v>0</v>
      </c>
      <c r="AB29" s="1">
        <f ca="1">IFERROR(INDEX(INDIRECT("Table3[Column"&amp;AB$9&amp;"]"),MATCH($L29,Table3[[Company name]:[Company name]],0)),0)</f>
        <v>0</v>
      </c>
      <c r="AC29" s="1">
        <f ca="1">IFERROR(INDEX(INDIRECT("Table3[Column"&amp;AC$9&amp;"]"),MATCH($L29,Table3[[Company name]:[Company name]],0)),0)</f>
        <v>0</v>
      </c>
      <c r="AD29" s="1">
        <f ca="1">IFERROR(INDEX(INDIRECT("Table3[Column"&amp;AD$9&amp;"]"),MATCH($L29,Table3[[Company name]:[Company name]],0)),0)</f>
        <v>0</v>
      </c>
      <c r="AE29" s="1">
        <f ca="1">IFERROR(INDEX(INDIRECT("Table3[Column"&amp;AE$9&amp;"]"),MATCH($L29,Table3[[Company name]:[Company name]],0)),0)</f>
        <v>15300</v>
      </c>
      <c r="AF29" s="1">
        <f ca="1">IFERROR(INDEX(INDIRECT("Table3[Column"&amp;AF$9&amp;"]"),MATCH($L29,Table3[[Company name]:[Company name]],0)),0)</f>
        <v>15750</v>
      </c>
      <c r="AG29" s="1">
        <f ca="1">IFERROR(INDEX(INDIRECT("Table3[Column"&amp;AG$9&amp;"]"),MATCH($L29,Table3[[Company name]:[Company name]],0)),0)</f>
        <v>27000</v>
      </c>
      <c r="AH29" s="1">
        <f ca="1">IFERROR(INDEX(INDIRECT("Table3[Column"&amp;AH$9&amp;"]"),MATCH($L29,Table3[[Company name]:[Company name]],0)),0)</f>
        <v>6300</v>
      </c>
      <c r="AI29" s="1">
        <f t="shared" ca="1" si="6"/>
        <v>64350</v>
      </c>
      <c r="AK29" s="1">
        <f ca="1">IF(COUNTIFS($J$7:$J$510,Table7[[#Headers],[Industry Essentials]],$C$7:$C$510,$L29)&gt;0,0,MROUND(R29,100))</f>
        <v>0</v>
      </c>
      <c r="AL29" s="1">
        <f ca="1">IF(COUNTIFS($J$7:$J$510,Table7[[#Headers],[Energy Supply Market Intelligence]],$C$7:$C$510,$L29)&gt;0,0,MROUND(IFERROR(S29*($P29/$AI29),0),100))</f>
        <v>0</v>
      </c>
      <c r="AM29" s="1">
        <f ca="1">IF(COUNTIFS($J$7:$J$510,Table7[[#Headers],[Energy Supply RTM Analysis]],$C$7:$C$510,$L29)&gt;0,0,MROUND(IFERROR(T29*($P29/$AI29),0),100))</f>
        <v>0</v>
      </c>
      <c r="AN29" s="1">
        <f ca="1">IF(COUNTIFS($J$7:$J$510,Table7[[#Headers],[Energy Supply Forecasts]],$C$7:$C$510,$L29)&gt;0,0,MROUND(IFERROR(U29*($P29/$AI29),0),100))</f>
        <v>0</v>
      </c>
      <c r="AO29" s="1">
        <f ca="1">IF(COUNTIFS($J$7:$J$510,Table7[[#Headers],[Energy Supply Regulation]],$C$7:$C$510,$L29)&gt;0,0,MROUND(IFERROR(V29*($P29/$AI29),0),100))</f>
        <v>0</v>
      </c>
      <c r="AP29" s="1">
        <f>IF(COUNTIFS($J$7:$J$510,Table7[[#Headers],[Renewables Market Intelligence]],$C$7:$C$510,$L29)&gt;0,0,MROUND(IFERROR(W29*($P29/$AI29),0),100))</f>
        <v>0</v>
      </c>
      <c r="AQ29" s="1">
        <f ca="1">IF(COUNTIFS($J$7:$J$510,Table7[[#Headers],[Renewables RTM Analysis]],$C$7:$C$510,$L29)&gt;0,0,MROUND(IFERROR(X29*($P29/$AI29),0),100))</f>
        <v>0</v>
      </c>
      <c r="AR29" s="1">
        <f ca="1">IF(COUNTIFS($J$7:$J$510,Table7[[#Headers],[Renewables Forecasts]],$C$7:$C$510,$L29)&gt;0,0,MROUND(IFERROR(Y29*($P29/$AI29),0),100))</f>
        <v>0</v>
      </c>
      <c r="AS29" s="1">
        <f ca="1">IF(COUNTIFS($J$7:$J$510,Table7[[#Headers],[Renewables Regulation]],$C$7:$C$510,$L29)&gt;0,0,MROUND(IFERROR(Z29*($P29/$AI29),0),100))</f>
        <v>0</v>
      </c>
      <c r="AT29" s="1">
        <f ca="1">IF(COUNTIFS($J$7:$J$510,Table7[[#Headers],[Flexibility Market Intelligence]],$C$7:$C$510,$L29)&gt;0,0,MROUND(IFERROR(AA29*($P29/$AI29),0),100))</f>
        <v>0</v>
      </c>
      <c r="AU29" s="1">
        <f ca="1">IF(COUNTIFS($J$7:$J$510,Table7[[#Headers],[Flexibility RTM Analysis]],$C$7:$C$510,$L29)&gt;0,0,MROUND(IFERROR(AB29*($P29/$AI29),0),100))</f>
        <v>0</v>
      </c>
      <c r="AV29" s="1">
        <f ca="1">IF(COUNTIFS($J$7:$J$510,Table7[[#Headers],[Flexibility Forecasts]],$C$7:$C$510,$L29)&gt;0,0,MROUND(IFERROR(AC29*($P29/$AI29),0),100))</f>
        <v>0</v>
      </c>
      <c r="AW29" s="1">
        <f ca="1">IF(COUNTIFS($J$7:$J$510,Table7[[#Headers],[Flexibility Regulation]],$C$7:$C$510,$L29)&gt;0,0,MROUND(IFERROR(AD29*($P29/$AI29),0),100))</f>
        <v>0</v>
      </c>
      <c r="AX29" s="1">
        <f>IF(COUNTIFS($J$7:$J$510,Table7[[#Headers],[Business Energy Essentials]],$C$7:$C$510,$L29)&gt;0,0,MROUND(IFERROR(AE29*($P29/$AI29),0),100))</f>
        <v>0</v>
      </c>
      <c r="AY29" s="1">
        <f ca="1">IF(COUNTIFS($J$7:$J$510,Table7[[#Headers],[Energy User RTM Analysis]],$C$7:$C$510,$L29)&gt;0,0,MROUND(IFERROR(AF29*($P29/$AI29),0),100))</f>
        <v>56900</v>
      </c>
      <c r="AZ29" s="1">
        <f ca="1">IF(COUNTIFS($J$7:$J$510,Table7[[#Headers],[Energy User Forecasts]],$C$7:$C$510,$L29)&gt;0,0,MROUND(IFERROR(AG29*($P29/$AI29),0),100))</f>
        <v>97500</v>
      </c>
      <c r="BA29" s="1">
        <f ca="1">IF(COUNTIFS($J$7:$J$510,Table7[[#Headers],[Energy User Regulation]],$C$7:$C$510,$L29)&gt;0,0,MROUND(IFERROR(AH29*($P29/$AI29),0),100))</f>
        <v>22700</v>
      </c>
    </row>
    <row r="30" spans="2:53">
      <c r="B30" s="38" t="s">
        <v>2066</v>
      </c>
      <c r="C30" s="38" t="s">
        <v>56</v>
      </c>
      <c r="D30" s="38" t="s">
        <v>2067</v>
      </c>
      <c r="E30" s="38" t="s">
        <v>2068</v>
      </c>
      <c r="F30" s="63">
        <v>14950.000000000002</v>
      </c>
      <c r="G30" s="38"/>
      <c r="H30" s="38" t="s">
        <v>2031</v>
      </c>
      <c r="I30" s="38" t="s">
        <v>2031</v>
      </c>
      <c r="J30" s="38" t="s">
        <v>21</v>
      </c>
      <c r="L30" s="1" t="str">
        <v>Brook Green Supply Limited</v>
      </c>
      <c r="M30" s="1" t="str">
        <f t="shared" si="2"/>
        <v>Supply</v>
      </c>
      <c r="N30" s="109">
        <f t="shared" si="3"/>
        <v>78990</v>
      </c>
      <c r="O30" s="1">
        <f>IFERROR(IF(INDEX(Table3[[Total Spend]:[Total Spend]],MATCH(L30,Table3[[Company name]:[Company name]],0))&gt;N30,INDEX(Table3[[Total Spend]:[Total Spend]],MATCH(L30,Table3[[Company name]:[Company name]])),N30),50000)</f>
        <v>250000</v>
      </c>
      <c r="P30" s="109">
        <f t="shared" si="4"/>
        <v>171010</v>
      </c>
      <c r="Q30" s="103">
        <f t="shared" si="5"/>
        <v>0.31596000000000002</v>
      </c>
      <c r="R30" s="1">
        <f ca="1">IFERROR(INDEX(INDIRECT("Table3[Column"&amp;R$9&amp;"]"),MATCH($L30,Table3[[Company name]:[Company name]],0)),0)</f>
        <v>8100</v>
      </c>
      <c r="S30" s="1">
        <f ca="1">IFERROR(INDEX(INDIRECT("Table3[Column"&amp;S$9&amp;"]"),MATCH($L30,Table3[[Company name]:[Company name]],0)),0)</f>
        <v>30600</v>
      </c>
      <c r="T30" s="1">
        <f ca="1">IFERROR(INDEX(INDIRECT("Table3[Column"&amp;T$9&amp;"]"),MATCH($L30,Table3[[Company name]:[Company name]],0)),0)</f>
        <v>53100</v>
      </c>
      <c r="U30" s="1">
        <f ca="1">IFERROR(INDEX(INDIRECT("Table3[Column"&amp;U$9&amp;"]"),MATCH($L30,Table3[[Company name]:[Company name]],0)),0)</f>
        <v>34200</v>
      </c>
      <c r="V30" s="1">
        <f ca="1">IFERROR(INDEX(INDIRECT("Table3[Column"&amp;V$9&amp;"]"),MATCH($L30,Table3[[Company name]:[Company name]],0)),0)</f>
        <v>39600</v>
      </c>
      <c r="W30" s="1">
        <f ca="1">IFERROR(INDEX(INDIRECT("Table3[Column"&amp;W$9&amp;"]"),MATCH($L30,Table3[[Company name]:[Company name]],0)),0)</f>
        <v>0</v>
      </c>
      <c r="X30" s="1">
        <f ca="1">IFERROR(INDEX(INDIRECT("Table3[Column"&amp;X$9&amp;"]"),MATCH($L30,Table3[[Company name]:[Company name]],0)),0)</f>
        <v>15300</v>
      </c>
      <c r="Y30" s="1">
        <f ca="1">IFERROR(INDEX(INDIRECT("Table3[Column"&amp;Y$9&amp;"]"),MATCH($L30,Table3[[Company name]:[Company name]],0)),0)</f>
        <v>0</v>
      </c>
      <c r="Z30" s="1">
        <f ca="1">IFERROR(INDEX(INDIRECT("Table3[Column"&amp;Z$9&amp;"]"),MATCH($L30,Table3[[Company name]:[Company name]],0)),0)</f>
        <v>0</v>
      </c>
      <c r="AA30" s="1">
        <f ca="1">IFERROR(INDEX(INDIRECT("Table3[Column"&amp;AA$9&amp;"]"),MATCH($L30,Table3[[Company name]:[Company name]],0)),0)</f>
        <v>21600</v>
      </c>
      <c r="AB30" s="1">
        <f ca="1">IFERROR(INDEX(INDIRECT("Table3[Column"&amp;AB$9&amp;"]"),MATCH($L30,Table3[[Company name]:[Company name]],0)),0)</f>
        <v>7650</v>
      </c>
      <c r="AC30" s="1">
        <f ca="1">IFERROR(INDEX(INDIRECT("Table3[Column"&amp;AC$9&amp;"]"),MATCH($L30,Table3[[Company name]:[Company name]],0)),0)</f>
        <v>31500</v>
      </c>
      <c r="AD30" s="1">
        <f ca="1">IFERROR(INDEX(INDIRECT("Table3[Column"&amp;AD$9&amp;"]"),MATCH($L30,Table3[[Company name]:[Company name]],0)),0)</f>
        <v>0</v>
      </c>
      <c r="AE30" s="1">
        <f ca="1">IFERROR(INDEX(INDIRECT("Table3[Column"&amp;AE$9&amp;"]"),MATCH($L30,Table3[[Company name]:[Company name]],0)),0)</f>
        <v>0</v>
      </c>
      <c r="AF30" s="1">
        <f ca="1">IFERROR(INDEX(INDIRECT("Table3[Column"&amp;AF$9&amp;"]"),MATCH($L30,Table3[[Company name]:[Company name]],0)),0)</f>
        <v>0</v>
      </c>
      <c r="AG30" s="1">
        <f ca="1">IFERROR(INDEX(INDIRECT("Table3[Column"&amp;AG$9&amp;"]"),MATCH($L30,Table3[[Company name]:[Company name]],0)),0)</f>
        <v>0</v>
      </c>
      <c r="AH30" s="1">
        <f ca="1">IFERROR(INDEX(INDIRECT("Table3[Column"&amp;AH$9&amp;"]"),MATCH($L30,Table3[[Company name]:[Company name]],0)),0)</f>
        <v>0</v>
      </c>
      <c r="AI30" s="1">
        <f t="shared" ca="1" si="6"/>
        <v>241650</v>
      </c>
      <c r="AK30" s="1">
        <f>IF(COUNTIFS($J$7:$J$510,Table7[[#Headers],[Industry Essentials]],$C$7:$C$510,$L30)&gt;0,0,MROUND(R30,100))</f>
        <v>0</v>
      </c>
      <c r="AL30" s="1">
        <f ca="1">IF(COUNTIFS($J$7:$J$510,Table7[[#Headers],[Energy Supply Market Intelligence]],$C$7:$C$510,$L30)&gt;0,0,MROUND(IFERROR(S30*($P30/$AI30),0),100))</f>
        <v>21700</v>
      </c>
      <c r="AM30" s="1">
        <f>IF(COUNTIFS($J$7:$J$510,Table7[[#Headers],[Energy Supply RTM Analysis]],$C$7:$C$510,$L30)&gt;0,0,MROUND(IFERROR(T30*($P30/$AI30),0),100))</f>
        <v>0</v>
      </c>
      <c r="AN30" s="1">
        <f>IF(COUNTIFS($J$7:$J$510,Table7[[#Headers],[Energy Supply Forecasts]],$C$7:$C$510,$L30)&gt;0,0,MROUND(IFERROR(U30*($P30/$AI30),0),100))</f>
        <v>0</v>
      </c>
      <c r="AO30" s="1">
        <f>IF(COUNTIFS($J$7:$J$510,Table7[[#Headers],[Energy Supply Regulation]],$C$7:$C$510,$L30)&gt;0,0,MROUND(IFERROR(V30*($P30/$AI30),0),100))</f>
        <v>0</v>
      </c>
      <c r="AP30" s="1">
        <f ca="1">IF(COUNTIFS($J$7:$J$510,Table7[[#Headers],[Renewables Market Intelligence]],$C$7:$C$510,$L30)&gt;0,0,MROUND(IFERROR(W30*($P30/$AI30),0),100))</f>
        <v>0</v>
      </c>
      <c r="AQ30" s="1">
        <f ca="1">IF(COUNTIFS($J$7:$J$510,Table7[[#Headers],[Renewables RTM Analysis]],$C$7:$C$510,$L30)&gt;0,0,MROUND(IFERROR(X30*($P30/$AI30),0),100))</f>
        <v>10800</v>
      </c>
      <c r="AR30" s="1">
        <f>IF(COUNTIFS($J$7:$J$510,Table7[[#Headers],[Renewables Forecasts]],$C$7:$C$510,$L30)&gt;0,0,MROUND(IFERROR(Y30*($P30/$AI30),0),100))</f>
        <v>0</v>
      </c>
      <c r="AS30" s="1">
        <f ca="1">IF(COUNTIFS($J$7:$J$510,Table7[[#Headers],[Renewables Regulation]],$C$7:$C$510,$L30)&gt;0,0,MROUND(IFERROR(Z30*($P30/$AI30),0),100))</f>
        <v>0</v>
      </c>
      <c r="AT30" s="1">
        <f ca="1">IF(COUNTIFS($J$7:$J$510,Table7[[#Headers],[Flexibility Market Intelligence]],$C$7:$C$510,$L30)&gt;0,0,MROUND(IFERROR(AA30*($P30/$AI30),0),100))</f>
        <v>15300</v>
      </c>
      <c r="AU30" s="1">
        <f ca="1">IF(COUNTIFS($J$7:$J$510,Table7[[#Headers],[Flexibility RTM Analysis]],$C$7:$C$510,$L30)&gt;0,0,MROUND(IFERROR(AB30*($P30/$AI30),0),100))</f>
        <v>5400</v>
      </c>
      <c r="AV30" s="1">
        <f>IF(COUNTIFS($J$7:$J$510,Table7[[#Headers],[Flexibility Forecasts]],$C$7:$C$510,$L30)&gt;0,0,MROUND(IFERROR(AC30*($P30/$AI30),0),100))</f>
        <v>0</v>
      </c>
      <c r="AW30" s="1">
        <f ca="1">IF(COUNTIFS($J$7:$J$510,Table7[[#Headers],[Flexibility Regulation]],$C$7:$C$510,$L30)&gt;0,0,MROUND(IFERROR(AD30*($P30/$AI30),0),100))</f>
        <v>0</v>
      </c>
      <c r="AX30" s="1">
        <f ca="1">IF(COUNTIFS($J$7:$J$510,Table7[[#Headers],[Business Energy Essentials]],$C$7:$C$510,$L30)&gt;0,0,MROUND(IFERROR(AE30*($P30/$AI30),0),100))</f>
        <v>0</v>
      </c>
      <c r="AY30" s="1">
        <f ca="1">IF(COUNTIFS($J$7:$J$510,Table7[[#Headers],[Energy User RTM Analysis]],$C$7:$C$510,$L30)&gt;0,0,MROUND(IFERROR(AF30*($P30/$AI30),0),100))</f>
        <v>0</v>
      </c>
      <c r="AZ30" s="1">
        <f ca="1">IF(COUNTIFS($J$7:$J$510,Table7[[#Headers],[Energy User Forecasts]],$C$7:$C$510,$L30)&gt;0,0,MROUND(IFERROR(AG30*($P30/$AI30),0),100))</f>
        <v>0</v>
      </c>
      <c r="BA30" s="1">
        <f ca="1">IF(COUNTIFS($J$7:$J$510,Table7[[#Headers],[Energy User Regulation]],$C$7:$C$510,$L30)&gt;0,0,MROUND(IFERROR(AH30*($P30/$AI30),0),100))</f>
        <v>0</v>
      </c>
    </row>
    <row r="31" spans="2:53">
      <c r="B31" s="38" t="s">
        <v>2066</v>
      </c>
      <c r="C31" s="38" t="s">
        <v>56</v>
      </c>
      <c r="D31" s="38" t="s">
        <v>2069</v>
      </c>
      <c r="E31" s="38" t="s">
        <v>1889</v>
      </c>
      <c r="F31" s="63">
        <v>64000</v>
      </c>
      <c r="G31" s="38"/>
      <c r="H31" s="38" t="s">
        <v>2031</v>
      </c>
      <c r="I31" s="38" t="s">
        <v>2031</v>
      </c>
      <c r="J31" s="38" t="s">
        <v>21</v>
      </c>
      <c r="L31" s="1" t="str">
        <v>Business Power and Gas Limited</v>
      </c>
      <c r="M31" s="1" t="str">
        <f t="shared" si="2"/>
        <v>Supply</v>
      </c>
      <c r="N31" s="109">
        <f t="shared" si="3"/>
        <v>70350</v>
      </c>
      <c r="O31" s="1">
        <f>IFERROR(IF(INDEX(Table3[[Total Spend]:[Total Spend]],MATCH(L31,Table3[[Company name]:[Company name]],0))&gt;N31,INDEX(Table3[[Total Spend]:[Total Spend]],MATCH(L31,Table3[[Company name]:[Company name]])),N31),50000)</f>
        <v>250000</v>
      </c>
      <c r="P31" s="109">
        <f t="shared" si="4"/>
        <v>179650</v>
      </c>
      <c r="Q31" s="103">
        <f t="shared" si="5"/>
        <v>0.28139999999999998</v>
      </c>
      <c r="R31" s="1">
        <f ca="1">IFERROR(INDEX(INDIRECT("Table3[Column"&amp;R$9&amp;"]"),MATCH($L31,Table3[[Company name]:[Company name]],0)),0)</f>
        <v>8100</v>
      </c>
      <c r="S31" s="1">
        <f ca="1">IFERROR(INDEX(INDIRECT("Table3[Column"&amp;S$9&amp;"]"),MATCH($L31,Table3[[Company name]:[Company name]],0)),0)</f>
        <v>30600</v>
      </c>
      <c r="T31" s="1">
        <f ca="1">IFERROR(INDEX(INDIRECT("Table3[Column"&amp;T$9&amp;"]"),MATCH($L31,Table3[[Company name]:[Company name]],0)),0)</f>
        <v>53100</v>
      </c>
      <c r="U31" s="1">
        <f ca="1">IFERROR(INDEX(INDIRECT("Table3[Column"&amp;U$9&amp;"]"),MATCH($L31,Table3[[Company name]:[Company name]],0)),0)</f>
        <v>34200</v>
      </c>
      <c r="V31" s="1">
        <f ca="1">IFERROR(INDEX(INDIRECT("Table3[Column"&amp;V$9&amp;"]"),MATCH($L31,Table3[[Company name]:[Company name]],0)),0)</f>
        <v>39600</v>
      </c>
      <c r="W31" s="1">
        <f ca="1">IFERROR(INDEX(INDIRECT("Table3[Column"&amp;W$9&amp;"]"),MATCH($L31,Table3[[Company name]:[Company name]],0)),0)</f>
        <v>0</v>
      </c>
      <c r="X31" s="1">
        <f ca="1">IFERROR(INDEX(INDIRECT("Table3[Column"&amp;X$9&amp;"]"),MATCH($L31,Table3[[Company name]:[Company name]],0)),0)</f>
        <v>0</v>
      </c>
      <c r="Y31" s="1">
        <f ca="1">IFERROR(INDEX(INDIRECT("Table3[Column"&amp;Y$9&amp;"]"),MATCH($L31,Table3[[Company name]:[Company name]],0)),0)</f>
        <v>0</v>
      </c>
      <c r="Z31" s="1">
        <f ca="1">IFERROR(INDEX(INDIRECT("Table3[Column"&amp;Z$9&amp;"]"),MATCH($L31,Table3[[Company name]:[Company name]],0)),0)</f>
        <v>0</v>
      </c>
      <c r="AA31" s="1">
        <f ca="1">IFERROR(INDEX(INDIRECT("Table3[Column"&amp;AA$9&amp;"]"),MATCH($L31,Table3[[Company name]:[Company name]],0)),0)</f>
        <v>21600</v>
      </c>
      <c r="AB31" s="1">
        <f ca="1">IFERROR(INDEX(INDIRECT("Table3[Column"&amp;AB$9&amp;"]"),MATCH($L31,Table3[[Company name]:[Company name]],0)),0)</f>
        <v>0</v>
      </c>
      <c r="AC31" s="1">
        <f ca="1">IFERROR(INDEX(INDIRECT("Table3[Column"&amp;AC$9&amp;"]"),MATCH($L31,Table3[[Company name]:[Company name]],0)),0)</f>
        <v>0</v>
      </c>
      <c r="AD31" s="1">
        <f ca="1">IFERROR(INDEX(INDIRECT("Table3[Column"&amp;AD$9&amp;"]"),MATCH($L31,Table3[[Company name]:[Company name]],0)),0)</f>
        <v>0</v>
      </c>
      <c r="AE31" s="1">
        <f ca="1">IFERROR(INDEX(INDIRECT("Table3[Column"&amp;AE$9&amp;"]"),MATCH($L31,Table3[[Company name]:[Company name]],0)),0)</f>
        <v>0</v>
      </c>
      <c r="AF31" s="1">
        <f ca="1">IFERROR(INDEX(INDIRECT("Table3[Column"&amp;AF$9&amp;"]"),MATCH($L31,Table3[[Company name]:[Company name]],0)),0)</f>
        <v>0</v>
      </c>
      <c r="AG31" s="1">
        <f ca="1">IFERROR(INDEX(INDIRECT("Table3[Column"&amp;AG$9&amp;"]"),MATCH($L31,Table3[[Company name]:[Company name]],0)),0)</f>
        <v>0</v>
      </c>
      <c r="AH31" s="1">
        <f ca="1">IFERROR(INDEX(INDIRECT("Table3[Column"&amp;AH$9&amp;"]"),MATCH($L31,Table3[[Company name]:[Company name]],0)),0)</f>
        <v>0</v>
      </c>
      <c r="AI31" s="1">
        <f t="shared" ca="1" si="6"/>
        <v>187200</v>
      </c>
      <c r="AK31" s="1">
        <f>IF(COUNTIFS($J$7:$J$510,Table7[[#Headers],[Industry Essentials]],$C$7:$C$510,$L31)&gt;0,0,MROUND(R31,100))</f>
        <v>0</v>
      </c>
      <c r="AL31" s="1">
        <f ca="1">IF(COUNTIFS($J$7:$J$510,Table7[[#Headers],[Energy Supply Market Intelligence]],$C$7:$C$510,$L31)&gt;0,0,MROUND(IFERROR(S31*($P31/$AI31),0),100))</f>
        <v>29400</v>
      </c>
      <c r="AM31" s="1">
        <f>IF(COUNTIFS($J$7:$J$510,Table7[[#Headers],[Energy Supply RTM Analysis]],$C$7:$C$510,$L31)&gt;0,0,MROUND(IFERROR(T31*($P31/$AI31),0),100))</f>
        <v>0</v>
      </c>
      <c r="AN31" s="1">
        <f>IF(COUNTIFS($J$7:$J$510,Table7[[#Headers],[Energy Supply Forecasts]],$C$7:$C$510,$L31)&gt;0,0,MROUND(IFERROR(U31*($P31/$AI31),0),100))</f>
        <v>0</v>
      </c>
      <c r="AO31" s="1">
        <f>IF(COUNTIFS($J$7:$J$510,Table7[[#Headers],[Energy Supply Regulation]],$C$7:$C$510,$L31)&gt;0,0,MROUND(IFERROR(V31*($P31/$AI31),0),100))</f>
        <v>0</v>
      </c>
      <c r="AP31" s="1">
        <f ca="1">IF(COUNTIFS($J$7:$J$510,Table7[[#Headers],[Renewables Market Intelligence]],$C$7:$C$510,$L31)&gt;0,0,MROUND(IFERROR(W31*($P31/$AI31),0),100))</f>
        <v>0</v>
      </c>
      <c r="AQ31" s="1">
        <f ca="1">IF(COUNTIFS($J$7:$J$510,Table7[[#Headers],[Renewables RTM Analysis]],$C$7:$C$510,$L31)&gt;0,0,MROUND(IFERROR(X31*($P31/$AI31),0),100))</f>
        <v>0</v>
      </c>
      <c r="AR31" s="1">
        <f>IF(COUNTIFS($J$7:$J$510,Table7[[#Headers],[Renewables Forecasts]],$C$7:$C$510,$L31)&gt;0,0,MROUND(IFERROR(Y31*($P31/$AI31),0),100))</f>
        <v>0</v>
      </c>
      <c r="AS31" s="1">
        <f ca="1">IF(COUNTIFS($J$7:$J$510,Table7[[#Headers],[Renewables Regulation]],$C$7:$C$510,$L31)&gt;0,0,MROUND(IFERROR(Z31*($P31/$AI31),0),100))</f>
        <v>0</v>
      </c>
      <c r="AT31" s="1">
        <f ca="1">IF(COUNTIFS($J$7:$J$510,Table7[[#Headers],[Flexibility Market Intelligence]],$C$7:$C$510,$L31)&gt;0,0,MROUND(IFERROR(AA31*($P31/$AI31),0),100))</f>
        <v>20700</v>
      </c>
      <c r="AU31" s="1">
        <f ca="1">IF(COUNTIFS($J$7:$J$510,Table7[[#Headers],[Flexibility RTM Analysis]],$C$7:$C$510,$L31)&gt;0,0,MROUND(IFERROR(AB31*($P31/$AI31),0),100))</f>
        <v>0</v>
      </c>
      <c r="AV31" s="1">
        <f ca="1">IF(COUNTIFS($J$7:$J$510,Table7[[#Headers],[Flexibility Forecasts]],$C$7:$C$510,$L31)&gt;0,0,MROUND(IFERROR(AC31*($P31/$AI31),0),100))</f>
        <v>0</v>
      </c>
      <c r="AW31" s="1">
        <f ca="1">IF(COUNTIFS($J$7:$J$510,Table7[[#Headers],[Flexibility Regulation]],$C$7:$C$510,$L31)&gt;0,0,MROUND(IFERROR(AD31*($P31/$AI31),0),100))</f>
        <v>0</v>
      </c>
      <c r="AX31" s="1">
        <f ca="1">IF(COUNTIFS($J$7:$J$510,Table7[[#Headers],[Business Energy Essentials]],$C$7:$C$510,$L31)&gt;0,0,MROUND(IFERROR(AE31*($P31/$AI31),0),100))</f>
        <v>0</v>
      </c>
      <c r="AY31" s="1">
        <f ca="1">IF(COUNTIFS($J$7:$J$510,Table7[[#Headers],[Energy User RTM Analysis]],$C$7:$C$510,$L31)&gt;0,0,MROUND(IFERROR(AF31*($P31/$AI31),0),100))</f>
        <v>0</v>
      </c>
      <c r="AZ31" s="1">
        <f ca="1">IF(COUNTIFS($J$7:$J$510,Table7[[#Headers],[Energy User Forecasts]],$C$7:$C$510,$L31)&gt;0,0,MROUND(IFERROR(AG31*($P31/$AI31),0),100))</f>
        <v>0</v>
      </c>
      <c r="BA31" s="1">
        <f ca="1">IF(COUNTIFS($J$7:$J$510,Table7[[#Headers],[Energy User Regulation]],$C$7:$C$510,$L31)&gt;0,0,MROUND(IFERROR(AH31*($P31/$AI31),0),100))</f>
        <v>0</v>
      </c>
    </row>
    <row r="32" spans="2:53">
      <c r="B32" s="38" t="s">
        <v>2066</v>
      </c>
      <c r="C32" s="38" t="s">
        <v>56</v>
      </c>
      <c r="D32" s="38" t="s">
        <v>2070</v>
      </c>
      <c r="E32" s="38" t="s">
        <v>1813</v>
      </c>
      <c r="F32" s="63">
        <v>11900</v>
      </c>
      <c r="G32" s="38"/>
      <c r="H32" s="38" t="s">
        <v>2031</v>
      </c>
      <c r="I32" s="38" t="s">
        <v>2031</v>
      </c>
      <c r="J32" s="38" t="s">
        <v>21</v>
      </c>
      <c r="L32" s="1" t="str">
        <v>Bute Energy Ltd</v>
      </c>
      <c r="M32" s="1" t="str">
        <f t="shared" si="2"/>
        <v>Supply</v>
      </c>
      <c r="N32" s="109">
        <f t="shared" si="3"/>
        <v>18000</v>
      </c>
      <c r="O32" s="1">
        <f>IFERROR(IF(INDEX(Table3[[Total Spend]:[Total Spend]],MATCH(L32,Table3[[Company name]:[Company name]],0))&gt;N32,INDEX(Table3[[Total Spend]:[Total Spend]],MATCH(L32,Table3[[Company name]:[Company name]])),N32),50000)</f>
        <v>250000</v>
      </c>
      <c r="P32" s="109">
        <f t="shared" si="4"/>
        <v>232000</v>
      </c>
      <c r="Q32" s="103">
        <f t="shared" si="5"/>
        <v>7.1999999999999995E-2</v>
      </c>
      <c r="R32" s="1">
        <f ca="1">IFERROR(INDEX(INDIRECT("Table3[Column"&amp;R$9&amp;"]"),MATCH($L32,Table3[[Company name]:[Company name]],0)),0)</f>
        <v>8100</v>
      </c>
      <c r="S32" s="1">
        <f ca="1">IFERROR(INDEX(INDIRECT("Table3[Column"&amp;S$9&amp;"]"),MATCH($L32,Table3[[Company name]:[Company name]],0)),0)</f>
        <v>0</v>
      </c>
      <c r="T32" s="1">
        <f ca="1">IFERROR(INDEX(INDIRECT("Table3[Column"&amp;T$9&amp;"]"),MATCH($L32,Table3[[Company name]:[Company name]],0)),0)</f>
        <v>0</v>
      </c>
      <c r="U32" s="1">
        <f ca="1">IFERROR(INDEX(INDIRECT("Table3[Column"&amp;U$9&amp;"]"),MATCH($L32,Table3[[Company name]:[Company name]],0)),0)</f>
        <v>0</v>
      </c>
      <c r="V32" s="1">
        <f ca="1">IFERROR(INDEX(INDIRECT("Table3[Column"&amp;V$9&amp;"]"),MATCH($L32,Table3[[Company name]:[Company name]],0)),0)</f>
        <v>0</v>
      </c>
      <c r="W32" s="1">
        <f ca="1">IFERROR(INDEX(INDIRECT("Table3[Column"&amp;W$9&amp;"]"),MATCH($L32,Table3[[Company name]:[Company name]],0)),0)</f>
        <v>17100</v>
      </c>
      <c r="X32" s="1">
        <f ca="1">IFERROR(INDEX(INDIRECT("Table3[Column"&amp;X$9&amp;"]"),MATCH($L32,Table3[[Company name]:[Company name]],0)),0)</f>
        <v>15300</v>
      </c>
      <c r="Y32" s="1">
        <f ca="1">IFERROR(INDEX(INDIRECT("Table3[Column"&amp;Y$9&amp;"]"),MATCH($L32,Table3[[Company name]:[Company name]],0)),0)</f>
        <v>42300</v>
      </c>
      <c r="Z32" s="1">
        <f ca="1">IFERROR(INDEX(INDIRECT("Table3[Column"&amp;Z$9&amp;"]"),MATCH($L32,Table3[[Company name]:[Company name]],0)),0)</f>
        <v>18900</v>
      </c>
      <c r="AA32" s="1">
        <f ca="1">IFERROR(INDEX(INDIRECT("Table3[Column"&amp;AA$9&amp;"]"),MATCH($L32,Table3[[Company name]:[Company name]],0)),0)</f>
        <v>0</v>
      </c>
      <c r="AB32" s="1">
        <f ca="1">IFERROR(INDEX(INDIRECT("Table3[Column"&amp;AB$9&amp;"]"),MATCH($L32,Table3[[Company name]:[Company name]],0)),0)</f>
        <v>0</v>
      </c>
      <c r="AC32" s="1">
        <f ca="1">IFERROR(INDEX(INDIRECT("Table3[Column"&amp;AC$9&amp;"]"),MATCH($L32,Table3[[Company name]:[Company name]],0)),0)</f>
        <v>0</v>
      </c>
      <c r="AD32" s="1">
        <f ca="1">IFERROR(INDEX(INDIRECT("Table3[Column"&amp;AD$9&amp;"]"),MATCH($L32,Table3[[Company name]:[Company name]],0)),0)</f>
        <v>0</v>
      </c>
      <c r="AE32" s="1">
        <f ca="1">IFERROR(INDEX(INDIRECT("Table3[Column"&amp;AE$9&amp;"]"),MATCH($L32,Table3[[Company name]:[Company name]],0)),0)</f>
        <v>0</v>
      </c>
      <c r="AF32" s="1">
        <f ca="1">IFERROR(INDEX(INDIRECT("Table3[Column"&amp;AF$9&amp;"]"),MATCH($L32,Table3[[Company name]:[Company name]],0)),0)</f>
        <v>0</v>
      </c>
      <c r="AG32" s="1">
        <f ca="1">IFERROR(INDEX(INDIRECT("Table3[Column"&amp;AG$9&amp;"]"),MATCH($L32,Table3[[Company name]:[Company name]],0)),0)</f>
        <v>0</v>
      </c>
      <c r="AH32" s="1">
        <f ca="1">IFERROR(INDEX(INDIRECT("Table3[Column"&amp;AH$9&amp;"]"),MATCH($L32,Table3[[Company name]:[Company name]],0)),0)</f>
        <v>0</v>
      </c>
      <c r="AI32" s="1">
        <f t="shared" ca="1" si="6"/>
        <v>101700</v>
      </c>
      <c r="AK32" s="1">
        <f>IF(COUNTIFS($J$7:$J$510,Table7[[#Headers],[Industry Essentials]],$C$7:$C$510,$L32)&gt;0,0,MROUND(R32,100))</f>
        <v>0</v>
      </c>
      <c r="AL32" s="1">
        <f ca="1">IF(COUNTIFS($J$7:$J$510,Table7[[#Headers],[Energy Supply Market Intelligence]],$C$7:$C$510,$L32)&gt;0,0,MROUND(IFERROR(S32*($P32/$AI32),0),100))</f>
        <v>0</v>
      </c>
      <c r="AM32" s="1">
        <f ca="1">IF(COUNTIFS($J$7:$J$510,Table7[[#Headers],[Energy Supply RTM Analysis]],$C$7:$C$510,$L32)&gt;0,0,MROUND(IFERROR(T32*($P32/$AI32),0),100))</f>
        <v>0</v>
      </c>
      <c r="AN32" s="1">
        <f>IF(COUNTIFS($J$7:$J$510,Table7[[#Headers],[Energy Supply Forecasts]],$C$7:$C$510,$L32)&gt;0,0,MROUND(IFERROR(U32*($P32/$AI32),0),100))</f>
        <v>0</v>
      </c>
      <c r="AO32" s="1">
        <f ca="1">IF(COUNTIFS($J$7:$J$510,Table7[[#Headers],[Energy Supply Regulation]],$C$7:$C$510,$L32)&gt;0,0,MROUND(IFERROR(V32*($P32/$AI32),0),100))</f>
        <v>0</v>
      </c>
      <c r="AP32" s="1">
        <f>IF(COUNTIFS($J$7:$J$510,Table7[[#Headers],[Renewables Market Intelligence]],$C$7:$C$510,$L32)&gt;0,0,MROUND(IFERROR(W32*($P32/$AI32),0),100))</f>
        <v>0</v>
      </c>
      <c r="AQ32" s="1">
        <f ca="1">IF(COUNTIFS($J$7:$J$510,Table7[[#Headers],[Renewables RTM Analysis]],$C$7:$C$510,$L32)&gt;0,0,MROUND(IFERROR(X32*($P32/$AI32),0),100))</f>
        <v>34900</v>
      </c>
      <c r="AR32" s="1">
        <f ca="1">IF(COUNTIFS($J$7:$J$510,Table7[[#Headers],[Renewables Forecasts]],$C$7:$C$510,$L32)&gt;0,0,MROUND(IFERROR(Y32*($P32/$AI32),0),100))</f>
        <v>96500</v>
      </c>
      <c r="AS32" s="1">
        <f ca="1">IF(COUNTIFS($J$7:$J$510,Table7[[#Headers],[Renewables Regulation]],$C$7:$C$510,$L32)&gt;0,0,MROUND(IFERROR(Z32*($P32/$AI32),0),100))</f>
        <v>43100</v>
      </c>
      <c r="AT32" s="1">
        <f ca="1">IF(COUNTIFS($J$7:$J$510,Table7[[#Headers],[Flexibility Market Intelligence]],$C$7:$C$510,$L32)&gt;0,0,MROUND(IFERROR(AA32*($P32/$AI32),0),100))</f>
        <v>0</v>
      </c>
      <c r="AU32" s="1">
        <f ca="1">IF(COUNTIFS($J$7:$J$510,Table7[[#Headers],[Flexibility RTM Analysis]],$C$7:$C$510,$L32)&gt;0,0,MROUND(IFERROR(AB32*($P32/$AI32),0),100))</f>
        <v>0</v>
      </c>
      <c r="AV32" s="1">
        <f ca="1">IF(COUNTIFS($J$7:$J$510,Table7[[#Headers],[Flexibility Forecasts]],$C$7:$C$510,$L32)&gt;0,0,MROUND(IFERROR(AC32*($P32/$AI32),0),100))</f>
        <v>0</v>
      </c>
      <c r="AW32" s="1">
        <f ca="1">IF(COUNTIFS($J$7:$J$510,Table7[[#Headers],[Flexibility Regulation]],$C$7:$C$510,$L32)&gt;0,0,MROUND(IFERROR(AD32*($P32/$AI32),0),100))</f>
        <v>0</v>
      </c>
      <c r="AX32" s="1">
        <f ca="1">IF(COUNTIFS($J$7:$J$510,Table7[[#Headers],[Business Energy Essentials]],$C$7:$C$510,$L32)&gt;0,0,MROUND(IFERROR(AE32*($P32/$AI32),0),100))</f>
        <v>0</v>
      </c>
      <c r="AY32" s="1">
        <f ca="1">IF(COUNTIFS($J$7:$J$510,Table7[[#Headers],[Energy User RTM Analysis]],$C$7:$C$510,$L32)&gt;0,0,MROUND(IFERROR(AF32*($P32/$AI32),0),100))</f>
        <v>0</v>
      </c>
      <c r="AZ32" s="1">
        <f ca="1">IF(COUNTIFS($J$7:$J$510,Table7[[#Headers],[Energy User Forecasts]],$C$7:$C$510,$L32)&gt;0,0,MROUND(IFERROR(AG32*($P32/$AI32),0),100))</f>
        <v>0</v>
      </c>
      <c r="BA32" s="1">
        <f ca="1">IF(COUNTIFS($J$7:$J$510,Table7[[#Headers],[Energy User Regulation]],$C$7:$C$510,$L32)&gt;0,0,MROUND(IFERROR(AH32*($P32/$AI32),0),100))</f>
        <v>0</v>
      </c>
    </row>
    <row r="33" spans="2:53">
      <c r="B33" s="38" t="s">
        <v>2066</v>
      </c>
      <c r="C33" s="38" t="s">
        <v>56</v>
      </c>
      <c r="D33" s="38" t="s">
        <v>2071</v>
      </c>
      <c r="E33" s="38" t="s">
        <v>1900</v>
      </c>
      <c r="F33" s="63">
        <v>67600</v>
      </c>
      <c r="G33" s="38"/>
      <c r="H33" s="38" t="s">
        <v>2031</v>
      </c>
      <c r="I33" s="38" t="s">
        <v>2031</v>
      </c>
      <c r="J33" s="38" t="s">
        <v>21</v>
      </c>
      <c r="L33" s="1" t="str">
        <v>Cambridge Economic Policy Associates Limited</v>
      </c>
      <c r="M33" s="1" t="str">
        <f t="shared" si="2"/>
        <v>Other</v>
      </c>
      <c r="N33" s="109">
        <f t="shared" si="3"/>
        <v>7560</v>
      </c>
      <c r="O33" s="1">
        <f>IFERROR(IF(INDEX(Table3[[Total Spend]:[Total Spend]],MATCH(L33,Table3[[Company name]:[Company name]],0))&gt;N33,INDEX(Table3[[Total Spend]:[Total Spend]],MATCH(L33,Table3[[Company name]:[Company name]])),N33),50000)</f>
        <v>250000</v>
      </c>
      <c r="P33" s="109">
        <f t="shared" si="4"/>
        <v>242440</v>
      </c>
      <c r="Q33" s="103">
        <f t="shared" si="5"/>
        <v>3.024E-2</v>
      </c>
      <c r="R33" s="1">
        <f ca="1">IFERROR(INDEX(INDIRECT("Table3[Column"&amp;R$9&amp;"]"),MATCH($L33,Table3[[Company name]:[Company name]],0)),0)</f>
        <v>8100</v>
      </c>
      <c r="S33" s="1">
        <f ca="1">IFERROR(INDEX(INDIRECT("Table3[Column"&amp;S$9&amp;"]"),MATCH($L33,Table3[[Company name]:[Company name]],0)),0)</f>
        <v>0</v>
      </c>
      <c r="T33" s="1">
        <f ca="1">IFERROR(INDEX(INDIRECT("Table3[Column"&amp;T$9&amp;"]"),MATCH($L33,Table3[[Company name]:[Company name]],0)),0)</f>
        <v>0</v>
      </c>
      <c r="U33" s="1">
        <f ca="1">IFERROR(INDEX(INDIRECT("Table3[Column"&amp;U$9&amp;"]"),MATCH($L33,Table3[[Company name]:[Company name]],0)),0)</f>
        <v>0</v>
      </c>
      <c r="V33" s="1">
        <f ca="1">IFERROR(INDEX(INDIRECT("Table3[Column"&amp;V$9&amp;"]"),MATCH($L33,Table3[[Company name]:[Company name]],0)),0)</f>
        <v>0</v>
      </c>
      <c r="W33" s="1">
        <f ca="1">IFERROR(INDEX(INDIRECT("Table3[Column"&amp;W$9&amp;"]"),MATCH($L33,Table3[[Company name]:[Company name]],0)),0)</f>
        <v>0</v>
      </c>
      <c r="X33" s="1">
        <f ca="1">IFERROR(INDEX(INDIRECT("Table3[Column"&amp;X$9&amp;"]"),MATCH($L33,Table3[[Company name]:[Company name]],0)),0)</f>
        <v>0</v>
      </c>
      <c r="Y33" s="1">
        <f ca="1">IFERROR(INDEX(INDIRECT("Table3[Column"&amp;Y$9&amp;"]"),MATCH($L33,Table3[[Company name]:[Company name]],0)),0)</f>
        <v>0</v>
      </c>
      <c r="Z33" s="1">
        <f ca="1">IFERROR(INDEX(INDIRECT("Table3[Column"&amp;Z$9&amp;"]"),MATCH($L33,Table3[[Company name]:[Company name]],0)),0)</f>
        <v>0</v>
      </c>
      <c r="AA33" s="1">
        <f ca="1">IFERROR(INDEX(INDIRECT("Table3[Column"&amp;AA$9&amp;"]"),MATCH($L33,Table3[[Company name]:[Company name]],0)),0)</f>
        <v>0</v>
      </c>
      <c r="AB33" s="1">
        <f ca="1">IFERROR(INDEX(INDIRECT("Table3[Column"&amp;AB$9&amp;"]"),MATCH($L33,Table3[[Company name]:[Company name]],0)),0)</f>
        <v>0</v>
      </c>
      <c r="AC33" s="1">
        <f ca="1">IFERROR(INDEX(INDIRECT("Table3[Column"&amp;AC$9&amp;"]"),MATCH($L33,Table3[[Company name]:[Company name]],0)),0)</f>
        <v>0</v>
      </c>
      <c r="AD33" s="1">
        <f ca="1">IFERROR(INDEX(INDIRECT("Table3[Column"&amp;AD$9&amp;"]"),MATCH($L33,Table3[[Company name]:[Company name]],0)),0)</f>
        <v>0</v>
      </c>
      <c r="AE33" s="1">
        <f ca="1">IFERROR(INDEX(INDIRECT("Table3[Column"&amp;AE$9&amp;"]"),MATCH($L33,Table3[[Company name]:[Company name]],0)),0)</f>
        <v>0</v>
      </c>
      <c r="AF33" s="1">
        <f ca="1">IFERROR(INDEX(INDIRECT("Table3[Column"&amp;AF$9&amp;"]"),MATCH($L33,Table3[[Company name]:[Company name]],0)),0)</f>
        <v>0</v>
      </c>
      <c r="AG33" s="1">
        <f ca="1">IFERROR(INDEX(INDIRECT("Table3[Column"&amp;AG$9&amp;"]"),MATCH($L33,Table3[[Company name]:[Company name]],0)),0)</f>
        <v>0</v>
      </c>
      <c r="AH33" s="1">
        <f ca="1">IFERROR(INDEX(INDIRECT("Table3[Column"&amp;AH$9&amp;"]"),MATCH($L33,Table3[[Company name]:[Company name]],0)),0)</f>
        <v>0</v>
      </c>
      <c r="AI33" s="1">
        <f t="shared" ca="1" si="6"/>
        <v>8100</v>
      </c>
      <c r="AK33" s="1">
        <f>IF(COUNTIFS($J$7:$J$510,Table7[[#Headers],[Industry Essentials]],$C$7:$C$510,$L33)&gt;0,0,MROUND(R33,100))</f>
        <v>0</v>
      </c>
      <c r="AL33" s="1">
        <f ca="1">IF(COUNTIFS($J$7:$J$510,Table7[[#Headers],[Energy Supply Market Intelligence]],$C$7:$C$510,$L33)&gt;0,0,MROUND(IFERROR(S33*($P33/$AI33),0),100))</f>
        <v>0</v>
      </c>
      <c r="AM33" s="1">
        <f ca="1">IF(COUNTIFS($J$7:$J$510,Table7[[#Headers],[Energy Supply RTM Analysis]],$C$7:$C$510,$L33)&gt;0,0,MROUND(IFERROR(T33*($P33/$AI33),0),100))</f>
        <v>0</v>
      </c>
      <c r="AN33" s="1">
        <f ca="1">IF(COUNTIFS($J$7:$J$510,Table7[[#Headers],[Energy Supply Forecasts]],$C$7:$C$510,$L33)&gt;0,0,MROUND(IFERROR(U33*($P33/$AI33),0),100))</f>
        <v>0</v>
      </c>
      <c r="AO33" s="1">
        <f ca="1">IF(COUNTIFS($J$7:$J$510,Table7[[#Headers],[Energy Supply Regulation]],$C$7:$C$510,$L33)&gt;0,0,MROUND(IFERROR(V33*($P33/$AI33),0),100))</f>
        <v>0</v>
      </c>
      <c r="AP33" s="1">
        <f ca="1">IF(COUNTIFS($J$7:$J$510,Table7[[#Headers],[Renewables Market Intelligence]],$C$7:$C$510,$L33)&gt;0,0,MROUND(IFERROR(W33*($P33/$AI33),0),100))</f>
        <v>0</v>
      </c>
      <c r="AQ33" s="1">
        <f ca="1">IF(COUNTIFS($J$7:$J$510,Table7[[#Headers],[Renewables RTM Analysis]],$C$7:$C$510,$L33)&gt;0,0,MROUND(IFERROR(X33*($P33/$AI33),0),100))</f>
        <v>0</v>
      </c>
      <c r="AR33" s="1">
        <f ca="1">IF(COUNTIFS($J$7:$J$510,Table7[[#Headers],[Renewables Forecasts]],$C$7:$C$510,$L33)&gt;0,0,MROUND(IFERROR(Y33*($P33/$AI33),0),100))</f>
        <v>0</v>
      </c>
      <c r="AS33" s="1">
        <f ca="1">IF(COUNTIFS($J$7:$J$510,Table7[[#Headers],[Renewables Regulation]],$C$7:$C$510,$L33)&gt;0,0,MROUND(IFERROR(Z33*($P33/$AI33),0),100))</f>
        <v>0</v>
      </c>
      <c r="AT33" s="1">
        <f ca="1">IF(COUNTIFS($J$7:$J$510,Table7[[#Headers],[Flexibility Market Intelligence]],$C$7:$C$510,$L33)&gt;0,0,MROUND(IFERROR(AA33*($P33/$AI33),0),100))</f>
        <v>0</v>
      </c>
      <c r="AU33" s="1">
        <f ca="1">IF(COUNTIFS($J$7:$J$510,Table7[[#Headers],[Flexibility RTM Analysis]],$C$7:$C$510,$L33)&gt;0,0,MROUND(IFERROR(AB33*($P33/$AI33),0),100))</f>
        <v>0</v>
      </c>
      <c r="AV33" s="1">
        <f ca="1">IF(COUNTIFS($J$7:$J$510,Table7[[#Headers],[Flexibility Forecasts]],$C$7:$C$510,$L33)&gt;0,0,MROUND(IFERROR(AC33*($P33/$AI33),0),100))</f>
        <v>0</v>
      </c>
      <c r="AW33" s="1">
        <f ca="1">IF(COUNTIFS($J$7:$J$510,Table7[[#Headers],[Flexibility Regulation]],$C$7:$C$510,$L33)&gt;0,0,MROUND(IFERROR(AD33*($P33/$AI33),0),100))</f>
        <v>0</v>
      </c>
      <c r="AX33" s="1">
        <f ca="1">IF(COUNTIFS($J$7:$J$510,Table7[[#Headers],[Business Energy Essentials]],$C$7:$C$510,$L33)&gt;0,0,MROUND(IFERROR(AE33*($P33/$AI33),0),100))</f>
        <v>0</v>
      </c>
      <c r="AY33" s="1">
        <f ca="1">IF(COUNTIFS($J$7:$J$510,Table7[[#Headers],[Energy User RTM Analysis]],$C$7:$C$510,$L33)&gt;0,0,MROUND(IFERROR(AF33*($P33/$AI33),0),100))</f>
        <v>0</v>
      </c>
      <c r="AZ33" s="1">
        <f ca="1">IF(COUNTIFS($J$7:$J$510,Table7[[#Headers],[Energy User Forecasts]],$C$7:$C$510,$L33)&gt;0,0,MROUND(IFERROR(AG33*($P33/$AI33),0),100))</f>
        <v>0</v>
      </c>
      <c r="BA33" s="1">
        <f ca="1">IF(COUNTIFS($J$7:$J$510,Table7[[#Headers],[Energy User Regulation]],$C$7:$C$510,$L33)&gt;0,0,MROUND(IFERROR(AH33*($P33/$AI33),0),100))</f>
        <v>0</v>
      </c>
    </row>
    <row r="34" spans="2:53">
      <c r="B34" s="38" t="s">
        <v>2066</v>
      </c>
      <c r="C34" s="38" t="s">
        <v>56</v>
      </c>
      <c r="D34" s="38" t="s">
        <v>2040</v>
      </c>
      <c r="E34" s="38" t="s">
        <v>1799</v>
      </c>
      <c r="F34" s="63">
        <v>25499.999999999996</v>
      </c>
      <c r="G34" s="38"/>
      <c r="H34" s="38" t="s">
        <v>2031</v>
      </c>
      <c r="I34" s="38" t="s">
        <v>2032</v>
      </c>
      <c r="J34" s="38" t="s">
        <v>20</v>
      </c>
      <c r="L34" s="1" t="str">
        <v>Carlton Power Limited</v>
      </c>
      <c r="M34" s="1" t="str">
        <f t="shared" si="2"/>
        <v>Flexibility</v>
      </c>
      <c r="N34" s="109">
        <f t="shared" si="3"/>
        <v>2850</v>
      </c>
      <c r="O34" s="1">
        <f>IFERROR(IF(INDEX(Table3[[Total Spend]:[Total Spend]],MATCH(L34,Table3[[Company name]:[Company name]],0))&gt;N34,INDEX(Table3[[Total Spend]:[Total Spend]],MATCH(L34,Table3[[Company name]:[Company name]])),N34),50000)</f>
        <v>250000</v>
      </c>
      <c r="P34" s="109">
        <f t="shared" si="4"/>
        <v>247150</v>
      </c>
      <c r="Q34" s="103">
        <f t="shared" si="5"/>
        <v>1.14E-2</v>
      </c>
      <c r="R34" s="1">
        <f ca="1">IFERROR(INDEX(INDIRECT("Table3[Column"&amp;R$9&amp;"]"),MATCH($L34,Table3[[Company name]:[Company name]],0)),0)</f>
        <v>8100</v>
      </c>
      <c r="S34" s="1">
        <f ca="1">IFERROR(INDEX(INDIRECT("Table3[Column"&amp;S$9&amp;"]"),MATCH($L34,Table3[[Company name]:[Company name]],0)),0)</f>
        <v>0</v>
      </c>
      <c r="T34" s="1">
        <f ca="1">IFERROR(INDEX(INDIRECT("Table3[Column"&amp;T$9&amp;"]"),MATCH($L34,Table3[[Company name]:[Company name]],0)),0)</f>
        <v>53100</v>
      </c>
      <c r="U34" s="1">
        <f ca="1">IFERROR(INDEX(INDIRECT("Table3[Column"&amp;U$9&amp;"]"),MATCH($L34,Table3[[Company name]:[Company name]],0)),0)</f>
        <v>0</v>
      </c>
      <c r="V34" s="1">
        <f ca="1">IFERROR(INDEX(INDIRECT("Table3[Column"&amp;V$9&amp;"]"),MATCH($L34,Table3[[Company name]:[Company name]],0)),0)</f>
        <v>0</v>
      </c>
      <c r="W34" s="1">
        <f ca="1">IFERROR(INDEX(INDIRECT("Table3[Column"&amp;W$9&amp;"]"),MATCH($L34,Table3[[Company name]:[Company name]],0)),0)</f>
        <v>0</v>
      </c>
      <c r="X34" s="1">
        <f ca="1">IFERROR(INDEX(INDIRECT("Table3[Column"&amp;X$9&amp;"]"),MATCH($L34,Table3[[Company name]:[Company name]],0)),0)</f>
        <v>15300</v>
      </c>
      <c r="Y34" s="1">
        <f ca="1">IFERROR(INDEX(INDIRECT("Table3[Column"&amp;Y$9&amp;"]"),MATCH($L34,Table3[[Company name]:[Company name]],0)),0)</f>
        <v>0</v>
      </c>
      <c r="Z34" s="1">
        <f ca="1">IFERROR(INDEX(INDIRECT("Table3[Column"&amp;Z$9&amp;"]"),MATCH($L34,Table3[[Company name]:[Company name]],0)),0)</f>
        <v>0</v>
      </c>
      <c r="AA34" s="1">
        <f ca="1">IFERROR(INDEX(INDIRECT("Table3[Column"&amp;AA$9&amp;"]"),MATCH($L34,Table3[[Company name]:[Company name]],0)),0)</f>
        <v>21600</v>
      </c>
      <c r="AB34" s="1">
        <f ca="1">IFERROR(INDEX(INDIRECT("Table3[Column"&amp;AB$9&amp;"]"),MATCH($L34,Table3[[Company name]:[Company name]],0)),0)</f>
        <v>7650</v>
      </c>
      <c r="AC34" s="1">
        <f ca="1">IFERROR(INDEX(INDIRECT("Table3[Column"&amp;AC$9&amp;"]"),MATCH($L34,Table3[[Company name]:[Company name]],0)),0)</f>
        <v>31500</v>
      </c>
      <c r="AD34" s="1">
        <f ca="1">IFERROR(INDEX(INDIRECT("Table3[Column"&amp;AD$9&amp;"]"),MATCH($L34,Table3[[Company name]:[Company name]],0)),0)</f>
        <v>25200</v>
      </c>
      <c r="AE34" s="1">
        <f ca="1">IFERROR(INDEX(INDIRECT("Table3[Column"&amp;AE$9&amp;"]"),MATCH($L34,Table3[[Company name]:[Company name]],0)),0)</f>
        <v>0</v>
      </c>
      <c r="AF34" s="1">
        <f ca="1">IFERROR(INDEX(INDIRECT("Table3[Column"&amp;AF$9&amp;"]"),MATCH($L34,Table3[[Company name]:[Company name]],0)),0)</f>
        <v>0</v>
      </c>
      <c r="AG34" s="1">
        <f ca="1">IFERROR(INDEX(INDIRECT("Table3[Column"&amp;AG$9&amp;"]"),MATCH($L34,Table3[[Company name]:[Company name]],0)),0)</f>
        <v>0</v>
      </c>
      <c r="AH34" s="1">
        <f ca="1">IFERROR(INDEX(INDIRECT("Table3[Column"&amp;AH$9&amp;"]"),MATCH($L34,Table3[[Company name]:[Company name]],0)),0)</f>
        <v>0</v>
      </c>
      <c r="AI34" s="1">
        <f t="shared" ca="1" si="6"/>
        <v>162450</v>
      </c>
      <c r="AK34" s="1">
        <f>IF(COUNTIFS($J$7:$J$510,Table7[[#Headers],[Industry Essentials]],$C$7:$C$510,$L34)&gt;0,0,MROUND(R34,100))</f>
        <v>0</v>
      </c>
      <c r="AL34" s="1">
        <f ca="1">IF(COUNTIFS($J$7:$J$510,Table7[[#Headers],[Energy Supply Market Intelligence]],$C$7:$C$510,$L34)&gt;0,0,MROUND(IFERROR(S34*($P34/$AI34),0),100))</f>
        <v>0</v>
      </c>
      <c r="AM34" s="1">
        <f ca="1">IF(COUNTIFS($J$7:$J$510,Table7[[#Headers],[Energy Supply RTM Analysis]],$C$7:$C$510,$L34)&gt;0,0,MROUND(IFERROR(T34*($P34/$AI34),0),100))</f>
        <v>80800</v>
      </c>
      <c r="AN34" s="1">
        <f ca="1">IF(COUNTIFS($J$7:$J$510,Table7[[#Headers],[Energy Supply Forecasts]],$C$7:$C$510,$L34)&gt;0,0,MROUND(IFERROR(U34*($P34/$AI34),0),100))</f>
        <v>0</v>
      </c>
      <c r="AO34" s="1">
        <f ca="1">IF(COUNTIFS($J$7:$J$510,Table7[[#Headers],[Energy Supply Regulation]],$C$7:$C$510,$L34)&gt;0,0,MROUND(IFERROR(V34*($P34/$AI34),0),100))</f>
        <v>0</v>
      </c>
      <c r="AP34" s="1">
        <f ca="1">IF(COUNTIFS($J$7:$J$510,Table7[[#Headers],[Renewables Market Intelligence]],$C$7:$C$510,$L34)&gt;0,0,MROUND(IFERROR(W34*($P34/$AI34),0),100))</f>
        <v>0</v>
      </c>
      <c r="AQ34" s="1">
        <f ca="1">IF(COUNTIFS($J$7:$J$510,Table7[[#Headers],[Renewables RTM Analysis]],$C$7:$C$510,$L34)&gt;0,0,MROUND(IFERROR(X34*($P34/$AI34),0),100))</f>
        <v>23300</v>
      </c>
      <c r="AR34" s="1">
        <f ca="1">IF(COUNTIFS($J$7:$J$510,Table7[[#Headers],[Renewables Forecasts]],$C$7:$C$510,$L34)&gt;0,0,MROUND(IFERROR(Y34*($P34/$AI34),0),100))</f>
        <v>0</v>
      </c>
      <c r="AS34" s="1">
        <f ca="1">IF(COUNTIFS($J$7:$J$510,Table7[[#Headers],[Renewables Regulation]],$C$7:$C$510,$L34)&gt;0,0,MROUND(IFERROR(Z34*($P34/$AI34),0),100))</f>
        <v>0</v>
      </c>
      <c r="AT34" s="1">
        <f ca="1">IF(COUNTIFS($J$7:$J$510,Table7[[#Headers],[Flexibility Market Intelligence]],$C$7:$C$510,$L34)&gt;0,0,MROUND(IFERROR(AA34*($P34/$AI34),0),100))</f>
        <v>32900</v>
      </c>
      <c r="AU34" s="1">
        <f ca="1">IF(COUNTIFS($J$7:$J$510,Table7[[#Headers],[Flexibility RTM Analysis]],$C$7:$C$510,$L34)&gt;0,0,MROUND(IFERROR(AB34*($P34/$AI34),0),100))</f>
        <v>11600</v>
      </c>
      <c r="AV34" s="1">
        <f ca="1">IF(COUNTIFS($J$7:$J$510,Table7[[#Headers],[Flexibility Forecasts]],$C$7:$C$510,$L34)&gt;0,0,MROUND(IFERROR(AC34*($P34/$AI34),0),100))</f>
        <v>47900</v>
      </c>
      <c r="AW34" s="1">
        <f ca="1">IF(COUNTIFS($J$7:$J$510,Table7[[#Headers],[Flexibility Regulation]],$C$7:$C$510,$L34)&gt;0,0,MROUND(IFERROR(AD34*($P34/$AI34),0),100))</f>
        <v>38300</v>
      </c>
      <c r="AX34" s="1">
        <f ca="1">IF(COUNTIFS($J$7:$J$510,Table7[[#Headers],[Business Energy Essentials]],$C$7:$C$510,$L34)&gt;0,0,MROUND(IFERROR(AE34*($P34/$AI34),0),100))</f>
        <v>0</v>
      </c>
      <c r="AY34" s="1">
        <f ca="1">IF(COUNTIFS($J$7:$J$510,Table7[[#Headers],[Energy User RTM Analysis]],$C$7:$C$510,$L34)&gt;0,0,MROUND(IFERROR(AF34*($P34/$AI34),0),100))</f>
        <v>0</v>
      </c>
      <c r="AZ34" s="1">
        <f ca="1">IF(COUNTIFS($J$7:$J$510,Table7[[#Headers],[Energy User Forecasts]],$C$7:$C$510,$L34)&gt;0,0,MROUND(IFERROR(AG34*($P34/$AI34),0),100))</f>
        <v>0</v>
      </c>
      <c r="BA34" s="1">
        <f ca="1">IF(COUNTIFS($J$7:$J$510,Table7[[#Headers],[Energy User Regulation]],$C$7:$C$510,$L34)&gt;0,0,MROUND(IFERROR(AH34*($P34/$AI34),0),100))</f>
        <v>0</v>
      </c>
    </row>
    <row r="35" spans="2:53">
      <c r="B35" s="38" t="s">
        <v>2066</v>
      </c>
      <c r="C35" s="38" t="s">
        <v>56</v>
      </c>
      <c r="D35" s="38" t="s">
        <v>2072</v>
      </c>
      <c r="E35" s="38" t="s">
        <v>1918</v>
      </c>
      <c r="F35" s="63">
        <v>24000</v>
      </c>
      <c r="G35" s="38"/>
      <c r="H35" s="38" t="s">
        <v>2031</v>
      </c>
      <c r="I35" s="38" t="s">
        <v>1702</v>
      </c>
      <c r="J35" s="38" t="s">
        <v>26</v>
      </c>
      <c r="L35" s="1" t="str">
        <v>Carter Jonas</v>
      </c>
      <c r="M35" s="1" t="str">
        <f t="shared" si="2"/>
        <v>Energy User</v>
      </c>
      <c r="N35" s="109">
        <f t="shared" si="3"/>
        <v>1650</v>
      </c>
      <c r="O35" s="1">
        <f>IFERROR(IF(INDEX(Table3[[Total Spend]:[Total Spend]],MATCH(L35,Table3[[Company name]:[Company name]],0))&gt;N35,INDEX(Table3[[Total Spend]:[Total Spend]],MATCH(L35,Table3[[Company name]:[Company name]])),N35),50000)</f>
        <v>250000</v>
      </c>
      <c r="P35" s="109">
        <f t="shared" si="4"/>
        <v>248350</v>
      </c>
      <c r="Q35" s="103">
        <f t="shared" si="5"/>
        <v>6.6E-3</v>
      </c>
      <c r="R35" s="1">
        <f ca="1">IFERROR(INDEX(INDIRECT("Table3[Column"&amp;R$9&amp;"]"),MATCH($L35,Table3[[Company name]:[Company name]],0)),0)</f>
        <v>10800</v>
      </c>
      <c r="S35" s="1">
        <f ca="1">IFERROR(INDEX(INDIRECT("Table3[Column"&amp;S$9&amp;"]"),MATCH($L35,Table3[[Company name]:[Company name]],0)),0)</f>
        <v>0</v>
      </c>
      <c r="T35" s="1">
        <f ca="1">IFERROR(INDEX(INDIRECT("Table3[Column"&amp;T$9&amp;"]"),MATCH($L35,Table3[[Company name]:[Company name]],0)),0)</f>
        <v>0</v>
      </c>
      <c r="U35" s="1">
        <f ca="1">IFERROR(INDEX(INDIRECT("Table3[Column"&amp;U$9&amp;"]"),MATCH($L35,Table3[[Company name]:[Company name]],0)),0)</f>
        <v>0</v>
      </c>
      <c r="V35" s="1">
        <f ca="1">IFERROR(INDEX(INDIRECT("Table3[Column"&amp;V$9&amp;"]"),MATCH($L35,Table3[[Company name]:[Company name]],0)),0)</f>
        <v>0</v>
      </c>
      <c r="W35" s="1">
        <f ca="1">IFERROR(INDEX(INDIRECT("Table3[Column"&amp;W$9&amp;"]"),MATCH($L35,Table3[[Company name]:[Company name]],0)),0)</f>
        <v>23400</v>
      </c>
      <c r="X35" s="1">
        <f ca="1">IFERROR(INDEX(INDIRECT("Table3[Column"&amp;X$9&amp;"]"),MATCH($L35,Table3[[Company name]:[Company name]],0)),0)</f>
        <v>0</v>
      </c>
      <c r="Y35" s="1">
        <f ca="1">IFERROR(INDEX(INDIRECT("Table3[Column"&amp;Y$9&amp;"]"),MATCH($L35,Table3[[Company name]:[Company name]],0)),0)</f>
        <v>59400</v>
      </c>
      <c r="Z35" s="1">
        <f ca="1">IFERROR(INDEX(INDIRECT("Table3[Column"&amp;Z$9&amp;"]"),MATCH($L35,Table3[[Company name]:[Company name]],0)),0)</f>
        <v>0</v>
      </c>
      <c r="AA35" s="1">
        <f ca="1">IFERROR(INDEX(INDIRECT("Table3[Column"&amp;AA$9&amp;"]"),MATCH($L35,Table3[[Company name]:[Company name]],0)),0)</f>
        <v>29700</v>
      </c>
      <c r="AB35" s="1">
        <f ca="1">IFERROR(INDEX(INDIRECT("Table3[Column"&amp;AB$9&amp;"]"),MATCH($L35,Table3[[Company name]:[Company name]],0)),0)</f>
        <v>0</v>
      </c>
      <c r="AC35" s="1">
        <f ca="1">IFERROR(INDEX(INDIRECT("Table3[Column"&amp;AC$9&amp;"]"),MATCH($L35,Table3[[Company name]:[Company name]],0)),0)</f>
        <v>44100</v>
      </c>
      <c r="AD35" s="1">
        <f ca="1">IFERROR(INDEX(INDIRECT("Table3[Column"&amp;AD$9&amp;"]"),MATCH($L35,Table3[[Company name]:[Company name]],0)),0)</f>
        <v>0</v>
      </c>
      <c r="AE35" s="1">
        <f ca="1">IFERROR(INDEX(INDIRECT("Table3[Column"&amp;AE$9&amp;"]"),MATCH($L35,Table3[[Company name]:[Company name]],0)),0)</f>
        <v>15300</v>
      </c>
      <c r="AF35" s="1">
        <f ca="1">IFERROR(INDEX(INDIRECT("Table3[Column"&amp;AF$9&amp;"]"),MATCH($L35,Table3[[Company name]:[Company name]],0)),0)</f>
        <v>15750</v>
      </c>
      <c r="AG35" s="1">
        <f ca="1">IFERROR(INDEX(INDIRECT("Table3[Column"&amp;AG$9&amp;"]"),MATCH($L35,Table3[[Company name]:[Company name]],0)),0)</f>
        <v>27000</v>
      </c>
      <c r="AH35" s="1">
        <f ca="1">IFERROR(INDEX(INDIRECT("Table3[Column"&amp;AH$9&amp;"]"),MATCH($L35,Table3[[Company name]:[Company name]],0)),0)</f>
        <v>6300</v>
      </c>
      <c r="AI35" s="1">
        <f t="shared" ca="1" si="6"/>
        <v>231750</v>
      </c>
      <c r="AK35" s="1">
        <f>IF(COUNTIFS($J$7:$J$510,Table7[[#Headers],[Industry Essentials]],$C$7:$C$510,$L35)&gt;0,0,MROUND(R35,100))</f>
        <v>0</v>
      </c>
      <c r="AL35" s="1">
        <f ca="1">IF(COUNTIFS($J$7:$J$510,Table7[[#Headers],[Energy Supply Market Intelligence]],$C$7:$C$510,$L35)&gt;0,0,MROUND(IFERROR(S35*($P35/$AI35),0),100))</f>
        <v>0</v>
      </c>
      <c r="AM35" s="1">
        <f ca="1">IF(COUNTIFS($J$7:$J$510,Table7[[#Headers],[Energy Supply RTM Analysis]],$C$7:$C$510,$L35)&gt;0,0,MROUND(IFERROR(T35*($P35/$AI35),0),100))</f>
        <v>0</v>
      </c>
      <c r="AN35" s="1">
        <f ca="1">IF(COUNTIFS($J$7:$J$510,Table7[[#Headers],[Energy Supply Forecasts]],$C$7:$C$510,$L35)&gt;0,0,MROUND(IFERROR(U35*($P35/$AI35),0),100))</f>
        <v>0</v>
      </c>
      <c r="AO35" s="1">
        <f ca="1">IF(COUNTIFS($J$7:$J$510,Table7[[#Headers],[Energy Supply Regulation]],$C$7:$C$510,$L35)&gt;0,0,MROUND(IFERROR(V35*($P35/$AI35),0),100))</f>
        <v>0</v>
      </c>
      <c r="AP35" s="1">
        <f ca="1">IF(COUNTIFS($J$7:$J$510,Table7[[#Headers],[Renewables Market Intelligence]],$C$7:$C$510,$L35)&gt;0,0,MROUND(IFERROR(W35*($P35/$AI35),0),100))</f>
        <v>25100</v>
      </c>
      <c r="AQ35" s="1">
        <f ca="1">IF(COUNTIFS($J$7:$J$510,Table7[[#Headers],[Renewables RTM Analysis]],$C$7:$C$510,$L35)&gt;0,0,MROUND(IFERROR(X35*($P35/$AI35),0),100))</f>
        <v>0</v>
      </c>
      <c r="AR35" s="1">
        <f ca="1">IF(COUNTIFS($J$7:$J$510,Table7[[#Headers],[Renewables Forecasts]],$C$7:$C$510,$L35)&gt;0,0,MROUND(IFERROR(Y35*($P35/$AI35),0),100))</f>
        <v>63700</v>
      </c>
      <c r="AS35" s="1">
        <f ca="1">IF(COUNTIFS($J$7:$J$510,Table7[[#Headers],[Renewables Regulation]],$C$7:$C$510,$L35)&gt;0,0,MROUND(IFERROR(Z35*($P35/$AI35),0),100))</f>
        <v>0</v>
      </c>
      <c r="AT35" s="1">
        <f ca="1">IF(COUNTIFS($J$7:$J$510,Table7[[#Headers],[Flexibility Market Intelligence]],$C$7:$C$510,$L35)&gt;0,0,MROUND(IFERROR(AA35*($P35/$AI35),0),100))</f>
        <v>31800</v>
      </c>
      <c r="AU35" s="1">
        <f ca="1">IF(COUNTIFS($J$7:$J$510,Table7[[#Headers],[Flexibility RTM Analysis]],$C$7:$C$510,$L35)&gt;0,0,MROUND(IFERROR(AB35*($P35/$AI35),0),100))</f>
        <v>0</v>
      </c>
      <c r="AV35" s="1">
        <f ca="1">IF(COUNTIFS($J$7:$J$510,Table7[[#Headers],[Flexibility Forecasts]],$C$7:$C$510,$L35)&gt;0,0,MROUND(IFERROR(AC35*($P35/$AI35),0),100))</f>
        <v>47300</v>
      </c>
      <c r="AW35" s="1">
        <f ca="1">IF(COUNTIFS($J$7:$J$510,Table7[[#Headers],[Flexibility Regulation]],$C$7:$C$510,$L35)&gt;0,0,MROUND(IFERROR(AD35*($P35/$AI35),0),100))</f>
        <v>0</v>
      </c>
      <c r="AX35" s="1">
        <f ca="1">IF(COUNTIFS($J$7:$J$510,Table7[[#Headers],[Business Energy Essentials]],$C$7:$C$510,$L35)&gt;0,0,MROUND(IFERROR(AE35*($P35/$AI35),0),100))</f>
        <v>16400</v>
      </c>
      <c r="AY35" s="1">
        <f ca="1">IF(COUNTIFS($J$7:$J$510,Table7[[#Headers],[Energy User RTM Analysis]],$C$7:$C$510,$L35)&gt;0,0,MROUND(IFERROR(AF35*($P35/$AI35),0),100))</f>
        <v>16900</v>
      </c>
      <c r="AZ35" s="1">
        <f ca="1">IF(COUNTIFS($J$7:$J$510,Table7[[#Headers],[Energy User Forecasts]],$C$7:$C$510,$L35)&gt;0,0,MROUND(IFERROR(AG35*($P35/$AI35),0),100))</f>
        <v>28900</v>
      </c>
      <c r="BA35" s="1">
        <f ca="1">IF(COUNTIFS($J$7:$J$510,Table7[[#Headers],[Energy User Regulation]],$C$7:$C$510,$L35)&gt;0,0,MROUND(IFERROR(AH35*($P35/$AI35),0),100))</f>
        <v>6800</v>
      </c>
    </row>
    <row r="36" spans="2:53">
      <c r="B36" s="38" t="s">
        <v>2066</v>
      </c>
      <c r="C36" s="38" t="s">
        <v>56</v>
      </c>
      <c r="D36" s="38" t="s">
        <v>2073</v>
      </c>
      <c r="E36" s="38" t="s">
        <v>2074</v>
      </c>
      <c r="F36" s="63">
        <v>33850</v>
      </c>
      <c r="G36" s="38"/>
      <c r="H36" s="38" t="s">
        <v>2031</v>
      </c>
      <c r="I36" s="38" t="s">
        <v>2031</v>
      </c>
      <c r="J36" s="38" t="s">
        <v>23</v>
      </c>
      <c r="L36" s="1" t="str">
        <v>Catalyst Commercial Services</v>
      </c>
      <c r="M36" s="1" t="str">
        <f t="shared" si="2"/>
        <v>Energy User</v>
      </c>
      <c r="N36" s="109">
        <f t="shared" si="3"/>
        <v>7200.96</v>
      </c>
      <c r="O36" s="1">
        <f>IFERROR(IF(INDEX(Table3[[Total Spend]:[Total Spend]],MATCH(L36,Table3[[Company name]:[Company name]],0))&gt;N36,INDEX(Table3[[Total Spend]:[Total Spend]],MATCH(L36,Table3[[Company name]:[Company name]])),N36),50000)</f>
        <v>250000</v>
      </c>
      <c r="P36" s="109">
        <f t="shared" si="4"/>
        <v>242799.04</v>
      </c>
      <c r="Q36" s="103">
        <f t="shared" si="5"/>
        <v>2.8803840000000001E-2</v>
      </c>
      <c r="R36" s="1">
        <f ca="1">IFERROR(INDEX(INDIRECT("Table3[Column"&amp;R$9&amp;"]"),MATCH($L36,Table3[[Company name]:[Company name]],0)),0)</f>
        <v>8100</v>
      </c>
      <c r="S36" s="1">
        <f ca="1">IFERROR(INDEX(INDIRECT("Table3[Column"&amp;S$9&amp;"]"),MATCH($L36,Table3[[Company name]:[Company name]],0)),0)</f>
        <v>30600</v>
      </c>
      <c r="T36" s="1">
        <f ca="1">IFERROR(INDEX(INDIRECT("Table3[Column"&amp;T$9&amp;"]"),MATCH($L36,Table3[[Company name]:[Company name]],0)),0)</f>
        <v>53100</v>
      </c>
      <c r="U36" s="1">
        <f ca="1">IFERROR(INDEX(INDIRECT("Table3[Column"&amp;U$9&amp;"]"),MATCH($L36,Table3[[Company name]:[Company name]],0)),0)</f>
        <v>34200</v>
      </c>
      <c r="V36" s="1">
        <f ca="1">IFERROR(INDEX(INDIRECT("Table3[Column"&amp;V$9&amp;"]"),MATCH($L36,Table3[[Company name]:[Company name]],0)),0)</f>
        <v>0</v>
      </c>
      <c r="W36" s="1">
        <f ca="1">IFERROR(INDEX(INDIRECT("Table3[Column"&amp;W$9&amp;"]"),MATCH($L36,Table3[[Company name]:[Company name]],0)),0)</f>
        <v>0</v>
      </c>
      <c r="X36" s="1">
        <f ca="1">IFERROR(INDEX(INDIRECT("Table3[Column"&amp;X$9&amp;"]"),MATCH($L36,Table3[[Company name]:[Company name]],0)),0)</f>
        <v>0</v>
      </c>
      <c r="Y36" s="1">
        <f ca="1">IFERROR(INDEX(INDIRECT("Table3[Column"&amp;Y$9&amp;"]"),MATCH($L36,Table3[[Company name]:[Company name]],0)),0)</f>
        <v>0</v>
      </c>
      <c r="Z36" s="1">
        <f ca="1">IFERROR(INDEX(INDIRECT("Table3[Column"&amp;Z$9&amp;"]"),MATCH($L36,Table3[[Company name]:[Company name]],0)),0)</f>
        <v>0</v>
      </c>
      <c r="AA36" s="1">
        <f ca="1">IFERROR(INDEX(INDIRECT("Table3[Column"&amp;AA$9&amp;"]"),MATCH($L36,Table3[[Company name]:[Company name]],0)),0)</f>
        <v>0</v>
      </c>
      <c r="AB36" s="1">
        <f ca="1">IFERROR(INDEX(INDIRECT("Table3[Column"&amp;AB$9&amp;"]"),MATCH($L36,Table3[[Company name]:[Company name]],0)),0)</f>
        <v>0</v>
      </c>
      <c r="AC36" s="1">
        <f ca="1">IFERROR(INDEX(INDIRECT("Table3[Column"&amp;AC$9&amp;"]"),MATCH($L36,Table3[[Company name]:[Company name]],0)),0)</f>
        <v>0</v>
      </c>
      <c r="AD36" s="1">
        <f ca="1">IFERROR(INDEX(INDIRECT("Table3[Column"&amp;AD$9&amp;"]"),MATCH($L36,Table3[[Company name]:[Company name]],0)),0)</f>
        <v>0</v>
      </c>
      <c r="AE36" s="1">
        <f ca="1">IFERROR(INDEX(INDIRECT("Table3[Column"&amp;AE$9&amp;"]"),MATCH($L36,Table3[[Company name]:[Company name]],0)),0)</f>
        <v>0</v>
      </c>
      <c r="AF36" s="1">
        <f ca="1">IFERROR(INDEX(INDIRECT("Table3[Column"&amp;AF$9&amp;"]"),MATCH($L36,Table3[[Company name]:[Company name]],0)),0)</f>
        <v>11250</v>
      </c>
      <c r="AG36" s="1">
        <f ca="1">IFERROR(INDEX(INDIRECT("Table3[Column"&amp;AG$9&amp;"]"),MATCH($L36,Table3[[Company name]:[Company name]],0)),0)</f>
        <v>0</v>
      </c>
      <c r="AH36" s="1">
        <f ca="1">IFERROR(INDEX(INDIRECT("Table3[Column"&amp;AH$9&amp;"]"),MATCH($L36,Table3[[Company name]:[Company name]],0)),0)</f>
        <v>0</v>
      </c>
      <c r="AI36" s="1">
        <f t="shared" ca="1" si="6"/>
        <v>137250</v>
      </c>
      <c r="AK36" s="1">
        <f ca="1">IF(COUNTIFS($J$7:$J$510,Table7[[#Headers],[Industry Essentials]],$C$7:$C$510,$L36)&gt;0,0,MROUND(R36,100))</f>
        <v>8100</v>
      </c>
      <c r="AL36" s="1">
        <f ca="1">IF(COUNTIFS($J$7:$J$510,Table7[[#Headers],[Energy Supply Market Intelligence]],$C$7:$C$510,$L36)&gt;0,0,MROUND(IFERROR(S36*($P36/$AI36),0),100))</f>
        <v>54100</v>
      </c>
      <c r="AM36" s="1">
        <f ca="1">IF(COUNTIFS($J$7:$J$510,Table7[[#Headers],[Energy Supply RTM Analysis]],$C$7:$C$510,$L36)&gt;0,0,MROUND(IFERROR(T36*($P36/$AI36),0),100))</f>
        <v>93900</v>
      </c>
      <c r="AN36" s="1">
        <f ca="1">IF(COUNTIFS($J$7:$J$510,Table7[[#Headers],[Energy Supply Forecasts]],$C$7:$C$510,$L36)&gt;0,0,MROUND(IFERROR(U36*($P36/$AI36),0),100))</f>
        <v>60500</v>
      </c>
      <c r="AO36" s="1">
        <f ca="1">IF(COUNTIFS($J$7:$J$510,Table7[[#Headers],[Energy Supply Regulation]],$C$7:$C$510,$L36)&gt;0,0,MROUND(IFERROR(V36*($P36/$AI36),0),100))</f>
        <v>0</v>
      </c>
      <c r="AP36" s="1">
        <f ca="1">IF(COUNTIFS($J$7:$J$510,Table7[[#Headers],[Renewables Market Intelligence]],$C$7:$C$510,$L36)&gt;0,0,MROUND(IFERROR(W36*($P36/$AI36),0),100))</f>
        <v>0</v>
      </c>
      <c r="AQ36" s="1">
        <f ca="1">IF(COUNTIFS($J$7:$J$510,Table7[[#Headers],[Renewables RTM Analysis]],$C$7:$C$510,$L36)&gt;0,0,MROUND(IFERROR(X36*($P36/$AI36),0),100))</f>
        <v>0</v>
      </c>
      <c r="AR36" s="1">
        <f ca="1">IF(COUNTIFS($J$7:$J$510,Table7[[#Headers],[Renewables Forecasts]],$C$7:$C$510,$L36)&gt;0,0,MROUND(IFERROR(Y36*($P36/$AI36),0),100))</f>
        <v>0</v>
      </c>
      <c r="AS36" s="1">
        <f ca="1">IF(COUNTIFS($J$7:$J$510,Table7[[#Headers],[Renewables Regulation]],$C$7:$C$510,$L36)&gt;0,0,MROUND(IFERROR(Z36*($P36/$AI36),0),100))</f>
        <v>0</v>
      </c>
      <c r="AT36" s="1">
        <f ca="1">IF(COUNTIFS($J$7:$J$510,Table7[[#Headers],[Flexibility Market Intelligence]],$C$7:$C$510,$L36)&gt;0,0,MROUND(IFERROR(AA36*($P36/$AI36),0),100))</f>
        <v>0</v>
      </c>
      <c r="AU36" s="1">
        <f ca="1">IF(COUNTIFS($J$7:$J$510,Table7[[#Headers],[Flexibility RTM Analysis]],$C$7:$C$510,$L36)&gt;0,0,MROUND(IFERROR(AB36*($P36/$AI36),0),100))</f>
        <v>0</v>
      </c>
      <c r="AV36" s="1">
        <f ca="1">IF(COUNTIFS($J$7:$J$510,Table7[[#Headers],[Flexibility Forecasts]],$C$7:$C$510,$L36)&gt;0,0,MROUND(IFERROR(AC36*($P36/$AI36),0),100))</f>
        <v>0</v>
      </c>
      <c r="AW36" s="1">
        <f ca="1">IF(COUNTIFS($J$7:$J$510,Table7[[#Headers],[Flexibility Regulation]],$C$7:$C$510,$L36)&gt;0,0,MROUND(IFERROR(AD36*($P36/$AI36),0),100))</f>
        <v>0</v>
      </c>
      <c r="AX36" s="1">
        <f>IF(COUNTIFS($J$7:$J$510,Table7[[#Headers],[Business Energy Essentials]],$C$7:$C$510,$L36)&gt;0,0,MROUND(IFERROR(AE36*($P36/$AI36),0),100))</f>
        <v>0</v>
      </c>
      <c r="AY36" s="1">
        <f ca="1">IF(COUNTIFS($J$7:$J$510,Table7[[#Headers],[Energy User RTM Analysis]],$C$7:$C$510,$L36)&gt;0,0,MROUND(IFERROR(AF36*($P36/$AI36),0),100))</f>
        <v>19900</v>
      </c>
      <c r="AZ36" s="1">
        <f ca="1">IF(COUNTIFS($J$7:$J$510,Table7[[#Headers],[Energy User Forecasts]],$C$7:$C$510,$L36)&gt;0,0,MROUND(IFERROR(AG36*($P36/$AI36),0),100))</f>
        <v>0</v>
      </c>
      <c r="BA36" s="1">
        <f ca="1">IF(COUNTIFS($J$7:$J$510,Table7[[#Headers],[Energy User Regulation]],$C$7:$C$510,$L36)&gt;0,0,MROUND(IFERROR(AH36*($P36/$AI36),0),100))</f>
        <v>0</v>
      </c>
    </row>
    <row r="37" spans="2:53">
      <c r="B37" s="38" t="s">
        <v>2075</v>
      </c>
      <c r="C37" s="38" t="s">
        <v>2076</v>
      </c>
      <c r="D37" s="38" t="s">
        <v>2077</v>
      </c>
      <c r="E37" s="38" t="e">
        <v>#N/A</v>
      </c>
      <c r="F37" s="63">
        <v>11000</v>
      </c>
      <c r="G37" s="38"/>
      <c r="H37" s="38" t="s">
        <v>191</v>
      </c>
      <c r="I37" s="38" t="s">
        <v>191</v>
      </c>
      <c r="J37" s="38" t="s">
        <v>33</v>
      </c>
      <c r="L37" s="1" t="str">
        <v>Cicero Consulting Ltd</v>
      </c>
      <c r="M37" s="1" t="str">
        <f t="shared" si="2"/>
        <v>Other</v>
      </c>
      <c r="N37" s="109">
        <f t="shared" si="3"/>
        <v>3190</v>
      </c>
      <c r="O37" s="1">
        <f>IFERROR(IF(INDEX(Table3[[Total Spend]:[Total Spend]],MATCH(L37,Table3[[Company name]:[Company name]],0))&gt;N37,INDEX(Table3[[Total Spend]:[Total Spend]],MATCH(L37,Table3[[Company name]:[Company name]])),N37),50000)</f>
        <v>250000</v>
      </c>
      <c r="P37" s="109">
        <f t="shared" si="4"/>
        <v>246810</v>
      </c>
      <c r="Q37" s="103">
        <f t="shared" si="5"/>
        <v>1.2760000000000001E-2</v>
      </c>
      <c r="R37" s="1">
        <f ca="1">IFERROR(INDEX(INDIRECT("Table3[Column"&amp;R$9&amp;"]"),MATCH($L37,Table3[[Company name]:[Company name]],0)),0)</f>
        <v>8100</v>
      </c>
      <c r="S37" s="1">
        <f ca="1">IFERROR(INDEX(INDIRECT("Table3[Column"&amp;S$9&amp;"]"),MATCH($L37,Table3[[Company name]:[Company name]],0)),0)</f>
        <v>0</v>
      </c>
      <c r="T37" s="1">
        <f ca="1">IFERROR(INDEX(INDIRECT("Table3[Column"&amp;T$9&amp;"]"),MATCH($L37,Table3[[Company name]:[Company name]],0)),0)</f>
        <v>0</v>
      </c>
      <c r="U37" s="1">
        <f ca="1">IFERROR(INDEX(INDIRECT("Table3[Column"&amp;U$9&amp;"]"),MATCH($L37,Table3[[Company name]:[Company name]],0)),0)</f>
        <v>0</v>
      </c>
      <c r="V37" s="1">
        <f ca="1">IFERROR(INDEX(INDIRECT("Table3[Column"&amp;V$9&amp;"]"),MATCH($L37,Table3[[Company name]:[Company name]],0)),0)</f>
        <v>0</v>
      </c>
      <c r="W37" s="1">
        <f ca="1">IFERROR(INDEX(INDIRECT("Table3[Column"&amp;W$9&amp;"]"),MATCH($L37,Table3[[Company name]:[Company name]],0)),0)</f>
        <v>0</v>
      </c>
      <c r="X37" s="1">
        <f ca="1">IFERROR(INDEX(INDIRECT("Table3[Column"&amp;X$9&amp;"]"),MATCH($L37,Table3[[Company name]:[Company name]],0)),0)</f>
        <v>0</v>
      </c>
      <c r="Y37" s="1">
        <f ca="1">IFERROR(INDEX(INDIRECT("Table3[Column"&amp;Y$9&amp;"]"),MATCH($L37,Table3[[Company name]:[Company name]],0)),0)</f>
        <v>0</v>
      </c>
      <c r="Z37" s="1">
        <f ca="1">IFERROR(INDEX(INDIRECT("Table3[Column"&amp;Z$9&amp;"]"),MATCH($L37,Table3[[Company name]:[Company name]],0)),0)</f>
        <v>0</v>
      </c>
      <c r="AA37" s="1">
        <f ca="1">IFERROR(INDEX(INDIRECT("Table3[Column"&amp;AA$9&amp;"]"),MATCH($L37,Table3[[Company name]:[Company name]],0)),0)</f>
        <v>0</v>
      </c>
      <c r="AB37" s="1">
        <f ca="1">IFERROR(INDEX(INDIRECT("Table3[Column"&amp;AB$9&amp;"]"),MATCH($L37,Table3[[Company name]:[Company name]],0)),0)</f>
        <v>0</v>
      </c>
      <c r="AC37" s="1">
        <f ca="1">IFERROR(INDEX(INDIRECT("Table3[Column"&amp;AC$9&amp;"]"),MATCH($L37,Table3[[Company name]:[Company name]],0)),0)</f>
        <v>0</v>
      </c>
      <c r="AD37" s="1">
        <f ca="1">IFERROR(INDEX(INDIRECT("Table3[Column"&amp;AD$9&amp;"]"),MATCH($L37,Table3[[Company name]:[Company name]],0)),0)</f>
        <v>0</v>
      </c>
      <c r="AE37" s="1">
        <f ca="1">IFERROR(INDEX(INDIRECT("Table3[Column"&amp;AE$9&amp;"]"),MATCH($L37,Table3[[Company name]:[Company name]],0)),0)</f>
        <v>0</v>
      </c>
      <c r="AF37" s="1">
        <f ca="1">IFERROR(INDEX(INDIRECT("Table3[Column"&amp;AF$9&amp;"]"),MATCH($L37,Table3[[Company name]:[Company name]],0)),0)</f>
        <v>0</v>
      </c>
      <c r="AG37" s="1">
        <f ca="1">IFERROR(INDEX(INDIRECT("Table3[Column"&amp;AG$9&amp;"]"),MATCH($L37,Table3[[Company name]:[Company name]],0)),0)</f>
        <v>0</v>
      </c>
      <c r="AH37" s="1">
        <f ca="1">IFERROR(INDEX(INDIRECT("Table3[Column"&amp;AH$9&amp;"]"),MATCH($L37,Table3[[Company name]:[Company name]],0)),0)</f>
        <v>0</v>
      </c>
      <c r="AI37" s="1">
        <f t="shared" ca="1" si="6"/>
        <v>8100</v>
      </c>
      <c r="AK37" s="1">
        <f>IF(COUNTIFS($J$7:$J$510,Table7[[#Headers],[Industry Essentials]],$C$7:$C$510,$L37)&gt;0,0,MROUND(R37,100))</f>
        <v>0</v>
      </c>
      <c r="AL37" s="1">
        <f ca="1">IF(COUNTIFS($J$7:$J$510,Table7[[#Headers],[Energy Supply Market Intelligence]],$C$7:$C$510,$L37)&gt;0,0,MROUND(IFERROR(S37*($P37/$AI37),0),100))</f>
        <v>0</v>
      </c>
      <c r="AM37" s="1">
        <f ca="1">IF(COUNTIFS($J$7:$J$510,Table7[[#Headers],[Energy Supply RTM Analysis]],$C$7:$C$510,$L37)&gt;0,0,MROUND(IFERROR(T37*($P37/$AI37),0),100))</f>
        <v>0</v>
      </c>
      <c r="AN37" s="1">
        <f ca="1">IF(COUNTIFS($J$7:$J$510,Table7[[#Headers],[Energy Supply Forecasts]],$C$7:$C$510,$L37)&gt;0,0,MROUND(IFERROR(U37*($P37/$AI37),0),100))</f>
        <v>0</v>
      </c>
      <c r="AO37" s="1">
        <f ca="1">IF(COUNTIFS($J$7:$J$510,Table7[[#Headers],[Energy Supply Regulation]],$C$7:$C$510,$L37)&gt;0,0,MROUND(IFERROR(V37*($P37/$AI37),0),100))</f>
        <v>0</v>
      </c>
      <c r="AP37" s="1">
        <f ca="1">IF(COUNTIFS($J$7:$J$510,Table7[[#Headers],[Renewables Market Intelligence]],$C$7:$C$510,$L37)&gt;0,0,MROUND(IFERROR(W37*($P37/$AI37),0),100))</f>
        <v>0</v>
      </c>
      <c r="AQ37" s="1">
        <f ca="1">IF(COUNTIFS($J$7:$J$510,Table7[[#Headers],[Renewables RTM Analysis]],$C$7:$C$510,$L37)&gt;0,0,MROUND(IFERROR(X37*($P37/$AI37),0),100))</f>
        <v>0</v>
      </c>
      <c r="AR37" s="1">
        <f ca="1">IF(COUNTIFS($J$7:$J$510,Table7[[#Headers],[Renewables Forecasts]],$C$7:$C$510,$L37)&gt;0,0,MROUND(IFERROR(Y37*($P37/$AI37),0),100))</f>
        <v>0</v>
      </c>
      <c r="AS37" s="1">
        <f ca="1">IF(COUNTIFS($J$7:$J$510,Table7[[#Headers],[Renewables Regulation]],$C$7:$C$510,$L37)&gt;0,0,MROUND(IFERROR(Z37*($P37/$AI37),0),100))</f>
        <v>0</v>
      </c>
      <c r="AT37" s="1">
        <f ca="1">IF(COUNTIFS($J$7:$J$510,Table7[[#Headers],[Flexibility Market Intelligence]],$C$7:$C$510,$L37)&gt;0,0,MROUND(IFERROR(AA37*($P37/$AI37),0),100))</f>
        <v>0</v>
      </c>
      <c r="AU37" s="1">
        <f ca="1">IF(COUNTIFS($J$7:$J$510,Table7[[#Headers],[Flexibility RTM Analysis]],$C$7:$C$510,$L37)&gt;0,0,MROUND(IFERROR(AB37*($P37/$AI37),0),100))</f>
        <v>0</v>
      </c>
      <c r="AV37" s="1">
        <f ca="1">IF(COUNTIFS($J$7:$J$510,Table7[[#Headers],[Flexibility Forecasts]],$C$7:$C$510,$L37)&gt;0,0,MROUND(IFERROR(AC37*($P37/$AI37),0),100))</f>
        <v>0</v>
      </c>
      <c r="AW37" s="1">
        <f ca="1">IF(COUNTIFS($J$7:$J$510,Table7[[#Headers],[Flexibility Regulation]],$C$7:$C$510,$L37)&gt;0,0,MROUND(IFERROR(AD37*($P37/$AI37),0),100))</f>
        <v>0</v>
      </c>
      <c r="AX37" s="1">
        <f ca="1">IF(COUNTIFS($J$7:$J$510,Table7[[#Headers],[Business Energy Essentials]],$C$7:$C$510,$L37)&gt;0,0,MROUND(IFERROR(AE37*($P37/$AI37),0),100))</f>
        <v>0</v>
      </c>
      <c r="AY37" s="1">
        <f ca="1">IF(COUNTIFS($J$7:$J$510,Table7[[#Headers],[Energy User RTM Analysis]],$C$7:$C$510,$L37)&gt;0,0,MROUND(IFERROR(AF37*($P37/$AI37),0),100))</f>
        <v>0</v>
      </c>
      <c r="AZ37" s="1">
        <f ca="1">IF(COUNTIFS($J$7:$J$510,Table7[[#Headers],[Energy User Forecasts]],$C$7:$C$510,$L37)&gt;0,0,MROUND(IFERROR(AG37*($P37/$AI37),0),100))</f>
        <v>0</v>
      </c>
      <c r="BA37" s="1">
        <f ca="1">IF(COUNTIFS($J$7:$J$510,Table7[[#Headers],[Energy User Regulation]],$C$7:$C$510,$L37)&gt;0,0,MROUND(IFERROR(AH37*($P37/$AI37),0),100))</f>
        <v>0</v>
      </c>
    </row>
    <row r="38" spans="2:53">
      <c r="B38" s="38" t="s">
        <v>2075</v>
      </c>
      <c r="C38" s="38" t="s">
        <v>2076</v>
      </c>
      <c r="D38" s="38" t="s">
        <v>2059</v>
      </c>
      <c r="E38" s="38" t="s">
        <v>1808</v>
      </c>
      <c r="F38" s="63">
        <v>6677</v>
      </c>
      <c r="G38" s="38"/>
      <c r="H38" s="38" t="s">
        <v>191</v>
      </c>
      <c r="I38" s="38" t="s">
        <v>191</v>
      </c>
      <c r="J38" s="38" t="s">
        <v>25</v>
      </c>
      <c r="L38" s="1" t="str">
        <v>Citizens Advice</v>
      </c>
      <c r="M38" s="1" t="str">
        <f t="shared" si="2"/>
        <v>Supply</v>
      </c>
      <c r="N38" s="109">
        <f t="shared" si="3"/>
        <v>27000</v>
      </c>
      <c r="O38" s="1">
        <f>IFERROR(IF(INDEX(Table3[[Total Spend]:[Total Spend]],MATCH(L38,Table3[[Company name]:[Company name]],0))&gt;N38,INDEX(Table3[[Total Spend]:[Total Spend]],MATCH(L38,Table3[[Company name]:[Company name]])),N38),50000)</f>
        <v>27000</v>
      </c>
      <c r="P38" s="109">
        <f t="shared" si="4"/>
        <v>27000</v>
      </c>
      <c r="Q38" s="103">
        <f t="shared" si="5"/>
        <v>1</v>
      </c>
      <c r="R38" s="1">
        <f ca="1">IFERROR(INDEX(INDIRECT("Table3[Column"&amp;R$9&amp;"]"),MATCH($L38,Table3[[Company name]:[Company name]],0)),0)</f>
        <v>8100</v>
      </c>
      <c r="S38" s="1">
        <f ca="1">IFERROR(INDEX(INDIRECT("Table3[Column"&amp;S$9&amp;"]"),MATCH($L38,Table3[[Company name]:[Company name]],0)),0)</f>
        <v>0</v>
      </c>
      <c r="T38" s="1">
        <f ca="1">IFERROR(INDEX(INDIRECT("Table3[Column"&amp;T$9&amp;"]"),MATCH($L38,Table3[[Company name]:[Company name]],0)),0)</f>
        <v>0</v>
      </c>
      <c r="U38" s="1">
        <f ca="1">IFERROR(INDEX(INDIRECT("Table3[Column"&amp;U$9&amp;"]"),MATCH($L38,Table3[[Company name]:[Company name]],0)),0)</f>
        <v>0</v>
      </c>
      <c r="V38" s="1">
        <f ca="1">IFERROR(INDEX(INDIRECT("Table3[Column"&amp;V$9&amp;"]"),MATCH($L38,Table3[[Company name]:[Company name]],0)),0)</f>
        <v>0</v>
      </c>
      <c r="W38" s="1">
        <f ca="1">IFERROR(INDEX(INDIRECT("Table3[Column"&amp;W$9&amp;"]"),MATCH($L38,Table3[[Company name]:[Company name]],0)),0)</f>
        <v>0</v>
      </c>
      <c r="X38" s="1">
        <f ca="1">IFERROR(INDEX(INDIRECT("Table3[Column"&amp;X$9&amp;"]"),MATCH($L38,Table3[[Company name]:[Company name]],0)),0)</f>
        <v>0</v>
      </c>
      <c r="Y38" s="1">
        <f ca="1">IFERROR(INDEX(INDIRECT("Table3[Column"&amp;Y$9&amp;"]"),MATCH($L38,Table3[[Company name]:[Company name]],0)),0)</f>
        <v>0</v>
      </c>
      <c r="Z38" s="1">
        <f ca="1">IFERROR(INDEX(INDIRECT("Table3[Column"&amp;Z$9&amp;"]"),MATCH($L38,Table3[[Company name]:[Company name]],0)),0)</f>
        <v>0</v>
      </c>
      <c r="AA38" s="1">
        <f ca="1">IFERROR(INDEX(INDIRECT("Table3[Column"&amp;AA$9&amp;"]"),MATCH($L38,Table3[[Company name]:[Company name]],0)),0)</f>
        <v>0</v>
      </c>
      <c r="AB38" s="1">
        <f ca="1">IFERROR(INDEX(INDIRECT("Table3[Column"&amp;AB$9&amp;"]"),MATCH($L38,Table3[[Company name]:[Company name]],0)),0)</f>
        <v>0</v>
      </c>
      <c r="AC38" s="1">
        <f ca="1">IFERROR(INDEX(INDIRECT("Table3[Column"&amp;AC$9&amp;"]"),MATCH($L38,Table3[[Company name]:[Company name]],0)),0)</f>
        <v>0</v>
      </c>
      <c r="AD38" s="1">
        <f ca="1">IFERROR(INDEX(INDIRECT("Table3[Column"&amp;AD$9&amp;"]"),MATCH($L38,Table3[[Company name]:[Company name]],0)),0)</f>
        <v>0</v>
      </c>
      <c r="AE38" s="1">
        <f ca="1">IFERROR(INDEX(INDIRECT("Table3[Column"&amp;AE$9&amp;"]"),MATCH($L38,Table3[[Company name]:[Company name]],0)),0)</f>
        <v>0</v>
      </c>
      <c r="AF38" s="1">
        <f ca="1">IFERROR(INDEX(INDIRECT("Table3[Column"&amp;AF$9&amp;"]"),MATCH($L38,Table3[[Company name]:[Company name]],0)),0)</f>
        <v>0</v>
      </c>
      <c r="AG38" s="1">
        <f ca="1">IFERROR(INDEX(INDIRECT("Table3[Column"&amp;AG$9&amp;"]"),MATCH($L38,Table3[[Company name]:[Company name]],0)),0)</f>
        <v>0</v>
      </c>
      <c r="AH38" s="1">
        <f ca="1">IFERROR(INDEX(INDIRECT("Table3[Column"&amp;AH$9&amp;"]"),MATCH($L38,Table3[[Company name]:[Company name]],0)),0)</f>
        <v>0</v>
      </c>
      <c r="AI38" s="1">
        <f t="shared" ca="1" si="6"/>
        <v>8100</v>
      </c>
      <c r="AK38" s="1">
        <f>IF(COUNTIFS($J$7:$J$510,Table7[[#Headers],[Industry Essentials]],$C$7:$C$510,$L38)&gt;0,0,MROUND(R38,100))</f>
        <v>0</v>
      </c>
      <c r="AL38" s="1">
        <f>IF(COUNTIFS($J$7:$J$510,Table7[[#Headers],[Energy Supply Market Intelligence]],$C$7:$C$510,$L38)&gt;0,0,MROUND(IFERROR(S38*($P38/$AI38),0),100))</f>
        <v>0</v>
      </c>
      <c r="AM38" s="1">
        <f ca="1">IF(COUNTIFS($J$7:$J$510,Table7[[#Headers],[Energy Supply RTM Analysis]],$C$7:$C$510,$L38)&gt;0,0,MROUND(IFERROR(T38*($P38/$AI38),0),100))</f>
        <v>0</v>
      </c>
      <c r="AN38" s="1">
        <f ca="1">IF(COUNTIFS($J$7:$J$510,Table7[[#Headers],[Energy Supply Forecasts]],$C$7:$C$510,$L38)&gt;0,0,MROUND(IFERROR(U38*($P38/$AI38),0),100))</f>
        <v>0</v>
      </c>
      <c r="AO38" s="1">
        <f ca="1">IF(COUNTIFS($J$7:$J$510,Table7[[#Headers],[Energy Supply Regulation]],$C$7:$C$510,$L38)&gt;0,0,MROUND(IFERROR(V38*($P38/$AI38),0),100))</f>
        <v>0</v>
      </c>
      <c r="AP38" s="1">
        <f ca="1">IF(COUNTIFS($J$7:$J$510,Table7[[#Headers],[Renewables Market Intelligence]],$C$7:$C$510,$L38)&gt;0,0,MROUND(IFERROR(W38*($P38/$AI38),0),100))</f>
        <v>0</v>
      </c>
      <c r="AQ38" s="1">
        <f ca="1">IF(COUNTIFS($J$7:$J$510,Table7[[#Headers],[Renewables RTM Analysis]],$C$7:$C$510,$L38)&gt;0,0,MROUND(IFERROR(X38*($P38/$AI38),0),100))</f>
        <v>0</v>
      </c>
      <c r="AR38" s="1">
        <f ca="1">IF(COUNTIFS($J$7:$J$510,Table7[[#Headers],[Renewables Forecasts]],$C$7:$C$510,$L38)&gt;0,0,MROUND(IFERROR(Y38*($P38/$AI38),0),100))</f>
        <v>0</v>
      </c>
      <c r="AS38" s="1">
        <f ca="1">IF(COUNTIFS($J$7:$J$510,Table7[[#Headers],[Renewables Regulation]],$C$7:$C$510,$L38)&gt;0,0,MROUND(IFERROR(Z38*($P38/$AI38),0),100))</f>
        <v>0</v>
      </c>
      <c r="AT38" s="1">
        <f ca="1">IF(COUNTIFS($J$7:$J$510,Table7[[#Headers],[Flexibility Market Intelligence]],$C$7:$C$510,$L38)&gt;0,0,MROUND(IFERROR(AA38*($P38/$AI38),0),100))</f>
        <v>0</v>
      </c>
      <c r="AU38" s="1">
        <f ca="1">IF(COUNTIFS($J$7:$J$510,Table7[[#Headers],[Flexibility RTM Analysis]],$C$7:$C$510,$L38)&gt;0,0,MROUND(IFERROR(AB38*($P38/$AI38),0),100))</f>
        <v>0</v>
      </c>
      <c r="AV38" s="1">
        <f ca="1">IF(COUNTIFS($J$7:$J$510,Table7[[#Headers],[Flexibility Forecasts]],$C$7:$C$510,$L38)&gt;0,0,MROUND(IFERROR(AC38*($P38/$AI38),0),100))</f>
        <v>0</v>
      </c>
      <c r="AW38" s="1">
        <f ca="1">IF(COUNTIFS($J$7:$J$510,Table7[[#Headers],[Flexibility Regulation]],$C$7:$C$510,$L38)&gt;0,0,MROUND(IFERROR(AD38*($P38/$AI38),0),100))</f>
        <v>0</v>
      </c>
      <c r="AX38" s="1">
        <f ca="1">IF(COUNTIFS($J$7:$J$510,Table7[[#Headers],[Business Energy Essentials]],$C$7:$C$510,$L38)&gt;0,0,MROUND(IFERROR(AE38*($P38/$AI38),0),100))</f>
        <v>0</v>
      </c>
      <c r="AY38" s="1">
        <f ca="1">IF(COUNTIFS($J$7:$J$510,Table7[[#Headers],[Energy User RTM Analysis]],$C$7:$C$510,$L38)&gt;0,0,MROUND(IFERROR(AF38*($P38/$AI38),0),100))</f>
        <v>0</v>
      </c>
      <c r="AZ38" s="1">
        <f ca="1">IF(COUNTIFS($J$7:$J$510,Table7[[#Headers],[Energy User Forecasts]],$C$7:$C$510,$L38)&gt;0,0,MROUND(IFERROR(AG38*($P38/$AI38),0),100))</f>
        <v>0</v>
      </c>
      <c r="BA38" s="1">
        <f ca="1">IF(COUNTIFS($J$7:$J$510,Table7[[#Headers],[Energy User Regulation]],$C$7:$C$510,$L38)&gt;0,0,MROUND(IFERROR(AH38*($P38/$AI38),0),100))</f>
        <v>0</v>
      </c>
    </row>
    <row r="39" spans="2:53">
      <c r="B39" s="38" t="s">
        <v>2078</v>
      </c>
      <c r="C39" s="38" t="s">
        <v>91</v>
      </c>
      <c r="D39" s="38" t="s">
        <v>2079</v>
      </c>
      <c r="E39" s="38" t="s">
        <v>1810</v>
      </c>
      <c r="F39" s="63">
        <v>8500</v>
      </c>
      <c r="G39" s="38"/>
      <c r="H39" s="38" t="s">
        <v>2031</v>
      </c>
      <c r="I39" s="38" t="s">
        <v>2031</v>
      </c>
      <c r="J39" s="38" t="s">
        <v>22</v>
      </c>
      <c r="L39" s="1" t="str">
        <v>Committee on Climate Change</v>
      </c>
      <c r="M39" s="1" t="str">
        <f t="shared" si="2"/>
        <v>Other</v>
      </c>
      <c r="N39" s="109">
        <f t="shared" si="3"/>
        <v>2950</v>
      </c>
      <c r="O39" s="1">
        <f>IFERROR(IF(INDEX(Table3[[Total Spend]:[Total Spend]],MATCH(L39,Table3[[Company name]:[Company name]],0))&gt;N39,INDEX(Table3[[Total Spend]:[Total Spend]],MATCH(L39,Table3[[Company name]:[Company name]])),N39),50000)</f>
        <v>250000</v>
      </c>
      <c r="P39" s="109">
        <f t="shared" si="4"/>
        <v>247050</v>
      </c>
      <c r="Q39" s="103">
        <f t="shared" si="5"/>
        <v>1.18E-2</v>
      </c>
      <c r="R39" s="1">
        <f ca="1">IFERROR(INDEX(INDIRECT("Table3[Column"&amp;R$9&amp;"]"),MATCH($L39,Table3[[Company name]:[Company name]],0)),0)</f>
        <v>10800</v>
      </c>
      <c r="S39" s="1">
        <f ca="1">IFERROR(INDEX(INDIRECT("Table3[Column"&amp;S$9&amp;"]"),MATCH($L39,Table3[[Company name]:[Company name]],0)),0)</f>
        <v>0</v>
      </c>
      <c r="T39" s="1">
        <f ca="1">IFERROR(INDEX(INDIRECT("Table3[Column"&amp;T$9&amp;"]"),MATCH($L39,Table3[[Company name]:[Company name]],0)),0)</f>
        <v>0</v>
      </c>
      <c r="U39" s="1">
        <f ca="1">IFERROR(INDEX(INDIRECT("Table3[Column"&amp;U$9&amp;"]"),MATCH($L39,Table3[[Company name]:[Company name]],0)),0)</f>
        <v>0</v>
      </c>
      <c r="V39" s="1">
        <f ca="1">IFERROR(INDEX(INDIRECT("Table3[Column"&amp;V$9&amp;"]"),MATCH($L39,Table3[[Company name]:[Company name]],0)),0)</f>
        <v>0</v>
      </c>
      <c r="W39" s="1">
        <f ca="1">IFERROR(INDEX(INDIRECT("Table3[Column"&amp;W$9&amp;"]"),MATCH($L39,Table3[[Company name]:[Company name]],0)),0)</f>
        <v>0</v>
      </c>
      <c r="X39" s="1">
        <f ca="1">IFERROR(INDEX(INDIRECT("Table3[Column"&amp;X$9&amp;"]"),MATCH($L39,Table3[[Company name]:[Company name]],0)),0)</f>
        <v>0</v>
      </c>
      <c r="Y39" s="1">
        <f ca="1">IFERROR(INDEX(INDIRECT("Table3[Column"&amp;Y$9&amp;"]"),MATCH($L39,Table3[[Company name]:[Company name]],0)),0)</f>
        <v>0</v>
      </c>
      <c r="Z39" s="1">
        <f ca="1">IFERROR(INDEX(INDIRECT("Table3[Column"&amp;Z$9&amp;"]"),MATCH($L39,Table3[[Company name]:[Company name]],0)),0)</f>
        <v>0</v>
      </c>
      <c r="AA39" s="1">
        <f ca="1">IFERROR(INDEX(INDIRECT("Table3[Column"&amp;AA$9&amp;"]"),MATCH($L39,Table3[[Company name]:[Company name]],0)),0)</f>
        <v>0</v>
      </c>
      <c r="AB39" s="1">
        <f ca="1">IFERROR(INDEX(INDIRECT("Table3[Column"&amp;AB$9&amp;"]"),MATCH($L39,Table3[[Company name]:[Company name]],0)),0)</f>
        <v>0</v>
      </c>
      <c r="AC39" s="1">
        <f ca="1">IFERROR(INDEX(INDIRECT("Table3[Column"&amp;AC$9&amp;"]"),MATCH($L39,Table3[[Company name]:[Company name]],0)),0)</f>
        <v>0</v>
      </c>
      <c r="AD39" s="1">
        <f ca="1">IFERROR(INDEX(INDIRECT("Table3[Column"&amp;AD$9&amp;"]"),MATCH($L39,Table3[[Company name]:[Company name]],0)),0)</f>
        <v>0</v>
      </c>
      <c r="AE39" s="1">
        <f ca="1">IFERROR(INDEX(INDIRECT("Table3[Column"&amp;AE$9&amp;"]"),MATCH($L39,Table3[[Company name]:[Company name]],0)),0)</f>
        <v>0</v>
      </c>
      <c r="AF39" s="1">
        <f ca="1">IFERROR(INDEX(INDIRECT("Table3[Column"&amp;AF$9&amp;"]"),MATCH($L39,Table3[[Company name]:[Company name]],0)),0)</f>
        <v>0</v>
      </c>
      <c r="AG39" s="1">
        <f ca="1">IFERROR(INDEX(INDIRECT("Table3[Column"&amp;AG$9&amp;"]"),MATCH($L39,Table3[[Company name]:[Company name]],0)),0)</f>
        <v>0</v>
      </c>
      <c r="AH39" s="1">
        <f ca="1">IFERROR(INDEX(INDIRECT("Table3[Column"&amp;AH$9&amp;"]"),MATCH($L39,Table3[[Company name]:[Company name]],0)),0)</f>
        <v>0</v>
      </c>
      <c r="AI39" s="1">
        <f t="shared" ca="1" si="6"/>
        <v>10800</v>
      </c>
      <c r="AK39" s="1">
        <f>IF(COUNTIFS($J$7:$J$510,Table7[[#Headers],[Industry Essentials]],$C$7:$C$510,$L39)&gt;0,0,MROUND(R39,100))</f>
        <v>0</v>
      </c>
      <c r="AL39" s="1">
        <f ca="1">IF(COUNTIFS($J$7:$J$510,Table7[[#Headers],[Energy Supply Market Intelligence]],$C$7:$C$510,$L39)&gt;0,0,MROUND(IFERROR(S39*($P39/$AI39),0),100))</f>
        <v>0</v>
      </c>
      <c r="AM39" s="1">
        <f ca="1">IF(COUNTIFS($J$7:$J$510,Table7[[#Headers],[Energy Supply RTM Analysis]],$C$7:$C$510,$L39)&gt;0,0,MROUND(IFERROR(T39*($P39/$AI39),0),100))</f>
        <v>0</v>
      </c>
      <c r="AN39" s="1">
        <f ca="1">IF(COUNTIFS($J$7:$J$510,Table7[[#Headers],[Energy Supply Forecasts]],$C$7:$C$510,$L39)&gt;0,0,MROUND(IFERROR(U39*($P39/$AI39),0),100))</f>
        <v>0</v>
      </c>
      <c r="AO39" s="1">
        <f ca="1">IF(COUNTIFS($J$7:$J$510,Table7[[#Headers],[Energy Supply Regulation]],$C$7:$C$510,$L39)&gt;0,0,MROUND(IFERROR(V39*($P39/$AI39),0),100))</f>
        <v>0</v>
      </c>
      <c r="AP39" s="1">
        <f ca="1">IF(COUNTIFS($J$7:$J$510,Table7[[#Headers],[Renewables Market Intelligence]],$C$7:$C$510,$L39)&gt;0,0,MROUND(IFERROR(W39*($P39/$AI39),0),100))</f>
        <v>0</v>
      </c>
      <c r="AQ39" s="1">
        <f ca="1">IF(COUNTIFS($J$7:$J$510,Table7[[#Headers],[Renewables RTM Analysis]],$C$7:$C$510,$L39)&gt;0,0,MROUND(IFERROR(X39*($P39/$AI39),0),100))</f>
        <v>0</v>
      </c>
      <c r="AR39" s="1">
        <f ca="1">IF(COUNTIFS($J$7:$J$510,Table7[[#Headers],[Renewables Forecasts]],$C$7:$C$510,$L39)&gt;0,0,MROUND(IFERROR(Y39*($P39/$AI39),0),100))</f>
        <v>0</v>
      </c>
      <c r="AS39" s="1">
        <f ca="1">IF(COUNTIFS($J$7:$J$510,Table7[[#Headers],[Renewables Regulation]],$C$7:$C$510,$L39)&gt;0,0,MROUND(IFERROR(Z39*($P39/$AI39),0),100))</f>
        <v>0</v>
      </c>
      <c r="AT39" s="1">
        <f ca="1">IF(COUNTIFS($J$7:$J$510,Table7[[#Headers],[Flexibility Market Intelligence]],$C$7:$C$510,$L39)&gt;0,0,MROUND(IFERROR(AA39*($P39/$AI39),0),100))</f>
        <v>0</v>
      </c>
      <c r="AU39" s="1">
        <f ca="1">IF(COUNTIFS($J$7:$J$510,Table7[[#Headers],[Flexibility RTM Analysis]],$C$7:$C$510,$L39)&gt;0,0,MROUND(IFERROR(AB39*($P39/$AI39),0),100))</f>
        <v>0</v>
      </c>
      <c r="AV39" s="1">
        <f ca="1">IF(COUNTIFS($J$7:$J$510,Table7[[#Headers],[Flexibility Forecasts]],$C$7:$C$510,$L39)&gt;0,0,MROUND(IFERROR(AC39*($P39/$AI39),0),100))</f>
        <v>0</v>
      </c>
      <c r="AW39" s="1">
        <f ca="1">IF(COUNTIFS($J$7:$J$510,Table7[[#Headers],[Flexibility Regulation]],$C$7:$C$510,$L39)&gt;0,0,MROUND(IFERROR(AD39*($P39/$AI39),0),100))</f>
        <v>0</v>
      </c>
      <c r="AX39" s="1">
        <f ca="1">IF(COUNTIFS($J$7:$J$510,Table7[[#Headers],[Business Energy Essentials]],$C$7:$C$510,$L39)&gt;0,0,MROUND(IFERROR(AE39*($P39/$AI39),0),100))</f>
        <v>0</v>
      </c>
      <c r="AY39" s="1">
        <f ca="1">IF(COUNTIFS($J$7:$J$510,Table7[[#Headers],[Energy User RTM Analysis]],$C$7:$C$510,$L39)&gt;0,0,MROUND(IFERROR(AF39*($P39/$AI39),0),100))</f>
        <v>0</v>
      </c>
      <c r="AZ39" s="1">
        <f ca="1">IF(COUNTIFS($J$7:$J$510,Table7[[#Headers],[Energy User Forecasts]],$C$7:$C$510,$L39)&gt;0,0,MROUND(IFERROR(AG39*($P39/$AI39),0),100))</f>
        <v>0</v>
      </c>
      <c r="BA39" s="1">
        <f ca="1">IF(COUNTIFS($J$7:$J$510,Table7[[#Headers],[Energy User Regulation]],$C$7:$C$510,$L39)&gt;0,0,MROUND(IFERROR(AH39*($P39/$AI39),0),100))</f>
        <v>0</v>
      </c>
    </row>
    <row r="40" spans="2:53">
      <c r="B40" s="38" t="s">
        <v>2078</v>
      </c>
      <c r="C40" s="38" t="s">
        <v>91</v>
      </c>
      <c r="D40" s="38" t="s">
        <v>2080</v>
      </c>
      <c r="E40" s="38" t="s">
        <v>1821</v>
      </c>
      <c r="F40" s="63">
        <v>8500</v>
      </c>
      <c r="G40" s="38"/>
      <c r="H40" s="38" t="s">
        <v>2031</v>
      </c>
      <c r="I40" s="38" t="s">
        <v>2031</v>
      </c>
      <c r="J40" s="38" t="s">
        <v>22</v>
      </c>
      <c r="L40" s="1" t="str">
        <v>Compare the Market</v>
      </c>
      <c r="M40" s="1" t="str">
        <f t="shared" si="2"/>
        <v>Supply</v>
      </c>
      <c r="N40" s="109">
        <f t="shared" si="3"/>
        <v>27500</v>
      </c>
      <c r="O40" s="1">
        <f>IFERROR(IF(INDEX(Table3[[Total Spend]:[Total Spend]],MATCH(L40,Table3[[Company name]:[Company name]],0))&gt;N40,INDEX(Table3[[Total Spend]:[Total Spend]],MATCH(L40,Table3[[Company name]:[Company name]])),N40),50000)</f>
        <v>27500</v>
      </c>
      <c r="P40" s="109">
        <f t="shared" si="4"/>
        <v>27500</v>
      </c>
      <c r="Q40" s="103">
        <f t="shared" si="5"/>
        <v>1</v>
      </c>
      <c r="R40" s="1">
        <f ca="1">IFERROR(INDEX(INDIRECT("Table3[Column"&amp;R$9&amp;"]"),MATCH($L40,Table3[[Company name]:[Company name]],0)),0)</f>
        <v>8100</v>
      </c>
      <c r="S40" s="1">
        <f ca="1">IFERROR(INDEX(INDIRECT("Table3[Column"&amp;S$9&amp;"]"),MATCH($L40,Table3[[Company name]:[Company name]],0)),0)</f>
        <v>30600</v>
      </c>
      <c r="T40" s="1">
        <f ca="1">IFERROR(INDEX(INDIRECT("Table3[Column"&amp;T$9&amp;"]"),MATCH($L40,Table3[[Company name]:[Company name]],0)),0)</f>
        <v>53100</v>
      </c>
      <c r="U40" s="1">
        <f ca="1">IFERROR(INDEX(INDIRECT("Table3[Column"&amp;U$9&amp;"]"),MATCH($L40,Table3[[Company name]:[Company name]],0)),0)</f>
        <v>34200</v>
      </c>
      <c r="V40" s="1">
        <f ca="1">IFERROR(INDEX(INDIRECT("Table3[Column"&amp;V$9&amp;"]"),MATCH($L40,Table3[[Company name]:[Company name]],0)),0)</f>
        <v>0</v>
      </c>
      <c r="W40" s="1">
        <f ca="1">IFERROR(INDEX(INDIRECT("Table3[Column"&amp;W$9&amp;"]"),MATCH($L40,Table3[[Company name]:[Company name]],0)),0)</f>
        <v>0</v>
      </c>
      <c r="X40" s="1">
        <f ca="1">IFERROR(INDEX(INDIRECT("Table3[Column"&amp;X$9&amp;"]"),MATCH($L40,Table3[[Company name]:[Company name]],0)),0)</f>
        <v>0</v>
      </c>
      <c r="Y40" s="1">
        <f ca="1">IFERROR(INDEX(INDIRECT("Table3[Column"&amp;Y$9&amp;"]"),MATCH($L40,Table3[[Company name]:[Company name]],0)),0)</f>
        <v>0</v>
      </c>
      <c r="Z40" s="1">
        <f ca="1">IFERROR(INDEX(INDIRECT("Table3[Column"&amp;Z$9&amp;"]"),MATCH($L40,Table3[[Company name]:[Company name]],0)),0)</f>
        <v>0</v>
      </c>
      <c r="AA40" s="1">
        <f ca="1">IFERROR(INDEX(INDIRECT("Table3[Column"&amp;AA$9&amp;"]"),MATCH($L40,Table3[[Company name]:[Company name]],0)),0)</f>
        <v>0</v>
      </c>
      <c r="AB40" s="1">
        <f ca="1">IFERROR(INDEX(INDIRECT("Table3[Column"&amp;AB$9&amp;"]"),MATCH($L40,Table3[[Company name]:[Company name]],0)),0)</f>
        <v>0</v>
      </c>
      <c r="AC40" s="1">
        <f ca="1">IFERROR(INDEX(INDIRECT("Table3[Column"&amp;AC$9&amp;"]"),MATCH($L40,Table3[[Company name]:[Company name]],0)),0)</f>
        <v>0</v>
      </c>
      <c r="AD40" s="1">
        <f ca="1">IFERROR(INDEX(INDIRECT("Table3[Column"&amp;AD$9&amp;"]"),MATCH($L40,Table3[[Company name]:[Company name]],0)),0)</f>
        <v>0</v>
      </c>
      <c r="AE40" s="1">
        <f ca="1">IFERROR(INDEX(INDIRECT("Table3[Column"&amp;AE$9&amp;"]"),MATCH($L40,Table3[[Company name]:[Company name]],0)),0)</f>
        <v>0</v>
      </c>
      <c r="AF40" s="1">
        <f ca="1">IFERROR(INDEX(INDIRECT("Table3[Column"&amp;AF$9&amp;"]"),MATCH($L40,Table3[[Company name]:[Company name]],0)),0)</f>
        <v>11250</v>
      </c>
      <c r="AG40" s="1">
        <f ca="1">IFERROR(INDEX(INDIRECT("Table3[Column"&amp;AG$9&amp;"]"),MATCH($L40,Table3[[Company name]:[Company name]],0)),0)</f>
        <v>0</v>
      </c>
      <c r="AH40" s="1">
        <f ca="1">IFERROR(INDEX(INDIRECT("Table3[Column"&amp;AH$9&amp;"]"),MATCH($L40,Table3[[Company name]:[Company name]],0)),0)</f>
        <v>0</v>
      </c>
      <c r="AI40" s="1">
        <f t="shared" ca="1" si="6"/>
        <v>137250</v>
      </c>
      <c r="AK40" s="1">
        <f>IF(COUNTIFS($J$7:$J$510,Table7[[#Headers],[Industry Essentials]],$C$7:$C$510,$L40)&gt;0,0,MROUND(R40,100))</f>
        <v>0</v>
      </c>
      <c r="AL40" s="1">
        <f>IF(COUNTIFS($J$7:$J$510,Table7[[#Headers],[Energy Supply Market Intelligence]],$C$7:$C$510,$L40)&gt;0,0,MROUND(IFERROR(S40*($P40/$AI40),0),100))</f>
        <v>0</v>
      </c>
      <c r="AM40" s="1">
        <f ca="1">IF(COUNTIFS($J$7:$J$510,Table7[[#Headers],[Energy Supply RTM Analysis]],$C$7:$C$510,$L40)&gt;0,0,MROUND(IFERROR(T40*($P40/$AI40),0),100))</f>
        <v>10600</v>
      </c>
      <c r="AN40" s="1">
        <f ca="1">IF(COUNTIFS($J$7:$J$510,Table7[[#Headers],[Energy Supply Forecasts]],$C$7:$C$510,$L40)&gt;0,0,MROUND(IFERROR(U40*($P40/$AI40),0),100))</f>
        <v>6900</v>
      </c>
      <c r="AO40" s="1">
        <f ca="1">IF(COUNTIFS($J$7:$J$510,Table7[[#Headers],[Energy Supply Regulation]],$C$7:$C$510,$L40)&gt;0,0,MROUND(IFERROR(V40*($P40/$AI40),0),100))</f>
        <v>0</v>
      </c>
      <c r="AP40" s="1">
        <f ca="1">IF(COUNTIFS($J$7:$J$510,Table7[[#Headers],[Renewables Market Intelligence]],$C$7:$C$510,$L40)&gt;0,0,MROUND(IFERROR(W40*($P40/$AI40),0),100))</f>
        <v>0</v>
      </c>
      <c r="AQ40" s="1">
        <f ca="1">IF(COUNTIFS($J$7:$J$510,Table7[[#Headers],[Renewables RTM Analysis]],$C$7:$C$510,$L40)&gt;0,0,MROUND(IFERROR(X40*($P40/$AI40),0),100))</f>
        <v>0</v>
      </c>
      <c r="AR40" s="1">
        <f ca="1">IF(COUNTIFS($J$7:$J$510,Table7[[#Headers],[Renewables Forecasts]],$C$7:$C$510,$L40)&gt;0,0,MROUND(IFERROR(Y40*($P40/$AI40),0),100))</f>
        <v>0</v>
      </c>
      <c r="AS40" s="1">
        <f ca="1">IF(COUNTIFS($J$7:$J$510,Table7[[#Headers],[Renewables Regulation]],$C$7:$C$510,$L40)&gt;0,0,MROUND(IFERROR(Z40*($P40/$AI40),0),100))</f>
        <v>0</v>
      </c>
      <c r="AT40" s="1">
        <f ca="1">IF(COUNTIFS($J$7:$J$510,Table7[[#Headers],[Flexibility Market Intelligence]],$C$7:$C$510,$L40)&gt;0,0,MROUND(IFERROR(AA40*($P40/$AI40),0),100))</f>
        <v>0</v>
      </c>
      <c r="AU40" s="1">
        <f ca="1">IF(COUNTIFS($J$7:$J$510,Table7[[#Headers],[Flexibility RTM Analysis]],$C$7:$C$510,$L40)&gt;0,0,MROUND(IFERROR(AB40*($P40/$AI40),0),100))</f>
        <v>0</v>
      </c>
      <c r="AV40" s="1">
        <f ca="1">IF(COUNTIFS($J$7:$J$510,Table7[[#Headers],[Flexibility Forecasts]],$C$7:$C$510,$L40)&gt;0,0,MROUND(IFERROR(AC40*($P40/$AI40),0),100))</f>
        <v>0</v>
      </c>
      <c r="AW40" s="1">
        <f ca="1">IF(COUNTIFS($J$7:$J$510,Table7[[#Headers],[Flexibility Regulation]],$C$7:$C$510,$L40)&gt;0,0,MROUND(IFERROR(AD40*($P40/$AI40),0),100))</f>
        <v>0</v>
      </c>
      <c r="AX40" s="1">
        <f ca="1">IF(COUNTIFS($J$7:$J$510,Table7[[#Headers],[Business Energy Essentials]],$C$7:$C$510,$L40)&gt;0,0,MROUND(IFERROR(AE40*($P40/$AI40),0),100))</f>
        <v>0</v>
      </c>
      <c r="AY40" s="1">
        <f ca="1">IF(COUNTIFS($J$7:$J$510,Table7[[#Headers],[Energy User RTM Analysis]],$C$7:$C$510,$L40)&gt;0,0,MROUND(IFERROR(AF40*($P40/$AI40),0),100))</f>
        <v>2300</v>
      </c>
      <c r="AZ40" s="1">
        <f ca="1">IF(COUNTIFS($J$7:$J$510,Table7[[#Headers],[Energy User Forecasts]],$C$7:$C$510,$L40)&gt;0,0,MROUND(IFERROR(AG40*($P40/$AI40),0),100))</f>
        <v>0</v>
      </c>
      <c r="BA40" s="1">
        <f ca="1">IF(COUNTIFS($J$7:$J$510,Table7[[#Headers],[Energy User Regulation]],$C$7:$C$510,$L40)&gt;0,0,MROUND(IFERROR(AH40*($P40/$AI40),0),100))</f>
        <v>0</v>
      </c>
    </row>
    <row r="41" spans="2:53">
      <c r="B41" s="38" t="s">
        <v>2078</v>
      </c>
      <c r="C41" s="38" t="s">
        <v>91</v>
      </c>
      <c r="D41" s="38" t="s">
        <v>2081</v>
      </c>
      <c r="E41" s="38" t="s">
        <v>1890</v>
      </c>
      <c r="F41" s="63">
        <v>7000</v>
      </c>
      <c r="G41" s="38"/>
      <c r="H41" s="38" t="s">
        <v>2031</v>
      </c>
      <c r="I41" s="38" t="s">
        <v>2031</v>
      </c>
      <c r="J41" s="38" t="s">
        <v>31</v>
      </c>
      <c r="L41" s="1" t="str">
        <v>Complete Strategy Ltd</v>
      </c>
      <c r="M41" s="1" t="str">
        <f t="shared" si="2"/>
        <v>Other</v>
      </c>
      <c r="N41" s="109">
        <f t="shared" si="3"/>
        <v>1750</v>
      </c>
      <c r="O41" s="1">
        <f>IFERROR(IF(INDEX(Table3[[Total Spend]:[Total Spend]],MATCH(L41,Table3[[Company name]:[Company name]],0))&gt;N41,INDEX(Table3[[Total Spend]:[Total Spend]],MATCH(L41,Table3[[Company name]:[Company name]])),N41),50000)</f>
        <v>250000</v>
      </c>
      <c r="P41" s="109">
        <f t="shared" si="4"/>
        <v>248250</v>
      </c>
      <c r="Q41" s="103">
        <f t="shared" si="5"/>
        <v>7.0000000000000001E-3</v>
      </c>
      <c r="R41" s="1">
        <f ca="1">IFERROR(INDEX(INDIRECT("Table3[Column"&amp;R$9&amp;"]"),MATCH($L41,Table3[[Company name]:[Company name]],0)),0)</f>
        <v>8100</v>
      </c>
      <c r="S41" s="1">
        <f ca="1">IFERROR(INDEX(INDIRECT("Table3[Column"&amp;S$9&amp;"]"),MATCH($L41,Table3[[Company name]:[Company name]],0)),0)</f>
        <v>0</v>
      </c>
      <c r="T41" s="1">
        <f ca="1">IFERROR(INDEX(INDIRECT("Table3[Column"&amp;T$9&amp;"]"),MATCH($L41,Table3[[Company name]:[Company name]],0)),0)</f>
        <v>0</v>
      </c>
      <c r="U41" s="1">
        <f ca="1">IFERROR(INDEX(INDIRECT("Table3[Column"&amp;U$9&amp;"]"),MATCH($L41,Table3[[Company name]:[Company name]],0)),0)</f>
        <v>0</v>
      </c>
      <c r="V41" s="1">
        <f ca="1">IFERROR(INDEX(INDIRECT("Table3[Column"&amp;V$9&amp;"]"),MATCH($L41,Table3[[Company name]:[Company name]],0)),0)</f>
        <v>0</v>
      </c>
      <c r="W41" s="1">
        <f ca="1">IFERROR(INDEX(INDIRECT("Table3[Column"&amp;W$9&amp;"]"),MATCH($L41,Table3[[Company name]:[Company name]],0)),0)</f>
        <v>0</v>
      </c>
      <c r="X41" s="1">
        <f ca="1">IFERROR(INDEX(INDIRECT("Table3[Column"&amp;X$9&amp;"]"),MATCH($L41,Table3[[Company name]:[Company name]],0)),0)</f>
        <v>0</v>
      </c>
      <c r="Y41" s="1">
        <f ca="1">IFERROR(INDEX(INDIRECT("Table3[Column"&amp;Y$9&amp;"]"),MATCH($L41,Table3[[Company name]:[Company name]],0)),0)</f>
        <v>0</v>
      </c>
      <c r="Z41" s="1">
        <f ca="1">IFERROR(INDEX(INDIRECT("Table3[Column"&amp;Z$9&amp;"]"),MATCH($L41,Table3[[Company name]:[Company name]],0)),0)</f>
        <v>0</v>
      </c>
      <c r="AA41" s="1">
        <f ca="1">IFERROR(INDEX(INDIRECT("Table3[Column"&amp;AA$9&amp;"]"),MATCH($L41,Table3[[Company name]:[Company name]],0)),0)</f>
        <v>0</v>
      </c>
      <c r="AB41" s="1">
        <f ca="1">IFERROR(INDEX(INDIRECT("Table3[Column"&amp;AB$9&amp;"]"),MATCH($L41,Table3[[Company name]:[Company name]],0)),0)</f>
        <v>0</v>
      </c>
      <c r="AC41" s="1">
        <f ca="1">IFERROR(INDEX(INDIRECT("Table3[Column"&amp;AC$9&amp;"]"),MATCH($L41,Table3[[Company name]:[Company name]],0)),0)</f>
        <v>0</v>
      </c>
      <c r="AD41" s="1">
        <f ca="1">IFERROR(INDEX(INDIRECT("Table3[Column"&amp;AD$9&amp;"]"),MATCH($L41,Table3[[Company name]:[Company name]],0)),0)</f>
        <v>0</v>
      </c>
      <c r="AE41" s="1">
        <f ca="1">IFERROR(INDEX(INDIRECT("Table3[Column"&amp;AE$9&amp;"]"),MATCH($L41,Table3[[Company name]:[Company name]],0)),0)</f>
        <v>0</v>
      </c>
      <c r="AF41" s="1">
        <f ca="1">IFERROR(INDEX(INDIRECT("Table3[Column"&amp;AF$9&amp;"]"),MATCH($L41,Table3[[Company name]:[Company name]],0)),0)</f>
        <v>0</v>
      </c>
      <c r="AG41" s="1">
        <f ca="1">IFERROR(INDEX(INDIRECT("Table3[Column"&amp;AG$9&amp;"]"),MATCH($L41,Table3[[Company name]:[Company name]],0)),0)</f>
        <v>0</v>
      </c>
      <c r="AH41" s="1">
        <f ca="1">IFERROR(INDEX(INDIRECT("Table3[Column"&amp;AH$9&amp;"]"),MATCH($L41,Table3[[Company name]:[Company name]],0)),0)</f>
        <v>0</v>
      </c>
      <c r="AI41" s="1">
        <f t="shared" ca="1" si="6"/>
        <v>8100</v>
      </c>
      <c r="AK41" s="1">
        <f>IF(COUNTIFS($J$7:$J$510,Table7[[#Headers],[Industry Essentials]],$C$7:$C$510,$L41)&gt;0,0,MROUND(R41,100))</f>
        <v>0</v>
      </c>
      <c r="AL41" s="1">
        <f ca="1">IF(COUNTIFS($J$7:$J$510,Table7[[#Headers],[Energy Supply Market Intelligence]],$C$7:$C$510,$L41)&gt;0,0,MROUND(IFERROR(S41*($P41/$AI41),0),100))</f>
        <v>0</v>
      </c>
      <c r="AM41" s="1">
        <f ca="1">IF(COUNTIFS($J$7:$J$510,Table7[[#Headers],[Energy Supply RTM Analysis]],$C$7:$C$510,$L41)&gt;0,0,MROUND(IFERROR(T41*($P41/$AI41),0),100))</f>
        <v>0</v>
      </c>
      <c r="AN41" s="1">
        <f ca="1">IF(COUNTIFS($J$7:$J$510,Table7[[#Headers],[Energy Supply Forecasts]],$C$7:$C$510,$L41)&gt;0,0,MROUND(IFERROR(U41*($P41/$AI41),0),100))</f>
        <v>0</v>
      </c>
      <c r="AO41" s="1">
        <f ca="1">IF(COUNTIFS($J$7:$J$510,Table7[[#Headers],[Energy Supply Regulation]],$C$7:$C$510,$L41)&gt;0,0,MROUND(IFERROR(V41*($P41/$AI41),0),100))</f>
        <v>0</v>
      </c>
      <c r="AP41" s="1">
        <f ca="1">IF(COUNTIFS($J$7:$J$510,Table7[[#Headers],[Renewables Market Intelligence]],$C$7:$C$510,$L41)&gt;0,0,MROUND(IFERROR(W41*($P41/$AI41),0),100))</f>
        <v>0</v>
      </c>
      <c r="AQ41" s="1">
        <f ca="1">IF(COUNTIFS($J$7:$J$510,Table7[[#Headers],[Renewables RTM Analysis]],$C$7:$C$510,$L41)&gt;0,0,MROUND(IFERROR(X41*($P41/$AI41),0),100))</f>
        <v>0</v>
      </c>
      <c r="AR41" s="1">
        <f ca="1">IF(COUNTIFS($J$7:$J$510,Table7[[#Headers],[Renewables Forecasts]],$C$7:$C$510,$L41)&gt;0,0,MROUND(IFERROR(Y41*($P41/$AI41),0),100))</f>
        <v>0</v>
      </c>
      <c r="AS41" s="1">
        <f ca="1">IF(COUNTIFS($J$7:$J$510,Table7[[#Headers],[Renewables Regulation]],$C$7:$C$510,$L41)&gt;0,0,MROUND(IFERROR(Z41*($P41/$AI41),0),100))</f>
        <v>0</v>
      </c>
      <c r="AT41" s="1">
        <f ca="1">IF(COUNTIFS($J$7:$J$510,Table7[[#Headers],[Flexibility Market Intelligence]],$C$7:$C$510,$L41)&gt;0,0,MROUND(IFERROR(AA41*($P41/$AI41),0),100))</f>
        <v>0</v>
      </c>
      <c r="AU41" s="1">
        <f ca="1">IF(COUNTIFS($J$7:$J$510,Table7[[#Headers],[Flexibility RTM Analysis]],$C$7:$C$510,$L41)&gt;0,0,MROUND(IFERROR(AB41*($P41/$AI41),0),100))</f>
        <v>0</v>
      </c>
      <c r="AV41" s="1">
        <f ca="1">IF(COUNTIFS($J$7:$J$510,Table7[[#Headers],[Flexibility Forecasts]],$C$7:$C$510,$L41)&gt;0,0,MROUND(IFERROR(AC41*($P41/$AI41),0),100))</f>
        <v>0</v>
      </c>
      <c r="AW41" s="1">
        <f ca="1">IF(COUNTIFS($J$7:$J$510,Table7[[#Headers],[Flexibility Regulation]],$C$7:$C$510,$L41)&gt;0,0,MROUND(IFERROR(AD41*($P41/$AI41),0),100))</f>
        <v>0</v>
      </c>
      <c r="AX41" s="1">
        <f ca="1">IF(COUNTIFS($J$7:$J$510,Table7[[#Headers],[Business Energy Essentials]],$C$7:$C$510,$L41)&gt;0,0,MROUND(IFERROR(AE41*($P41/$AI41),0),100))</f>
        <v>0</v>
      </c>
      <c r="AY41" s="1">
        <f ca="1">IF(COUNTIFS($J$7:$J$510,Table7[[#Headers],[Energy User RTM Analysis]],$C$7:$C$510,$L41)&gt;0,0,MROUND(IFERROR(AF41*($P41/$AI41),0),100))</f>
        <v>0</v>
      </c>
      <c r="AZ41" s="1">
        <f ca="1">IF(COUNTIFS($J$7:$J$510,Table7[[#Headers],[Energy User Forecasts]],$C$7:$C$510,$L41)&gt;0,0,MROUND(IFERROR(AG41*($P41/$AI41),0),100))</f>
        <v>0</v>
      </c>
      <c r="BA41" s="1">
        <f ca="1">IF(COUNTIFS($J$7:$J$510,Table7[[#Headers],[Energy User Regulation]],$C$7:$C$510,$L41)&gt;0,0,MROUND(IFERROR(AH41*($P41/$AI41),0),100))</f>
        <v>0</v>
      </c>
    </row>
    <row r="42" spans="2:53">
      <c r="B42" s="38" t="s">
        <v>2078</v>
      </c>
      <c r="C42" s="38" t="s">
        <v>91</v>
      </c>
      <c r="D42" s="38" t="s">
        <v>2082</v>
      </c>
      <c r="E42" s="38" t="s">
        <v>1811</v>
      </c>
      <c r="F42" s="63">
        <v>5000</v>
      </c>
      <c r="G42" s="38"/>
      <c r="H42" s="38" t="s">
        <v>2031</v>
      </c>
      <c r="I42" s="38" t="s">
        <v>2031</v>
      </c>
      <c r="J42" s="38" t="s">
        <v>23</v>
      </c>
      <c r="L42" s="1" t="str">
        <v>Conrad Energy Limited</v>
      </c>
      <c r="M42" s="1" t="str">
        <f t="shared" si="2"/>
        <v>Other</v>
      </c>
      <c r="N42" s="109">
        <f t="shared" si="3"/>
        <v>20800</v>
      </c>
      <c r="O42" s="1">
        <f>IFERROR(IF(INDEX(Table3[[Total Spend]:[Total Spend]],MATCH(L42,Table3[[Company name]:[Company name]],0))&gt;N42,INDEX(Table3[[Total Spend]:[Total Spend]],MATCH(L42,Table3[[Company name]:[Company name]])),N42),50000)</f>
        <v>250000</v>
      </c>
      <c r="P42" s="109">
        <f t="shared" si="4"/>
        <v>229200</v>
      </c>
      <c r="Q42" s="103">
        <f t="shared" si="5"/>
        <v>8.3199999999999996E-2</v>
      </c>
      <c r="R42" s="1">
        <f ca="1">IFERROR(INDEX(INDIRECT("Table3[Column"&amp;R$9&amp;"]"),MATCH($L42,Table3[[Company name]:[Company name]],0)),0)</f>
        <v>10800</v>
      </c>
      <c r="S42" s="1">
        <f ca="1">IFERROR(INDEX(INDIRECT("Table3[Column"&amp;S$9&amp;"]"),MATCH($L42,Table3[[Company name]:[Company name]],0)),0)</f>
        <v>43200</v>
      </c>
      <c r="T42" s="1">
        <f ca="1">IFERROR(INDEX(INDIRECT("Table3[Column"&amp;T$9&amp;"]"),MATCH($L42,Table3[[Company name]:[Company name]],0)),0)</f>
        <v>73800</v>
      </c>
      <c r="U42" s="1">
        <f ca="1">IFERROR(INDEX(INDIRECT("Table3[Column"&amp;U$9&amp;"]"),MATCH($L42,Table3[[Company name]:[Company name]],0)),0)</f>
        <v>48600</v>
      </c>
      <c r="V42" s="1">
        <f ca="1">IFERROR(INDEX(INDIRECT("Table3[Column"&amp;V$9&amp;"]"),MATCH($L42,Table3[[Company name]:[Company name]],0)),0)</f>
        <v>55800</v>
      </c>
      <c r="W42" s="1">
        <f ca="1">IFERROR(INDEX(INDIRECT("Table3[Column"&amp;W$9&amp;"]"),MATCH($L42,Table3[[Company name]:[Company name]],0)),0)</f>
        <v>0</v>
      </c>
      <c r="X42" s="1">
        <f ca="1">IFERROR(INDEX(INDIRECT("Table3[Column"&amp;X$9&amp;"]"),MATCH($L42,Table3[[Company name]:[Company name]],0)),0)</f>
        <v>20700</v>
      </c>
      <c r="Y42" s="1">
        <f ca="1">IFERROR(INDEX(INDIRECT("Table3[Column"&amp;Y$9&amp;"]"),MATCH($L42,Table3[[Company name]:[Company name]],0)),0)</f>
        <v>0</v>
      </c>
      <c r="Z42" s="1">
        <f ca="1">IFERROR(INDEX(INDIRECT("Table3[Column"&amp;Z$9&amp;"]"),MATCH($L42,Table3[[Company name]:[Company name]],0)),0)</f>
        <v>0</v>
      </c>
      <c r="AA42" s="1">
        <f ca="1">IFERROR(INDEX(INDIRECT("Table3[Column"&amp;AA$9&amp;"]"),MATCH($L42,Table3[[Company name]:[Company name]],0)),0)</f>
        <v>29700</v>
      </c>
      <c r="AB42" s="1">
        <f ca="1">IFERROR(INDEX(INDIRECT("Table3[Column"&amp;AB$9&amp;"]"),MATCH($L42,Table3[[Company name]:[Company name]],0)),0)</f>
        <v>10800</v>
      </c>
      <c r="AC42" s="1">
        <f ca="1">IFERROR(INDEX(INDIRECT("Table3[Column"&amp;AC$9&amp;"]"),MATCH($L42,Table3[[Company name]:[Company name]],0)),0)</f>
        <v>44100</v>
      </c>
      <c r="AD42" s="1">
        <f ca="1">IFERROR(INDEX(INDIRECT("Table3[Column"&amp;AD$9&amp;"]"),MATCH($L42,Table3[[Company name]:[Company name]],0)),0)</f>
        <v>36000</v>
      </c>
      <c r="AE42" s="1">
        <f ca="1">IFERROR(INDEX(INDIRECT("Table3[Column"&amp;AE$9&amp;"]"),MATCH($L42,Table3[[Company name]:[Company name]],0)),0)</f>
        <v>0</v>
      </c>
      <c r="AF42" s="1">
        <f ca="1">IFERROR(INDEX(INDIRECT("Table3[Column"&amp;AF$9&amp;"]"),MATCH($L42,Table3[[Company name]:[Company name]],0)),0)</f>
        <v>0</v>
      </c>
      <c r="AG42" s="1">
        <f ca="1">IFERROR(INDEX(INDIRECT("Table3[Column"&amp;AG$9&amp;"]"),MATCH($L42,Table3[[Company name]:[Company name]],0)),0)</f>
        <v>0</v>
      </c>
      <c r="AH42" s="1">
        <f ca="1">IFERROR(INDEX(INDIRECT("Table3[Column"&amp;AH$9&amp;"]"),MATCH($L42,Table3[[Company name]:[Company name]],0)),0)</f>
        <v>0</v>
      </c>
      <c r="AI42" s="1">
        <f t="shared" ca="1" si="6"/>
        <v>373500</v>
      </c>
      <c r="AK42" s="1">
        <f>IF(COUNTIFS($J$7:$J$510,Table7[[#Headers],[Industry Essentials]],$C$7:$C$510,$L42)&gt;0,0,MROUND(R42,100))</f>
        <v>0</v>
      </c>
      <c r="AL42" s="1">
        <f ca="1">IF(COUNTIFS($J$7:$J$510,Table7[[#Headers],[Energy Supply Market Intelligence]],$C$7:$C$510,$L42)&gt;0,0,MROUND(IFERROR(S42*($P42/$AI42),0),100))</f>
        <v>26500</v>
      </c>
      <c r="AM42" s="1">
        <f ca="1">IF(COUNTIFS($J$7:$J$510,Table7[[#Headers],[Energy Supply RTM Analysis]],$C$7:$C$510,$L42)&gt;0,0,MROUND(IFERROR(T42*($P42/$AI42),0),100))</f>
        <v>45300</v>
      </c>
      <c r="AN42" s="1">
        <f>IF(COUNTIFS($J$7:$J$510,Table7[[#Headers],[Energy Supply Forecasts]],$C$7:$C$510,$L42)&gt;0,0,MROUND(IFERROR(U42*($P42/$AI42),0),100))</f>
        <v>0</v>
      </c>
      <c r="AO42" s="1">
        <f ca="1">IF(COUNTIFS($J$7:$J$510,Table7[[#Headers],[Energy Supply Regulation]],$C$7:$C$510,$L42)&gt;0,0,MROUND(IFERROR(V42*($P42/$AI42),0),100))</f>
        <v>34200</v>
      </c>
      <c r="AP42" s="1">
        <f ca="1">IF(COUNTIFS($J$7:$J$510,Table7[[#Headers],[Renewables Market Intelligence]],$C$7:$C$510,$L42)&gt;0,0,MROUND(IFERROR(W42*($P42/$AI42),0),100))</f>
        <v>0</v>
      </c>
      <c r="AQ42" s="1">
        <f ca="1">IF(COUNTIFS($J$7:$J$510,Table7[[#Headers],[Renewables RTM Analysis]],$C$7:$C$510,$L42)&gt;0,0,MROUND(IFERROR(X42*($P42/$AI42),0),100))</f>
        <v>12700</v>
      </c>
      <c r="AR42" s="1">
        <f ca="1">IF(COUNTIFS($J$7:$J$510,Table7[[#Headers],[Renewables Forecasts]],$C$7:$C$510,$L42)&gt;0,0,MROUND(IFERROR(Y42*($P42/$AI42),0),100))</f>
        <v>0</v>
      </c>
      <c r="AS42" s="1">
        <f ca="1">IF(COUNTIFS($J$7:$J$510,Table7[[#Headers],[Renewables Regulation]],$C$7:$C$510,$L42)&gt;0,0,MROUND(IFERROR(Z42*($P42/$AI42),0),100))</f>
        <v>0</v>
      </c>
      <c r="AT42" s="1">
        <f ca="1">IF(COUNTIFS($J$7:$J$510,Table7[[#Headers],[Flexibility Market Intelligence]],$C$7:$C$510,$L42)&gt;0,0,MROUND(IFERROR(AA42*($P42/$AI42),0),100))</f>
        <v>18200</v>
      </c>
      <c r="AU42" s="1">
        <f ca="1">IF(COUNTIFS($J$7:$J$510,Table7[[#Headers],[Flexibility RTM Analysis]],$C$7:$C$510,$L42)&gt;0,0,MROUND(IFERROR(AB42*($P42/$AI42),0),100))</f>
        <v>6600</v>
      </c>
      <c r="AV42" s="1">
        <f ca="1">IF(COUNTIFS($J$7:$J$510,Table7[[#Headers],[Flexibility Forecasts]],$C$7:$C$510,$L42)&gt;0,0,MROUND(IFERROR(AC42*($P42/$AI42),0),100))</f>
        <v>27100</v>
      </c>
      <c r="AW42" s="1">
        <f ca="1">IF(COUNTIFS($J$7:$J$510,Table7[[#Headers],[Flexibility Regulation]],$C$7:$C$510,$L42)&gt;0,0,MROUND(IFERROR(AD42*($P42/$AI42),0),100))</f>
        <v>22100</v>
      </c>
      <c r="AX42" s="1">
        <f ca="1">IF(COUNTIFS($J$7:$J$510,Table7[[#Headers],[Business Energy Essentials]],$C$7:$C$510,$L42)&gt;0,0,MROUND(IFERROR(AE42*($P42/$AI42),0),100))</f>
        <v>0</v>
      </c>
      <c r="AY42" s="1">
        <f ca="1">IF(COUNTIFS($J$7:$J$510,Table7[[#Headers],[Energy User RTM Analysis]],$C$7:$C$510,$L42)&gt;0,0,MROUND(IFERROR(AF42*($P42/$AI42),0),100))</f>
        <v>0</v>
      </c>
      <c r="AZ42" s="1">
        <f ca="1">IF(COUNTIFS($J$7:$J$510,Table7[[#Headers],[Energy User Forecasts]],$C$7:$C$510,$L42)&gt;0,0,MROUND(IFERROR(AG42*($P42/$AI42),0),100))</f>
        <v>0</v>
      </c>
      <c r="BA42" s="1">
        <f ca="1">IF(COUNTIFS($J$7:$J$510,Table7[[#Headers],[Energy User Regulation]],$C$7:$C$510,$L42)&gt;0,0,MROUND(IFERROR(AH42*($P42/$AI42),0),100))</f>
        <v>0</v>
      </c>
    </row>
    <row r="43" spans="2:53">
      <c r="B43" s="38" t="s">
        <v>2078</v>
      </c>
      <c r="C43" s="38" t="s">
        <v>91</v>
      </c>
      <c r="D43" s="38" t="s">
        <v>2035</v>
      </c>
      <c r="E43" s="38" t="s">
        <v>1855</v>
      </c>
      <c r="F43" s="63">
        <v>6000</v>
      </c>
      <c r="G43" s="38"/>
      <c r="H43" s="38" t="s">
        <v>2031</v>
      </c>
      <c r="I43" s="38" t="s">
        <v>2032</v>
      </c>
      <c r="J43" s="38" t="s">
        <v>20</v>
      </c>
      <c r="L43" s="1" t="str">
        <v>Constellation Generation Limited</v>
      </c>
      <c r="M43" s="1" t="str">
        <f t="shared" si="2"/>
        <v>Renewables</v>
      </c>
      <c r="N43" s="109">
        <f t="shared" si="3"/>
        <v>37600</v>
      </c>
      <c r="O43" s="1">
        <f>IFERROR(IF(INDEX(Table3[[Total Spend]:[Total Spend]],MATCH(L43,Table3[[Company name]:[Company name]],0))&gt;N43,INDEX(Table3[[Total Spend]:[Total Spend]],MATCH(L43,Table3[[Company name]:[Company name]])),N43),50000)</f>
        <v>250000</v>
      </c>
      <c r="P43" s="109">
        <f t="shared" si="4"/>
        <v>212400</v>
      </c>
      <c r="Q43" s="103">
        <f t="shared" si="5"/>
        <v>0.15040000000000001</v>
      </c>
      <c r="R43" s="1">
        <f ca="1">IFERROR(INDEX(INDIRECT("Table3[Column"&amp;R$9&amp;"]"),MATCH($L43,Table3[[Company name]:[Company name]],0)),0)</f>
        <v>10800</v>
      </c>
      <c r="S43" s="1">
        <f ca="1">IFERROR(INDEX(INDIRECT("Table3[Column"&amp;S$9&amp;"]"),MATCH($L43,Table3[[Company name]:[Company name]],0)),0)</f>
        <v>0</v>
      </c>
      <c r="T43" s="1">
        <f ca="1">IFERROR(INDEX(INDIRECT("Table3[Column"&amp;T$9&amp;"]"),MATCH($L43,Table3[[Company name]:[Company name]],0)),0)</f>
        <v>73800</v>
      </c>
      <c r="U43" s="1">
        <f ca="1">IFERROR(INDEX(INDIRECT("Table3[Column"&amp;U$9&amp;"]"),MATCH($L43,Table3[[Company name]:[Company name]],0)),0)</f>
        <v>0</v>
      </c>
      <c r="V43" s="1">
        <f ca="1">IFERROR(INDEX(INDIRECT("Table3[Column"&amp;V$9&amp;"]"),MATCH($L43,Table3[[Company name]:[Company name]],0)),0)</f>
        <v>0</v>
      </c>
      <c r="W43" s="1">
        <f ca="1">IFERROR(INDEX(INDIRECT("Table3[Column"&amp;W$9&amp;"]"),MATCH($L43,Table3[[Company name]:[Company name]],0)),0)</f>
        <v>0</v>
      </c>
      <c r="X43" s="1">
        <f ca="1">IFERROR(INDEX(INDIRECT("Table3[Column"&amp;X$9&amp;"]"),MATCH($L43,Table3[[Company name]:[Company name]],0)),0)</f>
        <v>20700</v>
      </c>
      <c r="Y43" s="1">
        <f ca="1">IFERROR(INDEX(INDIRECT("Table3[Column"&amp;Y$9&amp;"]"),MATCH($L43,Table3[[Company name]:[Company name]],0)),0)</f>
        <v>0</v>
      </c>
      <c r="Z43" s="1">
        <f ca="1">IFERROR(INDEX(INDIRECT("Table3[Column"&amp;Z$9&amp;"]"),MATCH($L43,Table3[[Company name]:[Company name]],0)),0)</f>
        <v>0</v>
      </c>
      <c r="AA43" s="1">
        <f ca="1">IFERROR(INDEX(INDIRECT("Table3[Column"&amp;AA$9&amp;"]"),MATCH($L43,Table3[[Company name]:[Company name]],0)),0)</f>
        <v>29700</v>
      </c>
      <c r="AB43" s="1">
        <f ca="1">IFERROR(INDEX(INDIRECT("Table3[Column"&amp;AB$9&amp;"]"),MATCH($L43,Table3[[Company name]:[Company name]],0)),0)</f>
        <v>10800</v>
      </c>
      <c r="AC43" s="1">
        <f ca="1">IFERROR(INDEX(INDIRECT("Table3[Column"&amp;AC$9&amp;"]"),MATCH($L43,Table3[[Company name]:[Company name]],0)),0)</f>
        <v>44100</v>
      </c>
      <c r="AD43" s="1">
        <f ca="1">IFERROR(INDEX(INDIRECT("Table3[Column"&amp;AD$9&amp;"]"),MATCH($L43,Table3[[Company name]:[Company name]],0)),0)</f>
        <v>0</v>
      </c>
      <c r="AE43" s="1">
        <f ca="1">IFERROR(INDEX(INDIRECT("Table3[Column"&amp;AE$9&amp;"]"),MATCH($L43,Table3[[Company name]:[Company name]],0)),0)</f>
        <v>0</v>
      </c>
      <c r="AF43" s="1">
        <f ca="1">IFERROR(INDEX(INDIRECT("Table3[Column"&amp;AF$9&amp;"]"),MATCH($L43,Table3[[Company name]:[Company name]],0)),0)</f>
        <v>0</v>
      </c>
      <c r="AG43" s="1">
        <f ca="1">IFERROR(INDEX(INDIRECT("Table3[Column"&amp;AG$9&amp;"]"),MATCH($L43,Table3[[Company name]:[Company name]],0)),0)</f>
        <v>0</v>
      </c>
      <c r="AH43" s="1">
        <f ca="1">IFERROR(INDEX(INDIRECT("Table3[Column"&amp;AH$9&amp;"]"),MATCH($L43,Table3[[Company name]:[Company name]],0)),0)</f>
        <v>0</v>
      </c>
      <c r="AI43" s="1">
        <f t="shared" ca="1" si="6"/>
        <v>189900</v>
      </c>
      <c r="AK43" s="1">
        <f>IF(COUNTIFS($J$7:$J$510,Table7[[#Headers],[Industry Essentials]],$C$7:$C$510,$L43)&gt;0,0,MROUND(R43,100))</f>
        <v>0</v>
      </c>
      <c r="AL43" s="1">
        <f ca="1">IF(COUNTIFS($J$7:$J$510,Table7[[#Headers],[Energy Supply Market Intelligence]],$C$7:$C$510,$L43)&gt;0,0,MROUND(IFERROR(S43*($P43/$AI43),0),100))</f>
        <v>0</v>
      </c>
      <c r="AM43" s="1">
        <f ca="1">IF(COUNTIFS($J$7:$J$510,Table7[[#Headers],[Energy Supply RTM Analysis]],$C$7:$C$510,$L43)&gt;0,0,MROUND(IFERROR(T43*($P43/$AI43),0),100))</f>
        <v>82500</v>
      </c>
      <c r="AN43" s="1">
        <f ca="1">IF(COUNTIFS($J$7:$J$510,Table7[[#Headers],[Energy Supply Forecasts]],$C$7:$C$510,$L43)&gt;0,0,MROUND(IFERROR(U43*($P43/$AI43),0),100))</f>
        <v>0</v>
      </c>
      <c r="AO43" s="1">
        <f ca="1">IF(COUNTIFS($J$7:$J$510,Table7[[#Headers],[Energy Supply Regulation]],$C$7:$C$510,$L43)&gt;0,0,MROUND(IFERROR(V43*($P43/$AI43),0),100))</f>
        <v>0</v>
      </c>
      <c r="AP43" s="1">
        <f>IF(COUNTIFS($J$7:$J$510,Table7[[#Headers],[Renewables Market Intelligence]],$C$7:$C$510,$L43)&gt;0,0,MROUND(IFERROR(W43*($P43/$AI43),0),100))</f>
        <v>0</v>
      </c>
      <c r="AQ43" s="1">
        <f ca="1">IF(COUNTIFS($J$7:$J$510,Table7[[#Headers],[Renewables RTM Analysis]],$C$7:$C$510,$L43)&gt;0,0,MROUND(IFERROR(X43*($P43/$AI43),0),100))</f>
        <v>23200</v>
      </c>
      <c r="AR43" s="1">
        <f>IF(COUNTIFS($J$7:$J$510,Table7[[#Headers],[Renewables Forecasts]],$C$7:$C$510,$L43)&gt;0,0,MROUND(IFERROR(Y43*($P43/$AI43),0),100))</f>
        <v>0</v>
      </c>
      <c r="AS43" s="1">
        <f ca="1">IF(COUNTIFS($J$7:$J$510,Table7[[#Headers],[Renewables Regulation]],$C$7:$C$510,$L43)&gt;0,0,MROUND(IFERROR(Z43*($P43/$AI43),0),100))</f>
        <v>0</v>
      </c>
      <c r="AT43" s="1">
        <f ca="1">IF(COUNTIFS($J$7:$J$510,Table7[[#Headers],[Flexibility Market Intelligence]],$C$7:$C$510,$L43)&gt;0,0,MROUND(IFERROR(AA43*($P43/$AI43),0),100))</f>
        <v>33200</v>
      </c>
      <c r="AU43" s="1">
        <f ca="1">IF(COUNTIFS($J$7:$J$510,Table7[[#Headers],[Flexibility RTM Analysis]],$C$7:$C$510,$L43)&gt;0,0,MROUND(IFERROR(AB43*($P43/$AI43),0),100))</f>
        <v>12100</v>
      </c>
      <c r="AV43" s="1">
        <f ca="1">IF(COUNTIFS($J$7:$J$510,Table7[[#Headers],[Flexibility Forecasts]],$C$7:$C$510,$L43)&gt;0,0,MROUND(IFERROR(AC43*($P43/$AI43),0),100))</f>
        <v>49300</v>
      </c>
      <c r="AW43" s="1">
        <f ca="1">IF(COUNTIFS($J$7:$J$510,Table7[[#Headers],[Flexibility Regulation]],$C$7:$C$510,$L43)&gt;0,0,MROUND(IFERROR(AD43*($P43/$AI43),0),100))</f>
        <v>0</v>
      </c>
      <c r="AX43" s="1">
        <f ca="1">IF(COUNTIFS($J$7:$J$510,Table7[[#Headers],[Business Energy Essentials]],$C$7:$C$510,$L43)&gt;0,0,MROUND(IFERROR(AE43*($P43/$AI43),0),100))</f>
        <v>0</v>
      </c>
      <c r="AY43" s="1">
        <f ca="1">IF(COUNTIFS($J$7:$J$510,Table7[[#Headers],[Energy User RTM Analysis]],$C$7:$C$510,$L43)&gt;0,0,MROUND(IFERROR(AF43*($P43/$AI43),0),100))</f>
        <v>0</v>
      </c>
      <c r="AZ43" s="1">
        <f ca="1">IF(COUNTIFS($J$7:$J$510,Table7[[#Headers],[Energy User Forecasts]],$C$7:$C$510,$L43)&gt;0,0,MROUND(IFERROR(AG43*($P43/$AI43),0),100))</f>
        <v>0</v>
      </c>
      <c r="BA43" s="1">
        <f ca="1">IF(COUNTIFS($J$7:$J$510,Table7[[#Headers],[Energy User Regulation]],$C$7:$C$510,$L43)&gt;0,0,MROUND(IFERROR(AH43*($P43/$AI43),0),100))</f>
        <v>0</v>
      </c>
    </row>
    <row r="44" spans="2:53">
      <c r="B44" s="38" t="s">
        <v>2078</v>
      </c>
      <c r="C44" s="38" t="s">
        <v>91</v>
      </c>
      <c r="D44" s="38" t="s">
        <v>2083</v>
      </c>
      <c r="E44" s="38" t="s">
        <v>1829</v>
      </c>
      <c r="F44" s="63">
        <v>11500</v>
      </c>
      <c r="G44" s="38"/>
      <c r="H44" s="38" t="s">
        <v>2031</v>
      </c>
      <c r="I44" s="38" t="s">
        <v>2031</v>
      </c>
      <c r="J44" s="38" t="s">
        <v>23</v>
      </c>
      <c r="L44" s="1" t="str">
        <v>Consultus International UK (The Energy Brokers) Limited</v>
      </c>
      <c r="M44" s="1" t="str">
        <f t="shared" si="2"/>
        <v>Supply</v>
      </c>
      <c r="N44" s="109">
        <f t="shared" si="3"/>
        <v>28500</v>
      </c>
      <c r="O44" s="1">
        <f>IFERROR(IF(INDEX(Table3[[Total Spend]:[Total Spend]],MATCH(L44,Table3[[Company name]:[Company name]],0))&gt;N44,INDEX(Table3[[Total Spend]:[Total Spend]],MATCH(L44,Table3[[Company name]:[Company name]])),N44),50000)</f>
        <v>250000</v>
      </c>
      <c r="P44" s="109">
        <f t="shared" si="4"/>
        <v>221500</v>
      </c>
      <c r="Q44" s="103">
        <f t="shared" si="5"/>
        <v>0.114</v>
      </c>
      <c r="R44" s="1">
        <f ca="1">IFERROR(INDEX(INDIRECT("Table3[Column"&amp;R$9&amp;"]"),MATCH($L44,Table3[[Company name]:[Company name]],0)),0)</f>
        <v>10800</v>
      </c>
      <c r="S44" s="1">
        <f ca="1">IFERROR(INDEX(INDIRECT("Table3[Column"&amp;S$9&amp;"]"),MATCH($L44,Table3[[Company name]:[Company name]],0)),0)</f>
        <v>43200</v>
      </c>
      <c r="T44" s="1">
        <f ca="1">IFERROR(INDEX(INDIRECT("Table3[Column"&amp;T$9&amp;"]"),MATCH($L44,Table3[[Company name]:[Company name]],0)),0)</f>
        <v>73800</v>
      </c>
      <c r="U44" s="1">
        <f ca="1">IFERROR(INDEX(INDIRECT("Table3[Column"&amp;U$9&amp;"]"),MATCH($L44,Table3[[Company name]:[Company name]],0)),0)</f>
        <v>48600</v>
      </c>
      <c r="V44" s="1">
        <f ca="1">IFERROR(INDEX(INDIRECT("Table3[Column"&amp;V$9&amp;"]"),MATCH($L44,Table3[[Company name]:[Company name]],0)),0)</f>
        <v>0</v>
      </c>
      <c r="W44" s="1">
        <f ca="1">IFERROR(INDEX(INDIRECT("Table3[Column"&amp;W$9&amp;"]"),MATCH($L44,Table3[[Company name]:[Company name]],0)),0)</f>
        <v>0</v>
      </c>
      <c r="X44" s="1">
        <f ca="1">IFERROR(INDEX(INDIRECT("Table3[Column"&amp;X$9&amp;"]"),MATCH($L44,Table3[[Company name]:[Company name]],0)),0)</f>
        <v>0</v>
      </c>
      <c r="Y44" s="1">
        <f ca="1">IFERROR(INDEX(INDIRECT("Table3[Column"&amp;Y$9&amp;"]"),MATCH($L44,Table3[[Company name]:[Company name]],0)),0)</f>
        <v>0</v>
      </c>
      <c r="Z44" s="1">
        <f ca="1">IFERROR(INDEX(INDIRECT("Table3[Column"&amp;Z$9&amp;"]"),MATCH($L44,Table3[[Company name]:[Company name]],0)),0)</f>
        <v>0</v>
      </c>
      <c r="AA44" s="1">
        <f ca="1">IFERROR(INDEX(INDIRECT("Table3[Column"&amp;AA$9&amp;"]"),MATCH($L44,Table3[[Company name]:[Company name]],0)),0)</f>
        <v>0</v>
      </c>
      <c r="AB44" s="1">
        <f ca="1">IFERROR(INDEX(INDIRECT("Table3[Column"&amp;AB$9&amp;"]"),MATCH($L44,Table3[[Company name]:[Company name]],0)),0)</f>
        <v>0</v>
      </c>
      <c r="AC44" s="1">
        <f ca="1">IFERROR(INDEX(INDIRECT("Table3[Column"&amp;AC$9&amp;"]"),MATCH($L44,Table3[[Company name]:[Company name]],0)),0)</f>
        <v>0</v>
      </c>
      <c r="AD44" s="1">
        <f ca="1">IFERROR(INDEX(INDIRECT("Table3[Column"&amp;AD$9&amp;"]"),MATCH($L44,Table3[[Company name]:[Company name]],0)),0)</f>
        <v>0</v>
      </c>
      <c r="AE44" s="1">
        <f ca="1">IFERROR(INDEX(INDIRECT("Table3[Column"&amp;AE$9&amp;"]"),MATCH($L44,Table3[[Company name]:[Company name]],0)),0)</f>
        <v>0</v>
      </c>
      <c r="AF44" s="1">
        <f ca="1">IFERROR(INDEX(INDIRECT("Table3[Column"&amp;AF$9&amp;"]"),MATCH($L44,Table3[[Company name]:[Company name]],0)),0)</f>
        <v>15750</v>
      </c>
      <c r="AG44" s="1">
        <f ca="1">IFERROR(INDEX(INDIRECT("Table3[Column"&amp;AG$9&amp;"]"),MATCH($L44,Table3[[Company name]:[Company name]],0)),0)</f>
        <v>0</v>
      </c>
      <c r="AH44" s="1">
        <f ca="1">IFERROR(INDEX(INDIRECT("Table3[Column"&amp;AH$9&amp;"]"),MATCH($L44,Table3[[Company name]:[Company name]],0)),0)</f>
        <v>0</v>
      </c>
      <c r="AI44" s="1">
        <f t="shared" ca="1" si="6"/>
        <v>192150</v>
      </c>
      <c r="AK44" s="1">
        <f ca="1">IF(COUNTIFS($J$7:$J$510,Table7[[#Headers],[Industry Essentials]],$C$7:$C$510,$L44)&gt;0,0,MROUND(R44,100))</f>
        <v>10800</v>
      </c>
      <c r="AL44" s="1">
        <f ca="1">IF(COUNTIFS($J$7:$J$510,Table7[[#Headers],[Energy Supply Market Intelligence]],$C$7:$C$510,$L44)&gt;0,0,MROUND(IFERROR(S44*($P44/$AI44),0),100))</f>
        <v>49800</v>
      </c>
      <c r="AM44" s="1">
        <f>IF(COUNTIFS($J$7:$J$510,Table7[[#Headers],[Energy Supply RTM Analysis]],$C$7:$C$510,$L44)&gt;0,0,MROUND(IFERROR(T44*($P44/$AI44),0),100))</f>
        <v>0</v>
      </c>
      <c r="AN44" s="1">
        <f>IF(COUNTIFS($J$7:$J$510,Table7[[#Headers],[Energy Supply Forecasts]],$C$7:$C$510,$L44)&gt;0,0,MROUND(IFERROR(U44*($P44/$AI44),0),100))</f>
        <v>0</v>
      </c>
      <c r="AO44" s="1">
        <f ca="1">IF(COUNTIFS($J$7:$J$510,Table7[[#Headers],[Energy Supply Regulation]],$C$7:$C$510,$L44)&gt;0,0,MROUND(IFERROR(V44*($P44/$AI44),0),100))</f>
        <v>0</v>
      </c>
      <c r="AP44" s="1">
        <f ca="1">IF(COUNTIFS($J$7:$J$510,Table7[[#Headers],[Renewables Market Intelligence]],$C$7:$C$510,$L44)&gt;0,0,MROUND(IFERROR(W44*($P44/$AI44),0),100))</f>
        <v>0</v>
      </c>
      <c r="AQ44" s="1">
        <f ca="1">IF(COUNTIFS($J$7:$J$510,Table7[[#Headers],[Renewables RTM Analysis]],$C$7:$C$510,$L44)&gt;0,0,MROUND(IFERROR(X44*($P44/$AI44),0),100))</f>
        <v>0</v>
      </c>
      <c r="AR44" s="1">
        <f ca="1">IF(COUNTIFS($J$7:$J$510,Table7[[#Headers],[Renewables Forecasts]],$C$7:$C$510,$L44)&gt;0,0,MROUND(IFERROR(Y44*($P44/$AI44),0),100))</f>
        <v>0</v>
      </c>
      <c r="AS44" s="1">
        <f ca="1">IF(COUNTIFS($J$7:$J$510,Table7[[#Headers],[Renewables Regulation]],$C$7:$C$510,$L44)&gt;0,0,MROUND(IFERROR(Z44*($P44/$AI44),0),100))</f>
        <v>0</v>
      </c>
      <c r="AT44" s="1">
        <f ca="1">IF(COUNTIFS($J$7:$J$510,Table7[[#Headers],[Flexibility Market Intelligence]],$C$7:$C$510,$L44)&gt;0,0,MROUND(IFERROR(AA44*($P44/$AI44),0),100))</f>
        <v>0</v>
      </c>
      <c r="AU44" s="1">
        <f ca="1">IF(COUNTIFS($J$7:$J$510,Table7[[#Headers],[Flexibility RTM Analysis]],$C$7:$C$510,$L44)&gt;0,0,MROUND(IFERROR(AB44*($P44/$AI44),0),100))</f>
        <v>0</v>
      </c>
      <c r="AV44" s="1">
        <f ca="1">IF(COUNTIFS($J$7:$J$510,Table7[[#Headers],[Flexibility Forecasts]],$C$7:$C$510,$L44)&gt;0,0,MROUND(IFERROR(AC44*($P44/$AI44),0),100))</f>
        <v>0</v>
      </c>
      <c r="AW44" s="1">
        <f ca="1">IF(COUNTIFS($J$7:$J$510,Table7[[#Headers],[Flexibility Regulation]],$C$7:$C$510,$L44)&gt;0,0,MROUND(IFERROR(AD44*($P44/$AI44),0),100))</f>
        <v>0</v>
      </c>
      <c r="AX44" s="1">
        <f ca="1">IF(COUNTIFS($J$7:$J$510,Table7[[#Headers],[Business Energy Essentials]],$C$7:$C$510,$L44)&gt;0,0,MROUND(IFERROR(AE44*($P44/$AI44),0),100))</f>
        <v>0</v>
      </c>
      <c r="AY44" s="1">
        <f ca="1">IF(COUNTIFS($J$7:$J$510,Table7[[#Headers],[Energy User RTM Analysis]],$C$7:$C$510,$L44)&gt;0,0,MROUND(IFERROR(AF44*($P44/$AI44),0),100))</f>
        <v>18200</v>
      </c>
      <c r="AZ44" s="1">
        <f ca="1">IF(COUNTIFS($J$7:$J$510,Table7[[#Headers],[Energy User Forecasts]],$C$7:$C$510,$L44)&gt;0,0,MROUND(IFERROR(AG44*($P44/$AI44),0),100))</f>
        <v>0</v>
      </c>
      <c r="BA44" s="1">
        <f ca="1">IF(COUNTIFS($J$7:$J$510,Table7[[#Headers],[Energy User Regulation]],$C$7:$C$510,$L44)&gt;0,0,MROUND(IFERROR(AH44*($P44/$AI44),0),100))</f>
        <v>0</v>
      </c>
    </row>
    <row r="45" spans="2:53">
      <c r="B45" s="38" t="s">
        <v>2078</v>
      </c>
      <c r="C45" s="38" t="s">
        <v>91</v>
      </c>
      <c r="D45" s="38" t="s">
        <v>2084</v>
      </c>
      <c r="E45" s="38" t="s">
        <v>1822</v>
      </c>
      <c r="F45" s="63">
        <v>5000</v>
      </c>
      <c r="G45" s="38"/>
      <c r="H45" s="38" t="s">
        <v>2031</v>
      </c>
      <c r="I45" s="38" t="s">
        <v>2031</v>
      </c>
      <c r="J45" s="38" t="s">
        <v>23</v>
      </c>
      <c r="L45" s="1" t="str">
        <v>Co-operative Group Ltd</v>
      </c>
      <c r="M45" s="1" t="str">
        <f t="shared" si="2"/>
        <v>Supply</v>
      </c>
      <c r="N45" s="109">
        <f t="shared" si="3"/>
        <v>37900</v>
      </c>
      <c r="O45" s="1">
        <f>IFERROR(IF(INDEX(Table3[[Total Spend]:[Total Spend]],MATCH(L45,Table3[[Company name]:[Company name]],0))&gt;N45,INDEX(Table3[[Total Spend]:[Total Spend]],MATCH(L45,Table3[[Company name]:[Company name]])),N45),50000)</f>
        <v>250000</v>
      </c>
      <c r="P45" s="109">
        <f t="shared" si="4"/>
        <v>212100</v>
      </c>
      <c r="Q45" s="103">
        <f t="shared" si="5"/>
        <v>0.15160000000000001</v>
      </c>
      <c r="R45" s="1">
        <f ca="1">IFERROR(INDEX(INDIRECT("Table3[Column"&amp;R$9&amp;"]"),MATCH($L45,Table3[[Company name]:[Company name]],0)),0)</f>
        <v>0</v>
      </c>
      <c r="S45" s="1">
        <f ca="1">IFERROR(INDEX(INDIRECT("Table3[Column"&amp;S$9&amp;"]"),MATCH($L45,Table3[[Company name]:[Company name]],0)),0)</f>
        <v>0</v>
      </c>
      <c r="T45" s="1">
        <f ca="1">IFERROR(INDEX(INDIRECT("Table3[Column"&amp;T$9&amp;"]"),MATCH($L45,Table3[[Company name]:[Company name]],0)),0)</f>
        <v>0</v>
      </c>
      <c r="U45" s="1">
        <f ca="1">IFERROR(INDEX(INDIRECT("Table3[Column"&amp;U$9&amp;"]"),MATCH($L45,Table3[[Company name]:[Company name]],0)),0)</f>
        <v>0</v>
      </c>
      <c r="V45" s="1">
        <f ca="1">IFERROR(INDEX(INDIRECT("Table3[Column"&amp;V$9&amp;"]"),MATCH($L45,Table3[[Company name]:[Company name]],0)),0)</f>
        <v>0</v>
      </c>
      <c r="W45" s="1">
        <f ca="1">IFERROR(INDEX(INDIRECT("Table3[Column"&amp;W$9&amp;"]"),MATCH($L45,Table3[[Company name]:[Company name]],0)),0)</f>
        <v>0</v>
      </c>
      <c r="X45" s="1">
        <f ca="1">IFERROR(INDEX(INDIRECT("Table3[Column"&amp;X$9&amp;"]"),MATCH($L45,Table3[[Company name]:[Company name]],0)),0)</f>
        <v>0</v>
      </c>
      <c r="Y45" s="1">
        <f ca="1">IFERROR(INDEX(INDIRECT("Table3[Column"&amp;Y$9&amp;"]"),MATCH($L45,Table3[[Company name]:[Company name]],0)),0)</f>
        <v>0</v>
      </c>
      <c r="Z45" s="1">
        <f ca="1">IFERROR(INDEX(INDIRECT("Table3[Column"&amp;Z$9&amp;"]"),MATCH($L45,Table3[[Company name]:[Company name]],0)),0)</f>
        <v>0</v>
      </c>
      <c r="AA45" s="1">
        <f ca="1">IFERROR(INDEX(INDIRECT("Table3[Column"&amp;AA$9&amp;"]"),MATCH($L45,Table3[[Company name]:[Company name]],0)),0)</f>
        <v>0</v>
      </c>
      <c r="AB45" s="1">
        <f ca="1">IFERROR(INDEX(INDIRECT("Table3[Column"&amp;AB$9&amp;"]"),MATCH($L45,Table3[[Company name]:[Company name]],0)),0)</f>
        <v>0</v>
      </c>
      <c r="AC45" s="1">
        <f ca="1">IFERROR(INDEX(INDIRECT("Table3[Column"&amp;AC$9&amp;"]"),MATCH($L45,Table3[[Company name]:[Company name]],0)),0)</f>
        <v>0</v>
      </c>
      <c r="AD45" s="1">
        <f ca="1">IFERROR(INDEX(INDIRECT("Table3[Column"&amp;AD$9&amp;"]"),MATCH($L45,Table3[[Company name]:[Company name]],0)),0)</f>
        <v>0</v>
      </c>
      <c r="AE45" s="1">
        <f ca="1">IFERROR(INDEX(INDIRECT("Table3[Column"&amp;AE$9&amp;"]"),MATCH($L45,Table3[[Company name]:[Company name]],0)),0)</f>
        <v>15300</v>
      </c>
      <c r="AF45" s="1">
        <f ca="1">IFERROR(INDEX(INDIRECT("Table3[Column"&amp;AF$9&amp;"]"),MATCH($L45,Table3[[Company name]:[Company name]],0)),0)</f>
        <v>15750</v>
      </c>
      <c r="AG45" s="1">
        <f ca="1">IFERROR(INDEX(INDIRECT("Table3[Column"&amp;AG$9&amp;"]"),MATCH($L45,Table3[[Company name]:[Company name]],0)),0)</f>
        <v>27000</v>
      </c>
      <c r="AH45" s="1">
        <f ca="1">IFERROR(INDEX(INDIRECT("Table3[Column"&amp;AH$9&amp;"]"),MATCH($L45,Table3[[Company name]:[Company name]],0)),0)</f>
        <v>6300</v>
      </c>
      <c r="AI45" s="1">
        <f t="shared" ca="1" si="6"/>
        <v>64350</v>
      </c>
      <c r="AK45" s="1">
        <f>IF(COUNTIFS($J$7:$J$510,Table7[[#Headers],[Industry Essentials]],$C$7:$C$510,$L45)&gt;0,0,MROUND(R45,100))</f>
        <v>0</v>
      </c>
      <c r="AL45" s="1">
        <f ca="1">IF(COUNTIFS($J$7:$J$510,Table7[[#Headers],[Energy Supply Market Intelligence]],$C$7:$C$510,$L45)&gt;0,0,MROUND(IFERROR(S45*($P45/$AI45),0),100))</f>
        <v>0</v>
      </c>
      <c r="AM45" s="1">
        <f ca="1">IF(COUNTIFS($J$7:$J$510,Table7[[#Headers],[Energy Supply RTM Analysis]],$C$7:$C$510,$L45)&gt;0,0,MROUND(IFERROR(T45*($P45/$AI45),0),100))</f>
        <v>0</v>
      </c>
      <c r="AN45" s="1">
        <f>IF(COUNTIFS($J$7:$J$510,Table7[[#Headers],[Energy Supply Forecasts]],$C$7:$C$510,$L45)&gt;0,0,MROUND(IFERROR(U45*($P45/$AI45),0),100))</f>
        <v>0</v>
      </c>
      <c r="AO45" s="1">
        <f ca="1">IF(COUNTIFS($J$7:$J$510,Table7[[#Headers],[Energy Supply Regulation]],$C$7:$C$510,$L45)&gt;0,0,MROUND(IFERROR(V45*($P45/$AI45),0),100))</f>
        <v>0</v>
      </c>
      <c r="AP45" s="1">
        <f ca="1">IF(COUNTIFS($J$7:$J$510,Table7[[#Headers],[Renewables Market Intelligence]],$C$7:$C$510,$L45)&gt;0,0,MROUND(IFERROR(W45*($P45/$AI45),0),100))</f>
        <v>0</v>
      </c>
      <c r="AQ45" s="1">
        <f ca="1">IF(COUNTIFS($J$7:$J$510,Table7[[#Headers],[Renewables RTM Analysis]],$C$7:$C$510,$L45)&gt;0,0,MROUND(IFERROR(X45*($P45/$AI45),0),100))</f>
        <v>0</v>
      </c>
      <c r="AR45" s="1">
        <f>IF(COUNTIFS($J$7:$J$510,Table7[[#Headers],[Renewables Forecasts]],$C$7:$C$510,$L45)&gt;0,0,MROUND(IFERROR(Y45*($P45/$AI45),0),100))</f>
        <v>0</v>
      </c>
      <c r="AS45" s="1">
        <f ca="1">IF(COUNTIFS($J$7:$J$510,Table7[[#Headers],[Renewables Regulation]],$C$7:$C$510,$L45)&gt;0,0,MROUND(IFERROR(Z45*($P45/$AI45),0),100))</f>
        <v>0</v>
      </c>
      <c r="AT45" s="1">
        <f ca="1">IF(COUNTIFS($J$7:$J$510,Table7[[#Headers],[Flexibility Market Intelligence]],$C$7:$C$510,$L45)&gt;0,0,MROUND(IFERROR(AA45*($P45/$AI45),0),100))</f>
        <v>0</v>
      </c>
      <c r="AU45" s="1">
        <f ca="1">IF(COUNTIFS($J$7:$J$510,Table7[[#Headers],[Flexibility RTM Analysis]],$C$7:$C$510,$L45)&gt;0,0,MROUND(IFERROR(AB45*($P45/$AI45),0),100))</f>
        <v>0</v>
      </c>
      <c r="AV45" s="1">
        <f ca="1">IF(COUNTIFS($J$7:$J$510,Table7[[#Headers],[Flexibility Forecasts]],$C$7:$C$510,$L45)&gt;0,0,MROUND(IFERROR(AC45*($P45/$AI45),0),100))</f>
        <v>0</v>
      </c>
      <c r="AW45" s="1">
        <f ca="1">IF(COUNTIFS($J$7:$J$510,Table7[[#Headers],[Flexibility Regulation]],$C$7:$C$510,$L45)&gt;0,0,MROUND(IFERROR(AD45*($P45/$AI45),0),100))</f>
        <v>0</v>
      </c>
      <c r="AX45" s="1">
        <f ca="1">IF(COUNTIFS($J$7:$J$510,Table7[[#Headers],[Business Energy Essentials]],$C$7:$C$510,$L45)&gt;0,0,MROUND(IFERROR(AE45*($P45/$AI45),0),100))</f>
        <v>50400</v>
      </c>
      <c r="AY45" s="1">
        <f ca="1">IF(COUNTIFS($J$7:$J$510,Table7[[#Headers],[Energy User RTM Analysis]],$C$7:$C$510,$L45)&gt;0,0,MROUND(IFERROR(AF45*($P45/$AI45),0),100))</f>
        <v>51900</v>
      </c>
      <c r="AZ45" s="1">
        <f ca="1">IF(COUNTIFS($J$7:$J$510,Table7[[#Headers],[Energy User Forecasts]],$C$7:$C$510,$L45)&gt;0,0,MROUND(IFERROR(AG45*($P45/$AI45),0),100))</f>
        <v>89000</v>
      </c>
      <c r="BA45" s="1">
        <f ca="1">IF(COUNTIFS($J$7:$J$510,Table7[[#Headers],[Energy User Regulation]],$C$7:$C$510,$L45)&gt;0,0,MROUND(IFERROR(AH45*($P45/$AI45),0),100))</f>
        <v>20800</v>
      </c>
    </row>
    <row r="46" spans="2:53">
      <c r="B46" s="38" t="s">
        <v>2078</v>
      </c>
      <c r="C46" s="38" t="s">
        <v>91</v>
      </c>
      <c r="D46" s="38" t="s">
        <v>2057</v>
      </c>
      <c r="E46" s="38" t="s">
        <v>1826</v>
      </c>
      <c r="F46" s="63">
        <v>6000</v>
      </c>
      <c r="G46" s="38"/>
      <c r="H46" s="38" t="s">
        <v>2031</v>
      </c>
      <c r="I46" s="38" t="s">
        <v>1702</v>
      </c>
      <c r="J46" s="38" t="s">
        <v>27</v>
      </c>
      <c r="L46" s="1" t="str">
        <v>Copenhagen Infrastructure Partners</v>
      </c>
      <c r="M46" s="1" t="str">
        <f t="shared" si="2"/>
        <v>Supply</v>
      </c>
      <c r="N46" s="109">
        <f t="shared" si="3"/>
        <v>5500</v>
      </c>
      <c r="O46" s="1">
        <f>IFERROR(IF(INDEX(Table3[[Total Spend]:[Total Spend]],MATCH(L46,Table3[[Company name]:[Company name]],0))&gt;N46,INDEX(Table3[[Total Spend]:[Total Spend]],MATCH(L46,Table3[[Company name]:[Company name]])),N46),50000)</f>
        <v>250000</v>
      </c>
      <c r="P46" s="109">
        <f t="shared" si="4"/>
        <v>244500</v>
      </c>
      <c r="Q46" s="103">
        <f t="shared" si="5"/>
        <v>2.1999999999999999E-2</v>
      </c>
      <c r="R46" s="1">
        <f ca="1">IFERROR(INDEX(INDIRECT("Table3[Column"&amp;R$9&amp;"]"),MATCH($L46,Table3[[Company name]:[Company name]],0)),0)</f>
        <v>10800</v>
      </c>
      <c r="S46" s="1">
        <f ca="1">IFERROR(INDEX(INDIRECT("Table3[Column"&amp;S$9&amp;"]"),MATCH($L46,Table3[[Company name]:[Company name]],0)),0)</f>
        <v>0</v>
      </c>
      <c r="T46" s="1">
        <f ca="1">IFERROR(INDEX(INDIRECT("Table3[Column"&amp;T$9&amp;"]"),MATCH($L46,Table3[[Company name]:[Company name]],0)),0)</f>
        <v>0</v>
      </c>
      <c r="U46" s="1">
        <f ca="1">IFERROR(INDEX(INDIRECT("Table3[Column"&amp;U$9&amp;"]"),MATCH($L46,Table3[[Company name]:[Company name]],0)),0)</f>
        <v>0</v>
      </c>
      <c r="V46" s="1">
        <f ca="1">IFERROR(INDEX(INDIRECT("Table3[Column"&amp;V$9&amp;"]"),MATCH($L46,Table3[[Company name]:[Company name]],0)),0)</f>
        <v>0</v>
      </c>
      <c r="W46" s="1">
        <f ca="1">IFERROR(INDEX(INDIRECT("Table3[Column"&amp;W$9&amp;"]"),MATCH($L46,Table3[[Company name]:[Company name]],0)),0)</f>
        <v>23400</v>
      </c>
      <c r="X46" s="1">
        <f ca="1">IFERROR(INDEX(INDIRECT("Table3[Column"&amp;X$9&amp;"]"),MATCH($L46,Table3[[Company name]:[Company name]],0)),0)</f>
        <v>20700</v>
      </c>
      <c r="Y46" s="1">
        <f ca="1">IFERROR(INDEX(INDIRECT("Table3[Column"&amp;Y$9&amp;"]"),MATCH($L46,Table3[[Company name]:[Company name]],0)),0)</f>
        <v>59400</v>
      </c>
      <c r="Z46" s="1">
        <f ca="1">IFERROR(INDEX(INDIRECT("Table3[Column"&amp;Z$9&amp;"]"),MATCH($L46,Table3[[Company name]:[Company name]],0)),0)</f>
        <v>26100</v>
      </c>
      <c r="AA46" s="1">
        <f ca="1">IFERROR(INDEX(INDIRECT("Table3[Column"&amp;AA$9&amp;"]"),MATCH($L46,Table3[[Company name]:[Company name]],0)),0)</f>
        <v>29700</v>
      </c>
      <c r="AB46" s="1">
        <f ca="1">IFERROR(INDEX(INDIRECT("Table3[Column"&amp;AB$9&amp;"]"),MATCH($L46,Table3[[Company name]:[Company name]],0)),0)</f>
        <v>0</v>
      </c>
      <c r="AC46" s="1">
        <f ca="1">IFERROR(INDEX(INDIRECT("Table3[Column"&amp;AC$9&amp;"]"),MATCH($L46,Table3[[Company name]:[Company name]],0)),0)</f>
        <v>44100</v>
      </c>
      <c r="AD46" s="1">
        <f ca="1">IFERROR(INDEX(INDIRECT("Table3[Column"&amp;AD$9&amp;"]"),MATCH($L46,Table3[[Company name]:[Company name]],0)),0)</f>
        <v>0</v>
      </c>
      <c r="AE46" s="1">
        <f ca="1">IFERROR(INDEX(INDIRECT("Table3[Column"&amp;AE$9&amp;"]"),MATCH($L46,Table3[[Company name]:[Company name]],0)),0)</f>
        <v>0</v>
      </c>
      <c r="AF46" s="1">
        <f ca="1">IFERROR(INDEX(INDIRECT("Table3[Column"&amp;AF$9&amp;"]"),MATCH($L46,Table3[[Company name]:[Company name]],0)),0)</f>
        <v>0</v>
      </c>
      <c r="AG46" s="1">
        <f ca="1">IFERROR(INDEX(INDIRECT("Table3[Column"&amp;AG$9&amp;"]"),MATCH($L46,Table3[[Company name]:[Company name]],0)),0)</f>
        <v>0</v>
      </c>
      <c r="AH46" s="1">
        <f ca="1">IFERROR(INDEX(INDIRECT("Table3[Column"&amp;AH$9&amp;"]"),MATCH($L46,Table3[[Company name]:[Company name]],0)),0)</f>
        <v>0</v>
      </c>
      <c r="AI46" s="1">
        <f t="shared" ca="1" si="6"/>
        <v>214200</v>
      </c>
      <c r="AK46" s="1">
        <f>IF(COUNTIFS($J$7:$J$510,Table7[[#Headers],[Industry Essentials]],$C$7:$C$510,$L46)&gt;0,0,MROUND(R46,100))</f>
        <v>0</v>
      </c>
      <c r="AL46" s="1">
        <f ca="1">IF(COUNTIFS($J$7:$J$510,Table7[[#Headers],[Energy Supply Market Intelligence]],$C$7:$C$510,$L46)&gt;0,0,MROUND(IFERROR(S46*($P46/$AI46),0),100))</f>
        <v>0</v>
      </c>
      <c r="AM46" s="1">
        <f ca="1">IF(COUNTIFS($J$7:$J$510,Table7[[#Headers],[Energy Supply RTM Analysis]],$C$7:$C$510,$L46)&gt;0,0,MROUND(IFERROR(T46*($P46/$AI46),0),100))</f>
        <v>0</v>
      </c>
      <c r="AN46" s="1">
        <f ca="1">IF(COUNTIFS($J$7:$J$510,Table7[[#Headers],[Energy Supply Forecasts]],$C$7:$C$510,$L46)&gt;0,0,MROUND(IFERROR(U46*($P46/$AI46),0),100))</f>
        <v>0</v>
      </c>
      <c r="AO46" s="1">
        <f ca="1">IF(COUNTIFS($J$7:$J$510,Table7[[#Headers],[Energy Supply Regulation]],$C$7:$C$510,$L46)&gt;0,0,MROUND(IFERROR(V46*($P46/$AI46),0),100))</f>
        <v>0</v>
      </c>
      <c r="AP46" s="1">
        <f ca="1">IF(COUNTIFS($J$7:$J$510,Table7[[#Headers],[Renewables Market Intelligence]],$C$7:$C$510,$L46)&gt;0,0,MROUND(IFERROR(W46*($P46/$AI46),0),100))</f>
        <v>26700</v>
      </c>
      <c r="AQ46" s="1">
        <f ca="1">IF(COUNTIFS($J$7:$J$510,Table7[[#Headers],[Renewables RTM Analysis]],$C$7:$C$510,$L46)&gt;0,0,MROUND(IFERROR(X46*($P46/$AI46),0),100))</f>
        <v>23600</v>
      </c>
      <c r="AR46" s="1">
        <f ca="1">IF(COUNTIFS($J$7:$J$510,Table7[[#Headers],[Renewables Forecasts]],$C$7:$C$510,$L46)&gt;0,0,MROUND(IFERROR(Y46*($P46/$AI46),0),100))</f>
        <v>67800</v>
      </c>
      <c r="AS46" s="1">
        <f ca="1">IF(COUNTIFS($J$7:$J$510,Table7[[#Headers],[Renewables Regulation]],$C$7:$C$510,$L46)&gt;0,0,MROUND(IFERROR(Z46*($P46/$AI46),0),100))</f>
        <v>29800</v>
      </c>
      <c r="AT46" s="1">
        <f ca="1">IF(COUNTIFS($J$7:$J$510,Table7[[#Headers],[Flexibility Market Intelligence]],$C$7:$C$510,$L46)&gt;0,0,MROUND(IFERROR(AA46*($P46/$AI46),0),100))</f>
        <v>33900</v>
      </c>
      <c r="AU46" s="1">
        <f ca="1">IF(COUNTIFS($J$7:$J$510,Table7[[#Headers],[Flexibility RTM Analysis]],$C$7:$C$510,$L46)&gt;0,0,MROUND(IFERROR(AB46*($P46/$AI46),0),100))</f>
        <v>0</v>
      </c>
      <c r="AV46" s="1">
        <f ca="1">IF(COUNTIFS($J$7:$J$510,Table7[[#Headers],[Flexibility Forecasts]],$C$7:$C$510,$L46)&gt;0,0,MROUND(IFERROR(AC46*($P46/$AI46),0),100))</f>
        <v>50300</v>
      </c>
      <c r="AW46" s="1">
        <f ca="1">IF(COUNTIFS($J$7:$J$510,Table7[[#Headers],[Flexibility Regulation]],$C$7:$C$510,$L46)&gt;0,0,MROUND(IFERROR(AD46*($P46/$AI46),0),100))</f>
        <v>0</v>
      </c>
      <c r="AX46" s="1">
        <f ca="1">IF(COUNTIFS($J$7:$J$510,Table7[[#Headers],[Business Energy Essentials]],$C$7:$C$510,$L46)&gt;0,0,MROUND(IFERROR(AE46*($P46/$AI46),0),100))</f>
        <v>0</v>
      </c>
      <c r="AY46" s="1">
        <f ca="1">IF(COUNTIFS($J$7:$J$510,Table7[[#Headers],[Energy User RTM Analysis]],$C$7:$C$510,$L46)&gt;0,0,MROUND(IFERROR(AF46*($P46/$AI46),0),100))</f>
        <v>0</v>
      </c>
      <c r="AZ46" s="1">
        <f ca="1">IF(COUNTIFS($J$7:$J$510,Table7[[#Headers],[Energy User Forecasts]],$C$7:$C$510,$L46)&gt;0,0,MROUND(IFERROR(AG46*($P46/$AI46),0),100))</f>
        <v>0</v>
      </c>
      <c r="BA46" s="1">
        <f ca="1">IF(COUNTIFS($J$7:$J$510,Table7[[#Headers],[Energy User Regulation]],$C$7:$C$510,$L46)&gt;0,0,MROUND(IFERROR(AH46*($P46/$AI46),0),100))</f>
        <v>0</v>
      </c>
    </row>
    <row r="47" spans="2:53">
      <c r="B47" s="38" t="s">
        <v>2078</v>
      </c>
      <c r="C47" s="38" t="s">
        <v>91</v>
      </c>
      <c r="D47" s="38" t="s">
        <v>2085</v>
      </c>
      <c r="E47" s="38" t="s">
        <v>1842</v>
      </c>
      <c r="F47" s="63">
        <v>5990</v>
      </c>
      <c r="G47" s="38"/>
      <c r="H47" s="38" t="s">
        <v>2031</v>
      </c>
      <c r="I47" s="38" t="s">
        <v>2031</v>
      </c>
      <c r="J47" s="38" t="s">
        <v>24</v>
      </c>
      <c r="L47" s="1" t="str">
        <v>Corona Energy Retail 1 Ltd</v>
      </c>
      <c r="M47" s="1" t="str">
        <f t="shared" si="2"/>
        <v>Supply</v>
      </c>
      <c r="N47" s="109">
        <f t="shared" si="3"/>
        <v>82400</v>
      </c>
      <c r="O47" s="1">
        <f>IFERROR(IF(INDEX(Table3[[Total Spend]:[Total Spend]],MATCH(L47,Table3[[Company name]:[Company name]],0))&gt;N47,INDEX(Table3[[Total Spend]:[Total Spend]],MATCH(L47,Table3[[Company name]:[Company name]])),N47),50000)</f>
        <v>250000</v>
      </c>
      <c r="P47" s="109">
        <f t="shared" si="4"/>
        <v>167600</v>
      </c>
      <c r="Q47" s="103">
        <f t="shared" si="5"/>
        <v>0.3296</v>
      </c>
      <c r="R47" s="1">
        <f ca="1">IFERROR(INDEX(INDIRECT("Table3[Column"&amp;R$9&amp;"]"),MATCH($L47,Table3[[Company name]:[Company name]],0)),0)</f>
        <v>10800</v>
      </c>
      <c r="S47" s="1">
        <f ca="1">IFERROR(INDEX(INDIRECT("Table3[Column"&amp;S$9&amp;"]"),MATCH($L47,Table3[[Company name]:[Company name]],0)),0)</f>
        <v>43200</v>
      </c>
      <c r="T47" s="1">
        <f ca="1">IFERROR(INDEX(INDIRECT("Table3[Column"&amp;T$9&amp;"]"),MATCH($L47,Table3[[Company name]:[Company name]],0)),0)</f>
        <v>73800</v>
      </c>
      <c r="U47" s="1">
        <f ca="1">IFERROR(INDEX(INDIRECT("Table3[Column"&amp;U$9&amp;"]"),MATCH($L47,Table3[[Company name]:[Company name]],0)),0)</f>
        <v>48600</v>
      </c>
      <c r="V47" s="1">
        <f ca="1">IFERROR(INDEX(INDIRECT("Table3[Column"&amp;V$9&amp;"]"),MATCH($L47,Table3[[Company name]:[Company name]],0)),0)</f>
        <v>55800</v>
      </c>
      <c r="W47" s="1">
        <f ca="1">IFERROR(INDEX(INDIRECT("Table3[Column"&amp;W$9&amp;"]"),MATCH($L47,Table3[[Company name]:[Company name]],0)),0)</f>
        <v>0</v>
      </c>
      <c r="X47" s="1">
        <f ca="1">IFERROR(INDEX(INDIRECT("Table3[Column"&amp;X$9&amp;"]"),MATCH($L47,Table3[[Company name]:[Company name]],0)),0)</f>
        <v>20700</v>
      </c>
      <c r="Y47" s="1">
        <f ca="1">IFERROR(INDEX(INDIRECT("Table3[Column"&amp;Y$9&amp;"]"),MATCH($L47,Table3[[Company name]:[Company name]],0)),0)</f>
        <v>0</v>
      </c>
      <c r="Z47" s="1">
        <f ca="1">IFERROR(INDEX(INDIRECT("Table3[Column"&amp;Z$9&amp;"]"),MATCH($L47,Table3[[Company name]:[Company name]],0)),0)</f>
        <v>0</v>
      </c>
      <c r="AA47" s="1">
        <f ca="1">IFERROR(INDEX(INDIRECT("Table3[Column"&amp;AA$9&amp;"]"),MATCH($L47,Table3[[Company name]:[Company name]],0)),0)</f>
        <v>29700</v>
      </c>
      <c r="AB47" s="1">
        <f ca="1">IFERROR(INDEX(INDIRECT("Table3[Column"&amp;AB$9&amp;"]"),MATCH($L47,Table3[[Company name]:[Company name]],0)),0)</f>
        <v>10800</v>
      </c>
      <c r="AC47" s="1">
        <f ca="1">IFERROR(INDEX(INDIRECT("Table3[Column"&amp;AC$9&amp;"]"),MATCH($L47,Table3[[Company name]:[Company name]],0)),0)</f>
        <v>44100</v>
      </c>
      <c r="AD47" s="1">
        <f ca="1">IFERROR(INDEX(INDIRECT("Table3[Column"&amp;AD$9&amp;"]"),MATCH($L47,Table3[[Company name]:[Company name]],0)),0)</f>
        <v>0</v>
      </c>
      <c r="AE47" s="1">
        <f ca="1">IFERROR(INDEX(INDIRECT("Table3[Column"&amp;AE$9&amp;"]"),MATCH($L47,Table3[[Company name]:[Company name]],0)),0)</f>
        <v>0</v>
      </c>
      <c r="AF47" s="1">
        <f ca="1">IFERROR(INDEX(INDIRECT("Table3[Column"&amp;AF$9&amp;"]"),MATCH($L47,Table3[[Company name]:[Company name]],0)),0)</f>
        <v>0</v>
      </c>
      <c r="AG47" s="1">
        <f ca="1">IFERROR(INDEX(INDIRECT("Table3[Column"&amp;AG$9&amp;"]"),MATCH($L47,Table3[[Company name]:[Company name]],0)),0)</f>
        <v>0</v>
      </c>
      <c r="AH47" s="1">
        <f ca="1">IFERROR(INDEX(INDIRECT("Table3[Column"&amp;AH$9&amp;"]"),MATCH($L47,Table3[[Company name]:[Company name]],0)),0)</f>
        <v>0</v>
      </c>
      <c r="AI47" s="1">
        <f t="shared" ca="1" si="6"/>
        <v>337500</v>
      </c>
      <c r="AK47" s="1">
        <f>IF(COUNTIFS($J$7:$J$510,Table7[[#Headers],[Industry Essentials]],$C$7:$C$510,$L47)&gt;0,0,MROUND(R47,100))</f>
        <v>0</v>
      </c>
      <c r="AL47" s="1">
        <f>IF(COUNTIFS($J$7:$J$510,Table7[[#Headers],[Energy Supply Market Intelligence]],$C$7:$C$510,$L47)&gt;0,0,MROUND(IFERROR(S47*($P47/$AI47),0),100))</f>
        <v>0</v>
      </c>
      <c r="AM47" s="1">
        <f ca="1">IF(COUNTIFS($J$7:$J$510,Table7[[#Headers],[Energy Supply RTM Analysis]],$C$7:$C$510,$L47)&gt;0,0,MROUND(IFERROR(T47*($P47/$AI47),0),100))</f>
        <v>36600</v>
      </c>
      <c r="AN47" s="1">
        <f>IF(COUNTIFS($J$7:$J$510,Table7[[#Headers],[Energy Supply Forecasts]],$C$7:$C$510,$L47)&gt;0,0,MROUND(IFERROR(U47*($P47/$AI47),0),100))</f>
        <v>0</v>
      </c>
      <c r="AO47" s="1">
        <f ca="1">IF(COUNTIFS($J$7:$J$510,Table7[[#Headers],[Energy Supply Regulation]],$C$7:$C$510,$L47)&gt;0,0,MROUND(IFERROR(V47*($P47/$AI47),0),100))</f>
        <v>27700</v>
      </c>
      <c r="AP47" s="1">
        <f ca="1">IF(COUNTIFS($J$7:$J$510,Table7[[#Headers],[Renewables Market Intelligence]],$C$7:$C$510,$L47)&gt;0,0,MROUND(IFERROR(W47*($P47/$AI47),0),100))</f>
        <v>0</v>
      </c>
      <c r="AQ47" s="1">
        <f ca="1">IF(COUNTIFS($J$7:$J$510,Table7[[#Headers],[Renewables RTM Analysis]],$C$7:$C$510,$L47)&gt;0,0,MROUND(IFERROR(X47*($P47/$AI47),0),100))</f>
        <v>10300</v>
      </c>
      <c r="AR47" s="1">
        <f>IF(COUNTIFS($J$7:$J$510,Table7[[#Headers],[Renewables Forecasts]],$C$7:$C$510,$L47)&gt;0,0,MROUND(IFERROR(Y47*($P47/$AI47),0),100))</f>
        <v>0</v>
      </c>
      <c r="AS47" s="1">
        <f ca="1">IF(COUNTIFS($J$7:$J$510,Table7[[#Headers],[Renewables Regulation]],$C$7:$C$510,$L47)&gt;0,0,MROUND(IFERROR(Z47*($P47/$AI47),0),100))</f>
        <v>0</v>
      </c>
      <c r="AT47" s="1">
        <f ca="1">IF(COUNTIFS($J$7:$J$510,Table7[[#Headers],[Flexibility Market Intelligence]],$C$7:$C$510,$L47)&gt;0,0,MROUND(IFERROR(AA47*($P47/$AI47),0),100))</f>
        <v>14700</v>
      </c>
      <c r="AU47" s="1">
        <f ca="1">IF(COUNTIFS($J$7:$J$510,Table7[[#Headers],[Flexibility RTM Analysis]],$C$7:$C$510,$L47)&gt;0,0,MROUND(IFERROR(AB47*($P47/$AI47),0),100))</f>
        <v>5400</v>
      </c>
      <c r="AV47" s="1">
        <f ca="1">IF(COUNTIFS($J$7:$J$510,Table7[[#Headers],[Flexibility Forecasts]],$C$7:$C$510,$L47)&gt;0,0,MROUND(IFERROR(AC47*($P47/$AI47),0),100))</f>
        <v>21900</v>
      </c>
      <c r="AW47" s="1">
        <f ca="1">IF(COUNTIFS($J$7:$J$510,Table7[[#Headers],[Flexibility Regulation]],$C$7:$C$510,$L47)&gt;0,0,MROUND(IFERROR(AD47*($P47/$AI47),0),100))</f>
        <v>0</v>
      </c>
      <c r="AX47" s="1">
        <f ca="1">IF(COUNTIFS($J$7:$J$510,Table7[[#Headers],[Business Energy Essentials]],$C$7:$C$510,$L47)&gt;0,0,MROUND(IFERROR(AE47*($P47/$AI47),0),100))</f>
        <v>0</v>
      </c>
      <c r="AY47" s="1">
        <f ca="1">IF(COUNTIFS($J$7:$J$510,Table7[[#Headers],[Energy User RTM Analysis]],$C$7:$C$510,$L47)&gt;0,0,MROUND(IFERROR(AF47*($P47/$AI47),0),100))</f>
        <v>0</v>
      </c>
      <c r="AZ47" s="1">
        <f ca="1">IF(COUNTIFS($J$7:$J$510,Table7[[#Headers],[Energy User Forecasts]],$C$7:$C$510,$L47)&gt;0,0,MROUND(IFERROR(AG47*($P47/$AI47),0),100))</f>
        <v>0</v>
      </c>
      <c r="BA47" s="1">
        <f ca="1">IF(COUNTIFS($J$7:$J$510,Table7[[#Headers],[Energy User Regulation]],$C$7:$C$510,$L47)&gt;0,0,MROUND(IFERROR(AH47*($P47/$AI47),0),100))</f>
        <v>0</v>
      </c>
    </row>
    <row r="48" spans="2:53">
      <c r="B48" s="38" t="s">
        <v>2078</v>
      </c>
      <c r="C48" s="38" t="s">
        <v>91</v>
      </c>
      <c r="D48" s="38" t="s">
        <v>2086</v>
      </c>
      <c r="E48" s="38" t="s">
        <v>1843</v>
      </c>
      <c r="F48" s="63">
        <v>9500</v>
      </c>
      <c r="G48" s="38"/>
      <c r="H48" s="38" t="s">
        <v>2031</v>
      </c>
      <c r="I48" s="38" t="s">
        <v>2031</v>
      </c>
      <c r="J48" s="38" t="s">
        <v>22</v>
      </c>
      <c r="L48" s="1" t="str">
        <v>Correla Limited</v>
      </c>
      <c r="M48" s="1" t="str">
        <f t="shared" si="2"/>
        <v>Supply</v>
      </c>
      <c r="N48" s="109">
        <f t="shared" si="3"/>
        <v>39608</v>
      </c>
      <c r="O48" s="1">
        <f>IFERROR(IF(INDEX(Table3[[Total Spend]:[Total Spend]],MATCH(L48,Table3[[Company name]:[Company name]],0))&gt;N48,INDEX(Table3[[Total Spend]:[Total Spend]],MATCH(L48,Table3[[Company name]:[Company name]])),N48),50000)</f>
        <v>250000</v>
      </c>
      <c r="P48" s="109">
        <f t="shared" si="4"/>
        <v>210392</v>
      </c>
      <c r="Q48" s="103">
        <f t="shared" si="5"/>
        <v>0.15843199999999999</v>
      </c>
      <c r="R48" s="1">
        <f ca="1">IFERROR(INDEX(INDIRECT("Table3[Column"&amp;R$9&amp;"]"),MATCH($L48,Table3[[Company name]:[Company name]],0)),0)</f>
        <v>10800</v>
      </c>
      <c r="S48" s="1">
        <f ca="1">IFERROR(INDEX(INDIRECT("Table3[Column"&amp;S$9&amp;"]"),MATCH($L48,Table3[[Company name]:[Company name]],0)),0)</f>
        <v>0</v>
      </c>
      <c r="T48" s="1">
        <f ca="1">IFERROR(INDEX(INDIRECT("Table3[Column"&amp;T$9&amp;"]"),MATCH($L48,Table3[[Company name]:[Company name]],0)),0)</f>
        <v>0</v>
      </c>
      <c r="U48" s="1">
        <f ca="1">IFERROR(INDEX(INDIRECT("Table3[Column"&amp;U$9&amp;"]"),MATCH($L48,Table3[[Company name]:[Company name]],0)),0)</f>
        <v>0</v>
      </c>
      <c r="V48" s="1">
        <f ca="1">IFERROR(INDEX(INDIRECT("Table3[Column"&amp;V$9&amp;"]"),MATCH($L48,Table3[[Company name]:[Company name]],0)),0)</f>
        <v>55800</v>
      </c>
      <c r="W48" s="1">
        <f ca="1">IFERROR(INDEX(INDIRECT("Table3[Column"&amp;W$9&amp;"]"),MATCH($L48,Table3[[Company name]:[Company name]],0)),0)</f>
        <v>0</v>
      </c>
      <c r="X48" s="1">
        <f ca="1">IFERROR(INDEX(INDIRECT("Table3[Column"&amp;X$9&amp;"]"),MATCH($L48,Table3[[Company name]:[Company name]],0)),0)</f>
        <v>0</v>
      </c>
      <c r="Y48" s="1">
        <f ca="1">IFERROR(INDEX(INDIRECT("Table3[Column"&amp;Y$9&amp;"]"),MATCH($L48,Table3[[Company name]:[Company name]],0)),0)</f>
        <v>0</v>
      </c>
      <c r="Z48" s="1">
        <f ca="1">IFERROR(INDEX(INDIRECT("Table3[Column"&amp;Z$9&amp;"]"),MATCH($L48,Table3[[Company name]:[Company name]],0)),0)</f>
        <v>0</v>
      </c>
      <c r="AA48" s="1">
        <f ca="1">IFERROR(INDEX(INDIRECT("Table3[Column"&amp;AA$9&amp;"]"),MATCH($L48,Table3[[Company name]:[Company name]],0)),0)</f>
        <v>0</v>
      </c>
      <c r="AB48" s="1">
        <f ca="1">IFERROR(INDEX(INDIRECT("Table3[Column"&amp;AB$9&amp;"]"),MATCH($L48,Table3[[Company name]:[Company name]],0)),0)</f>
        <v>0</v>
      </c>
      <c r="AC48" s="1">
        <f ca="1">IFERROR(INDEX(INDIRECT("Table3[Column"&amp;AC$9&amp;"]"),MATCH($L48,Table3[[Company name]:[Company name]],0)),0)</f>
        <v>0</v>
      </c>
      <c r="AD48" s="1">
        <f ca="1">IFERROR(INDEX(INDIRECT("Table3[Column"&amp;AD$9&amp;"]"),MATCH($L48,Table3[[Company name]:[Company name]],0)),0)</f>
        <v>0</v>
      </c>
      <c r="AE48" s="1">
        <f ca="1">IFERROR(INDEX(INDIRECT("Table3[Column"&amp;AE$9&amp;"]"),MATCH($L48,Table3[[Company name]:[Company name]],0)),0)</f>
        <v>0</v>
      </c>
      <c r="AF48" s="1">
        <f ca="1">IFERROR(INDEX(INDIRECT("Table3[Column"&amp;AF$9&amp;"]"),MATCH($L48,Table3[[Company name]:[Company name]],0)),0)</f>
        <v>0</v>
      </c>
      <c r="AG48" s="1">
        <f ca="1">IFERROR(INDEX(INDIRECT("Table3[Column"&amp;AG$9&amp;"]"),MATCH($L48,Table3[[Company name]:[Company name]],0)),0)</f>
        <v>0</v>
      </c>
      <c r="AH48" s="1">
        <f ca="1">IFERROR(INDEX(INDIRECT("Table3[Column"&amp;AH$9&amp;"]"),MATCH($L48,Table3[[Company name]:[Company name]],0)),0)</f>
        <v>0</v>
      </c>
      <c r="AI48" s="1">
        <f t="shared" ca="1" si="6"/>
        <v>66600</v>
      </c>
      <c r="AK48" s="1">
        <f>IF(COUNTIFS($J$7:$J$510,Table7[[#Headers],[Industry Essentials]],$C$7:$C$510,$L48)&gt;0,0,MROUND(R48,100))</f>
        <v>0</v>
      </c>
      <c r="AL48" s="1">
        <f>IF(COUNTIFS($J$7:$J$510,Table7[[#Headers],[Energy Supply Market Intelligence]],$C$7:$C$510,$L48)&gt;0,0,MROUND(IFERROR(S48*($P48/$AI48),0),100))</f>
        <v>0</v>
      </c>
      <c r="AM48" s="1">
        <f ca="1">IF(COUNTIFS($J$7:$J$510,Table7[[#Headers],[Energy Supply RTM Analysis]],$C$7:$C$510,$L48)&gt;0,0,MROUND(IFERROR(T48*($P48/$AI48),0),100))</f>
        <v>0</v>
      </c>
      <c r="AN48" s="1">
        <f ca="1">IF(COUNTIFS($J$7:$J$510,Table7[[#Headers],[Energy Supply Forecasts]],$C$7:$C$510,$L48)&gt;0,0,MROUND(IFERROR(U48*($P48/$AI48),0),100))</f>
        <v>0</v>
      </c>
      <c r="AO48" s="1">
        <f>IF(COUNTIFS($J$7:$J$510,Table7[[#Headers],[Energy Supply Regulation]],$C$7:$C$510,$L48)&gt;0,0,MROUND(IFERROR(V48*($P48/$AI48),0),100))</f>
        <v>0</v>
      </c>
      <c r="AP48" s="1">
        <f ca="1">IF(COUNTIFS($J$7:$J$510,Table7[[#Headers],[Renewables Market Intelligence]],$C$7:$C$510,$L48)&gt;0,0,MROUND(IFERROR(W48*($P48/$AI48),0),100))</f>
        <v>0</v>
      </c>
      <c r="AQ48" s="1">
        <f ca="1">IF(COUNTIFS($J$7:$J$510,Table7[[#Headers],[Renewables RTM Analysis]],$C$7:$C$510,$L48)&gt;0,0,MROUND(IFERROR(X48*($P48/$AI48),0),100))</f>
        <v>0</v>
      </c>
      <c r="AR48" s="1">
        <f ca="1">IF(COUNTIFS($J$7:$J$510,Table7[[#Headers],[Renewables Forecasts]],$C$7:$C$510,$L48)&gt;0,0,MROUND(IFERROR(Y48*($P48/$AI48),0),100))</f>
        <v>0</v>
      </c>
      <c r="AS48" s="1">
        <f ca="1">IF(COUNTIFS($J$7:$J$510,Table7[[#Headers],[Renewables Regulation]],$C$7:$C$510,$L48)&gt;0,0,MROUND(IFERROR(Z48*($P48/$AI48),0),100))</f>
        <v>0</v>
      </c>
      <c r="AT48" s="1">
        <f ca="1">IF(COUNTIFS($J$7:$J$510,Table7[[#Headers],[Flexibility Market Intelligence]],$C$7:$C$510,$L48)&gt;0,0,MROUND(IFERROR(AA48*($P48/$AI48),0),100))</f>
        <v>0</v>
      </c>
      <c r="AU48" s="1">
        <f ca="1">IF(COUNTIFS($J$7:$J$510,Table7[[#Headers],[Flexibility RTM Analysis]],$C$7:$C$510,$L48)&gt;0,0,MROUND(IFERROR(AB48*($P48/$AI48),0),100))</f>
        <v>0</v>
      </c>
      <c r="AV48" s="1">
        <f ca="1">IF(COUNTIFS($J$7:$J$510,Table7[[#Headers],[Flexibility Forecasts]],$C$7:$C$510,$L48)&gt;0,0,MROUND(IFERROR(AC48*($P48/$AI48),0),100))</f>
        <v>0</v>
      </c>
      <c r="AW48" s="1">
        <f ca="1">IF(COUNTIFS($J$7:$J$510,Table7[[#Headers],[Flexibility Regulation]],$C$7:$C$510,$L48)&gt;0,0,MROUND(IFERROR(AD48*($P48/$AI48),0),100))</f>
        <v>0</v>
      </c>
      <c r="AX48" s="1">
        <f ca="1">IF(COUNTIFS($J$7:$J$510,Table7[[#Headers],[Business Energy Essentials]],$C$7:$C$510,$L48)&gt;0,0,MROUND(IFERROR(AE48*($P48/$AI48),0),100))</f>
        <v>0</v>
      </c>
      <c r="AY48" s="1">
        <f ca="1">IF(COUNTIFS($J$7:$J$510,Table7[[#Headers],[Energy User RTM Analysis]],$C$7:$C$510,$L48)&gt;0,0,MROUND(IFERROR(AF48*($P48/$AI48),0),100))</f>
        <v>0</v>
      </c>
      <c r="AZ48" s="1">
        <f ca="1">IF(COUNTIFS($J$7:$J$510,Table7[[#Headers],[Energy User Forecasts]],$C$7:$C$510,$L48)&gt;0,0,MROUND(IFERROR(AG48*($P48/$AI48),0),100))</f>
        <v>0</v>
      </c>
      <c r="BA48" s="1">
        <f ca="1">IF(COUNTIFS($J$7:$J$510,Table7[[#Headers],[Energy User Regulation]],$C$7:$C$510,$L48)&gt;0,0,MROUND(IFERROR(AH48*($P48/$AI48),0),100))</f>
        <v>0</v>
      </c>
    </row>
    <row r="49" spans="2:53">
      <c r="B49" s="38" t="s">
        <v>2078</v>
      </c>
      <c r="C49" s="38" t="s">
        <v>91</v>
      </c>
      <c r="D49" s="38" t="s">
        <v>2038</v>
      </c>
      <c r="E49" s="38" t="s">
        <v>1838</v>
      </c>
      <c r="F49" s="63">
        <v>6000</v>
      </c>
      <c r="G49" s="38"/>
      <c r="H49" s="38" t="s">
        <v>2031</v>
      </c>
      <c r="I49" s="38" t="s">
        <v>1702</v>
      </c>
      <c r="J49" s="38" t="s">
        <v>27</v>
      </c>
      <c r="L49" s="1" t="str">
        <v>Crown Gas &amp; Power Ltd</v>
      </c>
      <c r="M49" s="1" t="str">
        <f t="shared" si="2"/>
        <v>Supply</v>
      </c>
      <c r="N49" s="109">
        <f t="shared" si="3"/>
        <v>50750</v>
      </c>
      <c r="O49" s="1">
        <f>IFERROR(IF(INDEX(Table3[[Total Spend]:[Total Spend]],MATCH(L49,Table3[[Company name]:[Company name]],0))&gt;N49,INDEX(Table3[[Total Spend]:[Total Spend]],MATCH(L49,Table3[[Company name]:[Company name]])),N49),50000)</f>
        <v>250000</v>
      </c>
      <c r="P49" s="109">
        <f t="shared" si="4"/>
        <v>199250</v>
      </c>
      <c r="Q49" s="103">
        <f t="shared" si="5"/>
        <v>0.20300000000000001</v>
      </c>
      <c r="R49" s="1">
        <f ca="1">IFERROR(INDEX(INDIRECT("Table3[Column"&amp;R$9&amp;"]"),MATCH($L49,Table3[[Company name]:[Company name]],0)),0)</f>
        <v>8100</v>
      </c>
      <c r="S49" s="1">
        <f ca="1">IFERROR(INDEX(INDIRECT("Table3[Column"&amp;S$9&amp;"]"),MATCH($L49,Table3[[Company name]:[Company name]],0)),0)</f>
        <v>30600</v>
      </c>
      <c r="T49" s="1">
        <f ca="1">IFERROR(INDEX(INDIRECT("Table3[Column"&amp;T$9&amp;"]"),MATCH($L49,Table3[[Company name]:[Company name]],0)),0)</f>
        <v>53100</v>
      </c>
      <c r="U49" s="1">
        <f ca="1">IFERROR(INDEX(INDIRECT("Table3[Column"&amp;U$9&amp;"]"),MATCH($L49,Table3[[Company name]:[Company name]],0)),0)</f>
        <v>34200</v>
      </c>
      <c r="V49" s="1">
        <f ca="1">IFERROR(INDEX(INDIRECT("Table3[Column"&amp;V$9&amp;"]"),MATCH($L49,Table3[[Company name]:[Company name]],0)),0)</f>
        <v>39600</v>
      </c>
      <c r="W49" s="1">
        <f ca="1">IFERROR(INDEX(INDIRECT("Table3[Column"&amp;W$9&amp;"]"),MATCH($L49,Table3[[Company name]:[Company name]],0)),0)</f>
        <v>0</v>
      </c>
      <c r="X49" s="1">
        <f ca="1">IFERROR(INDEX(INDIRECT("Table3[Column"&amp;X$9&amp;"]"),MATCH($L49,Table3[[Company name]:[Company name]],0)),0)</f>
        <v>0</v>
      </c>
      <c r="Y49" s="1">
        <f ca="1">IFERROR(INDEX(INDIRECT("Table3[Column"&amp;Y$9&amp;"]"),MATCH($L49,Table3[[Company name]:[Company name]],0)),0)</f>
        <v>0</v>
      </c>
      <c r="Z49" s="1">
        <f ca="1">IFERROR(INDEX(INDIRECT("Table3[Column"&amp;Z$9&amp;"]"),MATCH($L49,Table3[[Company name]:[Company name]],0)),0)</f>
        <v>0</v>
      </c>
      <c r="AA49" s="1">
        <f ca="1">IFERROR(INDEX(INDIRECT("Table3[Column"&amp;AA$9&amp;"]"),MATCH($L49,Table3[[Company name]:[Company name]],0)),0)</f>
        <v>21600</v>
      </c>
      <c r="AB49" s="1">
        <f ca="1">IFERROR(INDEX(INDIRECT("Table3[Column"&amp;AB$9&amp;"]"),MATCH($L49,Table3[[Company name]:[Company name]],0)),0)</f>
        <v>0</v>
      </c>
      <c r="AC49" s="1">
        <f ca="1">IFERROR(INDEX(INDIRECT("Table3[Column"&amp;AC$9&amp;"]"),MATCH($L49,Table3[[Company name]:[Company name]],0)),0)</f>
        <v>0</v>
      </c>
      <c r="AD49" s="1">
        <f ca="1">IFERROR(INDEX(INDIRECT("Table3[Column"&amp;AD$9&amp;"]"),MATCH($L49,Table3[[Company name]:[Company name]],0)),0)</f>
        <v>0</v>
      </c>
      <c r="AE49" s="1">
        <f ca="1">IFERROR(INDEX(INDIRECT("Table3[Column"&amp;AE$9&amp;"]"),MATCH($L49,Table3[[Company name]:[Company name]],0)),0)</f>
        <v>0</v>
      </c>
      <c r="AF49" s="1">
        <f ca="1">IFERROR(INDEX(INDIRECT("Table3[Column"&amp;AF$9&amp;"]"),MATCH($L49,Table3[[Company name]:[Company name]],0)),0)</f>
        <v>0</v>
      </c>
      <c r="AG49" s="1">
        <f ca="1">IFERROR(INDEX(INDIRECT("Table3[Column"&amp;AG$9&amp;"]"),MATCH($L49,Table3[[Company name]:[Company name]],0)),0)</f>
        <v>0</v>
      </c>
      <c r="AH49" s="1">
        <f ca="1">IFERROR(INDEX(INDIRECT("Table3[Column"&amp;AH$9&amp;"]"),MATCH($L49,Table3[[Company name]:[Company name]],0)),0)</f>
        <v>0</v>
      </c>
      <c r="AI49" s="1">
        <f t="shared" ca="1" si="6"/>
        <v>187200</v>
      </c>
      <c r="AK49" s="1">
        <f>IF(COUNTIFS($J$7:$J$510,Table7[[#Headers],[Industry Essentials]],$C$7:$C$510,$L49)&gt;0,0,MROUND(R49,100))</f>
        <v>0</v>
      </c>
      <c r="AL49" s="1">
        <f>IF(COUNTIFS($J$7:$J$510,Table7[[#Headers],[Energy Supply Market Intelligence]],$C$7:$C$510,$L49)&gt;0,0,MROUND(IFERROR(S49*($P49/$AI49),0),100))</f>
        <v>0</v>
      </c>
      <c r="AM49" s="1">
        <f ca="1">IF(COUNTIFS($J$7:$J$510,Table7[[#Headers],[Energy Supply RTM Analysis]],$C$7:$C$510,$L49)&gt;0,0,MROUND(IFERROR(T49*($P49/$AI49),0),100))</f>
        <v>56500</v>
      </c>
      <c r="AN49" s="1">
        <f>IF(COUNTIFS($J$7:$J$510,Table7[[#Headers],[Energy Supply Forecasts]],$C$7:$C$510,$L49)&gt;0,0,MROUND(IFERROR(U49*($P49/$AI49),0),100))</f>
        <v>0</v>
      </c>
      <c r="AO49" s="1">
        <f>IF(COUNTIFS($J$7:$J$510,Table7[[#Headers],[Energy Supply Regulation]],$C$7:$C$510,$L49)&gt;0,0,MROUND(IFERROR(V49*($P49/$AI49),0),100))</f>
        <v>0</v>
      </c>
      <c r="AP49" s="1">
        <f ca="1">IF(COUNTIFS($J$7:$J$510,Table7[[#Headers],[Renewables Market Intelligence]],$C$7:$C$510,$L49)&gt;0,0,MROUND(IFERROR(W49*($P49/$AI49),0),100))</f>
        <v>0</v>
      </c>
      <c r="AQ49" s="1">
        <f ca="1">IF(COUNTIFS($J$7:$J$510,Table7[[#Headers],[Renewables RTM Analysis]],$C$7:$C$510,$L49)&gt;0,0,MROUND(IFERROR(X49*($P49/$AI49),0),100))</f>
        <v>0</v>
      </c>
      <c r="AR49" s="1">
        <f ca="1">IF(COUNTIFS($J$7:$J$510,Table7[[#Headers],[Renewables Forecasts]],$C$7:$C$510,$L49)&gt;0,0,MROUND(IFERROR(Y49*($P49/$AI49),0),100))</f>
        <v>0</v>
      </c>
      <c r="AS49" s="1">
        <f ca="1">IF(COUNTIFS($J$7:$J$510,Table7[[#Headers],[Renewables Regulation]],$C$7:$C$510,$L49)&gt;0,0,MROUND(IFERROR(Z49*($P49/$AI49),0),100))</f>
        <v>0</v>
      </c>
      <c r="AT49" s="1">
        <f ca="1">IF(COUNTIFS($J$7:$J$510,Table7[[#Headers],[Flexibility Market Intelligence]],$C$7:$C$510,$L49)&gt;0,0,MROUND(IFERROR(AA49*($P49/$AI49),0),100))</f>
        <v>23000</v>
      </c>
      <c r="AU49" s="1">
        <f ca="1">IF(COUNTIFS($J$7:$J$510,Table7[[#Headers],[Flexibility RTM Analysis]],$C$7:$C$510,$L49)&gt;0,0,MROUND(IFERROR(AB49*($P49/$AI49),0),100))</f>
        <v>0</v>
      </c>
      <c r="AV49" s="1">
        <f ca="1">IF(COUNTIFS($J$7:$J$510,Table7[[#Headers],[Flexibility Forecasts]],$C$7:$C$510,$L49)&gt;0,0,MROUND(IFERROR(AC49*($P49/$AI49),0),100))</f>
        <v>0</v>
      </c>
      <c r="AW49" s="1">
        <f ca="1">IF(COUNTIFS($J$7:$J$510,Table7[[#Headers],[Flexibility Regulation]],$C$7:$C$510,$L49)&gt;0,0,MROUND(IFERROR(AD49*($P49/$AI49),0),100))</f>
        <v>0</v>
      </c>
      <c r="AX49" s="1">
        <f ca="1">IF(COUNTIFS($J$7:$J$510,Table7[[#Headers],[Business Energy Essentials]],$C$7:$C$510,$L49)&gt;0,0,MROUND(IFERROR(AE49*($P49/$AI49),0),100))</f>
        <v>0</v>
      </c>
      <c r="AY49" s="1">
        <f ca="1">IF(COUNTIFS($J$7:$J$510,Table7[[#Headers],[Energy User RTM Analysis]],$C$7:$C$510,$L49)&gt;0,0,MROUND(IFERROR(AF49*($P49/$AI49),0),100))</f>
        <v>0</v>
      </c>
      <c r="AZ49" s="1">
        <f ca="1">IF(COUNTIFS($J$7:$J$510,Table7[[#Headers],[Energy User Forecasts]],$C$7:$C$510,$L49)&gt;0,0,MROUND(IFERROR(AG49*($P49/$AI49),0),100))</f>
        <v>0</v>
      </c>
      <c r="BA49" s="1">
        <f ca="1">IF(COUNTIFS($J$7:$J$510,Table7[[#Headers],[Energy User Regulation]],$C$7:$C$510,$L49)&gt;0,0,MROUND(IFERROR(AH49*($P49/$AI49),0),100))</f>
        <v>0</v>
      </c>
    </row>
    <row r="50" spans="2:53">
      <c r="B50" s="38" t="s">
        <v>2087</v>
      </c>
      <c r="C50" s="38" t="s">
        <v>213</v>
      </c>
      <c r="D50" s="38" t="s">
        <v>2082</v>
      </c>
      <c r="E50" s="38" t="s">
        <v>1811</v>
      </c>
      <c r="F50" s="63">
        <v>8200</v>
      </c>
      <c r="G50" s="38"/>
      <c r="H50" s="38" t="s">
        <v>2031</v>
      </c>
      <c r="I50" s="38" t="s">
        <v>2031</v>
      </c>
      <c r="J50" s="38" t="s">
        <v>23</v>
      </c>
      <c r="L50" s="1" t="str">
        <v>Danske Commodities</v>
      </c>
      <c r="M50" s="1" t="str">
        <f t="shared" si="2"/>
        <v>Renewables</v>
      </c>
      <c r="N50" s="109">
        <f t="shared" si="3"/>
        <v>9500</v>
      </c>
      <c r="O50" s="1">
        <f>IFERROR(IF(INDEX(Table3[[Total Spend]:[Total Spend]],MATCH(L50,Table3[[Company name]:[Company name]],0))&gt;N50,INDEX(Table3[[Total Spend]:[Total Spend]],MATCH(L50,Table3[[Company name]:[Company name]])),N50),50000)</f>
        <v>250000</v>
      </c>
      <c r="P50" s="109">
        <f t="shared" si="4"/>
        <v>240500</v>
      </c>
      <c r="Q50" s="103">
        <f t="shared" si="5"/>
        <v>3.7999999999999999E-2</v>
      </c>
      <c r="R50" s="1">
        <f ca="1">IFERROR(INDEX(INDIRECT("Table3[Column"&amp;R$9&amp;"]"),MATCH($L50,Table3[[Company name]:[Company name]],0)),0)</f>
        <v>10800</v>
      </c>
      <c r="S50" s="1">
        <f ca="1">IFERROR(INDEX(INDIRECT("Table3[Column"&amp;S$9&amp;"]"),MATCH($L50,Table3[[Company name]:[Company name]],0)),0)</f>
        <v>0</v>
      </c>
      <c r="T50" s="1">
        <f ca="1">IFERROR(INDEX(INDIRECT("Table3[Column"&amp;T$9&amp;"]"),MATCH($L50,Table3[[Company name]:[Company name]],0)),0)</f>
        <v>73800</v>
      </c>
      <c r="U50" s="1">
        <f ca="1">IFERROR(INDEX(INDIRECT("Table3[Column"&amp;U$9&amp;"]"),MATCH($L50,Table3[[Company name]:[Company name]],0)),0)</f>
        <v>0</v>
      </c>
      <c r="V50" s="1">
        <f ca="1">IFERROR(INDEX(INDIRECT("Table3[Column"&amp;V$9&amp;"]"),MATCH($L50,Table3[[Company name]:[Company name]],0)),0)</f>
        <v>0</v>
      </c>
      <c r="W50" s="1">
        <f ca="1">IFERROR(INDEX(INDIRECT("Table3[Column"&amp;W$9&amp;"]"),MATCH($L50,Table3[[Company name]:[Company name]],0)),0)</f>
        <v>0</v>
      </c>
      <c r="X50" s="1">
        <f ca="1">IFERROR(INDEX(INDIRECT("Table3[Column"&amp;X$9&amp;"]"),MATCH($L50,Table3[[Company name]:[Company name]],0)),0)</f>
        <v>20700</v>
      </c>
      <c r="Y50" s="1">
        <f ca="1">IFERROR(INDEX(INDIRECT("Table3[Column"&amp;Y$9&amp;"]"),MATCH($L50,Table3[[Company name]:[Company name]],0)),0)</f>
        <v>0</v>
      </c>
      <c r="Z50" s="1">
        <f ca="1">IFERROR(INDEX(INDIRECT("Table3[Column"&amp;Z$9&amp;"]"),MATCH($L50,Table3[[Company name]:[Company name]],0)),0)</f>
        <v>0</v>
      </c>
      <c r="AA50" s="1">
        <f ca="1">IFERROR(INDEX(INDIRECT("Table3[Column"&amp;AA$9&amp;"]"),MATCH($L50,Table3[[Company name]:[Company name]],0)),0)</f>
        <v>29700</v>
      </c>
      <c r="AB50" s="1">
        <f ca="1">IFERROR(INDEX(INDIRECT("Table3[Column"&amp;AB$9&amp;"]"),MATCH($L50,Table3[[Company name]:[Company name]],0)),0)</f>
        <v>10800</v>
      </c>
      <c r="AC50" s="1">
        <f ca="1">IFERROR(INDEX(INDIRECT("Table3[Column"&amp;AC$9&amp;"]"),MATCH($L50,Table3[[Company name]:[Company name]],0)),0)</f>
        <v>44100</v>
      </c>
      <c r="AD50" s="1">
        <f ca="1">IFERROR(INDEX(INDIRECT("Table3[Column"&amp;AD$9&amp;"]"),MATCH($L50,Table3[[Company name]:[Company name]],0)),0)</f>
        <v>0</v>
      </c>
      <c r="AE50" s="1">
        <f ca="1">IFERROR(INDEX(INDIRECT("Table3[Column"&amp;AE$9&amp;"]"),MATCH($L50,Table3[[Company name]:[Company name]],0)),0)</f>
        <v>0</v>
      </c>
      <c r="AF50" s="1">
        <f ca="1">IFERROR(INDEX(INDIRECT("Table3[Column"&amp;AF$9&amp;"]"),MATCH($L50,Table3[[Company name]:[Company name]],0)),0)</f>
        <v>0</v>
      </c>
      <c r="AG50" s="1">
        <f ca="1">IFERROR(INDEX(INDIRECT("Table3[Column"&amp;AG$9&amp;"]"),MATCH($L50,Table3[[Company name]:[Company name]],0)),0)</f>
        <v>0</v>
      </c>
      <c r="AH50" s="1">
        <f ca="1">IFERROR(INDEX(INDIRECT("Table3[Column"&amp;AH$9&amp;"]"),MATCH($L50,Table3[[Company name]:[Company name]],0)),0)</f>
        <v>0</v>
      </c>
      <c r="AI50" s="1">
        <f t="shared" ca="1" si="6"/>
        <v>189900</v>
      </c>
      <c r="AK50" s="1">
        <f ca="1">IF(COUNTIFS($J$7:$J$510,Table7[[#Headers],[Industry Essentials]],$C$7:$C$510,$L50)&gt;0,0,MROUND(R50,100))</f>
        <v>10800</v>
      </c>
      <c r="AL50" s="1">
        <f ca="1">IF(COUNTIFS($J$7:$J$510,Table7[[#Headers],[Energy Supply Market Intelligence]],$C$7:$C$510,$L50)&gt;0,0,MROUND(IFERROR(S50*($P50/$AI50),0),100))</f>
        <v>0</v>
      </c>
      <c r="AM50" s="1">
        <f ca="1">IF(COUNTIFS($J$7:$J$510,Table7[[#Headers],[Energy Supply RTM Analysis]],$C$7:$C$510,$L50)&gt;0,0,MROUND(IFERROR(T50*($P50/$AI50),0),100))</f>
        <v>93500</v>
      </c>
      <c r="AN50" s="1">
        <f ca="1">IF(COUNTIFS($J$7:$J$510,Table7[[#Headers],[Energy Supply Forecasts]],$C$7:$C$510,$L50)&gt;0,0,MROUND(IFERROR(U50*($P50/$AI50),0),100))</f>
        <v>0</v>
      </c>
      <c r="AO50" s="1">
        <f ca="1">IF(COUNTIFS($J$7:$J$510,Table7[[#Headers],[Energy Supply Regulation]],$C$7:$C$510,$L50)&gt;0,0,MROUND(IFERROR(V50*($P50/$AI50),0),100))</f>
        <v>0</v>
      </c>
      <c r="AP50" s="1">
        <f ca="1">IF(COUNTIFS($J$7:$J$510,Table7[[#Headers],[Renewables Market Intelligence]],$C$7:$C$510,$L50)&gt;0,0,MROUND(IFERROR(W50*($P50/$AI50),0),100))</f>
        <v>0</v>
      </c>
      <c r="AQ50" s="1">
        <f ca="1">IF(COUNTIFS($J$7:$J$510,Table7[[#Headers],[Renewables RTM Analysis]],$C$7:$C$510,$L50)&gt;0,0,MROUND(IFERROR(X50*($P50/$AI50),0),100))</f>
        <v>26200</v>
      </c>
      <c r="AR50" s="1">
        <f>IF(COUNTIFS($J$7:$J$510,Table7[[#Headers],[Renewables Forecasts]],$C$7:$C$510,$L50)&gt;0,0,MROUND(IFERROR(Y50*($P50/$AI50),0),100))</f>
        <v>0</v>
      </c>
      <c r="AS50" s="1">
        <f ca="1">IF(COUNTIFS($J$7:$J$510,Table7[[#Headers],[Renewables Regulation]],$C$7:$C$510,$L50)&gt;0,0,MROUND(IFERROR(Z50*($P50/$AI50),0),100))</f>
        <v>0</v>
      </c>
      <c r="AT50" s="1">
        <f ca="1">IF(COUNTIFS($J$7:$J$510,Table7[[#Headers],[Flexibility Market Intelligence]],$C$7:$C$510,$L50)&gt;0,0,MROUND(IFERROR(AA50*($P50/$AI50),0),100))</f>
        <v>37600</v>
      </c>
      <c r="AU50" s="1">
        <f ca="1">IF(COUNTIFS($J$7:$J$510,Table7[[#Headers],[Flexibility RTM Analysis]],$C$7:$C$510,$L50)&gt;0,0,MROUND(IFERROR(AB50*($P50/$AI50),0),100))</f>
        <v>13700</v>
      </c>
      <c r="AV50" s="1">
        <f ca="1">IF(COUNTIFS($J$7:$J$510,Table7[[#Headers],[Flexibility Forecasts]],$C$7:$C$510,$L50)&gt;0,0,MROUND(IFERROR(AC50*($P50/$AI50),0),100))</f>
        <v>55900</v>
      </c>
      <c r="AW50" s="1">
        <f ca="1">IF(COUNTIFS($J$7:$J$510,Table7[[#Headers],[Flexibility Regulation]],$C$7:$C$510,$L50)&gt;0,0,MROUND(IFERROR(AD50*($P50/$AI50),0),100))</f>
        <v>0</v>
      </c>
      <c r="AX50" s="1">
        <f ca="1">IF(COUNTIFS($J$7:$J$510,Table7[[#Headers],[Business Energy Essentials]],$C$7:$C$510,$L50)&gt;0,0,MROUND(IFERROR(AE50*($P50/$AI50),0),100))</f>
        <v>0</v>
      </c>
      <c r="AY50" s="1">
        <f ca="1">IF(COUNTIFS($J$7:$J$510,Table7[[#Headers],[Energy User RTM Analysis]],$C$7:$C$510,$L50)&gt;0,0,MROUND(IFERROR(AF50*($P50/$AI50),0),100))</f>
        <v>0</v>
      </c>
      <c r="AZ50" s="1">
        <f ca="1">IF(COUNTIFS($J$7:$J$510,Table7[[#Headers],[Energy User Forecasts]],$C$7:$C$510,$L50)&gt;0,0,MROUND(IFERROR(AG50*($P50/$AI50),0),100))</f>
        <v>0</v>
      </c>
      <c r="BA50" s="1">
        <f ca="1">IF(COUNTIFS($J$7:$J$510,Table7[[#Headers],[Energy User Regulation]],$C$7:$C$510,$L50)&gt;0,0,MROUND(IFERROR(AH50*($P50/$AI50),0),100))</f>
        <v>0</v>
      </c>
    </row>
    <row r="51" spans="2:53">
      <c r="B51" s="38" t="s">
        <v>2087</v>
      </c>
      <c r="C51" s="38" t="s">
        <v>213</v>
      </c>
      <c r="D51" s="38" t="s">
        <v>2035</v>
      </c>
      <c r="E51" s="38" t="s">
        <v>1855</v>
      </c>
      <c r="F51" s="63">
        <v>2235</v>
      </c>
      <c r="G51" s="38"/>
      <c r="H51" s="38" t="s">
        <v>2031</v>
      </c>
      <c r="I51" s="38" t="s">
        <v>2032</v>
      </c>
      <c r="J51" s="38" t="s">
        <v>20</v>
      </c>
      <c r="L51" s="1" t="str">
        <v>Department for Energy Security &amp; Net Zero</v>
      </c>
      <c r="M51" s="1" t="str">
        <f t="shared" si="2"/>
        <v>Other</v>
      </c>
      <c r="N51" s="109">
        <f t="shared" si="3"/>
        <v>76500</v>
      </c>
      <c r="O51" s="1">
        <f>IFERROR(IF(INDEX(Table3[[Total Spend]:[Total Spend]],MATCH(L51,Table3[[Company name]:[Company name]],0))&gt;N51,INDEX(Table3[[Total Spend]:[Total Spend]],MATCH(L51,Table3[[Company name]:[Company name]])),N51),50000)</f>
        <v>76500</v>
      </c>
      <c r="P51" s="109">
        <f t="shared" si="4"/>
        <v>76500</v>
      </c>
      <c r="Q51" s="103">
        <f t="shared" si="5"/>
        <v>1</v>
      </c>
      <c r="R51" s="1">
        <f ca="1">IFERROR(INDEX(INDIRECT("Table3[Column"&amp;R$9&amp;"]"),MATCH($L51,Table3[[Company name]:[Company name]],0)),0)</f>
        <v>10800</v>
      </c>
      <c r="S51" s="1">
        <f ca="1">IFERROR(INDEX(INDIRECT("Table3[Column"&amp;S$9&amp;"]"),MATCH($L51,Table3[[Company name]:[Company name]],0)),0)</f>
        <v>0</v>
      </c>
      <c r="T51" s="1">
        <f ca="1">IFERROR(INDEX(INDIRECT("Table3[Column"&amp;T$9&amp;"]"),MATCH($L51,Table3[[Company name]:[Company name]],0)),0)</f>
        <v>0</v>
      </c>
      <c r="U51" s="1">
        <f ca="1">IFERROR(INDEX(INDIRECT("Table3[Column"&amp;U$9&amp;"]"),MATCH($L51,Table3[[Company name]:[Company name]],0)),0)</f>
        <v>0</v>
      </c>
      <c r="V51" s="1">
        <f ca="1">IFERROR(INDEX(INDIRECT("Table3[Column"&amp;V$9&amp;"]"),MATCH($L51,Table3[[Company name]:[Company name]],0)),0)</f>
        <v>0</v>
      </c>
      <c r="W51" s="1">
        <f ca="1">IFERROR(INDEX(INDIRECT("Table3[Column"&amp;W$9&amp;"]"),MATCH($L51,Table3[[Company name]:[Company name]],0)),0)</f>
        <v>0</v>
      </c>
      <c r="X51" s="1">
        <f ca="1">IFERROR(INDEX(INDIRECT("Table3[Column"&amp;X$9&amp;"]"),MATCH($L51,Table3[[Company name]:[Company name]],0)),0)</f>
        <v>0</v>
      </c>
      <c r="Y51" s="1">
        <f ca="1">IFERROR(INDEX(INDIRECT("Table3[Column"&amp;Y$9&amp;"]"),MATCH($L51,Table3[[Company name]:[Company name]],0)),0)</f>
        <v>0</v>
      </c>
      <c r="Z51" s="1">
        <f ca="1">IFERROR(INDEX(INDIRECT("Table3[Column"&amp;Z$9&amp;"]"),MATCH($L51,Table3[[Company name]:[Company name]],0)),0)</f>
        <v>0</v>
      </c>
      <c r="AA51" s="1">
        <f ca="1">IFERROR(INDEX(INDIRECT("Table3[Column"&amp;AA$9&amp;"]"),MATCH($L51,Table3[[Company name]:[Company name]],0)),0)</f>
        <v>0</v>
      </c>
      <c r="AB51" s="1">
        <f ca="1">IFERROR(INDEX(INDIRECT("Table3[Column"&amp;AB$9&amp;"]"),MATCH($L51,Table3[[Company name]:[Company name]],0)),0)</f>
        <v>0</v>
      </c>
      <c r="AC51" s="1">
        <f ca="1">IFERROR(INDEX(INDIRECT("Table3[Column"&amp;AC$9&amp;"]"),MATCH($L51,Table3[[Company name]:[Company name]],0)),0)</f>
        <v>0</v>
      </c>
      <c r="AD51" s="1">
        <f ca="1">IFERROR(INDEX(INDIRECT("Table3[Column"&amp;AD$9&amp;"]"),MATCH($L51,Table3[[Company name]:[Company name]],0)),0)</f>
        <v>0</v>
      </c>
      <c r="AE51" s="1">
        <f ca="1">IFERROR(INDEX(INDIRECT("Table3[Column"&amp;AE$9&amp;"]"),MATCH($L51,Table3[[Company name]:[Company name]],0)),0)</f>
        <v>0</v>
      </c>
      <c r="AF51" s="1">
        <f ca="1">IFERROR(INDEX(INDIRECT("Table3[Column"&amp;AF$9&amp;"]"),MATCH($L51,Table3[[Company name]:[Company name]],0)),0)</f>
        <v>0</v>
      </c>
      <c r="AG51" s="1">
        <f ca="1">IFERROR(INDEX(INDIRECT("Table3[Column"&amp;AG$9&amp;"]"),MATCH($L51,Table3[[Company name]:[Company name]],0)),0)</f>
        <v>0</v>
      </c>
      <c r="AH51" s="1">
        <f ca="1">IFERROR(INDEX(INDIRECT("Table3[Column"&amp;AH$9&amp;"]"),MATCH($L51,Table3[[Company name]:[Company name]],0)),0)</f>
        <v>0</v>
      </c>
      <c r="AI51" s="1">
        <f t="shared" ca="1" si="6"/>
        <v>10800</v>
      </c>
      <c r="AK51" s="1">
        <f>IF(COUNTIFS($J$7:$J$510,Table7[[#Headers],[Industry Essentials]],$C$7:$C$510,$L51)&gt;0,0,MROUND(R51,100))</f>
        <v>0</v>
      </c>
      <c r="AL51" s="1">
        <f>IF(COUNTIFS($J$7:$J$510,Table7[[#Headers],[Energy Supply Market Intelligence]],$C$7:$C$510,$L51)&gt;0,0,MROUND(IFERROR(S51*($P51/$AI51),0),100))</f>
        <v>0</v>
      </c>
      <c r="AM51" s="1">
        <f ca="1">IF(COUNTIFS($J$7:$J$510,Table7[[#Headers],[Energy Supply RTM Analysis]],$C$7:$C$510,$L51)&gt;0,0,MROUND(IFERROR(T51*($P51/$AI51),0),100))</f>
        <v>0</v>
      </c>
      <c r="AN51" s="1">
        <f ca="1">IF(COUNTIFS($J$7:$J$510,Table7[[#Headers],[Energy Supply Forecasts]],$C$7:$C$510,$L51)&gt;0,0,MROUND(IFERROR(U51*($P51/$AI51),0),100))</f>
        <v>0</v>
      </c>
      <c r="AO51" s="1">
        <f ca="1">IF(COUNTIFS($J$7:$J$510,Table7[[#Headers],[Energy Supply Regulation]],$C$7:$C$510,$L51)&gt;0,0,MROUND(IFERROR(V51*($P51/$AI51),0),100))</f>
        <v>0</v>
      </c>
      <c r="AP51" s="1">
        <f ca="1">IF(COUNTIFS($J$7:$J$510,Table7[[#Headers],[Renewables Market Intelligence]],$C$7:$C$510,$L51)&gt;0,0,MROUND(IFERROR(W51*($P51/$AI51),0),100))</f>
        <v>0</v>
      </c>
      <c r="AQ51" s="1">
        <f ca="1">IF(COUNTIFS($J$7:$J$510,Table7[[#Headers],[Renewables RTM Analysis]],$C$7:$C$510,$L51)&gt;0,0,MROUND(IFERROR(X51*($P51/$AI51),0),100))</f>
        <v>0</v>
      </c>
      <c r="AR51" s="1">
        <f ca="1">IF(COUNTIFS($J$7:$J$510,Table7[[#Headers],[Renewables Forecasts]],$C$7:$C$510,$L51)&gt;0,0,MROUND(IFERROR(Y51*($P51/$AI51),0),100))</f>
        <v>0</v>
      </c>
      <c r="AS51" s="1">
        <f ca="1">IF(COUNTIFS($J$7:$J$510,Table7[[#Headers],[Renewables Regulation]],$C$7:$C$510,$L51)&gt;0,0,MROUND(IFERROR(Z51*($P51/$AI51),0),100))</f>
        <v>0</v>
      </c>
      <c r="AT51" s="1">
        <f ca="1">IF(COUNTIFS($J$7:$J$510,Table7[[#Headers],[Flexibility Market Intelligence]],$C$7:$C$510,$L51)&gt;0,0,MROUND(IFERROR(AA51*($P51/$AI51),0),100))</f>
        <v>0</v>
      </c>
      <c r="AU51" s="1">
        <f ca="1">IF(COUNTIFS($J$7:$J$510,Table7[[#Headers],[Flexibility RTM Analysis]],$C$7:$C$510,$L51)&gt;0,0,MROUND(IFERROR(AB51*($P51/$AI51),0),100))</f>
        <v>0</v>
      </c>
      <c r="AV51" s="1">
        <f ca="1">IF(COUNTIFS($J$7:$J$510,Table7[[#Headers],[Flexibility Forecasts]],$C$7:$C$510,$L51)&gt;0,0,MROUND(IFERROR(AC51*($P51/$AI51),0),100))</f>
        <v>0</v>
      </c>
      <c r="AW51" s="1">
        <f ca="1">IF(COUNTIFS($J$7:$J$510,Table7[[#Headers],[Flexibility Regulation]],$C$7:$C$510,$L51)&gt;0,0,MROUND(IFERROR(AD51*($P51/$AI51),0),100))</f>
        <v>0</v>
      </c>
      <c r="AX51" s="1">
        <f ca="1">IF(COUNTIFS($J$7:$J$510,Table7[[#Headers],[Business Energy Essentials]],$C$7:$C$510,$L51)&gt;0,0,MROUND(IFERROR(AE51*($P51/$AI51),0),100))</f>
        <v>0</v>
      </c>
      <c r="AY51" s="1">
        <f>IF(COUNTIFS($J$7:$J$510,Table7[[#Headers],[Energy User RTM Analysis]],$C$7:$C$510,$L51)&gt;0,0,MROUND(IFERROR(AF51*($P51/$AI51),0),100))</f>
        <v>0</v>
      </c>
      <c r="AZ51" s="1">
        <f ca="1">IF(COUNTIFS($J$7:$J$510,Table7[[#Headers],[Energy User Forecasts]],$C$7:$C$510,$L51)&gt;0,0,MROUND(IFERROR(AG51*($P51/$AI51),0),100))</f>
        <v>0</v>
      </c>
      <c r="BA51" s="1">
        <f ca="1">IF(COUNTIFS($J$7:$J$510,Table7[[#Headers],[Energy User Regulation]],$C$7:$C$510,$L51)&gt;0,0,MROUND(IFERROR(AH51*($P51/$AI51),0),100))</f>
        <v>0</v>
      </c>
    </row>
    <row r="52" spans="2:53">
      <c r="B52" s="38" t="s">
        <v>2087</v>
      </c>
      <c r="C52" s="38" t="s">
        <v>213</v>
      </c>
      <c r="D52" s="38" t="s">
        <v>2061</v>
      </c>
      <c r="E52" s="38" t="s">
        <v>1820</v>
      </c>
      <c r="F52" s="63">
        <v>7565</v>
      </c>
      <c r="G52" s="38"/>
      <c r="H52" s="38" t="s">
        <v>2031</v>
      </c>
      <c r="I52" s="38" t="s">
        <v>1702</v>
      </c>
      <c r="J52" s="38" t="s">
        <v>25</v>
      </c>
      <c r="L52" s="1" t="str">
        <v>DIF Infrastructure IV Cooperatief UA</v>
      </c>
      <c r="M52" s="1" t="str">
        <f t="shared" si="2"/>
        <v>Flexibility</v>
      </c>
      <c r="N52" s="109">
        <f t="shared" si="3"/>
        <v>9750</v>
      </c>
      <c r="O52" s="1">
        <f>IFERROR(IF(INDEX(Table3[[Total Spend]:[Total Spend]],MATCH(L52,Table3[[Company name]:[Company name]],0))&gt;N52,INDEX(Table3[[Total Spend]:[Total Spend]],MATCH(L52,Table3[[Company name]:[Company name]])),N52),50000)</f>
        <v>250000</v>
      </c>
      <c r="P52" s="109">
        <f t="shared" si="4"/>
        <v>240250</v>
      </c>
      <c r="Q52" s="103">
        <f t="shared" si="5"/>
        <v>3.9E-2</v>
      </c>
      <c r="R52" s="1">
        <f ca="1">IFERROR(INDEX(INDIRECT("Table3[Column"&amp;R$9&amp;"]"),MATCH($L52,Table3[[Company name]:[Company name]],0)),0)</f>
        <v>10800</v>
      </c>
      <c r="S52" s="1">
        <f ca="1">IFERROR(INDEX(INDIRECT("Table3[Column"&amp;S$9&amp;"]"),MATCH($L52,Table3[[Company name]:[Company name]],0)),0)</f>
        <v>0</v>
      </c>
      <c r="T52" s="1">
        <f ca="1">IFERROR(INDEX(INDIRECT("Table3[Column"&amp;T$9&amp;"]"),MATCH($L52,Table3[[Company name]:[Company name]],0)),0)</f>
        <v>0</v>
      </c>
      <c r="U52" s="1">
        <f ca="1">IFERROR(INDEX(INDIRECT("Table3[Column"&amp;U$9&amp;"]"),MATCH($L52,Table3[[Company name]:[Company name]],0)),0)</f>
        <v>0</v>
      </c>
      <c r="V52" s="1">
        <f ca="1">IFERROR(INDEX(INDIRECT("Table3[Column"&amp;V$9&amp;"]"),MATCH($L52,Table3[[Company name]:[Company name]],0)),0)</f>
        <v>0</v>
      </c>
      <c r="W52" s="1">
        <f ca="1">IFERROR(INDEX(INDIRECT("Table3[Column"&amp;W$9&amp;"]"),MATCH($L52,Table3[[Company name]:[Company name]],0)),0)</f>
        <v>23400</v>
      </c>
      <c r="X52" s="1">
        <f ca="1">IFERROR(INDEX(INDIRECT("Table3[Column"&amp;X$9&amp;"]"),MATCH($L52,Table3[[Company name]:[Company name]],0)),0)</f>
        <v>20700</v>
      </c>
      <c r="Y52" s="1">
        <f ca="1">IFERROR(INDEX(INDIRECT("Table3[Column"&amp;Y$9&amp;"]"),MATCH($L52,Table3[[Company name]:[Company name]],0)),0)</f>
        <v>59400</v>
      </c>
      <c r="Z52" s="1">
        <f ca="1">IFERROR(INDEX(INDIRECT("Table3[Column"&amp;Z$9&amp;"]"),MATCH($L52,Table3[[Company name]:[Company name]],0)),0)</f>
        <v>26100</v>
      </c>
      <c r="AA52" s="1">
        <f ca="1">IFERROR(INDEX(INDIRECT("Table3[Column"&amp;AA$9&amp;"]"),MATCH($L52,Table3[[Company name]:[Company name]],0)),0)</f>
        <v>29700</v>
      </c>
      <c r="AB52" s="1">
        <f ca="1">IFERROR(INDEX(INDIRECT("Table3[Column"&amp;AB$9&amp;"]"),MATCH($L52,Table3[[Company name]:[Company name]],0)),0)</f>
        <v>10800</v>
      </c>
      <c r="AC52" s="1">
        <f ca="1">IFERROR(INDEX(INDIRECT("Table3[Column"&amp;AC$9&amp;"]"),MATCH($L52,Table3[[Company name]:[Company name]],0)),0)</f>
        <v>44100</v>
      </c>
      <c r="AD52" s="1">
        <f ca="1">IFERROR(INDEX(INDIRECT("Table3[Column"&amp;AD$9&amp;"]"),MATCH($L52,Table3[[Company name]:[Company name]],0)),0)</f>
        <v>36000</v>
      </c>
      <c r="AE52" s="1">
        <f ca="1">IFERROR(INDEX(INDIRECT("Table3[Column"&amp;AE$9&amp;"]"),MATCH($L52,Table3[[Company name]:[Company name]],0)),0)</f>
        <v>0</v>
      </c>
      <c r="AF52" s="1">
        <f ca="1">IFERROR(INDEX(INDIRECT("Table3[Column"&amp;AF$9&amp;"]"),MATCH($L52,Table3[[Company name]:[Company name]],0)),0)</f>
        <v>0</v>
      </c>
      <c r="AG52" s="1">
        <f ca="1">IFERROR(INDEX(INDIRECT("Table3[Column"&amp;AG$9&amp;"]"),MATCH($L52,Table3[[Company name]:[Company name]],0)),0)</f>
        <v>0</v>
      </c>
      <c r="AH52" s="1">
        <f ca="1">IFERROR(INDEX(INDIRECT("Table3[Column"&amp;AH$9&amp;"]"),MATCH($L52,Table3[[Company name]:[Company name]],0)),0)</f>
        <v>0</v>
      </c>
      <c r="AI52" s="1">
        <f t="shared" ca="1" si="6"/>
        <v>261000</v>
      </c>
      <c r="AK52" s="1">
        <f ca="1">IF(COUNTIFS($J$7:$J$510,Table7[[#Headers],[Industry Essentials]],$C$7:$C$510,$L52)&gt;0,0,MROUND(R52,100))</f>
        <v>10800</v>
      </c>
      <c r="AL52" s="1">
        <f ca="1">IF(COUNTIFS($J$7:$J$510,Table7[[#Headers],[Energy Supply Market Intelligence]],$C$7:$C$510,$L52)&gt;0,0,MROUND(IFERROR(S52*($P52/$AI52),0),100))</f>
        <v>0</v>
      </c>
      <c r="AM52" s="1">
        <f ca="1">IF(COUNTIFS($J$7:$J$510,Table7[[#Headers],[Energy Supply RTM Analysis]],$C$7:$C$510,$L52)&gt;0,0,MROUND(IFERROR(T52*($P52/$AI52),0),100))</f>
        <v>0</v>
      </c>
      <c r="AN52" s="1">
        <f ca="1">IF(COUNTIFS($J$7:$J$510,Table7[[#Headers],[Energy Supply Forecasts]],$C$7:$C$510,$L52)&gt;0,0,MROUND(IFERROR(U52*($P52/$AI52),0),100))</f>
        <v>0</v>
      </c>
      <c r="AO52" s="1">
        <f ca="1">IF(COUNTIFS($J$7:$J$510,Table7[[#Headers],[Energy Supply Regulation]],$C$7:$C$510,$L52)&gt;0,0,MROUND(IFERROR(V52*($P52/$AI52),0),100))</f>
        <v>0</v>
      </c>
      <c r="AP52" s="1">
        <f ca="1">IF(COUNTIFS($J$7:$J$510,Table7[[#Headers],[Renewables Market Intelligence]],$C$7:$C$510,$L52)&gt;0,0,MROUND(IFERROR(W52*($P52/$AI52),0),100))</f>
        <v>21500</v>
      </c>
      <c r="AQ52" s="1">
        <f ca="1">IF(COUNTIFS($J$7:$J$510,Table7[[#Headers],[Renewables RTM Analysis]],$C$7:$C$510,$L52)&gt;0,0,MROUND(IFERROR(X52*($P52/$AI52),0),100))</f>
        <v>19100</v>
      </c>
      <c r="AR52" s="1">
        <f ca="1">IF(COUNTIFS($J$7:$J$510,Table7[[#Headers],[Renewables Forecasts]],$C$7:$C$510,$L52)&gt;0,0,MROUND(IFERROR(Y52*($P52/$AI52),0),100))</f>
        <v>54700</v>
      </c>
      <c r="AS52" s="1">
        <f ca="1">IF(COUNTIFS($J$7:$J$510,Table7[[#Headers],[Renewables Regulation]],$C$7:$C$510,$L52)&gt;0,0,MROUND(IFERROR(Z52*($P52/$AI52),0),100))</f>
        <v>24000</v>
      </c>
      <c r="AT52" s="1">
        <f ca="1">IF(COUNTIFS($J$7:$J$510,Table7[[#Headers],[Flexibility Market Intelligence]],$C$7:$C$510,$L52)&gt;0,0,MROUND(IFERROR(AA52*($P52/$AI52),0),100))</f>
        <v>27300</v>
      </c>
      <c r="AU52" s="1">
        <f ca="1">IF(COUNTIFS($J$7:$J$510,Table7[[#Headers],[Flexibility RTM Analysis]],$C$7:$C$510,$L52)&gt;0,0,MROUND(IFERROR(AB52*($P52/$AI52),0),100))</f>
        <v>9900</v>
      </c>
      <c r="AV52" s="1">
        <f>IF(COUNTIFS($J$7:$J$510,Table7[[#Headers],[Flexibility Forecasts]],$C$7:$C$510,$L52)&gt;0,0,MROUND(IFERROR(AC52*($P52/$AI52),0),100))</f>
        <v>0</v>
      </c>
      <c r="AW52" s="1">
        <f ca="1">IF(COUNTIFS($J$7:$J$510,Table7[[#Headers],[Flexibility Regulation]],$C$7:$C$510,$L52)&gt;0,0,MROUND(IFERROR(AD52*($P52/$AI52),0),100))</f>
        <v>33100</v>
      </c>
      <c r="AX52" s="1">
        <f ca="1">IF(COUNTIFS($J$7:$J$510,Table7[[#Headers],[Business Energy Essentials]],$C$7:$C$510,$L52)&gt;0,0,MROUND(IFERROR(AE52*($P52/$AI52),0),100))</f>
        <v>0</v>
      </c>
      <c r="AY52" s="1">
        <f ca="1">IF(COUNTIFS($J$7:$J$510,Table7[[#Headers],[Energy User RTM Analysis]],$C$7:$C$510,$L52)&gt;0,0,MROUND(IFERROR(AF52*($P52/$AI52),0),100))</f>
        <v>0</v>
      </c>
      <c r="AZ52" s="1">
        <f ca="1">IF(COUNTIFS($J$7:$J$510,Table7[[#Headers],[Energy User Forecasts]],$C$7:$C$510,$L52)&gt;0,0,MROUND(IFERROR(AG52*($P52/$AI52),0),100))</f>
        <v>0</v>
      </c>
      <c r="BA52" s="1">
        <f ca="1">IF(COUNTIFS($J$7:$J$510,Table7[[#Headers],[Energy User Regulation]],$C$7:$C$510,$L52)&gt;0,0,MROUND(IFERROR(AH52*($P52/$AI52),0),100))</f>
        <v>0</v>
      </c>
    </row>
    <row r="53" spans="2:53">
      <c r="B53" s="38" t="s">
        <v>2088</v>
      </c>
      <c r="C53" s="38" t="s">
        <v>1166</v>
      </c>
      <c r="D53" s="38" t="s">
        <v>2040</v>
      </c>
      <c r="E53" s="38" t="s">
        <v>1799</v>
      </c>
      <c r="F53" s="63">
        <v>7560</v>
      </c>
      <c r="G53" s="38"/>
      <c r="H53" s="38" t="s">
        <v>2032</v>
      </c>
      <c r="I53" s="38" t="s">
        <v>2032</v>
      </c>
      <c r="J53" s="38" t="s">
        <v>20</v>
      </c>
      <c r="L53" s="1" t="str">
        <v>DNV Services UK Limited</v>
      </c>
      <c r="M53" s="1" t="str">
        <f t="shared" si="2"/>
        <v>Other</v>
      </c>
      <c r="N53" s="109">
        <f t="shared" si="3"/>
        <v>7650</v>
      </c>
      <c r="O53" s="1">
        <f>IFERROR(IF(INDEX(Table3[[Total Spend]:[Total Spend]],MATCH(L53,Table3[[Company name]:[Company name]],0))&gt;N53,INDEX(Table3[[Total Spend]:[Total Spend]],MATCH(L53,Table3[[Company name]:[Company name]])),N53),50000)</f>
        <v>250000</v>
      </c>
      <c r="P53" s="109">
        <f t="shared" si="4"/>
        <v>242350</v>
      </c>
      <c r="Q53" s="103">
        <f t="shared" si="5"/>
        <v>3.0599999999999999E-2</v>
      </c>
      <c r="R53" s="1">
        <f ca="1">IFERROR(INDEX(INDIRECT("Table3[Column"&amp;R$9&amp;"]"),MATCH($L53,Table3[[Company name]:[Company name]],0)),0)</f>
        <v>8100</v>
      </c>
      <c r="S53" s="1">
        <f ca="1">IFERROR(INDEX(INDIRECT("Table3[Column"&amp;S$9&amp;"]"),MATCH($L53,Table3[[Company name]:[Company name]],0)),0)</f>
        <v>0</v>
      </c>
      <c r="T53" s="1">
        <f ca="1">IFERROR(INDEX(INDIRECT("Table3[Column"&amp;T$9&amp;"]"),MATCH($L53,Table3[[Company name]:[Company name]],0)),0)</f>
        <v>0</v>
      </c>
      <c r="U53" s="1">
        <f ca="1">IFERROR(INDEX(INDIRECT("Table3[Column"&amp;U$9&amp;"]"),MATCH($L53,Table3[[Company name]:[Company name]],0)),0)</f>
        <v>0</v>
      </c>
      <c r="V53" s="1">
        <f ca="1">IFERROR(INDEX(INDIRECT("Table3[Column"&amp;V$9&amp;"]"),MATCH($L53,Table3[[Company name]:[Company name]],0)),0)</f>
        <v>0</v>
      </c>
      <c r="W53" s="1">
        <f ca="1">IFERROR(INDEX(INDIRECT("Table3[Column"&amp;W$9&amp;"]"),MATCH($L53,Table3[[Company name]:[Company name]],0)),0)</f>
        <v>0</v>
      </c>
      <c r="X53" s="1">
        <f ca="1">IFERROR(INDEX(INDIRECT("Table3[Column"&amp;X$9&amp;"]"),MATCH($L53,Table3[[Company name]:[Company name]],0)),0)</f>
        <v>0</v>
      </c>
      <c r="Y53" s="1">
        <f ca="1">IFERROR(INDEX(INDIRECT("Table3[Column"&amp;Y$9&amp;"]"),MATCH($L53,Table3[[Company name]:[Company name]],0)),0)</f>
        <v>0</v>
      </c>
      <c r="Z53" s="1">
        <f ca="1">IFERROR(INDEX(INDIRECT("Table3[Column"&amp;Z$9&amp;"]"),MATCH($L53,Table3[[Company name]:[Company name]],0)),0)</f>
        <v>0</v>
      </c>
      <c r="AA53" s="1">
        <f ca="1">IFERROR(INDEX(INDIRECT("Table3[Column"&amp;AA$9&amp;"]"),MATCH($L53,Table3[[Company name]:[Company name]],0)),0)</f>
        <v>0</v>
      </c>
      <c r="AB53" s="1">
        <f ca="1">IFERROR(INDEX(INDIRECT("Table3[Column"&amp;AB$9&amp;"]"),MATCH($L53,Table3[[Company name]:[Company name]],0)),0)</f>
        <v>0</v>
      </c>
      <c r="AC53" s="1">
        <f ca="1">IFERROR(INDEX(INDIRECT("Table3[Column"&amp;AC$9&amp;"]"),MATCH($L53,Table3[[Company name]:[Company name]],0)),0)</f>
        <v>0</v>
      </c>
      <c r="AD53" s="1">
        <f ca="1">IFERROR(INDEX(INDIRECT("Table3[Column"&amp;AD$9&amp;"]"),MATCH($L53,Table3[[Company name]:[Company name]],0)),0)</f>
        <v>0</v>
      </c>
      <c r="AE53" s="1">
        <f ca="1">IFERROR(INDEX(INDIRECT("Table3[Column"&amp;AE$9&amp;"]"),MATCH($L53,Table3[[Company name]:[Company name]],0)),0)</f>
        <v>0</v>
      </c>
      <c r="AF53" s="1">
        <f ca="1">IFERROR(INDEX(INDIRECT("Table3[Column"&amp;AF$9&amp;"]"),MATCH($L53,Table3[[Company name]:[Company name]],0)),0)</f>
        <v>0</v>
      </c>
      <c r="AG53" s="1">
        <f ca="1">IFERROR(INDEX(INDIRECT("Table3[Column"&amp;AG$9&amp;"]"),MATCH($L53,Table3[[Company name]:[Company name]],0)),0)</f>
        <v>0</v>
      </c>
      <c r="AH53" s="1">
        <f ca="1">IFERROR(INDEX(INDIRECT("Table3[Column"&amp;AH$9&amp;"]"),MATCH($L53,Table3[[Company name]:[Company name]],0)),0)</f>
        <v>0</v>
      </c>
      <c r="AI53" s="1">
        <f t="shared" ca="1" si="6"/>
        <v>8100</v>
      </c>
      <c r="AK53" s="1">
        <f>IF(COUNTIFS($J$7:$J$510,Table7[[#Headers],[Industry Essentials]],$C$7:$C$510,$L53)&gt;0,0,MROUND(R53,100))</f>
        <v>0</v>
      </c>
      <c r="AL53" s="1">
        <f ca="1">IF(COUNTIFS($J$7:$J$510,Table7[[#Headers],[Energy Supply Market Intelligence]],$C$7:$C$510,$L53)&gt;0,0,MROUND(IFERROR(S53*($P53/$AI53),0),100))</f>
        <v>0</v>
      </c>
      <c r="AM53" s="1">
        <f ca="1">IF(COUNTIFS($J$7:$J$510,Table7[[#Headers],[Energy Supply RTM Analysis]],$C$7:$C$510,$L53)&gt;0,0,MROUND(IFERROR(T53*($P53/$AI53),0),100))</f>
        <v>0</v>
      </c>
      <c r="AN53" s="1">
        <f ca="1">IF(COUNTIFS($J$7:$J$510,Table7[[#Headers],[Energy Supply Forecasts]],$C$7:$C$510,$L53)&gt;0,0,MROUND(IFERROR(U53*($P53/$AI53),0),100))</f>
        <v>0</v>
      </c>
      <c r="AO53" s="1">
        <f ca="1">IF(COUNTIFS($J$7:$J$510,Table7[[#Headers],[Energy Supply Regulation]],$C$7:$C$510,$L53)&gt;0,0,MROUND(IFERROR(V53*($P53/$AI53),0),100))</f>
        <v>0</v>
      </c>
      <c r="AP53" s="1">
        <f ca="1">IF(COUNTIFS($J$7:$J$510,Table7[[#Headers],[Renewables Market Intelligence]],$C$7:$C$510,$L53)&gt;0,0,MROUND(IFERROR(W53*($P53/$AI53),0),100))</f>
        <v>0</v>
      </c>
      <c r="AQ53" s="1">
        <f ca="1">IF(COUNTIFS($J$7:$J$510,Table7[[#Headers],[Renewables RTM Analysis]],$C$7:$C$510,$L53)&gt;0,0,MROUND(IFERROR(X53*($P53/$AI53),0),100))</f>
        <v>0</v>
      </c>
      <c r="AR53" s="1">
        <f ca="1">IF(COUNTIFS($J$7:$J$510,Table7[[#Headers],[Renewables Forecasts]],$C$7:$C$510,$L53)&gt;0,0,MROUND(IFERROR(Y53*($P53/$AI53),0),100))</f>
        <v>0</v>
      </c>
      <c r="AS53" s="1">
        <f ca="1">IF(COUNTIFS($J$7:$J$510,Table7[[#Headers],[Renewables Regulation]],$C$7:$C$510,$L53)&gt;0,0,MROUND(IFERROR(Z53*($P53/$AI53),0),100))</f>
        <v>0</v>
      </c>
      <c r="AT53" s="1">
        <f ca="1">IF(COUNTIFS($J$7:$J$510,Table7[[#Headers],[Flexibility Market Intelligence]],$C$7:$C$510,$L53)&gt;0,0,MROUND(IFERROR(AA53*($P53/$AI53),0),100))</f>
        <v>0</v>
      </c>
      <c r="AU53" s="1">
        <f ca="1">IF(COUNTIFS($J$7:$J$510,Table7[[#Headers],[Flexibility RTM Analysis]],$C$7:$C$510,$L53)&gt;0,0,MROUND(IFERROR(AB53*($P53/$AI53),0),100))</f>
        <v>0</v>
      </c>
      <c r="AV53" s="1">
        <f ca="1">IF(COUNTIFS($J$7:$J$510,Table7[[#Headers],[Flexibility Forecasts]],$C$7:$C$510,$L53)&gt;0,0,MROUND(IFERROR(AC53*($P53/$AI53),0),100))</f>
        <v>0</v>
      </c>
      <c r="AW53" s="1">
        <f ca="1">IF(COUNTIFS($J$7:$J$510,Table7[[#Headers],[Flexibility Regulation]],$C$7:$C$510,$L53)&gt;0,0,MROUND(IFERROR(AD53*($P53/$AI53),0),100))</f>
        <v>0</v>
      </c>
      <c r="AX53" s="1">
        <f ca="1">IF(COUNTIFS($J$7:$J$510,Table7[[#Headers],[Business Energy Essentials]],$C$7:$C$510,$L53)&gt;0,0,MROUND(IFERROR(AE53*($P53/$AI53),0),100))</f>
        <v>0</v>
      </c>
      <c r="AY53" s="1">
        <f ca="1">IF(COUNTIFS($J$7:$J$510,Table7[[#Headers],[Energy User RTM Analysis]],$C$7:$C$510,$L53)&gt;0,0,MROUND(IFERROR(AF53*($P53/$AI53),0),100))</f>
        <v>0</v>
      </c>
      <c r="AZ53" s="1">
        <f ca="1">IF(COUNTIFS($J$7:$J$510,Table7[[#Headers],[Energy User Forecasts]],$C$7:$C$510,$L53)&gt;0,0,MROUND(IFERROR(AG53*($P53/$AI53),0),100))</f>
        <v>0</v>
      </c>
      <c r="BA53" s="1">
        <f ca="1">IF(COUNTIFS($J$7:$J$510,Table7[[#Headers],[Energy User Regulation]],$C$7:$C$510,$L53)&gt;0,0,MROUND(IFERROR(AH53*($P53/$AI53),0),100))</f>
        <v>0</v>
      </c>
    </row>
    <row r="54" spans="2:53">
      <c r="B54" s="38" t="s">
        <v>2089</v>
      </c>
      <c r="C54" s="38" t="s">
        <v>496</v>
      </c>
      <c r="D54" s="38" t="s">
        <v>2040</v>
      </c>
      <c r="E54" s="38" t="s">
        <v>1799</v>
      </c>
      <c r="F54" s="63">
        <v>2850</v>
      </c>
      <c r="G54" s="38"/>
      <c r="H54" s="38" t="s">
        <v>1703</v>
      </c>
      <c r="I54" s="38" t="s">
        <v>2032</v>
      </c>
      <c r="J54" s="38" t="s">
        <v>20</v>
      </c>
      <c r="L54" s="1" t="str">
        <v>Drax Power Limited</v>
      </c>
      <c r="M54" s="1" t="str">
        <f t="shared" si="2"/>
        <v>Renewables</v>
      </c>
      <c r="N54" s="109">
        <f t="shared" si="3"/>
        <v>73430</v>
      </c>
      <c r="O54" s="1">
        <f>IFERROR(IF(INDEX(Table3[[Total Spend]:[Total Spend]],MATCH(L54,Table3[[Company name]:[Company name]],0))&gt;N54,INDEX(Table3[[Total Spend]:[Total Spend]],MATCH(L54,Table3[[Company name]:[Company name]])),N54),50000)</f>
        <v>250000</v>
      </c>
      <c r="P54" s="109">
        <f t="shared" si="4"/>
        <v>176570</v>
      </c>
      <c r="Q54" s="103">
        <f t="shared" si="5"/>
        <v>0.29371999999999998</v>
      </c>
      <c r="R54" s="1">
        <f ca="1">IFERROR(INDEX(INDIRECT("Table3[Column"&amp;R$9&amp;"]"),MATCH($L54,Table3[[Company name]:[Company name]],0)),0)</f>
        <v>10800</v>
      </c>
      <c r="S54" s="1">
        <f ca="1">IFERROR(INDEX(INDIRECT("Table3[Column"&amp;S$9&amp;"]"),MATCH($L54,Table3[[Company name]:[Company name]],0)),0)</f>
        <v>43200</v>
      </c>
      <c r="T54" s="1">
        <f ca="1">IFERROR(INDEX(INDIRECT("Table3[Column"&amp;T$9&amp;"]"),MATCH($L54,Table3[[Company name]:[Company name]],0)),0)</f>
        <v>73800</v>
      </c>
      <c r="U54" s="1">
        <f ca="1">IFERROR(INDEX(INDIRECT("Table3[Column"&amp;U$9&amp;"]"),MATCH($L54,Table3[[Company name]:[Company name]],0)),0)</f>
        <v>48600</v>
      </c>
      <c r="V54" s="1">
        <f ca="1">IFERROR(INDEX(INDIRECT("Table3[Column"&amp;V$9&amp;"]"),MATCH($L54,Table3[[Company name]:[Company name]],0)),0)</f>
        <v>55800</v>
      </c>
      <c r="W54" s="1">
        <f ca="1">IFERROR(INDEX(INDIRECT("Table3[Column"&amp;W$9&amp;"]"),MATCH($L54,Table3[[Company name]:[Company name]],0)),0)</f>
        <v>23400</v>
      </c>
      <c r="X54" s="1">
        <f ca="1">IFERROR(INDEX(INDIRECT("Table3[Column"&amp;X$9&amp;"]"),MATCH($L54,Table3[[Company name]:[Company name]],0)),0)</f>
        <v>20700</v>
      </c>
      <c r="Y54" s="1">
        <f ca="1">IFERROR(INDEX(INDIRECT("Table3[Column"&amp;Y$9&amp;"]"),MATCH($L54,Table3[[Company name]:[Company name]],0)),0)</f>
        <v>59400</v>
      </c>
      <c r="Z54" s="1">
        <f ca="1">IFERROR(INDEX(INDIRECT("Table3[Column"&amp;Z$9&amp;"]"),MATCH($L54,Table3[[Company name]:[Company name]],0)),0)</f>
        <v>26100</v>
      </c>
      <c r="AA54" s="1">
        <f ca="1">IFERROR(INDEX(INDIRECT("Table3[Column"&amp;AA$9&amp;"]"),MATCH($L54,Table3[[Company name]:[Company name]],0)),0)</f>
        <v>29700</v>
      </c>
      <c r="AB54" s="1">
        <f ca="1">IFERROR(INDEX(INDIRECT("Table3[Column"&amp;AB$9&amp;"]"),MATCH($L54,Table3[[Company name]:[Company name]],0)),0)</f>
        <v>10800</v>
      </c>
      <c r="AC54" s="1">
        <f ca="1">IFERROR(INDEX(INDIRECT("Table3[Column"&amp;AC$9&amp;"]"),MATCH($L54,Table3[[Company name]:[Company name]],0)),0)</f>
        <v>44100</v>
      </c>
      <c r="AD54" s="1">
        <f ca="1">IFERROR(INDEX(INDIRECT("Table3[Column"&amp;AD$9&amp;"]"),MATCH($L54,Table3[[Company name]:[Company name]],0)),0)</f>
        <v>36000</v>
      </c>
      <c r="AE54" s="1">
        <f ca="1">IFERROR(INDEX(INDIRECT("Table3[Column"&amp;AE$9&amp;"]"),MATCH($L54,Table3[[Company name]:[Company name]],0)),0)</f>
        <v>0</v>
      </c>
      <c r="AF54" s="1">
        <f ca="1">IFERROR(INDEX(INDIRECT("Table3[Column"&amp;AF$9&amp;"]"),MATCH($L54,Table3[[Company name]:[Company name]],0)),0)</f>
        <v>0</v>
      </c>
      <c r="AG54" s="1">
        <f ca="1">IFERROR(INDEX(INDIRECT("Table3[Column"&amp;AG$9&amp;"]"),MATCH($L54,Table3[[Company name]:[Company name]],0)),0)</f>
        <v>0</v>
      </c>
      <c r="AH54" s="1">
        <f ca="1">IFERROR(INDEX(INDIRECT("Table3[Column"&amp;AH$9&amp;"]"),MATCH($L54,Table3[[Company name]:[Company name]],0)),0)</f>
        <v>0</v>
      </c>
      <c r="AI54" s="1">
        <f t="shared" ca="1" si="6"/>
        <v>482400</v>
      </c>
      <c r="AK54" s="1">
        <f>IF(COUNTIFS($J$7:$J$510,Table7[[#Headers],[Industry Essentials]],$C$7:$C$510,$L54)&gt;0,0,MROUND(R54,100))</f>
        <v>0</v>
      </c>
      <c r="AL54" s="1">
        <f ca="1">IF(COUNTIFS($J$7:$J$510,Table7[[#Headers],[Energy Supply Market Intelligence]],$C$7:$C$510,$L54)&gt;0,0,MROUND(IFERROR(S54*($P54/$AI54),0),100))</f>
        <v>15800</v>
      </c>
      <c r="AM54" s="1">
        <f>IF(COUNTIFS($J$7:$J$510,Table7[[#Headers],[Energy Supply RTM Analysis]],$C$7:$C$510,$L54)&gt;0,0,MROUND(IFERROR(T54*($P54/$AI54),0),100))</f>
        <v>0</v>
      </c>
      <c r="AN54" s="1">
        <f ca="1">IF(COUNTIFS($J$7:$J$510,Table7[[#Headers],[Energy Supply Forecasts]],$C$7:$C$510,$L54)&gt;0,0,MROUND(IFERROR(U54*($P54/$AI54),0),100))</f>
        <v>17800</v>
      </c>
      <c r="AO54" s="1">
        <f ca="1">IF(COUNTIFS($J$7:$J$510,Table7[[#Headers],[Energy Supply Regulation]],$C$7:$C$510,$L54)&gt;0,0,MROUND(IFERROR(V54*($P54/$AI54),0),100))</f>
        <v>20400</v>
      </c>
      <c r="AP54" s="1">
        <f ca="1">IF(COUNTIFS($J$7:$J$510,Table7[[#Headers],[Renewables Market Intelligence]],$C$7:$C$510,$L54)&gt;0,0,MROUND(IFERROR(W54*($P54/$AI54),0),100))</f>
        <v>8600</v>
      </c>
      <c r="AQ54" s="1">
        <f>IF(COUNTIFS($J$7:$J$510,Table7[[#Headers],[Renewables RTM Analysis]],$C$7:$C$510,$L54)&gt;0,0,MROUND(IFERROR(X54*($P54/$AI54),0),100))</f>
        <v>0</v>
      </c>
      <c r="AR54" s="1">
        <f ca="1">IF(COUNTIFS($J$7:$J$510,Table7[[#Headers],[Renewables Forecasts]],$C$7:$C$510,$L54)&gt;0,0,MROUND(IFERROR(Y54*($P54/$AI54),0),100))</f>
        <v>21700</v>
      </c>
      <c r="AS54" s="1">
        <f ca="1">IF(COUNTIFS($J$7:$J$510,Table7[[#Headers],[Renewables Regulation]],$C$7:$C$510,$L54)&gt;0,0,MROUND(IFERROR(Z54*($P54/$AI54),0),100))</f>
        <v>9600</v>
      </c>
      <c r="AT54" s="1">
        <f ca="1">IF(COUNTIFS($J$7:$J$510,Table7[[#Headers],[Flexibility Market Intelligence]],$C$7:$C$510,$L54)&gt;0,0,MROUND(IFERROR(AA54*($P54/$AI54),0),100))</f>
        <v>10900</v>
      </c>
      <c r="AU54" s="1">
        <f ca="1">IF(COUNTIFS($J$7:$J$510,Table7[[#Headers],[Flexibility RTM Analysis]],$C$7:$C$510,$L54)&gt;0,0,MROUND(IFERROR(AB54*($P54/$AI54),0),100))</f>
        <v>4000</v>
      </c>
      <c r="AV54" s="1">
        <f ca="1">IF(COUNTIFS($J$7:$J$510,Table7[[#Headers],[Flexibility Forecasts]],$C$7:$C$510,$L54)&gt;0,0,MROUND(IFERROR(AC54*($P54/$AI54),0),100))</f>
        <v>16100</v>
      </c>
      <c r="AW54" s="1">
        <f ca="1">IF(COUNTIFS($J$7:$J$510,Table7[[#Headers],[Flexibility Regulation]],$C$7:$C$510,$L54)&gt;0,0,MROUND(IFERROR(AD54*($P54/$AI54),0),100))</f>
        <v>13200</v>
      </c>
      <c r="AX54" s="1">
        <f ca="1">IF(COUNTIFS($J$7:$J$510,Table7[[#Headers],[Business Energy Essentials]],$C$7:$C$510,$L54)&gt;0,0,MROUND(IFERROR(AE54*($P54/$AI54),0),100))</f>
        <v>0</v>
      </c>
      <c r="AY54" s="1">
        <f ca="1">IF(COUNTIFS($J$7:$J$510,Table7[[#Headers],[Energy User RTM Analysis]],$C$7:$C$510,$L54)&gt;0,0,MROUND(IFERROR(AF54*($P54/$AI54),0),100))</f>
        <v>0</v>
      </c>
      <c r="AZ54" s="1">
        <f ca="1">IF(COUNTIFS($J$7:$J$510,Table7[[#Headers],[Energy User Forecasts]],$C$7:$C$510,$L54)&gt;0,0,MROUND(IFERROR(AG54*($P54/$AI54),0),100))</f>
        <v>0</v>
      </c>
      <c r="BA54" s="1">
        <f ca="1">IF(COUNTIFS($J$7:$J$510,Table7[[#Headers],[Energy User Regulation]],$C$7:$C$510,$L54)&gt;0,0,MROUND(IFERROR(AH54*($P54/$AI54),0),100))</f>
        <v>0</v>
      </c>
    </row>
    <row r="55" spans="2:53">
      <c r="B55" s="38" t="s">
        <v>2090</v>
      </c>
      <c r="C55" s="38" t="s">
        <v>838</v>
      </c>
      <c r="D55" s="38" t="s">
        <v>2035</v>
      </c>
      <c r="E55" s="38" t="s">
        <v>1855</v>
      </c>
      <c r="F55" s="63">
        <v>1650</v>
      </c>
      <c r="G55" s="38"/>
      <c r="H55" s="38" t="s">
        <v>191</v>
      </c>
      <c r="I55" s="38" t="s">
        <v>2032</v>
      </c>
      <c r="J55" s="38" t="s">
        <v>20</v>
      </c>
      <c r="L55" s="1" t="str">
        <v>DWR Cymru Welsh Water</v>
      </c>
      <c r="M55" s="1" t="str">
        <f t="shared" si="2"/>
        <v>Energy User</v>
      </c>
      <c r="N55" s="109">
        <f t="shared" si="3"/>
        <v>6114.88</v>
      </c>
      <c r="O55" s="1">
        <f>IFERROR(IF(INDEX(Table3[[Total Spend]:[Total Spend]],MATCH(L55,Table3[[Company name]:[Company name]],0))&gt;N55,INDEX(Table3[[Total Spend]:[Total Spend]],MATCH(L55,Table3[[Company name]:[Company name]])),N55),50000)</f>
        <v>250000</v>
      </c>
      <c r="P55" s="109">
        <f t="shared" si="4"/>
        <v>243885.12</v>
      </c>
      <c r="Q55" s="103">
        <f t="shared" si="5"/>
        <v>2.4459520000000002E-2</v>
      </c>
      <c r="R55" s="1">
        <f ca="1">IFERROR(INDEX(INDIRECT("Table3[Column"&amp;R$9&amp;"]"),MATCH($L55,Table3[[Company name]:[Company name]],0)),0)</f>
        <v>10800</v>
      </c>
      <c r="S55" s="1">
        <f ca="1">IFERROR(INDEX(INDIRECT("Table3[Column"&amp;S$9&amp;"]"),MATCH($L55,Table3[[Company name]:[Company name]],0)),0)</f>
        <v>0</v>
      </c>
      <c r="T55" s="1">
        <f ca="1">IFERROR(INDEX(INDIRECT("Table3[Column"&amp;T$9&amp;"]"),MATCH($L55,Table3[[Company name]:[Company name]],0)),0)</f>
        <v>0</v>
      </c>
      <c r="U55" s="1">
        <f ca="1">IFERROR(INDEX(INDIRECT("Table3[Column"&amp;U$9&amp;"]"),MATCH($L55,Table3[[Company name]:[Company name]],0)),0)</f>
        <v>0</v>
      </c>
      <c r="V55" s="1">
        <f ca="1">IFERROR(INDEX(INDIRECT("Table3[Column"&amp;V$9&amp;"]"),MATCH($L55,Table3[[Company name]:[Company name]],0)),0)</f>
        <v>0</v>
      </c>
      <c r="W55" s="1">
        <f ca="1">IFERROR(INDEX(INDIRECT("Table3[Column"&amp;W$9&amp;"]"),MATCH($L55,Table3[[Company name]:[Company name]],0)),0)</f>
        <v>23400</v>
      </c>
      <c r="X55" s="1">
        <f ca="1">IFERROR(INDEX(INDIRECT("Table3[Column"&amp;X$9&amp;"]"),MATCH($L55,Table3[[Company name]:[Company name]],0)),0)</f>
        <v>20700</v>
      </c>
      <c r="Y55" s="1">
        <f ca="1">IFERROR(INDEX(INDIRECT("Table3[Column"&amp;Y$9&amp;"]"),MATCH($L55,Table3[[Company name]:[Company name]],0)),0)</f>
        <v>59400</v>
      </c>
      <c r="Z55" s="1">
        <f ca="1">IFERROR(INDEX(INDIRECT("Table3[Column"&amp;Z$9&amp;"]"),MATCH($L55,Table3[[Company name]:[Company name]],0)),0)</f>
        <v>26100</v>
      </c>
      <c r="AA55" s="1">
        <f ca="1">IFERROR(INDEX(INDIRECT("Table3[Column"&amp;AA$9&amp;"]"),MATCH($L55,Table3[[Company name]:[Company name]],0)),0)</f>
        <v>0</v>
      </c>
      <c r="AB55" s="1">
        <f ca="1">IFERROR(INDEX(INDIRECT("Table3[Column"&amp;AB$9&amp;"]"),MATCH($L55,Table3[[Company name]:[Company name]],0)),0)</f>
        <v>0</v>
      </c>
      <c r="AC55" s="1">
        <f ca="1">IFERROR(INDEX(INDIRECT("Table3[Column"&amp;AC$9&amp;"]"),MATCH($L55,Table3[[Company name]:[Company name]],0)),0)</f>
        <v>0</v>
      </c>
      <c r="AD55" s="1">
        <f ca="1">IFERROR(INDEX(INDIRECT("Table3[Column"&amp;AD$9&amp;"]"),MATCH($L55,Table3[[Company name]:[Company name]],0)),0)</f>
        <v>0</v>
      </c>
      <c r="AE55" s="1">
        <f ca="1">IFERROR(INDEX(INDIRECT("Table3[Column"&amp;AE$9&amp;"]"),MATCH($L55,Table3[[Company name]:[Company name]],0)),0)</f>
        <v>15300</v>
      </c>
      <c r="AF55" s="1">
        <f ca="1">IFERROR(INDEX(INDIRECT("Table3[Column"&amp;AF$9&amp;"]"),MATCH($L55,Table3[[Company name]:[Company name]],0)),0)</f>
        <v>15750</v>
      </c>
      <c r="AG55" s="1">
        <f ca="1">IFERROR(INDEX(INDIRECT("Table3[Column"&amp;AG$9&amp;"]"),MATCH($L55,Table3[[Company name]:[Company name]],0)),0)</f>
        <v>27000</v>
      </c>
      <c r="AH55" s="1">
        <f ca="1">IFERROR(INDEX(INDIRECT("Table3[Column"&amp;AH$9&amp;"]"),MATCH($L55,Table3[[Company name]:[Company name]],0)),0)</f>
        <v>6300</v>
      </c>
      <c r="AI55" s="1">
        <f t="shared" ca="1" si="6"/>
        <v>204750</v>
      </c>
      <c r="AK55" s="1">
        <f ca="1">IF(COUNTIFS($J$7:$J$510,Table7[[#Headers],[Industry Essentials]],$C$7:$C$510,$L55)&gt;0,0,MROUND(R55,100))</f>
        <v>10800</v>
      </c>
      <c r="AL55" s="1">
        <f ca="1">IF(COUNTIFS($J$7:$J$510,Table7[[#Headers],[Energy Supply Market Intelligence]],$C$7:$C$510,$L55)&gt;0,0,MROUND(IFERROR(S55*($P55/$AI55),0),100))</f>
        <v>0</v>
      </c>
      <c r="AM55" s="1">
        <f ca="1">IF(COUNTIFS($J$7:$J$510,Table7[[#Headers],[Energy Supply RTM Analysis]],$C$7:$C$510,$L55)&gt;0,0,MROUND(IFERROR(T55*($P55/$AI55),0),100))</f>
        <v>0</v>
      </c>
      <c r="AN55" s="1">
        <f ca="1">IF(COUNTIFS($J$7:$J$510,Table7[[#Headers],[Energy Supply Forecasts]],$C$7:$C$510,$L55)&gt;0,0,MROUND(IFERROR(U55*($P55/$AI55),0),100))</f>
        <v>0</v>
      </c>
      <c r="AO55" s="1">
        <f ca="1">IF(COUNTIFS($J$7:$J$510,Table7[[#Headers],[Energy Supply Regulation]],$C$7:$C$510,$L55)&gt;0,0,MROUND(IFERROR(V55*($P55/$AI55),0),100))</f>
        <v>0</v>
      </c>
      <c r="AP55" s="1">
        <f ca="1">IF(COUNTIFS($J$7:$J$510,Table7[[#Headers],[Renewables Market Intelligence]],$C$7:$C$510,$L55)&gt;0,0,MROUND(IFERROR(W55*($P55/$AI55),0),100))</f>
        <v>27900</v>
      </c>
      <c r="AQ55" s="1">
        <f ca="1">IF(COUNTIFS($J$7:$J$510,Table7[[#Headers],[Renewables RTM Analysis]],$C$7:$C$510,$L55)&gt;0,0,MROUND(IFERROR(X55*($P55/$AI55),0),100))</f>
        <v>24700</v>
      </c>
      <c r="AR55" s="1">
        <f ca="1">IF(COUNTIFS($J$7:$J$510,Table7[[#Headers],[Renewables Forecasts]],$C$7:$C$510,$L55)&gt;0,0,MROUND(IFERROR(Y55*($P55/$AI55),0),100))</f>
        <v>70800</v>
      </c>
      <c r="AS55" s="1">
        <f ca="1">IF(COUNTIFS($J$7:$J$510,Table7[[#Headers],[Renewables Regulation]],$C$7:$C$510,$L55)&gt;0,0,MROUND(IFERROR(Z55*($P55/$AI55),0),100))</f>
        <v>31100</v>
      </c>
      <c r="AT55" s="1">
        <f ca="1">IF(COUNTIFS($J$7:$J$510,Table7[[#Headers],[Flexibility Market Intelligence]],$C$7:$C$510,$L55)&gt;0,0,MROUND(IFERROR(AA55*($P55/$AI55),0),100))</f>
        <v>0</v>
      </c>
      <c r="AU55" s="1">
        <f ca="1">IF(COUNTIFS($J$7:$J$510,Table7[[#Headers],[Flexibility RTM Analysis]],$C$7:$C$510,$L55)&gt;0,0,MROUND(IFERROR(AB55*($P55/$AI55),0),100))</f>
        <v>0</v>
      </c>
      <c r="AV55" s="1">
        <f ca="1">IF(COUNTIFS($J$7:$J$510,Table7[[#Headers],[Flexibility Forecasts]],$C$7:$C$510,$L55)&gt;0,0,MROUND(IFERROR(AC55*($P55/$AI55),0),100))</f>
        <v>0</v>
      </c>
      <c r="AW55" s="1">
        <f ca="1">IF(COUNTIFS($J$7:$J$510,Table7[[#Headers],[Flexibility Regulation]],$C$7:$C$510,$L55)&gt;0,0,MROUND(IFERROR(AD55*($P55/$AI55),0),100))</f>
        <v>0</v>
      </c>
      <c r="AX55" s="1">
        <f ca="1">IF(COUNTIFS($J$7:$J$510,Table7[[#Headers],[Business Energy Essentials]],$C$7:$C$510,$L55)&gt;0,0,MROUND(IFERROR(AE55*($P55/$AI55),0),100))</f>
        <v>18200</v>
      </c>
      <c r="AY55" s="1">
        <f ca="1">IF(COUNTIFS($J$7:$J$510,Table7[[#Headers],[Energy User RTM Analysis]],$C$7:$C$510,$L55)&gt;0,0,MROUND(IFERROR(AF55*($P55/$AI55),0),100))</f>
        <v>18800</v>
      </c>
      <c r="AZ55" s="1">
        <f>IF(COUNTIFS($J$7:$J$510,Table7[[#Headers],[Energy User Forecasts]],$C$7:$C$510,$L55)&gt;0,0,MROUND(IFERROR(AG55*($P55/$AI55),0),100))</f>
        <v>0</v>
      </c>
      <c r="BA55" s="1">
        <f ca="1">IF(COUNTIFS($J$7:$J$510,Table7[[#Headers],[Energy User Regulation]],$C$7:$C$510,$L55)&gt;0,0,MROUND(IFERROR(AH55*($P55/$AI55),0),100))</f>
        <v>7500</v>
      </c>
    </row>
    <row r="56" spans="2:53">
      <c r="B56" s="38" t="s">
        <v>2091</v>
      </c>
      <c r="C56" s="38" t="s">
        <v>1178</v>
      </c>
      <c r="D56" s="38" t="s">
        <v>2035</v>
      </c>
      <c r="E56" s="38" t="s">
        <v>1855</v>
      </c>
      <c r="F56" s="63">
        <v>3190</v>
      </c>
      <c r="G56" s="38"/>
      <c r="H56" s="38" t="s">
        <v>2032</v>
      </c>
      <c r="I56" s="38" t="s">
        <v>2032</v>
      </c>
      <c r="J56" s="38" t="s">
        <v>20</v>
      </c>
      <c r="L56" s="1" t="str">
        <v>E.ON UK PLC</v>
      </c>
      <c r="M56" s="1" t="str">
        <f t="shared" si="2"/>
        <v>Energy User</v>
      </c>
      <c r="N56" s="109">
        <f t="shared" si="3"/>
        <v>75000</v>
      </c>
      <c r="O56" s="1">
        <f>IFERROR(IF(INDEX(Table3[[Total Spend]:[Total Spend]],MATCH(L56,Table3[[Company name]:[Company name]],0))&gt;N56,INDEX(Table3[[Total Spend]:[Total Spend]],MATCH(L56,Table3[[Company name]:[Company name]])),N56),50000)</f>
        <v>250000</v>
      </c>
      <c r="P56" s="109">
        <f t="shared" si="4"/>
        <v>175000</v>
      </c>
      <c r="Q56" s="103">
        <f t="shared" si="5"/>
        <v>0.3</v>
      </c>
      <c r="R56" s="1">
        <f ca="1">IFERROR(INDEX(INDIRECT("Table3[Column"&amp;R$9&amp;"]"),MATCH($L56,Table3[[Company name]:[Company name]],0)),0)</f>
        <v>10800</v>
      </c>
      <c r="S56" s="1">
        <f ca="1">IFERROR(INDEX(INDIRECT("Table3[Column"&amp;S$9&amp;"]"),MATCH($L56,Table3[[Company name]:[Company name]],0)),0)</f>
        <v>43200</v>
      </c>
      <c r="T56" s="1">
        <f ca="1">IFERROR(INDEX(INDIRECT("Table3[Column"&amp;T$9&amp;"]"),MATCH($L56,Table3[[Company name]:[Company name]],0)),0)</f>
        <v>73800</v>
      </c>
      <c r="U56" s="1">
        <f ca="1">IFERROR(INDEX(INDIRECT("Table3[Column"&amp;U$9&amp;"]"),MATCH($L56,Table3[[Company name]:[Company name]],0)),0)</f>
        <v>48600</v>
      </c>
      <c r="V56" s="1">
        <f ca="1">IFERROR(INDEX(INDIRECT("Table3[Column"&amp;V$9&amp;"]"),MATCH($L56,Table3[[Company name]:[Company name]],0)),0)</f>
        <v>55800</v>
      </c>
      <c r="W56" s="1">
        <f ca="1">IFERROR(INDEX(INDIRECT("Table3[Column"&amp;W$9&amp;"]"),MATCH($L56,Table3[[Company name]:[Company name]],0)),0)</f>
        <v>23400</v>
      </c>
      <c r="X56" s="1">
        <f ca="1">IFERROR(INDEX(INDIRECT("Table3[Column"&amp;X$9&amp;"]"),MATCH($L56,Table3[[Company name]:[Company name]],0)),0)</f>
        <v>20700</v>
      </c>
      <c r="Y56" s="1">
        <f ca="1">IFERROR(INDEX(INDIRECT("Table3[Column"&amp;Y$9&amp;"]"),MATCH($L56,Table3[[Company name]:[Company name]],0)),0)</f>
        <v>59400</v>
      </c>
      <c r="Z56" s="1">
        <f ca="1">IFERROR(INDEX(INDIRECT("Table3[Column"&amp;Z$9&amp;"]"),MATCH($L56,Table3[[Company name]:[Company name]],0)),0)</f>
        <v>26100</v>
      </c>
      <c r="AA56" s="1">
        <f ca="1">IFERROR(INDEX(INDIRECT("Table3[Column"&amp;AA$9&amp;"]"),MATCH($L56,Table3[[Company name]:[Company name]],0)),0)</f>
        <v>29700</v>
      </c>
      <c r="AB56" s="1">
        <f ca="1">IFERROR(INDEX(INDIRECT("Table3[Column"&amp;AB$9&amp;"]"),MATCH($L56,Table3[[Company name]:[Company name]],0)),0)</f>
        <v>10800</v>
      </c>
      <c r="AC56" s="1">
        <f ca="1">IFERROR(INDEX(INDIRECT("Table3[Column"&amp;AC$9&amp;"]"),MATCH($L56,Table3[[Company name]:[Company name]],0)),0)</f>
        <v>44100</v>
      </c>
      <c r="AD56" s="1">
        <f ca="1">IFERROR(INDEX(INDIRECT("Table3[Column"&amp;AD$9&amp;"]"),MATCH($L56,Table3[[Company name]:[Company name]],0)),0)</f>
        <v>36000</v>
      </c>
      <c r="AE56" s="1">
        <f ca="1">IFERROR(INDEX(INDIRECT("Table3[Column"&amp;AE$9&amp;"]"),MATCH($L56,Table3[[Company name]:[Company name]],0)),0)</f>
        <v>0</v>
      </c>
      <c r="AF56" s="1">
        <f ca="1">IFERROR(INDEX(INDIRECT("Table3[Column"&amp;AF$9&amp;"]"),MATCH($L56,Table3[[Company name]:[Company name]],0)),0)</f>
        <v>0</v>
      </c>
      <c r="AG56" s="1">
        <f ca="1">IFERROR(INDEX(INDIRECT("Table3[Column"&amp;AG$9&amp;"]"),MATCH($L56,Table3[[Company name]:[Company name]],0)),0)</f>
        <v>0</v>
      </c>
      <c r="AH56" s="1">
        <f ca="1">IFERROR(INDEX(INDIRECT("Table3[Column"&amp;AH$9&amp;"]"),MATCH($L56,Table3[[Company name]:[Company name]],0)),0)</f>
        <v>0</v>
      </c>
      <c r="AI56" s="1">
        <f t="shared" ca="1" si="6"/>
        <v>482400</v>
      </c>
      <c r="AK56" s="1">
        <f>IF(COUNTIFS($J$7:$J$510,Table7[[#Headers],[Industry Essentials]],$C$7:$C$510,$L56)&gt;0,0,MROUND(R56,100))</f>
        <v>0</v>
      </c>
      <c r="AL56" s="1">
        <f>IF(COUNTIFS($J$7:$J$510,Table7[[#Headers],[Energy Supply Market Intelligence]],$C$7:$C$510,$L56)&gt;0,0,MROUND(IFERROR(S56*($P56/$AI56),0),100))</f>
        <v>0</v>
      </c>
      <c r="AM56" s="1">
        <f ca="1">IF(COUNTIFS($J$7:$J$510,Table7[[#Headers],[Energy Supply RTM Analysis]],$C$7:$C$510,$L56)&gt;0,0,MROUND(IFERROR(T56*($P56/$AI56),0),100))</f>
        <v>26800</v>
      </c>
      <c r="AN56" s="1">
        <f ca="1">IF(COUNTIFS($J$7:$J$510,Table7[[#Headers],[Energy Supply Forecasts]],$C$7:$C$510,$L56)&gt;0,0,MROUND(IFERROR(U56*($P56/$AI56),0),100))</f>
        <v>17600</v>
      </c>
      <c r="AO56" s="1">
        <f ca="1">IF(COUNTIFS($J$7:$J$510,Table7[[#Headers],[Energy Supply Regulation]],$C$7:$C$510,$L56)&gt;0,0,MROUND(IFERROR(V56*($P56/$AI56),0),100))</f>
        <v>20200</v>
      </c>
      <c r="AP56" s="1">
        <f ca="1">IF(COUNTIFS($J$7:$J$510,Table7[[#Headers],[Renewables Market Intelligence]],$C$7:$C$510,$L56)&gt;0,0,MROUND(IFERROR(W56*($P56/$AI56),0),100))</f>
        <v>8500</v>
      </c>
      <c r="AQ56" s="1">
        <f ca="1">IF(COUNTIFS($J$7:$J$510,Table7[[#Headers],[Renewables RTM Analysis]],$C$7:$C$510,$L56)&gt;0,0,MROUND(IFERROR(X56*($P56/$AI56),0),100))</f>
        <v>7500</v>
      </c>
      <c r="AR56" s="1">
        <f ca="1">IF(COUNTIFS($J$7:$J$510,Table7[[#Headers],[Renewables Forecasts]],$C$7:$C$510,$L56)&gt;0,0,MROUND(IFERROR(Y56*($P56/$AI56),0),100))</f>
        <v>21500</v>
      </c>
      <c r="AS56" s="1">
        <f ca="1">IF(COUNTIFS($J$7:$J$510,Table7[[#Headers],[Renewables Regulation]],$C$7:$C$510,$L56)&gt;0,0,MROUND(IFERROR(Z56*($P56/$AI56),0),100))</f>
        <v>9500</v>
      </c>
      <c r="AT56" s="1">
        <f ca="1">IF(COUNTIFS($J$7:$J$510,Table7[[#Headers],[Flexibility Market Intelligence]],$C$7:$C$510,$L56)&gt;0,0,MROUND(IFERROR(AA56*($P56/$AI56),0),100))</f>
        <v>10800</v>
      </c>
      <c r="AU56" s="1">
        <f ca="1">IF(COUNTIFS($J$7:$J$510,Table7[[#Headers],[Flexibility RTM Analysis]],$C$7:$C$510,$L56)&gt;0,0,MROUND(IFERROR(AB56*($P56/$AI56),0),100))</f>
        <v>3900</v>
      </c>
      <c r="AV56" s="1">
        <f ca="1">IF(COUNTIFS($J$7:$J$510,Table7[[#Headers],[Flexibility Forecasts]],$C$7:$C$510,$L56)&gt;0,0,MROUND(IFERROR(AC56*($P56/$AI56),0),100))</f>
        <v>16000</v>
      </c>
      <c r="AW56" s="1">
        <f ca="1">IF(COUNTIFS($J$7:$J$510,Table7[[#Headers],[Flexibility Regulation]],$C$7:$C$510,$L56)&gt;0,0,MROUND(IFERROR(AD56*($P56/$AI56),0),100))</f>
        <v>13100</v>
      </c>
      <c r="AX56" s="1">
        <f ca="1">IF(COUNTIFS($J$7:$J$510,Table7[[#Headers],[Business Energy Essentials]],$C$7:$C$510,$L56)&gt;0,0,MROUND(IFERROR(AE56*($P56/$AI56),0),100))</f>
        <v>0</v>
      </c>
      <c r="AY56" s="1">
        <f>IF(COUNTIFS($J$7:$J$510,Table7[[#Headers],[Energy User RTM Analysis]],$C$7:$C$510,$L56)&gt;0,0,MROUND(IFERROR(AF56*($P56/$AI56),0),100))</f>
        <v>0</v>
      </c>
      <c r="AZ56" s="1">
        <f ca="1">IF(COUNTIFS($J$7:$J$510,Table7[[#Headers],[Energy User Forecasts]],$C$7:$C$510,$L56)&gt;0,0,MROUND(IFERROR(AG56*($P56/$AI56),0),100))</f>
        <v>0</v>
      </c>
      <c r="BA56" s="1">
        <f ca="1">IF(COUNTIFS($J$7:$J$510,Table7[[#Headers],[Energy User Regulation]],$C$7:$C$510,$L56)&gt;0,0,MROUND(IFERROR(AH56*($P56/$AI56),0),100))</f>
        <v>0</v>
      </c>
    </row>
    <row r="57" spans="2:53">
      <c r="B57" s="38" t="s">
        <v>2092</v>
      </c>
      <c r="C57" s="38" t="s">
        <v>1182</v>
      </c>
      <c r="D57" s="38" t="s">
        <v>2093</v>
      </c>
      <c r="E57" s="38" t="s">
        <v>1823</v>
      </c>
      <c r="F57" s="63">
        <v>10000</v>
      </c>
      <c r="G57" s="38"/>
      <c r="H57" s="38" t="s">
        <v>2031</v>
      </c>
      <c r="I57" s="38" t="s">
        <v>2031</v>
      </c>
      <c r="J57" s="38" t="s">
        <v>21</v>
      </c>
      <c r="L57" s="1" t="str">
        <v>Eastern Shires Purchasing Organisation</v>
      </c>
      <c r="M57" s="1" t="str">
        <f t="shared" si="2"/>
        <v>Energy User</v>
      </c>
      <c r="N57" s="109">
        <f t="shared" si="3"/>
        <v>17100</v>
      </c>
      <c r="O57" s="1">
        <f>IFERROR(IF(INDEX(Table3[[Total Spend]:[Total Spend]],MATCH(L57,Table3[[Company name]:[Company name]],0))&gt;N57,INDEX(Table3[[Total Spend]:[Total Spend]],MATCH(L57,Table3[[Company name]:[Company name]])),N57),50000)</f>
        <v>17100</v>
      </c>
      <c r="P57" s="109">
        <f t="shared" si="4"/>
        <v>17100</v>
      </c>
      <c r="Q57" s="103">
        <f t="shared" si="5"/>
        <v>1</v>
      </c>
      <c r="R57" s="1">
        <f ca="1">IFERROR(INDEX(INDIRECT("Table3[Column"&amp;R$9&amp;"]"),MATCH($L57,Table3[[Company name]:[Company name]],0)),0)</f>
        <v>8100</v>
      </c>
      <c r="S57" s="1">
        <f ca="1">IFERROR(INDEX(INDIRECT("Table3[Column"&amp;S$9&amp;"]"),MATCH($L57,Table3[[Company name]:[Company name]],0)),0)</f>
        <v>30600</v>
      </c>
      <c r="T57" s="1">
        <f ca="1">IFERROR(INDEX(INDIRECT("Table3[Column"&amp;T$9&amp;"]"),MATCH($L57,Table3[[Company name]:[Company name]],0)),0)</f>
        <v>53100</v>
      </c>
      <c r="U57" s="1">
        <f ca="1">IFERROR(INDEX(INDIRECT("Table3[Column"&amp;U$9&amp;"]"),MATCH($L57,Table3[[Company name]:[Company name]],0)),0)</f>
        <v>34200</v>
      </c>
      <c r="V57" s="1">
        <f ca="1">IFERROR(INDEX(INDIRECT("Table3[Column"&amp;V$9&amp;"]"),MATCH($L57,Table3[[Company name]:[Company name]],0)),0)</f>
        <v>0</v>
      </c>
      <c r="W57" s="1">
        <f ca="1">IFERROR(INDEX(INDIRECT("Table3[Column"&amp;W$9&amp;"]"),MATCH($L57,Table3[[Company name]:[Company name]],0)),0)</f>
        <v>0</v>
      </c>
      <c r="X57" s="1">
        <f ca="1">IFERROR(INDEX(INDIRECT("Table3[Column"&amp;X$9&amp;"]"),MATCH($L57,Table3[[Company name]:[Company name]],0)),0)</f>
        <v>0</v>
      </c>
      <c r="Y57" s="1">
        <f ca="1">IFERROR(INDEX(INDIRECT("Table3[Column"&amp;Y$9&amp;"]"),MATCH($L57,Table3[[Company name]:[Company name]],0)),0)</f>
        <v>0</v>
      </c>
      <c r="Z57" s="1">
        <f ca="1">IFERROR(INDEX(INDIRECT("Table3[Column"&amp;Z$9&amp;"]"),MATCH($L57,Table3[[Company name]:[Company name]],0)),0)</f>
        <v>0</v>
      </c>
      <c r="AA57" s="1">
        <f ca="1">IFERROR(INDEX(INDIRECT("Table3[Column"&amp;AA$9&amp;"]"),MATCH($L57,Table3[[Company name]:[Company name]],0)),0)</f>
        <v>0</v>
      </c>
      <c r="AB57" s="1">
        <f ca="1">IFERROR(INDEX(INDIRECT("Table3[Column"&amp;AB$9&amp;"]"),MATCH($L57,Table3[[Company name]:[Company name]],0)),0)</f>
        <v>0</v>
      </c>
      <c r="AC57" s="1">
        <f ca="1">IFERROR(INDEX(INDIRECT("Table3[Column"&amp;AC$9&amp;"]"),MATCH($L57,Table3[[Company name]:[Company name]],0)),0)</f>
        <v>0</v>
      </c>
      <c r="AD57" s="1">
        <f ca="1">IFERROR(INDEX(INDIRECT("Table3[Column"&amp;AD$9&amp;"]"),MATCH($L57,Table3[[Company name]:[Company name]],0)),0)</f>
        <v>0</v>
      </c>
      <c r="AE57" s="1">
        <f ca="1">IFERROR(INDEX(INDIRECT("Table3[Column"&amp;AE$9&amp;"]"),MATCH($L57,Table3[[Company name]:[Company name]],0)),0)</f>
        <v>0</v>
      </c>
      <c r="AF57" s="1">
        <f ca="1">IFERROR(INDEX(INDIRECT("Table3[Column"&amp;AF$9&amp;"]"),MATCH($L57,Table3[[Company name]:[Company name]],0)),0)</f>
        <v>11250</v>
      </c>
      <c r="AG57" s="1">
        <f ca="1">IFERROR(INDEX(INDIRECT("Table3[Column"&amp;AG$9&amp;"]"),MATCH($L57,Table3[[Company name]:[Company name]],0)),0)</f>
        <v>0</v>
      </c>
      <c r="AH57" s="1">
        <f ca="1">IFERROR(INDEX(INDIRECT("Table3[Column"&amp;AH$9&amp;"]"),MATCH($L57,Table3[[Company name]:[Company name]],0)),0)</f>
        <v>0</v>
      </c>
      <c r="AI57" s="1">
        <f t="shared" ca="1" si="6"/>
        <v>137250</v>
      </c>
      <c r="AK57" s="1">
        <f ca="1">IF(COUNTIFS($J$7:$J$510,Table7[[#Headers],[Industry Essentials]],$C$7:$C$510,$L57)&gt;0,0,MROUND(R57,100))</f>
        <v>8100</v>
      </c>
      <c r="AL57" s="1">
        <f ca="1">IF(COUNTIFS($J$7:$J$510,Table7[[#Headers],[Energy Supply Market Intelligence]],$C$7:$C$510,$L57)&gt;0,0,MROUND(IFERROR(S57*($P57/$AI57),0),100))</f>
        <v>3800</v>
      </c>
      <c r="AM57" s="1">
        <f ca="1">IF(COUNTIFS($J$7:$J$510,Table7[[#Headers],[Energy Supply RTM Analysis]],$C$7:$C$510,$L57)&gt;0,0,MROUND(IFERROR(T57*($P57/$AI57),0),100))</f>
        <v>6600</v>
      </c>
      <c r="AN57" s="1">
        <f ca="1">IF(COUNTIFS($J$7:$J$510,Table7[[#Headers],[Energy Supply Forecasts]],$C$7:$C$510,$L57)&gt;0,0,MROUND(IFERROR(U57*($P57/$AI57),0),100))</f>
        <v>4300</v>
      </c>
      <c r="AO57" s="1">
        <f ca="1">IF(COUNTIFS($J$7:$J$510,Table7[[#Headers],[Energy Supply Regulation]],$C$7:$C$510,$L57)&gt;0,0,MROUND(IFERROR(V57*($P57/$AI57),0),100))</f>
        <v>0</v>
      </c>
      <c r="AP57" s="1">
        <f ca="1">IF(COUNTIFS($J$7:$J$510,Table7[[#Headers],[Renewables Market Intelligence]],$C$7:$C$510,$L57)&gt;0,0,MROUND(IFERROR(W57*($P57/$AI57),0),100))</f>
        <v>0</v>
      </c>
      <c r="AQ57" s="1">
        <f ca="1">IF(COUNTIFS($J$7:$J$510,Table7[[#Headers],[Renewables RTM Analysis]],$C$7:$C$510,$L57)&gt;0,0,MROUND(IFERROR(X57*($P57/$AI57),0),100))</f>
        <v>0</v>
      </c>
      <c r="AR57" s="1">
        <f ca="1">IF(COUNTIFS($J$7:$J$510,Table7[[#Headers],[Renewables Forecasts]],$C$7:$C$510,$L57)&gt;0,0,MROUND(IFERROR(Y57*($P57/$AI57),0),100))</f>
        <v>0</v>
      </c>
      <c r="AS57" s="1">
        <f ca="1">IF(COUNTIFS($J$7:$J$510,Table7[[#Headers],[Renewables Regulation]],$C$7:$C$510,$L57)&gt;0,0,MROUND(IFERROR(Z57*($P57/$AI57),0),100))</f>
        <v>0</v>
      </c>
      <c r="AT57" s="1">
        <f ca="1">IF(COUNTIFS($J$7:$J$510,Table7[[#Headers],[Flexibility Market Intelligence]],$C$7:$C$510,$L57)&gt;0,0,MROUND(IFERROR(AA57*($P57/$AI57),0),100))</f>
        <v>0</v>
      </c>
      <c r="AU57" s="1">
        <f ca="1">IF(COUNTIFS($J$7:$J$510,Table7[[#Headers],[Flexibility RTM Analysis]],$C$7:$C$510,$L57)&gt;0,0,MROUND(IFERROR(AB57*($P57/$AI57),0),100))</f>
        <v>0</v>
      </c>
      <c r="AV57" s="1">
        <f ca="1">IF(COUNTIFS($J$7:$J$510,Table7[[#Headers],[Flexibility Forecasts]],$C$7:$C$510,$L57)&gt;0,0,MROUND(IFERROR(AC57*($P57/$AI57),0),100))</f>
        <v>0</v>
      </c>
      <c r="AW57" s="1">
        <f ca="1">IF(COUNTIFS($J$7:$J$510,Table7[[#Headers],[Flexibility Regulation]],$C$7:$C$510,$L57)&gt;0,0,MROUND(IFERROR(AD57*($P57/$AI57),0),100))</f>
        <v>0</v>
      </c>
      <c r="AX57" s="1">
        <f ca="1">IF(COUNTIFS($J$7:$J$510,Table7[[#Headers],[Business Energy Essentials]],$C$7:$C$510,$L57)&gt;0,0,MROUND(IFERROR(AE57*($P57/$AI57),0),100))</f>
        <v>0</v>
      </c>
      <c r="AY57" s="1">
        <f ca="1">IF(COUNTIFS($J$7:$J$510,Table7[[#Headers],[Energy User RTM Analysis]],$C$7:$C$510,$L57)&gt;0,0,MROUND(IFERROR(AF57*($P57/$AI57),0),100))</f>
        <v>1400</v>
      </c>
      <c r="AZ57" s="1">
        <f>IF(COUNTIFS($J$7:$J$510,Table7[[#Headers],[Energy User Forecasts]],$C$7:$C$510,$L57)&gt;0,0,MROUND(IFERROR(AG57*($P57/$AI57),0),100))</f>
        <v>0</v>
      </c>
      <c r="BA57" s="1">
        <f ca="1">IF(COUNTIFS($J$7:$J$510,Table7[[#Headers],[Energy User Regulation]],$C$7:$C$510,$L57)&gt;0,0,MROUND(IFERROR(AH57*($P57/$AI57),0),100))</f>
        <v>0</v>
      </c>
    </row>
    <row r="58" spans="2:53">
      <c r="B58" s="38" t="s">
        <v>2092</v>
      </c>
      <c r="C58" s="38" t="s">
        <v>1182</v>
      </c>
      <c r="D58" s="38" t="s">
        <v>2094</v>
      </c>
      <c r="E58" s="38" t="s">
        <v>1836</v>
      </c>
      <c r="F58" s="63">
        <v>8000</v>
      </c>
      <c r="G58" s="38"/>
      <c r="H58" s="38" t="s">
        <v>2031</v>
      </c>
      <c r="I58" s="38" t="s">
        <v>2031</v>
      </c>
      <c r="J58" s="38" t="s">
        <v>21</v>
      </c>
      <c r="L58" s="1" t="str">
        <v>Ebico Trading Limited</v>
      </c>
      <c r="M58" s="1" t="str">
        <f t="shared" si="2"/>
        <v>Supply</v>
      </c>
      <c r="N58" s="109">
        <f t="shared" si="3"/>
        <v>850</v>
      </c>
      <c r="O58" s="1">
        <f>IFERROR(IF(INDEX(Table3[[Total Spend]:[Total Spend]],MATCH(L58,Table3[[Company name]:[Company name]],0))&gt;N58,INDEX(Table3[[Total Spend]:[Total Spend]],MATCH(L58,Table3[[Company name]:[Company name]])),N58),50000)</f>
        <v>250000</v>
      </c>
      <c r="P58" s="109">
        <f t="shared" si="4"/>
        <v>249150</v>
      </c>
      <c r="Q58" s="103">
        <f t="shared" si="5"/>
        <v>3.3999999999999998E-3</v>
      </c>
      <c r="R58" s="1">
        <f ca="1">IFERROR(INDEX(INDIRECT("Table3[Column"&amp;R$9&amp;"]"),MATCH($L58,Table3[[Company name]:[Company name]],0)),0)</f>
        <v>8100</v>
      </c>
      <c r="S58" s="1">
        <f ca="1">IFERROR(INDEX(INDIRECT("Table3[Column"&amp;S$9&amp;"]"),MATCH($L58,Table3[[Company name]:[Company name]],0)),0)</f>
        <v>30600</v>
      </c>
      <c r="T58" s="1">
        <f ca="1">IFERROR(INDEX(INDIRECT("Table3[Column"&amp;T$9&amp;"]"),MATCH($L58,Table3[[Company name]:[Company name]],0)),0)</f>
        <v>53100</v>
      </c>
      <c r="U58" s="1">
        <f ca="1">IFERROR(INDEX(INDIRECT("Table3[Column"&amp;U$9&amp;"]"),MATCH($L58,Table3[[Company name]:[Company name]],0)),0)</f>
        <v>34200</v>
      </c>
      <c r="V58" s="1">
        <f ca="1">IFERROR(INDEX(INDIRECT("Table3[Column"&amp;V$9&amp;"]"),MATCH($L58,Table3[[Company name]:[Company name]],0)),0)</f>
        <v>39600</v>
      </c>
      <c r="W58" s="1">
        <f ca="1">IFERROR(INDEX(INDIRECT("Table3[Column"&amp;W$9&amp;"]"),MATCH($L58,Table3[[Company name]:[Company name]],0)),0)</f>
        <v>0</v>
      </c>
      <c r="X58" s="1">
        <f ca="1">IFERROR(INDEX(INDIRECT("Table3[Column"&amp;X$9&amp;"]"),MATCH($L58,Table3[[Company name]:[Company name]],0)),0)</f>
        <v>0</v>
      </c>
      <c r="Y58" s="1">
        <f ca="1">IFERROR(INDEX(INDIRECT("Table3[Column"&amp;Y$9&amp;"]"),MATCH($L58,Table3[[Company name]:[Company name]],0)),0)</f>
        <v>0</v>
      </c>
      <c r="Z58" s="1">
        <f ca="1">IFERROR(INDEX(INDIRECT("Table3[Column"&amp;Z$9&amp;"]"),MATCH($L58,Table3[[Company name]:[Company name]],0)),0)</f>
        <v>0</v>
      </c>
      <c r="AA58" s="1">
        <f ca="1">IFERROR(INDEX(INDIRECT("Table3[Column"&amp;AA$9&amp;"]"),MATCH($L58,Table3[[Company name]:[Company name]],0)),0)</f>
        <v>21600</v>
      </c>
      <c r="AB58" s="1">
        <f ca="1">IFERROR(INDEX(INDIRECT("Table3[Column"&amp;AB$9&amp;"]"),MATCH($L58,Table3[[Company name]:[Company name]],0)),0)</f>
        <v>0</v>
      </c>
      <c r="AC58" s="1">
        <f ca="1">IFERROR(INDEX(INDIRECT("Table3[Column"&amp;AC$9&amp;"]"),MATCH($L58,Table3[[Company name]:[Company name]],0)),0)</f>
        <v>0</v>
      </c>
      <c r="AD58" s="1">
        <f ca="1">IFERROR(INDEX(INDIRECT("Table3[Column"&amp;AD$9&amp;"]"),MATCH($L58,Table3[[Company name]:[Company name]],0)),0)</f>
        <v>0</v>
      </c>
      <c r="AE58" s="1">
        <f ca="1">IFERROR(INDEX(INDIRECT("Table3[Column"&amp;AE$9&amp;"]"),MATCH($L58,Table3[[Company name]:[Company name]],0)),0)</f>
        <v>0</v>
      </c>
      <c r="AF58" s="1">
        <f ca="1">IFERROR(INDEX(INDIRECT("Table3[Column"&amp;AF$9&amp;"]"),MATCH($L58,Table3[[Company name]:[Company name]],0)),0)</f>
        <v>0</v>
      </c>
      <c r="AG58" s="1">
        <f ca="1">IFERROR(INDEX(INDIRECT("Table3[Column"&amp;AG$9&amp;"]"),MATCH($L58,Table3[[Company name]:[Company name]],0)),0)</f>
        <v>0</v>
      </c>
      <c r="AH58" s="1">
        <f ca="1">IFERROR(INDEX(INDIRECT("Table3[Column"&amp;AH$9&amp;"]"),MATCH($L58,Table3[[Company name]:[Company name]],0)),0)</f>
        <v>0</v>
      </c>
      <c r="AI58" s="1">
        <f t="shared" ca="1" si="6"/>
        <v>187200</v>
      </c>
      <c r="AK58" s="1">
        <f>IF(COUNTIFS($J$7:$J$510,Table7[[#Headers],[Industry Essentials]],$C$7:$C$510,$L58)&gt;0,0,MROUND(R58,100))</f>
        <v>0</v>
      </c>
      <c r="AL58" s="1">
        <f ca="1">IF(COUNTIFS($J$7:$J$510,Table7[[#Headers],[Energy Supply Market Intelligence]],$C$7:$C$510,$L58)&gt;0,0,MROUND(IFERROR(S58*($P58/$AI58),0),100))</f>
        <v>40700</v>
      </c>
      <c r="AM58" s="1">
        <f ca="1">IF(COUNTIFS($J$7:$J$510,Table7[[#Headers],[Energy Supply RTM Analysis]],$C$7:$C$510,$L58)&gt;0,0,MROUND(IFERROR(T58*($P58/$AI58),0),100))</f>
        <v>70700</v>
      </c>
      <c r="AN58" s="1">
        <f ca="1">IF(COUNTIFS($J$7:$J$510,Table7[[#Headers],[Energy Supply Forecasts]],$C$7:$C$510,$L58)&gt;0,0,MROUND(IFERROR(U58*($P58/$AI58),0),100))</f>
        <v>45500</v>
      </c>
      <c r="AO58" s="1">
        <f ca="1">IF(COUNTIFS($J$7:$J$510,Table7[[#Headers],[Energy Supply Regulation]],$C$7:$C$510,$L58)&gt;0,0,MROUND(IFERROR(V58*($P58/$AI58),0),100))</f>
        <v>52700</v>
      </c>
      <c r="AP58" s="1">
        <f ca="1">IF(COUNTIFS($J$7:$J$510,Table7[[#Headers],[Renewables Market Intelligence]],$C$7:$C$510,$L58)&gt;0,0,MROUND(IFERROR(W58*($P58/$AI58),0),100))</f>
        <v>0</v>
      </c>
      <c r="AQ58" s="1">
        <f ca="1">IF(COUNTIFS($J$7:$J$510,Table7[[#Headers],[Renewables RTM Analysis]],$C$7:$C$510,$L58)&gt;0,0,MROUND(IFERROR(X58*($P58/$AI58),0),100))</f>
        <v>0</v>
      </c>
      <c r="AR58" s="1">
        <f ca="1">IF(COUNTIFS($J$7:$J$510,Table7[[#Headers],[Renewables Forecasts]],$C$7:$C$510,$L58)&gt;0,0,MROUND(IFERROR(Y58*($P58/$AI58),0),100))</f>
        <v>0</v>
      </c>
      <c r="AS58" s="1">
        <f ca="1">IF(COUNTIFS($J$7:$J$510,Table7[[#Headers],[Renewables Regulation]],$C$7:$C$510,$L58)&gt;0,0,MROUND(IFERROR(Z58*($P58/$AI58),0),100))</f>
        <v>0</v>
      </c>
      <c r="AT58" s="1">
        <f ca="1">IF(COUNTIFS($J$7:$J$510,Table7[[#Headers],[Flexibility Market Intelligence]],$C$7:$C$510,$L58)&gt;0,0,MROUND(IFERROR(AA58*($P58/$AI58),0),100))</f>
        <v>28700</v>
      </c>
      <c r="AU58" s="1">
        <f ca="1">IF(COUNTIFS($J$7:$J$510,Table7[[#Headers],[Flexibility RTM Analysis]],$C$7:$C$510,$L58)&gt;0,0,MROUND(IFERROR(AB58*($P58/$AI58),0),100))</f>
        <v>0</v>
      </c>
      <c r="AV58" s="1">
        <f ca="1">IF(COUNTIFS($J$7:$J$510,Table7[[#Headers],[Flexibility Forecasts]],$C$7:$C$510,$L58)&gt;0,0,MROUND(IFERROR(AC58*($P58/$AI58),0),100))</f>
        <v>0</v>
      </c>
      <c r="AW58" s="1">
        <f ca="1">IF(COUNTIFS($J$7:$J$510,Table7[[#Headers],[Flexibility Regulation]],$C$7:$C$510,$L58)&gt;0,0,MROUND(IFERROR(AD58*($P58/$AI58),0),100))</f>
        <v>0</v>
      </c>
      <c r="AX58" s="1">
        <f ca="1">IF(COUNTIFS($J$7:$J$510,Table7[[#Headers],[Business Energy Essentials]],$C$7:$C$510,$L58)&gt;0,0,MROUND(IFERROR(AE58*($P58/$AI58),0),100))</f>
        <v>0</v>
      </c>
      <c r="AY58" s="1">
        <f ca="1">IF(COUNTIFS($J$7:$J$510,Table7[[#Headers],[Energy User RTM Analysis]],$C$7:$C$510,$L58)&gt;0,0,MROUND(IFERROR(AF58*($P58/$AI58),0),100))</f>
        <v>0</v>
      </c>
      <c r="AZ58" s="1">
        <f ca="1">IF(COUNTIFS($J$7:$J$510,Table7[[#Headers],[Energy User Forecasts]],$C$7:$C$510,$L58)&gt;0,0,MROUND(IFERROR(AG58*($P58/$AI58),0),100))</f>
        <v>0</v>
      </c>
      <c r="BA58" s="1">
        <f ca="1">IF(COUNTIFS($J$7:$J$510,Table7[[#Headers],[Energy User Regulation]],$C$7:$C$510,$L58)&gt;0,0,MROUND(IFERROR(AH58*($P58/$AI58),0),100))</f>
        <v>0</v>
      </c>
    </row>
    <row r="59" spans="2:53">
      <c r="B59" s="38" t="s">
        <v>2092</v>
      </c>
      <c r="C59" s="38" t="s">
        <v>1182</v>
      </c>
      <c r="D59" s="38" t="s">
        <v>2040</v>
      </c>
      <c r="E59" s="38" t="s">
        <v>1799</v>
      </c>
      <c r="F59" s="63">
        <v>9000</v>
      </c>
      <c r="G59" s="38"/>
      <c r="H59" s="38" t="s">
        <v>2031</v>
      </c>
      <c r="I59" s="38" t="s">
        <v>2032</v>
      </c>
      <c r="J59" s="38" t="s">
        <v>20</v>
      </c>
      <c r="L59" s="1" t="str">
        <v>Ecotricity Group Ltd</v>
      </c>
      <c r="M59" s="1" t="str">
        <f t="shared" si="2"/>
        <v>Supply</v>
      </c>
      <c r="N59" s="109">
        <f t="shared" si="3"/>
        <v>72100</v>
      </c>
      <c r="O59" s="1">
        <f>IFERROR(IF(INDEX(Table3[[Total Spend]:[Total Spend]],MATCH(L59,Table3[[Company name]:[Company name]],0))&gt;N59,INDEX(Table3[[Total Spend]:[Total Spend]],MATCH(L59,Table3[[Company name]:[Company name]])),N59),50000)</f>
        <v>250000</v>
      </c>
      <c r="P59" s="109">
        <f t="shared" si="4"/>
        <v>177900</v>
      </c>
      <c r="Q59" s="103">
        <f t="shared" si="5"/>
        <v>0.28839999999999999</v>
      </c>
      <c r="R59" s="1">
        <f ca="1">IFERROR(INDEX(INDIRECT("Table3[Column"&amp;R$9&amp;"]"),MATCH($L59,Table3[[Company name]:[Company name]],0)),0)</f>
        <v>8100</v>
      </c>
      <c r="S59" s="1">
        <f ca="1">IFERROR(INDEX(INDIRECT("Table3[Column"&amp;S$9&amp;"]"),MATCH($L59,Table3[[Company name]:[Company name]],0)),0)</f>
        <v>30600</v>
      </c>
      <c r="T59" s="1">
        <f ca="1">IFERROR(INDEX(INDIRECT("Table3[Column"&amp;T$9&amp;"]"),MATCH($L59,Table3[[Company name]:[Company name]],0)),0)</f>
        <v>53100</v>
      </c>
      <c r="U59" s="1">
        <f ca="1">IFERROR(INDEX(INDIRECT("Table3[Column"&amp;U$9&amp;"]"),MATCH($L59,Table3[[Company name]:[Company name]],0)),0)</f>
        <v>34200</v>
      </c>
      <c r="V59" s="1">
        <f ca="1">IFERROR(INDEX(INDIRECT("Table3[Column"&amp;V$9&amp;"]"),MATCH($L59,Table3[[Company name]:[Company name]],0)),0)</f>
        <v>39600</v>
      </c>
      <c r="W59" s="1">
        <f ca="1">IFERROR(INDEX(INDIRECT("Table3[Column"&amp;W$9&amp;"]"),MATCH($L59,Table3[[Company name]:[Company name]],0)),0)</f>
        <v>17100</v>
      </c>
      <c r="X59" s="1">
        <f ca="1">IFERROR(INDEX(INDIRECT("Table3[Column"&amp;X$9&amp;"]"),MATCH($L59,Table3[[Company name]:[Company name]],0)),0)</f>
        <v>15300</v>
      </c>
      <c r="Y59" s="1">
        <f ca="1">IFERROR(INDEX(INDIRECT("Table3[Column"&amp;Y$9&amp;"]"),MATCH($L59,Table3[[Company name]:[Company name]],0)),0)</f>
        <v>42300</v>
      </c>
      <c r="Z59" s="1">
        <f ca="1">IFERROR(INDEX(INDIRECT("Table3[Column"&amp;Z$9&amp;"]"),MATCH($L59,Table3[[Company name]:[Company name]],0)),0)</f>
        <v>18900</v>
      </c>
      <c r="AA59" s="1">
        <f ca="1">IFERROR(INDEX(INDIRECT("Table3[Column"&amp;AA$9&amp;"]"),MATCH($L59,Table3[[Company name]:[Company name]],0)),0)</f>
        <v>21600</v>
      </c>
      <c r="AB59" s="1">
        <f ca="1">IFERROR(INDEX(INDIRECT("Table3[Column"&amp;AB$9&amp;"]"),MATCH($L59,Table3[[Company name]:[Company name]],0)),0)</f>
        <v>0</v>
      </c>
      <c r="AC59" s="1">
        <f ca="1">IFERROR(INDEX(INDIRECT("Table3[Column"&amp;AC$9&amp;"]"),MATCH($L59,Table3[[Company name]:[Company name]],0)),0)</f>
        <v>0</v>
      </c>
      <c r="AD59" s="1">
        <f ca="1">IFERROR(INDEX(INDIRECT("Table3[Column"&amp;AD$9&amp;"]"),MATCH($L59,Table3[[Company name]:[Company name]],0)),0)</f>
        <v>0</v>
      </c>
      <c r="AE59" s="1">
        <f ca="1">IFERROR(INDEX(INDIRECT("Table3[Column"&amp;AE$9&amp;"]"),MATCH($L59,Table3[[Company name]:[Company name]],0)),0)</f>
        <v>0</v>
      </c>
      <c r="AF59" s="1">
        <f ca="1">IFERROR(INDEX(INDIRECT("Table3[Column"&amp;AF$9&amp;"]"),MATCH($L59,Table3[[Company name]:[Company name]],0)),0)</f>
        <v>0</v>
      </c>
      <c r="AG59" s="1">
        <f ca="1">IFERROR(INDEX(INDIRECT("Table3[Column"&amp;AG$9&amp;"]"),MATCH($L59,Table3[[Company name]:[Company name]],0)),0)</f>
        <v>0</v>
      </c>
      <c r="AH59" s="1">
        <f ca="1">IFERROR(INDEX(INDIRECT("Table3[Column"&amp;AH$9&amp;"]"),MATCH($L59,Table3[[Company name]:[Company name]],0)),0)</f>
        <v>0</v>
      </c>
      <c r="AI59" s="1">
        <f t="shared" ca="1" si="6"/>
        <v>280800</v>
      </c>
      <c r="AK59" s="1">
        <f>IF(COUNTIFS($J$7:$J$510,Table7[[#Headers],[Industry Essentials]],$C$7:$C$510,$L59)&gt;0,0,MROUND(R59,100))</f>
        <v>0</v>
      </c>
      <c r="AL59" s="1">
        <f>IF(COUNTIFS($J$7:$J$510,Table7[[#Headers],[Energy Supply Market Intelligence]],$C$7:$C$510,$L59)&gt;0,0,MROUND(IFERROR(S59*($P59/$AI59),0),100))</f>
        <v>0</v>
      </c>
      <c r="AM59" s="1">
        <f>IF(COUNTIFS($J$7:$J$510,Table7[[#Headers],[Energy Supply RTM Analysis]],$C$7:$C$510,$L59)&gt;0,0,MROUND(IFERROR(T59*($P59/$AI59),0),100))</f>
        <v>0</v>
      </c>
      <c r="AN59" s="1">
        <f ca="1">IF(COUNTIFS($J$7:$J$510,Table7[[#Headers],[Energy Supply Forecasts]],$C$7:$C$510,$L59)&gt;0,0,MROUND(IFERROR(U59*($P59/$AI59),0),100))</f>
        <v>21700</v>
      </c>
      <c r="AO59" s="1">
        <f>IF(COUNTIFS($J$7:$J$510,Table7[[#Headers],[Energy Supply Regulation]],$C$7:$C$510,$L59)&gt;0,0,MROUND(IFERROR(V59*($P59/$AI59),0),100))</f>
        <v>0</v>
      </c>
      <c r="AP59" s="1">
        <f ca="1">IF(COUNTIFS($J$7:$J$510,Table7[[#Headers],[Renewables Market Intelligence]],$C$7:$C$510,$L59)&gt;0,0,MROUND(IFERROR(W59*($P59/$AI59),0),100))</f>
        <v>10800</v>
      </c>
      <c r="AQ59" s="1">
        <f>IF(COUNTIFS($J$7:$J$510,Table7[[#Headers],[Renewables RTM Analysis]],$C$7:$C$510,$L59)&gt;0,0,MROUND(IFERROR(X59*($P59/$AI59),0),100))</f>
        <v>0</v>
      </c>
      <c r="AR59" s="1">
        <f ca="1">IF(COUNTIFS($J$7:$J$510,Table7[[#Headers],[Renewables Forecasts]],$C$7:$C$510,$L59)&gt;0,0,MROUND(IFERROR(Y59*($P59/$AI59),0),100))</f>
        <v>26800</v>
      </c>
      <c r="AS59" s="1">
        <f ca="1">IF(COUNTIFS($J$7:$J$510,Table7[[#Headers],[Renewables Regulation]],$C$7:$C$510,$L59)&gt;0,0,MROUND(IFERROR(Z59*($P59/$AI59),0),100))</f>
        <v>12000</v>
      </c>
      <c r="AT59" s="1">
        <f ca="1">IF(COUNTIFS($J$7:$J$510,Table7[[#Headers],[Flexibility Market Intelligence]],$C$7:$C$510,$L59)&gt;0,0,MROUND(IFERROR(AA59*($P59/$AI59),0),100))</f>
        <v>13700</v>
      </c>
      <c r="AU59" s="1">
        <f ca="1">IF(COUNTIFS($J$7:$J$510,Table7[[#Headers],[Flexibility RTM Analysis]],$C$7:$C$510,$L59)&gt;0,0,MROUND(IFERROR(AB59*($P59/$AI59),0),100))</f>
        <v>0</v>
      </c>
      <c r="AV59" s="1">
        <f ca="1">IF(COUNTIFS($J$7:$J$510,Table7[[#Headers],[Flexibility Forecasts]],$C$7:$C$510,$L59)&gt;0,0,MROUND(IFERROR(AC59*($P59/$AI59),0),100))</f>
        <v>0</v>
      </c>
      <c r="AW59" s="1">
        <f ca="1">IF(COUNTIFS($J$7:$J$510,Table7[[#Headers],[Flexibility Regulation]],$C$7:$C$510,$L59)&gt;0,0,MROUND(IFERROR(AD59*($P59/$AI59),0),100))</f>
        <v>0</v>
      </c>
      <c r="AX59" s="1">
        <f ca="1">IF(COUNTIFS($J$7:$J$510,Table7[[#Headers],[Business Energy Essentials]],$C$7:$C$510,$L59)&gt;0,0,MROUND(IFERROR(AE59*($P59/$AI59),0),100))</f>
        <v>0</v>
      </c>
      <c r="AY59" s="1">
        <f ca="1">IF(COUNTIFS($J$7:$J$510,Table7[[#Headers],[Energy User RTM Analysis]],$C$7:$C$510,$L59)&gt;0,0,MROUND(IFERROR(AF59*($P59/$AI59),0),100))</f>
        <v>0</v>
      </c>
      <c r="AZ59" s="1">
        <f ca="1">IF(COUNTIFS($J$7:$J$510,Table7[[#Headers],[Energy User Forecasts]],$C$7:$C$510,$L59)&gt;0,0,MROUND(IFERROR(AG59*($P59/$AI59),0),100))</f>
        <v>0</v>
      </c>
      <c r="BA59" s="1">
        <f ca="1">IF(COUNTIFS($J$7:$J$510,Table7[[#Headers],[Energy User Regulation]],$C$7:$C$510,$L59)&gt;0,0,MROUND(IFERROR(AH59*($P59/$AI59),0),100))</f>
        <v>0</v>
      </c>
    </row>
    <row r="60" spans="2:53">
      <c r="B60" s="38" t="s">
        <v>2095</v>
      </c>
      <c r="C60" s="38" t="s">
        <v>842</v>
      </c>
      <c r="D60" s="38" t="s">
        <v>2035</v>
      </c>
      <c r="E60" s="38" t="s">
        <v>1855</v>
      </c>
      <c r="F60" s="63">
        <v>2950</v>
      </c>
      <c r="G60" s="38"/>
      <c r="H60" s="38" t="s">
        <v>2032</v>
      </c>
      <c r="I60" s="38" t="s">
        <v>2032</v>
      </c>
      <c r="J60" s="38" t="s">
        <v>20</v>
      </c>
      <c r="L60" s="1" t="str">
        <v>EDF Energy Limited</v>
      </c>
      <c r="M60" s="1" t="str">
        <f t="shared" si="2"/>
        <v>Supply</v>
      </c>
      <c r="N60" s="109">
        <f t="shared" si="3"/>
        <v>165625</v>
      </c>
      <c r="O60" s="1">
        <f>IFERROR(IF(INDEX(Table3[[Total Spend]:[Total Spend]],MATCH(L60,Table3[[Company name]:[Company name]],0))&gt;N60,INDEX(Table3[[Total Spend]:[Total Spend]],MATCH(L60,Table3[[Company name]:[Company name]])),N60),50000)</f>
        <v>250000</v>
      </c>
      <c r="P60" s="109">
        <f t="shared" si="4"/>
        <v>84375</v>
      </c>
      <c r="Q60" s="103">
        <f t="shared" si="5"/>
        <v>0.66249999999999998</v>
      </c>
      <c r="R60" s="1">
        <f ca="1">IFERROR(INDEX(INDIRECT("Table3[Column"&amp;R$9&amp;"]"),MATCH($L60,Table3[[Company name]:[Company name]],0)),0)</f>
        <v>10800</v>
      </c>
      <c r="S60" s="1">
        <f ca="1">IFERROR(INDEX(INDIRECT("Table3[Column"&amp;S$9&amp;"]"),MATCH($L60,Table3[[Company name]:[Company name]],0)),0)</f>
        <v>43200</v>
      </c>
      <c r="T60" s="1">
        <f ca="1">IFERROR(INDEX(INDIRECT("Table3[Column"&amp;T$9&amp;"]"),MATCH($L60,Table3[[Company name]:[Company name]],0)),0)</f>
        <v>73800</v>
      </c>
      <c r="U60" s="1">
        <f ca="1">IFERROR(INDEX(INDIRECT("Table3[Column"&amp;U$9&amp;"]"),MATCH($L60,Table3[[Company name]:[Company name]],0)),0)</f>
        <v>48600</v>
      </c>
      <c r="V60" s="1">
        <f ca="1">IFERROR(INDEX(INDIRECT("Table3[Column"&amp;V$9&amp;"]"),MATCH($L60,Table3[[Company name]:[Company name]],0)),0)</f>
        <v>55800</v>
      </c>
      <c r="W60" s="1">
        <f ca="1">IFERROR(INDEX(INDIRECT("Table3[Column"&amp;W$9&amp;"]"),MATCH($L60,Table3[[Company name]:[Company name]],0)),0)</f>
        <v>23400</v>
      </c>
      <c r="X60" s="1">
        <f ca="1">IFERROR(INDEX(INDIRECT("Table3[Column"&amp;X$9&amp;"]"),MATCH($L60,Table3[[Company name]:[Company name]],0)),0)</f>
        <v>20700</v>
      </c>
      <c r="Y60" s="1">
        <f ca="1">IFERROR(INDEX(INDIRECT("Table3[Column"&amp;Y$9&amp;"]"),MATCH($L60,Table3[[Company name]:[Company name]],0)),0)</f>
        <v>59400</v>
      </c>
      <c r="Z60" s="1">
        <f ca="1">IFERROR(INDEX(INDIRECT("Table3[Column"&amp;Z$9&amp;"]"),MATCH($L60,Table3[[Company name]:[Company name]],0)),0)</f>
        <v>26100</v>
      </c>
      <c r="AA60" s="1">
        <f ca="1">IFERROR(INDEX(INDIRECT("Table3[Column"&amp;AA$9&amp;"]"),MATCH($L60,Table3[[Company name]:[Company name]],0)),0)</f>
        <v>29700</v>
      </c>
      <c r="AB60" s="1">
        <f ca="1">IFERROR(INDEX(INDIRECT("Table3[Column"&amp;AB$9&amp;"]"),MATCH($L60,Table3[[Company name]:[Company name]],0)),0)</f>
        <v>10800</v>
      </c>
      <c r="AC60" s="1">
        <f ca="1">IFERROR(INDEX(INDIRECT("Table3[Column"&amp;AC$9&amp;"]"),MATCH($L60,Table3[[Company name]:[Company name]],0)),0)</f>
        <v>44100</v>
      </c>
      <c r="AD60" s="1">
        <f ca="1">IFERROR(INDEX(INDIRECT("Table3[Column"&amp;AD$9&amp;"]"),MATCH($L60,Table3[[Company name]:[Company name]],0)),0)</f>
        <v>36000</v>
      </c>
      <c r="AE60" s="1">
        <f ca="1">IFERROR(INDEX(INDIRECT("Table3[Column"&amp;AE$9&amp;"]"),MATCH($L60,Table3[[Company name]:[Company name]],0)),0)</f>
        <v>0</v>
      </c>
      <c r="AF60" s="1">
        <f ca="1">IFERROR(INDEX(INDIRECT("Table3[Column"&amp;AF$9&amp;"]"),MATCH($L60,Table3[[Company name]:[Company name]],0)),0)</f>
        <v>0</v>
      </c>
      <c r="AG60" s="1">
        <f ca="1">IFERROR(INDEX(INDIRECT("Table3[Column"&amp;AG$9&amp;"]"),MATCH($L60,Table3[[Company name]:[Company name]],0)),0)</f>
        <v>0</v>
      </c>
      <c r="AH60" s="1">
        <f ca="1">IFERROR(INDEX(INDIRECT("Table3[Column"&amp;AH$9&amp;"]"),MATCH($L60,Table3[[Company name]:[Company name]],0)),0)</f>
        <v>0</v>
      </c>
      <c r="AI60" s="1">
        <f t="shared" ca="1" si="6"/>
        <v>482400</v>
      </c>
      <c r="AK60" s="1">
        <f>IF(COUNTIFS($J$7:$J$510,Table7[[#Headers],[Industry Essentials]],$C$7:$C$510,$L60)&gt;0,0,MROUND(R60,100))</f>
        <v>0</v>
      </c>
      <c r="AL60" s="1">
        <f>IF(COUNTIFS($J$7:$J$510,Table7[[#Headers],[Energy Supply Market Intelligence]],$C$7:$C$510,$L60)&gt;0,0,MROUND(IFERROR(S60*($P60/$AI60),0),100))</f>
        <v>0</v>
      </c>
      <c r="AM60" s="1">
        <f ca="1">IF(COUNTIFS($J$7:$J$510,Table7[[#Headers],[Energy Supply RTM Analysis]],$C$7:$C$510,$L60)&gt;0,0,MROUND(IFERROR(T60*($P60/$AI60),0),100))</f>
        <v>12900</v>
      </c>
      <c r="AN60" s="1">
        <f>IF(COUNTIFS($J$7:$J$510,Table7[[#Headers],[Energy Supply Forecasts]],$C$7:$C$510,$L60)&gt;0,0,MROUND(IFERROR(U60*($P60/$AI60),0),100))</f>
        <v>0</v>
      </c>
      <c r="AO60" s="1">
        <f ca="1">IF(COUNTIFS($J$7:$J$510,Table7[[#Headers],[Energy Supply Regulation]],$C$7:$C$510,$L60)&gt;0,0,MROUND(IFERROR(V60*($P60/$AI60),0),100))</f>
        <v>9800</v>
      </c>
      <c r="AP60" s="1">
        <f ca="1">IF(COUNTIFS($J$7:$J$510,Table7[[#Headers],[Renewables Market Intelligence]],$C$7:$C$510,$L60)&gt;0,0,MROUND(IFERROR(W60*($P60/$AI60),0),100))</f>
        <v>4100</v>
      </c>
      <c r="AQ60" s="1">
        <f>IF(COUNTIFS($J$7:$J$510,Table7[[#Headers],[Renewables RTM Analysis]],$C$7:$C$510,$L60)&gt;0,0,MROUND(IFERROR(X60*($P60/$AI60),0),100))</f>
        <v>0</v>
      </c>
      <c r="AR60" s="1">
        <f ca="1">IF(COUNTIFS($J$7:$J$510,Table7[[#Headers],[Renewables Forecasts]],$C$7:$C$510,$L60)&gt;0,0,MROUND(IFERROR(Y60*($P60/$AI60),0),100))</f>
        <v>10400</v>
      </c>
      <c r="AS60" s="1">
        <f ca="1">IF(COUNTIFS($J$7:$J$510,Table7[[#Headers],[Renewables Regulation]],$C$7:$C$510,$L60)&gt;0,0,MROUND(IFERROR(Z60*($P60/$AI60),0),100))</f>
        <v>4600</v>
      </c>
      <c r="AT60" s="1">
        <f>IF(COUNTIFS($J$7:$J$510,Table7[[#Headers],[Flexibility Market Intelligence]],$C$7:$C$510,$L60)&gt;0,0,MROUND(IFERROR(AA60*($P60/$AI60),0),100))</f>
        <v>0</v>
      </c>
      <c r="AU60" s="1">
        <f ca="1">IF(COUNTIFS($J$7:$J$510,Table7[[#Headers],[Flexibility RTM Analysis]],$C$7:$C$510,$L60)&gt;0,0,MROUND(IFERROR(AB60*($P60/$AI60),0),100))</f>
        <v>1900</v>
      </c>
      <c r="AV60" s="1">
        <f ca="1">IF(COUNTIFS($J$7:$J$510,Table7[[#Headers],[Flexibility Forecasts]],$C$7:$C$510,$L60)&gt;0,0,MROUND(IFERROR(AC60*($P60/$AI60),0),100))</f>
        <v>7700</v>
      </c>
      <c r="AW60" s="1">
        <f ca="1">IF(COUNTIFS($J$7:$J$510,Table7[[#Headers],[Flexibility Regulation]],$C$7:$C$510,$L60)&gt;0,0,MROUND(IFERROR(AD60*($P60/$AI60),0),100))</f>
        <v>6300</v>
      </c>
      <c r="AX60" s="1">
        <f ca="1">IF(COUNTIFS($J$7:$J$510,Table7[[#Headers],[Business Energy Essentials]],$C$7:$C$510,$L60)&gt;0,0,MROUND(IFERROR(AE60*($P60/$AI60),0),100))</f>
        <v>0</v>
      </c>
      <c r="AY60" s="1">
        <f>IF(COUNTIFS($J$7:$J$510,Table7[[#Headers],[Energy User RTM Analysis]],$C$7:$C$510,$L60)&gt;0,0,MROUND(IFERROR(AF60*($P60/$AI60),0),100))</f>
        <v>0</v>
      </c>
      <c r="AZ60" s="1">
        <f ca="1">IF(COUNTIFS($J$7:$J$510,Table7[[#Headers],[Energy User Forecasts]],$C$7:$C$510,$L60)&gt;0,0,MROUND(IFERROR(AG60*($P60/$AI60),0),100))</f>
        <v>0</v>
      </c>
      <c r="BA60" s="1">
        <f ca="1">IF(COUNTIFS($J$7:$J$510,Table7[[#Headers],[Energy User Regulation]],$C$7:$C$510,$L60)&gt;0,0,MROUND(IFERROR(AH60*($P60/$AI60),0),100))</f>
        <v>0</v>
      </c>
    </row>
    <row r="61" spans="2:53">
      <c r="B61" s="38" t="s">
        <v>2096</v>
      </c>
      <c r="C61" s="38" t="s">
        <v>953</v>
      </c>
      <c r="D61" s="38" t="s">
        <v>2071</v>
      </c>
      <c r="E61" s="38" t="s">
        <v>1900</v>
      </c>
      <c r="F61" s="63">
        <v>20719.18</v>
      </c>
      <c r="G61" s="38"/>
      <c r="H61" s="38" t="s">
        <v>2031</v>
      </c>
      <c r="I61" s="38" t="s">
        <v>2031</v>
      </c>
      <c r="J61" s="38" t="s">
        <v>21</v>
      </c>
      <c r="L61" s="1" t="str">
        <v>EDW Technology Ltd</v>
      </c>
      <c r="M61" s="1" t="str">
        <f t="shared" si="2"/>
        <v>Renewables</v>
      </c>
      <c r="N61" s="109">
        <f t="shared" si="3"/>
        <v>11200</v>
      </c>
      <c r="O61" s="1">
        <f>IFERROR(IF(INDEX(Table3[[Total Spend]:[Total Spend]],MATCH(L61,Table3[[Company name]:[Company name]],0))&gt;N61,INDEX(Table3[[Total Spend]:[Total Spend]],MATCH(L61,Table3[[Company name]:[Company name]])),N61),50000)</f>
        <v>11200</v>
      </c>
      <c r="P61" s="109">
        <f t="shared" si="4"/>
        <v>11200</v>
      </c>
      <c r="Q61" s="103">
        <f t="shared" si="5"/>
        <v>1</v>
      </c>
      <c r="R61" s="1">
        <f ca="1">IFERROR(INDEX(INDIRECT("Table3[Column"&amp;R$9&amp;"]"),MATCH($L61,Table3[[Company name]:[Company name]],0)),0)</f>
        <v>8100</v>
      </c>
      <c r="S61" s="1">
        <f ca="1">IFERROR(INDEX(INDIRECT("Table3[Column"&amp;S$9&amp;"]"),MATCH($L61,Table3[[Company name]:[Company name]],0)),0)</f>
        <v>30600</v>
      </c>
      <c r="T61" s="1">
        <f ca="1">IFERROR(INDEX(INDIRECT("Table3[Column"&amp;T$9&amp;"]"),MATCH($L61,Table3[[Company name]:[Company name]],0)),0)</f>
        <v>53100</v>
      </c>
      <c r="U61" s="1">
        <f ca="1">IFERROR(INDEX(INDIRECT("Table3[Column"&amp;U$9&amp;"]"),MATCH($L61,Table3[[Company name]:[Company name]],0)),0)</f>
        <v>34200</v>
      </c>
      <c r="V61" s="1">
        <f ca="1">IFERROR(INDEX(INDIRECT("Table3[Column"&amp;V$9&amp;"]"),MATCH($L61,Table3[[Company name]:[Company name]],0)),0)</f>
        <v>39600</v>
      </c>
      <c r="W61" s="1">
        <f ca="1">IFERROR(INDEX(INDIRECT("Table3[Column"&amp;W$9&amp;"]"),MATCH($L61,Table3[[Company name]:[Company name]],0)),0)</f>
        <v>0</v>
      </c>
      <c r="X61" s="1">
        <f ca="1">IFERROR(INDEX(INDIRECT("Table3[Column"&amp;X$9&amp;"]"),MATCH($L61,Table3[[Company name]:[Company name]],0)),0)</f>
        <v>0</v>
      </c>
      <c r="Y61" s="1">
        <f ca="1">IFERROR(INDEX(INDIRECT("Table3[Column"&amp;Y$9&amp;"]"),MATCH($L61,Table3[[Company name]:[Company name]],0)),0)</f>
        <v>0</v>
      </c>
      <c r="Z61" s="1">
        <f ca="1">IFERROR(INDEX(INDIRECT("Table3[Column"&amp;Z$9&amp;"]"),MATCH($L61,Table3[[Company name]:[Company name]],0)),0)</f>
        <v>0</v>
      </c>
      <c r="AA61" s="1">
        <f ca="1">IFERROR(INDEX(INDIRECT("Table3[Column"&amp;AA$9&amp;"]"),MATCH($L61,Table3[[Company name]:[Company name]],0)),0)</f>
        <v>0</v>
      </c>
      <c r="AB61" s="1">
        <f ca="1">IFERROR(INDEX(INDIRECT("Table3[Column"&amp;AB$9&amp;"]"),MATCH($L61,Table3[[Company name]:[Company name]],0)),0)</f>
        <v>0</v>
      </c>
      <c r="AC61" s="1">
        <f ca="1">IFERROR(INDEX(INDIRECT("Table3[Column"&amp;AC$9&amp;"]"),MATCH($L61,Table3[[Company name]:[Company name]],0)),0)</f>
        <v>0</v>
      </c>
      <c r="AD61" s="1">
        <f ca="1">IFERROR(INDEX(INDIRECT("Table3[Column"&amp;AD$9&amp;"]"),MATCH($L61,Table3[[Company name]:[Company name]],0)),0)</f>
        <v>0</v>
      </c>
      <c r="AE61" s="1">
        <f ca="1">IFERROR(INDEX(INDIRECT("Table3[Column"&amp;AE$9&amp;"]"),MATCH($L61,Table3[[Company name]:[Company name]],0)),0)</f>
        <v>0</v>
      </c>
      <c r="AF61" s="1">
        <f ca="1">IFERROR(INDEX(INDIRECT("Table3[Column"&amp;AF$9&amp;"]"),MATCH($L61,Table3[[Company name]:[Company name]],0)),0)</f>
        <v>11250</v>
      </c>
      <c r="AG61" s="1">
        <f ca="1">IFERROR(INDEX(INDIRECT("Table3[Column"&amp;AG$9&amp;"]"),MATCH($L61,Table3[[Company name]:[Company name]],0)),0)</f>
        <v>0</v>
      </c>
      <c r="AH61" s="1">
        <f ca="1">IFERROR(INDEX(INDIRECT("Table3[Column"&amp;AH$9&amp;"]"),MATCH($L61,Table3[[Company name]:[Company name]],0)),0)</f>
        <v>0</v>
      </c>
      <c r="AI61" s="1">
        <f t="shared" ca="1" si="6"/>
        <v>176850</v>
      </c>
      <c r="AK61" s="1">
        <f>IF(COUNTIFS($J$7:$J$510,Table7[[#Headers],[Industry Essentials]],$C$7:$C$510,$L61)&gt;0,0,MROUND(R61,100))</f>
        <v>0</v>
      </c>
      <c r="AL61" s="1">
        <f ca="1">IF(COUNTIFS($J$7:$J$510,Table7[[#Headers],[Energy Supply Market Intelligence]],$C$7:$C$510,$L61)&gt;0,0,MROUND(IFERROR(S61*($P61/$AI61),0),100))</f>
        <v>1900</v>
      </c>
      <c r="AM61" s="1">
        <f ca="1">IF(COUNTIFS($J$7:$J$510,Table7[[#Headers],[Energy Supply RTM Analysis]],$C$7:$C$510,$L61)&gt;0,0,MROUND(IFERROR(T61*($P61/$AI61),0),100))</f>
        <v>3400</v>
      </c>
      <c r="AN61" s="1">
        <f ca="1">IF(COUNTIFS($J$7:$J$510,Table7[[#Headers],[Energy Supply Forecasts]],$C$7:$C$510,$L61)&gt;0,0,MROUND(IFERROR(U61*($P61/$AI61),0),100))</f>
        <v>2200</v>
      </c>
      <c r="AO61" s="1">
        <f ca="1">IF(COUNTIFS($J$7:$J$510,Table7[[#Headers],[Energy Supply Regulation]],$C$7:$C$510,$L61)&gt;0,0,MROUND(IFERROR(V61*($P61/$AI61),0),100))</f>
        <v>2500</v>
      </c>
      <c r="AP61" s="1">
        <f ca="1">IF(COUNTIFS($J$7:$J$510,Table7[[#Headers],[Renewables Market Intelligence]],$C$7:$C$510,$L61)&gt;0,0,MROUND(IFERROR(W61*($P61/$AI61),0),100))</f>
        <v>0</v>
      </c>
      <c r="AQ61" s="1">
        <f ca="1">IF(COUNTIFS($J$7:$J$510,Table7[[#Headers],[Renewables RTM Analysis]],$C$7:$C$510,$L61)&gt;0,0,MROUND(IFERROR(X61*($P61/$AI61),0),100))</f>
        <v>0</v>
      </c>
      <c r="AR61" s="1">
        <f ca="1">IF(COUNTIFS($J$7:$J$510,Table7[[#Headers],[Renewables Forecasts]],$C$7:$C$510,$L61)&gt;0,0,MROUND(IFERROR(Y61*($P61/$AI61),0),100))</f>
        <v>0</v>
      </c>
      <c r="AS61" s="1">
        <f ca="1">IF(COUNTIFS($J$7:$J$510,Table7[[#Headers],[Renewables Regulation]],$C$7:$C$510,$L61)&gt;0,0,MROUND(IFERROR(Z61*($P61/$AI61),0),100))</f>
        <v>0</v>
      </c>
      <c r="AT61" s="1">
        <f ca="1">IF(COUNTIFS($J$7:$J$510,Table7[[#Headers],[Flexibility Market Intelligence]],$C$7:$C$510,$L61)&gt;0,0,MROUND(IFERROR(AA61*($P61/$AI61),0),100))</f>
        <v>0</v>
      </c>
      <c r="AU61" s="1">
        <f ca="1">IF(COUNTIFS($J$7:$J$510,Table7[[#Headers],[Flexibility RTM Analysis]],$C$7:$C$510,$L61)&gt;0,0,MROUND(IFERROR(AB61*($P61/$AI61),0),100))</f>
        <v>0</v>
      </c>
      <c r="AV61" s="1">
        <f ca="1">IF(COUNTIFS($J$7:$J$510,Table7[[#Headers],[Flexibility Forecasts]],$C$7:$C$510,$L61)&gt;0,0,MROUND(IFERROR(AC61*($P61/$AI61),0),100))</f>
        <v>0</v>
      </c>
      <c r="AW61" s="1">
        <f ca="1">IF(COUNTIFS($J$7:$J$510,Table7[[#Headers],[Flexibility Regulation]],$C$7:$C$510,$L61)&gt;0,0,MROUND(IFERROR(AD61*($P61/$AI61),0),100))</f>
        <v>0</v>
      </c>
      <c r="AX61" s="1">
        <f ca="1">IF(COUNTIFS($J$7:$J$510,Table7[[#Headers],[Business Energy Essentials]],$C$7:$C$510,$L61)&gt;0,0,MROUND(IFERROR(AE61*($P61/$AI61),0),100))</f>
        <v>0</v>
      </c>
      <c r="AY61" s="1">
        <f ca="1">IF(COUNTIFS($J$7:$J$510,Table7[[#Headers],[Energy User RTM Analysis]],$C$7:$C$510,$L61)&gt;0,0,MROUND(IFERROR(AF61*($P61/$AI61),0),100))</f>
        <v>700</v>
      </c>
      <c r="AZ61" s="1">
        <f ca="1">IF(COUNTIFS($J$7:$J$510,Table7[[#Headers],[Energy User Forecasts]],$C$7:$C$510,$L61)&gt;0,0,MROUND(IFERROR(AG61*($P61/$AI61),0),100))</f>
        <v>0</v>
      </c>
      <c r="BA61" s="1">
        <f ca="1">IF(COUNTIFS($J$7:$J$510,Table7[[#Headers],[Energy User Regulation]],$C$7:$C$510,$L61)&gt;0,0,MROUND(IFERROR(AH61*($P61/$AI61),0),100))</f>
        <v>0</v>
      </c>
    </row>
    <row r="62" spans="2:53">
      <c r="B62" s="38" t="s">
        <v>2096</v>
      </c>
      <c r="C62" s="38" t="s">
        <v>953</v>
      </c>
      <c r="D62" s="38" t="s">
        <v>2040</v>
      </c>
      <c r="E62" s="38" t="s">
        <v>1799</v>
      </c>
      <c r="F62" s="63">
        <v>6780.82</v>
      </c>
      <c r="G62" s="38"/>
      <c r="H62" s="38" t="s">
        <v>2031</v>
      </c>
      <c r="I62" s="38" t="s">
        <v>2032</v>
      </c>
      <c r="J62" s="38" t="s">
        <v>20</v>
      </c>
      <c r="L62" s="1" t="str">
        <v>Eku Energy Ltd</v>
      </c>
      <c r="M62" s="1" t="str">
        <f t="shared" si="2"/>
        <v>Flexibility</v>
      </c>
      <c r="N62" s="109">
        <f t="shared" si="3"/>
        <v>9650</v>
      </c>
      <c r="O62" s="1">
        <f>IFERROR(IF(INDEX(Table3[[Total Spend]:[Total Spend]],MATCH(L62,Table3[[Company name]:[Company name]],0))&gt;N62,INDEX(Table3[[Total Spend]:[Total Spend]],MATCH(L62,Table3[[Company name]:[Company name]])),N62),50000)</f>
        <v>250000</v>
      </c>
      <c r="P62" s="109">
        <f t="shared" si="4"/>
        <v>240350</v>
      </c>
      <c r="Q62" s="103">
        <f t="shared" si="5"/>
        <v>3.8600000000000002E-2</v>
      </c>
      <c r="R62" s="1">
        <f ca="1">IFERROR(INDEX(INDIRECT("Table3[Column"&amp;R$9&amp;"]"),MATCH($L62,Table3[[Company name]:[Company name]],0)),0)</f>
        <v>8100</v>
      </c>
      <c r="S62" s="1">
        <f ca="1">IFERROR(INDEX(INDIRECT("Table3[Column"&amp;S$9&amp;"]"),MATCH($L62,Table3[[Company name]:[Company name]],0)),0)</f>
        <v>0</v>
      </c>
      <c r="T62" s="1">
        <f ca="1">IFERROR(INDEX(INDIRECT("Table3[Column"&amp;T$9&amp;"]"),MATCH($L62,Table3[[Company name]:[Company name]],0)),0)</f>
        <v>0</v>
      </c>
      <c r="U62" s="1">
        <f ca="1">IFERROR(INDEX(INDIRECT("Table3[Column"&amp;U$9&amp;"]"),MATCH($L62,Table3[[Company name]:[Company name]],0)),0)</f>
        <v>0</v>
      </c>
      <c r="V62" s="1">
        <f ca="1">IFERROR(INDEX(INDIRECT("Table3[Column"&amp;V$9&amp;"]"),MATCH($L62,Table3[[Company name]:[Company name]],0)),0)</f>
        <v>0</v>
      </c>
      <c r="W62" s="1">
        <f ca="1">IFERROR(INDEX(INDIRECT("Table3[Column"&amp;W$9&amp;"]"),MATCH($L62,Table3[[Company name]:[Company name]],0)),0)</f>
        <v>0</v>
      </c>
      <c r="X62" s="1">
        <f ca="1">IFERROR(INDEX(INDIRECT("Table3[Column"&amp;X$9&amp;"]"),MATCH($L62,Table3[[Company name]:[Company name]],0)),0)</f>
        <v>0</v>
      </c>
      <c r="Y62" s="1">
        <f ca="1">IFERROR(INDEX(INDIRECT("Table3[Column"&amp;Y$9&amp;"]"),MATCH($L62,Table3[[Company name]:[Company name]],0)),0)</f>
        <v>0</v>
      </c>
      <c r="Z62" s="1">
        <f ca="1">IFERROR(INDEX(INDIRECT("Table3[Column"&amp;Z$9&amp;"]"),MATCH($L62,Table3[[Company name]:[Company name]],0)),0)</f>
        <v>0</v>
      </c>
      <c r="AA62" s="1">
        <f ca="1">IFERROR(INDEX(INDIRECT("Table3[Column"&amp;AA$9&amp;"]"),MATCH($L62,Table3[[Company name]:[Company name]],0)),0)</f>
        <v>21600</v>
      </c>
      <c r="AB62" s="1">
        <f ca="1">IFERROR(INDEX(INDIRECT("Table3[Column"&amp;AB$9&amp;"]"),MATCH($L62,Table3[[Company name]:[Company name]],0)),0)</f>
        <v>7650</v>
      </c>
      <c r="AC62" s="1">
        <f ca="1">IFERROR(INDEX(INDIRECT("Table3[Column"&amp;AC$9&amp;"]"),MATCH($L62,Table3[[Company name]:[Company name]],0)),0)</f>
        <v>31500</v>
      </c>
      <c r="AD62" s="1">
        <f ca="1">IFERROR(INDEX(INDIRECT("Table3[Column"&amp;AD$9&amp;"]"),MATCH($L62,Table3[[Company name]:[Company name]],0)),0)</f>
        <v>25200</v>
      </c>
      <c r="AE62" s="1">
        <f ca="1">IFERROR(INDEX(INDIRECT("Table3[Column"&amp;AE$9&amp;"]"),MATCH($L62,Table3[[Company name]:[Company name]],0)),0)</f>
        <v>0</v>
      </c>
      <c r="AF62" s="1">
        <f ca="1">IFERROR(INDEX(INDIRECT("Table3[Column"&amp;AF$9&amp;"]"),MATCH($L62,Table3[[Company name]:[Company name]],0)),0)</f>
        <v>0</v>
      </c>
      <c r="AG62" s="1">
        <f ca="1">IFERROR(INDEX(INDIRECT("Table3[Column"&amp;AG$9&amp;"]"),MATCH($L62,Table3[[Company name]:[Company name]],0)),0)</f>
        <v>0</v>
      </c>
      <c r="AH62" s="1">
        <f ca="1">IFERROR(INDEX(INDIRECT("Table3[Column"&amp;AH$9&amp;"]"),MATCH($L62,Table3[[Company name]:[Company name]],0)),0)</f>
        <v>0</v>
      </c>
      <c r="AI62" s="1">
        <f t="shared" ca="1" si="6"/>
        <v>94050</v>
      </c>
      <c r="AK62" s="1">
        <f ca="1">IF(COUNTIFS($J$7:$J$510,Table7[[#Headers],[Industry Essentials]],$C$7:$C$510,$L62)&gt;0,0,MROUND(R62,100))</f>
        <v>8100</v>
      </c>
      <c r="AL62" s="1">
        <f ca="1">IF(COUNTIFS($J$7:$J$510,Table7[[#Headers],[Energy Supply Market Intelligence]],$C$7:$C$510,$L62)&gt;0,0,MROUND(IFERROR(S62*($P62/$AI62),0),100))</f>
        <v>0</v>
      </c>
      <c r="AM62" s="1">
        <f ca="1">IF(COUNTIFS($J$7:$J$510,Table7[[#Headers],[Energy Supply RTM Analysis]],$C$7:$C$510,$L62)&gt;0,0,MROUND(IFERROR(T62*($P62/$AI62),0),100))</f>
        <v>0</v>
      </c>
      <c r="AN62" s="1">
        <f ca="1">IF(COUNTIFS($J$7:$J$510,Table7[[#Headers],[Energy Supply Forecasts]],$C$7:$C$510,$L62)&gt;0,0,MROUND(IFERROR(U62*($P62/$AI62),0),100))</f>
        <v>0</v>
      </c>
      <c r="AO62" s="1">
        <f ca="1">IF(COUNTIFS($J$7:$J$510,Table7[[#Headers],[Energy Supply Regulation]],$C$7:$C$510,$L62)&gt;0,0,MROUND(IFERROR(V62*($P62/$AI62),0),100))</f>
        <v>0</v>
      </c>
      <c r="AP62" s="1">
        <f ca="1">IF(COUNTIFS($J$7:$J$510,Table7[[#Headers],[Renewables Market Intelligence]],$C$7:$C$510,$L62)&gt;0,0,MROUND(IFERROR(W62*($P62/$AI62),0),100))</f>
        <v>0</v>
      </c>
      <c r="AQ62" s="1">
        <f ca="1">IF(COUNTIFS($J$7:$J$510,Table7[[#Headers],[Renewables RTM Analysis]],$C$7:$C$510,$L62)&gt;0,0,MROUND(IFERROR(X62*($P62/$AI62),0),100))</f>
        <v>0</v>
      </c>
      <c r="AR62" s="1">
        <f ca="1">IF(COUNTIFS($J$7:$J$510,Table7[[#Headers],[Renewables Forecasts]],$C$7:$C$510,$L62)&gt;0,0,MROUND(IFERROR(Y62*($P62/$AI62),0),100))</f>
        <v>0</v>
      </c>
      <c r="AS62" s="1">
        <f ca="1">IF(COUNTIFS($J$7:$J$510,Table7[[#Headers],[Renewables Regulation]],$C$7:$C$510,$L62)&gt;0,0,MROUND(IFERROR(Z62*($P62/$AI62),0),100))</f>
        <v>0</v>
      </c>
      <c r="AT62" s="1">
        <f>IF(COUNTIFS($J$7:$J$510,Table7[[#Headers],[Flexibility Market Intelligence]],$C$7:$C$510,$L62)&gt;0,0,MROUND(IFERROR(AA62*($P62/$AI62),0),100))</f>
        <v>0</v>
      </c>
      <c r="AU62" s="1">
        <f ca="1">IF(COUNTIFS($J$7:$J$510,Table7[[#Headers],[Flexibility RTM Analysis]],$C$7:$C$510,$L62)&gt;0,0,MROUND(IFERROR(AB62*($P62/$AI62),0),100))</f>
        <v>19600</v>
      </c>
      <c r="AV62" s="1">
        <f ca="1">IF(COUNTIFS($J$7:$J$510,Table7[[#Headers],[Flexibility Forecasts]],$C$7:$C$510,$L62)&gt;0,0,MROUND(IFERROR(AC62*($P62/$AI62),0),100))</f>
        <v>80500</v>
      </c>
      <c r="AW62" s="1">
        <f ca="1">IF(COUNTIFS($J$7:$J$510,Table7[[#Headers],[Flexibility Regulation]],$C$7:$C$510,$L62)&gt;0,0,MROUND(IFERROR(AD62*($P62/$AI62),0),100))</f>
        <v>64400</v>
      </c>
      <c r="AX62" s="1">
        <f ca="1">IF(COUNTIFS($J$7:$J$510,Table7[[#Headers],[Business Energy Essentials]],$C$7:$C$510,$L62)&gt;0,0,MROUND(IFERROR(AE62*($P62/$AI62),0),100))</f>
        <v>0</v>
      </c>
      <c r="AY62" s="1">
        <f ca="1">IF(COUNTIFS($J$7:$J$510,Table7[[#Headers],[Energy User RTM Analysis]],$C$7:$C$510,$L62)&gt;0,0,MROUND(IFERROR(AF62*($P62/$AI62),0),100))</f>
        <v>0</v>
      </c>
      <c r="AZ62" s="1">
        <f ca="1">IF(COUNTIFS($J$7:$J$510,Table7[[#Headers],[Energy User Forecasts]],$C$7:$C$510,$L62)&gt;0,0,MROUND(IFERROR(AG62*($P62/$AI62),0),100))</f>
        <v>0</v>
      </c>
      <c r="BA62" s="1">
        <f ca="1">IF(COUNTIFS($J$7:$J$510,Table7[[#Headers],[Energy User Regulation]],$C$7:$C$510,$L62)&gt;0,0,MROUND(IFERROR(AH62*($P62/$AI62),0),100))</f>
        <v>0</v>
      </c>
    </row>
    <row r="63" spans="2:53">
      <c r="B63" s="38" t="s">
        <v>2097</v>
      </c>
      <c r="C63" s="38" t="s">
        <v>1416</v>
      </c>
      <c r="D63" s="38" t="s">
        <v>2035</v>
      </c>
      <c r="E63" s="38" t="s">
        <v>1855</v>
      </c>
      <c r="F63" s="63">
        <v>1750</v>
      </c>
      <c r="G63" s="38"/>
      <c r="H63" s="38" t="s">
        <v>2032</v>
      </c>
      <c r="I63" s="38" t="s">
        <v>2032</v>
      </c>
      <c r="J63" s="38" t="s">
        <v>20</v>
      </c>
      <c r="L63" s="1" t="str">
        <v>ElectraLink Ltd</v>
      </c>
      <c r="M63" s="1" t="str">
        <f t="shared" si="2"/>
        <v>Other</v>
      </c>
      <c r="N63" s="109">
        <f t="shared" si="3"/>
        <v>16810</v>
      </c>
      <c r="O63" s="1">
        <f>IFERROR(IF(INDEX(Table3[[Total Spend]:[Total Spend]],MATCH(L63,Table3[[Company name]:[Company name]],0))&gt;N63,INDEX(Table3[[Total Spend]:[Total Spend]],MATCH(L63,Table3[[Company name]:[Company name]])),N63),50000)</f>
        <v>16810</v>
      </c>
      <c r="P63" s="109">
        <f t="shared" si="4"/>
        <v>16810</v>
      </c>
      <c r="Q63" s="103">
        <f t="shared" si="5"/>
        <v>1</v>
      </c>
      <c r="R63" s="1">
        <f ca="1">IFERROR(INDEX(INDIRECT("Table3[Column"&amp;R$9&amp;"]"),MATCH($L63,Table3[[Company name]:[Company name]],0)),0)</f>
        <v>8100</v>
      </c>
      <c r="S63" s="1">
        <f ca="1">IFERROR(INDEX(INDIRECT("Table3[Column"&amp;S$9&amp;"]"),MATCH($L63,Table3[[Company name]:[Company name]],0)),0)</f>
        <v>0</v>
      </c>
      <c r="T63" s="1">
        <f ca="1">IFERROR(INDEX(INDIRECT("Table3[Column"&amp;T$9&amp;"]"),MATCH($L63,Table3[[Company name]:[Company name]],0)),0)</f>
        <v>0</v>
      </c>
      <c r="U63" s="1">
        <f ca="1">IFERROR(INDEX(INDIRECT("Table3[Column"&amp;U$9&amp;"]"),MATCH($L63,Table3[[Company name]:[Company name]],0)),0)</f>
        <v>0</v>
      </c>
      <c r="V63" s="1">
        <f ca="1">IFERROR(INDEX(INDIRECT("Table3[Column"&amp;V$9&amp;"]"),MATCH($L63,Table3[[Company name]:[Company name]],0)),0)</f>
        <v>39600</v>
      </c>
      <c r="W63" s="1">
        <f ca="1">IFERROR(INDEX(INDIRECT("Table3[Column"&amp;W$9&amp;"]"),MATCH($L63,Table3[[Company name]:[Company name]],0)),0)</f>
        <v>0</v>
      </c>
      <c r="X63" s="1">
        <f ca="1">IFERROR(INDEX(INDIRECT("Table3[Column"&amp;X$9&amp;"]"),MATCH($L63,Table3[[Company name]:[Company name]],0)),0)</f>
        <v>0</v>
      </c>
      <c r="Y63" s="1">
        <f ca="1">IFERROR(INDEX(INDIRECT("Table3[Column"&amp;Y$9&amp;"]"),MATCH($L63,Table3[[Company name]:[Company name]],0)),0)</f>
        <v>0</v>
      </c>
      <c r="Z63" s="1">
        <f ca="1">IFERROR(INDEX(INDIRECT("Table3[Column"&amp;Z$9&amp;"]"),MATCH($L63,Table3[[Company name]:[Company name]],0)),0)</f>
        <v>0</v>
      </c>
      <c r="AA63" s="1">
        <f ca="1">IFERROR(INDEX(INDIRECT("Table3[Column"&amp;AA$9&amp;"]"),MATCH($L63,Table3[[Company name]:[Company name]],0)),0)</f>
        <v>0</v>
      </c>
      <c r="AB63" s="1">
        <f ca="1">IFERROR(INDEX(INDIRECT("Table3[Column"&amp;AB$9&amp;"]"),MATCH($L63,Table3[[Company name]:[Company name]],0)),0)</f>
        <v>0</v>
      </c>
      <c r="AC63" s="1">
        <f ca="1">IFERROR(INDEX(INDIRECT("Table3[Column"&amp;AC$9&amp;"]"),MATCH($L63,Table3[[Company name]:[Company name]],0)),0)</f>
        <v>0</v>
      </c>
      <c r="AD63" s="1">
        <f ca="1">IFERROR(INDEX(INDIRECT("Table3[Column"&amp;AD$9&amp;"]"),MATCH($L63,Table3[[Company name]:[Company name]],0)),0)</f>
        <v>0</v>
      </c>
      <c r="AE63" s="1">
        <f ca="1">IFERROR(INDEX(INDIRECT("Table3[Column"&amp;AE$9&amp;"]"),MATCH($L63,Table3[[Company name]:[Company name]],0)),0)</f>
        <v>0</v>
      </c>
      <c r="AF63" s="1">
        <f ca="1">IFERROR(INDEX(INDIRECT("Table3[Column"&amp;AF$9&amp;"]"),MATCH($L63,Table3[[Company name]:[Company name]],0)),0)</f>
        <v>0</v>
      </c>
      <c r="AG63" s="1">
        <f ca="1">IFERROR(INDEX(INDIRECT("Table3[Column"&amp;AG$9&amp;"]"),MATCH($L63,Table3[[Company name]:[Company name]],0)),0)</f>
        <v>0</v>
      </c>
      <c r="AH63" s="1">
        <f ca="1">IFERROR(INDEX(INDIRECT("Table3[Column"&amp;AH$9&amp;"]"),MATCH($L63,Table3[[Company name]:[Company name]],0)),0)</f>
        <v>0</v>
      </c>
      <c r="AI63" s="1">
        <f t="shared" ca="1" si="6"/>
        <v>47700</v>
      </c>
      <c r="AK63" s="1">
        <f>IF(COUNTIFS($J$7:$J$510,Table7[[#Headers],[Industry Essentials]],$C$7:$C$510,$L63)&gt;0,0,MROUND(R63,100))</f>
        <v>0</v>
      </c>
      <c r="AL63" s="1">
        <f ca="1">IF(COUNTIFS($J$7:$J$510,Table7[[#Headers],[Energy Supply Market Intelligence]],$C$7:$C$510,$L63)&gt;0,0,MROUND(IFERROR(S63*($P63/$AI63),0),100))</f>
        <v>0</v>
      </c>
      <c r="AM63" s="1">
        <f>IF(COUNTIFS($J$7:$J$510,Table7[[#Headers],[Energy Supply RTM Analysis]],$C$7:$C$510,$L63)&gt;0,0,MROUND(IFERROR(T63*($P63/$AI63),0),100))</f>
        <v>0</v>
      </c>
      <c r="AN63" s="1">
        <f ca="1">IF(COUNTIFS($J$7:$J$510,Table7[[#Headers],[Energy Supply Forecasts]],$C$7:$C$510,$L63)&gt;0,0,MROUND(IFERROR(U63*($P63/$AI63),0),100))</f>
        <v>0</v>
      </c>
      <c r="AO63" s="1">
        <f ca="1">IF(COUNTIFS($J$7:$J$510,Table7[[#Headers],[Energy Supply Regulation]],$C$7:$C$510,$L63)&gt;0,0,MROUND(IFERROR(V63*($P63/$AI63),0),100))</f>
        <v>14000</v>
      </c>
      <c r="AP63" s="1">
        <f ca="1">IF(COUNTIFS($J$7:$J$510,Table7[[#Headers],[Renewables Market Intelligence]],$C$7:$C$510,$L63)&gt;0,0,MROUND(IFERROR(W63*($P63/$AI63),0),100))</f>
        <v>0</v>
      </c>
      <c r="AQ63" s="1">
        <f ca="1">IF(COUNTIFS($J$7:$J$510,Table7[[#Headers],[Renewables RTM Analysis]],$C$7:$C$510,$L63)&gt;0,0,MROUND(IFERROR(X63*($P63/$AI63),0),100))</f>
        <v>0</v>
      </c>
      <c r="AR63" s="1">
        <f ca="1">IF(COUNTIFS($J$7:$J$510,Table7[[#Headers],[Renewables Forecasts]],$C$7:$C$510,$L63)&gt;0,0,MROUND(IFERROR(Y63*($P63/$AI63),0),100))</f>
        <v>0</v>
      </c>
      <c r="AS63" s="1">
        <f ca="1">IF(COUNTIFS($J$7:$J$510,Table7[[#Headers],[Renewables Regulation]],$C$7:$C$510,$L63)&gt;0,0,MROUND(IFERROR(Z63*($P63/$AI63),0),100))</f>
        <v>0</v>
      </c>
      <c r="AT63" s="1">
        <f ca="1">IF(COUNTIFS($J$7:$J$510,Table7[[#Headers],[Flexibility Market Intelligence]],$C$7:$C$510,$L63)&gt;0,0,MROUND(IFERROR(AA63*($P63/$AI63),0),100))</f>
        <v>0</v>
      </c>
      <c r="AU63" s="1">
        <f ca="1">IF(COUNTIFS($J$7:$J$510,Table7[[#Headers],[Flexibility RTM Analysis]],$C$7:$C$510,$L63)&gt;0,0,MROUND(IFERROR(AB63*($P63/$AI63),0),100))</f>
        <v>0</v>
      </c>
      <c r="AV63" s="1">
        <f ca="1">IF(COUNTIFS($J$7:$J$510,Table7[[#Headers],[Flexibility Forecasts]],$C$7:$C$510,$L63)&gt;0,0,MROUND(IFERROR(AC63*($P63/$AI63),0),100))</f>
        <v>0</v>
      </c>
      <c r="AW63" s="1">
        <f ca="1">IF(COUNTIFS($J$7:$J$510,Table7[[#Headers],[Flexibility Regulation]],$C$7:$C$510,$L63)&gt;0,0,MROUND(IFERROR(AD63*($P63/$AI63),0),100))</f>
        <v>0</v>
      </c>
      <c r="AX63" s="1">
        <f ca="1">IF(COUNTIFS($J$7:$J$510,Table7[[#Headers],[Business Energy Essentials]],$C$7:$C$510,$L63)&gt;0,0,MROUND(IFERROR(AE63*($P63/$AI63),0),100))</f>
        <v>0</v>
      </c>
      <c r="AY63" s="1">
        <f ca="1">IF(COUNTIFS($J$7:$J$510,Table7[[#Headers],[Energy User RTM Analysis]],$C$7:$C$510,$L63)&gt;0,0,MROUND(IFERROR(AF63*($P63/$AI63),0),100))</f>
        <v>0</v>
      </c>
      <c r="AZ63" s="1">
        <f ca="1">IF(COUNTIFS($J$7:$J$510,Table7[[#Headers],[Energy User Forecasts]],$C$7:$C$510,$L63)&gt;0,0,MROUND(IFERROR(AG63*($P63/$AI63),0),100))</f>
        <v>0</v>
      </c>
      <c r="BA63" s="1">
        <f ca="1">IF(COUNTIFS($J$7:$J$510,Table7[[#Headers],[Energy User Regulation]],$C$7:$C$510,$L63)&gt;0,0,MROUND(IFERROR(AH63*($P63/$AI63),0),100))</f>
        <v>0</v>
      </c>
    </row>
    <row r="64" spans="2:53">
      <c r="B64" s="38" t="s">
        <v>2098</v>
      </c>
      <c r="C64" s="38" t="s">
        <v>342</v>
      </c>
      <c r="D64" s="38" t="s">
        <v>2099</v>
      </c>
      <c r="E64" s="38" t="s">
        <v>1815</v>
      </c>
      <c r="F64" s="63">
        <v>8500</v>
      </c>
      <c r="G64" s="38"/>
      <c r="H64" s="38" t="s">
        <v>1702</v>
      </c>
      <c r="I64" s="38" t="s">
        <v>1702</v>
      </c>
      <c r="J64" s="38" t="s">
        <v>27</v>
      </c>
      <c r="L64" s="1" t="str">
        <v>Electricity North West Limited</v>
      </c>
      <c r="M64" s="1" t="str">
        <f t="shared" si="2"/>
        <v>Other</v>
      </c>
      <c r="N64" s="109">
        <f t="shared" si="3"/>
        <v>9000</v>
      </c>
      <c r="O64" s="1">
        <f>IFERROR(IF(INDEX(Table3[[Total Spend]:[Total Spend]],MATCH(L64,Table3[[Company name]:[Company name]],0))&gt;N64,INDEX(Table3[[Total Spend]:[Total Spend]],MATCH(L64,Table3[[Company name]:[Company name]])),N64),50000)</f>
        <v>250000</v>
      </c>
      <c r="P64" s="109">
        <f t="shared" si="4"/>
        <v>241000</v>
      </c>
      <c r="Q64" s="103">
        <f t="shared" si="5"/>
        <v>3.5999999999999997E-2</v>
      </c>
      <c r="R64" s="1">
        <f ca="1">IFERROR(INDEX(INDIRECT("Table3[Column"&amp;R$9&amp;"]"),MATCH($L64,Table3[[Company name]:[Company name]],0)),0)</f>
        <v>10800</v>
      </c>
      <c r="S64" s="1">
        <f ca="1">IFERROR(INDEX(INDIRECT("Table3[Column"&amp;S$9&amp;"]"),MATCH($L64,Table3[[Company name]:[Company name]],0)),0)</f>
        <v>0</v>
      </c>
      <c r="T64" s="1">
        <f ca="1">IFERROR(INDEX(INDIRECT("Table3[Column"&amp;T$9&amp;"]"),MATCH($L64,Table3[[Company name]:[Company name]],0)),0)</f>
        <v>0</v>
      </c>
      <c r="U64" s="1">
        <f ca="1">IFERROR(INDEX(INDIRECT("Table3[Column"&amp;U$9&amp;"]"),MATCH($L64,Table3[[Company name]:[Company name]],0)),0)</f>
        <v>0</v>
      </c>
      <c r="V64" s="1">
        <f ca="1">IFERROR(INDEX(INDIRECT("Table3[Column"&amp;V$9&amp;"]"),MATCH($L64,Table3[[Company name]:[Company name]],0)),0)</f>
        <v>0</v>
      </c>
      <c r="W64" s="1">
        <f ca="1">IFERROR(INDEX(INDIRECT("Table3[Column"&amp;W$9&amp;"]"),MATCH($L64,Table3[[Company name]:[Company name]],0)),0)</f>
        <v>0</v>
      </c>
      <c r="X64" s="1">
        <f ca="1">IFERROR(INDEX(INDIRECT("Table3[Column"&amp;X$9&amp;"]"),MATCH($L64,Table3[[Company name]:[Company name]],0)),0)</f>
        <v>0</v>
      </c>
      <c r="Y64" s="1">
        <f ca="1">IFERROR(INDEX(INDIRECT("Table3[Column"&amp;Y$9&amp;"]"),MATCH($L64,Table3[[Company name]:[Company name]],0)),0)</f>
        <v>0</v>
      </c>
      <c r="Z64" s="1">
        <f ca="1">IFERROR(INDEX(INDIRECT("Table3[Column"&amp;Z$9&amp;"]"),MATCH($L64,Table3[[Company name]:[Company name]],0)),0)</f>
        <v>0</v>
      </c>
      <c r="AA64" s="1">
        <f ca="1">IFERROR(INDEX(INDIRECT("Table3[Column"&amp;AA$9&amp;"]"),MATCH($L64,Table3[[Company name]:[Company name]],0)),0)</f>
        <v>0</v>
      </c>
      <c r="AB64" s="1">
        <f ca="1">IFERROR(INDEX(INDIRECT("Table3[Column"&amp;AB$9&amp;"]"),MATCH($L64,Table3[[Company name]:[Company name]],0)),0)</f>
        <v>0</v>
      </c>
      <c r="AC64" s="1">
        <f ca="1">IFERROR(INDEX(INDIRECT("Table3[Column"&amp;AC$9&amp;"]"),MATCH($L64,Table3[[Company name]:[Company name]],0)),0)</f>
        <v>0</v>
      </c>
      <c r="AD64" s="1">
        <f ca="1">IFERROR(INDEX(INDIRECT("Table3[Column"&amp;AD$9&amp;"]"),MATCH($L64,Table3[[Company name]:[Company name]],0)),0)</f>
        <v>0</v>
      </c>
      <c r="AE64" s="1">
        <f ca="1">IFERROR(INDEX(INDIRECT("Table3[Column"&amp;AE$9&amp;"]"),MATCH($L64,Table3[[Company name]:[Company name]],0)),0)</f>
        <v>0</v>
      </c>
      <c r="AF64" s="1">
        <f ca="1">IFERROR(INDEX(INDIRECT("Table3[Column"&amp;AF$9&amp;"]"),MATCH($L64,Table3[[Company name]:[Company name]],0)),0)</f>
        <v>0</v>
      </c>
      <c r="AG64" s="1">
        <f ca="1">IFERROR(INDEX(INDIRECT("Table3[Column"&amp;AG$9&amp;"]"),MATCH($L64,Table3[[Company name]:[Company name]],0)),0)</f>
        <v>0</v>
      </c>
      <c r="AH64" s="1">
        <f ca="1">IFERROR(INDEX(INDIRECT("Table3[Column"&amp;AH$9&amp;"]"),MATCH($L64,Table3[[Company name]:[Company name]],0)),0)</f>
        <v>0</v>
      </c>
      <c r="AI64" s="1">
        <f t="shared" ca="1" si="6"/>
        <v>10800</v>
      </c>
      <c r="AK64" s="1">
        <f>IF(COUNTIFS($J$7:$J$510,Table7[[#Headers],[Industry Essentials]],$C$7:$C$510,$L64)&gt;0,0,MROUND(R64,100))</f>
        <v>0</v>
      </c>
      <c r="AL64" s="1">
        <f ca="1">IF(COUNTIFS($J$7:$J$510,Table7[[#Headers],[Energy Supply Market Intelligence]],$C$7:$C$510,$L64)&gt;0,0,MROUND(IFERROR(S64*($P64/$AI64),0),100))</f>
        <v>0</v>
      </c>
      <c r="AM64" s="1">
        <f ca="1">IF(COUNTIFS($J$7:$J$510,Table7[[#Headers],[Energy Supply RTM Analysis]],$C$7:$C$510,$L64)&gt;0,0,MROUND(IFERROR(T64*($P64/$AI64),0),100))</f>
        <v>0</v>
      </c>
      <c r="AN64" s="1">
        <f ca="1">IF(COUNTIFS($J$7:$J$510,Table7[[#Headers],[Energy Supply Forecasts]],$C$7:$C$510,$L64)&gt;0,0,MROUND(IFERROR(U64*($P64/$AI64),0),100))</f>
        <v>0</v>
      </c>
      <c r="AO64" s="1">
        <f ca="1">IF(COUNTIFS($J$7:$J$510,Table7[[#Headers],[Energy Supply Regulation]],$C$7:$C$510,$L64)&gt;0,0,MROUND(IFERROR(V64*($P64/$AI64),0),100))</f>
        <v>0</v>
      </c>
      <c r="AP64" s="1">
        <f ca="1">IF(COUNTIFS($J$7:$J$510,Table7[[#Headers],[Renewables Market Intelligence]],$C$7:$C$510,$L64)&gt;0,0,MROUND(IFERROR(W64*($P64/$AI64),0),100))</f>
        <v>0</v>
      </c>
      <c r="AQ64" s="1">
        <f ca="1">IF(COUNTIFS($J$7:$J$510,Table7[[#Headers],[Renewables RTM Analysis]],$C$7:$C$510,$L64)&gt;0,0,MROUND(IFERROR(X64*($P64/$AI64),0),100))</f>
        <v>0</v>
      </c>
      <c r="AR64" s="1">
        <f ca="1">IF(COUNTIFS($J$7:$J$510,Table7[[#Headers],[Renewables Forecasts]],$C$7:$C$510,$L64)&gt;0,0,MROUND(IFERROR(Y64*($P64/$AI64),0),100))</f>
        <v>0</v>
      </c>
      <c r="AS64" s="1">
        <f ca="1">IF(COUNTIFS($J$7:$J$510,Table7[[#Headers],[Renewables Regulation]],$C$7:$C$510,$L64)&gt;0,0,MROUND(IFERROR(Z64*($P64/$AI64),0),100))</f>
        <v>0</v>
      </c>
      <c r="AT64" s="1">
        <f ca="1">IF(COUNTIFS($J$7:$J$510,Table7[[#Headers],[Flexibility Market Intelligence]],$C$7:$C$510,$L64)&gt;0,0,MROUND(IFERROR(AA64*($P64/$AI64),0),100))</f>
        <v>0</v>
      </c>
      <c r="AU64" s="1">
        <f ca="1">IF(COUNTIFS($J$7:$J$510,Table7[[#Headers],[Flexibility RTM Analysis]],$C$7:$C$510,$L64)&gt;0,0,MROUND(IFERROR(AB64*($P64/$AI64),0),100))</f>
        <v>0</v>
      </c>
      <c r="AV64" s="1">
        <f ca="1">IF(COUNTIFS($J$7:$J$510,Table7[[#Headers],[Flexibility Forecasts]],$C$7:$C$510,$L64)&gt;0,0,MROUND(IFERROR(AC64*($P64/$AI64),0),100))</f>
        <v>0</v>
      </c>
      <c r="AW64" s="1">
        <f ca="1">IF(COUNTIFS($J$7:$J$510,Table7[[#Headers],[Flexibility Regulation]],$C$7:$C$510,$L64)&gt;0,0,MROUND(IFERROR(AD64*($P64/$AI64),0),100))</f>
        <v>0</v>
      </c>
      <c r="AX64" s="1">
        <f ca="1">IF(COUNTIFS($J$7:$J$510,Table7[[#Headers],[Business Energy Essentials]],$C$7:$C$510,$L64)&gt;0,0,MROUND(IFERROR(AE64*($P64/$AI64),0),100))</f>
        <v>0</v>
      </c>
      <c r="AY64" s="1">
        <f ca="1">IF(COUNTIFS($J$7:$J$510,Table7[[#Headers],[Energy User RTM Analysis]],$C$7:$C$510,$L64)&gt;0,0,MROUND(IFERROR(AF64*($P64/$AI64),0),100))</f>
        <v>0</v>
      </c>
      <c r="AZ64" s="1">
        <f ca="1">IF(COUNTIFS($J$7:$J$510,Table7[[#Headers],[Energy User Forecasts]],$C$7:$C$510,$L64)&gt;0,0,MROUND(IFERROR(AG64*($P64/$AI64),0),100))</f>
        <v>0</v>
      </c>
      <c r="BA64" s="1">
        <f ca="1">IF(COUNTIFS($J$7:$J$510,Table7[[#Headers],[Energy User Regulation]],$C$7:$C$510,$L64)&gt;0,0,MROUND(IFERROR(AH64*($P64/$AI64),0),100))</f>
        <v>0</v>
      </c>
    </row>
    <row r="65" spans="2:53">
      <c r="B65" s="38" t="s">
        <v>2098</v>
      </c>
      <c r="C65" s="38" t="s">
        <v>342</v>
      </c>
      <c r="D65" s="38" t="s">
        <v>2040</v>
      </c>
      <c r="E65" s="38" t="s">
        <v>1799</v>
      </c>
      <c r="F65" s="63">
        <v>6900</v>
      </c>
      <c r="G65" s="38"/>
      <c r="H65" s="38" t="s">
        <v>1702</v>
      </c>
      <c r="I65" s="38" t="s">
        <v>2032</v>
      </c>
      <c r="J65" s="38" t="s">
        <v>20</v>
      </c>
      <c r="L65" s="1" t="str">
        <v>Elexon Limited</v>
      </c>
      <c r="M65" s="1" t="str">
        <f t="shared" si="2"/>
        <v>Other</v>
      </c>
      <c r="N65" s="109">
        <f t="shared" si="3"/>
        <v>8550</v>
      </c>
      <c r="O65" s="1">
        <f>IFERROR(IF(INDEX(Table3[[Total Spend]:[Total Spend]],MATCH(L65,Table3[[Company name]:[Company name]],0))&gt;N65,INDEX(Table3[[Total Spend]:[Total Spend]],MATCH(L65,Table3[[Company name]:[Company name]])),N65),50000)</f>
        <v>250000</v>
      </c>
      <c r="P65" s="109">
        <f t="shared" si="4"/>
        <v>241450</v>
      </c>
      <c r="Q65" s="103">
        <f t="shared" si="5"/>
        <v>3.4200000000000001E-2</v>
      </c>
      <c r="R65" s="1">
        <f ca="1">IFERROR(INDEX(INDIRECT("Table3[Column"&amp;R$9&amp;"]"),MATCH($L65,Table3[[Company name]:[Company name]],0)),0)</f>
        <v>10800</v>
      </c>
      <c r="S65" s="1">
        <f ca="1">IFERROR(INDEX(INDIRECT("Table3[Column"&amp;S$9&amp;"]"),MATCH($L65,Table3[[Company name]:[Company name]],0)),0)</f>
        <v>0</v>
      </c>
      <c r="T65" s="1">
        <f ca="1">IFERROR(INDEX(INDIRECT("Table3[Column"&amp;T$9&amp;"]"),MATCH($L65,Table3[[Company name]:[Company name]],0)),0)</f>
        <v>0</v>
      </c>
      <c r="U65" s="1">
        <f ca="1">IFERROR(INDEX(INDIRECT("Table3[Column"&amp;U$9&amp;"]"),MATCH($L65,Table3[[Company name]:[Company name]],0)),0)</f>
        <v>0</v>
      </c>
      <c r="V65" s="1">
        <f ca="1">IFERROR(INDEX(INDIRECT("Table3[Column"&amp;V$9&amp;"]"),MATCH($L65,Table3[[Company name]:[Company name]],0)),0)</f>
        <v>0</v>
      </c>
      <c r="W65" s="1">
        <f ca="1">IFERROR(INDEX(INDIRECT("Table3[Column"&amp;W$9&amp;"]"),MATCH($L65,Table3[[Company name]:[Company name]],0)),0)</f>
        <v>0</v>
      </c>
      <c r="X65" s="1">
        <f ca="1">IFERROR(INDEX(INDIRECT("Table3[Column"&amp;X$9&amp;"]"),MATCH($L65,Table3[[Company name]:[Company name]],0)),0)</f>
        <v>0</v>
      </c>
      <c r="Y65" s="1">
        <f ca="1">IFERROR(INDEX(INDIRECT("Table3[Column"&amp;Y$9&amp;"]"),MATCH($L65,Table3[[Company name]:[Company name]],0)),0)</f>
        <v>0</v>
      </c>
      <c r="Z65" s="1">
        <f ca="1">IFERROR(INDEX(INDIRECT("Table3[Column"&amp;Z$9&amp;"]"),MATCH($L65,Table3[[Company name]:[Company name]],0)),0)</f>
        <v>0</v>
      </c>
      <c r="AA65" s="1">
        <f ca="1">IFERROR(INDEX(INDIRECT("Table3[Column"&amp;AA$9&amp;"]"),MATCH($L65,Table3[[Company name]:[Company name]],0)),0)</f>
        <v>0</v>
      </c>
      <c r="AB65" s="1">
        <f ca="1">IFERROR(INDEX(INDIRECT("Table3[Column"&amp;AB$9&amp;"]"),MATCH($L65,Table3[[Company name]:[Company name]],0)),0)</f>
        <v>0</v>
      </c>
      <c r="AC65" s="1">
        <f ca="1">IFERROR(INDEX(INDIRECT("Table3[Column"&amp;AC$9&amp;"]"),MATCH($L65,Table3[[Company name]:[Company name]],0)),0)</f>
        <v>0</v>
      </c>
      <c r="AD65" s="1">
        <f ca="1">IFERROR(INDEX(INDIRECT("Table3[Column"&amp;AD$9&amp;"]"),MATCH($L65,Table3[[Company name]:[Company name]],0)),0)</f>
        <v>0</v>
      </c>
      <c r="AE65" s="1">
        <f ca="1">IFERROR(INDEX(INDIRECT("Table3[Column"&amp;AE$9&amp;"]"),MATCH($L65,Table3[[Company name]:[Company name]],0)),0)</f>
        <v>0</v>
      </c>
      <c r="AF65" s="1">
        <f ca="1">IFERROR(INDEX(INDIRECT("Table3[Column"&amp;AF$9&amp;"]"),MATCH($L65,Table3[[Company name]:[Company name]],0)),0)</f>
        <v>0</v>
      </c>
      <c r="AG65" s="1">
        <f ca="1">IFERROR(INDEX(INDIRECT("Table3[Column"&amp;AG$9&amp;"]"),MATCH($L65,Table3[[Company name]:[Company name]],0)),0)</f>
        <v>0</v>
      </c>
      <c r="AH65" s="1">
        <f ca="1">IFERROR(INDEX(INDIRECT("Table3[Column"&amp;AH$9&amp;"]"),MATCH($L65,Table3[[Company name]:[Company name]],0)),0)</f>
        <v>0</v>
      </c>
      <c r="AI65" s="1">
        <f t="shared" ca="1" si="6"/>
        <v>10800</v>
      </c>
      <c r="AK65" s="1">
        <f>IF(COUNTIFS($J$7:$J$510,Table7[[#Headers],[Industry Essentials]],$C$7:$C$510,$L65)&gt;0,0,MROUND(R65,100))</f>
        <v>0</v>
      </c>
      <c r="AL65" s="1">
        <f ca="1">IF(COUNTIFS($J$7:$J$510,Table7[[#Headers],[Energy Supply Market Intelligence]],$C$7:$C$510,$L65)&gt;0,0,MROUND(IFERROR(S65*($P65/$AI65),0),100))</f>
        <v>0</v>
      </c>
      <c r="AM65" s="1">
        <f ca="1">IF(COUNTIFS($J$7:$J$510,Table7[[#Headers],[Energy Supply RTM Analysis]],$C$7:$C$510,$L65)&gt;0,0,MROUND(IFERROR(T65*($P65/$AI65),0),100))</f>
        <v>0</v>
      </c>
      <c r="AN65" s="1">
        <f ca="1">IF(COUNTIFS($J$7:$J$510,Table7[[#Headers],[Energy Supply Forecasts]],$C$7:$C$510,$L65)&gt;0,0,MROUND(IFERROR(U65*($P65/$AI65),0),100))</f>
        <v>0</v>
      </c>
      <c r="AO65" s="1">
        <f ca="1">IF(COUNTIFS($J$7:$J$510,Table7[[#Headers],[Energy Supply Regulation]],$C$7:$C$510,$L65)&gt;0,0,MROUND(IFERROR(V65*($P65/$AI65),0),100))</f>
        <v>0</v>
      </c>
      <c r="AP65" s="1">
        <f ca="1">IF(COUNTIFS($J$7:$J$510,Table7[[#Headers],[Renewables Market Intelligence]],$C$7:$C$510,$L65)&gt;0,0,MROUND(IFERROR(W65*($P65/$AI65),0),100))</f>
        <v>0</v>
      </c>
      <c r="AQ65" s="1">
        <f ca="1">IF(COUNTIFS($J$7:$J$510,Table7[[#Headers],[Renewables RTM Analysis]],$C$7:$C$510,$L65)&gt;0,0,MROUND(IFERROR(X65*($P65/$AI65),0),100))</f>
        <v>0</v>
      </c>
      <c r="AR65" s="1">
        <f ca="1">IF(COUNTIFS($J$7:$J$510,Table7[[#Headers],[Renewables Forecasts]],$C$7:$C$510,$L65)&gt;0,0,MROUND(IFERROR(Y65*($P65/$AI65),0),100))</f>
        <v>0</v>
      </c>
      <c r="AS65" s="1">
        <f ca="1">IF(COUNTIFS($J$7:$J$510,Table7[[#Headers],[Renewables Regulation]],$C$7:$C$510,$L65)&gt;0,0,MROUND(IFERROR(Z65*($P65/$AI65),0),100))</f>
        <v>0</v>
      </c>
      <c r="AT65" s="1">
        <f ca="1">IF(COUNTIFS($J$7:$J$510,Table7[[#Headers],[Flexibility Market Intelligence]],$C$7:$C$510,$L65)&gt;0,0,MROUND(IFERROR(AA65*($P65/$AI65),0),100))</f>
        <v>0</v>
      </c>
      <c r="AU65" s="1">
        <f ca="1">IF(COUNTIFS($J$7:$J$510,Table7[[#Headers],[Flexibility RTM Analysis]],$C$7:$C$510,$L65)&gt;0,0,MROUND(IFERROR(AB65*($P65/$AI65),0),100))</f>
        <v>0</v>
      </c>
      <c r="AV65" s="1">
        <f ca="1">IF(COUNTIFS($J$7:$J$510,Table7[[#Headers],[Flexibility Forecasts]],$C$7:$C$510,$L65)&gt;0,0,MROUND(IFERROR(AC65*($P65/$AI65),0),100))</f>
        <v>0</v>
      </c>
      <c r="AW65" s="1">
        <f ca="1">IF(COUNTIFS($J$7:$J$510,Table7[[#Headers],[Flexibility Regulation]],$C$7:$C$510,$L65)&gt;0,0,MROUND(IFERROR(AD65*($P65/$AI65),0),100))</f>
        <v>0</v>
      </c>
      <c r="AX65" s="1">
        <f ca="1">IF(COUNTIFS($J$7:$J$510,Table7[[#Headers],[Business Energy Essentials]],$C$7:$C$510,$L65)&gt;0,0,MROUND(IFERROR(AE65*($P65/$AI65),0),100))</f>
        <v>0</v>
      </c>
      <c r="AY65" s="1">
        <f ca="1">IF(COUNTIFS($J$7:$J$510,Table7[[#Headers],[Energy User RTM Analysis]],$C$7:$C$510,$L65)&gt;0,0,MROUND(IFERROR(AF65*($P65/$AI65),0),100))</f>
        <v>0</v>
      </c>
      <c r="AZ65" s="1">
        <f ca="1">IF(COUNTIFS($J$7:$J$510,Table7[[#Headers],[Energy User Forecasts]],$C$7:$C$510,$L65)&gt;0,0,MROUND(IFERROR(AG65*($P65/$AI65),0),100))</f>
        <v>0</v>
      </c>
      <c r="BA65" s="1">
        <f ca="1">IF(COUNTIFS($J$7:$J$510,Table7[[#Headers],[Energy User Regulation]],$C$7:$C$510,$L65)&gt;0,0,MROUND(IFERROR(AH65*($P65/$AI65),0),100))</f>
        <v>0</v>
      </c>
    </row>
    <row r="66" spans="2:53">
      <c r="B66" s="38" t="s">
        <v>2098</v>
      </c>
      <c r="C66" s="38" t="s">
        <v>342</v>
      </c>
      <c r="D66" s="38" t="s">
        <v>2100</v>
      </c>
      <c r="E66" s="38" t="s">
        <v>1904</v>
      </c>
      <c r="F66" s="63">
        <v>22200</v>
      </c>
      <c r="G66" s="38"/>
      <c r="H66" s="38" t="s">
        <v>1702</v>
      </c>
      <c r="I66" s="38" t="s">
        <v>1702</v>
      </c>
      <c r="J66" s="38" t="s">
        <v>25</v>
      </c>
      <c r="L66" s="1" t="str">
        <v>Eneco UK Limited</v>
      </c>
      <c r="M66" s="1" t="str">
        <f t="shared" si="2"/>
        <v>Supply</v>
      </c>
      <c r="N66" s="109">
        <f t="shared" si="3"/>
        <v>30000</v>
      </c>
      <c r="O66" s="1">
        <f>IFERROR(IF(INDEX(Table3[[Total Spend]:[Total Spend]],MATCH(L66,Table3[[Company name]:[Company name]],0))&gt;N66,INDEX(Table3[[Total Spend]:[Total Spend]],MATCH(L66,Table3[[Company name]:[Company name]])),N66),50000)</f>
        <v>250000</v>
      </c>
      <c r="P66" s="109">
        <f t="shared" si="4"/>
        <v>220000</v>
      </c>
      <c r="Q66" s="103">
        <f t="shared" si="5"/>
        <v>0.12</v>
      </c>
      <c r="R66" s="1">
        <f ca="1">IFERROR(INDEX(INDIRECT("Table3[Column"&amp;R$9&amp;"]"),MATCH($L66,Table3[[Company name]:[Company name]],0)),0)</f>
        <v>8100</v>
      </c>
      <c r="S66" s="1">
        <f ca="1">IFERROR(INDEX(INDIRECT("Table3[Column"&amp;S$9&amp;"]"),MATCH($L66,Table3[[Company name]:[Company name]],0)),0)</f>
        <v>30600</v>
      </c>
      <c r="T66" s="1">
        <f ca="1">IFERROR(INDEX(INDIRECT("Table3[Column"&amp;T$9&amp;"]"),MATCH($L66,Table3[[Company name]:[Company name]],0)),0)</f>
        <v>53100</v>
      </c>
      <c r="U66" s="1">
        <f ca="1">IFERROR(INDEX(INDIRECT("Table3[Column"&amp;U$9&amp;"]"),MATCH($L66,Table3[[Company name]:[Company name]],0)),0)</f>
        <v>34200</v>
      </c>
      <c r="V66" s="1">
        <f ca="1">IFERROR(INDEX(INDIRECT("Table3[Column"&amp;V$9&amp;"]"),MATCH($L66,Table3[[Company name]:[Company name]],0)),0)</f>
        <v>39600</v>
      </c>
      <c r="W66" s="1">
        <f ca="1">IFERROR(INDEX(INDIRECT("Table3[Column"&amp;W$9&amp;"]"),MATCH($L66,Table3[[Company name]:[Company name]],0)),0)</f>
        <v>17100</v>
      </c>
      <c r="X66" s="1">
        <f ca="1">IFERROR(INDEX(INDIRECT("Table3[Column"&amp;X$9&amp;"]"),MATCH($L66,Table3[[Company name]:[Company name]],0)),0)</f>
        <v>15300</v>
      </c>
      <c r="Y66" s="1">
        <f ca="1">IFERROR(INDEX(INDIRECT("Table3[Column"&amp;Y$9&amp;"]"),MATCH($L66,Table3[[Company name]:[Company name]],0)),0)</f>
        <v>42300</v>
      </c>
      <c r="Z66" s="1">
        <f ca="1">IFERROR(INDEX(INDIRECT("Table3[Column"&amp;Z$9&amp;"]"),MATCH($L66,Table3[[Company name]:[Company name]],0)),0)</f>
        <v>18900</v>
      </c>
      <c r="AA66" s="1">
        <f ca="1">IFERROR(INDEX(INDIRECT("Table3[Column"&amp;AA$9&amp;"]"),MATCH($L66,Table3[[Company name]:[Company name]],0)),0)</f>
        <v>21600</v>
      </c>
      <c r="AB66" s="1">
        <f ca="1">IFERROR(INDEX(INDIRECT("Table3[Column"&amp;AB$9&amp;"]"),MATCH($L66,Table3[[Company name]:[Company name]],0)),0)</f>
        <v>0</v>
      </c>
      <c r="AC66" s="1">
        <f ca="1">IFERROR(INDEX(INDIRECT("Table3[Column"&amp;AC$9&amp;"]"),MATCH($L66,Table3[[Company name]:[Company name]],0)),0)</f>
        <v>0</v>
      </c>
      <c r="AD66" s="1">
        <f ca="1">IFERROR(INDEX(INDIRECT("Table3[Column"&amp;AD$9&amp;"]"),MATCH($L66,Table3[[Company name]:[Company name]],0)),0)</f>
        <v>0</v>
      </c>
      <c r="AE66" s="1">
        <f ca="1">IFERROR(INDEX(INDIRECT("Table3[Column"&amp;AE$9&amp;"]"),MATCH($L66,Table3[[Company name]:[Company name]],0)),0)</f>
        <v>0</v>
      </c>
      <c r="AF66" s="1">
        <f ca="1">IFERROR(INDEX(INDIRECT("Table3[Column"&amp;AF$9&amp;"]"),MATCH($L66,Table3[[Company name]:[Company name]],0)),0)</f>
        <v>0</v>
      </c>
      <c r="AG66" s="1">
        <f ca="1">IFERROR(INDEX(INDIRECT("Table3[Column"&amp;AG$9&amp;"]"),MATCH($L66,Table3[[Company name]:[Company name]],0)),0)</f>
        <v>0</v>
      </c>
      <c r="AH66" s="1">
        <f ca="1">IFERROR(INDEX(INDIRECT("Table3[Column"&amp;AH$9&amp;"]"),MATCH($L66,Table3[[Company name]:[Company name]],0)),0)</f>
        <v>0</v>
      </c>
      <c r="AI66" s="1">
        <f t="shared" ca="1" si="6"/>
        <v>280800</v>
      </c>
      <c r="AK66" s="1">
        <f>IF(COUNTIFS($J$7:$J$510,Table7[[#Headers],[Industry Essentials]],$C$7:$C$510,$L66)&gt;0,0,MROUND(R66,100))</f>
        <v>0</v>
      </c>
      <c r="AL66" s="1">
        <f>IF(COUNTIFS($J$7:$J$510,Table7[[#Headers],[Energy Supply Market Intelligence]],$C$7:$C$510,$L66)&gt;0,0,MROUND(IFERROR(S66*($P66/$AI66),0),100))</f>
        <v>0</v>
      </c>
      <c r="AM66" s="1">
        <f ca="1">IF(COUNTIFS($J$7:$J$510,Table7[[#Headers],[Energy Supply RTM Analysis]],$C$7:$C$510,$L66)&gt;0,0,MROUND(IFERROR(T66*($P66/$AI66),0),100))</f>
        <v>41600</v>
      </c>
      <c r="AN66" s="1">
        <f ca="1">IF(COUNTIFS($J$7:$J$510,Table7[[#Headers],[Energy Supply Forecasts]],$C$7:$C$510,$L66)&gt;0,0,MROUND(IFERROR(U66*($P66/$AI66),0),100))</f>
        <v>26800</v>
      </c>
      <c r="AO66" s="1">
        <f ca="1">IF(COUNTIFS($J$7:$J$510,Table7[[#Headers],[Energy Supply Regulation]],$C$7:$C$510,$L66)&gt;0,0,MROUND(IFERROR(V66*($P66/$AI66),0),100))</f>
        <v>31000</v>
      </c>
      <c r="AP66" s="1">
        <f ca="1">IF(COUNTIFS($J$7:$J$510,Table7[[#Headers],[Renewables Market Intelligence]],$C$7:$C$510,$L66)&gt;0,0,MROUND(IFERROR(W66*($P66/$AI66),0),100))</f>
        <v>13400</v>
      </c>
      <c r="AQ66" s="1">
        <f>IF(COUNTIFS($J$7:$J$510,Table7[[#Headers],[Renewables RTM Analysis]],$C$7:$C$510,$L66)&gt;0,0,MROUND(IFERROR(X66*($P66/$AI66),0),100))</f>
        <v>0</v>
      </c>
      <c r="AR66" s="1">
        <f ca="1">IF(COUNTIFS($J$7:$J$510,Table7[[#Headers],[Renewables Forecasts]],$C$7:$C$510,$L66)&gt;0,0,MROUND(IFERROR(Y66*($P66/$AI66),0),100))</f>
        <v>33100</v>
      </c>
      <c r="AS66" s="1">
        <f ca="1">IF(COUNTIFS($J$7:$J$510,Table7[[#Headers],[Renewables Regulation]],$C$7:$C$510,$L66)&gt;0,0,MROUND(IFERROR(Z66*($P66/$AI66),0),100))</f>
        <v>14800</v>
      </c>
      <c r="AT66" s="1">
        <f ca="1">IF(COUNTIFS($J$7:$J$510,Table7[[#Headers],[Flexibility Market Intelligence]],$C$7:$C$510,$L66)&gt;0,0,MROUND(IFERROR(AA66*($P66/$AI66),0),100))</f>
        <v>16900</v>
      </c>
      <c r="AU66" s="1">
        <f ca="1">IF(COUNTIFS($J$7:$J$510,Table7[[#Headers],[Flexibility RTM Analysis]],$C$7:$C$510,$L66)&gt;0,0,MROUND(IFERROR(AB66*($P66/$AI66),0),100))</f>
        <v>0</v>
      </c>
      <c r="AV66" s="1">
        <f ca="1">IF(COUNTIFS($J$7:$J$510,Table7[[#Headers],[Flexibility Forecasts]],$C$7:$C$510,$L66)&gt;0,0,MROUND(IFERROR(AC66*($P66/$AI66),0),100))</f>
        <v>0</v>
      </c>
      <c r="AW66" s="1">
        <f ca="1">IF(COUNTIFS($J$7:$J$510,Table7[[#Headers],[Flexibility Regulation]],$C$7:$C$510,$L66)&gt;0,0,MROUND(IFERROR(AD66*($P66/$AI66),0),100))</f>
        <v>0</v>
      </c>
      <c r="AX66" s="1">
        <f ca="1">IF(COUNTIFS($J$7:$J$510,Table7[[#Headers],[Business Energy Essentials]],$C$7:$C$510,$L66)&gt;0,0,MROUND(IFERROR(AE66*($P66/$AI66),0),100))</f>
        <v>0</v>
      </c>
      <c r="AY66" s="1">
        <f ca="1">IF(COUNTIFS($J$7:$J$510,Table7[[#Headers],[Energy User RTM Analysis]],$C$7:$C$510,$L66)&gt;0,0,MROUND(IFERROR(AF66*($P66/$AI66),0),100))</f>
        <v>0</v>
      </c>
      <c r="AZ66" s="1">
        <f ca="1">IF(COUNTIFS($J$7:$J$510,Table7[[#Headers],[Energy User Forecasts]],$C$7:$C$510,$L66)&gt;0,0,MROUND(IFERROR(AG66*($P66/$AI66),0),100))</f>
        <v>0</v>
      </c>
      <c r="BA66" s="1">
        <f ca="1">IF(COUNTIFS($J$7:$J$510,Table7[[#Headers],[Energy User Regulation]],$C$7:$C$510,$L66)&gt;0,0,MROUND(IFERROR(AH66*($P66/$AI66),0),100))</f>
        <v>0</v>
      </c>
    </row>
    <row r="67" spans="2:53">
      <c r="B67" s="38" t="s">
        <v>2101</v>
      </c>
      <c r="C67" s="38" t="s">
        <v>844</v>
      </c>
      <c r="D67" s="38" t="s">
        <v>2083</v>
      </c>
      <c r="E67" s="38" t="s">
        <v>1829</v>
      </c>
      <c r="F67" s="63">
        <v>17000</v>
      </c>
      <c r="G67" s="38"/>
      <c r="H67" s="38" t="s">
        <v>2031</v>
      </c>
      <c r="I67" s="38" t="s">
        <v>2031</v>
      </c>
      <c r="J67" s="38" t="s">
        <v>23</v>
      </c>
      <c r="L67" s="1" t="str">
        <v>Energy Developments (UK) Limited</v>
      </c>
      <c r="M67" s="1" t="str">
        <f t="shared" si="2"/>
        <v>Renewables</v>
      </c>
      <c r="N67" s="109">
        <f t="shared" si="3"/>
        <v>37100</v>
      </c>
      <c r="O67" s="1">
        <f>IFERROR(IF(INDEX(Table3[[Total Spend]:[Total Spend]],MATCH(L67,Table3[[Company name]:[Company name]],0))&gt;N67,INDEX(Table3[[Total Spend]:[Total Spend]],MATCH(L67,Table3[[Company name]:[Company name]])),N67),50000)</f>
        <v>250000</v>
      </c>
      <c r="P67" s="109">
        <f t="shared" si="4"/>
        <v>212900</v>
      </c>
      <c r="Q67" s="103">
        <f t="shared" si="5"/>
        <v>0.1484</v>
      </c>
      <c r="R67" s="1">
        <f ca="1">IFERROR(INDEX(INDIRECT("Table3[Column"&amp;R$9&amp;"]"),MATCH($L67,Table3[[Company name]:[Company name]],0)),0)</f>
        <v>8100</v>
      </c>
      <c r="S67" s="1">
        <f ca="1">IFERROR(INDEX(INDIRECT("Table3[Column"&amp;S$9&amp;"]"),MATCH($L67,Table3[[Company name]:[Company name]],0)),0)</f>
        <v>0</v>
      </c>
      <c r="T67" s="1">
        <f ca="1">IFERROR(INDEX(INDIRECT("Table3[Column"&amp;T$9&amp;"]"),MATCH($L67,Table3[[Company name]:[Company name]],0)),0)</f>
        <v>0</v>
      </c>
      <c r="U67" s="1">
        <f ca="1">IFERROR(INDEX(INDIRECT("Table3[Column"&amp;U$9&amp;"]"),MATCH($L67,Table3[[Company name]:[Company name]],0)),0)</f>
        <v>0</v>
      </c>
      <c r="V67" s="1">
        <f ca="1">IFERROR(INDEX(INDIRECT("Table3[Column"&amp;V$9&amp;"]"),MATCH($L67,Table3[[Company name]:[Company name]],0)),0)</f>
        <v>0</v>
      </c>
      <c r="W67" s="1">
        <f ca="1">IFERROR(INDEX(INDIRECT("Table3[Column"&amp;W$9&amp;"]"),MATCH($L67,Table3[[Company name]:[Company name]],0)),0)</f>
        <v>17100</v>
      </c>
      <c r="X67" s="1">
        <f ca="1">IFERROR(INDEX(INDIRECT("Table3[Column"&amp;X$9&amp;"]"),MATCH($L67,Table3[[Company name]:[Company name]],0)),0)</f>
        <v>15300</v>
      </c>
      <c r="Y67" s="1">
        <f ca="1">IFERROR(INDEX(INDIRECT("Table3[Column"&amp;Y$9&amp;"]"),MATCH($L67,Table3[[Company name]:[Company name]],0)),0)</f>
        <v>42300</v>
      </c>
      <c r="Z67" s="1">
        <f ca="1">IFERROR(INDEX(INDIRECT("Table3[Column"&amp;Z$9&amp;"]"),MATCH($L67,Table3[[Company name]:[Company name]],0)),0)</f>
        <v>18900</v>
      </c>
      <c r="AA67" s="1">
        <f ca="1">IFERROR(INDEX(INDIRECT("Table3[Column"&amp;AA$9&amp;"]"),MATCH($L67,Table3[[Company name]:[Company name]],0)),0)</f>
        <v>21600</v>
      </c>
      <c r="AB67" s="1">
        <f ca="1">IFERROR(INDEX(INDIRECT("Table3[Column"&amp;AB$9&amp;"]"),MATCH($L67,Table3[[Company name]:[Company name]],0)),0)</f>
        <v>7650</v>
      </c>
      <c r="AC67" s="1">
        <f ca="1">IFERROR(INDEX(INDIRECT("Table3[Column"&amp;AC$9&amp;"]"),MATCH($L67,Table3[[Company name]:[Company name]],0)),0)</f>
        <v>31500</v>
      </c>
      <c r="AD67" s="1">
        <f ca="1">IFERROR(INDEX(INDIRECT("Table3[Column"&amp;AD$9&amp;"]"),MATCH($L67,Table3[[Company name]:[Company name]],0)),0)</f>
        <v>25200</v>
      </c>
      <c r="AE67" s="1">
        <f ca="1">IFERROR(INDEX(INDIRECT("Table3[Column"&amp;AE$9&amp;"]"),MATCH($L67,Table3[[Company name]:[Company name]],0)),0)</f>
        <v>0</v>
      </c>
      <c r="AF67" s="1">
        <f ca="1">IFERROR(INDEX(INDIRECT("Table3[Column"&amp;AF$9&amp;"]"),MATCH($L67,Table3[[Company name]:[Company name]],0)),0)</f>
        <v>0</v>
      </c>
      <c r="AG67" s="1">
        <f ca="1">IFERROR(INDEX(INDIRECT("Table3[Column"&amp;AG$9&amp;"]"),MATCH($L67,Table3[[Company name]:[Company name]],0)),0)</f>
        <v>0</v>
      </c>
      <c r="AH67" s="1">
        <f ca="1">IFERROR(INDEX(INDIRECT("Table3[Column"&amp;AH$9&amp;"]"),MATCH($L67,Table3[[Company name]:[Company name]],0)),0)</f>
        <v>0</v>
      </c>
      <c r="AI67" s="1">
        <f t="shared" ca="1" si="6"/>
        <v>187650</v>
      </c>
      <c r="AK67" s="1">
        <f>IF(COUNTIFS($J$7:$J$510,Table7[[#Headers],[Industry Essentials]],$C$7:$C$510,$L67)&gt;0,0,MROUND(R67,100))</f>
        <v>0</v>
      </c>
      <c r="AL67" s="1">
        <f ca="1">IF(COUNTIFS($J$7:$J$510,Table7[[#Headers],[Energy Supply Market Intelligence]],$C$7:$C$510,$L67)&gt;0,0,MROUND(IFERROR(S67*($P67/$AI67),0),100))</f>
        <v>0</v>
      </c>
      <c r="AM67" s="1">
        <f ca="1">IF(COUNTIFS($J$7:$J$510,Table7[[#Headers],[Energy Supply RTM Analysis]],$C$7:$C$510,$L67)&gt;0,0,MROUND(IFERROR(T67*($P67/$AI67),0),100))</f>
        <v>0</v>
      </c>
      <c r="AN67" s="1">
        <f ca="1">IF(COUNTIFS($J$7:$J$510,Table7[[#Headers],[Energy Supply Forecasts]],$C$7:$C$510,$L67)&gt;0,0,MROUND(IFERROR(U67*($P67/$AI67),0),100))</f>
        <v>0</v>
      </c>
      <c r="AO67" s="1">
        <f ca="1">IF(COUNTIFS($J$7:$J$510,Table7[[#Headers],[Energy Supply Regulation]],$C$7:$C$510,$L67)&gt;0,0,MROUND(IFERROR(V67*($P67/$AI67),0),100))</f>
        <v>0</v>
      </c>
      <c r="AP67" s="1">
        <f>IF(COUNTIFS($J$7:$J$510,Table7[[#Headers],[Renewables Market Intelligence]],$C$7:$C$510,$L67)&gt;0,0,MROUND(IFERROR(W67*($P67/$AI67),0),100))</f>
        <v>0</v>
      </c>
      <c r="AQ67" s="1">
        <f ca="1">IF(COUNTIFS($J$7:$J$510,Table7[[#Headers],[Renewables RTM Analysis]],$C$7:$C$510,$L67)&gt;0,0,MROUND(IFERROR(X67*($P67/$AI67),0),100))</f>
        <v>17400</v>
      </c>
      <c r="AR67" s="1">
        <f>IF(COUNTIFS($J$7:$J$510,Table7[[#Headers],[Renewables Forecasts]],$C$7:$C$510,$L67)&gt;0,0,MROUND(IFERROR(Y67*($P67/$AI67),0),100))</f>
        <v>0</v>
      </c>
      <c r="AS67" s="1">
        <f ca="1">IF(COUNTIFS($J$7:$J$510,Table7[[#Headers],[Renewables Regulation]],$C$7:$C$510,$L67)&gt;0,0,MROUND(IFERROR(Z67*($P67/$AI67),0),100))</f>
        <v>21400</v>
      </c>
      <c r="AT67" s="1">
        <f ca="1">IF(COUNTIFS($J$7:$J$510,Table7[[#Headers],[Flexibility Market Intelligence]],$C$7:$C$510,$L67)&gt;0,0,MROUND(IFERROR(AA67*($P67/$AI67),0),100))</f>
        <v>24500</v>
      </c>
      <c r="AU67" s="1">
        <f ca="1">IF(COUNTIFS($J$7:$J$510,Table7[[#Headers],[Flexibility RTM Analysis]],$C$7:$C$510,$L67)&gt;0,0,MROUND(IFERROR(AB67*($P67/$AI67),0),100))</f>
        <v>8700</v>
      </c>
      <c r="AV67" s="1">
        <f ca="1">IF(COUNTIFS($J$7:$J$510,Table7[[#Headers],[Flexibility Forecasts]],$C$7:$C$510,$L67)&gt;0,0,MROUND(IFERROR(AC67*($P67/$AI67),0),100))</f>
        <v>35700</v>
      </c>
      <c r="AW67" s="1">
        <f ca="1">IF(COUNTIFS($J$7:$J$510,Table7[[#Headers],[Flexibility Regulation]],$C$7:$C$510,$L67)&gt;0,0,MROUND(IFERROR(AD67*($P67/$AI67),0),100))</f>
        <v>28600</v>
      </c>
      <c r="AX67" s="1">
        <f ca="1">IF(COUNTIFS($J$7:$J$510,Table7[[#Headers],[Business Energy Essentials]],$C$7:$C$510,$L67)&gt;0,0,MROUND(IFERROR(AE67*($P67/$AI67),0),100))</f>
        <v>0</v>
      </c>
      <c r="AY67" s="1">
        <f ca="1">IF(COUNTIFS($J$7:$J$510,Table7[[#Headers],[Energy User RTM Analysis]],$C$7:$C$510,$L67)&gt;0,0,MROUND(IFERROR(AF67*($P67/$AI67),0),100))</f>
        <v>0</v>
      </c>
      <c r="AZ67" s="1">
        <f ca="1">IF(COUNTIFS($J$7:$J$510,Table7[[#Headers],[Energy User Forecasts]],$C$7:$C$510,$L67)&gt;0,0,MROUND(IFERROR(AG67*($P67/$AI67),0),100))</f>
        <v>0</v>
      </c>
      <c r="BA67" s="1">
        <f ca="1">IF(COUNTIFS($J$7:$J$510,Table7[[#Headers],[Energy User Regulation]],$C$7:$C$510,$L67)&gt;0,0,MROUND(IFERROR(AH67*($P67/$AI67),0),100))</f>
        <v>0</v>
      </c>
    </row>
    <row r="68" spans="2:53">
      <c r="B68" s="38" t="s">
        <v>2101</v>
      </c>
      <c r="C68" s="38" t="s">
        <v>844</v>
      </c>
      <c r="D68" s="38" t="s">
        <v>2086</v>
      </c>
      <c r="E68" s="38" t="s">
        <v>1843</v>
      </c>
      <c r="F68" s="63">
        <v>11500</v>
      </c>
      <c r="G68" s="38"/>
      <c r="H68" s="38" t="s">
        <v>2031</v>
      </c>
      <c r="I68" s="38" t="s">
        <v>2031</v>
      </c>
      <c r="J68" s="38" t="s">
        <v>22</v>
      </c>
      <c r="L68" s="1" t="str">
        <v>Energy Exemplar (Europe) Ltd</v>
      </c>
      <c r="M68" s="1" t="str">
        <f t="shared" si="2"/>
        <v>Other</v>
      </c>
      <c r="N68" s="109">
        <f t="shared" si="3"/>
        <v>6300</v>
      </c>
      <c r="O68" s="1">
        <f>IFERROR(IF(INDEX(Table3[[Total Spend]:[Total Spend]],MATCH(L68,Table3[[Company name]:[Company name]],0))&gt;N68,INDEX(Table3[[Total Spend]:[Total Spend]],MATCH(L68,Table3[[Company name]:[Company name]])),N68),50000)</f>
        <v>250000</v>
      </c>
      <c r="P68" s="109">
        <f t="shared" si="4"/>
        <v>243700</v>
      </c>
      <c r="Q68" s="103">
        <f t="shared" si="5"/>
        <v>2.52E-2</v>
      </c>
      <c r="R68" s="1">
        <f ca="1">IFERROR(INDEX(INDIRECT("Table3[Column"&amp;R$9&amp;"]"),MATCH($L68,Table3[[Company name]:[Company name]],0)),0)</f>
        <v>10800</v>
      </c>
      <c r="S68" s="1">
        <f ca="1">IFERROR(INDEX(INDIRECT("Table3[Column"&amp;S$9&amp;"]"),MATCH($L68,Table3[[Company name]:[Company name]],0)),0)</f>
        <v>0</v>
      </c>
      <c r="T68" s="1">
        <f ca="1">IFERROR(INDEX(INDIRECT("Table3[Column"&amp;T$9&amp;"]"),MATCH($L68,Table3[[Company name]:[Company name]],0)),0)</f>
        <v>0</v>
      </c>
      <c r="U68" s="1">
        <f ca="1">IFERROR(INDEX(INDIRECT("Table3[Column"&amp;U$9&amp;"]"),MATCH($L68,Table3[[Company name]:[Company name]],0)),0)</f>
        <v>0</v>
      </c>
      <c r="V68" s="1">
        <f ca="1">IFERROR(INDEX(INDIRECT("Table3[Column"&amp;V$9&amp;"]"),MATCH($L68,Table3[[Company name]:[Company name]],0)),0)</f>
        <v>0</v>
      </c>
      <c r="W68" s="1">
        <f ca="1">IFERROR(INDEX(INDIRECT("Table3[Column"&amp;W$9&amp;"]"),MATCH($L68,Table3[[Company name]:[Company name]],0)),0)</f>
        <v>0</v>
      </c>
      <c r="X68" s="1">
        <f ca="1">IFERROR(INDEX(INDIRECT("Table3[Column"&amp;X$9&amp;"]"),MATCH($L68,Table3[[Company name]:[Company name]],0)),0)</f>
        <v>0</v>
      </c>
      <c r="Y68" s="1">
        <f ca="1">IFERROR(INDEX(INDIRECT("Table3[Column"&amp;Y$9&amp;"]"),MATCH($L68,Table3[[Company name]:[Company name]],0)),0)</f>
        <v>0</v>
      </c>
      <c r="Z68" s="1">
        <f ca="1">IFERROR(INDEX(INDIRECT("Table3[Column"&amp;Z$9&amp;"]"),MATCH($L68,Table3[[Company name]:[Company name]],0)),0)</f>
        <v>0</v>
      </c>
      <c r="AA68" s="1">
        <f ca="1">IFERROR(INDEX(INDIRECT("Table3[Column"&amp;AA$9&amp;"]"),MATCH($L68,Table3[[Company name]:[Company name]],0)),0)</f>
        <v>0</v>
      </c>
      <c r="AB68" s="1">
        <f ca="1">IFERROR(INDEX(INDIRECT("Table3[Column"&amp;AB$9&amp;"]"),MATCH($L68,Table3[[Company name]:[Company name]],0)),0)</f>
        <v>0</v>
      </c>
      <c r="AC68" s="1">
        <f ca="1">IFERROR(INDEX(INDIRECT("Table3[Column"&amp;AC$9&amp;"]"),MATCH($L68,Table3[[Company name]:[Company name]],0)),0)</f>
        <v>0</v>
      </c>
      <c r="AD68" s="1">
        <f ca="1">IFERROR(INDEX(INDIRECT("Table3[Column"&amp;AD$9&amp;"]"),MATCH($L68,Table3[[Company name]:[Company name]],0)),0)</f>
        <v>0</v>
      </c>
      <c r="AE68" s="1">
        <f ca="1">IFERROR(INDEX(INDIRECT("Table3[Column"&amp;AE$9&amp;"]"),MATCH($L68,Table3[[Company name]:[Company name]],0)),0)</f>
        <v>0</v>
      </c>
      <c r="AF68" s="1">
        <f ca="1">IFERROR(INDEX(INDIRECT("Table3[Column"&amp;AF$9&amp;"]"),MATCH($L68,Table3[[Company name]:[Company name]],0)),0)</f>
        <v>0</v>
      </c>
      <c r="AG68" s="1">
        <f ca="1">IFERROR(INDEX(INDIRECT("Table3[Column"&amp;AG$9&amp;"]"),MATCH($L68,Table3[[Company name]:[Company name]],0)),0)</f>
        <v>0</v>
      </c>
      <c r="AH68" s="1">
        <f ca="1">IFERROR(INDEX(INDIRECT("Table3[Column"&amp;AH$9&amp;"]"),MATCH($L68,Table3[[Company name]:[Company name]],0)),0)</f>
        <v>0</v>
      </c>
      <c r="AI68" s="1">
        <f t="shared" ca="1" si="6"/>
        <v>10800</v>
      </c>
      <c r="AK68" s="1">
        <f>IF(COUNTIFS($J$7:$J$510,Table7[[#Headers],[Industry Essentials]],$C$7:$C$510,$L68)&gt;0,0,MROUND(R68,100))</f>
        <v>0</v>
      </c>
      <c r="AL68" s="1">
        <f ca="1">IF(COUNTIFS($J$7:$J$510,Table7[[#Headers],[Energy Supply Market Intelligence]],$C$7:$C$510,$L68)&gt;0,0,MROUND(IFERROR(S68*($P68/$AI68),0),100))</f>
        <v>0</v>
      </c>
      <c r="AM68" s="1">
        <f ca="1">IF(COUNTIFS($J$7:$J$510,Table7[[#Headers],[Energy Supply RTM Analysis]],$C$7:$C$510,$L68)&gt;0,0,MROUND(IFERROR(T68*($P68/$AI68),0),100))</f>
        <v>0</v>
      </c>
      <c r="AN68" s="1">
        <f ca="1">IF(COUNTIFS($J$7:$J$510,Table7[[#Headers],[Energy Supply Forecasts]],$C$7:$C$510,$L68)&gt;0,0,MROUND(IFERROR(U68*($P68/$AI68),0),100))</f>
        <v>0</v>
      </c>
      <c r="AO68" s="1">
        <f ca="1">IF(COUNTIFS($J$7:$J$510,Table7[[#Headers],[Energy Supply Regulation]],$C$7:$C$510,$L68)&gt;0,0,MROUND(IFERROR(V68*($P68/$AI68),0),100))</f>
        <v>0</v>
      </c>
      <c r="AP68" s="1">
        <f ca="1">IF(COUNTIFS($J$7:$J$510,Table7[[#Headers],[Renewables Market Intelligence]],$C$7:$C$510,$L68)&gt;0,0,MROUND(IFERROR(W68*($P68/$AI68),0),100))</f>
        <v>0</v>
      </c>
      <c r="AQ68" s="1">
        <f ca="1">IF(COUNTIFS($J$7:$J$510,Table7[[#Headers],[Renewables RTM Analysis]],$C$7:$C$510,$L68)&gt;0,0,MROUND(IFERROR(X68*($P68/$AI68),0),100))</f>
        <v>0</v>
      </c>
      <c r="AR68" s="1">
        <f ca="1">IF(COUNTIFS($J$7:$J$510,Table7[[#Headers],[Renewables Forecasts]],$C$7:$C$510,$L68)&gt;0,0,MROUND(IFERROR(Y68*($P68/$AI68),0),100))</f>
        <v>0</v>
      </c>
      <c r="AS68" s="1">
        <f ca="1">IF(COUNTIFS($J$7:$J$510,Table7[[#Headers],[Renewables Regulation]],$C$7:$C$510,$L68)&gt;0,0,MROUND(IFERROR(Z68*($P68/$AI68),0),100))</f>
        <v>0</v>
      </c>
      <c r="AT68" s="1">
        <f ca="1">IF(COUNTIFS($J$7:$J$510,Table7[[#Headers],[Flexibility Market Intelligence]],$C$7:$C$510,$L68)&gt;0,0,MROUND(IFERROR(AA68*($P68/$AI68),0),100))</f>
        <v>0</v>
      </c>
      <c r="AU68" s="1">
        <f ca="1">IF(COUNTIFS($J$7:$J$510,Table7[[#Headers],[Flexibility RTM Analysis]],$C$7:$C$510,$L68)&gt;0,0,MROUND(IFERROR(AB68*($P68/$AI68),0),100))</f>
        <v>0</v>
      </c>
      <c r="AV68" s="1">
        <f ca="1">IF(COUNTIFS($J$7:$J$510,Table7[[#Headers],[Flexibility Forecasts]],$C$7:$C$510,$L68)&gt;0,0,MROUND(IFERROR(AC68*($P68/$AI68),0),100))</f>
        <v>0</v>
      </c>
      <c r="AW68" s="1">
        <f ca="1">IF(COUNTIFS($J$7:$J$510,Table7[[#Headers],[Flexibility Regulation]],$C$7:$C$510,$L68)&gt;0,0,MROUND(IFERROR(AD68*($P68/$AI68),0),100))</f>
        <v>0</v>
      </c>
      <c r="AX68" s="1">
        <f ca="1">IF(COUNTIFS($J$7:$J$510,Table7[[#Headers],[Business Energy Essentials]],$C$7:$C$510,$L68)&gt;0,0,MROUND(IFERROR(AE68*($P68/$AI68),0),100))</f>
        <v>0</v>
      </c>
      <c r="AY68" s="1">
        <f ca="1">IF(COUNTIFS($J$7:$J$510,Table7[[#Headers],[Energy User RTM Analysis]],$C$7:$C$510,$L68)&gt;0,0,MROUND(IFERROR(AF68*($P68/$AI68),0),100))</f>
        <v>0</v>
      </c>
      <c r="AZ68" s="1">
        <f ca="1">IF(COUNTIFS($J$7:$J$510,Table7[[#Headers],[Energy User Forecasts]],$C$7:$C$510,$L68)&gt;0,0,MROUND(IFERROR(AG68*($P68/$AI68),0),100))</f>
        <v>0</v>
      </c>
      <c r="BA68" s="1">
        <f ca="1">IF(COUNTIFS($J$7:$J$510,Table7[[#Headers],[Energy User Regulation]],$C$7:$C$510,$L68)&gt;0,0,MROUND(IFERROR(AH68*($P68/$AI68),0),100))</f>
        <v>0</v>
      </c>
    </row>
    <row r="69" spans="2:53">
      <c r="B69" s="38" t="s">
        <v>2102</v>
      </c>
      <c r="C69" s="38" t="s">
        <v>220</v>
      </c>
      <c r="D69" s="38" t="s">
        <v>2034</v>
      </c>
      <c r="E69" s="38" t="s">
        <v>1864</v>
      </c>
      <c r="F69" s="63">
        <v>14371</v>
      </c>
      <c r="G69" s="38"/>
      <c r="H69" s="38" t="s">
        <v>2031</v>
      </c>
      <c r="I69" s="38" t="s">
        <v>1702</v>
      </c>
      <c r="J69" s="38" t="s">
        <v>27</v>
      </c>
      <c r="L69" s="1" t="str">
        <v>Energy Power Resources Limited</v>
      </c>
      <c r="M69" s="1" t="str">
        <f t="shared" si="2"/>
        <v>Other</v>
      </c>
      <c r="N69" s="109">
        <f t="shared" si="3"/>
        <v>16575</v>
      </c>
      <c r="O69" s="1">
        <f>IFERROR(IF(INDEX(Table3[[Total Spend]:[Total Spend]],MATCH(L69,Table3[[Company name]:[Company name]],0))&gt;N69,INDEX(Table3[[Total Spend]:[Total Spend]],MATCH(L69,Table3[[Company name]:[Company name]])),N69),50000)</f>
        <v>250000</v>
      </c>
      <c r="P69" s="109">
        <f t="shared" si="4"/>
        <v>233425</v>
      </c>
      <c r="Q69" s="103">
        <f t="shared" si="5"/>
        <v>6.6299999999999998E-2</v>
      </c>
      <c r="R69" s="1">
        <f ca="1">IFERROR(INDEX(INDIRECT("Table3[Column"&amp;R$9&amp;"]"),MATCH($L69,Table3[[Company name]:[Company name]],0)),0)</f>
        <v>8100</v>
      </c>
      <c r="S69" s="1">
        <f ca="1">IFERROR(INDEX(INDIRECT("Table3[Column"&amp;S$9&amp;"]"),MATCH($L69,Table3[[Company name]:[Company name]],0)),0)</f>
        <v>0</v>
      </c>
      <c r="T69" s="1">
        <f ca="1">IFERROR(INDEX(INDIRECT("Table3[Column"&amp;T$9&amp;"]"),MATCH($L69,Table3[[Company name]:[Company name]],0)),0)</f>
        <v>0</v>
      </c>
      <c r="U69" s="1">
        <f ca="1">IFERROR(INDEX(INDIRECT("Table3[Column"&amp;U$9&amp;"]"),MATCH($L69,Table3[[Company name]:[Company name]],0)),0)</f>
        <v>0</v>
      </c>
      <c r="V69" s="1">
        <f ca="1">IFERROR(INDEX(INDIRECT("Table3[Column"&amp;V$9&amp;"]"),MATCH($L69,Table3[[Company name]:[Company name]],0)),0)</f>
        <v>0</v>
      </c>
      <c r="W69" s="1">
        <f ca="1">IFERROR(INDEX(INDIRECT("Table3[Column"&amp;W$9&amp;"]"),MATCH($L69,Table3[[Company name]:[Company name]],0)),0)</f>
        <v>17100</v>
      </c>
      <c r="X69" s="1">
        <f ca="1">IFERROR(INDEX(INDIRECT("Table3[Column"&amp;X$9&amp;"]"),MATCH($L69,Table3[[Company name]:[Company name]],0)),0)</f>
        <v>15300</v>
      </c>
      <c r="Y69" s="1">
        <f ca="1">IFERROR(INDEX(INDIRECT("Table3[Column"&amp;Y$9&amp;"]"),MATCH($L69,Table3[[Company name]:[Company name]],0)),0)</f>
        <v>42300</v>
      </c>
      <c r="Z69" s="1">
        <f ca="1">IFERROR(INDEX(INDIRECT("Table3[Column"&amp;Z$9&amp;"]"),MATCH($L69,Table3[[Company name]:[Company name]],0)),0)</f>
        <v>18900</v>
      </c>
      <c r="AA69" s="1">
        <f ca="1">IFERROR(INDEX(INDIRECT("Table3[Column"&amp;AA$9&amp;"]"),MATCH($L69,Table3[[Company name]:[Company name]],0)),0)</f>
        <v>21600</v>
      </c>
      <c r="AB69" s="1">
        <f ca="1">IFERROR(INDEX(INDIRECT("Table3[Column"&amp;AB$9&amp;"]"),MATCH($L69,Table3[[Company name]:[Company name]],0)),0)</f>
        <v>7650</v>
      </c>
      <c r="AC69" s="1">
        <f ca="1">IFERROR(INDEX(INDIRECT("Table3[Column"&amp;AC$9&amp;"]"),MATCH($L69,Table3[[Company name]:[Company name]],0)),0)</f>
        <v>31500</v>
      </c>
      <c r="AD69" s="1">
        <f ca="1">IFERROR(INDEX(INDIRECT("Table3[Column"&amp;AD$9&amp;"]"),MATCH($L69,Table3[[Company name]:[Company name]],0)),0)</f>
        <v>25200</v>
      </c>
      <c r="AE69" s="1">
        <f ca="1">IFERROR(INDEX(INDIRECT("Table3[Column"&amp;AE$9&amp;"]"),MATCH($L69,Table3[[Company name]:[Company name]],0)),0)</f>
        <v>0</v>
      </c>
      <c r="AF69" s="1">
        <f ca="1">IFERROR(INDEX(INDIRECT("Table3[Column"&amp;AF$9&amp;"]"),MATCH($L69,Table3[[Company name]:[Company name]],0)),0)</f>
        <v>0</v>
      </c>
      <c r="AG69" s="1">
        <f ca="1">IFERROR(INDEX(INDIRECT("Table3[Column"&amp;AG$9&amp;"]"),MATCH($L69,Table3[[Company name]:[Company name]],0)),0)</f>
        <v>0</v>
      </c>
      <c r="AH69" s="1">
        <f ca="1">IFERROR(INDEX(INDIRECT("Table3[Column"&amp;AH$9&amp;"]"),MATCH($L69,Table3[[Company name]:[Company name]],0)),0)</f>
        <v>0</v>
      </c>
      <c r="AI69" s="1">
        <f t="shared" ca="1" si="6"/>
        <v>187650</v>
      </c>
      <c r="AK69" s="1">
        <f ca="1">IF(COUNTIFS($J$7:$J$510,Table7[[#Headers],[Industry Essentials]],$C$7:$C$510,$L69)&gt;0,0,MROUND(R69,100))</f>
        <v>8100</v>
      </c>
      <c r="AL69" s="1">
        <f ca="1">IF(COUNTIFS($J$7:$J$510,Table7[[#Headers],[Energy Supply Market Intelligence]],$C$7:$C$510,$L69)&gt;0,0,MROUND(IFERROR(S69*($P69/$AI69),0),100))</f>
        <v>0</v>
      </c>
      <c r="AM69" s="1">
        <f ca="1">IF(COUNTIFS($J$7:$J$510,Table7[[#Headers],[Energy Supply RTM Analysis]],$C$7:$C$510,$L69)&gt;0,0,MROUND(IFERROR(T69*($P69/$AI69),0),100))</f>
        <v>0</v>
      </c>
      <c r="AN69" s="1">
        <f ca="1">IF(COUNTIFS($J$7:$J$510,Table7[[#Headers],[Energy Supply Forecasts]],$C$7:$C$510,$L69)&gt;0,0,MROUND(IFERROR(U69*($P69/$AI69),0),100))</f>
        <v>0</v>
      </c>
      <c r="AO69" s="1">
        <f ca="1">IF(COUNTIFS($J$7:$J$510,Table7[[#Headers],[Energy Supply Regulation]],$C$7:$C$510,$L69)&gt;0,0,MROUND(IFERROR(V69*($P69/$AI69),0),100))</f>
        <v>0</v>
      </c>
      <c r="AP69" s="1">
        <f ca="1">IF(COUNTIFS($J$7:$J$510,Table7[[#Headers],[Renewables Market Intelligence]],$C$7:$C$510,$L69)&gt;0,0,MROUND(IFERROR(W69*($P69/$AI69),0),100))</f>
        <v>21300</v>
      </c>
      <c r="AQ69" s="1">
        <f ca="1">IF(COUNTIFS($J$7:$J$510,Table7[[#Headers],[Renewables RTM Analysis]],$C$7:$C$510,$L69)&gt;0,0,MROUND(IFERROR(X69*($P69/$AI69),0),100))</f>
        <v>19000</v>
      </c>
      <c r="AR69" s="1">
        <f>IF(COUNTIFS($J$7:$J$510,Table7[[#Headers],[Renewables Forecasts]],$C$7:$C$510,$L69)&gt;0,0,MROUND(IFERROR(Y69*($P69/$AI69),0),100))</f>
        <v>0</v>
      </c>
      <c r="AS69" s="1">
        <f ca="1">IF(COUNTIFS($J$7:$J$510,Table7[[#Headers],[Renewables Regulation]],$C$7:$C$510,$L69)&gt;0,0,MROUND(IFERROR(Z69*($P69/$AI69),0),100))</f>
        <v>23500</v>
      </c>
      <c r="AT69" s="1">
        <f ca="1">IF(COUNTIFS($J$7:$J$510,Table7[[#Headers],[Flexibility Market Intelligence]],$C$7:$C$510,$L69)&gt;0,0,MROUND(IFERROR(AA69*($P69/$AI69),0),100))</f>
        <v>26900</v>
      </c>
      <c r="AU69" s="1">
        <f ca="1">IF(COUNTIFS($J$7:$J$510,Table7[[#Headers],[Flexibility RTM Analysis]],$C$7:$C$510,$L69)&gt;0,0,MROUND(IFERROR(AB69*($P69/$AI69),0),100))</f>
        <v>9500</v>
      </c>
      <c r="AV69" s="1">
        <f ca="1">IF(COUNTIFS($J$7:$J$510,Table7[[#Headers],[Flexibility Forecasts]],$C$7:$C$510,$L69)&gt;0,0,MROUND(IFERROR(AC69*($P69/$AI69),0),100))</f>
        <v>39200</v>
      </c>
      <c r="AW69" s="1">
        <f ca="1">IF(COUNTIFS($J$7:$J$510,Table7[[#Headers],[Flexibility Regulation]],$C$7:$C$510,$L69)&gt;0,0,MROUND(IFERROR(AD69*($P69/$AI69),0),100))</f>
        <v>31300</v>
      </c>
      <c r="AX69" s="1">
        <f ca="1">IF(COUNTIFS($J$7:$J$510,Table7[[#Headers],[Business Energy Essentials]],$C$7:$C$510,$L69)&gt;0,0,MROUND(IFERROR(AE69*($P69/$AI69),0),100))</f>
        <v>0</v>
      </c>
      <c r="AY69" s="1">
        <f ca="1">IF(COUNTIFS($J$7:$J$510,Table7[[#Headers],[Energy User RTM Analysis]],$C$7:$C$510,$L69)&gt;0,0,MROUND(IFERROR(AF69*($P69/$AI69),0),100))</f>
        <v>0</v>
      </c>
      <c r="AZ69" s="1">
        <f ca="1">IF(COUNTIFS($J$7:$J$510,Table7[[#Headers],[Energy User Forecasts]],$C$7:$C$510,$L69)&gt;0,0,MROUND(IFERROR(AG69*($P69/$AI69),0),100))</f>
        <v>0</v>
      </c>
      <c r="BA69" s="1">
        <f ca="1">IF(COUNTIFS($J$7:$J$510,Table7[[#Headers],[Energy User Regulation]],$C$7:$C$510,$L69)&gt;0,0,MROUND(IFERROR(AH69*($P69/$AI69),0),100))</f>
        <v>0</v>
      </c>
    </row>
    <row r="70" spans="2:53">
      <c r="B70" s="38" t="s">
        <v>2102</v>
      </c>
      <c r="C70" s="38" t="s">
        <v>220</v>
      </c>
      <c r="D70" s="38" t="s">
        <v>2077</v>
      </c>
      <c r="E70" s="38" t="e">
        <v>#N/A</v>
      </c>
      <c r="F70" s="63">
        <v>11000</v>
      </c>
      <c r="G70" s="38"/>
      <c r="H70" s="38" t="s">
        <v>2031</v>
      </c>
      <c r="I70" s="38" t="s">
        <v>2031</v>
      </c>
      <c r="J70" s="38" t="s">
        <v>20</v>
      </c>
      <c r="L70" s="1" t="str">
        <v>Energy Systems Catapult Limited</v>
      </c>
      <c r="M70" s="1" t="str">
        <f t="shared" si="2"/>
        <v>Other</v>
      </c>
      <c r="N70" s="109">
        <f t="shared" si="3"/>
        <v>33500</v>
      </c>
      <c r="O70" s="1">
        <f>IFERROR(IF(INDEX(Table3[[Total Spend]:[Total Spend]],MATCH(L70,Table3[[Company name]:[Company name]],0))&gt;N70,INDEX(Table3[[Total Spend]:[Total Spend]],MATCH(L70,Table3[[Company name]:[Company name]])),N70),50000)</f>
        <v>33500</v>
      </c>
      <c r="P70" s="109">
        <f t="shared" si="4"/>
        <v>33500</v>
      </c>
      <c r="Q70" s="103">
        <f t="shared" si="5"/>
        <v>1</v>
      </c>
      <c r="R70" s="1">
        <f ca="1">IFERROR(INDEX(INDIRECT("Table3[Column"&amp;R$9&amp;"]"),MATCH($L70,Table3[[Company name]:[Company name]],0)),0)</f>
        <v>8100</v>
      </c>
      <c r="S70" s="1">
        <f ca="1">IFERROR(INDEX(INDIRECT("Table3[Column"&amp;S$9&amp;"]"),MATCH($L70,Table3[[Company name]:[Company name]],0)),0)</f>
        <v>0</v>
      </c>
      <c r="T70" s="1">
        <f ca="1">IFERROR(INDEX(INDIRECT("Table3[Column"&amp;T$9&amp;"]"),MATCH($L70,Table3[[Company name]:[Company name]],0)),0)</f>
        <v>0</v>
      </c>
      <c r="U70" s="1">
        <f ca="1">IFERROR(INDEX(INDIRECT("Table3[Column"&amp;U$9&amp;"]"),MATCH($L70,Table3[[Company name]:[Company name]],0)),0)</f>
        <v>0</v>
      </c>
      <c r="V70" s="1">
        <f ca="1">IFERROR(INDEX(INDIRECT("Table3[Column"&amp;V$9&amp;"]"),MATCH($L70,Table3[[Company name]:[Company name]],0)),0)</f>
        <v>0</v>
      </c>
      <c r="W70" s="1">
        <f ca="1">IFERROR(INDEX(INDIRECT("Table3[Column"&amp;W$9&amp;"]"),MATCH($L70,Table3[[Company name]:[Company name]],0)),0)</f>
        <v>0</v>
      </c>
      <c r="X70" s="1">
        <f ca="1">IFERROR(INDEX(INDIRECT("Table3[Column"&amp;X$9&amp;"]"),MATCH($L70,Table3[[Company name]:[Company name]],0)),0)</f>
        <v>0</v>
      </c>
      <c r="Y70" s="1">
        <f ca="1">IFERROR(INDEX(INDIRECT("Table3[Column"&amp;Y$9&amp;"]"),MATCH($L70,Table3[[Company name]:[Company name]],0)),0)</f>
        <v>0</v>
      </c>
      <c r="Z70" s="1">
        <f ca="1">IFERROR(INDEX(INDIRECT("Table3[Column"&amp;Z$9&amp;"]"),MATCH($L70,Table3[[Company name]:[Company name]],0)),0)</f>
        <v>0</v>
      </c>
      <c r="AA70" s="1">
        <f ca="1">IFERROR(INDEX(INDIRECT("Table3[Column"&amp;AA$9&amp;"]"),MATCH($L70,Table3[[Company name]:[Company name]],0)),0)</f>
        <v>0</v>
      </c>
      <c r="AB70" s="1">
        <f ca="1">IFERROR(INDEX(INDIRECT("Table3[Column"&amp;AB$9&amp;"]"),MATCH($L70,Table3[[Company name]:[Company name]],0)),0)</f>
        <v>0</v>
      </c>
      <c r="AC70" s="1">
        <f ca="1">IFERROR(INDEX(INDIRECT("Table3[Column"&amp;AC$9&amp;"]"),MATCH($L70,Table3[[Company name]:[Company name]],0)),0)</f>
        <v>0</v>
      </c>
      <c r="AD70" s="1">
        <f ca="1">IFERROR(INDEX(INDIRECT("Table3[Column"&amp;AD$9&amp;"]"),MATCH($L70,Table3[[Company name]:[Company name]],0)),0)</f>
        <v>0</v>
      </c>
      <c r="AE70" s="1">
        <f ca="1">IFERROR(INDEX(INDIRECT("Table3[Column"&amp;AE$9&amp;"]"),MATCH($L70,Table3[[Company name]:[Company name]],0)),0)</f>
        <v>0</v>
      </c>
      <c r="AF70" s="1">
        <f ca="1">IFERROR(INDEX(INDIRECT("Table3[Column"&amp;AF$9&amp;"]"),MATCH($L70,Table3[[Company name]:[Company name]],0)),0)</f>
        <v>0</v>
      </c>
      <c r="AG70" s="1">
        <f ca="1">IFERROR(INDEX(INDIRECT("Table3[Column"&amp;AG$9&amp;"]"),MATCH($L70,Table3[[Company name]:[Company name]],0)),0)</f>
        <v>0</v>
      </c>
      <c r="AH70" s="1">
        <f ca="1">IFERROR(INDEX(INDIRECT("Table3[Column"&amp;AH$9&amp;"]"),MATCH($L70,Table3[[Company name]:[Company name]],0)),0)</f>
        <v>0</v>
      </c>
      <c r="AI70" s="1">
        <f t="shared" ca="1" si="6"/>
        <v>8100</v>
      </c>
      <c r="AK70" s="1">
        <f>IF(COUNTIFS($J$7:$J$510,Table7[[#Headers],[Industry Essentials]],$C$7:$C$510,$L70)&gt;0,0,MROUND(R70,100))</f>
        <v>0</v>
      </c>
      <c r="AL70" s="1">
        <f ca="1">IF(COUNTIFS($J$7:$J$510,Table7[[#Headers],[Energy Supply Market Intelligence]],$C$7:$C$510,$L70)&gt;0,0,MROUND(IFERROR(S70*($P70/$AI70),0),100))</f>
        <v>0</v>
      </c>
      <c r="AM70" s="1">
        <f ca="1">IF(COUNTIFS($J$7:$J$510,Table7[[#Headers],[Energy Supply RTM Analysis]],$C$7:$C$510,$L70)&gt;0,0,MROUND(IFERROR(T70*($P70/$AI70),0),100))</f>
        <v>0</v>
      </c>
      <c r="AN70" s="1">
        <f ca="1">IF(COUNTIFS($J$7:$J$510,Table7[[#Headers],[Energy Supply Forecasts]],$C$7:$C$510,$L70)&gt;0,0,MROUND(IFERROR(U70*($P70/$AI70),0),100))</f>
        <v>0</v>
      </c>
      <c r="AO70" s="1">
        <f ca="1">IF(COUNTIFS($J$7:$J$510,Table7[[#Headers],[Energy Supply Regulation]],$C$7:$C$510,$L70)&gt;0,0,MROUND(IFERROR(V70*($P70/$AI70),0),100))</f>
        <v>0</v>
      </c>
      <c r="AP70" s="1">
        <f>IF(COUNTIFS($J$7:$J$510,Table7[[#Headers],[Renewables Market Intelligence]],$C$7:$C$510,$L70)&gt;0,0,MROUND(IFERROR(W70*($P70/$AI70),0),100))</f>
        <v>0</v>
      </c>
      <c r="AQ70" s="1">
        <f ca="1">IF(COUNTIFS($J$7:$J$510,Table7[[#Headers],[Renewables RTM Analysis]],$C$7:$C$510,$L70)&gt;0,0,MROUND(IFERROR(X70*($P70/$AI70),0),100))</f>
        <v>0</v>
      </c>
      <c r="AR70" s="1">
        <f ca="1">IF(COUNTIFS($J$7:$J$510,Table7[[#Headers],[Renewables Forecasts]],$C$7:$C$510,$L70)&gt;0,0,MROUND(IFERROR(Y70*($P70/$AI70),0),100))</f>
        <v>0</v>
      </c>
      <c r="AS70" s="1">
        <f ca="1">IF(COUNTIFS($J$7:$J$510,Table7[[#Headers],[Renewables Regulation]],$C$7:$C$510,$L70)&gt;0,0,MROUND(IFERROR(Z70*($P70/$AI70),0),100))</f>
        <v>0</v>
      </c>
      <c r="AT70" s="1">
        <f>IF(COUNTIFS($J$7:$J$510,Table7[[#Headers],[Flexibility Market Intelligence]],$C$7:$C$510,$L70)&gt;0,0,MROUND(IFERROR(AA70*($P70/$AI70),0),100))</f>
        <v>0</v>
      </c>
      <c r="AU70" s="1">
        <f ca="1">IF(COUNTIFS($J$7:$J$510,Table7[[#Headers],[Flexibility RTM Analysis]],$C$7:$C$510,$L70)&gt;0,0,MROUND(IFERROR(AB70*($P70/$AI70),0),100))</f>
        <v>0</v>
      </c>
      <c r="AV70" s="1">
        <f ca="1">IF(COUNTIFS($J$7:$J$510,Table7[[#Headers],[Flexibility Forecasts]],$C$7:$C$510,$L70)&gt;0,0,MROUND(IFERROR(AC70*($P70/$AI70),0),100))</f>
        <v>0</v>
      </c>
      <c r="AW70" s="1">
        <f ca="1">IF(COUNTIFS($J$7:$J$510,Table7[[#Headers],[Flexibility Regulation]],$C$7:$C$510,$L70)&gt;0,0,MROUND(IFERROR(AD70*($P70/$AI70),0),100))</f>
        <v>0</v>
      </c>
      <c r="AX70" s="1">
        <f ca="1">IF(COUNTIFS($J$7:$J$510,Table7[[#Headers],[Business Energy Essentials]],$C$7:$C$510,$L70)&gt;0,0,MROUND(IFERROR(AE70*($P70/$AI70),0),100))</f>
        <v>0</v>
      </c>
      <c r="AY70" s="1">
        <f ca="1">IF(COUNTIFS($J$7:$J$510,Table7[[#Headers],[Energy User RTM Analysis]],$C$7:$C$510,$L70)&gt;0,0,MROUND(IFERROR(AF70*($P70/$AI70),0),100))</f>
        <v>0</v>
      </c>
      <c r="AZ70" s="1">
        <f ca="1">IF(COUNTIFS($J$7:$J$510,Table7[[#Headers],[Energy User Forecasts]],$C$7:$C$510,$L70)&gt;0,0,MROUND(IFERROR(AG70*($P70/$AI70),0),100))</f>
        <v>0</v>
      </c>
      <c r="BA70" s="1">
        <f ca="1">IF(COUNTIFS($J$7:$J$510,Table7[[#Headers],[Energy User Regulation]],$C$7:$C$510,$L70)&gt;0,0,MROUND(IFERROR(AH70*($P70/$AI70),0),100))</f>
        <v>0</v>
      </c>
    </row>
    <row r="71" spans="2:53">
      <c r="B71" s="38" t="s">
        <v>2102</v>
      </c>
      <c r="C71" s="38" t="s">
        <v>220</v>
      </c>
      <c r="D71" s="38" t="s">
        <v>2083</v>
      </c>
      <c r="E71" s="38" t="s">
        <v>1829</v>
      </c>
      <c r="F71" s="63">
        <v>12529</v>
      </c>
      <c r="G71" s="38"/>
      <c r="H71" s="38" t="s">
        <v>2031</v>
      </c>
      <c r="I71" s="38" t="s">
        <v>2031</v>
      </c>
      <c r="J71" s="38" t="s">
        <v>23</v>
      </c>
      <c r="L71" s="1" t="str">
        <v>Enfinium Ltd</v>
      </c>
      <c r="M71" s="1" t="str">
        <f t="shared" si="2"/>
        <v>Renewables</v>
      </c>
      <c r="N71" s="109">
        <f t="shared" si="3"/>
        <v>24520</v>
      </c>
      <c r="O71" s="1">
        <f>IFERROR(IF(INDEX(Table3[[Total Spend]:[Total Spend]],MATCH(L71,Table3[[Company name]:[Company name]],0))&gt;N71,INDEX(Table3[[Total Spend]:[Total Spend]],MATCH(L71,Table3[[Company name]:[Company name]])),N71),50000)</f>
        <v>250000</v>
      </c>
      <c r="P71" s="109">
        <f t="shared" si="4"/>
        <v>225480</v>
      </c>
      <c r="Q71" s="103">
        <f t="shared" si="5"/>
        <v>9.8080000000000001E-2</v>
      </c>
      <c r="R71" s="1">
        <f ca="1">IFERROR(INDEX(INDIRECT("Table3[Column"&amp;R$9&amp;"]"),MATCH($L71,Table3[[Company name]:[Company name]],0)),0)</f>
        <v>8100</v>
      </c>
      <c r="S71" s="1">
        <f ca="1">IFERROR(INDEX(INDIRECT("Table3[Column"&amp;S$9&amp;"]"),MATCH($L71,Table3[[Company name]:[Company name]],0)),0)</f>
        <v>0</v>
      </c>
      <c r="T71" s="1">
        <f ca="1">IFERROR(INDEX(INDIRECT("Table3[Column"&amp;T$9&amp;"]"),MATCH($L71,Table3[[Company name]:[Company name]],0)),0)</f>
        <v>0</v>
      </c>
      <c r="U71" s="1">
        <f ca="1">IFERROR(INDEX(INDIRECT("Table3[Column"&amp;U$9&amp;"]"),MATCH($L71,Table3[[Company name]:[Company name]],0)),0)</f>
        <v>0</v>
      </c>
      <c r="V71" s="1">
        <f ca="1">IFERROR(INDEX(INDIRECT("Table3[Column"&amp;V$9&amp;"]"),MATCH($L71,Table3[[Company name]:[Company name]],0)),0)</f>
        <v>0</v>
      </c>
      <c r="W71" s="1">
        <f ca="1">IFERROR(INDEX(INDIRECT("Table3[Column"&amp;W$9&amp;"]"),MATCH($L71,Table3[[Company name]:[Company name]],0)),0)</f>
        <v>17100</v>
      </c>
      <c r="X71" s="1">
        <f ca="1">IFERROR(INDEX(INDIRECT("Table3[Column"&amp;X$9&amp;"]"),MATCH($L71,Table3[[Company name]:[Company name]],0)),0)</f>
        <v>15300</v>
      </c>
      <c r="Y71" s="1">
        <f ca="1">IFERROR(INDEX(INDIRECT("Table3[Column"&amp;Y$9&amp;"]"),MATCH($L71,Table3[[Company name]:[Company name]],0)),0)</f>
        <v>42300</v>
      </c>
      <c r="Z71" s="1">
        <f ca="1">IFERROR(INDEX(INDIRECT("Table3[Column"&amp;Z$9&amp;"]"),MATCH($L71,Table3[[Company name]:[Company name]],0)),0)</f>
        <v>18900</v>
      </c>
      <c r="AA71" s="1">
        <f ca="1">IFERROR(INDEX(INDIRECT("Table3[Column"&amp;AA$9&amp;"]"),MATCH($L71,Table3[[Company name]:[Company name]],0)),0)</f>
        <v>21600</v>
      </c>
      <c r="AB71" s="1">
        <f ca="1">IFERROR(INDEX(INDIRECT("Table3[Column"&amp;AB$9&amp;"]"),MATCH($L71,Table3[[Company name]:[Company name]],0)),0)</f>
        <v>7650</v>
      </c>
      <c r="AC71" s="1">
        <f ca="1">IFERROR(INDEX(INDIRECT("Table3[Column"&amp;AC$9&amp;"]"),MATCH($L71,Table3[[Company name]:[Company name]],0)),0)</f>
        <v>31500</v>
      </c>
      <c r="AD71" s="1">
        <f ca="1">IFERROR(INDEX(INDIRECT("Table3[Column"&amp;AD$9&amp;"]"),MATCH($L71,Table3[[Company name]:[Company name]],0)),0)</f>
        <v>25200</v>
      </c>
      <c r="AE71" s="1">
        <f ca="1">IFERROR(INDEX(INDIRECT("Table3[Column"&amp;AE$9&amp;"]"),MATCH($L71,Table3[[Company name]:[Company name]],0)),0)</f>
        <v>0</v>
      </c>
      <c r="AF71" s="1">
        <f ca="1">IFERROR(INDEX(INDIRECT("Table3[Column"&amp;AF$9&amp;"]"),MATCH($L71,Table3[[Company name]:[Company name]],0)),0)</f>
        <v>0</v>
      </c>
      <c r="AG71" s="1">
        <f ca="1">IFERROR(INDEX(INDIRECT("Table3[Column"&amp;AG$9&amp;"]"),MATCH($L71,Table3[[Company name]:[Company name]],0)),0)</f>
        <v>0</v>
      </c>
      <c r="AH71" s="1">
        <f ca="1">IFERROR(INDEX(INDIRECT("Table3[Column"&amp;AH$9&amp;"]"),MATCH($L71,Table3[[Company name]:[Company name]],0)),0)</f>
        <v>0</v>
      </c>
      <c r="AI71" s="1">
        <f t="shared" ca="1" si="6"/>
        <v>187650</v>
      </c>
      <c r="AK71" s="1">
        <f>IF(COUNTIFS($J$7:$J$510,Table7[[#Headers],[Industry Essentials]],$C$7:$C$510,$L71)&gt;0,0,MROUND(R71,100))</f>
        <v>0</v>
      </c>
      <c r="AL71" s="1">
        <f ca="1">IF(COUNTIFS($J$7:$J$510,Table7[[#Headers],[Energy Supply Market Intelligence]],$C$7:$C$510,$L71)&gt;0,0,MROUND(IFERROR(S71*($P71/$AI71),0),100))</f>
        <v>0</v>
      </c>
      <c r="AM71" s="1">
        <f ca="1">IF(COUNTIFS($J$7:$J$510,Table7[[#Headers],[Energy Supply RTM Analysis]],$C$7:$C$510,$L71)&gt;0,0,MROUND(IFERROR(T71*($P71/$AI71),0),100))</f>
        <v>0</v>
      </c>
      <c r="AN71" s="1">
        <f ca="1">IF(COUNTIFS($J$7:$J$510,Table7[[#Headers],[Energy Supply Forecasts]],$C$7:$C$510,$L71)&gt;0,0,MROUND(IFERROR(U71*($P71/$AI71),0),100))</f>
        <v>0</v>
      </c>
      <c r="AO71" s="1">
        <f ca="1">IF(COUNTIFS($J$7:$J$510,Table7[[#Headers],[Energy Supply Regulation]],$C$7:$C$510,$L71)&gt;0,0,MROUND(IFERROR(V71*($P71/$AI71),0),100))</f>
        <v>0</v>
      </c>
      <c r="AP71" s="1">
        <f ca="1">IF(COUNTIFS($J$7:$J$510,Table7[[#Headers],[Renewables Market Intelligence]],$C$7:$C$510,$L71)&gt;0,0,MROUND(IFERROR(W71*($P71/$AI71),0),100))</f>
        <v>20500</v>
      </c>
      <c r="AQ71" s="1">
        <f ca="1">IF(COUNTIFS($J$7:$J$510,Table7[[#Headers],[Renewables RTM Analysis]],$C$7:$C$510,$L71)&gt;0,0,MROUND(IFERROR(X71*($P71/$AI71),0),100))</f>
        <v>18400</v>
      </c>
      <c r="AR71" s="1">
        <f ca="1">IF(COUNTIFS($J$7:$J$510,Table7[[#Headers],[Renewables Forecasts]],$C$7:$C$510,$L71)&gt;0,0,MROUND(IFERROR(Y71*($P71/$AI71),0),100))</f>
        <v>50800</v>
      </c>
      <c r="AS71" s="1">
        <f ca="1">IF(COUNTIFS($J$7:$J$510,Table7[[#Headers],[Renewables Regulation]],$C$7:$C$510,$L71)&gt;0,0,MROUND(IFERROR(Z71*($P71/$AI71),0),100))</f>
        <v>22700</v>
      </c>
      <c r="AT71" s="1">
        <f ca="1">IF(COUNTIFS($J$7:$J$510,Table7[[#Headers],[Flexibility Market Intelligence]],$C$7:$C$510,$L71)&gt;0,0,MROUND(IFERROR(AA71*($P71/$AI71),0),100))</f>
        <v>26000</v>
      </c>
      <c r="AU71" s="1">
        <f ca="1">IF(COUNTIFS($J$7:$J$510,Table7[[#Headers],[Flexibility RTM Analysis]],$C$7:$C$510,$L71)&gt;0,0,MROUND(IFERROR(AB71*($P71/$AI71),0),100))</f>
        <v>9200</v>
      </c>
      <c r="AV71" s="1">
        <f ca="1">IF(COUNTIFS($J$7:$J$510,Table7[[#Headers],[Flexibility Forecasts]],$C$7:$C$510,$L71)&gt;0,0,MROUND(IFERROR(AC71*($P71/$AI71),0),100))</f>
        <v>37900</v>
      </c>
      <c r="AW71" s="1">
        <f ca="1">IF(COUNTIFS($J$7:$J$510,Table7[[#Headers],[Flexibility Regulation]],$C$7:$C$510,$L71)&gt;0,0,MROUND(IFERROR(AD71*($P71/$AI71),0),100))</f>
        <v>30300</v>
      </c>
      <c r="AX71" s="1">
        <f ca="1">IF(COUNTIFS($J$7:$J$510,Table7[[#Headers],[Business Energy Essentials]],$C$7:$C$510,$L71)&gt;0,0,MROUND(IFERROR(AE71*($P71/$AI71),0),100))</f>
        <v>0</v>
      </c>
      <c r="AY71" s="1">
        <f ca="1">IF(COUNTIFS($J$7:$J$510,Table7[[#Headers],[Energy User RTM Analysis]],$C$7:$C$510,$L71)&gt;0,0,MROUND(IFERROR(AF71*($P71/$AI71),0),100))</f>
        <v>0</v>
      </c>
      <c r="AZ71" s="1">
        <f>IF(COUNTIFS($J$7:$J$510,Table7[[#Headers],[Energy User Forecasts]],$C$7:$C$510,$L71)&gt;0,0,MROUND(IFERROR(AG71*($P71/$AI71),0),100))</f>
        <v>0</v>
      </c>
      <c r="BA71" s="1">
        <f ca="1">IF(COUNTIFS($J$7:$J$510,Table7[[#Headers],[Energy User Regulation]],$C$7:$C$510,$L71)&gt;0,0,MROUND(IFERROR(AH71*($P71/$AI71),0),100))</f>
        <v>0</v>
      </c>
    </row>
    <row r="72" spans="2:53">
      <c r="B72" s="38" t="s">
        <v>2103</v>
      </c>
      <c r="C72" s="38" t="s">
        <v>67</v>
      </c>
      <c r="D72" s="38" t="s">
        <v>2069</v>
      </c>
      <c r="E72" s="38" t="s">
        <v>1889</v>
      </c>
      <c r="F72" s="63">
        <v>40100</v>
      </c>
      <c r="G72" s="38"/>
      <c r="H72" s="38" t="s">
        <v>2031</v>
      </c>
      <c r="I72" s="38" t="s">
        <v>2031</v>
      </c>
      <c r="J72" s="38" t="s">
        <v>21</v>
      </c>
      <c r="L72" s="1" t="str">
        <v>ENGIE Power Limited</v>
      </c>
      <c r="M72" s="1" t="str">
        <f t="shared" si="2"/>
        <v>Supply</v>
      </c>
      <c r="N72" s="109">
        <f t="shared" si="3"/>
        <v>112050.08007518796</v>
      </c>
      <c r="O72" s="1">
        <f>IFERROR(IF(INDEX(Table3[[Total Spend]:[Total Spend]],MATCH(L72,Table3[[Company name]:[Company name]],0))&gt;N72,INDEX(Table3[[Total Spend]:[Total Spend]],MATCH(L72,Table3[[Company name]:[Company name]])),N72),50000)</f>
        <v>250000</v>
      </c>
      <c r="P72" s="109">
        <f t="shared" si="4"/>
        <v>137949.91992481204</v>
      </c>
      <c r="Q72" s="103">
        <f t="shared" si="5"/>
        <v>0.44820032030075185</v>
      </c>
      <c r="R72" s="1">
        <f ca="1">IFERROR(INDEX(INDIRECT("Table3[Column"&amp;R$9&amp;"]"),MATCH($L72,Table3[[Company name]:[Company name]],0)),0)</f>
        <v>10800</v>
      </c>
      <c r="S72" s="1">
        <f ca="1">IFERROR(INDEX(INDIRECT("Table3[Column"&amp;S$9&amp;"]"),MATCH($L72,Table3[[Company name]:[Company name]],0)),0)</f>
        <v>43200</v>
      </c>
      <c r="T72" s="1">
        <f ca="1">IFERROR(INDEX(INDIRECT("Table3[Column"&amp;T$9&amp;"]"),MATCH($L72,Table3[[Company name]:[Company name]],0)),0)</f>
        <v>73800</v>
      </c>
      <c r="U72" s="1">
        <f ca="1">IFERROR(INDEX(INDIRECT("Table3[Column"&amp;U$9&amp;"]"),MATCH($L72,Table3[[Company name]:[Company name]],0)),0)</f>
        <v>48600</v>
      </c>
      <c r="V72" s="1">
        <f ca="1">IFERROR(INDEX(INDIRECT("Table3[Column"&amp;V$9&amp;"]"),MATCH($L72,Table3[[Company name]:[Company name]],0)),0)</f>
        <v>55800</v>
      </c>
      <c r="W72" s="1">
        <f ca="1">IFERROR(INDEX(INDIRECT("Table3[Column"&amp;W$9&amp;"]"),MATCH($L72,Table3[[Company name]:[Company name]],0)),0)</f>
        <v>23400</v>
      </c>
      <c r="X72" s="1">
        <f ca="1">IFERROR(INDEX(INDIRECT("Table3[Column"&amp;X$9&amp;"]"),MATCH($L72,Table3[[Company name]:[Company name]],0)),0)</f>
        <v>20700</v>
      </c>
      <c r="Y72" s="1">
        <f ca="1">IFERROR(INDEX(INDIRECT("Table3[Column"&amp;Y$9&amp;"]"),MATCH($L72,Table3[[Company name]:[Company name]],0)),0)</f>
        <v>59400</v>
      </c>
      <c r="Z72" s="1">
        <f ca="1">IFERROR(INDEX(INDIRECT("Table3[Column"&amp;Z$9&amp;"]"),MATCH($L72,Table3[[Company name]:[Company name]],0)),0)</f>
        <v>26100</v>
      </c>
      <c r="AA72" s="1">
        <f ca="1">IFERROR(INDEX(INDIRECT("Table3[Column"&amp;AA$9&amp;"]"),MATCH($L72,Table3[[Company name]:[Company name]],0)),0)</f>
        <v>29700</v>
      </c>
      <c r="AB72" s="1">
        <f ca="1">IFERROR(INDEX(INDIRECT("Table3[Column"&amp;AB$9&amp;"]"),MATCH($L72,Table3[[Company name]:[Company name]],0)),0)</f>
        <v>10800</v>
      </c>
      <c r="AC72" s="1">
        <f ca="1">IFERROR(INDEX(INDIRECT("Table3[Column"&amp;AC$9&amp;"]"),MATCH($L72,Table3[[Company name]:[Company name]],0)),0)</f>
        <v>44100</v>
      </c>
      <c r="AD72" s="1">
        <f ca="1">IFERROR(INDEX(INDIRECT("Table3[Column"&amp;AD$9&amp;"]"),MATCH($L72,Table3[[Company name]:[Company name]],0)),0)</f>
        <v>36000</v>
      </c>
      <c r="AE72" s="1">
        <f ca="1">IFERROR(INDEX(INDIRECT("Table3[Column"&amp;AE$9&amp;"]"),MATCH($L72,Table3[[Company name]:[Company name]],0)),0)</f>
        <v>0</v>
      </c>
      <c r="AF72" s="1">
        <f ca="1">IFERROR(INDEX(INDIRECT("Table3[Column"&amp;AF$9&amp;"]"),MATCH($L72,Table3[[Company name]:[Company name]],0)),0)</f>
        <v>0</v>
      </c>
      <c r="AG72" s="1">
        <f ca="1">IFERROR(INDEX(INDIRECT("Table3[Column"&amp;AG$9&amp;"]"),MATCH($L72,Table3[[Company name]:[Company name]],0)),0)</f>
        <v>0</v>
      </c>
      <c r="AH72" s="1">
        <f ca="1">IFERROR(INDEX(INDIRECT("Table3[Column"&amp;AH$9&amp;"]"),MATCH($L72,Table3[[Company name]:[Company name]],0)),0)</f>
        <v>0</v>
      </c>
      <c r="AI72" s="1">
        <f t="shared" ca="1" si="6"/>
        <v>482400</v>
      </c>
      <c r="AK72" s="1">
        <f>IF(COUNTIFS($J$7:$J$510,Table7[[#Headers],[Industry Essentials]],$C$7:$C$510,$L72)&gt;0,0,MROUND(R72,100))</f>
        <v>0</v>
      </c>
      <c r="AL72" s="1">
        <f ca="1">IF(COUNTIFS($J$7:$J$510,Table7[[#Headers],[Energy Supply Market Intelligence]],$C$7:$C$510,$L72)&gt;0,0,MROUND(IFERROR(S72*($P72/$AI72),0),100))</f>
        <v>12400</v>
      </c>
      <c r="AM72" s="1">
        <f>IF(COUNTIFS($J$7:$J$510,Table7[[#Headers],[Energy Supply RTM Analysis]],$C$7:$C$510,$L72)&gt;0,0,MROUND(IFERROR(T72*($P72/$AI72),0),100))</f>
        <v>0</v>
      </c>
      <c r="AN72" s="1">
        <f>IF(COUNTIFS($J$7:$J$510,Table7[[#Headers],[Energy Supply Forecasts]],$C$7:$C$510,$L72)&gt;0,0,MROUND(IFERROR(U72*($P72/$AI72),0),100))</f>
        <v>0</v>
      </c>
      <c r="AO72" s="1">
        <f>IF(COUNTIFS($J$7:$J$510,Table7[[#Headers],[Energy Supply Regulation]],$C$7:$C$510,$L72)&gt;0,0,MROUND(IFERROR(V72*($P72/$AI72),0),100))</f>
        <v>0</v>
      </c>
      <c r="AP72" s="1">
        <f ca="1">IF(COUNTIFS($J$7:$J$510,Table7[[#Headers],[Renewables Market Intelligence]],$C$7:$C$510,$L72)&gt;0,0,MROUND(IFERROR(W72*($P72/$AI72),0),100))</f>
        <v>6700</v>
      </c>
      <c r="AQ72" s="1">
        <f>IF(COUNTIFS($J$7:$J$510,Table7[[#Headers],[Renewables RTM Analysis]],$C$7:$C$510,$L72)&gt;0,0,MROUND(IFERROR(X72*($P72/$AI72),0),100))</f>
        <v>0</v>
      </c>
      <c r="AR72" s="1">
        <f>IF(COUNTIFS($J$7:$J$510,Table7[[#Headers],[Renewables Forecasts]],$C$7:$C$510,$L72)&gt;0,0,MROUND(IFERROR(Y72*($P72/$AI72),0),100))</f>
        <v>0</v>
      </c>
      <c r="AS72" s="1">
        <f ca="1">IF(COUNTIFS($J$7:$J$510,Table7[[#Headers],[Renewables Regulation]],$C$7:$C$510,$L72)&gt;0,0,MROUND(IFERROR(Z72*($P72/$AI72),0),100))</f>
        <v>7500</v>
      </c>
      <c r="AT72" s="1">
        <f ca="1">IF(COUNTIFS($J$7:$J$510,Table7[[#Headers],[Flexibility Market Intelligence]],$C$7:$C$510,$L72)&gt;0,0,MROUND(IFERROR(AA72*($P72/$AI72),0),100))</f>
        <v>8500</v>
      </c>
      <c r="AU72" s="1">
        <f ca="1">IF(COUNTIFS($J$7:$J$510,Table7[[#Headers],[Flexibility RTM Analysis]],$C$7:$C$510,$L72)&gt;0,0,MROUND(IFERROR(AB72*($P72/$AI72),0),100))</f>
        <v>3100</v>
      </c>
      <c r="AV72" s="1">
        <f ca="1">IF(COUNTIFS($J$7:$J$510,Table7[[#Headers],[Flexibility Forecasts]],$C$7:$C$510,$L72)&gt;0,0,MROUND(IFERROR(AC72*($P72/$AI72),0),100))</f>
        <v>12600</v>
      </c>
      <c r="AW72" s="1">
        <f ca="1">IF(COUNTIFS($J$7:$J$510,Table7[[#Headers],[Flexibility Regulation]],$C$7:$C$510,$L72)&gt;0,0,MROUND(IFERROR(AD72*($P72/$AI72),0),100))</f>
        <v>10300</v>
      </c>
      <c r="AX72" s="1">
        <f ca="1">IF(COUNTIFS($J$7:$J$510,Table7[[#Headers],[Business Energy Essentials]],$C$7:$C$510,$L72)&gt;0,0,MROUND(IFERROR(AE72*($P72/$AI72),0),100))</f>
        <v>0</v>
      </c>
      <c r="AY72" s="1">
        <f ca="1">IF(COUNTIFS($J$7:$J$510,Table7[[#Headers],[Energy User RTM Analysis]],$C$7:$C$510,$L72)&gt;0,0,MROUND(IFERROR(AF72*($P72/$AI72),0),100))</f>
        <v>0</v>
      </c>
      <c r="AZ72" s="1">
        <f ca="1">IF(COUNTIFS($J$7:$J$510,Table7[[#Headers],[Energy User Forecasts]],$C$7:$C$510,$L72)&gt;0,0,MROUND(IFERROR(AG72*($P72/$AI72),0),100))</f>
        <v>0</v>
      </c>
      <c r="BA72" s="1">
        <f ca="1">IF(COUNTIFS($J$7:$J$510,Table7[[#Headers],[Energy User Regulation]],$C$7:$C$510,$L72)&gt;0,0,MROUND(IFERROR(AH72*($P72/$AI72),0),100))</f>
        <v>0</v>
      </c>
    </row>
    <row r="73" spans="2:53">
      <c r="B73" s="38" t="s">
        <v>2103</v>
      </c>
      <c r="C73" s="38" t="s">
        <v>67</v>
      </c>
      <c r="D73" s="38" t="s">
        <v>2040</v>
      </c>
      <c r="E73" s="38" t="s">
        <v>1799</v>
      </c>
      <c r="F73" s="63">
        <v>8200</v>
      </c>
      <c r="G73" s="38"/>
      <c r="H73" s="38" t="s">
        <v>2031</v>
      </c>
      <c r="I73" s="38" t="s">
        <v>2032</v>
      </c>
      <c r="J73" s="38" t="s">
        <v>20</v>
      </c>
      <c r="L73" s="1" t="str">
        <v>Ensek Limited</v>
      </c>
      <c r="M73" s="1" t="str">
        <f t="shared" si="2"/>
        <v>Supply</v>
      </c>
      <c r="N73" s="109">
        <f t="shared" si="3"/>
        <v>19000</v>
      </c>
      <c r="O73" s="1">
        <f>IFERROR(IF(INDEX(Table3[[Total Spend]:[Total Spend]],MATCH(L73,Table3[[Company name]:[Company name]],0))&gt;N73,INDEX(Table3[[Total Spend]:[Total Spend]],MATCH(L73,Table3[[Company name]:[Company name]])),N73),50000)</f>
        <v>19000</v>
      </c>
      <c r="P73" s="109">
        <f t="shared" si="4"/>
        <v>19000</v>
      </c>
      <c r="Q73" s="103">
        <f t="shared" si="5"/>
        <v>1</v>
      </c>
      <c r="R73" s="1">
        <f ca="1">IFERROR(INDEX(INDIRECT("Table3[Column"&amp;R$9&amp;"]"),MATCH($L73,Table3[[Company name]:[Company name]],0)),0)</f>
        <v>8100</v>
      </c>
      <c r="S73" s="1">
        <f ca="1">IFERROR(INDEX(INDIRECT("Table3[Column"&amp;S$9&amp;"]"),MATCH($L73,Table3[[Company name]:[Company name]],0)),0)</f>
        <v>0</v>
      </c>
      <c r="T73" s="1">
        <f ca="1">IFERROR(INDEX(INDIRECT("Table3[Column"&amp;T$9&amp;"]"),MATCH($L73,Table3[[Company name]:[Company name]],0)),0)</f>
        <v>0</v>
      </c>
      <c r="U73" s="1">
        <f ca="1">IFERROR(INDEX(INDIRECT("Table3[Column"&amp;U$9&amp;"]"),MATCH($L73,Table3[[Company name]:[Company name]],0)),0)</f>
        <v>0</v>
      </c>
      <c r="V73" s="1">
        <f ca="1">IFERROR(INDEX(INDIRECT("Table3[Column"&amp;V$9&amp;"]"),MATCH($L73,Table3[[Company name]:[Company name]],0)),0)</f>
        <v>39600</v>
      </c>
      <c r="W73" s="1">
        <f ca="1">IFERROR(INDEX(INDIRECT("Table3[Column"&amp;W$9&amp;"]"),MATCH($L73,Table3[[Company name]:[Company name]],0)),0)</f>
        <v>0</v>
      </c>
      <c r="X73" s="1">
        <f ca="1">IFERROR(INDEX(INDIRECT("Table3[Column"&amp;X$9&amp;"]"),MATCH($L73,Table3[[Company name]:[Company name]],0)),0)</f>
        <v>0</v>
      </c>
      <c r="Y73" s="1">
        <f ca="1">IFERROR(INDEX(INDIRECT("Table3[Column"&amp;Y$9&amp;"]"),MATCH($L73,Table3[[Company name]:[Company name]],0)),0)</f>
        <v>0</v>
      </c>
      <c r="Z73" s="1">
        <f ca="1">IFERROR(INDEX(INDIRECT("Table3[Column"&amp;Z$9&amp;"]"),MATCH($L73,Table3[[Company name]:[Company name]],0)),0)</f>
        <v>0</v>
      </c>
      <c r="AA73" s="1">
        <f ca="1">IFERROR(INDEX(INDIRECT("Table3[Column"&amp;AA$9&amp;"]"),MATCH($L73,Table3[[Company name]:[Company name]],0)),0)</f>
        <v>0</v>
      </c>
      <c r="AB73" s="1">
        <f ca="1">IFERROR(INDEX(INDIRECT("Table3[Column"&amp;AB$9&amp;"]"),MATCH($L73,Table3[[Company name]:[Company name]],0)),0)</f>
        <v>0</v>
      </c>
      <c r="AC73" s="1">
        <f ca="1">IFERROR(INDEX(INDIRECT("Table3[Column"&amp;AC$9&amp;"]"),MATCH($L73,Table3[[Company name]:[Company name]],0)),0)</f>
        <v>0</v>
      </c>
      <c r="AD73" s="1">
        <f ca="1">IFERROR(INDEX(INDIRECT("Table3[Column"&amp;AD$9&amp;"]"),MATCH($L73,Table3[[Company name]:[Company name]],0)),0)</f>
        <v>0</v>
      </c>
      <c r="AE73" s="1">
        <f ca="1">IFERROR(INDEX(INDIRECT("Table3[Column"&amp;AE$9&amp;"]"),MATCH($L73,Table3[[Company name]:[Company name]],0)),0)</f>
        <v>0</v>
      </c>
      <c r="AF73" s="1">
        <f ca="1">IFERROR(INDEX(INDIRECT("Table3[Column"&amp;AF$9&amp;"]"),MATCH($L73,Table3[[Company name]:[Company name]],0)),0)</f>
        <v>0</v>
      </c>
      <c r="AG73" s="1">
        <f ca="1">IFERROR(INDEX(INDIRECT("Table3[Column"&amp;AG$9&amp;"]"),MATCH($L73,Table3[[Company name]:[Company name]],0)),0)</f>
        <v>0</v>
      </c>
      <c r="AH73" s="1">
        <f ca="1">IFERROR(INDEX(INDIRECT("Table3[Column"&amp;AH$9&amp;"]"),MATCH($L73,Table3[[Company name]:[Company name]],0)),0)</f>
        <v>0</v>
      </c>
      <c r="AI73" s="1">
        <f t="shared" ca="1" si="6"/>
        <v>47700</v>
      </c>
      <c r="AK73" s="1">
        <f>IF(COUNTIFS($J$7:$J$510,Table7[[#Headers],[Industry Essentials]],$C$7:$C$510,$L73)&gt;0,0,MROUND(R73,100))</f>
        <v>0</v>
      </c>
      <c r="AL73" s="1">
        <f ca="1">IF(COUNTIFS($J$7:$J$510,Table7[[#Headers],[Energy Supply Market Intelligence]],$C$7:$C$510,$L73)&gt;0,0,MROUND(IFERROR(S73*($P73/$AI73),0),100))</f>
        <v>0</v>
      </c>
      <c r="AM73" s="1">
        <f ca="1">IF(COUNTIFS($J$7:$J$510,Table7[[#Headers],[Energy Supply RTM Analysis]],$C$7:$C$510,$L73)&gt;0,0,MROUND(IFERROR(T73*($P73/$AI73),0),100))</f>
        <v>0</v>
      </c>
      <c r="AN73" s="1">
        <f>IF(COUNTIFS($J$7:$J$510,Table7[[#Headers],[Energy Supply Forecasts]],$C$7:$C$510,$L73)&gt;0,0,MROUND(IFERROR(U73*($P73/$AI73),0),100))</f>
        <v>0</v>
      </c>
      <c r="AO73" s="1">
        <f ca="1">IF(COUNTIFS($J$7:$J$510,Table7[[#Headers],[Energy Supply Regulation]],$C$7:$C$510,$L73)&gt;0,0,MROUND(IFERROR(V73*($P73/$AI73),0),100))</f>
        <v>15800</v>
      </c>
      <c r="AP73" s="1">
        <f ca="1">IF(COUNTIFS($J$7:$J$510,Table7[[#Headers],[Renewables Market Intelligence]],$C$7:$C$510,$L73)&gt;0,0,MROUND(IFERROR(W73*($P73/$AI73),0),100))</f>
        <v>0</v>
      </c>
      <c r="AQ73" s="1">
        <f ca="1">IF(COUNTIFS($J$7:$J$510,Table7[[#Headers],[Renewables RTM Analysis]],$C$7:$C$510,$L73)&gt;0,0,MROUND(IFERROR(X73*($P73/$AI73),0),100))</f>
        <v>0</v>
      </c>
      <c r="AR73" s="1">
        <f ca="1">IF(COUNTIFS($J$7:$J$510,Table7[[#Headers],[Renewables Forecasts]],$C$7:$C$510,$L73)&gt;0,0,MROUND(IFERROR(Y73*($P73/$AI73),0),100))</f>
        <v>0</v>
      </c>
      <c r="AS73" s="1">
        <f ca="1">IF(COUNTIFS($J$7:$J$510,Table7[[#Headers],[Renewables Regulation]],$C$7:$C$510,$L73)&gt;0,0,MROUND(IFERROR(Z73*($P73/$AI73),0),100))</f>
        <v>0</v>
      </c>
      <c r="AT73" s="1">
        <f ca="1">IF(COUNTIFS($J$7:$J$510,Table7[[#Headers],[Flexibility Market Intelligence]],$C$7:$C$510,$L73)&gt;0,0,MROUND(IFERROR(AA73*($P73/$AI73),0),100))</f>
        <v>0</v>
      </c>
      <c r="AU73" s="1">
        <f ca="1">IF(COUNTIFS($J$7:$J$510,Table7[[#Headers],[Flexibility RTM Analysis]],$C$7:$C$510,$L73)&gt;0,0,MROUND(IFERROR(AB73*($P73/$AI73),0),100))</f>
        <v>0</v>
      </c>
      <c r="AV73" s="1">
        <f ca="1">IF(COUNTIFS($J$7:$J$510,Table7[[#Headers],[Flexibility Forecasts]],$C$7:$C$510,$L73)&gt;0,0,MROUND(IFERROR(AC73*($P73/$AI73),0),100))</f>
        <v>0</v>
      </c>
      <c r="AW73" s="1">
        <f ca="1">IF(COUNTIFS($J$7:$J$510,Table7[[#Headers],[Flexibility Regulation]],$C$7:$C$510,$L73)&gt;0,0,MROUND(IFERROR(AD73*($P73/$AI73),0),100))</f>
        <v>0</v>
      </c>
      <c r="AX73" s="1">
        <f ca="1">IF(COUNTIFS($J$7:$J$510,Table7[[#Headers],[Business Energy Essentials]],$C$7:$C$510,$L73)&gt;0,0,MROUND(IFERROR(AE73*($P73/$AI73),0),100))</f>
        <v>0</v>
      </c>
      <c r="AY73" s="1">
        <f ca="1">IF(COUNTIFS($J$7:$J$510,Table7[[#Headers],[Energy User RTM Analysis]],$C$7:$C$510,$L73)&gt;0,0,MROUND(IFERROR(AF73*($P73/$AI73),0),100))</f>
        <v>0</v>
      </c>
      <c r="AZ73" s="1">
        <f ca="1">IF(COUNTIFS($J$7:$J$510,Table7[[#Headers],[Energy User Forecasts]],$C$7:$C$510,$L73)&gt;0,0,MROUND(IFERROR(AG73*($P73/$AI73),0),100))</f>
        <v>0</v>
      </c>
      <c r="BA73" s="1">
        <f ca="1">IF(COUNTIFS($J$7:$J$510,Table7[[#Headers],[Energy User Regulation]],$C$7:$C$510,$L73)&gt;0,0,MROUND(IFERROR(AH73*($P73/$AI73),0),100))</f>
        <v>0</v>
      </c>
    </row>
    <row r="74" spans="2:53">
      <c r="B74" s="38" t="s">
        <v>2103</v>
      </c>
      <c r="C74" s="38" t="s">
        <v>67</v>
      </c>
      <c r="D74" s="38" t="s">
        <v>2057</v>
      </c>
      <c r="E74" s="38" t="s">
        <v>1826</v>
      </c>
      <c r="F74" s="63">
        <v>7900</v>
      </c>
      <c r="G74" s="38"/>
      <c r="H74" s="38" t="s">
        <v>2031</v>
      </c>
      <c r="I74" s="38" t="s">
        <v>1702</v>
      </c>
      <c r="J74" s="38" t="s">
        <v>27</v>
      </c>
      <c r="L74" s="1" t="str">
        <v>EPEX SPOT SE</v>
      </c>
      <c r="M74" s="1" t="str">
        <f t="shared" si="2"/>
        <v>Other</v>
      </c>
      <c r="N74" s="109">
        <f t="shared" si="3"/>
        <v>4000</v>
      </c>
      <c r="O74" s="1">
        <f>IFERROR(IF(INDEX(Table3[[Total Spend]:[Total Spend]],MATCH(L74,Table3[[Company name]:[Company name]],0))&gt;N74,INDEX(Table3[[Total Spend]:[Total Spend]],MATCH(L74,Table3[[Company name]:[Company name]])),N74),50000)</f>
        <v>250000</v>
      </c>
      <c r="P74" s="109">
        <f t="shared" si="4"/>
        <v>246000</v>
      </c>
      <c r="Q74" s="103">
        <f t="shared" si="5"/>
        <v>1.6E-2</v>
      </c>
      <c r="R74" s="1">
        <f ca="1">IFERROR(INDEX(INDIRECT("Table3[Column"&amp;R$9&amp;"]"),MATCH($L74,Table3[[Company name]:[Company name]],0)),0)</f>
        <v>10800</v>
      </c>
      <c r="S74" s="1">
        <f ca="1">IFERROR(INDEX(INDIRECT("Table3[Column"&amp;S$9&amp;"]"),MATCH($L74,Table3[[Company name]:[Company name]],0)),0)</f>
        <v>0</v>
      </c>
      <c r="T74" s="1">
        <f ca="1">IFERROR(INDEX(INDIRECT("Table3[Column"&amp;T$9&amp;"]"),MATCH($L74,Table3[[Company name]:[Company name]],0)),0)</f>
        <v>0</v>
      </c>
      <c r="U74" s="1">
        <f ca="1">IFERROR(INDEX(INDIRECT("Table3[Column"&amp;U$9&amp;"]"),MATCH($L74,Table3[[Company name]:[Company name]],0)),0)</f>
        <v>0</v>
      </c>
      <c r="V74" s="1">
        <f ca="1">IFERROR(INDEX(INDIRECT("Table3[Column"&amp;V$9&amp;"]"),MATCH($L74,Table3[[Company name]:[Company name]],0)),0)</f>
        <v>0</v>
      </c>
      <c r="W74" s="1">
        <f ca="1">IFERROR(INDEX(INDIRECT("Table3[Column"&amp;W$9&amp;"]"),MATCH($L74,Table3[[Company name]:[Company name]],0)),0)</f>
        <v>0</v>
      </c>
      <c r="X74" s="1">
        <f ca="1">IFERROR(INDEX(INDIRECT("Table3[Column"&amp;X$9&amp;"]"),MATCH($L74,Table3[[Company name]:[Company name]],0)),0)</f>
        <v>0</v>
      </c>
      <c r="Y74" s="1">
        <f ca="1">IFERROR(INDEX(INDIRECT("Table3[Column"&amp;Y$9&amp;"]"),MATCH($L74,Table3[[Company name]:[Company name]],0)),0)</f>
        <v>0</v>
      </c>
      <c r="Z74" s="1">
        <f ca="1">IFERROR(INDEX(INDIRECT("Table3[Column"&amp;Z$9&amp;"]"),MATCH($L74,Table3[[Company name]:[Company name]],0)),0)</f>
        <v>0</v>
      </c>
      <c r="AA74" s="1">
        <f ca="1">IFERROR(INDEX(INDIRECT("Table3[Column"&amp;AA$9&amp;"]"),MATCH($L74,Table3[[Company name]:[Company name]],0)),0)</f>
        <v>0</v>
      </c>
      <c r="AB74" s="1">
        <f ca="1">IFERROR(INDEX(INDIRECT("Table3[Column"&amp;AB$9&amp;"]"),MATCH($L74,Table3[[Company name]:[Company name]],0)),0)</f>
        <v>0</v>
      </c>
      <c r="AC74" s="1">
        <f ca="1">IFERROR(INDEX(INDIRECT("Table3[Column"&amp;AC$9&amp;"]"),MATCH($L74,Table3[[Company name]:[Company name]],0)),0)</f>
        <v>0</v>
      </c>
      <c r="AD74" s="1">
        <f ca="1">IFERROR(INDEX(INDIRECT("Table3[Column"&amp;AD$9&amp;"]"),MATCH($L74,Table3[[Company name]:[Company name]],0)),0)</f>
        <v>0</v>
      </c>
      <c r="AE74" s="1">
        <f ca="1">IFERROR(INDEX(INDIRECT("Table3[Column"&amp;AE$9&amp;"]"),MATCH($L74,Table3[[Company name]:[Company name]],0)),0)</f>
        <v>0</v>
      </c>
      <c r="AF74" s="1">
        <f ca="1">IFERROR(INDEX(INDIRECT("Table3[Column"&amp;AF$9&amp;"]"),MATCH($L74,Table3[[Company name]:[Company name]],0)),0)</f>
        <v>0</v>
      </c>
      <c r="AG74" s="1">
        <f ca="1">IFERROR(INDEX(INDIRECT("Table3[Column"&amp;AG$9&amp;"]"),MATCH($L74,Table3[[Company name]:[Company name]],0)),0)</f>
        <v>0</v>
      </c>
      <c r="AH74" s="1">
        <f ca="1">IFERROR(INDEX(INDIRECT("Table3[Column"&amp;AH$9&amp;"]"),MATCH($L74,Table3[[Company name]:[Company name]],0)),0)</f>
        <v>0</v>
      </c>
      <c r="AI74" s="1">
        <f t="shared" ca="1" si="6"/>
        <v>10800</v>
      </c>
      <c r="AK74" s="1">
        <f>IF(COUNTIFS($J$7:$J$510,Table7[[#Headers],[Industry Essentials]],$C$7:$C$510,$L74)&gt;0,0,MROUND(R74,100))</f>
        <v>0</v>
      </c>
      <c r="AL74" s="1">
        <f ca="1">IF(COUNTIFS($J$7:$J$510,Table7[[#Headers],[Energy Supply Market Intelligence]],$C$7:$C$510,$L74)&gt;0,0,MROUND(IFERROR(S74*($P74/$AI74),0),100))</f>
        <v>0</v>
      </c>
      <c r="AM74" s="1">
        <f ca="1">IF(COUNTIFS($J$7:$J$510,Table7[[#Headers],[Energy Supply RTM Analysis]],$C$7:$C$510,$L74)&gt;0,0,MROUND(IFERROR(T74*($P74/$AI74),0),100))</f>
        <v>0</v>
      </c>
      <c r="AN74" s="1">
        <f ca="1">IF(COUNTIFS($J$7:$J$510,Table7[[#Headers],[Energy Supply Forecasts]],$C$7:$C$510,$L74)&gt;0,0,MROUND(IFERROR(U74*($P74/$AI74),0),100))</f>
        <v>0</v>
      </c>
      <c r="AO74" s="1">
        <f ca="1">IF(COUNTIFS($J$7:$J$510,Table7[[#Headers],[Energy Supply Regulation]],$C$7:$C$510,$L74)&gt;0,0,MROUND(IFERROR(V74*($P74/$AI74),0),100))</f>
        <v>0</v>
      </c>
      <c r="AP74" s="1">
        <f ca="1">IF(COUNTIFS($J$7:$J$510,Table7[[#Headers],[Renewables Market Intelligence]],$C$7:$C$510,$L74)&gt;0,0,MROUND(IFERROR(W74*($P74/$AI74),0),100))</f>
        <v>0</v>
      </c>
      <c r="AQ74" s="1">
        <f ca="1">IF(COUNTIFS($J$7:$J$510,Table7[[#Headers],[Renewables RTM Analysis]],$C$7:$C$510,$L74)&gt;0,0,MROUND(IFERROR(X74*($P74/$AI74),0),100))</f>
        <v>0</v>
      </c>
      <c r="AR74" s="1">
        <f ca="1">IF(COUNTIFS($J$7:$J$510,Table7[[#Headers],[Renewables Forecasts]],$C$7:$C$510,$L74)&gt;0,0,MROUND(IFERROR(Y74*($P74/$AI74),0),100))</f>
        <v>0</v>
      </c>
      <c r="AS74" s="1">
        <f ca="1">IF(COUNTIFS($J$7:$J$510,Table7[[#Headers],[Renewables Regulation]],$C$7:$C$510,$L74)&gt;0,0,MROUND(IFERROR(Z74*($P74/$AI74),0),100))</f>
        <v>0</v>
      </c>
      <c r="AT74" s="1">
        <f ca="1">IF(COUNTIFS($J$7:$J$510,Table7[[#Headers],[Flexibility Market Intelligence]],$C$7:$C$510,$L74)&gt;0,0,MROUND(IFERROR(AA74*($P74/$AI74),0),100))</f>
        <v>0</v>
      </c>
      <c r="AU74" s="1">
        <f ca="1">IF(COUNTIFS($J$7:$J$510,Table7[[#Headers],[Flexibility RTM Analysis]],$C$7:$C$510,$L74)&gt;0,0,MROUND(IFERROR(AB74*($P74/$AI74),0),100))</f>
        <v>0</v>
      </c>
      <c r="AV74" s="1">
        <f ca="1">IF(COUNTIFS($J$7:$J$510,Table7[[#Headers],[Flexibility Forecasts]],$C$7:$C$510,$L74)&gt;0,0,MROUND(IFERROR(AC74*($P74/$AI74),0),100))</f>
        <v>0</v>
      </c>
      <c r="AW74" s="1">
        <f ca="1">IF(COUNTIFS($J$7:$J$510,Table7[[#Headers],[Flexibility Regulation]],$C$7:$C$510,$L74)&gt;0,0,MROUND(IFERROR(AD74*($P74/$AI74),0),100))</f>
        <v>0</v>
      </c>
      <c r="AX74" s="1">
        <f ca="1">IF(COUNTIFS($J$7:$J$510,Table7[[#Headers],[Business Energy Essentials]],$C$7:$C$510,$L74)&gt;0,0,MROUND(IFERROR(AE74*($P74/$AI74),0),100))</f>
        <v>0</v>
      </c>
      <c r="AY74" s="1">
        <f ca="1">IF(COUNTIFS($J$7:$J$510,Table7[[#Headers],[Energy User RTM Analysis]],$C$7:$C$510,$L74)&gt;0,0,MROUND(IFERROR(AF74*($P74/$AI74),0),100))</f>
        <v>0</v>
      </c>
      <c r="AZ74" s="1">
        <f ca="1">IF(COUNTIFS($J$7:$J$510,Table7[[#Headers],[Energy User Forecasts]],$C$7:$C$510,$L74)&gt;0,0,MROUND(IFERROR(AG74*($P74/$AI74),0),100))</f>
        <v>0</v>
      </c>
      <c r="BA74" s="1">
        <f ca="1">IF(COUNTIFS($J$7:$J$510,Table7[[#Headers],[Energy User Regulation]],$C$7:$C$510,$L74)&gt;0,0,MROUND(IFERROR(AH74*($P74/$AI74),0),100))</f>
        <v>0</v>
      </c>
    </row>
    <row r="75" spans="2:53">
      <c r="B75" s="38" t="s">
        <v>2103</v>
      </c>
      <c r="C75" s="38" t="s">
        <v>67</v>
      </c>
      <c r="D75" s="38" t="s">
        <v>2073</v>
      </c>
      <c r="E75" s="38" t="s">
        <v>2074</v>
      </c>
      <c r="F75" s="63">
        <v>19900</v>
      </c>
      <c r="G75" s="38"/>
      <c r="H75" s="38" t="s">
        <v>2031</v>
      </c>
      <c r="I75" s="38" t="s">
        <v>2031</v>
      </c>
      <c r="J75" s="38" t="s">
        <v>23</v>
      </c>
      <c r="L75" s="1" t="str">
        <v>EPG Energy Limited</v>
      </c>
      <c r="M75" s="1" t="str">
        <f t="shared" si="2"/>
        <v>Supply</v>
      </c>
      <c r="N75" s="109">
        <f t="shared" si="3"/>
        <v>35145</v>
      </c>
      <c r="O75" s="1">
        <f>IFERROR(IF(INDEX(Table3[[Total Spend]:[Total Spend]],MATCH(L75,Table3[[Company name]:[Company name]],0))&gt;N75,INDEX(Table3[[Total Spend]:[Total Spend]],MATCH(L75,Table3[[Company name]:[Company name]])),N75),50000)</f>
        <v>250000</v>
      </c>
      <c r="P75" s="109">
        <f t="shared" si="4"/>
        <v>214855</v>
      </c>
      <c r="Q75" s="103">
        <f t="shared" si="5"/>
        <v>0.14058000000000001</v>
      </c>
      <c r="R75" s="1">
        <f ca="1">IFERROR(INDEX(INDIRECT("Table3[Column"&amp;R$9&amp;"]"),MATCH($L75,Table3[[Company name]:[Company name]],0)),0)</f>
        <v>8100</v>
      </c>
      <c r="S75" s="1">
        <f ca="1">IFERROR(INDEX(INDIRECT("Table3[Column"&amp;S$9&amp;"]"),MATCH($L75,Table3[[Company name]:[Company name]],0)),0)</f>
        <v>30600</v>
      </c>
      <c r="T75" s="1">
        <f ca="1">IFERROR(INDEX(INDIRECT("Table3[Column"&amp;T$9&amp;"]"),MATCH($L75,Table3[[Company name]:[Company name]],0)),0)</f>
        <v>53100</v>
      </c>
      <c r="U75" s="1">
        <f ca="1">IFERROR(INDEX(INDIRECT("Table3[Column"&amp;U$9&amp;"]"),MATCH($L75,Table3[[Company name]:[Company name]],0)),0)</f>
        <v>34200</v>
      </c>
      <c r="V75" s="1">
        <f ca="1">IFERROR(INDEX(INDIRECT("Table3[Column"&amp;V$9&amp;"]"),MATCH($L75,Table3[[Company name]:[Company name]],0)),0)</f>
        <v>39600</v>
      </c>
      <c r="W75" s="1">
        <f ca="1">IFERROR(INDEX(INDIRECT("Table3[Column"&amp;W$9&amp;"]"),MATCH($L75,Table3[[Company name]:[Company name]],0)),0)</f>
        <v>0</v>
      </c>
      <c r="X75" s="1">
        <f ca="1">IFERROR(INDEX(INDIRECT("Table3[Column"&amp;X$9&amp;"]"),MATCH($L75,Table3[[Company name]:[Company name]],0)),0)</f>
        <v>15300</v>
      </c>
      <c r="Y75" s="1">
        <f ca="1">IFERROR(INDEX(INDIRECT("Table3[Column"&amp;Y$9&amp;"]"),MATCH($L75,Table3[[Company name]:[Company name]],0)),0)</f>
        <v>0</v>
      </c>
      <c r="Z75" s="1">
        <f ca="1">IFERROR(INDEX(INDIRECT("Table3[Column"&amp;Z$9&amp;"]"),MATCH($L75,Table3[[Company name]:[Company name]],0)),0)</f>
        <v>0</v>
      </c>
      <c r="AA75" s="1">
        <f ca="1">IFERROR(INDEX(INDIRECT("Table3[Column"&amp;AA$9&amp;"]"),MATCH($L75,Table3[[Company name]:[Company name]],0)),0)</f>
        <v>21600</v>
      </c>
      <c r="AB75" s="1">
        <f ca="1">IFERROR(INDEX(INDIRECT("Table3[Column"&amp;AB$9&amp;"]"),MATCH($L75,Table3[[Company name]:[Company name]],0)),0)</f>
        <v>7650</v>
      </c>
      <c r="AC75" s="1">
        <f ca="1">IFERROR(INDEX(INDIRECT("Table3[Column"&amp;AC$9&amp;"]"),MATCH($L75,Table3[[Company name]:[Company name]],0)),0)</f>
        <v>31500</v>
      </c>
      <c r="AD75" s="1">
        <f ca="1">IFERROR(INDEX(INDIRECT("Table3[Column"&amp;AD$9&amp;"]"),MATCH($L75,Table3[[Company name]:[Company name]],0)),0)</f>
        <v>0</v>
      </c>
      <c r="AE75" s="1">
        <f ca="1">IFERROR(INDEX(INDIRECT("Table3[Column"&amp;AE$9&amp;"]"),MATCH($L75,Table3[[Company name]:[Company name]],0)),0)</f>
        <v>0</v>
      </c>
      <c r="AF75" s="1">
        <f ca="1">IFERROR(INDEX(INDIRECT("Table3[Column"&amp;AF$9&amp;"]"),MATCH($L75,Table3[[Company name]:[Company name]],0)),0)</f>
        <v>0</v>
      </c>
      <c r="AG75" s="1">
        <f ca="1">IFERROR(INDEX(INDIRECT("Table3[Column"&amp;AG$9&amp;"]"),MATCH($L75,Table3[[Company name]:[Company name]],0)),0)</f>
        <v>0</v>
      </c>
      <c r="AH75" s="1">
        <f ca="1">IFERROR(INDEX(INDIRECT("Table3[Column"&amp;AH$9&amp;"]"),MATCH($L75,Table3[[Company name]:[Company name]],0)),0)</f>
        <v>0</v>
      </c>
      <c r="AI75" s="1">
        <f t="shared" ca="1" si="6"/>
        <v>241650</v>
      </c>
      <c r="AK75" s="1">
        <f>IF(COUNTIFS($J$7:$J$510,Table7[[#Headers],[Industry Essentials]],$C$7:$C$510,$L75)&gt;0,0,MROUND(R75,100))</f>
        <v>0</v>
      </c>
      <c r="AL75" s="1">
        <f ca="1">IF(COUNTIFS($J$7:$J$510,Table7[[#Headers],[Energy Supply Market Intelligence]],$C$7:$C$510,$L75)&gt;0,0,MROUND(IFERROR(S75*($P75/$AI75),0),100))</f>
        <v>27200</v>
      </c>
      <c r="AM75" s="1">
        <f ca="1">IF(COUNTIFS($J$7:$J$510,Table7[[#Headers],[Energy Supply RTM Analysis]],$C$7:$C$510,$L75)&gt;0,0,MROUND(IFERROR(T75*($P75/$AI75),0),100))</f>
        <v>47200</v>
      </c>
      <c r="AN75" s="1">
        <f ca="1">IF(COUNTIFS($J$7:$J$510,Table7[[#Headers],[Energy Supply Forecasts]],$C$7:$C$510,$L75)&gt;0,0,MROUND(IFERROR(U75*($P75/$AI75),0),100))</f>
        <v>30400</v>
      </c>
      <c r="AO75" s="1">
        <f>IF(COUNTIFS($J$7:$J$510,Table7[[#Headers],[Energy Supply Regulation]],$C$7:$C$510,$L75)&gt;0,0,MROUND(IFERROR(V75*($P75/$AI75),0),100))</f>
        <v>0</v>
      </c>
      <c r="AP75" s="1">
        <f ca="1">IF(COUNTIFS($J$7:$J$510,Table7[[#Headers],[Renewables Market Intelligence]],$C$7:$C$510,$L75)&gt;0,0,MROUND(IFERROR(W75*($P75/$AI75),0),100))</f>
        <v>0</v>
      </c>
      <c r="AQ75" s="1">
        <f ca="1">IF(COUNTIFS($J$7:$J$510,Table7[[#Headers],[Renewables RTM Analysis]],$C$7:$C$510,$L75)&gt;0,0,MROUND(IFERROR(X75*($P75/$AI75),0),100))</f>
        <v>13600</v>
      </c>
      <c r="AR75" s="1">
        <f ca="1">IF(COUNTIFS($J$7:$J$510,Table7[[#Headers],[Renewables Forecasts]],$C$7:$C$510,$L75)&gt;0,0,MROUND(IFERROR(Y75*($P75/$AI75),0),100))</f>
        <v>0</v>
      </c>
      <c r="AS75" s="1">
        <f ca="1">IF(COUNTIFS($J$7:$J$510,Table7[[#Headers],[Renewables Regulation]],$C$7:$C$510,$L75)&gt;0,0,MROUND(IFERROR(Z75*($P75/$AI75),0),100))</f>
        <v>0</v>
      </c>
      <c r="AT75" s="1">
        <f ca="1">IF(COUNTIFS($J$7:$J$510,Table7[[#Headers],[Flexibility Market Intelligence]],$C$7:$C$510,$L75)&gt;0,0,MROUND(IFERROR(AA75*($P75/$AI75),0),100))</f>
        <v>19200</v>
      </c>
      <c r="AU75" s="1">
        <f ca="1">IF(COUNTIFS($J$7:$J$510,Table7[[#Headers],[Flexibility RTM Analysis]],$C$7:$C$510,$L75)&gt;0,0,MROUND(IFERROR(AB75*($P75/$AI75),0),100))</f>
        <v>6800</v>
      </c>
      <c r="AV75" s="1">
        <f ca="1">IF(COUNTIFS($J$7:$J$510,Table7[[#Headers],[Flexibility Forecasts]],$C$7:$C$510,$L75)&gt;0,0,MROUND(IFERROR(AC75*($P75/$AI75),0),100))</f>
        <v>28000</v>
      </c>
      <c r="AW75" s="1">
        <f ca="1">IF(COUNTIFS($J$7:$J$510,Table7[[#Headers],[Flexibility Regulation]],$C$7:$C$510,$L75)&gt;0,0,MROUND(IFERROR(AD75*($P75/$AI75),0),100))</f>
        <v>0</v>
      </c>
      <c r="AX75" s="1">
        <f ca="1">IF(COUNTIFS($J$7:$J$510,Table7[[#Headers],[Business Energy Essentials]],$C$7:$C$510,$L75)&gt;0,0,MROUND(IFERROR(AE75*($P75/$AI75),0),100))</f>
        <v>0</v>
      </c>
      <c r="AY75" s="1">
        <f ca="1">IF(COUNTIFS($J$7:$J$510,Table7[[#Headers],[Energy User RTM Analysis]],$C$7:$C$510,$L75)&gt;0,0,MROUND(IFERROR(AF75*($P75/$AI75),0),100))</f>
        <v>0</v>
      </c>
      <c r="AZ75" s="1">
        <f ca="1">IF(COUNTIFS($J$7:$J$510,Table7[[#Headers],[Energy User Forecasts]],$C$7:$C$510,$L75)&gt;0,0,MROUND(IFERROR(AG75*($P75/$AI75),0),100))</f>
        <v>0</v>
      </c>
      <c r="BA75" s="1">
        <f ca="1">IF(COUNTIFS($J$7:$J$510,Table7[[#Headers],[Energy User Regulation]],$C$7:$C$510,$L75)&gt;0,0,MROUND(IFERROR(AH75*($P75/$AI75),0),100))</f>
        <v>0</v>
      </c>
    </row>
    <row r="76" spans="2:53">
      <c r="B76" s="38" t="s">
        <v>2103</v>
      </c>
      <c r="C76" s="38" t="s">
        <v>67</v>
      </c>
      <c r="D76" s="38" t="s">
        <v>2038</v>
      </c>
      <c r="E76" s="38" t="s">
        <v>1838</v>
      </c>
      <c r="F76" s="63">
        <v>6299.9999999999991</v>
      </c>
      <c r="G76" s="38"/>
      <c r="H76" s="38" t="s">
        <v>2031</v>
      </c>
      <c r="I76" s="38" t="s">
        <v>1702</v>
      </c>
      <c r="J76" s="38" t="s">
        <v>27</v>
      </c>
      <c r="L76" s="1" t="str">
        <v>Equinix UK Ltd</v>
      </c>
      <c r="M76" s="1" t="str">
        <f t="shared" ref="M76:M139" si="7">INDEX($H$7:$H$510,MATCH(L76,$C$7:$C$510))</f>
        <v>Energy User</v>
      </c>
      <c r="N76" s="109">
        <f t="shared" ref="N76:N139" si="8">SUMIF(C72:C575,L76,F72:F575)</f>
        <v>14050</v>
      </c>
      <c r="O76" s="1">
        <f>IFERROR(IF(INDEX(Table3[[Total Spend]:[Total Spend]],MATCH(L76,Table3[[Company name]:[Company name]],0))&gt;N76,INDEX(Table3[[Total Spend]:[Total Spend]],MATCH(L76,Table3[[Company name]:[Company name]])),N76),50000)</f>
        <v>250000</v>
      </c>
      <c r="P76" s="109">
        <f t="shared" ref="P76:P139" si="9">IF(O76&gt;N76,O76-N76,N76)</f>
        <v>235950</v>
      </c>
      <c r="Q76" s="103">
        <f t="shared" ref="Q76:Q139" si="10">IF(IFERROR(N76/O76,0)&gt;1,1,IFERROR(N76/O76,0))</f>
        <v>5.62E-2</v>
      </c>
      <c r="R76" s="1">
        <f ca="1">IFERROR(INDEX(INDIRECT("Table3[Column"&amp;R$9&amp;"]"),MATCH($L76,Table3[[Company name]:[Company name]],0)),0)</f>
        <v>0</v>
      </c>
      <c r="S76" s="1">
        <f ca="1">IFERROR(INDEX(INDIRECT("Table3[Column"&amp;S$9&amp;"]"),MATCH($L76,Table3[[Company name]:[Company name]],0)),0)</f>
        <v>0</v>
      </c>
      <c r="T76" s="1">
        <f ca="1">IFERROR(INDEX(INDIRECT("Table3[Column"&amp;T$9&amp;"]"),MATCH($L76,Table3[[Company name]:[Company name]],0)),0)</f>
        <v>0</v>
      </c>
      <c r="U76" s="1">
        <f ca="1">IFERROR(INDEX(INDIRECT("Table3[Column"&amp;U$9&amp;"]"),MATCH($L76,Table3[[Company name]:[Company name]],0)),0)</f>
        <v>0</v>
      </c>
      <c r="V76" s="1">
        <f ca="1">IFERROR(INDEX(INDIRECT("Table3[Column"&amp;V$9&amp;"]"),MATCH($L76,Table3[[Company name]:[Company name]],0)),0)</f>
        <v>0</v>
      </c>
      <c r="W76" s="1">
        <f ca="1">IFERROR(INDEX(INDIRECT("Table3[Column"&amp;W$9&amp;"]"),MATCH($L76,Table3[[Company name]:[Company name]],0)),0)</f>
        <v>0</v>
      </c>
      <c r="X76" s="1">
        <f ca="1">IFERROR(INDEX(INDIRECT("Table3[Column"&amp;X$9&amp;"]"),MATCH($L76,Table3[[Company name]:[Company name]],0)),0)</f>
        <v>0</v>
      </c>
      <c r="Y76" s="1">
        <f ca="1">IFERROR(INDEX(INDIRECT("Table3[Column"&amp;Y$9&amp;"]"),MATCH($L76,Table3[[Company name]:[Company name]],0)),0)</f>
        <v>0</v>
      </c>
      <c r="Z76" s="1">
        <f ca="1">IFERROR(INDEX(INDIRECT("Table3[Column"&amp;Z$9&amp;"]"),MATCH($L76,Table3[[Company name]:[Company name]],0)),0)</f>
        <v>0</v>
      </c>
      <c r="AA76" s="1">
        <f ca="1">IFERROR(INDEX(INDIRECT("Table3[Column"&amp;AA$9&amp;"]"),MATCH($L76,Table3[[Company name]:[Company name]],0)),0)</f>
        <v>0</v>
      </c>
      <c r="AB76" s="1">
        <f ca="1">IFERROR(INDEX(INDIRECT("Table3[Column"&amp;AB$9&amp;"]"),MATCH($L76,Table3[[Company name]:[Company name]],0)),0)</f>
        <v>0</v>
      </c>
      <c r="AC76" s="1">
        <f ca="1">IFERROR(INDEX(INDIRECT("Table3[Column"&amp;AC$9&amp;"]"),MATCH($L76,Table3[[Company name]:[Company name]],0)),0)</f>
        <v>0</v>
      </c>
      <c r="AD76" s="1">
        <f ca="1">IFERROR(INDEX(INDIRECT("Table3[Column"&amp;AD$9&amp;"]"),MATCH($L76,Table3[[Company name]:[Company name]],0)),0)</f>
        <v>0</v>
      </c>
      <c r="AE76" s="1">
        <f ca="1">IFERROR(INDEX(INDIRECT("Table3[Column"&amp;AE$9&amp;"]"),MATCH($L76,Table3[[Company name]:[Company name]],0)),0)</f>
        <v>15300</v>
      </c>
      <c r="AF76" s="1">
        <f ca="1">IFERROR(INDEX(INDIRECT("Table3[Column"&amp;AF$9&amp;"]"),MATCH($L76,Table3[[Company name]:[Company name]],0)),0)</f>
        <v>15750</v>
      </c>
      <c r="AG76" s="1">
        <f ca="1">IFERROR(INDEX(INDIRECT("Table3[Column"&amp;AG$9&amp;"]"),MATCH($L76,Table3[[Company name]:[Company name]],0)),0)</f>
        <v>27000</v>
      </c>
      <c r="AH76" s="1">
        <f ca="1">IFERROR(INDEX(INDIRECT("Table3[Column"&amp;AH$9&amp;"]"),MATCH($L76,Table3[[Company name]:[Company name]],0)),0)</f>
        <v>6300</v>
      </c>
      <c r="AI76" s="1">
        <f t="shared" ref="AI76:AI139" ca="1" si="11">SUM(R76:AH76)</f>
        <v>64350</v>
      </c>
      <c r="AK76" s="1">
        <f ca="1">IF(COUNTIFS($J$7:$J$510,Table7[[#Headers],[Industry Essentials]],$C$7:$C$510,$L76)&gt;0,0,MROUND(R76,100))</f>
        <v>0</v>
      </c>
      <c r="AL76" s="1">
        <f ca="1">IF(COUNTIFS($J$7:$J$510,Table7[[#Headers],[Energy Supply Market Intelligence]],$C$7:$C$510,$L76)&gt;0,0,MROUND(IFERROR(S76*($P76/$AI76),0),100))</f>
        <v>0</v>
      </c>
      <c r="AM76" s="1">
        <f ca="1">IF(COUNTIFS($J$7:$J$510,Table7[[#Headers],[Energy Supply RTM Analysis]],$C$7:$C$510,$L76)&gt;0,0,MROUND(IFERROR(T76*($P76/$AI76),0),100))</f>
        <v>0</v>
      </c>
      <c r="AN76" s="1">
        <f ca="1">IF(COUNTIFS($J$7:$J$510,Table7[[#Headers],[Energy Supply Forecasts]],$C$7:$C$510,$L76)&gt;0,0,MROUND(IFERROR(U76*($P76/$AI76),0),100))</f>
        <v>0</v>
      </c>
      <c r="AO76" s="1">
        <f ca="1">IF(COUNTIFS($J$7:$J$510,Table7[[#Headers],[Energy Supply Regulation]],$C$7:$C$510,$L76)&gt;0,0,MROUND(IFERROR(V76*($P76/$AI76),0),100))</f>
        <v>0</v>
      </c>
      <c r="AP76" s="1">
        <f ca="1">IF(COUNTIFS($J$7:$J$510,Table7[[#Headers],[Renewables Market Intelligence]],$C$7:$C$510,$L76)&gt;0,0,MROUND(IFERROR(W76*($P76/$AI76),0),100))</f>
        <v>0</v>
      </c>
      <c r="AQ76" s="1">
        <f ca="1">IF(COUNTIFS($J$7:$J$510,Table7[[#Headers],[Renewables RTM Analysis]],$C$7:$C$510,$L76)&gt;0,0,MROUND(IFERROR(X76*($P76/$AI76),0),100))</f>
        <v>0</v>
      </c>
      <c r="AR76" s="1">
        <f ca="1">IF(COUNTIFS($J$7:$J$510,Table7[[#Headers],[Renewables Forecasts]],$C$7:$C$510,$L76)&gt;0,0,MROUND(IFERROR(Y76*($P76/$AI76),0),100))</f>
        <v>0</v>
      </c>
      <c r="AS76" s="1">
        <f ca="1">IF(COUNTIFS($J$7:$J$510,Table7[[#Headers],[Renewables Regulation]],$C$7:$C$510,$L76)&gt;0,0,MROUND(IFERROR(Z76*($P76/$AI76),0),100))</f>
        <v>0</v>
      </c>
      <c r="AT76" s="1">
        <f ca="1">IF(COUNTIFS($J$7:$J$510,Table7[[#Headers],[Flexibility Market Intelligence]],$C$7:$C$510,$L76)&gt;0,0,MROUND(IFERROR(AA76*($P76/$AI76),0),100))</f>
        <v>0</v>
      </c>
      <c r="AU76" s="1">
        <f ca="1">IF(COUNTIFS($J$7:$J$510,Table7[[#Headers],[Flexibility RTM Analysis]],$C$7:$C$510,$L76)&gt;0,0,MROUND(IFERROR(AB76*($P76/$AI76),0),100))</f>
        <v>0</v>
      </c>
      <c r="AV76" s="1">
        <f ca="1">IF(COUNTIFS($J$7:$J$510,Table7[[#Headers],[Flexibility Forecasts]],$C$7:$C$510,$L76)&gt;0,0,MROUND(IFERROR(AC76*($P76/$AI76),0),100))</f>
        <v>0</v>
      </c>
      <c r="AW76" s="1">
        <f ca="1">IF(COUNTIFS($J$7:$J$510,Table7[[#Headers],[Flexibility Regulation]],$C$7:$C$510,$L76)&gt;0,0,MROUND(IFERROR(AD76*($P76/$AI76),0),100))</f>
        <v>0</v>
      </c>
      <c r="AX76" s="1">
        <f ca="1">IF(COUNTIFS($J$7:$J$510,Table7[[#Headers],[Business Energy Essentials]],$C$7:$C$510,$L76)&gt;0,0,MROUND(IFERROR(AE76*($P76/$AI76),0),100))</f>
        <v>56100</v>
      </c>
      <c r="AY76" s="1">
        <f ca="1">IF(COUNTIFS($J$7:$J$510,Table7[[#Headers],[Energy User RTM Analysis]],$C$7:$C$510,$L76)&gt;0,0,MROUND(IFERROR(AF76*($P76/$AI76),0),100))</f>
        <v>57800</v>
      </c>
      <c r="AZ76" s="1">
        <f>IF(COUNTIFS($J$7:$J$510,Table7[[#Headers],[Energy User Forecasts]],$C$7:$C$510,$L76)&gt;0,0,MROUND(IFERROR(AG76*($P76/$AI76),0),100))</f>
        <v>0</v>
      </c>
      <c r="BA76" s="1">
        <f ca="1">IF(COUNTIFS($J$7:$J$510,Table7[[#Headers],[Energy User Regulation]],$C$7:$C$510,$L76)&gt;0,0,MROUND(IFERROR(AH76*($P76/$AI76),0),100))</f>
        <v>23100</v>
      </c>
    </row>
    <row r="77" spans="2:53">
      <c r="B77" s="38" t="s">
        <v>2104</v>
      </c>
      <c r="C77" s="38" t="s">
        <v>955</v>
      </c>
      <c r="D77" s="38" t="s">
        <v>2070</v>
      </c>
      <c r="E77" s="38" t="s">
        <v>1813</v>
      </c>
      <c r="F77" s="63">
        <v>7300</v>
      </c>
      <c r="G77" s="38"/>
      <c r="H77" s="38" t="s">
        <v>2031</v>
      </c>
      <c r="I77" s="38" t="s">
        <v>2031</v>
      </c>
      <c r="J77" s="38" t="s">
        <v>21</v>
      </c>
      <c r="L77" s="1" t="str">
        <v>Equinor UK Limited</v>
      </c>
      <c r="M77" s="1" t="str">
        <f t="shared" si="7"/>
        <v>Renewables</v>
      </c>
      <c r="N77" s="109">
        <f t="shared" si="8"/>
        <v>53700</v>
      </c>
      <c r="O77" s="1">
        <f>IFERROR(IF(INDEX(Table3[[Total Spend]:[Total Spend]],MATCH(L77,Table3[[Company name]:[Company name]],0))&gt;N77,INDEX(Table3[[Total Spend]:[Total Spend]],MATCH(L77,Table3[[Company name]:[Company name]])),N77),50000)</f>
        <v>250000</v>
      </c>
      <c r="P77" s="109">
        <f t="shared" si="9"/>
        <v>196300</v>
      </c>
      <c r="Q77" s="103">
        <f t="shared" si="10"/>
        <v>0.21479999999999999</v>
      </c>
      <c r="R77" s="1">
        <f ca="1">IFERROR(INDEX(INDIRECT("Table3[Column"&amp;R$9&amp;"]"),MATCH($L77,Table3[[Company name]:[Company name]],0)),0)</f>
        <v>10800</v>
      </c>
      <c r="S77" s="1">
        <f ca="1">IFERROR(INDEX(INDIRECT("Table3[Column"&amp;S$9&amp;"]"),MATCH($L77,Table3[[Company name]:[Company name]],0)),0)</f>
        <v>43200</v>
      </c>
      <c r="T77" s="1">
        <f ca="1">IFERROR(INDEX(INDIRECT("Table3[Column"&amp;T$9&amp;"]"),MATCH($L77,Table3[[Company name]:[Company name]],0)),0)</f>
        <v>73800</v>
      </c>
      <c r="U77" s="1">
        <f ca="1">IFERROR(INDEX(INDIRECT("Table3[Column"&amp;U$9&amp;"]"),MATCH($L77,Table3[[Company name]:[Company name]],0)),0)</f>
        <v>48600</v>
      </c>
      <c r="V77" s="1">
        <f ca="1">IFERROR(INDEX(INDIRECT("Table3[Column"&amp;V$9&amp;"]"),MATCH($L77,Table3[[Company name]:[Company name]],0)),0)</f>
        <v>55800</v>
      </c>
      <c r="W77" s="1">
        <f ca="1">IFERROR(INDEX(INDIRECT("Table3[Column"&amp;W$9&amp;"]"),MATCH($L77,Table3[[Company name]:[Company name]],0)),0)</f>
        <v>23400</v>
      </c>
      <c r="X77" s="1">
        <f ca="1">IFERROR(INDEX(INDIRECT("Table3[Column"&amp;X$9&amp;"]"),MATCH($L77,Table3[[Company name]:[Company name]],0)),0)</f>
        <v>20700</v>
      </c>
      <c r="Y77" s="1">
        <f ca="1">IFERROR(INDEX(INDIRECT("Table3[Column"&amp;Y$9&amp;"]"),MATCH($L77,Table3[[Company name]:[Company name]],0)),0)</f>
        <v>59400</v>
      </c>
      <c r="Z77" s="1">
        <f ca="1">IFERROR(INDEX(INDIRECT("Table3[Column"&amp;Z$9&amp;"]"),MATCH($L77,Table3[[Company name]:[Company name]],0)),0)</f>
        <v>26100</v>
      </c>
      <c r="AA77" s="1">
        <f ca="1">IFERROR(INDEX(INDIRECT("Table3[Column"&amp;AA$9&amp;"]"),MATCH($L77,Table3[[Company name]:[Company name]],0)),0)</f>
        <v>29700</v>
      </c>
      <c r="AB77" s="1">
        <f ca="1">IFERROR(INDEX(INDIRECT("Table3[Column"&amp;AB$9&amp;"]"),MATCH($L77,Table3[[Company name]:[Company name]],0)),0)</f>
        <v>10800</v>
      </c>
      <c r="AC77" s="1">
        <f ca="1">IFERROR(INDEX(INDIRECT("Table3[Column"&amp;AC$9&amp;"]"),MATCH($L77,Table3[[Company name]:[Company name]],0)),0)</f>
        <v>44100</v>
      </c>
      <c r="AD77" s="1">
        <f ca="1">IFERROR(INDEX(INDIRECT("Table3[Column"&amp;AD$9&amp;"]"),MATCH($L77,Table3[[Company name]:[Company name]],0)),0)</f>
        <v>36000</v>
      </c>
      <c r="AE77" s="1">
        <f ca="1">IFERROR(INDEX(INDIRECT("Table3[Column"&amp;AE$9&amp;"]"),MATCH($L77,Table3[[Company name]:[Company name]],0)),0)</f>
        <v>0</v>
      </c>
      <c r="AF77" s="1">
        <f ca="1">IFERROR(INDEX(INDIRECT("Table3[Column"&amp;AF$9&amp;"]"),MATCH($L77,Table3[[Company name]:[Company name]],0)),0)</f>
        <v>0</v>
      </c>
      <c r="AG77" s="1">
        <f ca="1">IFERROR(INDEX(INDIRECT("Table3[Column"&amp;AG$9&amp;"]"),MATCH($L77,Table3[[Company name]:[Company name]],0)),0)</f>
        <v>0</v>
      </c>
      <c r="AH77" s="1">
        <f ca="1">IFERROR(INDEX(INDIRECT("Table3[Column"&amp;AH$9&amp;"]"),MATCH($L77,Table3[[Company name]:[Company name]],0)),0)</f>
        <v>0</v>
      </c>
      <c r="AI77" s="1">
        <f t="shared" ca="1" si="11"/>
        <v>482400</v>
      </c>
      <c r="AK77" s="1">
        <f>IF(COUNTIFS($J$7:$J$510,Table7[[#Headers],[Industry Essentials]],$C$7:$C$510,$L77)&gt;0,0,MROUND(R77,100))</f>
        <v>0</v>
      </c>
      <c r="AL77" s="1">
        <f ca="1">IF(COUNTIFS($J$7:$J$510,Table7[[#Headers],[Energy Supply Market Intelligence]],$C$7:$C$510,$L77)&gt;0,0,MROUND(IFERROR(S77*($P77/$AI77),0),100))</f>
        <v>17600</v>
      </c>
      <c r="AM77" s="1">
        <f ca="1">IF(COUNTIFS($J$7:$J$510,Table7[[#Headers],[Energy Supply RTM Analysis]],$C$7:$C$510,$L77)&gt;0,0,MROUND(IFERROR(T77*($P77/$AI77),0),100))</f>
        <v>30000</v>
      </c>
      <c r="AN77" s="1">
        <f ca="1">IF(COUNTIFS($J$7:$J$510,Table7[[#Headers],[Energy Supply Forecasts]],$C$7:$C$510,$L77)&gt;0,0,MROUND(IFERROR(U77*($P77/$AI77),0),100))</f>
        <v>19800</v>
      </c>
      <c r="AO77" s="1">
        <f ca="1">IF(COUNTIFS($J$7:$J$510,Table7[[#Headers],[Energy Supply Regulation]],$C$7:$C$510,$L77)&gt;0,0,MROUND(IFERROR(V77*($P77/$AI77),0),100))</f>
        <v>22700</v>
      </c>
      <c r="AP77" s="1">
        <f>IF(COUNTIFS($J$7:$J$510,Table7[[#Headers],[Renewables Market Intelligence]],$C$7:$C$510,$L77)&gt;0,0,MROUND(IFERROR(W77*($P77/$AI77),0),100))</f>
        <v>0</v>
      </c>
      <c r="AQ77" s="1">
        <f ca="1">IF(COUNTIFS($J$7:$J$510,Table7[[#Headers],[Renewables RTM Analysis]],$C$7:$C$510,$L77)&gt;0,0,MROUND(IFERROR(X77*($P77/$AI77),0),100))</f>
        <v>8400</v>
      </c>
      <c r="AR77" s="1">
        <f ca="1">IF(COUNTIFS($J$7:$J$510,Table7[[#Headers],[Renewables Forecasts]],$C$7:$C$510,$L77)&gt;0,0,MROUND(IFERROR(Y77*($P77/$AI77),0),100))</f>
        <v>24200</v>
      </c>
      <c r="AS77" s="1">
        <f>IF(COUNTIFS($J$7:$J$510,Table7[[#Headers],[Renewables Regulation]],$C$7:$C$510,$L77)&gt;0,0,MROUND(IFERROR(Z77*($P77/$AI77),0),100))</f>
        <v>0</v>
      </c>
      <c r="AT77" s="1">
        <f ca="1">IF(COUNTIFS($J$7:$J$510,Table7[[#Headers],[Flexibility Market Intelligence]],$C$7:$C$510,$L77)&gt;0,0,MROUND(IFERROR(AA77*($P77/$AI77),0),100))</f>
        <v>12100</v>
      </c>
      <c r="AU77" s="1">
        <f ca="1">IF(COUNTIFS($J$7:$J$510,Table7[[#Headers],[Flexibility RTM Analysis]],$C$7:$C$510,$L77)&gt;0,0,MROUND(IFERROR(AB77*($P77/$AI77),0),100))</f>
        <v>4400</v>
      </c>
      <c r="AV77" s="1">
        <f ca="1">IF(COUNTIFS($J$7:$J$510,Table7[[#Headers],[Flexibility Forecasts]],$C$7:$C$510,$L77)&gt;0,0,MROUND(IFERROR(AC77*($P77/$AI77),0),100))</f>
        <v>17900</v>
      </c>
      <c r="AW77" s="1">
        <f ca="1">IF(COUNTIFS($J$7:$J$510,Table7[[#Headers],[Flexibility Regulation]],$C$7:$C$510,$L77)&gt;0,0,MROUND(IFERROR(AD77*($P77/$AI77),0),100))</f>
        <v>14600</v>
      </c>
      <c r="AX77" s="1">
        <f ca="1">IF(COUNTIFS($J$7:$J$510,Table7[[#Headers],[Business Energy Essentials]],$C$7:$C$510,$L77)&gt;0,0,MROUND(IFERROR(AE77*($P77/$AI77),0),100))</f>
        <v>0</v>
      </c>
      <c r="AY77" s="1">
        <f ca="1">IF(COUNTIFS($J$7:$J$510,Table7[[#Headers],[Energy User RTM Analysis]],$C$7:$C$510,$L77)&gt;0,0,MROUND(IFERROR(AF77*($P77/$AI77),0),100))</f>
        <v>0</v>
      </c>
      <c r="AZ77" s="1">
        <f ca="1">IF(COUNTIFS($J$7:$J$510,Table7[[#Headers],[Energy User Forecasts]],$C$7:$C$510,$L77)&gt;0,0,MROUND(IFERROR(AG77*($P77/$AI77),0),100))</f>
        <v>0</v>
      </c>
      <c r="BA77" s="1">
        <f ca="1">IF(COUNTIFS($J$7:$J$510,Table7[[#Headers],[Energy User Regulation]],$C$7:$C$510,$L77)&gt;0,0,MROUND(IFERROR(AH77*($P77/$AI77),0),100))</f>
        <v>0</v>
      </c>
    </row>
    <row r="78" spans="2:53">
      <c r="B78" s="38" t="s">
        <v>2104</v>
      </c>
      <c r="C78" s="38" t="s">
        <v>955</v>
      </c>
      <c r="D78" s="38" t="s">
        <v>2048</v>
      </c>
      <c r="E78" s="38" t="s">
        <v>2049</v>
      </c>
      <c r="F78" s="63">
        <v>5958</v>
      </c>
      <c r="G78" s="38"/>
      <c r="H78" s="38" t="s">
        <v>2031</v>
      </c>
      <c r="I78" s="38" t="s">
        <v>2032</v>
      </c>
      <c r="J78" s="38" t="s">
        <v>20</v>
      </c>
      <c r="L78" s="1" t="str">
        <v>Equitix Limited</v>
      </c>
      <c r="M78" s="1" t="str">
        <f t="shared" si="7"/>
        <v>Renewables</v>
      </c>
      <c r="N78" s="109">
        <f t="shared" si="8"/>
        <v>10500</v>
      </c>
      <c r="O78" s="1">
        <f>IFERROR(IF(INDEX(Table3[[Total Spend]:[Total Spend]],MATCH(L78,Table3[[Company name]:[Company name]],0))&gt;N78,INDEX(Table3[[Total Spend]:[Total Spend]],MATCH(L78,Table3[[Company name]:[Company name]])),N78),50000)</f>
        <v>250000</v>
      </c>
      <c r="P78" s="109">
        <f t="shared" si="9"/>
        <v>239500</v>
      </c>
      <c r="Q78" s="103">
        <f t="shared" si="10"/>
        <v>4.2000000000000003E-2</v>
      </c>
      <c r="R78" s="1">
        <f ca="1">IFERROR(INDEX(INDIRECT("Table3[Column"&amp;R$9&amp;"]"),MATCH($L78,Table3[[Company name]:[Company name]],0)),0)</f>
        <v>10800</v>
      </c>
      <c r="S78" s="1">
        <f ca="1">IFERROR(INDEX(INDIRECT("Table3[Column"&amp;S$9&amp;"]"),MATCH($L78,Table3[[Company name]:[Company name]],0)),0)</f>
        <v>0</v>
      </c>
      <c r="T78" s="1">
        <f ca="1">IFERROR(INDEX(INDIRECT("Table3[Column"&amp;T$9&amp;"]"),MATCH($L78,Table3[[Company name]:[Company name]],0)),0)</f>
        <v>0</v>
      </c>
      <c r="U78" s="1">
        <f ca="1">IFERROR(INDEX(INDIRECT("Table3[Column"&amp;U$9&amp;"]"),MATCH($L78,Table3[[Company name]:[Company name]],0)),0)</f>
        <v>0</v>
      </c>
      <c r="V78" s="1">
        <f ca="1">IFERROR(INDEX(INDIRECT("Table3[Column"&amp;V$9&amp;"]"),MATCH($L78,Table3[[Company name]:[Company name]],0)),0)</f>
        <v>0</v>
      </c>
      <c r="W78" s="1">
        <f ca="1">IFERROR(INDEX(INDIRECT("Table3[Column"&amp;W$9&amp;"]"),MATCH($L78,Table3[[Company name]:[Company name]],0)),0)</f>
        <v>23400</v>
      </c>
      <c r="X78" s="1">
        <f ca="1">IFERROR(INDEX(INDIRECT("Table3[Column"&amp;X$9&amp;"]"),MATCH($L78,Table3[[Company name]:[Company name]],0)),0)</f>
        <v>20700</v>
      </c>
      <c r="Y78" s="1">
        <f ca="1">IFERROR(INDEX(INDIRECT("Table3[Column"&amp;Y$9&amp;"]"),MATCH($L78,Table3[[Company name]:[Company name]],0)),0)</f>
        <v>59400</v>
      </c>
      <c r="Z78" s="1">
        <f ca="1">IFERROR(INDEX(INDIRECT("Table3[Column"&amp;Z$9&amp;"]"),MATCH($L78,Table3[[Company name]:[Company name]],0)),0)</f>
        <v>26100</v>
      </c>
      <c r="AA78" s="1">
        <f ca="1">IFERROR(INDEX(INDIRECT("Table3[Column"&amp;AA$9&amp;"]"),MATCH($L78,Table3[[Company name]:[Company name]],0)),0)</f>
        <v>29700</v>
      </c>
      <c r="AB78" s="1">
        <f ca="1">IFERROR(INDEX(INDIRECT("Table3[Column"&amp;AB$9&amp;"]"),MATCH($L78,Table3[[Company name]:[Company name]],0)),0)</f>
        <v>10800</v>
      </c>
      <c r="AC78" s="1">
        <f ca="1">IFERROR(INDEX(INDIRECT("Table3[Column"&amp;AC$9&amp;"]"),MATCH($L78,Table3[[Company name]:[Company name]],0)),0)</f>
        <v>44100</v>
      </c>
      <c r="AD78" s="1">
        <f ca="1">IFERROR(INDEX(INDIRECT("Table3[Column"&amp;AD$9&amp;"]"),MATCH($L78,Table3[[Company name]:[Company name]],0)),0)</f>
        <v>36000</v>
      </c>
      <c r="AE78" s="1">
        <f ca="1">IFERROR(INDEX(INDIRECT("Table3[Column"&amp;AE$9&amp;"]"),MATCH($L78,Table3[[Company name]:[Company name]],0)),0)</f>
        <v>0</v>
      </c>
      <c r="AF78" s="1">
        <f ca="1">IFERROR(INDEX(INDIRECT("Table3[Column"&amp;AF$9&amp;"]"),MATCH($L78,Table3[[Company name]:[Company name]],0)),0)</f>
        <v>0</v>
      </c>
      <c r="AG78" s="1">
        <f ca="1">IFERROR(INDEX(INDIRECT("Table3[Column"&amp;AG$9&amp;"]"),MATCH($L78,Table3[[Company name]:[Company name]],0)),0)</f>
        <v>0</v>
      </c>
      <c r="AH78" s="1">
        <f ca="1">IFERROR(INDEX(INDIRECT("Table3[Column"&amp;AH$9&amp;"]"),MATCH($L78,Table3[[Company name]:[Company name]],0)),0)</f>
        <v>0</v>
      </c>
      <c r="AI78" s="1">
        <f t="shared" ca="1" si="11"/>
        <v>261000</v>
      </c>
      <c r="AK78" s="1">
        <f ca="1">IF(COUNTIFS($J$7:$J$510,Table7[[#Headers],[Industry Essentials]],$C$7:$C$510,$L78)&gt;0,0,MROUND(R78,100))</f>
        <v>10800</v>
      </c>
      <c r="AL78" s="1">
        <f ca="1">IF(COUNTIFS($J$7:$J$510,Table7[[#Headers],[Energy Supply Market Intelligence]],$C$7:$C$510,$L78)&gt;0,0,MROUND(IFERROR(S78*($P78/$AI78),0),100))</f>
        <v>0</v>
      </c>
      <c r="AM78" s="1">
        <f ca="1">IF(COUNTIFS($J$7:$J$510,Table7[[#Headers],[Energy Supply RTM Analysis]],$C$7:$C$510,$L78)&gt;0,0,MROUND(IFERROR(T78*($P78/$AI78),0),100))</f>
        <v>0</v>
      </c>
      <c r="AN78" s="1">
        <f ca="1">IF(COUNTIFS($J$7:$J$510,Table7[[#Headers],[Energy Supply Forecasts]],$C$7:$C$510,$L78)&gt;0,0,MROUND(IFERROR(U78*($P78/$AI78),0),100))</f>
        <v>0</v>
      </c>
      <c r="AO78" s="1">
        <f ca="1">IF(COUNTIFS($J$7:$J$510,Table7[[#Headers],[Energy Supply Regulation]],$C$7:$C$510,$L78)&gt;0,0,MROUND(IFERROR(V78*($P78/$AI78),0),100))</f>
        <v>0</v>
      </c>
      <c r="AP78" s="1">
        <f>IF(COUNTIFS($J$7:$J$510,Table7[[#Headers],[Renewables Market Intelligence]],$C$7:$C$510,$L78)&gt;0,0,MROUND(IFERROR(W78*($P78/$AI78),0),100))</f>
        <v>0</v>
      </c>
      <c r="AQ78" s="1">
        <f ca="1">IF(COUNTIFS($J$7:$J$510,Table7[[#Headers],[Renewables RTM Analysis]],$C$7:$C$510,$L78)&gt;0,0,MROUND(IFERROR(X78*($P78/$AI78),0),100))</f>
        <v>19000</v>
      </c>
      <c r="AR78" s="1">
        <f ca="1">IF(COUNTIFS($J$7:$J$510,Table7[[#Headers],[Renewables Forecasts]],$C$7:$C$510,$L78)&gt;0,0,MROUND(IFERROR(Y78*($P78/$AI78),0),100))</f>
        <v>54500</v>
      </c>
      <c r="AS78" s="1">
        <f ca="1">IF(COUNTIFS($J$7:$J$510,Table7[[#Headers],[Renewables Regulation]],$C$7:$C$510,$L78)&gt;0,0,MROUND(IFERROR(Z78*($P78/$AI78),0),100))</f>
        <v>24000</v>
      </c>
      <c r="AT78" s="1">
        <f ca="1">IF(COUNTIFS($J$7:$J$510,Table7[[#Headers],[Flexibility Market Intelligence]],$C$7:$C$510,$L78)&gt;0,0,MROUND(IFERROR(AA78*($P78/$AI78),0),100))</f>
        <v>27300</v>
      </c>
      <c r="AU78" s="1">
        <f ca="1">IF(COUNTIFS($J$7:$J$510,Table7[[#Headers],[Flexibility RTM Analysis]],$C$7:$C$510,$L78)&gt;0,0,MROUND(IFERROR(AB78*($P78/$AI78),0),100))</f>
        <v>9900</v>
      </c>
      <c r="AV78" s="1">
        <f ca="1">IF(COUNTIFS($J$7:$J$510,Table7[[#Headers],[Flexibility Forecasts]],$C$7:$C$510,$L78)&gt;0,0,MROUND(IFERROR(AC78*($P78/$AI78),0),100))</f>
        <v>40500</v>
      </c>
      <c r="AW78" s="1">
        <f ca="1">IF(COUNTIFS($J$7:$J$510,Table7[[#Headers],[Flexibility Regulation]],$C$7:$C$510,$L78)&gt;0,0,MROUND(IFERROR(AD78*($P78/$AI78),0),100))</f>
        <v>33000</v>
      </c>
      <c r="AX78" s="1">
        <f ca="1">IF(COUNTIFS($J$7:$J$510,Table7[[#Headers],[Business Energy Essentials]],$C$7:$C$510,$L78)&gt;0,0,MROUND(IFERROR(AE78*($P78/$AI78),0),100))</f>
        <v>0</v>
      </c>
      <c r="AY78" s="1">
        <f ca="1">IF(COUNTIFS($J$7:$J$510,Table7[[#Headers],[Energy User RTM Analysis]],$C$7:$C$510,$L78)&gt;0,0,MROUND(IFERROR(AF78*($P78/$AI78),0),100))</f>
        <v>0</v>
      </c>
      <c r="AZ78" s="1">
        <f ca="1">IF(COUNTIFS($J$7:$J$510,Table7[[#Headers],[Energy User Forecasts]],$C$7:$C$510,$L78)&gt;0,0,MROUND(IFERROR(AG78*($P78/$AI78),0),100))</f>
        <v>0</v>
      </c>
      <c r="BA78" s="1">
        <f ca="1">IF(COUNTIFS($J$7:$J$510,Table7[[#Headers],[Energy User Regulation]],$C$7:$C$510,$L78)&gt;0,0,MROUND(IFERROR(AH78*($P78/$AI78),0),100))</f>
        <v>0</v>
      </c>
    </row>
    <row r="79" spans="2:53">
      <c r="B79" s="38" t="s">
        <v>2104</v>
      </c>
      <c r="C79" s="38" t="s">
        <v>955</v>
      </c>
      <c r="D79" s="38" t="s">
        <v>2105</v>
      </c>
      <c r="E79" s="38" t="s">
        <v>1913</v>
      </c>
      <c r="F79" s="63">
        <v>26350</v>
      </c>
      <c r="G79" s="38"/>
      <c r="H79" s="38" t="s">
        <v>2031</v>
      </c>
      <c r="I79" s="38" t="s">
        <v>2031</v>
      </c>
      <c r="J79" s="38" t="s">
        <v>24</v>
      </c>
      <c r="L79" s="1" t="str">
        <v>ERG S.p.A</v>
      </c>
      <c r="M79" s="1" t="str">
        <f t="shared" si="7"/>
        <v>Renewables</v>
      </c>
      <c r="N79" s="109">
        <f t="shared" si="8"/>
        <v>12970</v>
      </c>
      <c r="O79" s="1">
        <f>IFERROR(IF(INDEX(Table3[[Total Spend]:[Total Spend]],MATCH(L79,Table3[[Company name]:[Company name]],0))&gt;N79,INDEX(Table3[[Total Spend]:[Total Spend]],MATCH(L79,Table3[[Company name]:[Company name]])),N79),50000)</f>
        <v>250000</v>
      </c>
      <c r="P79" s="109">
        <f t="shared" si="9"/>
        <v>237030</v>
      </c>
      <c r="Q79" s="103">
        <f t="shared" si="10"/>
        <v>5.1880000000000003E-2</v>
      </c>
      <c r="R79" s="1">
        <f ca="1">IFERROR(INDEX(INDIRECT("Table3[Column"&amp;R$9&amp;"]"),MATCH($L79,Table3[[Company name]:[Company name]],0)),0)</f>
        <v>8100</v>
      </c>
      <c r="S79" s="1">
        <f ca="1">IFERROR(INDEX(INDIRECT("Table3[Column"&amp;S$9&amp;"]"),MATCH($L79,Table3[[Company name]:[Company name]],0)),0)</f>
        <v>0</v>
      </c>
      <c r="T79" s="1">
        <f ca="1">IFERROR(INDEX(INDIRECT("Table3[Column"&amp;T$9&amp;"]"),MATCH($L79,Table3[[Company name]:[Company name]],0)),0)</f>
        <v>0</v>
      </c>
      <c r="U79" s="1">
        <f ca="1">IFERROR(INDEX(INDIRECT("Table3[Column"&amp;U$9&amp;"]"),MATCH($L79,Table3[[Company name]:[Company name]],0)),0)</f>
        <v>0</v>
      </c>
      <c r="V79" s="1">
        <f ca="1">IFERROR(INDEX(INDIRECT("Table3[Column"&amp;V$9&amp;"]"),MATCH($L79,Table3[[Company name]:[Company name]],0)),0)</f>
        <v>0</v>
      </c>
      <c r="W79" s="1">
        <f ca="1">IFERROR(INDEX(INDIRECT("Table3[Column"&amp;W$9&amp;"]"),MATCH($L79,Table3[[Company name]:[Company name]],0)),0)</f>
        <v>17100</v>
      </c>
      <c r="X79" s="1">
        <f ca="1">IFERROR(INDEX(INDIRECT("Table3[Column"&amp;X$9&amp;"]"),MATCH($L79,Table3[[Company name]:[Company name]],0)),0)</f>
        <v>15300</v>
      </c>
      <c r="Y79" s="1">
        <f ca="1">IFERROR(INDEX(INDIRECT("Table3[Column"&amp;Y$9&amp;"]"),MATCH($L79,Table3[[Company name]:[Company name]],0)),0)</f>
        <v>42300</v>
      </c>
      <c r="Z79" s="1">
        <f ca="1">IFERROR(INDEX(INDIRECT("Table3[Column"&amp;Z$9&amp;"]"),MATCH($L79,Table3[[Company name]:[Company name]],0)),0)</f>
        <v>18900</v>
      </c>
      <c r="AA79" s="1">
        <f ca="1">IFERROR(INDEX(INDIRECT("Table3[Column"&amp;AA$9&amp;"]"),MATCH($L79,Table3[[Company name]:[Company name]],0)),0)</f>
        <v>0</v>
      </c>
      <c r="AB79" s="1">
        <f ca="1">IFERROR(INDEX(INDIRECT("Table3[Column"&amp;AB$9&amp;"]"),MATCH($L79,Table3[[Company name]:[Company name]],0)),0)</f>
        <v>0</v>
      </c>
      <c r="AC79" s="1">
        <f ca="1">IFERROR(INDEX(INDIRECT("Table3[Column"&amp;AC$9&amp;"]"),MATCH($L79,Table3[[Company name]:[Company name]],0)),0)</f>
        <v>0</v>
      </c>
      <c r="AD79" s="1">
        <f ca="1">IFERROR(INDEX(INDIRECT("Table3[Column"&amp;AD$9&amp;"]"),MATCH($L79,Table3[[Company name]:[Company name]],0)),0)</f>
        <v>0</v>
      </c>
      <c r="AE79" s="1">
        <f ca="1">IFERROR(INDEX(INDIRECT("Table3[Column"&amp;AE$9&amp;"]"),MATCH($L79,Table3[[Company name]:[Company name]],0)),0)</f>
        <v>0</v>
      </c>
      <c r="AF79" s="1">
        <f ca="1">IFERROR(INDEX(INDIRECT("Table3[Column"&amp;AF$9&amp;"]"),MATCH($L79,Table3[[Company name]:[Company name]],0)),0)</f>
        <v>0</v>
      </c>
      <c r="AG79" s="1">
        <f ca="1">IFERROR(INDEX(INDIRECT("Table3[Column"&amp;AG$9&amp;"]"),MATCH($L79,Table3[[Company name]:[Company name]],0)),0)</f>
        <v>0</v>
      </c>
      <c r="AH79" s="1">
        <f ca="1">IFERROR(INDEX(INDIRECT("Table3[Column"&amp;AH$9&amp;"]"),MATCH($L79,Table3[[Company name]:[Company name]],0)),0)</f>
        <v>0</v>
      </c>
      <c r="AI79" s="1">
        <f t="shared" ca="1" si="11"/>
        <v>101700</v>
      </c>
      <c r="AK79" s="1">
        <f>IF(COUNTIFS($J$7:$J$510,Table7[[#Headers],[Industry Essentials]],$C$7:$C$510,$L79)&gt;0,0,MROUND(R79,100))</f>
        <v>0</v>
      </c>
      <c r="AL79" s="1">
        <f ca="1">IF(COUNTIFS($J$7:$J$510,Table7[[#Headers],[Energy Supply Market Intelligence]],$C$7:$C$510,$L79)&gt;0,0,MROUND(IFERROR(S79*($P79/$AI79),0),100))</f>
        <v>0</v>
      </c>
      <c r="AM79" s="1">
        <f ca="1">IF(COUNTIFS($J$7:$J$510,Table7[[#Headers],[Energy Supply RTM Analysis]],$C$7:$C$510,$L79)&gt;0,0,MROUND(IFERROR(T79*($P79/$AI79),0),100))</f>
        <v>0</v>
      </c>
      <c r="AN79" s="1">
        <f ca="1">IF(COUNTIFS($J$7:$J$510,Table7[[#Headers],[Energy Supply Forecasts]],$C$7:$C$510,$L79)&gt;0,0,MROUND(IFERROR(U79*($P79/$AI79),0),100))</f>
        <v>0</v>
      </c>
      <c r="AO79" s="1">
        <f ca="1">IF(COUNTIFS($J$7:$J$510,Table7[[#Headers],[Energy Supply Regulation]],$C$7:$C$510,$L79)&gt;0,0,MROUND(IFERROR(V79*($P79/$AI79),0),100))</f>
        <v>0</v>
      </c>
      <c r="AP79" s="1">
        <f>IF(COUNTIFS($J$7:$J$510,Table7[[#Headers],[Renewables Market Intelligence]],$C$7:$C$510,$L79)&gt;0,0,MROUND(IFERROR(W79*($P79/$AI79),0),100))</f>
        <v>0</v>
      </c>
      <c r="AQ79" s="1">
        <f ca="1">IF(COUNTIFS($J$7:$J$510,Table7[[#Headers],[Renewables RTM Analysis]],$C$7:$C$510,$L79)&gt;0,0,MROUND(IFERROR(X79*($P79/$AI79),0),100))</f>
        <v>35700</v>
      </c>
      <c r="AR79" s="1">
        <f ca="1">IF(COUNTIFS($J$7:$J$510,Table7[[#Headers],[Renewables Forecasts]],$C$7:$C$510,$L79)&gt;0,0,MROUND(IFERROR(Y79*($P79/$AI79),0),100))</f>
        <v>98600</v>
      </c>
      <c r="AS79" s="1">
        <f ca="1">IF(COUNTIFS($J$7:$J$510,Table7[[#Headers],[Renewables Regulation]],$C$7:$C$510,$L79)&gt;0,0,MROUND(IFERROR(Z79*($P79/$AI79),0),100))</f>
        <v>44000</v>
      </c>
      <c r="AT79" s="1">
        <f ca="1">IF(COUNTIFS($J$7:$J$510,Table7[[#Headers],[Flexibility Market Intelligence]],$C$7:$C$510,$L79)&gt;0,0,MROUND(IFERROR(AA79*($P79/$AI79),0),100))</f>
        <v>0</v>
      </c>
      <c r="AU79" s="1">
        <f ca="1">IF(COUNTIFS($J$7:$J$510,Table7[[#Headers],[Flexibility RTM Analysis]],$C$7:$C$510,$L79)&gt;0,0,MROUND(IFERROR(AB79*($P79/$AI79),0),100))</f>
        <v>0</v>
      </c>
      <c r="AV79" s="1">
        <f ca="1">IF(COUNTIFS($J$7:$J$510,Table7[[#Headers],[Flexibility Forecasts]],$C$7:$C$510,$L79)&gt;0,0,MROUND(IFERROR(AC79*($P79/$AI79),0),100))</f>
        <v>0</v>
      </c>
      <c r="AW79" s="1">
        <f ca="1">IF(COUNTIFS($J$7:$J$510,Table7[[#Headers],[Flexibility Regulation]],$C$7:$C$510,$L79)&gt;0,0,MROUND(IFERROR(AD79*($P79/$AI79),0),100))</f>
        <v>0</v>
      </c>
      <c r="AX79" s="1">
        <f ca="1">IF(COUNTIFS($J$7:$J$510,Table7[[#Headers],[Business Energy Essentials]],$C$7:$C$510,$L79)&gt;0,0,MROUND(IFERROR(AE79*($P79/$AI79),0),100))</f>
        <v>0</v>
      </c>
      <c r="AY79" s="1">
        <f ca="1">IF(COUNTIFS($J$7:$J$510,Table7[[#Headers],[Energy User RTM Analysis]],$C$7:$C$510,$L79)&gt;0,0,MROUND(IFERROR(AF79*($P79/$AI79),0),100))</f>
        <v>0</v>
      </c>
      <c r="AZ79" s="1">
        <f ca="1">IF(COUNTIFS($J$7:$J$510,Table7[[#Headers],[Energy User Forecasts]],$C$7:$C$510,$L79)&gt;0,0,MROUND(IFERROR(AG79*($P79/$AI79),0),100))</f>
        <v>0</v>
      </c>
      <c r="BA79" s="1">
        <f ca="1">IF(COUNTIFS($J$7:$J$510,Table7[[#Headers],[Energy User Regulation]],$C$7:$C$510,$L79)&gt;0,0,MROUND(IFERROR(AH79*($P79/$AI79),0),100))</f>
        <v>0</v>
      </c>
    </row>
    <row r="80" spans="2:53">
      <c r="B80" s="38" t="s">
        <v>2106</v>
      </c>
      <c r="C80" s="38" t="s">
        <v>95</v>
      </c>
      <c r="D80" s="38" t="s">
        <v>2069</v>
      </c>
      <c r="E80" s="38" t="s">
        <v>1889</v>
      </c>
      <c r="F80" s="63">
        <v>12500</v>
      </c>
      <c r="G80" s="38"/>
      <c r="H80" s="38" t="s">
        <v>2031</v>
      </c>
      <c r="I80" s="38" t="s">
        <v>2031</v>
      </c>
      <c r="J80" s="38" t="s">
        <v>21</v>
      </c>
      <c r="L80" s="1" t="str">
        <v>Ernst and Young</v>
      </c>
      <c r="M80" s="1" t="str">
        <f t="shared" si="7"/>
        <v>Other</v>
      </c>
      <c r="N80" s="109">
        <f t="shared" si="8"/>
        <v>32000</v>
      </c>
      <c r="O80" s="1">
        <f>IFERROR(IF(INDEX(Table3[[Total Spend]:[Total Spend]],MATCH(L80,Table3[[Company name]:[Company name]],0))&gt;N80,INDEX(Table3[[Total Spend]:[Total Spend]],MATCH(L80,Table3[[Company name]:[Company name]])),N80),50000)</f>
        <v>32000</v>
      </c>
      <c r="P80" s="109">
        <f t="shared" si="9"/>
        <v>32000</v>
      </c>
      <c r="Q80" s="103">
        <f t="shared" si="10"/>
        <v>1</v>
      </c>
      <c r="R80" s="1">
        <f ca="1">IFERROR(INDEX(INDIRECT("Table3[Column"&amp;R$9&amp;"]"),MATCH($L80,Table3[[Company name]:[Company name]],0)),0)</f>
        <v>10800</v>
      </c>
      <c r="S80" s="1">
        <f ca="1">IFERROR(INDEX(INDIRECT("Table3[Column"&amp;S$9&amp;"]"),MATCH($L80,Table3[[Company name]:[Company name]],0)),0)</f>
        <v>0</v>
      </c>
      <c r="T80" s="1">
        <f ca="1">IFERROR(INDEX(INDIRECT("Table3[Column"&amp;T$9&amp;"]"),MATCH($L80,Table3[[Company name]:[Company name]],0)),0)</f>
        <v>0</v>
      </c>
      <c r="U80" s="1">
        <f ca="1">IFERROR(INDEX(INDIRECT("Table3[Column"&amp;U$9&amp;"]"),MATCH($L80,Table3[[Company name]:[Company name]],0)),0)</f>
        <v>0</v>
      </c>
      <c r="V80" s="1">
        <f ca="1">IFERROR(INDEX(INDIRECT("Table3[Column"&amp;V$9&amp;"]"),MATCH($L80,Table3[[Company name]:[Company name]],0)),0)</f>
        <v>0</v>
      </c>
      <c r="W80" s="1">
        <f ca="1">IFERROR(INDEX(INDIRECT("Table3[Column"&amp;W$9&amp;"]"),MATCH($L80,Table3[[Company name]:[Company name]],0)),0)</f>
        <v>0</v>
      </c>
      <c r="X80" s="1">
        <f ca="1">IFERROR(INDEX(INDIRECT("Table3[Column"&amp;X$9&amp;"]"),MATCH($L80,Table3[[Company name]:[Company name]],0)),0)</f>
        <v>0</v>
      </c>
      <c r="Y80" s="1">
        <f ca="1">IFERROR(INDEX(INDIRECT("Table3[Column"&amp;Y$9&amp;"]"),MATCH($L80,Table3[[Company name]:[Company name]],0)),0)</f>
        <v>0</v>
      </c>
      <c r="Z80" s="1">
        <f ca="1">IFERROR(INDEX(INDIRECT("Table3[Column"&amp;Z$9&amp;"]"),MATCH($L80,Table3[[Company name]:[Company name]],0)),0)</f>
        <v>0</v>
      </c>
      <c r="AA80" s="1">
        <f ca="1">IFERROR(INDEX(INDIRECT("Table3[Column"&amp;AA$9&amp;"]"),MATCH($L80,Table3[[Company name]:[Company name]],0)),0)</f>
        <v>0</v>
      </c>
      <c r="AB80" s="1">
        <f ca="1">IFERROR(INDEX(INDIRECT("Table3[Column"&amp;AB$9&amp;"]"),MATCH($L80,Table3[[Company name]:[Company name]],0)),0)</f>
        <v>0</v>
      </c>
      <c r="AC80" s="1">
        <f ca="1">IFERROR(INDEX(INDIRECT("Table3[Column"&amp;AC$9&amp;"]"),MATCH($L80,Table3[[Company name]:[Company name]],0)),0)</f>
        <v>0</v>
      </c>
      <c r="AD80" s="1">
        <f ca="1">IFERROR(INDEX(INDIRECT("Table3[Column"&amp;AD$9&amp;"]"),MATCH($L80,Table3[[Company name]:[Company name]],0)),0)</f>
        <v>0</v>
      </c>
      <c r="AE80" s="1">
        <f ca="1">IFERROR(INDEX(INDIRECT("Table3[Column"&amp;AE$9&amp;"]"),MATCH($L80,Table3[[Company name]:[Company name]],0)),0)</f>
        <v>0</v>
      </c>
      <c r="AF80" s="1">
        <f ca="1">IFERROR(INDEX(INDIRECT("Table3[Column"&amp;AF$9&amp;"]"),MATCH($L80,Table3[[Company name]:[Company name]],0)),0)</f>
        <v>0</v>
      </c>
      <c r="AG80" s="1">
        <f ca="1">IFERROR(INDEX(INDIRECT("Table3[Column"&amp;AG$9&amp;"]"),MATCH($L80,Table3[[Company name]:[Company name]],0)),0)</f>
        <v>0</v>
      </c>
      <c r="AH80" s="1">
        <f ca="1">IFERROR(INDEX(INDIRECT("Table3[Column"&amp;AH$9&amp;"]"),MATCH($L80,Table3[[Company name]:[Company name]],0)),0)</f>
        <v>0</v>
      </c>
      <c r="AI80" s="1">
        <f t="shared" ca="1" si="11"/>
        <v>10800</v>
      </c>
      <c r="AK80" s="1">
        <f>IF(COUNTIFS($J$7:$J$510,Table7[[#Headers],[Industry Essentials]],$C$7:$C$510,$L80)&gt;0,0,MROUND(R80,100))</f>
        <v>0</v>
      </c>
      <c r="AL80" s="1">
        <f ca="1">IF(COUNTIFS($J$7:$J$510,Table7[[#Headers],[Energy Supply Market Intelligence]],$C$7:$C$510,$L80)&gt;0,0,MROUND(IFERROR(S80*($P80/$AI80),0),100))</f>
        <v>0</v>
      </c>
      <c r="AM80" s="1">
        <f>IF(COUNTIFS($J$7:$J$510,Table7[[#Headers],[Energy Supply RTM Analysis]],$C$7:$C$510,$L80)&gt;0,0,MROUND(IFERROR(T80*($P80/$AI80),0),100))</f>
        <v>0</v>
      </c>
      <c r="AN80" s="1">
        <f ca="1">IF(COUNTIFS($J$7:$J$510,Table7[[#Headers],[Energy Supply Forecasts]],$C$7:$C$510,$L80)&gt;0,0,MROUND(IFERROR(U80*($P80/$AI80),0),100))</f>
        <v>0</v>
      </c>
      <c r="AO80" s="1">
        <f ca="1">IF(COUNTIFS($J$7:$J$510,Table7[[#Headers],[Energy Supply Regulation]],$C$7:$C$510,$L80)&gt;0,0,MROUND(IFERROR(V80*($P80/$AI80),0),100))</f>
        <v>0</v>
      </c>
      <c r="AP80" s="1">
        <f ca="1">IF(COUNTIFS($J$7:$J$510,Table7[[#Headers],[Renewables Market Intelligence]],$C$7:$C$510,$L80)&gt;0,0,MROUND(IFERROR(W80*($P80/$AI80),0),100))</f>
        <v>0</v>
      </c>
      <c r="AQ80" s="1">
        <f ca="1">IF(COUNTIFS($J$7:$J$510,Table7[[#Headers],[Renewables RTM Analysis]],$C$7:$C$510,$L80)&gt;0,0,MROUND(IFERROR(X80*($P80/$AI80),0),100))</f>
        <v>0</v>
      </c>
      <c r="AR80" s="1">
        <f ca="1">IF(COUNTIFS($J$7:$J$510,Table7[[#Headers],[Renewables Forecasts]],$C$7:$C$510,$L80)&gt;0,0,MROUND(IFERROR(Y80*($P80/$AI80),0),100))</f>
        <v>0</v>
      </c>
      <c r="AS80" s="1">
        <f ca="1">IF(COUNTIFS($J$7:$J$510,Table7[[#Headers],[Renewables Regulation]],$C$7:$C$510,$L80)&gt;0,0,MROUND(IFERROR(Z80*($P80/$AI80),0),100))</f>
        <v>0</v>
      </c>
      <c r="AT80" s="1">
        <f ca="1">IF(COUNTIFS($J$7:$J$510,Table7[[#Headers],[Flexibility Market Intelligence]],$C$7:$C$510,$L80)&gt;0,0,MROUND(IFERROR(AA80*($P80/$AI80),0),100))</f>
        <v>0</v>
      </c>
      <c r="AU80" s="1">
        <f ca="1">IF(COUNTIFS($J$7:$J$510,Table7[[#Headers],[Flexibility RTM Analysis]],$C$7:$C$510,$L80)&gt;0,0,MROUND(IFERROR(AB80*($P80/$AI80),0),100))</f>
        <v>0</v>
      </c>
      <c r="AV80" s="1">
        <f ca="1">IF(COUNTIFS($J$7:$J$510,Table7[[#Headers],[Flexibility Forecasts]],$C$7:$C$510,$L80)&gt;0,0,MROUND(IFERROR(AC80*($P80/$AI80),0),100))</f>
        <v>0</v>
      </c>
      <c r="AW80" s="1">
        <f ca="1">IF(COUNTIFS($J$7:$J$510,Table7[[#Headers],[Flexibility Regulation]],$C$7:$C$510,$L80)&gt;0,0,MROUND(IFERROR(AD80*($P80/$AI80),0),100))</f>
        <v>0</v>
      </c>
      <c r="AX80" s="1">
        <f ca="1">IF(COUNTIFS($J$7:$J$510,Table7[[#Headers],[Business Energy Essentials]],$C$7:$C$510,$L80)&gt;0,0,MROUND(IFERROR(AE80*($P80/$AI80),0),100))</f>
        <v>0</v>
      </c>
      <c r="AY80" s="1">
        <f ca="1">IF(COUNTIFS($J$7:$J$510,Table7[[#Headers],[Energy User RTM Analysis]],$C$7:$C$510,$L80)&gt;0,0,MROUND(IFERROR(AF80*($P80/$AI80),0),100))</f>
        <v>0</v>
      </c>
      <c r="AZ80" s="1">
        <f ca="1">IF(COUNTIFS($J$7:$J$510,Table7[[#Headers],[Energy User Forecasts]],$C$7:$C$510,$L80)&gt;0,0,MROUND(IFERROR(AG80*($P80/$AI80),0),100))</f>
        <v>0</v>
      </c>
      <c r="BA80" s="1">
        <f ca="1">IF(COUNTIFS($J$7:$J$510,Table7[[#Headers],[Energy User Regulation]],$C$7:$C$510,$L80)&gt;0,0,MROUND(IFERROR(AH80*($P80/$AI80),0),100))</f>
        <v>0</v>
      </c>
    </row>
    <row r="81" spans="2:53">
      <c r="B81" s="38" t="s">
        <v>2106</v>
      </c>
      <c r="C81" s="38" t="s">
        <v>95</v>
      </c>
      <c r="D81" s="38" t="s">
        <v>2040</v>
      </c>
      <c r="E81" s="38" t="s">
        <v>1799</v>
      </c>
      <c r="F81" s="63">
        <v>12500</v>
      </c>
      <c r="G81" s="38"/>
      <c r="H81" s="38" t="s">
        <v>2031</v>
      </c>
      <c r="I81" s="38" t="s">
        <v>2032</v>
      </c>
      <c r="J81" s="38" t="s">
        <v>20</v>
      </c>
      <c r="L81" s="1" t="str">
        <v>Erova Energy Limited</v>
      </c>
      <c r="M81" s="1" t="str">
        <f t="shared" si="7"/>
        <v>Supply</v>
      </c>
      <c r="N81" s="109">
        <f t="shared" si="8"/>
        <v>4650.76</v>
      </c>
      <c r="O81" s="1">
        <f>IFERROR(IF(INDEX(Table3[[Total Spend]:[Total Spend]],MATCH(L81,Table3[[Company name]:[Company name]],0))&gt;N81,INDEX(Table3[[Total Spend]:[Total Spend]],MATCH(L81,Table3[[Company name]:[Company name]])),N81),50000)</f>
        <v>250000</v>
      </c>
      <c r="P81" s="109">
        <f t="shared" si="9"/>
        <v>245349.24</v>
      </c>
      <c r="Q81" s="103">
        <f t="shared" si="10"/>
        <v>1.8603040000000001E-2</v>
      </c>
      <c r="R81" s="1">
        <f ca="1">IFERROR(INDEX(INDIRECT("Table3[Column"&amp;R$9&amp;"]"),MATCH($L81,Table3[[Company name]:[Company name]],0)),0)</f>
        <v>8100</v>
      </c>
      <c r="S81" s="1">
        <f ca="1">IFERROR(INDEX(INDIRECT("Table3[Column"&amp;S$9&amp;"]"),MATCH($L81,Table3[[Company name]:[Company name]],0)),0)</f>
        <v>0</v>
      </c>
      <c r="T81" s="1">
        <f ca="1">IFERROR(INDEX(INDIRECT("Table3[Column"&amp;T$9&amp;"]"),MATCH($L81,Table3[[Company name]:[Company name]],0)),0)</f>
        <v>53100</v>
      </c>
      <c r="U81" s="1">
        <f ca="1">IFERROR(INDEX(INDIRECT("Table3[Column"&amp;U$9&amp;"]"),MATCH($L81,Table3[[Company name]:[Company name]],0)),0)</f>
        <v>0</v>
      </c>
      <c r="V81" s="1">
        <f ca="1">IFERROR(INDEX(INDIRECT("Table3[Column"&amp;V$9&amp;"]"),MATCH($L81,Table3[[Company name]:[Company name]],0)),0)</f>
        <v>0</v>
      </c>
      <c r="W81" s="1">
        <f ca="1">IFERROR(INDEX(INDIRECT("Table3[Column"&amp;W$9&amp;"]"),MATCH($L81,Table3[[Company name]:[Company name]],0)),0)</f>
        <v>0</v>
      </c>
      <c r="X81" s="1">
        <f ca="1">IFERROR(INDEX(INDIRECT("Table3[Column"&amp;X$9&amp;"]"),MATCH($L81,Table3[[Company name]:[Company name]],0)),0)</f>
        <v>15300</v>
      </c>
      <c r="Y81" s="1">
        <f ca="1">IFERROR(INDEX(INDIRECT("Table3[Column"&amp;Y$9&amp;"]"),MATCH($L81,Table3[[Company name]:[Company name]],0)),0)</f>
        <v>0</v>
      </c>
      <c r="Z81" s="1">
        <f ca="1">IFERROR(INDEX(INDIRECT("Table3[Column"&amp;Z$9&amp;"]"),MATCH($L81,Table3[[Company name]:[Company name]],0)),0)</f>
        <v>0</v>
      </c>
      <c r="AA81" s="1">
        <f ca="1">IFERROR(INDEX(INDIRECT("Table3[Column"&amp;AA$9&amp;"]"),MATCH($L81,Table3[[Company name]:[Company name]],0)),0)</f>
        <v>21600</v>
      </c>
      <c r="AB81" s="1">
        <f ca="1">IFERROR(INDEX(INDIRECT("Table3[Column"&amp;AB$9&amp;"]"),MATCH($L81,Table3[[Company name]:[Company name]],0)),0)</f>
        <v>7650</v>
      </c>
      <c r="AC81" s="1">
        <f ca="1">IFERROR(INDEX(INDIRECT("Table3[Column"&amp;AC$9&amp;"]"),MATCH($L81,Table3[[Company name]:[Company name]],0)),0)</f>
        <v>31500</v>
      </c>
      <c r="AD81" s="1">
        <f ca="1">IFERROR(INDEX(INDIRECT("Table3[Column"&amp;AD$9&amp;"]"),MATCH($L81,Table3[[Company name]:[Company name]],0)),0)</f>
        <v>0</v>
      </c>
      <c r="AE81" s="1">
        <f ca="1">IFERROR(INDEX(INDIRECT("Table3[Column"&amp;AE$9&amp;"]"),MATCH($L81,Table3[[Company name]:[Company name]],0)),0)</f>
        <v>0</v>
      </c>
      <c r="AF81" s="1">
        <f ca="1">IFERROR(INDEX(INDIRECT("Table3[Column"&amp;AF$9&amp;"]"),MATCH($L81,Table3[[Company name]:[Company name]],0)),0)</f>
        <v>0</v>
      </c>
      <c r="AG81" s="1">
        <f ca="1">IFERROR(INDEX(INDIRECT("Table3[Column"&amp;AG$9&amp;"]"),MATCH($L81,Table3[[Company name]:[Company name]],0)),0)</f>
        <v>0</v>
      </c>
      <c r="AH81" s="1">
        <f ca="1">IFERROR(INDEX(INDIRECT("Table3[Column"&amp;AH$9&amp;"]"),MATCH($L81,Table3[[Company name]:[Company name]],0)),0)</f>
        <v>0</v>
      </c>
      <c r="AI81" s="1">
        <f t="shared" ca="1" si="11"/>
        <v>137250</v>
      </c>
      <c r="AK81" s="1">
        <f>IF(COUNTIFS($J$7:$J$510,Table7[[#Headers],[Industry Essentials]],$C$7:$C$510,$L81)&gt;0,0,MROUND(R81,100))</f>
        <v>0</v>
      </c>
      <c r="AL81" s="1">
        <f ca="1">IF(COUNTIFS($J$7:$J$510,Table7[[#Headers],[Energy Supply Market Intelligence]],$C$7:$C$510,$L81)&gt;0,0,MROUND(IFERROR(S81*($P81/$AI81),0),100))</f>
        <v>0</v>
      </c>
      <c r="AM81" s="1">
        <f ca="1">IF(COUNTIFS($J$7:$J$510,Table7[[#Headers],[Energy Supply RTM Analysis]],$C$7:$C$510,$L81)&gt;0,0,MROUND(IFERROR(T81*($P81/$AI81),0),100))</f>
        <v>94900</v>
      </c>
      <c r="AN81" s="1">
        <f ca="1">IF(COUNTIFS($J$7:$J$510,Table7[[#Headers],[Energy Supply Forecasts]],$C$7:$C$510,$L81)&gt;0,0,MROUND(IFERROR(U81*($P81/$AI81),0),100))</f>
        <v>0</v>
      </c>
      <c r="AO81" s="1">
        <f ca="1">IF(COUNTIFS($J$7:$J$510,Table7[[#Headers],[Energy Supply Regulation]],$C$7:$C$510,$L81)&gt;0,0,MROUND(IFERROR(V81*($P81/$AI81),0),100))</f>
        <v>0</v>
      </c>
      <c r="AP81" s="1">
        <f ca="1">IF(COUNTIFS($J$7:$J$510,Table7[[#Headers],[Renewables Market Intelligence]],$C$7:$C$510,$L81)&gt;0,0,MROUND(IFERROR(W81*($P81/$AI81),0),100))</f>
        <v>0</v>
      </c>
      <c r="AQ81" s="1">
        <f ca="1">IF(COUNTIFS($J$7:$J$510,Table7[[#Headers],[Renewables RTM Analysis]],$C$7:$C$510,$L81)&gt;0,0,MROUND(IFERROR(X81*($P81/$AI81),0),100))</f>
        <v>27400</v>
      </c>
      <c r="AR81" s="1">
        <f ca="1">IF(COUNTIFS($J$7:$J$510,Table7[[#Headers],[Renewables Forecasts]],$C$7:$C$510,$L81)&gt;0,0,MROUND(IFERROR(Y81*($P81/$AI81),0),100))</f>
        <v>0</v>
      </c>
      <c r="AS81" s="1">
        <f ca="1">IF(COUNTIFS($J$7:$J$510,Table7[[#Headers],[Renewables Regulation]],$C$7:$C$510,$L81)&gt;0,0,MROUND(IFERROR(Z81*($P81/$AI81),0),100))</f>
        <v>0</v>
      </c>
      <c r="AT81" s="1">
        <f ca="1">IF(COUNTIFS($J$7:$J$510,Table7[[#Headers],[Flexibility Market Intelligence]],$C$7:$C$510,$L81)&gt;0,0,MROUND(IFERROR(AA81*($P81/$AI81),0),100))</f>
        <v>38600</v>
      </c>
      <c r="AU81" s="1">
        <f ca="1">IF(COUNTIFS($J$7:$J$510,Table7[[#Headers],[Flexibility RTM Analysis]],$C$7:$C$510,$L81)&gt;0,0,MROUND(IFERROR(AB81*($P81/$AI81),0),100))</f>
        <v>13700</v>
      </c>
      <c r="AV81" s="1">
        <f ca="1">IF(COUNTIFS($J$7:$J$510,Table7[[#Headers],[Flexibility Forecasts]],$C$7:$C$510,$L81)&gt;0,0,MROUND(IFERROR(AC81*($P81/$AI81),0),100))</f>
        <v>56300</v>
      </c>
      <c r="AW81" s="1">
        <f ca="1">IF(COUNTIFS($J$7:$J$510,Table7[[#Headers],[Flexibility Regulation]],$C$7:$C$510,$L81)&gt;0,0,MROUND(IFERROR(AD81*($P81/$AI81),0),100))</f>
        <v>0</v>
      </c>
      <c r="AX81" s="1">
        <f ca="1">IF(COUNTIFS($J$7:$J$510,Table7[[#Headers],[Business Energy Essentials]],$C$7:$C$510,$L81)&gt;0,0,MROUND(IFERROR(AE81*($P81/$AI81),0),100))</f>
        <v>0</v>
      </c>
      <c r="AY81" s="1">
        <f ca="1">IF(COUNTIFS($J$7:$J$510,Table7[[#Headers],[Energy User RTM Analysis]],$C$7:$C$510,$L81)&gt;0,0,MROUND(IFERROR(AF81*($P81/$AI81),0),100))</f>
        <v>0</v>
      </c>
      <c r="AZ81" s="1">
        <f ca="1">IF(COUNTIFS($J$7:$J$510,Table7[[#Headers],[Energy User Forecasts]],$C$7:$C$510,$L81)&gt;0,0,MROUND(IFERROR(AG81*($P81/$AI81),0),100))</f>
        <v>0</v>
      </c>
      <c r="BA81" s="1">
        <f ca="1">IF(COUNTIFS($J$7:$J$510,Table7[[#Headers],[Energy User Regulation]],$C$7:$C$510,$L81)&gt;0,0,MROUND(IFERROR(AH81*($P81/$AI81),0),100))</f>
        <v>0</v>
      </c>
    </row>
    <row r="82" spans="2:53">
      <c r="B82" s="38" t="s">
        <v>2106</v>
      </c>
      <c r="C82" s="38" t="s">
        <v>95</v>
      </c>
      <c r="D82" s="38" t="s">
        <v>2073</v>
      </c>
      <c r="E82" s="38" t="s">
        <v>2074</v>
      </c>
      <c r="F82" s="63">
        <v>12500</v>
      </c>
      <c r="G82" s="38"/>
      <c r="H82" s="38" t="s">
        <v>2031</v>
      </c>
      <c r="I82" s="38" t="s">
        <v>2031</v>
      </c>
      <c r="J82" s="38" t="s">
        <v>23</v>
      </c>
      <c r="L82" s="1" t="str">
        <v>Eurosite Power Limited</v>
      </c>
      <c r="M82" s="1" t="str">
        <f t="shared" si="7"/>
        <v>Energy User</v>
      </c>
      <c r="N82" s="109">
        <f t="shared" si="8"/>
        <v>21000</v>
      </c>
      <c r="O82" s="1">
        <f>IFERROR(IF(INDEX(Table3[[Total Spend]:[Total Spend]],MATCH(L82,Table3[[Company name]:[Company name]],0))&gt;N82,INDEX(Table3[[Total Spend]:[Total Spend]],MATCH(L82,Table3[[Company name]:[Company name]])),N82),50000)</f>
        <v>250000</v>
      </c>
      <c r="P82" s="109">
        <f t="shared" si="9"/>
        <v>229000</v>
      </c>
      <c r="Q82" s="103">
        <f t="shared" si="10"/>
        <v>8.4000000000000005E-2</v>
      </c>
      <c r="R82" s="1">
        <f ca="1">IFERROR(INDEX(INDIRECT("Table3[Column"&amp;R$9&amp;"]"),MATCH($L82,Table3[[Company name]:[Company name]],0)),0)</f>
        <v>8100</v>
      </c>
      <c r="S82" s="1">
        <f ca="1">IFERROR(INDEX(INDIRECT("Table3[Column"&amp;S$9&amp;"]"),MATCH($L82,Table3[[Company name]:[Company name]],0)),0)</f>
        <v>0</v>
      </c>
      <c r="T82" s="1">
        <f ca="1">IFERROR(INDEX(INDIRECT("Table3[Column"&amp;T$9&amp;"]"),MATCH($L82,Table3[[Company name]:[Company name]],0)),0)</f>
        <v>0</v>
      </c>
      <c r="U82" s="1">
        <f ca="1">IFERROR(INDEX(INDIRECT("Table3[Column"&amp;U$9&amp;"]"),MATCH($L82,Table3[[Company name]:[Company name]],0)),0)</f>
        <v>0</v>
      </c>
      <c r="V82" s="1">
        <f ca="1">IFERROR(INDEX(INDIRECT("Table3[Column"&amp;V$9&amp;"]"),MATCH($L82,Table3[[Company name]:[Company name]],0)),0)</f>
        <v>0</v>
      </c>
      <c r="W82" s="1">
        <f ca="1">IFERROR(INDEX(INDIRECT("Table3[Column"&amp;W$9&amp;"]"),MATCH($L82,Table3[[Company name]:[Company name]],0)),0)</f>
        <v>17100</v>
      </c>
      <c r="X82" s="1">
        <f ca="1">IFERROR(INDEX(INDIRECT("Table3[Column"&amp;X$9&amp;"]"),MATCH($L82,Table3[[Company name]:[Company name]],0)),0)</f>
        <v>0</v>
      </c>
      <c r="Y82" s="1">
        <f ca="1">IFERROR(INDEX(INDIRECT("Table3[Column"&amp;Y$9&amp;"]"),MATCH($L82,Table3[[Company name]:[Company name]],0)),0)</f>
        <v>42300</v>
      </c>
      <c r="Z82" s="1">
        <f ca="1">IFERROR(INDEX(INDIRECT("Table3[Column"&amp;Z$9&amp;"]"),MATCH($L82,Table3[[Company name]:[Company name]],0)),0)</f>
        <v>0</v>
      </c>
      <c r="AA82" s="1">
        <f ca="1">IFERROR(INDEX(INDIRECT("Table3[Column"&amp;AA$9&amp;"]"),MATCH($L82,Table3[[Company name]:[Company name]],0)),0)</f>
        <v>21600</v>
      </c>
      <c r="AB82" s="1">
        <f ca="1">IFERROR(INDEX(INDIRECT("Table3[Column"&amp;AB$9&amp;"]"),MATCH($L82,Table3[[Company name]:[Company name]],0)),0)</f>
        <v>0</v>
      </c>
      <c r="AC82" s="1">
        <f ca="1">IFERROR(INDEX(INDIRECT("Table3[Column"&amp;AC$9&amp;"]"),MATCH($L82,Table3[[Company name]:[Company name]],0)),0)</f>
        <v>31500</v>
      </c>
      <c r="AD82" s="1">
        <f ca="1">IFERROR(INDEX(INDIRECT("Table3[Column"&amp;AD$9&amp;"]"),MATCH($L82,Table3[[Company name]:[Company name]],0)),0)</f>
        <v>0</v>
      </c>
      <c r="AE82" s="1">
        <f ca="1">IFERROR(INDEX(INDIRECT("Table3[Column"&amp;AE$9&amp;"]"),MATCH($L82,Table3[[Company name]:[Company name]],0)),0)</f>
        <v>10800</v>
      </c>
      <c r="AF82" s="1">
        <f ca="1">IFERROR(INDEX(INDIRECT("Table3[Column"&amp;AF$9&amp;"]"),MATCH($L82,Table3[[Company name]:[Company name]],0)),0)</f>
        <v>11250</v>
      </c>
      <c r="AG82" s="1">
        <f ca="1">IFERROR(INDEX(INDIRECT("Table3[Column"&amp;AG$9&amp;"]"),MATCH($L82,Table3[[Company name]:[Company name]],0)),0)</f>
        <v>19800</v>
      </c>
      <c r="AH82" s="1">
        <f ca="1">IFERROR(INDEX(INDIRECT("Table3[Column"&amp;AH$9&amp;"]"),MATCH($L82,Table3[[Company name]:[Company name]],0)),0)</f>
        <v>4500</v>
      </c>
      <c r="AI82" s="1">
        <f t="shared" ca="1" si="11"/>
        <v>166950</v>
      </c>
      <c r="AK82" s="1">
        <f ca="1">IF(COUNTIFS($J$7:$J$510,Table7[[#Headers],[Industry Essentials]],$C$7:$C$510,$L82)&gt;0,0,MROUND(R82,100))</f>
        <v>8100</v>
      </c>
      <c r="AL82" s="1">
        <f ca="1">IF(COUNTIFS($J$7:$J$510,Table7[[#Headers],[Energy Supply Market Intelligence]],$C$7:$C$510,$L82)&gt;0,0,MROUND(IFERROR(S82*($P82/$AI82),0),100))</f>
        <v>0</v>
      </c>
      <c r="AM82" s="1">
        <f ca="1">IF(COUNTIFS($J$7:$J$510,Table7[[#Headers],[Energy Supply RTM Analysis]],$C$7:$C$510,$L82)&gt;0,0,MROUND(IFERROR(T82*($P82/$AI82),0),100))</f>
        <v>0</v>
      </c>
      <c r="AN82" s="1">
        <f ca="1">IF(COUNTIFS($J$7:$J$510,Table7[[#Headers],[Energy Supply Forecasts]],$C$7:$C$510,$L82)&gt;0,0,MROUND(IFERROR(U82*($P82/$AI82),0),100))</f>
        <v>0</v>
      </c>
      <c r="AO82" s="1">
        <f ca="1">IF(COUNTIFS($J$7:$J$510,Table7[[#Headers],[Energy Supply Regulation]],$C$7:$C$510,$L82)&gt;0,0,MROUND(IFERROR(V82*($P82/$AI82),0),100))</f>
        <v>0</v>
      </c>
      <c r="AP82" s="1">
        <f ca="1">IF(COUNTIFS($J$7:$J$510,Table7[[#Headers],[Renewables Market Intelligence]],$C$7:$C$510,$L82)&gt;0,0,MROUND(IFERROR(W82*($P82/$AI82),0),100))</f>
        <v>23500</v>
      </c>
      <c r="AQ82" s="1">
        <f ca="1">IF(COUNTIFS($J$7:$J$510,Table7[[#Headers],[Renewables RTM Analysis]],$C$7:$C$510,$L82)&gt;0,0,MROUND(IFERROR(X82*($P82/$AI82),0),100))</f>
        <v>0</v>
      </c>
      <c r="AR82" s="1">
        <f ca="1">IF(COUNTIFS($J$7:$J$510,Table7[[#Headers],[Renewables Forecasts]],$C$7:$C$510,$L82)&gt;0,0,MROUND(IFERROR(Y82*($P82/$AI82),0),100))</f>
        <v>58000</v>
      </c>
      <c r="AS82" s="1">
        <f ca="1">IF(COUNTIFS($J$7:$J$510,Table7[[#Headers],[Renewables Regulation]],$C$7:$C$510,$L82)&gt;0,0,MROUND(IFERROR(Z82*($P82/$AI82),0),100))</f>
        <v>0</v>
      </c>
      <c r="AT82" s="1">
        <f ca="1">IF(COUNTIFS($J$7:$J$510,Table7[[#Headers],[Flexibility Market Intelligence]],$C$7:$C$510,$L82)&gt;0,0,MROUND(IFERROR(AA82*($P82/$AI82),0),100))</f>
        <v>29600</v>
      </c>
      <c r="AU82" s="1">
        <f ca="1">IF(COUNTIFS($J$7:$J$510,Table7[[#Headers],[Flexibility RTM Analysis]],$C$7:$C$510,$L82)&gt;0,0,MROUND(IFERROR(AB82*($P82/$AI82),0),100))</f>
        <v>0</v>
      </c>
      <c r="AV82" s="1">
        <f ca="1">IF(COUNTIFS($J$7:$J$510,Table7[[#Headers],[Flexibility Forecasts]],$C$7:$C$510,$L82)&gt;0,0,MROUND(IFERROR(AC82*($P82/$AI82),0),100))</f>
        <v>43200</v>
      </c>
      <c r="AW82" s="1">
        <f ca="1">IF(COUNTIFS($J$7:$J$510,Table7[[#Headers],[Flexibility Regulation]],$C$7:$C$510,$L82)&gt;0,0,MROUND(IFERROR(AD82*($P82/$AI82),0),100))</f>
        <v>0</v>
      </c>
      <c r="AX82" s="1">
        <f ca="1">IF(COUNTIFS($J$7:$J$510,Table7[[#Headers],[Business Energy Essentials]],$C$7:$C$510,$L82)&gt;0,0,MROUND(IFERROR(AE82*($P82/$AI82),0),100))</f>
        <v>14800</v>
      </c>
      <c r="AY82" s="1">
        <f ca="1">IF(COUNTIFS($J$7:$J$510,Table7[[#Headers],[Energy User RTM Analysis]],$C$7:$C$510,$L82)&gt;0,0,MROUND(IFERROR(AF82*($P82/$AI82),0),100))</f>
        <v>15400</v>
      </c>
      <c r="AZ82" s="1">
        <f>IF(COUNTIFS($J$7:$J$510,Table7[[#Headers],[Energy User Forecasts]],$C$7:$C$510,$L82)&gt;0,0,MROUND(IFERROR(AG82*($P82/$AI82),0),100))</f>
        <v>0</v>
      </c>
      <c r="BA82" s="1">
        <f ca="1">IF(COUNTIFS($J$7:$J$510,Table7[[#Headers],[Energy User Regulation]],$C$7:$C$510,$L82)&gt;0,0,MROUND(IFERROR(AH82*($P82/$AI82),0),100))</f>
        <v>6200</v>
      </c>
    </row>
    <row r="83" spans="2:53">
      <c r="B83" s="38" t="s">
        <v>2106</v>
      </c>
      <c r="C83" s="38" t="s">
        <v>95</v>
      </c>
      <c r="D83" s="38" t="s">
        <v>2107</v>
      </c>
      <c r="E83" s="38" t="s">
        <v>1914</v>
      </c>
      <c r="F83" s="63">
        <v>13250</v>
      </c>
      <c r="G83" s="38"/>
      <c r="H83" s="38" t="s">
        <v>2031</v>
      </c>
      <c r="I83" s="38" t="s">
        <v>2031</v>
      </c>
      <c r="J83" s="38" t="s">
        <v>24</v>
      </c>
      <c r="L83" s="1" t="str">
        <v>FDF CCLA Ltd</v>
      </c>
      <c r="M83" s="1" t="str">
        <f t="shared" si="7"/>
        <v>Energy User</v>
      </c>
      <c r="N83" s="109">
        <f t="shared" si="8"/>
        <v>2000</v>
      </c>
      <c r="O83" s="1">
        <f>IFERROR(IF(INDEX(Table3[[Total Spend]:[Total Spend]],MATCH(L83,Table3[[Company name]:[Company name]],0))&gt;N83,INDEX(Table3[[Total Spend]:[Total Spend]],MATCH(L83,Table3[[Company name]:[Company name]])),N83),50000)</f>
        <v>50000</v>
      </c>
      <c r="P83" s="109">
        <f t="shared" si="9"/>
        <v>48000</v>
      </c>
      <c r="Q83" s="103">
        <f t="shared" si="10"/>
        <v>0.04</v>
      </c>
      <c r="R83" s="1">
        <f ca="1">IFERROR(INDEX(INDIRECT("Table3[Column"&amp;R$9&amp;"]"),MATCH($L83,Table3[[Company name]:[Company name]],0)),0)</f>
        <v>0</v>
      </c>
      <c r="S83" s="1">
        <f ca="1">IFERROR(INDEX(INDIRECT("Table3[Column"&amp;S$9&amp;"]"),MATCH($L83,Table3[[Company name]:[Company name]],0)),0)</f>
        <v>0</v>
      </c>
      <c r="T83" s="1">
        <f ca="1">IFERROR(INDEX(INDIRECT("Table3[Column"&amp;T$9&amp;"]"),MATCH($L83,Table3[[Company name]:[Company name]],0)),0)</f>
        <v>0</v>
      </c>
      <c r="U83" s="1">
        <f ca="1">IFERROR(INDEX(INDIRECT("Table3[Column"&amp;U$9&amp;"]"),MATCH($L83,Table3[[Company name]:[Company name]],0)),0)</f>
        <v>0</v>
      </c>
      <c r="V83" s="1">
        <f ca="1">IFERROR(INDEX(INDIRECT("Table3[Column"&amp;V$9&amp;"]"),MATCH($L83,Table3[[Company name]:[Company name]],0)),0)</f>
        <v>0</v>
      </c>
      <c r="W83" s="1">
        <f ca="1">IFERROR(INDEX(INDIRECT("Table3[Column"&amp;W$9&amp;"]"),MATCH($L83,Table3[[Company name]:[Company name]],0)),0)</f>
        <v>0</v>
      </c>
      <c r="X83" s="1">
        <f ca="1">IFERROR(INDEX(INDIRECT("Table3[Column"&amp;X$9&amp;"]"),MATCH($L83,Table3[[Company name]:[Company name]],0)),0)</f>
        <v>0</v>
      </c>
      <c r="Y83" s="1">
        <f ca="1">IFERROR(INDEX(INDIRECT("Table3[Column"&amp;Y$9&amp;"]"),MATCH($L83,Table3[[Company name]:[Company name]],0)),0)</f>
        <v>0</v>
      </c>
      <c r="Z83" s="1">
        <f ca="1">IFERROR(INDEX(INDIRECT("Table3[Column"&amp;Z$9&amp;"]"),MATCH($L83,Table3[[Company name]:[Company name]],0)),0)</f>
        <v>0</v>
      </c>
      <c r="AA83" s="1">
        <f ca="1">IFERROR(INDEX(INDIRECT("Table3[Column"&amp;AA$9&amp;"]"),MATCH($L83,Table3[[Company name]:[Company name]],0)),0)</f>
        <v>0</v>
      </c>
      <c r="AB83" s="1">
        <f ca="1">IFERROR(INDEX(INDIRECT("Table3[Column"&amp;AB$9&amp;"]"),MATCH($L83,Table3[[Company name]:[Company name]],0)),0)</f>
        <v>0</v>
      </c>
      <c r="AC83" s="1">
        <f ca="1">IFERROR(INDEX(INDIRECT("Table3[Column"&amp;AC$9&amp;"]"),MATCH($L83,Table3[[Company name]:[Company name]],0)),0)</f>
        <v>0</v>
      </c>
      <c r="AD83" s="1">
        <f ca="1">IFERROR(INDEX(INDIRECT("Table3[Column"&amp;AD$9&amp;"]"),MATCH($L83,Table3[[Company name]:[Company name]],0)),0)</f>
        <v>0</v>
      </c>
      <c r="AE83" s="1">
        <f ca="1">IFERROR(INDEX(INDIRECT("Table3[Column"&amp;AE$9&amp;"]"),MATCH($L83,Table3[[Company name]:[Company name]],0)),0)</f>
        <v>0</v>
      </c>
      <c r="AF83" s="1">
        <f ca="1">IFERROR(INDEX(INDIRECT("Table3[Column"&amp;AF$9&amp;"]"),MATCH($L83,Table3[[Company name]:[Company name]],0)),0)</f>
        <v>0</v>
      </c>
      <c r="AG83" s="1">
        <f ca="1">IFERROR(INDEX(INDIRECT("Table3[Column"&amp;AG$9&amp;"]"),MATCH($L83,Table3[[Company name]:[Company name]],0)),0)</f>
        <v>0</v>
      </c>
      <c r="AH83" s="1">
        <f ca="1">IFERROR(INDEX(INDIRECT("Table3[Column"&amp;AH$9&amp;"]"),MATCH($L83,Table3[[Company name]:[Company name]],0)),0)</f>
        <v>0</v>
      </c>
      <c r="AI83" s="1">
        <f t="shared" ca="1" si="11"/>
        <v>0</v>
      </c>
      <c r="AK83" s="1">
        <f>IF(COUNTIFS($J$7:$J$510,Table7[[#Headers],[Industry Essentials]],$C$7:$C$510,$L83)&gt;0,0,MROUND(R83,100))</f>
        <v>0</v>
      </c>
      <c r="AL83" s="1">
        <f ca="1">IF(COUNTIFS($J$7:$J$510,Table7[[#Headers],[Energy Supply Market Intelligence]],$C$7:$C$510,$L83)&gt;0,0,MROUND(IFERROR(S83*($P83/$AI83),0),100))</f>
        <v>0</v>
      </c>
      <c r="AM83" s="1">
        <f ca="1">IF(COUNTIFS($J$7:$J$510,Table7[[#Headers],[Energy Supply RTM Analysis]],$C$7:$C$510,$L83)&gt;0,0,MROUND(IFERROR(T83*($P83/$AI83),0),100))</f>
        <v>0</v>
      </c>
      <c r="AN83" s="1">
        <f ca="1">IF(COUNTIFS($J$7:$J$510,Table7[[#Headers],[Energy Supply Forecasts]],$C$7:$C$510,$L83)&gt;0,0,MROUND(IFERROR(U83*($P83/$AI83),0),100))</f>
        <v>0</v>
      </c>
      <c r="AO83" s="1">
        <f ca="1">IF(COUNTIFS($J$7:$J$510,Table7[[#Headers],[Energy Supply Regulation]],$C$7:$C$510,$L83)&gt;0,0,MROUND(IFERROR(V83*($P83/$AI83),0),100))</f>
        <v>0</v>
      </c>
      <c r="AP83" s="1">
        <f ca="1">IF(COUNTIFS($J$7:$J$510,Table7[[#Headers],[Renewables Market Intelligence]],$C$7:$C$510,$L83)&gt;0,0,MROUND(IFERROR(W83*($P83/$AI83),0),100))</f>
        <v>0</v>
      </c>
      <c r="AQ83" s="1">
        <f ca="1">IF(COUNTIFS($J$7:$J$510,Table7[[#Headers],[Renewables RTM Analysis]],$C$7:$C$510,$L83)&gt;0,0,MROUND(IFERROR(X83*($P83/$AI83),0),100))</f>
        <v>0</v>
      </c>
      <c r="AR83" s="1">
        <f ca="1">IF(COUNTIFS($J$7:$J$510,Table7[[#Headers],[Renewables Forecasts]],$C$7:$C$510,$L83)&gt;0,0,MROUND(IFERROR(Y83*($P83/$AI83),0),100))</f>
        <v>0</v>
      </c>
      <c r="AS83" s="1">
        <f ca="1">IF(COUNTIFS($J$7:$J$510,Table7[[#Headers],[Renewables Regulation]],$C$7:$C$510,$L83)&gt;0,0,MROUND(IFERROR(Z83*($P83/$AI83),0),100))</f>
        <v>0</v>
      </c>
      <c r="AT83" s="1">
        <f ca="1">IF(COUNTIFS($J$7:$J$510,Table7[[#Headers],[Flexibility Market Intelligence]],$C$7:$C$510,$L83)&gt;0,0,MROUND(IFERROR(AA83*($P83/$AI83),0),100))</f>
        <v>0</v>
      </c>
      <c r="AU83" s="1">
        <f ca="1">IF(COUNTIFS($J$7:$J$510,Table7[[#Headers],[Flexibility RTM Analysis]],$C$7:$C$510,$L83)&gt;0,0,MROUND(IFERROR(AB83*($P83/$AI83),0),100))</f>
        <v>0</v>
      </c>
      <c r="AV83" s="1">
        <f ca="1">IF(COUNTIFS($J$7:$J$510,Table7[[#Headers],[Flexibility Forecasts]],$C$7:$C$510,$L83)&gt;0,0,MROUND(IFERROR(AC83*($P83/$AI83),0),100))</f>
        <v>0</v>
      </c>
      <c r="AW83" s="1">
        <f ca="1">IF(COUNTIFS($J$7:$J$510,Table7[[#Headers],[Flexibility Regulation]],$C$7:$C$510,$L83)&gt;0,0,MROUND(IFERROR(AD83*($P83/$AI83),0),100))</f>
        <v>0</v>
      </c>
      <c r="AX83" s="1">
        <f ca="1">IF(COUNTIFS($J$7:$J$510,Table7[[#Headers],[Business Energy Essentials]],$C$7:$C$510,$L83)&gt;0,0,MROUND(IFERROR(AE83*($P83/$AI83),0),100))</f>
        <v>0</v>
      </c>
      <c r="AY83" s="1">
        <f ca="1">IF(COUNTIFS($J$7:$J$510,Table7[[#Headers],[Energy User RTM Analysis]],$C$7:$C$510,$L83)&gt;0,0,MROUND(IFERROR(AF83*($P83/$AI83),0),100))</f>
        <v>0</v>
      </c>
      <c r="AZ83" s="1">
        <f ca="1">IF(COUNTIFS($J$7:$J$510,Table7[[#Headers],[Energy User Forecasts]],$C$7:$C$510,$L83)&gt;0,0,MROUND(IFERROR(AG83*($P83/$AI83),0),100))</f>
        <v>0</v>
      </c>
      <c r="BA83" s="1">
        <f ca="1">IF(COUNTIFS($J$7:$J$510,Table7[[#Headers],[Energy User Regulation]],$C$7:$C$510,$L83)&gt;0,0,MROUND(IFERROR(AH83*($P83/$AI83),0),100))</f>
        <v>0</v>
      </c>
    </row>
    <row r="84" spans="2:53">
      <c r="B84" s="38" t="s">
        <v>2108</v>
      </c>
      <c r="C84" s="38" t="s">
        <v>343</v>
      </c>
      <c r="D84" s="38" t="s">
        <v>2057</v>
      </c>
      <c r="E84" s="38" t="s">
        <v>1826</v>
      </c>
      <c r="F84" s="63">
        <v>9500</v>
      </c>
      <c r="G84" s="38"/>
      <c r="H84" s="38" t="s">
        <v>1702</v>
      </c>
      <c r="I84" s="38" t="s">
        <v>1702</v>
      </c>
      <c r="J84" s="38" t="s">
        <v>27</v>
      </c>
      <c r="L84" s="1" t="str">
        <v>Flexitricity Limited</v>
      </c>
      <c r="M84" s="1" t="str">
        <f t="shared" si="7"/>
        <v>Flexibility</v>
      </c>
      <c r="N84" s="109">
        <f t="shared" si="8"/>
        <v>4350</v>
      </c>
      <c r="O84" s="1">
        <f>IFERROR(IF(INDEX(Table3[[Total Spend]:[Total Spend]],MATCH(L84,Table3[[Company name]:[Company name]],0))&gt;N84,INDEX(Table3[[Total Spend]:[Total Spend]],MATCH(L84,Table3[[Company name]:[Company name]])),N84),50000)</f>
        <v>250000</v>
      </c>
      <c r="P84" s="109">
        <f t="shared" si="9"/>
        <v>245650</v>
      </c>
      <c r="Q84" s="103">
        <f t="shared" si="10"/>
        <v>1.7399999999999999E-2</v>
      </c>
      <c r="R84" s="1">
        <f ca="1">IFERROR(INDEX(INDIRECT("Table3[Column"&amp;R$9&amp;"]"),MATCH($L84,Table3[[Company name]:[Company name]],0)),0)</f>
        <v>8100</v>
      </c>
      <c r="S84" s="1">
        <f ca="1">IFERROR(INDEX(INDIRECT("Table3[Column"&amp;S$9&amp;"]"),MATCH($L84,Table3[[Company name]:[Company name]],0)),0)</f>
        <v>0</v>
      </c>
      <c r="T84" s="1">
        <f ca="1">IFERROR(INDEX(INDIRECT("Table3[Column"&amp;T$9&amp;"]"),MATCH($L84,Table3[[Company name]:[Company name]],0)),0)</f>
        <v>53100</v>
      </c>
      <c r="U84" s="1">
        <f ca="1">IFERROR(INDEX(INDIRECT("Table3[Column"&amp;U$9&amp;"]"),MATCH($L84,Table3[[Company name]:[Company name]],0)),0)</f>
        <v>0</v>
      </c>
      <c r="V84" s="1">
        <f ca="1">IFERROR(INDEX(INDIRECT("Table3[Column"&amp;V$9&amp;"]"),MATCH($L84,Table3[[Company name]:[Company name]],0)),0)</f>
        <v>0</v>
      </c>
      <c r="W84" s="1">
        <f ca="1">IFERROR(INDEX(INDIRECT("Table3[Column"&amp;W$9&amp;"]"),MATCH($L84,Table3[[Company name]:[Company name]],0)),0)</f>
        <v>0</v>
      </c>
      <c r="X84" s="1">
        <f ca="1">IFERROR(INDEX(INDIRECT("Table3[Column"&amp;X$9&amp;"]"),MATCH($L84,Table3[[Company name]:[Company name]],0)),0)</f>
        <v>15300</v>
      </c>
      <c r="Y84" s="1">
        <f ca="1">IFERROR(INDEX(INDIRECT("Table3[Column"&amp;Y$9&amp;"]"),MATCH($L84,Table3[[Company name]:[Company name]],0)),0)</f>
        <v>0</v>
      </c>
      <c r="Z84" s="1">
        <f ca="1">IFERROR(INDEX(INDIRECT("Table3[Column"&amp;Z$9&amp;"]"),MATCH($L84,Table3[[Company name]:[Company name]],0)),0)</f>
        <v>0</v>
      </c>
      <c r="AA84" s="1">
        <f ca="1">IFERROR(INDEX(INDIRECT("Table3[Column"&amp;AA$9&amp;"]"),MATCH($L84,Table3[[Company name]:[Company name]],0)),0)</f>
        <v>21600</v>
      </c>
      <c r="AB84" s="1">
        <f ca="1">IFERROR(INDEX(INDIRECT("Table3[Column"&amp;AB$9&amp;"]"),MATCH($L84,Table3[[Company name]:[Company name]],0)),0)</f>
        <v>7650</v>
      </c>
      <c r="AC84" s="1">
        <f ca="1">IFERROR(INDEX(INDIRECT("Table3[Column"&amp;AC$9&amp;"]"),MATCH($L84,Table3[[Company name]:[Company name]],0)),0)</f>
        <v>31500</v>
      </c>
      <c r="AD84" s="1">
        <f ca="1">IFERROR(INDEX(INDIRECT("Table3[Column"&amp;AD$9&amp;"]"),MATCH($L84,Table3[[Company name]:[Company name]],0)),0)</f>
        <v>25200</v>
      </c>
      <c r="AE84" s="1">
        <f ca="1">IFERROR(INDEX(INDIRECT("Table3[Column"&amp;AE$9&amp;"]"),MATCH($L84,Table3[[Company name]:[Company name]],0)),0)</f>
        <v>0</v>
      </c>
      <c r="AF84" s="1">
        <f ca="1">IFERROR(INDEX(INDIRECT("Table3[Column"&amp;AF$9&amp;"]"),MATCH($L84,Table3[[Company name]:[Company name]],0)),0)</f>
        <v>0</v>
      </c>
      <c r="AG84" s="1">
        <f ca="1">IFERROR(INDEX(INDIRECT("Table3[Column"&amp;AG$9&amp;"]"),MATCH($L84,Table3[[Company name]:[Company name]],0)),0)</f>
        <v>19800</v>
      </c>
      <c r="AH84" s="1">
        <f ca="1">IFERROR(INDEX(INDIRECT("Table3[Column"&amp;AH$9&amp;"]"),MATCH($L84,Table3[[Company name]:[Company name]],0)),0)</f>
        <v>0</v>
      </c>
      <c r="AI84" s="1">
        <f t="shared" ca="1" si="11"/>
        <v>182250</v>
      </c>
      <c r="AK84" s="1">
        <f ca="1">IF(COUNTIFS($J$7:$J$510,Table7[[#Headers],[Industry Essentials]],$C$7:$C$510,$L84)&gt;0,0,MROUND(R84,100))</f>
        <v>8100</v>
      </c>
      <c r="AL84" s="1">
        <f ca="1">IF(COUNTIFS($J$7:$J$510,Table7[[#Headers],[Energy Supply Market Intelligence]],$C$7:$C$510,$L84)&gt;0,0,MROUND(IFERROR(S84*($P84/$AI84),0),100))</f>
        <v>0</v>
      </c>
      <c r="AM84" s="1">
        <f ca="1">IF(COUNTIFS($J$7:$J$510,Table7[[#Headers],[Energy Supply RTM Analysis]],$C$7:$C$510,$L84)&gt;0,0,MROUND(IFERROR(T84*($P84/$AI84),0),100))</f>
        <v>71600</v>
      </c>
      <c r="AN84" s="1">
        <f ca="1">IF(COUNTIFS($J$7:$J$510,Table7[[#Headers],[Energy Supply Forecasts]],$C$7:$C$510,$L84)&gt;0,0,MROUND(IFERROR(U84*($P84/$AI84),0),100))</f>
        <v>0</v>
      </c>
      <c r="AO84" s="1">
        <f ca="1">IF(COUNTIFS($J$7:$J$510,Table7[[#Headers],[Energy Supply Regulation]],$C$7:$C$510,$L84)&gt;0,0,MROUND(IFERROR(V84*($P84/$AI84),0),100))</f>
        <v>0</v>
      </c>
      <c r="AP84" s="1">
        <f ca="1">IF(COUNTIFS($J$7:$J$510,Table7[[#Headers],[Renewables Market Intelligence]],$C$7:$C$510,$L84)&gt;0,0,MROUND(IFERROR(W84*($P84/$AI84),0),100))</f>
        <v>0</v>
      </c>
      <c r="AQ84" s="1">
        <f ca="1">IF(COUNTIFS($J$7:$J$510,Table7[[#Headers],[Renewables RTM Analysis]],$C$7:$C$510,$L84)&gt;0,0,MROUND(IFERROR(X84*($P84/$AI84),0),100))</f>
        <v>20600</v>
      </c>
      <c r="AR84" s="1">
        <f ca="1">IF(COUNTIFS($J$7:$J$510,Table7[[#Headers],[Renewables Forecasts]],$C$7:$C$510,$L84)&gt;0,0,MROUND(IFERROR(Y84*($P84/$AI84),0),100))</f>
        <v>0</v>
      </c>
      <c r="AS84" s="1">
        <f ca="1">IF(COUNTIFS($J$7:$J$510,Table7[[#Headers],[Renewables Regulation]],$C$7:$C$510,$L84)&gt;0,0,MROUND(IFERROR(Z84*($P84/$AI84),0),100))</f>
        <v>0</v>
      </c>
      <c r="AT84" s="1">
        <f ca="1">IF(COUNTIFS($J$7:$J$510,Table7[[#Headers],[Flexibility Market Intelligence]],$C$7:$C$510,$L84)&gt;0,0,MROUND(IFERROR(AA84*($P84/$AI84),0),100))</f>
        <v>29100</v>
      </c>
      <c r="AU84" s="1">
        <f ca="1">IF(COUNTIFS($J$7:$J$510,Table7[[#Headers],[Flexibility RTM Analysis]],$C$7:$C$510,$L84)&gt;0,0,MROUND(IFERROR(AB84*($P84/$AI84),0),100))</f>
        <v>10300</v>
      </c>
      <c r="AV84" s="1">
        <f ca="1">IF(COUNTIFS($J$7:$J$510,Table7[[#Headers],[Flexibility Forecasts]],$C$7:$C$510,$L84)&gt;0,0,MROUND(IFERROR(AC84*($P84/$AI84),0),100))</f>
        <v>42500</v>
      </c>
      <c r="AW84" s="1">
        <f>IF(COUNTIFS($J$7:$J$510,Table7[[#Headers],[Flexibility Regulation]],$C$7:$C$510,$L84)&gt;0,0,MROUND(IFERROR(AD84*($P84/$AI84),0),100))</f>
        <v>0</v>
      </c>
      <c r="AX84" s="1">
        <f ca="1">IF(COUNTIFS($J$7:$J$510,Table7[[#Headers],[Business Energy Essentials]],$C$7:$C$510,$L84)&gt;0,0,MROUND(IFERROR(AE84*($P84/$AI84),0),100))</f>
        <v>0</v>
      </c>
      <c r="AY84" s="1">
        <f ca="1">IF(COUNTIFS($J$7:$J$510,Table7[[#Headers],[Energy User RTM Analysis]],$C$7:$C$510,$L84)&gt;0,0,MROUND(IFERROR(AF84*($P84/$AI84),0),100))</f>
        <v>0</v>
      </c>
      <c r="AZ84" s="1">
        <f ca="1">IF(COUNTIFS($J$7:$J$510,Table7[[#Headers],[Energy User Forecasts]],$C$7:$C$510,$L84)&gt;0,0,MROUND(IFERROR(AG84*($P84/$AI84),0),100))</f>
        <v>26700</v>
      </c>
      <c r="BA84" s="1">
        <f ca="1">IF(COUNTIFS($J$7:$J$510,Table7[[#Headers],[Energy User Regulation]],$C$7:$C$510,$L84)&gt;0,0,MROUND(IFERROR(AH84*($P84/$AI84),0),100))</f>
        <v>0</v>
      </c>
    </row>
    <row r="85" spans="2:53">
      <c r="B85" s="38" t="s">
        <v>2109</v>
      </c>
      <c r="C85" s="38" t="s">
        <v>151</v>
      </c>
      <c r="D85" s="38" t="s">
        <v>2110</v>
      </c>
      <c r="E85" s="38" t="s">
        <v>1886</v>
      </c>
      <c r="F85" s="63">
        <v>24300</v>
      </c>
      <c r="G85" s="38"/>
      <c r="H85" s="38" t="s">
        <v>2032</v>
      </c>
      <c r="I85" s="38" t="s">
        <v>2031</v>
      </c>
      <c r="J85" s="38" t="s">
        <v>21</v>
      </c>
      <c r="L85" s="1" t="str">
        <v>Forsa Energy Gas Holdings Ltd</v>
      </c>
      <c r="M85" s="1" t="str">
        <f t="shared" si="7"/>
        <v>Flexibility</v>
      </c>
      <c r="N85" s="109">
        <f t="shared" si="8"/>
        <v>19150</v>
      </c>
      <c r="O85" s="1">
        <f>IFERROR(IF(INDEX(Table3[[Total Spend]:[Total Spend]],MATCH(L85,Table3[[Company name]:[Company name]],0))&gt;N85,INDEX(Table3[[Total Spend]:[Total Spend]],MATCH(L85,Table3[[Company name]:[Company name]])),N85),50000)</f>
        <v>250000</v>
      </c>
      <c r="P85" s="109">
        <f t="shared" si="9"/>
        <v>230850</v>
      </c>
      <c r="Q85" s="103">
        <f t="shared" si="10"/>
        <v>7.6600000000000001E-2</v>
      </c>
      <c r="R85" s="1">
        <f ca="1">IFERROR(INDEX(INDIRECT("Table3[Column"&amp;R$9&amp;"]"),MATCH($L85,Table3[[Company name]:[Company name]],0)),0)</f>
        <v>8100</v>
      </c>
      <c r="S85" s="1">
        <f ca="1">IFERROR(INDEX(INDIRECT("Table3[Column"&amp;S$9&amp;"]"),MATCH($L85,Table3[[Company name]:[Company name]],0)),0)</f>
        <v>0</v>
      </c>
      <c r="T85" s="1">
        <f ca="1">IFERROR(INDEX(INDIRECT("Table3[Column"&amp;T$9&amp;"]"),MATCH($L85,Table3[[Company name]:[Company name]],0)),0)</f>
        <v>0</v>
      </c>
      <c r="U85" s="1">
        <f ca="1">IFERROR(INDEX(INDIRECT("Table3[Column"&amp;U$9&amp;"]"),MATCH($L85,Table3[[Company name]:[Company name]],0)),0)</f>
        <v>0</v>
      </c>
      <c r="V85" s="1">
        <f ca="1">IFERROR(INDEX(INDIRECT("Table3[Column"&amp;V$9&amp;"]"),MATCH($L85,Table3[[Company name]:[Company name]],0)),0)</f>
        <v>0</v>
      </c>
      <c r="W85" s="1">
        <f ca="1">IFERROR(INDEX(INDIRECT("Table3[Column"&amp;W$9&amp;"]"),MATCH($L85,Table3[[Company name]:[Company name]],0)),0)</f>
        <v>0</v>
      </c>
      <c r="X85" s="1">
        <f ca="1">IFERROR(INDEX(INDIRECT("Table3[Column"&amp;X$9&amp;"]"),MATCH($L85,Table3[[Company name]:[Company name]],0)),0)</f>
        <v>0</v>
      </c>
      <c r="Y85" s="1">
        <f ca="1">IFERROR(INDEX(INDIRECT("Table3[Column"&amp;Y$9&amp;"]"),MATCH($L85,Table3[[Company name]:[Company name]],0)),0)</f>
        <v>0</v>
      </c>
      <c r="Z85" s="1">
        <f ca="1">IFERROR(INDEX(INDIRECT("Table3[Column"&amp;Z$9&amp;"]"),MATCH($L85,Table3[[Company name]:[Company name]],0)),0)</f>
        <v>0</v>
      </c>
      <c r="AA85" s="1">
        <f ca="1">IFERROR(INDEX(INDIRECT("Table3[Column"&amp;AA$9&amp;"]"),MATCH($L85,Table3[[Company name]:[Company name]],0)),0)</f>
        <v>21600</v>
      </c>
      <c r="AB85" s="1">
        <f ca="1">IFERROR(INDEX(INDIRECT("Table3[Column"&amp;AB$9&amp;"]"),MATCH($L85,Table3[[Company name]:[Company name]],0)),0)</f>
        <v>7650</v>
      </c>
      <c r="AC85" s="1">
        <f ca="1">IFERROR(INDEX(INDIRECT("Table3[Column"&amp;AC$9&amp;"]"),MATCH($L85,Table3[[Company name]:[Company name]],0)),0)</f>
        <v>31500</v>
      </c>
      <c r="AD85" s="1">
        <f ca="1">IFERROR(INDEX(INDIRECT("Table3[Column"&amp;AD$9&amp;"]"),MATCH($L85,Table3[[Company name]:[Company name]],0)),0)</f>
        <v>25200</v>
      </c>
      <c r="AE85" s="1">
        <f ca="1">IFERROR(INDEX(INDIRECT("Table3[Column"&amp;AE$9&amp;"]"),MATCH($L85,Table3[[Company name]:[Company name]],0)),0)</f>
        <v>0</v>
      </c>
      <c r="AF85" s="1">
        <f ca="1">IFERROR(INDEX(INDIRECT("Table3[Column"&amp;AF$9&amp;"]"),MATCH($L85,Table3[[Company name]:[Company name]],0)),0)</f>
        <v>0</v>
      </c>
      <c r="AG85" s="1">
        <f ca="1">IFERROR(INDEX(INDIRECT("Table3[Column"&amp;AG$9&amp;"]"),MATCH($L85,Table3[[Company name]:[Company name]],0)),0)</f>
        <v>0</v>
      </c>
      <c r="AH85" s="1">
        <f ca="1">IFERROR(INDEX(INDIRECT("Table3[Column"&amp;AH$9&amp;"]"),MATCH($L85,Table3[[Company name]:[Company name]],0)),0)</f>
        <v>0</v>
      </c>
      <c r="AI85" s="1">
        <f t="shared" ca="1" si="11"/>
        <v>94050</v>
      </c>
      <c r="AK85" s="1">
        <f ca="1">IF(COUNTIFS($J$7:$J$510,Table7[[#Headers],[Industry Essentials]],$C$7:$C$510,$L85)&gt;0,0,MROUND(R85,100))</f>
        <v>8100</v>
      </c>
      <c r="AL85" s="1">
        <f ca="1">IF(COUNTIFS($J$7:$J$510,Table7[[#Headers],[Energy Supply Market Intelligence]],$C$7:$C$510,$L85)&gt;0,0,MROUND(IFERROR(S85*($P85/$AI85),0),100))</f>
        <v>0</v>
      </c>
      <c r="AM85" s="1">
        <f ca="1">IF(COUNTIFS($J$7:$J$510,Table7[[#Headers],[Energy Supply RTM Analysis]],$C$7:$C$510,$L85)&gt;0,0,MROUND(IFERROR(T85*($P85/$AI85),0),100))</f>
        <v>0</v>
      </c>
      <c r="AN85" s="1">
        <f ca="1">IF(COUNTIFS($J$7:$J$510,Table7[[#Headers],[Energy Supply Forecasts]],$C$7:$C$510,$L85)&gt;0,0,MROUND(IFERROR(U85*($P85/$AI85),0),100))</f>
        <v>0</v>
      </c>
      <c r="AO85" s="1">
        <f ca="1">IF(COUNTIFS($J$7:$J$510,Table7[[#Headers],[Energy Supply Regulation]],$C$7:$C$510,$L85)&gt;0,0,MROUND(IFERROR(V85*($P85/$AI85),0),100))</f>
        <v>0</v>
      </c>
      <c r="AP85" s="1">
        <f ca="1">IF(COUNTIFS($J$7:$J$510,Table7[[#Headers],[Renewables Market Intelligence]],$C$7:$C$510,$L85)&gt;0,0,MROUND(IFERROR(W85*($P85/$AI85),0),100))</f>
        <v>0</v>
      </c>
      <c r="AQ85" s="1">
        <f ca="1">IF(COUNTIFS($J$7:$J$510,Table7[[#Headers],[Renewables RTM Analysis]],$C$7:$C$510,$L85)&gt;0,0,MROUND(IFERROR(X85*($P85/$AI85),0),100))</f>
        <v>0</v>
      </c>
      <c r="AR85" s="1">
        <f ca="1">IF(COUNTIFS($J$7:$J$510,Table7[[#Headers],[Renewables Forecasts]],$C$7:$C$510,$L85)&gt;0,0,MROUND(IFERROR(Y85*($P85/$AI85),0),100))</f>
        <v>0</v>
      </c>
      <c r="AS85" s="1">
        <f ca="1">IF(COUNTIFS($J$7:$J$510,Table7[[#Headers],[Renewables Regulation]],$C$7:$C$510,$L85)&gt;0,0,MROUND(IFERROR(Z85*($P85/$AI85),0),100))</f>
        <v>0</v>
      </c>
      <c r="AT85" s="1">
        <f>IF(COUNTIFS($J$7:$J$510,Table7[[#Headers],[Flexibility Market Intelligence]],$C$7:$C$510,$L85)&gt;0,0,MROUND(IFERROR(AA85*($P85/$AI85),0),100))</f>
        <v>0</v>
      </c>
      <c r="AU85" s="1">
        <f ca="1">IF(COUNTIFS($J$7:$J$510,Table7[[#Headers],[Flexibility RTM Analysis]],$C$7:$C$510,$L85)&gt;0,0,MROUND(IFERROR(AB85*($P85/$AI85),0),100))</f>
        <v>18800</v>
      </c>
      <c r="AV85" s="1">
        <f>IF(COUNTIFS($J$7:$J$510,Table7[[#Headers],[Flexibility Forecasts]],$C$7:$C$510,$L85)&gt;0,0,MROUND(IFERROR(AC85*($P85/$AI85),0),100))</f>
        <v>0</v>
      </c>
      <c r="AW85" s="1">
        <f ca="1">IF(COUNTIFS($J$7:$J$510,Table7[[#Headers],[Flexibility Regulation]],$C$7:$C$510,$L85)&gt;0,0,MROUND(IFERROR(AD85*($P85/$AI85),0),100))</f>
        <v>61900</v>
      </c>
      <c r="AX85" s="1">
        <f ca="1">IF(COUNTIFS($J$7:$J$510,Table7[[#Headers],[Business Energy Essentials]],$C$7:$C$510,$L85)&gt;0,0,MROUND(IFERROR(AE85*($P85/$AI85),0),100))</f>
        <v>0</v>
      </c>
      <c r="AY85" s="1">
        <f ca="1">IF(COUNTIFS($J$7:$J$510,Table7[[#Headers],[Energy User RTM Analysis]],$C$7:$C$510,$L85)&gt;0,0,MROUND(IFERROR(AF85*($P85/$AI85),0),100))</f>
        <v>0</v>
      </c>
      <c r="AZ85" s="1">
        <f ca="1">IF(COUNTIFS($J$7:$J$510,Table7[[#Headers],[Energy User Forecasts]],$C$7:$C$510,$L85)&gt;0,0,MROUND(IFERROR(AG85*($P85/$AI85),0),100))</f>
        <v>0</v>
      </c>
      <c r="BA85" s="1">
        <f ca="1">IF(COUNTIFS($J$7:$J$510,Table7[[#Headers],[Energy User Regulation]],$C$7:$C$510,$L85)&gt;0,0,MROUND(IFERROR(AH85*($P85/$AI85),0),100))</f>
        <v>0</v>
      </c>
    </row>
    <row r="86" spans="2:53">
      <c r="B86" s="38" t="s">
        <v>2109</v>
      </c>
      <c r="C86" s="38" t="s">
        <v>151</v>
      </c>
      <c r="D86" s="38" t="s">
        <v>2071</v>
      </c>
      <c r="E86" s="38" t="s">
        <v>1900</v>
      </c>
      <c r="F86" s="63">
        <v>24750</v>
      </c>
      <c r="G86" s="38"/>
      <c r="H86" s="38" t="s">
        <v>2032</v>
      </c>
      <c r="I86" s="38" t="s">
        <v>2031</v>
      </c>
      <c r="J86" s="38" t="s">
        <v>21</v>
      </c>
      <c r="L86" s="1" t="str">
        <v>Fred Olsen Renewables Limited</v>
      </c>
      <c r="M86" s="1" t="str">
        <f t="shared" si="7"/>
        <v>Renewables</v>
      </c>
      <c r="N86" s="109">
        <f t="shared" si="8"/>
        <v>19446.153846153844</v>
      </c>
      <c r="O86" s="1">
        <f>IFERROR(IF(INDEX(Table3[[Total Spend]:[Total Spend]],MATCH(L86,Table3[[Company name]:[Company name]],0))&gt;N86,INDEX(Table3[[Total Spend]:[Total Spend]],MATCH(L86,Table3[[Company name]:[Company name]])),N86),50000)</f>
        <v>250000</v>
      </c>
      <c r="P86" s="109">
        <f t="shared" si="9"/>
        <v>230553.84615384616</v>
      </c>
      <c r="Q86" s="103">
        <f t="shared" si="10"/>
        <v>7.7784615384615369E-2</v>
      </c>
      <c r="R86" s="1">
        <f ca="1">IFERROR(INDEX(INDIRECT("Table3[Column"&amp;R$9&amp;"]"),MATCH($L86,Table3[[Company name]:[Company name]],0)),0)</f>
        <v>8100</v>
      </c>
      <c r="S86" s="1">
        <f ca="1">IFERROR(INDEX(INDIRECT("Table3[Column"&amp;S$9&amp;"]"),MATCH($L86,Table3[[Company name]:[Company name]],0)),0)</f>
        <v>0</v>
      </c>
      <c r="T86" s="1">
        <f ca="1">IFERROR(INDEX(INDIRECT("Table3[Column"&amp;T$9&amp;"]"),MATCH($L86,Table3[[Company name]:[Company name]],0)),0)</f>
        <v>0</v>
      </c>
      <c r="U86" s="1">
        <f ca="1">IFERROR(INDEX(INDIRECT("Table3[Column"&amp;U$9&amp;"]"),MATCH($L86,Table3[[Company name]:[Company name]],0)),0)</f>
        <v>0</v>
      </c>
      <c r="V86" s="1">
        <f ca="1">IFERROR(INDEX(INDIRECT("Table3[Column"&amp;V$9&amp;"]"),MATCH($L86,Table3[[Company name]:[Company name]],0)),0)</f>
        <v>0</v>
      </c>
      <c r="W86" s="1">
        <f ca="1">IFERROR(INDEX(INDIRECT("Table3[Column"&amp;W$9&amp;"]"),MATCH($L86,Table3[[Company name]:[Company name]],0)),0)</f>
        <v>17100</v>
      </c>
      <c r="X86" s="1">
        <f ca="1">IFERROR(INDEX(INDIRECT("Table3[Column"&amp;X$9&amp;"]"),MATCH($L86,Table3[[Company name]:[Company name]],0)),0)</f>
        <v>15300</v>
      </c>
      <c r="Y86" s="1">
        <f ca="1">IFERROR(INDEX(INDIRECT("Table3[Column"&amp;Y$9&amp;"]"),MATCH($L86,Table3[[Company name]:[Company name]],0)),0)</f>
        <v>42300</v>
      </c>
      <c r="Z86" s="1">
        <f ca="1">IFERROR(INDEX(INDIRECT("Table3[Column"&amp;Z$9&amp;"]"),MATCH($L86,Table3[[Company name]:[Company name]],0)),0)</f>
        <v>18900</v>
      </c>
      <c r="AA86" s="1">
        <f ca="1">IFERROR(INDEX(INDIRECT("Table3[Column"&amp;AA$9&amp;"]"),MATCH($L86,Table3[[Company name]:[Company name]],0)),0)</f>
        <v>0</v>
      </c>
      <c r="AB86" s="1">
        <f ca="1">IFERROR(INDEX(INDIRECT("Table3[Column"&amp;AB$9&amp;"]"),MATCH($L86,Table3[[Company name]:[Company name]],0)),0)</f>
        <v>0</v>
      </c>
      <c r="AC86" s="1">
        <f ca="1">IFERROR(INDEX(INDIRECT("Table3[Column"&amp;AC$9&amp;"]"),MATCH($L86,Table3[[Company name]:[Company name]],0)),0)</f>
        <v>0</v>
      </c>
      <c r="AD86" s="1">
        <f ca="1">IFERROR(INDEX(INDIRECT("Table3[Column"&amp;AD$9&amp;"]"),MATCH($L86,Table3[[Company name]:[Company name]],0)),0)</f>
        <v>0</v>
      </c>
      <c r="AE86" s="1">
        <f ca="1">IFERROR(INDEX(INDIRECT("Table3[Column"&amp;AE$9&amp;"]"),MATCH($L86,Table3[[Company name]:[Company name]],0)),0)</f>
        <v>0</v>
      </c>
      <c r="AF86" s="1">
        <f ca="1">IFERROR(INDEX(INDIRECT("Table3[Column"&amp;AF$9&amp;"]"),MATCH($L86,Table3[[Company name]:[Company name]],0)),0)</f>
        <v>0</v>
      </c>
      <c r="AG86" s="1">
        <f ca="1">IFERROR(INDEX(INDIRECT("Table3[Column"&amp;AG$9&amp;"]"),MATCH($L86,Table3[[Company name]:[Company name]],0)),0)</f>
        <v>0</v>
      </c>
      <c r="AH86" s="1">
        <f ca="1">IFERROR(INDEX(INDIRECT("Table3[Column"&amp;AH$9&amp;"]"),MATCH($L86,Table3[[Company name]:[Company name]],0)),0)</f>
        <v>0</v>
      </c>
      <c r="AI86" s="1">
        <f t="shared" ca="1" si="11"/>
        <v>101700</v>
      </c>
      <c r="AK86" s="1">
        <f>IF(COUNTIFS($J$7:$J$510,Table7[[#Headers],[Industry Essentials]],$C$7:$C$510,$L86)&gt;0,0,MROUND(R86,100))</f>
        <v>0</v>
      </c>
      <c r="AL86" s="1">
        <f ca="1">IF(COUNTIFS($J$7:$J$510,Table7[[#Headers],[Energy Supply Market Intelligence]],$C$7:$C$510,$L86)&gt;0,0,MROUND(IFERROR(S86*($P86/$AI86),0),100))</f>
        <v>0</v>
      </c>
      <c r="AM86" s="1">
        <f ca="1">IF(COUNTIFS($J$7:$J$510,Table7[[#Headers],[Energy Supply RTM Analysis]],$C$7:$C$510,$L86)&gt;0,0,MROUND(IFERROR(T86*($P86/$AI86),0),100))</f>
        <v>0</v>
      </c>
      <c r="AN86" s="1">
        <f ca="1">IF(COUNTIFS($J$7:$J$510,Table7[[#Headers],[Energy Supply Forecasts]],$C$7:$C$510,$L86)&gt;0,0,MROUND(IFERROR(U86*($P86/$AI86),0),100))</f>
        <v>0</v>
      </c>
      <c r="AO86" s="1">
        <f ca="1">IF(COUNTIFS($J$7:$J$510,Table7[[#Headers],[Energy Supply Regulation]],$C$7:$C$510,$L86)&gt;0,0,MROUND(IFERROR(V86*($P86/$AI86),0),100))</f>
        <v>0</v>
      </c>
      <c r="AP86" s="1">
        <f ca="1">IF(COUNTIFS($J$7:$J$510,Table7[[#Headers],[Renewables Market Intelligence]],$C$7:$C$510,$L86)&gt;0,0,MROUND(IFERROR(W86*($P86/$AI86),0),100))</f>
        <v>38800</v>
      </c>
      <c r="AQ86" s="1">
        <f ca="1">IF(COUNTIFS($J$7:$J$510,Table7[[#Headers],[Renewables RTM Analysis]],$C$7:$C$510,$L86)&gt;0,0,MROUND(IFERROR(X86*($P86/$AI86),0),100))</f>
        <v>34700</v>
      </c>
      <c r="AR86" s="1">
        <f>IF(COUNTIFS($J$7:$J$510,Table7[[#Headers],[Renewables Forecasts]],$C$7:$C$510,$L86)&gt;0,0,MROUND(IFERROR(Y86*($P86/$AI86),0),100))</f>
        <v>0</v>
      </c>
      <c r="AS86" s="1">
        <f ca="1">IF(COUNTIFS($J$7:$J$510,Table7[[#Headers],[Renewables Regulation]],$C$7:$C$510,$L86)&gt;0,0,MROUND(IFERROR(Z86*($P86/$AI86),0),100))</f>
        <v>42800</v>
      </c>
      <c r="AT86" s="1">
        <f ca="1">IF(COUNTIFS($J$7:$J$510,Table7[[#Headers],[Flexibility Market Intelligence]],$C$7:$C$510,$L86)&gt;0,0,MROUND(IFERROR(AA86*($P86/$AI86),0),100))</f>
        <v>0</v>
      </c>
      <c r="AU86" s="1">
        <f ca="1">IF(COUNTIFS($J$7:$J$510,Table7[[#Headers],[Flexibility RTM Analysis]],$C$7:$C$510,$L86)&gt;0,0,MROUND(IFERROR(AB86*($P86/$AI86),0),100))</f>
        <v>0</v>
      </c>
      <c r="AV86" s="1">
        <f ca="1">IF(COUNTIFS($J$7:$J$510,Table7[[#Headers],[Flexibility Forecasts]],$C$7:$C$510,$L86)&gt;0,0,MROUND(IFERROR(AC86*($P86/$AI86),0),100))</f>
        <v>0</v>
      </c>
      <c r="AW86" s="1">
        <f ca="1">IF(COUNTIFS($J$7:$J$510,Table7[[#Headers],[Flexibility Regulation]],$C$7:$C$510,$L86)&gt;0,0,MROUND(IFERROR(AD86*($P86/$AI86),0),100))</f>
        <v>0</v>
      </c>
      <c r="AX86" s="1">
        <f ca="1">IF(COUNTIFS($J$7:$J$510,Table7[[#Headers],[Business Energy Essentials]],$C$7:$C$510,$L86)&gt;0,0,MROUND(IFERROR(AE86*($P86/$AI86),0),100))</f>
        <v>0</v>
      </c>
      <c r="AY86" s="1">
        <f ca="1">IF(COUNTIFS($J$7:$J$510,Table7[[#Headers],[Energy User RTM Analysis]],$C$7:$C$510,$L86)&gt;0,0,MROUND(IFERROR(AF86*($P86/$AI86),0),100))</f>
        <v>0</v>
      </c>
      <c r="AZ86" s="1">
        <f ca="1">IF(COUNTIFS($J$7:$J$510,Table7[[#Headers],[Energy User Forecasts]],$C$7:$C$510,$L86)&gt;0,0,MROUND(IFERROR(AG86*($P86/$AI86),0),100))</f>
        <v>0</v>
      </c>
      <c r="BA86" s="1">
        <f ca="1">IF(COUNTIFS($J$7:$J$510,Table7[[#Headers],[Energy User Regulation]],$C$7:$C$510,$L86)&gt;0,0,MROUND(IFERROR(AH86*($P86/$AI86),0),100))</f>
        <v>0</v>
      </c>
    </row>
    <row r="87" spans="2:53">
      <c r="B87" s="38" t="s">
        <v>2109</v>
      </c>
      <c r="C87" s="38" t="s">
        <v>151</v>
      </c>
      <c r="D87" s="38" t="s">
        <v>2040</v>
      </c>
      <c r="E87" s="38" t="s">
        <v>1799</v>
      </c>
      <c r="F87" s="63">
        <v>8100</v>
      </c>
      <c r="G87" s="38"/>
      <c r="H87" s="38" t="s">
        <v>2032</v>
      </c>
      <c r="I87" s="38" t="s">
        <v>2032</v>
      </c>
      <c r="J87" s="38" t="s">
        <v>20</v>
      </c>
      <c r="L87" s="1" t="str">
        <v>Freeths LLP</v>
      </c>
      <c r="M87" s="1" t="str">
        <f t="shared" si="7"/>
        <v>Other</v>
      </c>
      <c r="N87" s="109">
        <f t="shared" si="8"/>
        <v>3000</v>
      </c>
      <c r="O87" s="1">
        <f>IFERROR(IF(INDEX(Table3[[Total Spend]:[Total Spend]],MATCH(L87,Table3[[Company name]:[Company name]],0))&gt;N87,INDEX(Table3[[Total Spend]:[Total Spend]],MATCH(L87,Table3[[Company name]:[Company name]])),N87),50000)</f>
        <v>250000</v>
      </c>
      <c r="P87" s="109">
        <f t="shared" si="9"/>
        <v>247000</v>
      </c>
      <c r="Q87" s="103">
        <f t="shared" si="10"/>
        <v>1.2E-2</v>
      </c>
      <c r="R87" s="1">
        <f ca="1">IFERROR(INDEX(INDIRECT("Table3[Column"&amp;R$9&amp;"]"),MATCH($L87,Table3[[Company name]:[Company name]],0)),0)</f>
        <v>8100</v>
      </c>
      <c r="S87" s="1">
        <f ca="1">IFERROR(INDEX(INDIRECT("Table3[Column"&amp;S$9&amp;"]"),MATCH($L87,Table3[[Company name]:[Company name]],0)),0)</f>
        <v>0</v>
      </c>
      <c r="T87" s="1">
        <f ca="1">IFERROR(INDEX(INDIRECT("Table3[Column"&amp;T$9&amp;"]"),MATCH($L87,Table3[[Company name]:[Company name]],0)),0)</f>
        <v>0</v>
      </c>
      <c r="U87" s="1">
        <f ca="1">IFERROR(INDEX(INDIRECT("Table3[Column"&amp;U$9&amp;"]"),MATCH($L87,Table3[[Company name]:[Company name]],0)),0)</f>
        <v>0</v>
      </c>
      <c r="V87" s="1">
        <f ca="1">IFERROR(INDEX(INDIRECT("Table3[Column"&amp;V$9&amp;"]"),MATCH($L87,Table3[[Company name]:[Company name]],0)),0)</f>
        <v>0</v>
      </c>
      <c r="W87" s="1">
        <f ca="1">IFERROR(INDEX(INDIRECT("Table3[Column"&amp;W$9&amp;"]"),MATCH($L87,Table3[[Company name]:[Company name]],0)),0)</f>
        <v>0</v>
      </c>
      <c r="X87" s="1">
        <f ca="1">IFERROR(INDEX(INDIRECT("Table3[Column"&amp;X$9&amp;"]"),MATCH($L87,Table3[[Company name]:[Company name]],0)),0)</f>
        <v>0</v>
      </c>
      <c r="Y87" s="1">
        <f ca="1">IFERROR(INDEX(INDIRECT("Table3[Column"&amp;Y$9&amp;"]"),MATCH($L87,Table3[[Company name]:[Company name]],0)),0)</f>
        <v>0</v>
      </c>
      <c r="Z87" s="1">
        <f ca="1">IFERROR(INDEX(INDIRECT("Table3[Column"&amp;Z$9&amp;"]"),MATCH($L87,Table3[[Company name]:[Company name]],0)),0)</f>
        <v>0</v>
      </c>
      <c r="AA87" s="1">
        <f ca="1">IFERROR(INDEX(INDIRECT("Table3[Column"&amp;AA$9&amp;"]"),MATCH($L87,Table3[[Company name]:[Company name]],0)),0)</f>
        <v>0</v>
      </c>
      <c r="AB87" s="1">
        <f ca="1">IFERROR(INDEX(INDIRECT("Table3[Column"&amp;AB$9&amp;"]"),MATCH($L87,Table3[[Company name]:[Company name]],0)),0)</f>
        <v>0</v>
      </c>
      <c r="AC87" s="1">
        <f ca="1">IFERROR(INDEX(INDIRECT("Table3[Column"&amp;AC$9&amp;"]"),MATCH($L87,Table3[[Company name]:[Company name]],0)),0)</f>
        <v>0</v>
      </c>
      <c r="AD87" s="1">
        <f ca="1">IFERROR(INDEX(INDIRECT("Table3[Column"&amp;AD$9&amp;"]"),MATCH($L87,Table3[[Company name]:[Company name]],0)),0)</f>
        <v>0</v>
      </c>
      <c r="AE87" s="1">
        <f ca="1">IFERROR(INDEX(INDIRECT("Table3[Column"&amp;AE$9&amp;"]"),MATCH($L87,Table3[[Company name]:[Company name]],0)),0)</f>
        <v>0</v>
      </c>
      <c r="AF87" s="1">
        <f ca="1">IFERROR(INDEX(INDIRECT("Table3[Column"&amp;AF$9&amp;"]"),MATCH($L87,Table3[[Company name]:[Company name]],0)),0)</f>
        <v>0</v>
      </c>
      <c r="AG87" s="1">
        <f ca="1">IFERROR(INDEX(INDIRECT("Table3[Column"&amp;AG$9&amp;"]"),MATCH($L87,Table3[[Company name]:[Company name]],0)),0)</f>
        <v>0</v>
      </c>
      <c r="AH87" s="1">
        <f ca="1">IFERROR(INDEX(INDIRECT("Table3[Column"&amp;AH$9&amp;"]"),MATCH($L87,Table3[[Company name]:[Company name]],0)),0)</f>
        <v>0</v>
      </c>
      <c r="AI87" s="1">
        <f t="shared" ca="1" si="11"/>
        <v>8100</v>
      </c>
      <c r="AK87" s="1">
        <f>IF(COUNTIFS($J$7:$J$510,Table7[[#Headers],[Industry Essentials]],$C$7:$C$510,$L87)&gt;0,0,MROUND(R87,100))</f>
        <v>0</v>
      </c>
      <c r="AL87" s="1">
        <f ca="1">IF(COUNTIFS($J$7:$J$510,Table7[[#Headers],[Energy Supply Market Intelligence]],$C$7:$C$510,$L87)&gt;0,0,MROUND(IFERROR(S87*($P87/$AI87),0),100))</f>
        <v>0</v>
      </c>
      <c r="AM87" s="1">
        <f ca="1">IF(COUNTIFS($J$7:$J$510,Table7[[#Headers],[Energy Supply RTM Analysis]],$C$7:$C$510,$L87)&gt;0,0,MROUND(IFERROR(T87*($P87/$AI87),0),100))</f>
        <v>0</v>
      </c>
      <c r="AN87" s="1">
        <f ca="1">IF(COUNTIFS($J$7:$J$510,Table7[[#Headers],[Energy Supply Forecasts]],$C$7:$C$510,$L87)&gt;0,0,MROUND(IFERROR(U87*($P87/$AI87),0),100))</f>
        <v>0</v>
      </c>
      <c r="AO87" s="1">
        <f ca="1">IF(COUNTIFS($J$7:$J$510,Table7[[#Headers],[Energy Supply Regulation]],$C$7:$C$510,$L87)&gt;0,0,MROUND(IFERROR(V87*($P87/$AI87),0),100))</f>
        <v>0</v>
      </c>
      <c r="AP87" s="1">
        <f ca="1">IF(COUNTIFS($J$7:$J$510,Table7[[#Headers],[Renewables Market Intelligence]],$C$7:$C$510,$L87)&gt;0,0,MROUND(IFERROR(W87*($P87/$AI87),0),100))</f>
        <v>0</v>
      </c>
      <c r="AQ87" s="1">
        <f ca="1">IF(COUNTIFS($J$7:$J$510,Table7[[#Headers],[Renewables RTM Analysis]],$C$7:$C$510,$L87)&gt;0,0,MROUND(IFERROR(X87*($P87/$AI87),0),100))</f>
        <v>0</v>
      </c>
      <c r="AR87" s="1">
        <f ca="1">IF(COUNTIFS($J$7:$J$510,Table7[[#Headers],[Renewables Forecasts]],$C$7:$C$510,$L87)&gt;0,0,MROUND(IFERROR(Y87*($P87/$AI87),0),100))</f>
        <v>0</v>
      </c>
      <c r="AS87" s="1">
        <f ca="1">IF(COUNTIFS($J$7:$J$510,Table7[[#Headers],[Renewables Regulation]],$C$7:$C$510,$L87)&gt;0,0,MROUND(IFERROR(Z87*($P87/$AI87),0),100))</f>
        <v>0</v>
      </c>
      <c r="AT87" s="1">
        <f ca="1">IF(COUNTIFS($J$7:$J$510,Table7[[#Headers],[Flexibility Market Intelligence]],$C$7:$C$510,$L87)&gt;0,0,MROUND(IFERROR(AA87*($P87/$AI87),0),100))</f>
        <v>0</v>
      </c>
      <c r="AU87" s="1">
        <f ca="1">IF(COUNTIFS($J$7:$J$510,Table7[[#Headers],[Flexibility RTM Analysis]],$C$7:$C$510,$L87)&gt;0,0,MROUND(IFERROR(AB87*($P87/$AI87),0),100))</f>
        <v>0</v>
      </c>
      <c r="AV87" s="1">
        <f ca="1">IF(COUNTIFS($J$7:$J$510,Table7[[#Headers],[Flexibility Forecasts]],$C$7:$C$510,$L87)&gt;0,0,MROUND(IFERROR(AC87*($P87/$AI87),0),100))</f>
        <v>0</v>
      </c>
      <c r="AW87" s="1">
        <f ca="1">IF(COUNTIFS($J$7:$J$510,Table7[[#Headers],[Flexibility Regulation]],$C$7:$C$510,$L87)&gt;0,0,MROUND(IFERROR(AD87*($P87/$AI87),0),100))</f>
        <v>0</v>
      </c>
      <c r="AX87" s="1">
        <f ca="1">IF(COUNTIFS($J$7:$J$510,Table7[[#Headers],[Business Energy Essentials]],$C$7:$C$510,$L87)&gt;0,0,MROUND(IFERROR(AE87*($P87/$AI87),0),100))</f>
        <v>0</v>
      </c>
      <c r="AY87" s="1">
        <f ca="1">IF(COUNTIFS($J$7:$J$510,Table7[[#Headers],[Energy User RTM Analysis]],$C$7:$C$510,$L87)&gt;0,0,MROUND(IFERROR(AF87*($P87/$AI87),0),100))</f>
        <v>0</v>
      </c>
      <c r="AZ87" s="1">
        <f ca="1">IF(COUNTIFS($J$7:$J$510,Table7[[#Headers],[Energy User Forecasts]],$C$7:$C$510,$L87)&gt;0,0,MROUND(IFERROR(AG87*($P87/$AI87),0),100))</f>
        <v>0</v>
      </c>
      <c r="BA87" s="1">
        <f ca="1">IF(COUNTIFS($J$7:$J$510,Table7[[#Headers],[Energy User Regulation]],$C$7:$C$510,$L87)&gt;0,0,MROUND(IFERROR(AH87*($P87/$AI87),0),100))</f>
        <v>0</v>
      </c>
    </row>
    <row r="88" spans="2:53">
      <c r="B88" s="38" t="s">
        <v>2109</v>
      </c>
      <c r="C88" s="38" t="s">
        <v>151</v>
      </c>
      <c r="D88" s="38" t="s">
        <v>2111</v>
      </c>
      <c r="E88" s="38" t="s">
        <v>2112</v>
      </c>
      <c r="F88" s="63">
        <v>11700</v>
      </c>
      <c r="G88" s="38"/>
      <c r="H88" s="38" t="s">
        <v>2032</v>
      </c>
      <c r="I88" s="38" t="s">
        <v>2031</v>
      </c>
      <c r="J88" s="38" t="s">
        <v>34</v>
      </c>
      <c r="L88" s="1" t="str">
        <v>Frontier Economics Ltd</v>
      </c>
      <c r="M88" s="1" t="str">
        <f t="shared" si="7"/>
        <v>Other</v>
      </c>
      <c r="N88" s="109">
        <f t="shared" si="8"/>
        <v>7000</v>
      </c>
      <c r="O88" s="1">
        <f>IFERROR(IF(INDEX(Table3[[Total Spend]:[Total Spend]],MATCH(L88,Table3[[Company name]:[Company name]],0))&gt;N88,INDEX(Table3[[Total Spend]:[Total Spend]],MATCH(L88,Table3[[Company name]:[Company name]])),N88),50000)</f>
        <v>250000</v>
      </c>
      <c r="P88" s="109">
        <f t="shared" si="9"/>
        <v>243000</v>
      </c>
      <c r="Q88" s="103">
        <f t="shared" si="10"/>
        <v>2.8000000000000001E-2</v>
      </c>
      <c r="R88" s="1">
        <f ca="1">IFERROR(INDEX(INDIRECT("Table3[Column"&amp;R$9&amp;"]"),MATCH($L88,Table3[[Company name]:[Company name]],0)),0)</f>
        <v>8100</v>
      </c>
      <c r="S88" s="1">
        <f ca="1">IFERROR(INDEX(INDIRECT("Table3[Column"&amp;S$9&amp;"]"),MATCH($L88,Table3[[Company name]:[Company name]],0)),0)</f>
        <v>0</v>
      </c>
      <c r="T88" s="1">
        <f ca="1">IFERROR(INDEX(INDIRECT("Table3[Column"&amp;T$9&amp;"]"),MATCH($L88,Table3[[Company name]:[Company name]],0)),0)</f>
        <v>0</v>
      </c>
      <c r="U88" s="1">
        <f ca="1">IFERROR(INDEX(INDIRECT("Table3[Column"&amp;U$9&amp;"]"),MATCH($L88,Table3[[Company name]:[Company name]],0)),0)</f>
        <v>0</v>
      </c>
      <c r="V88" s="1">
        <f ca="1">IFERROR(INDEX(INDIRECT("Table3[Column"&amp;V$9&amp;"]"),MATCH($L88,Table3[[Company name]:[Company name]],0)),0)</f>
        <v>0</v>
      </c>
      <c r="W88" s="1">
        <f ca="1">IFERROR(INDEX(INDIRECT("Table3[Column"&amp;W$9&amp;"]"),MATCH($L88,Table3[[Company name]:[Company name]],0)),0)</f>
        <v>0</v>
      </c>
      <c r="X88" s="1">
        <f ca="1">IFERROR(INDEX(INDIRECT("Table3[Column"&amp;X$9&amp;"]"),MATCH($L88,Table3[[Company name]:[Company name]],0)),0)</f>
        <v>0</v>
      </c>
      <c r="Y88" s="1">
        <f ca="1">IFERROR(INDEX(INDIRECT("Table3[Column"&amp;Y$9&amp;"]"),MATCH($L88,Table3[[Company name]:[Company name]],0)),0)</f>
        <v>0</v>
      </c>
      <c r="Z88" s="1">
        <f ca="1">IFERROR(INDEX(INDIRECT("Table3[Column"&amp;Z$9&amp;"]"),MATCH($L88,Table3[[Company name]:[Company name]],0)),0)</f>
        <v>0</v>
      </c>
      <c r="AA88" s="1">
        <f ca="1">IFERROR(INDEX(INDIRECT("Table3[Column"&amp;AA$9&amp;"]"),MATCH($L88,Table3[[Company name]:[Company name]],0)),0)</f>
        <v>0</v>
      </c>
      <c r="AB88" s="1">
        <f ca="1">IFERROR(INDEX(INDIRECT("Table3[Column"&amp;AB$9&amp;"]"),MATCH($L88,Table3[[Company name]:[Company name]],0)),0)</f>
        <v>0</v>
      </c>
      <c r="AC88" s="1">
        <f ca="1">IFERROR(INDEX(INDIRECT("Table3[Column"&amp;AC$9&amp;"]"),MATCH($L88,Table3[[Company name]:[Company name]],0)),0)</f>
        <v>0</v>
      </c>
      <c r="AD88" s="1">
        <f ca="1">IFERROR(INDEX(INDIRECT("Table3[Column"&amp;AD$9&amp;"]"),MATCH($L88,Table3[[Company name]:[Company name]],0)),0)</f>
        <v>0</v>
      </c>
      <c r="AE88" s="1">
        <f ca="1">IFERROR(INDEX(INDIRECT("Table3[Column"&amp;AE$9&amp;"]"),MATCH($L88,Table3[[Company name]:[Company name]],0)),0)</f>
        <v>0</v>
      </c>
      <c r="AF88" s="1">
        <f ca="1">IFERROR(INDEX(INDIRECT("Table3[Column"&amp;AF$9&amp;"]"),MATCH($L88,Table3[[Company name]:[Company name]],0)),0)</f>
        <v>0</v>
      </c>
      <c r="AG88" s="1">
        <f ca="1">IFERROR(INDEX(INDIRECT("Table3[Column"&amp;AG$9&amp;"]"),MATCH($L88,Table3[[Company name]:[Company name]],0)),0)</f>
        <v>0</v>
      </c>
      <c r="AH88" s="1">
        <f ca="1">IFERROR(INDEX(INDIRECT("Table3[Column"&amp;AH$9&amp;"]"),MATCH($L88,Table3[[Company name]:[Company name]],0)),0)</f>
        <v>0</v>
      </c>
      <c r="AI88" s="1">
        <f t="shared" ca="1" si="11"/>
        <v>8100</v>
      </c>
      <c r="AK88" s="1">
        <f>IF(COUNTIFS($J$7:$J$510,Table7[[#Headers],[Industry Essentials]],$C$7:$C$510,$L88)&gt;0,0,MROUND(R88,100))</f>
        <v>0</v>
      </c>
      <c r="AL88" s="1">
        <f ca="1">IF(COUNTIFS($J$7:$J$510,Table7[[#Headers],[Energy Supply Market Intelligence]],$C$7:$C$510,$L88)&gt;0,0,MROUND(IFERROR(S88*($P88/$AI88),0),100))</f>
        <v>0</v>
      </c>
      <c r="AM88" s="1">
        <f ca="1">IF(COUNTIFS($J$7:$J$510,Table7[[#Headers],[Energy Supply RTM Analysis]],$C$7:$C$510,$L88)&gt;0,0,MROUND(IFERROR(T88*($P88/$AI88),0),100))</f>
        <v>0</v>
      </c>
      <c r="AN88" s="1">
        <f ca="1">IF(COUNTIFS($J$7:$J$510,Table7[[#Headers],[Energy Supply Forecasts]],$C$7:$C$510,$L88)&gt;0,0,MROUND(IFERROR(U88*($P88/$AI88),0),100))</f>
        <v>0</v>
      </c>
      <c r="AO88" s="1">
        <f ca="1">IF(COUNTIFS($J$7:$J$510,Table7[[#Headers],[Energy Supply Regulation]],$C$7:$C$510,$L88)&gt;0,0,MROUND(IFERROR(V88*($P88/$AI88),0),100))</f>
        <v>0</v>
      </c>
      <c r="AP88" s="1">
        <f ca="1">IF(COUNTIFS($J$7:$J$510,Table7[[#Headers],[Renewables Market Intelligence]],$C$7:$C$510,$L88)&gt;0,0,MROUND(IFERROR(W88*($P88/$AI88),0),100))</f>
        <v>0</v>
      </c>
      <c r="AQ88" s="1">
        <f ca="1">IF(COUNTIFS($J$7:$J$510,Table7[[#Headers],[Renewables RTM Analysis]],$C$7:$C$510,$L88)&gt;0,0,MROUND(IFERROR(X88*($P88/$AI88),0),100))</f>
        <v>0</v>
      </c>
      <c r="AR88" s="1">
        <f ca="1">IF(COUNTIFS($J$7:$J$510,Table7[[#Headers],[Renewables Forecasts]],$C$7:$C$510,$L88)&gt;0,0,MROUND(IFERROR(Y88*($P88/$AI88),0),100))</f>
        <v>0</v>
      </c>
      <c r="AS88" s="1">
        <f ca="1">IF(COUNTIFS($J$7:$J$510,Table7[[#Headers],[Renewables Regulation]],$C$7:$C$510,$L88)&gt;0,0,MROUND(IFERROR(Z88*($P88/$AI88),0),100))</f>
        <v>0</v>
      </c>
      <c r="AT88" s="1">
        <f ca="1">IF(COUNTIFS($J$7:$J$510,Table7[[#Headers],[Flexibility Market Intelligence]],$C$7:$C$510,$L88)&gt;0,0,MROUND(IFERROR(AA88*($P88/$AI88),0),100))</f>
        <v>0</v>
      </c>
      <c r="AU88" s="1">
        <f ca="1">IF(COUNTIFS($J$7:$J$510,Table7[[#Headers],[Flexibility RTM Analysis]],$C$7:$C$510,$L88)&gt;0,0,MROUND(IFERROR(AB88*($P88/$AI88),0),100))</f>
        <v>0</v>
      </c>
      <c r="AV88" s="1">
        <f ca="1">IF(COUNTIFS($J$7:$J$510,Table7[[#Headers],[Flexibility Forecasts]],$C$7:$C$510,$L88)&gt;0,0,MROUND(IFERROR(AC88*($P88/$AI88),0),100))</f>
        <v>0</v>
      </c>
      <c r="AW88" s="1">
        <f ca="1">IF(COUNTIFS($J$7:$J$510,Table7[[#Headers],[Flexibility Regulation]],$C$7:$C$510,$L88)&gt;0,0,MROUND(IFERROR(AD88*($P88/$AI88),0),100))</f>
        <v>0</v>
      </c>
      <c r="AX88" s="1">
        <f ca="1">IF(COUNTIFS($J$7:$J$510,Table7[[#Headers],[Business Energy Essentials]],$C$7:$C$510,$L88)&gt;0,0,MROUND(IFERROR(AE88*($P88/$AI88),0),100))</f>
        <v>0</v>
      </c>
      <c r="AY88" s="1">
        <f ca="1">IF(COUNTIFS($J$7:$J$510,Table7[[#Headers],[Energy User RTM Analysis]],$C$7:$C$510,$L88)&gt;0,0,MROUND(IFERROR(AF88*($P88/$AI88),0),100))</f>
        <v>0</v>
      </c>
      <c r="AZ88" s="1">
        <f ca="1">IF(COUNTIFS($J$7:$J$510,Table7[[#Headers],[Energy User Forecasts]],$C$7:$C$510,$L88)&gt;0,0,MROUND(IFERROR(AG88*($P88/$AI88),0),100))</f>
        <v>0</v>
      </c>
      <c r="BA88" s="1">
        <f ca="1">IF(COUNTIFS($J$7:$J$510,Table7[[#Headers],[Energy User Regulation]],$C$7:$C$510,$L88)&gt;0,0,MROUND(IFERROR(AH88*($P88/$AI88),0),100))</f>
        <v>0</v>
      </c>
    </row>
    <row r="89" spans="2:53">
      <c r="B89" s="38" t="s">
        <v>2109</v>
      </c>
      <c r="C89" s="38" t="s">
        <v>151</v>
      </c>
      <c r="D89" s="38" t="s">
        <v>2113</v>
      </c>
      <c r="E89" s="38" t="s">
        <v>2114</v>
      </c>
      <c r="F89" s="63">
        <v>7650</v>
      </c>
      <c r="G89" s="38"/>
      <c r="H89" s="38" t="s">
        <v>2032</v>
      </c>
      <c r="I89" s="38" t="s">
        <v>2031</v>
      </c>
      <c r="J89" s="38" t="s">
        <v>21</v>
      </c>
      <c r="L89" s="1" t="str">
        <v>FTI Consulting LLP</v>
      </c>
      <c r="M89" s="1" t="str">
        <f t="shared" si="7"/>
        <v>Other</v>
      </c>
      <c r="N89" s="109">
        <f t="shared" si="8"/>
        <v>2950</v>
      </c>
      <c r="O89" s="1">
        <f>IFERROR(IF(INDEX(Table3[[Total Spend]:[Total Spend]],MATCH(L89,Table3[[Company name]:[Company name]],0))&gt;N89,INDEX(Table3[[Total Spend]:[Total Spend]],MATCH(L89,Table3[[Company name]:[Company name]])),N89),50000)</f>
        <v>250000</v>
      </c>
      <c r="P89" s="109">
        <f t="shared" si="9"/>
        <v>247050</v>
      </c>
      <c r="Q89" s="103">
        <f t="shared" si="10"/>
        <v>1.18E-2</v>
      </c>
      <c r="R89" s="1">
        <f ca="1">IFERROR(INDEX(INDIRECT("Table3[Column"&amp;R$9&amp;"]"),MATCH($L89,Table3[[Company name]:[Company name]],0)),0)</f>
        <v>10800</v>
      </c>
      <c r="S89" s="1">
        <f ca="1">IFERROR(INDEX(INDIRECT("Table3[Column"&amp;S$9&amp;"]"),MATCH($L89,Table3[[Company name]:[Company name]],0)),0)</f>
        <v>0</v>
      </c>
      <c r="T89" s="1">
        <f ca="1">IFERROR(INDEX(INDIRECT("Table3[Column"&amp;T$9&amp;"]"),MATCH($L89,Table3[[Company name]:[Company name]],0)),0)</f>
        <v>0</v>
      </c>
      <c r="U89" s="1">
        <f ca="1">IFERROR(INDEX(INDIRECT("Table3[Column"&amp;U$9&amp;"]"),MATCH($L89,Table3[[Company name]:[Company name]],0)),0)</f>
        <v>0</v>
      </c>
      <c r="V89" s="1">
        <f ca="1">IFERROR(INDEX(INDIRECT("Table3[Column"&amp;V$9&amp;"]"),MATCH($L89,Table3[[Company name]:[Company name]],0)),0)</f>
        <v>0</v>
      </c>
      <c r="W89" s="1">
        <f ca="1">IFERROR(INDEX(INDIRECT("Table3[Column"&amp;W$9&amp;"]"),MATCH($L89,Table3[[Company name]:[Company name]],0)),0)</f>
        <v>0</v>
      </c>
      <c r="X89" s="1">
        <f ca="1">IFERROR(INDEX(INDIRECT("Table3[Column"&amp;X$9&amp;"]"),MATCH($L89,Table3[[Company name]:[Company name]],0)),0)</f>
        <v>0</v>
      </c>
      <c r="Y89" s="1">
        <f ca="1">IFERROR(INDEX(INDIRECT("Table3[Column"&amp;Y$9&amp;"]"),MATCH($L89,Table3[[Company name]:[Company name]],0)),0)</f>
        <v>0</v>
      </c>
      <c r="Z89" s="1">
        <f ca="1">IFERROR(INDEX(INDIRECT("Table3[Column"&amp;Z$9&amp;"]"),MATCH($L89,Table3[[Company name]:[Company name]],0)),0)</f>
        <v>0</v>
      </c>
      <c r="AA89" s="1">
        <f ca="1">IFERROR(INDEX(INDIRECT("Table3[Column"&amp;AA$9&amp;"]"),MATCH($L89,Table3[[Company name]:[Company name]],0)),0)</f>
        <v>0</v>
      </c>
      <c r="AB89" s="1">
        <f ca="1">IFERROR(INDEX(INDIRECT("Table3[Column"&amp;AB$9&amp;"]"),MATCH($L89,Table3[[Company name]:[Company name]],0)),0)</f>
        <v>0</v>
      </c>
      <c r="AC89" s="1">
        <f ca="1">IFERROR(INDEX(INDIRECT("Table3[Column"&amp;AC$9&amp;"]"),MATCH($L89,Table3[[Company name]:[Company name]],0)),0)</f>
        <v>0</v>
      </c>
      <c r="AD89" s="1">
        <f ca="1">IFERROR(INDEX(INDIRECT("Table3[Column"&amp;AD$9&amp;"]"),MATCH($L89,Table3[[Company name]:[Company name]],0)),0)</f>
        <v>0</v>
      </c>
      <c r="AE89" s="1">
        <f ca="1">IFERROR(INDEX(INDIRECT("Table3[Column"&amp;AE$9&amp;"]"),MATCH($L89,Table3[[Company name]:[Company name]],0)),0)</f>
        <v>0</v>
      </c>
      <c r="AF89" s="1">
        <f ca="1">IFERROR(INDEX(INDIRECT("Table3[Column"&amp;AF$9&amp;"]"),MATCH($L89,Table3[[Company name]:[Company name]],0)),0)</f>
        <v>0</v>
      </c>
      <c r="AG89" s="1">
        <f ca="1">IFERROR(INDEX(INDIRECT("Table3[Column"&amp;AG$9&amp;"]"),MATCH($L89,Table3[[Company name]:[Company name]],0)),0)</f>
        <v>0</v>
      </c>
      <c r="AH89" s="1">
        <f ca="1">IFERROR(INDEX(INDIRECT("Table3[Column"&amp;AH$9&amp;"]"),MATCH($L89,Table3[[Company name]:[Company name]],0)),0)</f>
        <v>0</v>
      </c>
      <c r="AI89" s="1">
        <f t="shared" ca="1" si="11"/>
        <v>10800</v>
      </c>
      <c r="AK89" s="1">
        <f>IF(COUNTIFS($J$7:$J$510,Table7[[#Headers],[Industry Essentials]],$C$7:$C$510,$L89)&gt;0,0,MROUND(R89,100))</f>
        <v>0</v>
      </c>
      <c r="AL89" s="1">
        <f ca="1">IF(COUNTIFS($J$7:$J$510,Table7[[#Headers],[Energy Supply Market Intelligence]],$C$7:$C$510,$L89)&gt;0,0,MROUND(IFERROR(S89*($P89/$AI89),0),100))</f>
        <v>0</v>
      </c>
      <c r="AM89" s="1">
        <f ca="1">IF(COUNTIFS($J$7:$J$510,Table7[[#Headers],[Energy Supply RTM Analysis]],$C$7:$C$510,$L89)&gt;0,0,MROUND(IFERROR(T89*($P89/$AI89),0),100))</f>
        <v>0</v>
      </c>
      <c r="AN89" s="1">
        <f ca="1">IF(COUNTIFS($J$7:$J$510,Table7[[#Headers],[Energy Supply Forecasts]],$C$7:$C$510,$L89)&gt;0,0,MROUND(IFERROR(U89*($P89/$AI89),0),100))</f>
        <v>0</v>
      </c>
      <c r="AO89" s="1">
        <f ca="1">IF(COUNTIFS($J$7:$J$510,Table7[[#Headers],[Energy Supply Regulation]],$C$7:$C$510,$L89)&gt;0,0,MROUND(IFERROR(V89*($P89/$AI89),0),100))</f>
        <v>0</v>
      </c>
      <c r="AP89" s="1">
        <f ca="1">IF(COUNTIFS($J$7:$J$510,Table7[[#Headers],[Renewables Market Intelligence]],$C$7:$C$510,$L89)&gt;0,0,MROUND(IFERROR(W89*($P89/$AI89),0),100))</f>
        <v>0</v>
      </c>
      <c r="AQ89" s="1">
        <f ca="1">IF(COUNTIFS($J$7:$J$510,Table7[[#Headers],[Renewables RTM Analysis]],$C$7:$C$510,$L89)&gt;0,0,MROUND(IFERROR(X89*($P89/$AI89),0),100))</f>
        <v>0</v>
      </c>
      <c r="AR89" s="1">
        <f ca="1">IF(COUNTIFS($J$7:$J$510,Table7[[#Headers],[Renewables Forecasts]],$C$7:$C$510,$L89)&gt;0,0,MROUND(IFERROR(Y89*($P89/$AI89),0),100))</f>
        <v>0</v>
      </c>
      <c r="AS89" s="1">
        <f ca="1">IF(COUNTIFS($J$7:$J$510,Table7[[#Headers],[Renewables Regulation]],$C$7:$C$510,$L89)&gt;0,0,MROUND(IFERROR(Z89*($P89/$AI89),0),100))</f>
        <v>0</v>
      </c>
      <c r="AT89" s="1">
        <f ca="1">IF(COUNTIFS($J$7:$J$510,Table7[[#Headers],[Flexibility Market Intelligence]],$C$7:$C$510,$L89)&gt;0,0,MROUND(IFERROR(AA89*($P89/$AI89),0),100))</f>
        <v>0</v>
      </c>
      <c r="AU89" s="1">
        <f ca="1">IF(COUNTIFS($J$7:$J$510,Table7[[#Headers],[Flexibility RTM Analysis]],$C$7:$C$510,$L89)&gt;0,0,MROUND(IFERROR(AB89*($P89/$AI89),0),100))</f>
        <v>0</v>
      </c>
      <c r="AV89" s="1">
        <f ca="1">IF(COUNTIFS($J$7:$J$510,Table7[[#Headers],[Flexibility Forecasts]],$C$7:$C$510,$L89)&gt;0,0,MROUND(IFERROR(AC89*($P89/$AI89),0),100))</f>
        <v>0</v>
      </c>
      <c r="AW89" s="1">
        <f ca="1">IF(COUNTIFS($J$7:$J$510,Table7[[#Headers],[Flexibility Regulation]],$C$7:$C$510,$L89)&gt;0,0,MROUND(IFERROR(AD89*($P89/$AI89),0),100))</f>
        <v>0</v>
      </c>
      <c r="AX89" s="1">
        <f ca="1">IF(COUNTIFS($J$7:$J$510,Table7[[#Headers],[Business Energy Essentials]],$C$7:$C$510,$L89)&gt;0,0,MROUND(IFERROR(AE89*($P89/$AI89),0),100))</f>
        <v>0</v>
      </c>
      <c r="AY89" s="1">
        <f ca="1">IF(COUNTIFS($J$7:$J$510,Table7[[#Headers],[Energy User RTM Analysis]],$C$7:$C$510,$L89)&gt;0,0,MROUND(IFERROR(AF89*($P89/$AI89),0),100))</f>
        <v>0</v>
      </c>
      <c r="AZ89" s="1">
        <f ca="1">IF(COUNTIFS($J$7:$J$510,Table7[[#Headers],[Energy User Forecasts]],$C$7:$C$510,$L89)&gt;0,0,MROUND(IFERROR(AG89*($P89/$AI89),0),100))</f>
        <v>0</v>
      </c>
      <c r="BA89" s="1">
        <f ca="1">IF(COUNTIFS($J$7:$J$510,Table7[[#Headers],[Energy User Regulation]],$C$7:$C$510,$L89)&gt;0,0,MROUND(IFERROR(AH89*($P89/$AI89),0),100))</f>
        <v>0</v>
      </c>
    </row>
    <row r="90" spans="2:53">
      <c r="B90" s="38" t="s">
        <v>2115</v>
      </c>
      <c r="C90" s="38" t="s">
        <v>154</v>
      </c>
      <c r="D90" s="38" t="s">
        <v>2081</v>
      </c>
      <c r="E90" s="38" t="s">
        <v>1890</v>
      </c>
      <c r="F90" s="63">
        <v>9750</v>
      </c>
      <c r="G90" s="38"/>
      <c r="H90" s="38" t="s">
        <v>1703</v>
      </c>
      <c r="I90" s="38" t="s">
        <v>1703</v>
      </c>
      <c r="J90" s="38" t="s">
        <v>31</v>
      </c>
      <c r="L90" s="1" t="str">
        <v>Ganninon Ltd</v>
      </c>
      <c r="M90" s="1" t="str">
        <f t="shared" si="7"/>
        <v>Supply</v>
      </c>
      <c r="N90" s="109">
        <f t="shared" si="8"/>
        <v>3900</v>
      </c>
      <c r="O90" s="1">
        <f>IFERROR(IF(INDEX(Table3[[Total Spend]:[Total Spend]],MATCH(L90,Table3[[Company name]:[Company name]],0))&gt;N90,INDEX(Table3[[Total Spend]:[Total Spend]],MATCH(L90,Table3[[Company name]:[Company name]])),N90),50000)</f>
        <v>50000</v>
      </c>
      <c r="P90" s="109">
        <f t="shared" si="9"/>
        <v>46100</v>
      </c>
      <c r="Q90" s="103">
        <f t="shared" si="10"/>
        <v>7.8E-2</v>
      </c>
      <c r="R90" s="1">
        <f ca="1">IFERROR(INDEX(INDIRECT("Table3[Column"&amp;R$9&amp;"]"),MATCH($L90,Table3[[Company name]:[Company name]],0)),0)</f>
        <v>0</v>
      </c>
      <c r="S90" s="1">
        <f ca="1">IFERROR(INDEX(INDIRECT("Table3[Column"&amp;S$9&amp;"]"),MATCH($L90,Table3[[Company name]:[Company name]],0)),0)</f>
        <v>0</v>
      </c>
      <c r="T90" s="1">
        <f ca="1">IFERROR(INDEX(INDIRECT("Table3[Column"&amp;T$9&amp;"]"),MATCH($L90,Table3[[Company name]:[Company name]],0)),0)</f>
        <v>0</v>
      </c>
      <c r="U90" s="1">
        <f ca="1">IFERROR(INDEX(INDIRECT("Table3[Column"&amp;U$9&amp;"]"),MATCH($L90,Table3[[Company name]:[Company name]],0)),0)</f>
        <v>0</v>
      </c>
      <c r="V90" s="1">
        <f ca="1">IFERROR(INDEX(INDIRECT("Table3[Column"&amp;V$9&amp;"]"),MATCH($L90,Table3[[Company name]:[Company name]],0)),0)</f>
        <v>0</v>
      </c>
      <c r="W90" s="1">
        <f ca="1">IFERROR(INDEX(INDIRECT("Table3[Column"&amp;W$9&amp;"]"),MATCH($L90,Table3[[Company name]:[Company name]],0)),0)</f>
        <v>0</v>
      </c>
      <c r="X90" s="1">
        <f ca="1">IFERROR(INDEX(INDIRECT("Table3[Column"&amp;X$9&amp;"]"),MATCH($L90,Table3[[Company name]:[Company name]],0)),0)</f>
        <v>0</v>
      </c>
      <c r="Y90" s="1">
        <f ca="1">IFERROR(INDEX(INDIRECT("Table3[Column"&amp;Y$9&amp;"]"),MATCH($L90,Table3[[Company name]:[Company name]],0)),0)</f>
        <v>0</v>
      </c>
      <c r="Z90" s="1">
        <f ca="1">IFERROR(INDEX(INDIRECT("Table3[Column"&amp;Z$9&amp;"]"),MATCH($L90,Table3[[Company name]:[Company name]],0)),0)</f>
        <v>0</v>
      </c>
      <c r="AA90" s="1">
        <f ca="1">IFERROR(INDEX(INDIRECT("Table3[Column"&amp;AA$9&amp;"]"),MATCH($L90,Table3[[Company name]:[Company name]],0)),0)</f>
        <v>0</v>
      </c>
      <c r="AB90" s="1">
        <f ca="1">IFERROR(INDEX(INDIRECT("Table3[Column"&amp;AB$9&amp;"]"),MATCH($L90,Table3[[Company name]:[Company name]],0)),0)</f>
        <v>0</v>
      </c>
      <c r="AC90" s="1">
        <f ca="1">IFERROR(INDEX(INDIRECT("Table3[Column"&amp;AC$9&amp;"]"),MATCH($L90,Table3[[Company name]:[Company name]],0)),0)</f>
        <v>0</v>
      </c>
      <c r="AD90" s="1">
        <f ca="1">IFERROR(INDEX(INDIRECT("Table3[Column"&amp;AD$9&amp;"]"),MATCH($L90,Table3[[Company name]:[Company name]],0)),0)</f>
        <v>0</v>
      </c>
      <c r="AE90" s="1">
        <f ca="1">IFERROR(INDEX(INDIRECT("Table3[Column"&amp;AE$9&amp;"]"),MATCH($L90,Table3[[Company name]:[Company name]],0)),0)</f>
        <v>0</v>
      </c>
      <c r="AF90" s="1">
        <f ca="1">IFERROR(INDEX(INDIRECT("Table3[Column"&amp;AF$9&amp;"]"),MATCH($L90,Table3[[Company name]:[Company name]],0)),0)</f>
        <v>0</v>
      </c>
      <c r="AG90" s="1">
        <f ca="1">IFERROR(INDEX(INDIRECT("Table3[Column"&amp;AG$9&amp;"]"),MATCH($L90,Table3[[Company name]:[Company name]],0)),0)</f>
        <v>0</v>
      </c>
      <c r="AH90" s="1">
        <f ca="1">IFERROR(INDEX(INDIRECT("Table3[Column"&amp;AH$9&amp;"]"),MATCH($L90,Table3[[Company name]:[Company name]],0)),0)</f>
        <v>0</v>
      </c>
      <c r="AI90" s="1">
        <f t="shared" ca="1" si="11"/>
        <v>0</v>
      </c>
      <c r="AK90" s="1">
        <f>IF(COUNTIFS($J$7:$J$510,Table7[[#Headers],[Industry Essentials]],$C$7:$C$510,$L90)&gt;0,0,MROUND(R90,100))</f>
        <v>0</v>
      </c>
      <c r="AL90" s="1">
        <f ca="1">IF(COUNTIFS($J$7:$J$510,Table7[[#Headers],[Energy Supply Market Intelligence]],$C$7:$C$510,$L90)&gt;0,0,MROUND(IFERROR(S90*($P90/$AI90),0),100))</f>
        <v>0</v>
      </c>
      <c r="AM90" s="1">
        <f ca="1">IF(COUNTIFS($J$7:$J$510,Table7[[#Headers],[Energy Supply RTM Analysis]],$C$7:$C$510,$L90)&gt;0,0,MROUND(IFERROR(T90*($P90/$AI90),0),100))</f>
        <v>0</v>
      </c>
      <c r="AN90" s="1">
        <f ca="1">IF(COUNTIFS($J$7:$J$510,Table7[[#Headers],[Energy Supply Forecasts]],$C$7:$C$510,$L90)&gt;0,0,MROUND(IFERROR(U90*($P90/$AI90),0),100))</f>
        <v>0</v>
      </c>
      <c r="AO90" s="1">
        <f ca="1">IF(COUNTIFS($J$7:$J$510,Table7[[#Headers],[Energy Supply Regulation]],$C$7:$C$510,$L90)&gt;0,0,MROUND(IFERROR(V90*($P90/$AI90),0),100))</f>
        <v>0</v>
      </c>
      <c r="AP90" s="1">
        <f ca="1">IF(COUNTIFS($J$7:$J$510,Table7[[#Headers],[Renewables Market Intelligence]],$C$7:$C$510,$L90)&gt;0,0,MROUND(IFERROR(W90*($P90/$AI90),0),100))</f>
        <v>0</v>
      </c>
      <c r="AQ90" s="1">
        <f ca="1">IF(COUNTIFS($J$7:$J$510,Table7[[#Headers],[Renewables RTM Analysis]],$C$7:$C$510,$L90)&gt;0,0,MROUND(IFERROR(X90*($P90/$AI90),0),100))</f>
        <v>0</v>
      </c>
      <c r="AR90" s="1">
        <f ca="1">IF(COUNTIFS($J$7:$J$510,Table7[[#Headers],[Renewables Forecasts]],$C$7:$C$510,$L90)&gt;0,0,MROUND(IFERROR(Y90*($P90/$AI90),0),100))</f>
        <v>0</v>
      </c>
      <c r="AS90" s="1">
        <f ca="1">IF(COUNTIFS($J$7:$J$510,Table7[[#Headers],[Renewables Regulation]],$C$7:$C$510,$L90)&gt;0,0,MROUND(IFERROR(Z90*($P90/$AI90),0),100))</f>
        <v>0</v>
      </c>
      <c r="AT90" s="1">
        <f ca="1">IF(COUNTIFS($J$7:$J$510,Table7[[#Headers],[Flexibility Market Intelligence]],$C$7:$C$510,$L90)&gt;0,0,MROUND(IFERROR(AA90*($P90/$AI90),0),100))</f>
        <v>0</v>
      </c>
      <c r="AU90" s="1">
        <f ca="1">IF(COUNTIFS($J$7:$J$510,Table7[[#Headers],[Flexibility RTM Analysis]],$C$7:$C$510,$L90)&gt;0,0,MROUND(IFERROR(AB90*($P90/$AI90),0),100))</f>
        <v>0</v>
      </c>
      <c r="AV90" s="1">
        <f ca="1">IF(COUNTIFS($J$7:$J$510,Table7[[#Headers],[Flexibility Forecasts]],$C$7:$C$510,$L90)&gt;0,0,MROUND(IFERROR(AC90*($P90/$AI90),0),100))</f>
        <v>0</v>
      </c>
      <c r="AW90" s="1">
        <f ca="1">IF(COUNTIFS($J$7:$J$510,Table7[[#Headers],[Flexibility Regulation]],$C$7:$C$510,$L90)&gt;0,0,MROUND(IFERROR(AD90*($P90/$AI90),0),100))</f>
        <v>0</v>
      </c>
      <c r="AX90" s="1">
        <f ca="1">IF(COUNTIFS($J$7:$J$510,Table7[[#Headers],[Business Energy Essentials]],$C$7:$C$510,$L90)&gt;0,0,MROUND(IFERROR(AE90*($P90/$AI90),0),100))</f>
        <v>0</v>
      </c>
      <c r="AY90" s="1">
        <f ca="1">IF(COUNTIFS($J$7:$J$510,Table7[[#Headers],[Energy User RTM Analysis]],$C$7:$C$510,$L90)&gt;0,0,MROUND(IFERROR(AF90*($P90/$AI90),0),100))</f>
        <v>0</v>
      </c>
      <c r="AZ90" s="1">
        <f ca="1">IF(COUNTIFS($J$7:$J$510,Table7[[#Headers],[Energy User Forecasts]],$C$7:$C$510,$L90)&gt;0,0,MROUND(IFERROR(AG90*($P90/$AI90),0),100))</f>
        <v>0</v>
      </c>
      <c r="BA90" s="1">
        <f ca="1">IF(COUNTIFS($J$7:$J$510,Table7[[#Headers],[Energy User Regulation]],$C$7:$C$510,$L90)&gt;0,0,MROUND(IFERROR(AH90*($P90/$AI90),0),100))</f>
        <v>0</v>
      </c>
    </row>
    <row r="91" spans="2:53">
      <c r="B91" s="38" t="s">
        <v>2116</v>
      </c>
      <c r="C91" s="38" t="s">
        <v>1213</v>
      </c>
      <c r="D91" s="38" t="s">
        <v>2040</v>
      </c>
      <c r="E91" s="38" t="s">
        <v>1799</v>
      </c>
      <c r="F91" s="63">
        <v>7650</v>
      </c>
      <c r="G91" s="38"/>
      <c r="H91" s="38" t="s">
        <v>2032</v>
      </c>
      <c r="I91" s="38" t="s">
        <v>2032</v>
      </c>
      <c r="J91" s="38" t="s">
        <v>20</v>
      </c>
      <c r="L91" s="1" t="str">
        <v>Good Energy Limited</v>
      </c>
      <c r="M91" s="1" t="str">
        <f t="shared" si="7"/>
        <v>Supply</v>
      </c>
      <c r="N91" s="109">
        <f t="shared" si="8"/>
        <v>21500</v>
      </c>
      <c r="O91" s="1">
        <f>IFERROR(IF(INDEX(Table3[[Total Spend]:[Total Spend]],MATCH(L91,Table3[[Company name]:[Company name]],0))&gt;N91,INDEX(Table3[[Total Spend]:[Total Spend]],MATCH(L91,Table3[[Company name]:[Company name]])),N91),50000)</f>
        <v>250000</v>
      </c>
      <c r="P91" s="109">
        <f t="shared" si="9"/>
        <v>228500</v>
      </c>
      <c r="Q91" s="103">
        <f t="shared" si="10"/>
        <v>8.5999999999999993E-2</v>
      </c>
      <c r="R91" s="1">
        <f ca="1">IFERROR(INDEX(INDIRECT("Table3[Column"&amp;R$9&amp;"]"),MATCH($L91,Table3[[Company name]:[Company name]],0)),0)</f>
        <v>8100</v>
      </c>
      <c r="S91" s="1">
        <f ca="1">IFERROR(INDEX(INDIRECT("Table3[Column"&amp;S$9&amp;"]"),MATCH($L91,Table3[[Company name]:[Company name]],0)),0)</f>
        <v>30600</v>
      </c>
      <c r="T91" s="1">
        <f ca="1">IFERROR(INDEX(INDIRECT("Table3[Column"&amp;T$9&amp;"]"),MATCH($L91,Table3[[Company name]:[Company name]],0)),0)</f>
        <v>53100</v>
      </c>
      <c r="U91" s="1">
        <f ca="1">IFERROR(INDEX(INDIRECT("Table3[Column"&amp;U$9&amp;"]"),MATCH($L91,Table3[[Company name]:[Company name]],0)),0)</f>
        <v>34200</v>
      </c>
      <c r="V91" s="1">
        <f ca="1">IFERROR(INDEX(INDIRECT("Table3[Column"&amp;V$9&amp;"]"),MATCH($L91,Table3[[Company name]:[Company name]],0)),0)</f>
        <v>39600</v>
      </c>
      <c r="W91" s="1">
        <f ca="1">IFERROR(INDEX(INDIRECT("Table3[Column"&amp;W$9&amp;"]"),MATCH($L91,Table3[[Company name]:[Company name]],0)),0)</f>
        <v>0</v>
      </c>
      <c r="X91" s="1">
        <f ca="1">IFERROR(INDEX(INDIRECT("Table3[Column"&amp;X$9&amp;"]"),MATCH($L91,Table3[[Company name]:[Company name]],0)),0)</f>
        <v>15300</v>
      </c>
      <c r="Y91" s="1">
        <f ca="1">IFERROR(INDEX(INDIRECT("Table3[Column"&amp;Y$9&amp;"]"),MATCH($L91,Table3[[Company name]:[Company name]],0)),0)</f>
        <v>0</v>
      </c>
      <c r="Z91" s="1">
        <f ca="1">IFERROR(INDEX(INDIRECT("Table3[Column"&amp;Z$9&amp;"]"),MATCH($L91,Table3[[Company name]:[Company name]],0)),0)</f>
        <v>0</v>
      </c>
      <c r="AA91" s="1">
        <f ca="1">IFERROR(INDEX(INDIRECT("Table3[Column"&amp;AA$9&amp;"]"),MATCH($L91,Table3[[Company name]:[Company name]],0)),0)</f>
        <v>21600</v>
      </c>
      <c r="AB91" s="1">
        <f ca="1">IFERROR(INDEX(INDIRECT("Table3[Column"&amp;AB$9&amp;"]"),MATCH($L91,Table3[[Company name]:[Company name]],0)),0)</f>
        <v>7650</v>
      </c>
      <c r="AC91" s="1">
        <f ca="1">IFERROR(INDEX(INDIRECT("Table3[Column"&amp;AC$9&amp;"]"),MATCH($L91,Table3[[Company name]:[Company name]],0)),0)</f>
        <v>31500</v>
      </c>
      <c r="AD91" s="1">
        <f ca="1">IFERROR(INDEX(INDIRECT("Table3[Column"&amp;AD$9&amp;"]"),MATCH($L91,Table3[[Company name]:[Company name]],0)),0)</f>
        <v>0</v>
      </c>
      <c r="AE91" s="1">
        <f ca="1">IFERROR(INDEX(INDIRECT("Table3[Column"&amp;AE$9&amp;"]"),MATCH($L91,Table3[[Company name]:[Company name]],0)),0)</f>
        <v>0</v>
      </c>
      <c r="AF91" s="1">
        <f ca="1">IFERROR(INDEX(INDIRECT("Table3[Column"&amp;AF$9&amp;"]"),MATCH($L91,Table3[[Company name]:[Company name]],0)),0)</f>
        <v>0</v>
      </c>
      <c r="AG91" s="1">
        <f ca="1">IFERROR(INDEX(INDIRECT("Table3[Column"&amp;AG$9&amp;"]"),MATCH($L91,Table3[[Company name]:[Company name]],0)),0)</f>
        <v>0</v>
      </c>
      <c r="AH91" s="1">
        <f ca="1">IFERROR(INDEX(INDIRECT("Table3[Column"&amp;AH$9&amp;"]"),MATCH($L91,Table3[[Company name]:[Company name]],0)),0)</f>
        <v>0</v>
      </c>
      <c r="AI91" s="1">
        <f t="shared" ca="1" si="11"/>
        <v>241650</v>
      </c>
      <c r="AK91" s="1">
        <f>IF(COUNTIFS($J$7:$J$510,Table7[[#Headers],[Industry Essentials]],$C$7:$C$510,$L91)&gt;0,0,MROUND(R91,100))</f>
        <v>0</v>
      </c>
      <c r="AL91" s="1">
        <f ca="1">IF(COUNTIFS($J$7:$J$510,Table7[[#Headers],[Energy Supply Market Intelligence]],$C$7:$C$510,$L91)&gt;0,0,MROUND(IFERROR(S91*($P91/$AI91),0),100))</f>
        <v>28900</v>
      </c>
      <c r="AM91" s="1">
        <f ca="1">IF(COUNTIFS($J$7:$J$510,Table7[[#Headers],[Energy Supply RTM Analysis]],$C$7:$C$510,$L91)&gt;0,0,MROUND(IFERROR(T91*($P91/$AI91),0),100))</f>
        <v>50200</v>
      </c>
      <c r="AN91" s="1">
        <f>IF(COUNTIFS($J$7:$J$510,Table7[[#Headers],[Energy Supply Forecasts]],$C$7:$C$510,$L91)&gt;0,0,MROUND(IFERROR(U91*($P91/$AI91),0),100))</f>
        <v>0</v>
      </c>
      <c r="AO91" s="1">
        <f ca="1">IF(COUNTIFS($J$7:$J$510,Table7[[#Headers],[Energy Supply Regulation]],$C$7:$C$510,$L91)&gt;0,0,MROUND(IFERROR(V91*($P91/$AI91),0),100))</f>
        <v>37400</v>
      </c>
      <c r="AP91" s="1">
        <f ca="1">IF(COUNTIFS($J$7:$J$510,Table7[[#Headers],[Renewables Market Intelligence]],$C$7:$C$510,$L91)&gt;0,0,MROUND(IFERROR(W91*($P91/$AI91),0),100))</f>
        <v>0</v>
      </c>
      <c r="AQ91" s="1">
        <f ca="1">IF(COUNTIFS($J$7:$J$510,Table7[[#Headers],[Renewables RTM Analysis]],$C$7:$C$510,$L91)&gt;0,0,MROUND(IFERROR(X91*($P91/$AI91),0),100))</f>
        <v>14500</v>
      </c>
      <c r="AR91" s="1">
        <f ca="1">IF(COUNTIFS($J$7:$J$510,Table7[[#Headers],[Renewables Forecasts]],$C$7:$C$510,$L91)&gt;0,0,MROUND(IFERROR(Y91*($P91/$AI91),0),100))</f>
        <v>0</v>
      </c>
      <c r="AS91" s="1">
        <f ca="1">IF(COUNTIFS($J$7:$J$510,Table7[[#Headers],[Renewables Regulation]],$C$7:$C$510,$L91)&gt;0,0,MROUND(IFERROR(Z91*($P91/$AI91),0),100))</f>
        <v>0</v>
      </c>
      <c r="AT91" s="1">
        <f ca="1">IF(COUNTIFS($J$7:$J$510,Table7[[#Headers],[Flexibility Market Intelligence]],$C$7:$C$510,$L91)&gt;0,0,MROUND(IFERROR(AA91*($P91/$AI91),0),100))</f>
        <v>20400</v>
      </c>
      <c r="AU91" s="1">
        <f ca="1">IF(COUNTIFS($J$7:$J$510,Table7[[#Headers],[Flexibility RTM Analysis]],$C$7:$C$510,$L91)&gt;0,0,MROUND(IFERROR(AB91*($P91/$AI91),0),100))</f>
        <v>7200</v>
      </c>
      <c r="AV91" s="1">
        <f ca="1">IF(COUNTIFS($J$7:$J$510,Table7[[#Headers],[Flexibility Forecasts]],$C$7:$C$510,$L91)&gt;0,0,MROUND(IFERROR(AC91*($P91/$AI91),0),100))</f>
        <v>29800</v>
      </c>
      <c r="AW91" s="1">
        <f ca="1">IF(COUNTIFS($J$7:$J$510,Table7[[#Headers],[Flexibility Regulation]],$C$7:$C$510,$L91)&gt;0,0,MROUND(IFERROR(AD91*($P91/$AI91),0),100))</f>
        <v>0</v>
      </c>
      <c r="AX91" s="1">
        <f ca="1">IF(COUNTIFS($J$7:$J$510,Table7[[#Headers],[Business Energy Essentials]],$C$7:$C$510,$L91)&gt;0,0,MROUND(IFERROR(AE91*($P91/$AI91),0),100))</f>
        <v>0</v>
      </c>
      <c r="AY91" s="1">
        <f ca="1">IF(COUNTIFS($J$7:$J$510,Table7[[#Headers],[Energy User RTM Analysis]],$C$7:$C$510,$L91)&gt;0,0,MROUND(IFERROR(AF91*($P91/$AI91),0),100))</f>
        <v>0</v>
      </c>
      <c r="AZ91" s="1">
        <f ca="1">IF(COUNTIFS($J$7:$J$510,Table7[[#Headers],[Energy User Forecasts]],$C$7:$C$510,$L91)&gt;0,0,MROUND(IFERROR(AG91*($P91/$AI91),0),100))</f>
        <v>0</v>
      </c>
      <c r="BA91" s="1">
        <f ca="1">IF(COUNTIFS($J$7:$J$510,Table7[[#Headers],[Energy User Regulation]],$C$7:$C$510,$L91)&gt;0,0,MROUND(IFERROR(AH91*($P91/$AI91),0),100))</f>
        <v>0</v>
      </c>
    </row>
    <row r="92" spans="2:53">
      <c r="B92" s="38" t="s">
        <v>2117</v>
      </c>
      <c r="C92" s="38" t="s">
        <v>68</v>
      </c>
      <c r="D92" s="38" t="s">
        <v>2079</v>
      </c>
      <c r="E92" s="38" t="s">
        <v>1810</v>
      </c>
      <c r="F92" s="63">
        <v>17430</v>
      </c>
      <c r="G92" s="38"/>
      <c r="H92" s="38" t="s">
        <v>1702</v>
      </c>
      <c r="I92" s="38" t="s">
        <v>2031</v>
      </c>
      <c r="J92" s="38" t="s">
        <v>22</v>
      </c>
      <c r="L92" s="1" t="str">
        <v>Gowling WLG (UK) LLP</v>
      </c>
      <c r="M92" s="1" t="str">
        <f t="shared" si="7"/>
        <v>Other</v>
      </c>
      <c r="N92" s="109">
        <f t="shared" si="8"/>
        <v>7200</v>
      </c>
      <c r="O92" s="1">
        <f>IFERROR(IF(INDEX(Table3[[Total Spend]:[Total Spend]],MATCH(L92,Table3[[Company name]:[Company name]],0))&gt;N92,INDEX(Table3[[Total Spend]:[Total Spend]],MATCH(L92,Table3[[Company name]:[Company name]])),N92),50000)</f>
        <v>250000</v>
      </c>
      <c r="P92" s="109">
        <f t="shared" si="9"/>
        <v>242800</v>
      </c>
      <c r="Q92" s="103">
        <f t="shared" si="10"/>
        <v>2.8799999999999999E-2</v>
      </c>
      <c r="R92" s="1">
        <f ca="1">IFERROR(INDEX(INDIRECT("Table3[Column"&amp;R$9&amp;"]"),MATCH($L92,Table3[[Company name]:[Company name]],0)),0)</f>
        <v>10800</v>
      </c>
      <c r="S92" s="1">
        <f ca="1">IFERROR(INDEX(INDIRECT("Table3[Column"&amp;S$9&amp;"]"),MATCH($L92,Table3[[Company name]:[Company name]],0)),0)</f>
        <v>0</v>
      </c>
      <c r="T92" s="1">
        <f ca="1">IFERROR(INDEX(INDIRECT("Table3[Column"&amp;T$9&amp;"]"),MATCH($L92,Table3[[Company name]:[Company name]],0)),0)</f>
        <v>0</v>
      </c>
      <c r="U92" s="1">
        <f ca="1">IFERROR(INDEX(INDIRECT("Table3[Column"&amp;U$9&amp;"]"),MATCH($L92,Table3[[Company name]:[Company name]],0)),0)</f>
        <v>0</v>
      </c>
      <c r="V92" s="1">
        <f ca="1">IFERROR(INDEX(INDIRECT("Table3[Column"&amp;V$9&amp;"]"),MATCH($L92,Table3[[Company name]:[Company name]],0)),0)</f>
        <v>0</v>
      </c>
      <c r="W92" s="1">
        <f ca="1">IFERROR(INDEX(INDIRECT("Table3[Column"&amp;W$9&amp;"]"),MATCH($L92,Table3[[Company name]:[Company name]],0)),0)</f>
        <v>0</v>
      </c>
      <c r="X92" s="1">
        <f ca="1">IFERROR(INDEX(INDIRECT("Table3[Column"&amp;X$9&amp;"]"),MATCH($L92,Table3[[Company name]:[Company name]],0)),0)</f>
        <v>0</v>
      </c>
      <c r="Y92" s="1">
        <f ca="1">IFERROR(INDEX(INDIRECT("Table3[Column"&amp;Y$9&amp;"]"),MATCH($L92,Table3[[Company name]:[Company name]],0)),0)</f>
        <v>0</v>
      </c>
      <c r="Z92" s="1">
        <f ca="1">IFERROR(INDEX(INDIRECT("Table3[Column"&amp;Z$9&amp;"]"),MATCH($L92,Table3[[Company name]:[Company name]],0)),0)</f>
        <v>0</v>
      </c>
      <c r="AA92" s="1">
        <f ca="1">IFERROR(INDEX(INDIRECT("Table3[Column"&amp;AA$9&amp;"]"),MATCH($L92,Table3[[Company name]:[Company name]],0)),0)</f>
        <v>0</v>
      </c>
      <c r="AB92" s="1">
        <f ca="1">IFERROR(INDEX(INDIRECT("Table3[Column"&amp;AB$9&amp;"]"),MATCH($L92,Table3[[Company name]:[Company name]],0)),0)</f>
        <v>0</v>
      </c>
      <c r="AC92" s="1">
        <f ca="1">IFERROR(INDEX(INDIRECT("Table3[Column"&amp;AC$9&amp;"]"),MATCH($L92,Table3[[Company name]:[Company name]],0)),0)</f>
        <v>0</v>
      </c>
      <c r="AD92" s="1">
        <f ca="1">IFERROR(INDEX(INDIRECT("Table3[Column"&amp;AD$9&amp;"]"),MATCH($L92,Table3[[Company name]:[Company name]],0)),0)</f>
        <v>0</v>
      </c>
      <c r="AE92" s="1">
        <f ca="1">IFERROR(INDEX(INDIRECT("Table3[Column"&amp;AE$9&amp;"]"),MATCH($L92,Table3[[Company name]:[Company name]],0)),0)</f>
        <v>0</v>
      </c>
      <c r="AF92" s="1">
        <f ca="1">IFERROR(INDEX(INDIRECT("Table3[Column"&amp;AF$9&amp;"]"),MATCH($L92,Table3[[Company name]:[Company name]],0)),0)</f>
        <v>0</v>
      </c>
      <c r="AG92" s="1">
        <f ca="1">IFERROR(INDEX(INDIRECT("Table3[Column"&amp;AG$9&amp;"]"),MATCH($L92,Table3[[Company name]:[Company name]],0)),0)</f>
        <v>0</v>
      </c>
      <c r="AH92" s="1">
        <f ca="1">IFERROR(INDEX(INDIRECT("Table3[Column"&amp;AH$9&amp;"]"),MATCH($L92,Table3[[Company name]:[Company name]],0)),0)</f>
        <v>0</v>
      </c>
      <c r="AI92" s="1">
        <f t="shared" ca="1" si="11"/>
        <v>10800</v>
      </c>
      <c r="AK92" s="1">
        <f>IF(COUNTIFS($J$7:$J$510,Table7[[#Headers],[Industry Essentials]],$C$7:$C$510,$L92)&gt;0,0,MROUND(R92,100))</f>
        <v>0</v>
      </c>
      <c r="AL92" s="1">
        <f ca="1">IF(COUNTIFS($J$7:$J$510,Table7[[#Headers],[Energy Supply Market Intelligence]],$C$7:$C$510,$L92)&gt;0,0,MROUND(IFERROR(S92*($P92/$AI92),0),100))</f>
        <v>0</v>
      </c>
      <c r="AM92" s="1">
        <f ca="1">IF(COUNTIFS($J$7:$J$510,Table7[[#Headers],[Energy Supply RTM Analysis]],$C$7:$C$510,$L92)&gt;0,0,MROUND(IFERROR(T92*($P92/$AI92),0),100))</f>
        <v>0</v>
      </c>
      <c r="AN92" s="1">
        <f ca="1">IF(COUNTIFS($J$7:$J$510,Table7[[#Headers],[Energy Supply Forecasts]],$C$7:$C$510,$L92)&gt;0,0,MROUND(IFERROR(U92*($P92/$AI92),0),100))</f>
        <v>0</v>
      </c>
      <c r="AO92" s="1">
        <f ca="1">IF(COUNTIFS($J$7:$J$510,Table7[[#Headers],[Energy Supply Regulation]],$C$7:$C$510,$L92)&gt;0,0,MROUND(IFERROR(V92*($P92/$AI92),0),100))</f>
        <v>0</v>
      </c>
      <c r="AP92" s="1">
        <f ca="1">IF(COUNTIFS($J$7:$J$510,Table7[[#Headers],[Renewables Market Intelligence]],$C$7:$C$510,$L92)&gt;0,0,MROUND(IFERROR(W92*($P92/$AI92),0),100))</f>
        <v>0</v>
      </c>
      <c r="AQ92" s="1">
        <f ca="1">IF(COUNTIFS($J$7:$J$510,Table7[[#Headers],[Renewables RTM Analysis]],$C$7:$C$510,$L92)&gt;0,0,MROUND(IFERROR(X92*($P92/$AI92),0),100))</f>
        <v>0</v>
      </c>
      <c r="AR92" s="1">
        <f ca="1">IF(COUNTIFS($J$7:$J$510,Table7[[#Headers],[Renewables Forecasts]],$C$7:$C$510,$L92)&gt;0,0,MROUND(IFERROR(Y92*($P92/$AI92),0),100))</f>
        <v>0</v>
      </c>
      <c r="AS92" s="1">
        <f ca="1">IF(COUNTIFS($J$7:$J$510,Table7[[#Headers],[Renewables Regulation]],$C$7:$C$510,$L92)&gt;0,0,MROUND(IFERROR(Z92*($P92/$AI92),0),100))</f>
        <v>0</v>
      </c>
      <c r="AT92" s="1">
        <f ca="1">IF(COUNTIFS($J$7:$J$510,Table7[[#Headers],[Flexibility Market Intelligence]],$C$7:$C$510,$L92)&gt;0,0,MROUND(IFERROR(AA92*($P92/$AI92),0),100))</f>
        <v>0</v>
      </c>
      <c r="AU92" s="1">
        <f ca="1">IF(COUNTIFS($J$7:$J$510,Table7[[#Headers],[Flexibility RTM Analysis]],$C$7:$C$510,$L92)&gt;0,0,MROUND(IFERROR(AB92*($P92/$AI92),0),100))</f>
        <v>0</v>
      </c>
      <c r="AV92" s="1">
        <f ca="1">IF(COUNTIFS($J$7:$J$510,Table7[[#Headers],[Flexibility Forecasts]],$C$7:$C$510,$L92)&gt;0,0,MROUND(IFERROR(AC92*($P92/$AI92),0),100))</f>
        <v>0</v>
      </c>
      <c r="AW92" s="1">
        <f ca="1">IF(COUNTIFS($J$7:$J$510,Table7[[#Headers],[Flexibility Regulation]],$C$7:$C$510,$L92)&gt;0,0,MROUND(IFERROR(AD92*($P92/$AI92),0),100))</f>
        <v>0</v>
      </c>
      <c r="AX92" s="1">
        <f ca="1">IF(COUNTIFS($J$7:$J$510,Table7[[#Headers],[Business Energy Essentials]],$C$7:$C$510,$L92)&gt;0,0,MROUND(IFERROR(AE92*($P92/$AI92),0),100))</f>
        <v>0</v>
      </c>
      <c r="AY92" s="1">
        <f ca="1">IF(COUNTIFS($J$7:$J$510,Table7[[#Headers],[Energy User RTM Analysis]],$C$7:$C$510,$L92)&gt;0,0,MROUND(IFERROR(AF92*($P92/$AI92),0),100))</f>
        <v>0</v>
      </c>
      <c r="AZ92" s="1">
        <f ca="1">IF(COUNTIFS($J$7:$J$510,Table7[[#Headers],[Energy User Forecasts]],$C$7:$C$510,$L92)&gt;0,0,MROUND(IFERROR(AG92*($P92/$AI92),0),100))</f>
        <v>0</v>
      </c>
      <c r="BA92" s="1">
        <f ca="1">IF(COUNTIFS($J$7:$J$510,Table7[[#Headers],[Energy User Regulation]],$C$7:$C$510,$L92)&gt;0,0,MROUND(IFERROR(AH92*($P92/$AI92),0),100))</f>
        <v>0</v>
      </c>
    </row>
    <row r="93" spans="2:53">
      <c r="B93" s="38" t="s">
        <v>2117</v>
      </c>
      <c r="C93" s="38" t="s">
        <v>68</v>
      </c>
      <c r="D93" s="38" t="s">
        <v>2040</v>
      </c>
      <c r="E93" s="38" t="s">
        <v>1799</v>
      </c>
      <c r="F93" s="63">
        <v>18000</v>
      </c>
      <c r="G93" s="38"/>
      <c r="H93" s="38" t="s">
        <v>1702</v>
      </c>
      <c r="I93" s="38" t="s">
        <v>2032</v>
      </c>
      <c r="J93" s="38" t="s">
        <v>20</v>
      </c>
      <c r="L93" s="1" t="str">
        <v>Greater London Authority</v>
      </c>
      <c r="M93" s="1" t="str">
        <f t="shared" si="7"/>
        <v>Energy User</v>
      </c>
      <c r="N93" s="109">
        <f t="shared" si="8"/>
        <v>6500</v>
      </c>
      <c r="O93" s="1">
        <f>IFERROR(IF(INDEX(Table3[[Total Spend]:[Total Spend]],MATCH(L93,Table3[[Company name]:[Company name]],0))&gt;N93,INDEX(Table3[[Total Spend]:[Total Spend]],MATCH(L93,Table3[[Company name]:[Company name]])),N93),50000)</f>
        <v>250000</v>
      </c>
      <c r="P93" s="109">
        <f t="shared" si="9"/>
        <v>243500</v>
      </c>
      <c r="Q93" s="103">
        <f t="shared" si="10"/>
        <v>2.5999999999999999E-2</v>
      </c>
      <c r="R93" s="1">
        <f ca="1">IFERROR(INDEX(INDIRECT("Table3[Column"&amp;R$9&amp;"]"),MATCH($L93,Table3[[Company name]:[Company name]],0)),0)</f>
        <v>0</v>
      </c>
      <c r="S93" s="1">
        <f ca="1">IFERROR(INDEX(INDIRECT("Table3[Column"&amp;S$9&amp;"]"),MATCH($L93,Table3[[Company name]:[Company name]],0)),0)</f>
        <v>0</v>
      </c>
      <c r="T93" s="1">
        <f ca="1">IFERROR(INDEX(INDIRECT("Table3[Column"&amp;T$9&amp;"]"),MATCH($L93,Table3[[Company name]:[Company name]],0)),0)</f>
        <v>0</v>
      </c>
      <c r="U93" s="1">
        <f ca="1">IFERROR(INDEX(INDIRECT("Table3[Column"&amp;U$9&amp;"]"),MATCH($L93,Table3[[Company name]:[Company name]],0)),0)</f>
        <v>0</v>
      </c>
      <c r="V93" s="1">
        <f ca="1">IFERROR(INDEX(INDIRECT("Table3[Column"&amp;V$9&amp;"]"),MATCH($L93,Table3[[Company name]:[Company name]],0)),0)</f>
        <v>0</v>
      </c>
      <c r="W93" s="1">
        <f ca="1">IFERROR(INDEX(INDIRECT("Table3[Column"&amp;W$9&amp;"]"),MATCH($L93,Table3[[Company name]:[Company name]],0)),0)</f>
        <v>0</v>
      </c>
      <c r="X93" s="1">
        <f ca="1">IFERROR(INDEX(INDIRECT("Table3[Column"&amp;X$9&amp;"]"),MATCH($L93,Table3[[Company name]:[Company name]],0)),0)</f>
        <v>0</v>
      </c>
      <c r="Y93" s="1">
        <f ca="1">IFERROR(INDEX(INDIRECT("Table3[Column"&amp;Y$9&amp;"]"),MATCH($L93,Table3[[Company name]:[Company name]],0)),0)</f>
        <v>0</v>
      </c>
      <c r="Z93" s="1">
        <f ca="1">IFERROR(INDEX(INDIRECT("Table3[Column"&amp;Z$9&amp;"]"),MATCH($L93,Table3[[Company name]:[Company name]],0)),0)</f>
        <v>0</v>
      </c>
      <c r="AA93" s="1">
        <f ca="1">IFERROR(INDEX(INDIRECT("Table3[Column"&amp;AA$9&amp;"]"),MATCH($L93,Table3[[Company name]:[Company name]],0)),0)</f>
        <v>0</v>
      </c>
      <c r="AB93" s="1">
        <f ca="1">IFERROR(INDEX(INDIRECT("Table3[Column"&amp;AB$9&amp;"]"),MATCH($L93,Table3[[Company name]:[Company name]],0)),0)</f>
        <v>0</v>
      </c>
      <c r="AC93" s="1">
        <f ca="1">IFERROR(INDEX(INDIRECT("Table3[Column"&amp;AC$9&amp;"]"),MATCH($L93,Table3[[Company name]:[Company name]],0)),0)</f>
        <v>0</v>
      </c>
      <c r="AD93" s="1">
        <f ca="1">IFERROR(INDEX(INDIRECT("Table3[Column"&amp;AD$9&amp;"]"),MATCH($L93,Table3[[Company name]:[Company name]],0)),0)</f>
        <v>0</v>
      </c>
      <c r="AE93" s="1">
        <f ca="1">IFERROR(INDEX(INDIRECT("Table3[Column"&amp;AE$9&amp;"]"),MATCH($L93,Table3[[Company name]:[Company name]],0)),0)</f>
        <v>10800</v>
      </c>
      <c r="AF93" s="1">
        <f ca="1">IFERROR(INDEX(INDIRECT("Table3[Column"&amp;AF$9&amp;"]"),MATCH($L93,Table3[[Company name]:[Company name]],0)),0)</f>
        <v>11250</v>
      </c>
      <c r="AG93" s="1">
        <f ca="1">IFERROR(INDEX(INDIRECT("Table3[Column"&amp;AG$9&amp;"]"),MATCH($L93,Table3[[Company name]:[Company name]],0)),0)</f>
        <v>19800</v>
      </c>
      <c r="AH93" s="1">
        <f ca="1">IFERROR(INDEX(INDIRECT("Table3[Column"&amp;AH$9&amp;"]"),MATCH($L93,Table3[[Company name]:[Company name]],0)),0)</f>
        <v>4500</v>
      </c>
      <c r="AI93" s="1">
        <f t="shared" ca="1" si="11"/>
        <v>46350</v>
      </c>
      <c r="AK93" s="1">
        <f>IF(COUNTIFS($J$7:$J$510,Table7[[#Headers],[Industry Essentials]],$C$7:$C$510,$L93)&gt;0,0,MROUND(R93,100))</f>
        <v>0</v>
      </c>
      <c r="AL93" s="1">
        <f ca="1">IF(COUNTIFS($J$7:$J$510,Table7[[#Headers],[Energy Supply Market Intelligence]],$C$7:$C$510,$L93)&gt;0,0,MROUND(IFERROR(S93*($P93/$AI93),0),100))</f>
        <v>0</v>
      </c>
      <c r="AM93" s="1">
        <f ca="1">IF(COUNTIFS($J$7:$J$510,Table7[[#Headers],[Energy Supply RTM Analysis]],$C$7:$C$510,$L93)&gt;0,0,MROUND(IFERROR(T93*($P93/$AI93),0),100))</f>
        <v>0</v>
      </c>
      <c r="AN93" s="1">
        <f ca="1">IF(COUNTIFS($J$7:$J$510,Table7[[#Headers],[Energy Supply Forecasts]],$C$7:$C$510,$L93)&gt;0,0,MROUND(IFERROR(U93*($P93/$AI93),0),100))</f>
        <v>0</v>
      </c>
      <c r="AO93" s="1">
        <f ca="1">IF(COUNTIFS($J$7:$J$510,Table7[[#Headers],[Energy Supply Regulation]],$C$7:$C$510,$L93)&gt;0,0,MROUND(IFERROR(V93*($P93/$AI93),0),100))</f>
        <v>0</v>
      </c>
      <c r="AP93" s="1">
        <f ca="1">IF(COUNTIFS($J$7:$J$510,Table7[[#Headers],[Renewables Market Intelligence]],$C$7:$C$510,$L93)&gt;0,0,MROUND(IFERROR(W93*($P93/$AI93),0),100))</f>
        <v>0</v>
      </c>
      <c r="AQ93" s="1">
        <f ca="1">IF(COUNTIFS($J$7:$J$510,Table7[[#Headers],[Renewables RTM Analysis]],$C$7:$C$510,$L93)&gt;0,0,MROUND(IFERROR(X93*($P93/$AI93),0),100))</f>
        <v>0</v>
      </c>
      <c r="AR93" s="1">
        <f ca="1">IF(COUNTIFS($J$7:$J$510,Table7[[#Headers],[Renewables Forecasts]],$C$7:$C$510,$L93)&gt;0,0,MROUND(IFERROR(Y93*($P93/$AI93),0),100))</f>
        <v>0</v>
      </c>
      <c r="AS93" s="1">
        <f ca="1">IF(COUNTIFS($J$7:$J$510,Table7[[#Headers],[Renewables Regulation]],$C$7:$C$510,$L93)&gt;0,0,MROUND(IFERROR(Z93*($P93/$AI93),0),100))</f>
        <v>0</v>
      </c>
      <c r="AT93" s="1">
        <f ca="1">IF(COUNTIFS($J$7:$J$510,Table7[[#Headers],[Flexibility Market Intelligence]],$C$7:$C$510,$L93)&gt;0,0,MROUND(IFERROR(AA93*($P93/$AI93),0),100))</f>
        <v>0</v>
      </c>
      <c r="AU93" s="1">
        <f ca="1">IF(COUNTIFS($J$7:$J$510,Table7[[#Headers],[Flexibility RTM Analysis]],$C$7:$C$510,$L93)&gt;0,0,MROUND(IFERROR(AB93*($P93/$AI93),0),100))</f>
        <v>0</v>
      </c>
      <c r="AV93" s="1">
        <f ca="1">IF(COUNTIFS($J$7:$J$510,Table7[[#Headers],[Flexibility Forecasts]],$C$7:$C$510,$L93)&gt;0,0,MROUND(IFERROR(AC93*($P93/$AI93),0),100))</f>
        <v>0</v>
      </c>
      <c r="AW93" s="1">
        <f ca="1">IF(COUNTIFS($J$7:$J$510,Table7[[#Headers],[Flexibility Regulation]],$C$7:$C$510,$L93)&gt;0,0,MROUND(IFERROR(AD93*($P93/$AI93),0),100))</f>
        <v>0</v>
      </c>
      <c r="AX93" s="1">
        <f ca="1">IF(COUNTIFS($J$7:$J$510,Table7[[#Headers],[Business Energy Essentials]],$C$7:$C$510,$L93)&gt;0,0,MROUND(IFERROR(AE93*($P93/$AI93),0),100))</f>
        <v>56700</v>
      </c>
      <c r="AY93" s="1">
        <f ca="1">IF(COUNTIFS($J$7:$J$510,Table7[[#Headers],[Energy User RTM Analysis]],$C$7:$C$510,$L93)&gt;0,0,MROUND(IFERROR(AF93*($P93/$AI93),0),100))</f>
        <v>59100</v>
      </c>
      <c r="AZ93" s="1">
        <f ca="1">IF(COUNTIFS($J$7:$J$510,Table7[[#Headers],[Energy User Forecasts]],$C$7:$C$510,$L93)&gt;0,0,MROUND(IFERROR(AG93*($P93/$AI93),0),100))</f>
        <v>104000</v>
      </c>
      <c r="BA93" s="1">
        <f ca="1">IF(COUNTIFS($J$7:$J$510,Table7[[#Headers],[Energy User Regulation]],$C$7:$C$510,$L93)&gt;0,0,MROUND(IFERROR(AH93*($P93/$AI93),0),100))</f>
        <v>23600</v>
      </c>
    </row>
    <row r="94" spans="2:53">
      <c r="B94" s="38" t="s">
        <v>2117</v>
      </c>
      <c r="C94" s="38" t="s">
        <v>68</v>
      </c>
      <c r="D94" s="38" t="s">
        <v>2072</v>
      </c>
      <c r="E94" s="38" t="s">
        <v>1918</v>
      </c>
      <c r="F94" s="63">
        <v>38000</v>
      </c>
      <c r="G94" s="38"/>
      <c r="H94" s="38" t="s">
        <v>1702</v>
      </c>
      <c r="I94" s="38" t="s">
        <v>1702</v>
      </c>
      <c r="J94" s="38" t="s">
        <v>26</v>
      </c>
      <c r="L94" s="1" t="str">
        <v>Green Energy (UK) Ltd</v>
      </c>
      <c r="M94" s="1" t="str">
        <f t="shared" si="7"/>
        <v>Supply</v>
      </c>
      <c r="N94" s="109">
        <f t="shared" si="8"/>
        <v>18700</v>
      </c>
      <c r="O94" s="1">
        <f>IFERROR(IF(INDEX(Table3[[Total Spend]:[Total Spend]],MATCH(L94,Table3[[Company name]:[Company name]],0))&gt;N94,INDEX(Table3[[Total Spend]:[Total Spend]],MATCH(L94,Table3[[Company name]:[Company name]])),N94),50000)</f>
        <v>250000</v>
      </c>
      <c r="P94" s="109">
        <f t="shared" si="9"/>
        <v>231300</v>
      </c>
      <c r="Q94" s="103">
        <f t="shared" si="10"/>
        <v>7.4800000000000005E-2</v>
      </c>
      <c r="R94" s="1">
        <f ca="1">IFERROR(INDEX(INDIRECT("Table3[Column"&amp;R$9&amp;"]"),MATCH($L94,Table3[[Company name]:[Company name]],0)),0)</f>
        <v>8100</v>
      </c>
      <c r="S94" s="1">
        <f ca="1">IFERROR(INDEX(INDIRECT("Table3[Column"&amp;S$9&amp;"]"),MATCH($L94,Table3[[Company name]:[Company name]],0)),0)</f>
        <v>30600</v>
      </c>
      <c r="T94" s="1">
        <f ca="1">IFERROR(INDEX(INDIRECT("Table3[Column"&amp;T$9&amp;"]"),MATCH($L94,Table3[[Company name]:[Company name]],0)),0)</f>
        <v>53100</v>
      </c>
      <c r="U94" s="1">
        <f ca="1">IFERROR(INDEX(INDIRECT("Table3[Column"&amp;U$9&amp;"]"),MATCH($L94,Table3[[Company name]:[Company name]],0)),0)</f>
        <v>34200</v>
      </c>
      <c r="V94" s="1">
        <f ca="1">IFERROR(INDEX(INDIRECT("Table3[Column"&amp;V$9&amp;"]"),MATCH($L94,Table3[[Company name]:[Company name]],0)),0)</f>
        <v>39600</v>
      </c>
      <c r="W94" s="1">
        <f ca="1">IFERROR(INDEX(INDIRECT("Table3[Column"&amp;W$9&amp;"]"),MATCH($L94,Table3[[Company name]:[Company name]],0)),0)</f>
        <v>0</v>
      </c>
      <c r="X94" s="1">
        <f ca="1">IFERROR(INDEX(INDIRECT("Table3[Column"&amp;X$9&amp;"]"),MATCH($L94,Table3[[Company name]:[Company name]],0)),0)</f>
        <v>0</v>
      </c>
      <c r="Y94" s="1">
        <f ca="1">IFERROR(INDEX(INDIRECT("Table3[Column"&amp;Y$9&amp;"]"),MATCH($L94,Table3[[Company name]:[Company name]],0)),0)</f>
        <v>0</v>
      </c>
      <c r="Z94" s="1">
        <f ca="1">IFERROR(INDEX(INDIRECT("Table3[Column"&amp;Z$9&amp;"]"),MATCH($L94,Table3[[Company name]:[Company name]],0)),0)</f>
        <v>0</v>
      </c>
      <c r="AA94" s="1">
        <f ca="1">IFERROR(INDEX(INDIRECT("Table3[Column"&amp;AA$9&amp;"]"),MATCH($L94,Table3[[Company name]:[Company name]],0)),0)</f>
        <v>21600</v>
      </c>
      <c r="AB94" s="1">
        <f ca="1">IFERROR(INDEX(INDIRECT("Table3[Column"&amp;AB$9&amp;"]"),MATCH($L94,Table3[[Company name]:[Company name]],0)),0)</f>
        <v>0</v>
      </c>
      <c r="AC94" s="1">
        <f ca="1">IFERROR(INDEX(INDIRECT("Table3[Column"&amp;AC$9&amp;"]"),MATCH($L94,Table3[[Company name]:[Company name]],0)),0)</f>
        <v>0</v>
      </c>
      <c r="AD94" s="1">
        <f ca="1">IFERROR(INDEX(INDIRECT("Table3[Column"&amp;AD$9&amp;"]"),MATCH($L94,Table3[[Company name]:[Company name]],0)),0)</f>
        <v>0</v>
      </c>
      <c r="AE94" s="1">
        <f ca="1">IFERROR(INDEX(INDIRECT("Table3[Column"&amp;AE$9&amp;"]"),MATCH($L94,Table3[[Company name]:[Company name]],0)),0)</f>
        <v>0</v>
      </c>
      <c r="AF94" s="1">
        <f ca="1">IFERROR(INDEX(INDIRECT("Table3[Column"&amp;AF$9&amp;"]"),MATCH($L94,Table3[[Company name]:[Company name]],0)),0)</f>
        <v>0</v>
      </c>
      <c r="AG94" s="1">
        <f ca="1">IFERROR(INDEX(INDIRECT("Table3[Column"&amp;AG$9&amp;"]"),MATCH($L94,Table3[[Company name]:[Company name]],0)),0)</f>
        <v>0</v>
      </c>
      <c r="AH94" s="1">
        <f ca="1">IFERROR(INDEX(INDIRECT("Table3[Column"&amp;AH$9&amp;"]"),MATCH($L94,Table3[[Company name]:[Company name]],0)),0)</f>
        <v>0</v>
      </c>
      <c r="AI94" s="1">
        <f t="shared" ca="1" si="11"/>
        <v>187200</v>
      </c>
      <c r="AK94" s="1">
        <f>IF(COUNTIFS($J$7:$J$510,Table7[[#Headers],[Industry Essentials]],$C$7:$C$510,$L94)&gt;0,0,MROUND(R94,100))</f>
        <v>0</v>
      </c>
      <c r="AL94" s="1">
        <f ca="1">IF(COUNTIFS($J$7:$J$510,Table7[[#Headers],[Energy Supply Market Intelligence]],$C$7:$C$510,$L94)&gt;0,0,MROUND(IFERROR(S94*($P94/$AI94),0),100))</f>
        <v>37800</v>
      </c>
      <c r="AM94" s="1">
        <f ca="1">IF(COUNTIFS($J$7:$J$510,Table7[[#Headers],[Energy Supply RTM Analysis]],$C$7:$C$510,$L94)&gt;0,0,MROUND(IFERROR(T94*($P94/$AI94),0),100))</f>
        <v>65600</v>
      </c>
      <c r="AN94" s="1">
        <f>IF(COUNTIFS($J$7:$J$510,Table7[[#Headers],[Energy Supply Forecasts]],$C$7:$C$510,$L94)&gt;0,0,MROUND(IFERROR(U94*($P94/$AI94),0),100))</f>
        <v>0</v>
      </c>
      <c r="AO94" s="1">
        <f ca="1">IF(COUNTIFS($J$7:$J$510,Table7[[#Headers],[Energy Supply Regulation]],$C$7:$C$510,$L94)&gt;0,0,MROUND(IFERROR(V94*($P94/$AI94),0),100))</f>
        <v>48900</v>
      </c>
      <c r="AP94" s="1">
        <f ca="1">IF(COUNTIFS($J$7:$J$510,Table7[[#Headers],[Renewables Market Intelligence]],$C$7:$C$510,$L94)&gt;0,0,MROUND(IFERROR(W94*($P94/$AI94),0),100))</f>
        <v>0</v>
      </c>
      <c r="AQ94" s="1">
        <f ca="1">IF(COUNTIFS($J$7:$J$510,Table7[[#Headers],[Renewables RTM Analysis]],$C$7:$C$510,$L94)&gt;0,0,MROUND(IFERROR(X94*($P94/$AI94),0),100))</f>
        <v>0</v>
      </c>
      <c r="AR94" s="1">
        <f ca="1">IF(COUNTIFS($J$7:$J$510,Table7[[#Headers],[Renewables Forecasts]],$C$7:$C$510,$L94)&gt;0,0,MROUND(IFERROR(Y94*($P94/$AI94),0),100))</f>
        <v>0</v>
      </c>
      <c r="AS94" s="1">
        <f ca="1">IF(COUNTIFS($J$7:$J$510,Table7[[#Headers],[Renewables Regulation]],$C$7:$C$510,$L94)&gt;0,0,MROUND(IFERROR(Z94*($P94/$AI94),0),100))</f>
        <v>0</v>
      </c>
      <c r="AT94" s="1">
        <f ca="1">IF(COUNTIFS($J$7:$J$510,Table7[[#Headers],[Flexibility Market Intelligence]],$C$7:$C$510,$L94)&gt;0,0,MROUND(IFERROR(AA94*($P94/$AI94),0),100))</f>
        <v>26700</v>
      </c>
      <c r="AU94" s="1">
        <f ca="1">IF(COUNTIFS($J$7:$J$510,Table7[[#Headers],[Flexibility RTM Analysis]],$C$7:$C$510,$L94)&gt;0,0,MROUND(IFERROR(AB94*($P94/$AI94),0),100))</f>
        <v>0</v>
      </c>
      <c r="AV94" s="1">
        <f ca="1">IF(COUNTIFS($J$7:$J$510,Table7[[#Headers],[Flexibility Forecasts]],$C$7:$C$510,$L94)&gt;0,0,MROUND(IFERROR(AC94*($P94/$AI94),0),100))</f>
        <v>0</v>
      </c>
      <c r="AW94" s="1">
        <f ca="1">IF(COUNTIFS($J$7:$J$510,Table7[[#Headers],[Flexibility Regulation]],$C$7:$C$510,$L94)&gt;0,0,MROUND(IFERROR(AD94*($P94/$AI94),0),100))</f>
        <v>0</v>
      </c>
      <c r="AX94" s="1">
        <f ca="1">IF(COUNTIFS($J$7:$J$510,Table7[[#Headers],[Business Energy Essentials]],$C$7:$C$510,$L94)&gt;0,0,MROUND(IFERROR(AE94*($P94/$AI94),0),100))</f>
        <v>0</v>
      </c>
      <c r="AY94" s="1">
        <f ca="1">IF(COUNTIFS($J$7:$J$510,Table7[[#Headers],[Energy User RTM Analysis]],$C$7:$C$510,$L94)&gt;0,0,MROUND(IFERROR(AF94*($P94/$AI94),0),100))</f>
        <v>0</v>
      </c>
      <c r="AZ94" s="1">
        <f ca="1">IF(COUNTIFS($J$7:$J$510,Table7[[#Headers],[Energy User Forecasts]],$C$7:$C$510,$L94)&gt;0,0,MROUND(IFERROR(AG94*($P94/$AI94),0),100))</f>
        <v>0</v>
      </c>
      <c r="BA94" s="1">
        <f ca="1">IF(COUNTIFS($J$7:$J$510,Table7[[#Headers],[Energy User Regulation]],$C$7:$C$510,$L94)&gt;0,0,MROUND(IFERROR(AH94*($P94/$AI94),0),100))</f>
        <v>0</v>
      </c>
    </row>
    <row r="95" spans="2:53">
      <c r="B95" s="38" t="s">
        <v>2118</v>
      </c>
      <c r="C95" s="38" t="s">
        <v>2119</v>
      </c>
      <c r="D95" s="38" t="s">
        <v>2051</v>
      </c>
      <c r="E95" s="38" t="s">
        <v>1817</v>
      </c>
      <c r="F95" s="63">
        <v>1864.88</v>
      </c>
      <c r="G95" s="38"/>
      <c r="H95" s="38" t="s">
        <v>191</v>
      </c>
      <c r="I95" s="38" t="s">
        <v>191</v>
      </c>
      <c r="J95" s="38" t="s">
        <v>35</v>
      </c>
      <c r="L95" s="1" t="str">
        <v>Gren Energy Ltd</v>
      </c>
      <c r="M95" s="1" t="str">
        <f t="shared" si="7"/>
        <v>Supply</v>
      </c>
      <c r="N95" s="109">
        <f t="shared" si="8"/>
        <v>18500</v>
      </c>
      <c r="O95" s="1">
        <f>IFERROR(IF(INDEX(Table3[[Total Spend]:[Total Spend]],MATCH(L95,Table3[[Company name]:[Company name]],0))&gt;N95,INDEX(Table3[[Total Spend]:[Total Spend]],MATCH(L95,Table3[[Company name]:[Company name]])),N95),50000)</f>
        <v>250000</v>
      </c>
      <c r="P95" s="109">
        <f t="shared" si="9"/>
        <v>231500</v>
      </c>
      <c r="Q95" s="103">
        <f t="shared" si="10"/>
        <v>7.3999999999999996E-2</v>
      </c>
      <c r="R95" s="1">
        <f ca="1">IFERROR(INDEX(INDIRECT("Table3[Column"&amp;R$9&amp;"]"),MATCH($L95,Table3[[Company name]:[Company name]],0)),0)</f>
        <v>8100</v>
      </c>
      <c r="S95" s="1">
        <f ca="1">IFERROR(INDEX(INDIRECT("Table3[Column"&amp;S$9&amp;"]"),MATCH($L95,Table3[[Company name]:[Company name]],0)),0)</f>
        <v>0</v>
      </c>
      <c r="T95" s="1">
        <f ca="1">IFERROR(INDEX(INDIRECT("Table3[Column"&amp;T$9&amp;"]"),MATCH($L95,Table3[[Company name]:[Company name]],0)),0)</f>
        <v>0</v>
      </c>
      <c r="U95" s="1">
        <f ca="1">IFERROR(INDEX(INDIRECT("Table3[Column"&amp;U$9&amp;"]"),MATCH($L95,Table3[[Company name]:[Company name]],0)),0)</f>
        <v>0</v>
      </c>
      <c r="V95" s="1">
        <f ca="1">IFERROR(INDEX(INDIRECT("Table3[Column"&amp;V$9&amp;"]"),MATCH($L95,Table3[[Company name]:[Company name]],0)),0)</f>
        <v>0</v>
      </c>
      <c r="W95" s="1">
        <f ca="1">IFERROR(INDEX(INDIRECT("Table3[Column"&amp;W$9&amp;"]"),MATCH($L95,Table3[[Company name]:[Company name]],0)),0)</f>
        <v>17100</v>
      </c>
      <c r="X95" s="1">
        <f ca="1">IFERROR(INDEX(INDIRECT("Table3[Column"&amp;X$9&amp;"]"),MATCH($L95,Table3[[Company name]:[Company name]],0)),0)</f>
        <v>15300</v>
      </c>
      <c r="Y95" s="1">
        <f ca="1">IFERROR(INDEX(INDIRECT("Table3[Column"&amp;Y$9&amp;"]"),MATCH($L95,Table3[[Company name]:[Company name]],0)),0)</f>
        <v>42300</v>
      </c>
      <c r="Z95" s="1">
        <f ca="1">IFERROR(INDEX(INDIRECT("Table3[Column"&amp;Z$9&amp;"]"),MATCH($L95,Table3[[Company name]:[Company name]],0)),0)</f>
        <v>18900</v>
      </c>
      <c r="AA95" s="1">
        <f ca="1">IFERROR(INDEX(INDIRECT("Table3[Column"&amp;AA$9&amp;"]"),MATCH($L95,Table3[[Company name]:[Company name]],0)),0)</f>
        <v>0</v>
      </c>
      <c r="AB95" s="1">
        <f ca="1">IFERROR(INDEX(INDIRECT("Table3[Column"&amp;AB$9&amp;"]"),MATCH($L95,Table3[[Company name]:[Company name]],0)),0)</f>
        <v>0</v>
      </c>
      <c r="AC95" s="1">
        <f ca="1">IFERROR(INDEX(INDIRECT("Table3[Column"&amp;AC$9&amp;"]"),MATCH($L95,Table3[[Company name]:[Company name]],0)),0)</f>
        <v>0</v>
      </c>
      <c r="AD95" s="1">
        <f ca="1">IFERROR(INDEX(INDIRECT("Table3[Column"&amp;AD$9&amp;"]"),MATCH($L95,Table3[[Company name]:[Company name]],0)),0)</f>
        <v>0</v>
      </c>
      <c r="AE95" s="1">
        <f ca="1">IFERROR(INDEX(INDIRECT("Table3[Column"&amp;AE$9&amp;"]"),MATCH($L95,Table3[[Company name]:[Company name]],0)),0)</f>
        <v>10800</v>
      </c>
      <c r="AF95" s="1">
        <f ca="1">IFERROR(INDEX(INDIRECT("Table3[Column"&amp;AF$9&amp;"]"),MATCH($L95,Table3[[Company name]:[Company name]],0)),0)</f>
        <v>11250</v>
      </c>
      <c r="AG95" s="1">
        <f ca="1">IFERROR(INDEX(INDIRECT("Table3[Column"&amp;AG$9&amp;"]"),MATCH($L95,Table3[[Company name]:[Company name]],0)),0)</f>
        <v>19800</v>
      </c>
      <c r="AH95" s="1">
        <f ca="1">IFERROR(INDEX(INDIRECT("Table3[Column"&amp;AH$9&amp;"]"),MATCH($L95,Table3[[Company name]:[Company name]],0)),0)</f>
        <v>4500</v>
      </c>
      <c r="AI95" s="1">
        <f t="shared" ca="1" si="11"/>
        <v>148050</v>
      </c>
      <c r="AK95" s="1">
        <f ca="1">IF(COUNTIFS($J$7:$J$510,Table7[[#Headers],[Industry Essentials]],$C$7:$C$510,$L95)&gt;0,0,MROUND(R95,100))</f>
        <v>8100</v>
      </c>
      <c r="AL95" s="1">
        <f ca="1">IF(COUNTIFS($J$7:$J$510,Table7[[#Headers],[Energy Supply Market Intelligence]],$C$7:$C$510,$L95)&gt;0,0,MROUND(IFERROR(S95*($P95/$AI95),0),100))</f>
        <v>0</v>
      </c>
      <c r="AM95" s="1">
        <f ca="1">IF(COUNTIFS($J$7:$J$510,Table7[[#Headers],[Energy Supply RTM Analysis]],$C$7:$C$510,$L95)&gt;0,0,MROUND(IFERROR(T95*($P95/$AI95),0),100))</f>
        <v>0</v>
      </c>
      <c r="AN95" s="1">
        <f ca="1">IF(COUNTIFS($J$7:$J$510,Table7[[#Headers],[Energy Supply Forecasts]],$C$7:$C$510,$L95)&gt;0,0,MROUND(IFERROR(U95*($P95/$AI95),0),100))</f>
        <v>0</v>
      </c>
      <c r="AO95" s="1">
        <f ca="1">IF(COUNTIFS($J$7:$J$510,Table7[[#Headers],[Energy Supply Regulation]],$C$7:$C$510,$L95)&gt;0,0,MROUND(IFERROR(V95*($P95/$AI95),0),100))</f>
        <v>0</v>
      </c>
      <c r="AP95" s="1">
        <f ca="1">IF(COUNTIFS($J$7:$J$510,Table7[[#Headers],[Renewables Market Intelligence]],$C$7:$C$510,$L95)&gt;0,0,MROUND(IFERROR(W95*($P95/$AI95),0),100))</f>
        <v>26700</v>
      </c>
      <c r="AQ95" s="1">
        <f ca="1">IF(COUNTIFS($J$7:$J$510,Table7[[#Headers],[Renewables RTM Analysis]],$C$7:$C$510,$L95)&gt;0,0,MROUND(IFERROR(X95*($P95/$AI95),0),100))</f>
        <v>23900</v>
      </c>
      <c r="AR95" s="1">
        <f ca="1">IF(COUNTIFS($J$7:$J$510,Table7[[#Headers],[Renewables Forecasts]],$C$7:$C$510,$L95)&gt;0,0,MROUND(IFERROR(Y95*($P95/$AI95),0),100))</f>
        <v>66100</v>
      </c>
      <c r="AS95" s="1">
        <f ca="1">IF(COUNTIFS($J$7:$J$510,Table7[[#Headers],[Renewables Regulation]],$C$7:$C$510,$L95)&gt;0,0,MROUND(IFERROR(Z95*($P95/$AI95),0),100))</f>
        <v>29600</v>
      </c>
      <c r="AT95" s="1">
        <f ca="1">IF(COUNTIFS($J$7:$J$510,Table7[[#Headers],[Flexibility Market Intelligence]],$C$7:$C$510,$L95)&gt;0,0,MROUND(IFERROR(AA95*($P95/$AI95),0),100))</f>
        <v>0</v>
      </c>
      <c r="AU95" s="1">
        <f ca="1">IF(COUNTIFS($J$7:$J$510,Table7[[#Headers],[Flexibility RTM Analysis]],$C$7:$C$510,$L95)&gt;0,0,MROUND(IFERROR(AB95*($P95/$AI95),0),100))</f>
        <v>0</v>
      </c>
      <c r="AV95" s="1">
        <f ca="1">IF(COUNTIFS($J$7:$J$510,Table7[[#Headers],[Flexibility Forecasts]],$C$7:$C$510,$L95)&gt;0,0,MROUND(IFERROR(AC95*($P95/$AI95),0),100))</f>
        <v>0</v>
      </c>
      <c r="AW95" s="1">
        <f ca="1">IF(COUNTIFS($J$7:$J$510,Table7[[#Headers],[Flexibility Regulation]],$C$7:$C$510,$L95)&gt;0,0,MROUND(IFERROR(AD95*($P95/$AI95),0),100))</f>
        <v>0</v>
      </c>
      <c r="AX95" s="1">
        <f ca="1">IF(COUNTIFS($J$7:$J$510,Table7[[#Headers],[Business Energy Essentials]],$C$7:$C$510,$L95)&gt;0,0,MROUND(IFERROR(AE95*($P95/$AI95),0),100))</f>
        <v>16900</v>
      </c>
      <c r="AY95" s="1">
        <f ca="1">IF(COUNTIFS($J$7:$J$510,Table7[[#Headers],[Energy User RTM Analysis]],$C$7:$C$510,$L95)&gt;0,0,MROUND(IFERROR(AF95*($P95/$AI95),0),100))</f>
        <v>17600</v>
      </c>
      <c r="AZ95" s="1">
        <f>IF(COUNTIFS($J$7:$J$510,Table7[[#Headers],[Energy User Forecasts]],$C$7:$C$510,$L95)&gt;0,0,MROUND(IFERROR(AG95*($P95/$AI95),0),100))</f>
        <v>0</v>
      </c>
      <c r="BA95" s="1">
        <f ca="1">IF(COUNTIFS($J$7:$J$510,Table7[[#Headers],[Energy User Regulation]],$C$7:$C$510,$L95)&gt;0,0,MROUND(IFERROR(AH95*($P95/$AI95),0),100))</f>
        <v>7000</v>
      </c>
    </row>
    <row r="96" spans="2:53">
      <c r="B96" s="38" t="s">
        <v>2118</v>
      </c>
      <c r="C96" s="38" t="s">
        <v>2119</v>
      </c>
      <c r="D96" s="38" t="s">
        <v>2083</v>
      </c>
      <c r="E96" s="38" t="s">
        <v>1829</v>
      </c>
      <c r="F96" s="63">
        <v>4250</v>
      </c>
      <c r="G96" s="38"/>
      <c r="H96" s="38" t="s">
        <v>191</v>
      </c>
      <c r="I96" s="38" t="s">
        <v>191</v>
      </c>
      <c r="J96" s="38" t="s">
        <v>35</v>
      </c>
      <c r="L96" s="1" t="str">
        <v>GREnergy Ltd</v>
      </c>
      <c r="M96" s="1" t="str">
        <f t="shared" si="7"/>
        <v>Supply</v>
      </c>
      <c r="N96" s="109">
        <f t="shared" si="8"/>
        <v>8550</v>
      </c>
      <c r="O96" s="1">
        <f>IFERROR(IF(INDEX(Table3[[Total Spend]:[Total Spend]],MATCH(L96,Table3[[Company name]:[Company name]],0))&gt;N96,INDEX(Table3[[Total Spend]:[Total Spend]],MATCH(L96,Table3[[Company name]:[Company name]])),N96),50000)</f>
        <v>250000</v>
      </c>
      <c r="P96" s="109">
        <f t="shared" si="9"/>
        <v>241450</v>
      </c>
      <c r="Q96" s="103">
        <f t="shared" si="10"/>
        <v>3.4200000000000001E-2</v>
      </c>
      <c r="R96" s="1">
        <f ca="1">IFERROR(INDEX(INDIRECT("Table3[Column"&amp;R$9&amp;"]"),MATCH($L96,Table3[[Company name]:[Company name]],0)),0)</f>
        <v>8100</v>
      </c>
      <c r="S96" s="1">
        <f ca="1">IFERROR(INDEX(INDIRECT("Table3[Column"&amp;S$9&amp;"]"),MATCH($L96,Table3[[Company name]:[Company name]],0)),0)</f>
        <v>0</v>
      </c>
      <c r="T96" s="1">
        <f ca="1">IFERROR(INDEX(INDIRECT("Table3[Column"&amp;T$9&amp;"]"),MATCH($L96,Table3[[Company name]:[Company name]],0)),0)</f>
        <v>0</v>
      </c>
      <c r="U96" s="1">
        <f ca="1">IFERROR(INDEX(INDIRECT("Table3[Column"&amp;U$9&amp;"]"),MATCH($L96,Table3[[Company name]:[Company name]],0)),0)</f>
        <v>0</v>
      </c>
      <c r="V96" s="1">
        <f ca="1">IFERROR(INDEX(INDIRECT("Table3[Column"&amp;V$9&amp;"]"),MATCH($L96,Table3[[Company name]:[Company name]],0)),0)</f>
        <v>0</v>
      </c>
      <c r="W96" s="1">
        <f ca="1">IFERROR(INDEX(INDIRECT("Table3[Column"&amp;W$9&amp;"]"),MATCH($L96,Table3[[Company name]:[Company name]],0)),0)</f>
        <v>17100</v>
      </c>
      <c r="X96" s="1">
        <f ca="1">IFERROR(INDEX(INDIRECT("Table3[Column"&amp;X$9&amp;"]"),MATCH($L96,Table3[[Company name]:[Company name]],0)),0)</f>
        <v>15300</v>
      </c>
      <c r="Y96" s="1">
        <f ca="1">IFERROR(INDEX(INDIRECT("Table3[Column"&amp;Y$9&amp;"]"),MATCH($L96,Table3[[Company name]:[Company name]],0)),0)</f>
        <v>42300</v>
      </c>
      <c r="Z96" s="1">
        <f ca="1">IFERROR(INDEX(INDIRECT("Table3[Column"&amp;Z$9&amp;"]"),MATCH($L96,Table3[[Company name]:[Company name]],0)),0)</f>
        <v>18900</v>
      </c>
      <c r="AA96" s="1">
        <f ca="1">IFERROR(INDEX(INDIRECT("Table3[Column"&amp;AA$9&amp;"]"),MATCH($L96,Table3[[Company name]:[Company name]],0)),0)</f>
        <v>0</v>
      </c>
      <c r="AB96" s="1">
        <f ca="1">IFERROR(INDEX(INDIRECT("Table3[Column"&amp;AB$9&amp;"]"),MATCH($L96,Table3[[Company name]:[Company name]],0)),0)</f>
        <v>0</v>
      </c>
      <c r="AC96" s="1">
        <f ca="1">IFERROR(INDEX(INDIRECT("Table3[Column"&amp;AC$9&amp;"]"),MATCH($L96,Table3[[Company name]:[Company name]],0)),0)</f>
        <v>0</v>
      </c>
      <c r="AD96" s="1">
        <f ca="1">IFERROR(INDEX(INDIRECT("Table3[Column"&amp;AD$9&amp;"]"),MATCH($L96,Table3[[Company name]:[Company name]],0)),0)</f>
        <v>0</v>
      </c>
      <c r="AE96" s="1">
        <f ca="1">IFERROR(INDEX(INDIRECT("Table3[Column"&amp;AE$9&amp;"]"),MATCH($L96,Table3[[Company name]:[Company name]],0)),0)</f>
        <v>10800</v>
      </c>
      <c r="AF96" s="1">
        <f ca="1">IFERROR(INDEX(INDIRECT("Table3[Column"&amp;AF$9&amp;"]"),MATCH($L96,Table3[[Company name]:[Company name]],0)),0)</f>
        <v>11250</v>
      </c>
      <c r="AG96" s="1">
        <f ca="1">IFERROR(INDEX(INDIRECT("Table3[Column"&amp;AG$9&amp;"]"),MATCH($L96,Table3[[Company name]:[Company name]],0)),0)</f>
        <v>19800</v>
      </c>
      <c r="AH96" s="1">
        <f ca="1">IFERROR(INDEX(INDIRECT("Table3[Column"&amp;AH$9&amp;"]"),MATCH($L96,Table3[[Company name]:[Company name]],0)),0)</f>
        <v>4500</v>
      </c>
      <c r="AI96" s="1">
        <f t="shared" ca="1" si="11"/>
        <v>148050</v>
      </c>
      <c r="AK96" s="1">
        <f>IF(COUNTIFS($J$7:$J$510,Table7[[#Headers],[Industry Essentials]],$C$7:$C$510,$L96)&gt;0,0,MROUND(R96,100))</f>
        <v>0</v>
      </c>
      <c r="AL96" s="1">
        <f ca="1">IF(COUNTIFS($J$7:$J$510,Table7[[#Headers],[Energy Supply Market Intelligence]],$C$7:$C$510,$L96)&gt;0,0,MROUND(IFERROR(S96*($P96/$AI96),0),100))</f>
        <v>0</v>
      </c>
      <c r="AM96" s="1">
        <f ca="1">IF(COUNTIFS($J$7:$J$510,Table7[[#Headers],[Energy Supply RTM Analysis]],$C$7:$C$510,$L96)&gt;0,0,MROUND(IFERROR(T96*($P96/$AI96),0),100))</f>
        <v>0</v>
      </c>
      <c r="AN96" s="1">
        <f ca="1">IF(COUNTIFS($J$7:$J$510,Table7[[#Headers],[Energy Supply Forecasts]],$C$7:$C$510,$L96)&gt;0,0,MROUND(IFERROR(U96*($P96/$AI96),0),100))</f>
        <v>0</v>
      </c>
      <c r="AO96" s="1">
        <f ca="1">IF(COUNTIFS($J$7:$J$510,Table7[[#Headers],[Energy Supply Regulation]],$C$7:$C$510,$L96)&gt;0,0,MROUND(IFERROR(V96*($P96/$AI96),0),100))</f>
        <v>0</v>
      </c>
      <c r="AP96" s="1">
        <f ca="1">IF(COUNTIFS($J$7:$J$510,Table7[[#Headers],[Renewables Market Intelligence]],$C$7:$C$510,$L96)&gt;0,0,MROUND(IFERROR(W96*($P96/$AI96),0),100))</f>
        <v>27900</v>
      </c>
      <c r="AQ96" s="1">
        <f ca="1">IF(COUNTIFS($J$7:$J$510,Table7[[#Headers],[Renewables RTM Analysis]],$C$7:$C$510,$L96)&gt;0,0,MROUND(IFERROR(X96*($P96/$AI96),0),100))</f>
        <v>25000</v>
      </c>
      <c r="AR96" s="1">
        <f ca="1">IF(COUNTIFS($J$7:$J$510,Table7[[#Headers],[Renewables Forecasts]],$C$7:$C$510,$L96)&gt;0,0,MROUND(IFERROR(Y96*($P96/$AI96),0),100))</f>
        <v>69000</v>
      </c>
      <c r="AS96" s="1">
        <f ca="1">IF(COUNTIFS($J$7:$J$510,Table7[[#Headers],[Renewables Regulation]],$C$7:$C$510,$L96)&gt;0,0,MROUND(IFERROR(Z96*($P96/$AI96),0),100))</f>
        <v>30800</v>
      </c>
      <c r="AT96" s="1">
        <f ca="1">IF(COUNTIFS($J$7:$J$510,Table7[[#Headers],[Flexibility Market Intelligence]],$C$7:$C$510,$L96)&gt;0,0,MROUND(IFERROR(AA96*($P96/$AI96),0),100))</f>
        <v>0</v>
      </c>
      <c r="AU96" s="1">
        <f ca="1">IF(COUNTIFS($J$7:$J$510,Table7[[#Headers],[Flexibility RTM Analysis]],$C$7:$C$510,$L96)&gt;0,0,MROUND(IFERROR(AB96*($P96/$AI96),0),100))</f>
        <v>0</v>
      </c>
      <c r="AV96" s="1">
        <f ca="1">IF(COUNTIFS($J$7:$J$510,Table7[[#Headers],[Flexibility Forecasts]],$C$7:$C$510,$L96)&gt;0,0,MROUND(IFERROR(AC96*($P96/$AI96),0),100))</f>
        <v>0</v>
      </c>
      <c r="AW96" s="1">
        <f ca="1">IF(COUNTIFS($J$7:$J$510,Table7[[#Headers],[Flexibility Regulation]],$C$7:$C$510,$L96)&gt;0,0,MROUND(IFERROR(AD96*($P96/$AI96),0),100))</f>
        <v>0</v>
      </c>
      <c r="AX96" s="1">
        <f ca="1">IF(COUNTIFS($J$7:$J$510,Table7[[#Headers],[Business Energy Essentials]],$C$7:$C$510,$L96)&gt;0,0,MROUND(IFERROR(AE96*($P96/$AI96),0),100))</f>
        <v>17600</v>
      </c>
      <c r="AY96" s="1">
        <f ca="1">IF(COUNTIFS($J$7:$J$510,Table7[[#Headers],[Energy User RTM Analysis]],$C$7:$C$510,$L96)&gt;0,0,MROUND(IFERROR(AF96*($P96/$AI96),0),100))</f>
        <v>18300</v>
      </c>
      <c r="AZ96" s="1">
        <f ca="1">IF(COUNTIFS($J$7:$J$510,Table7[[#Headers],[Energy User Forecasts]],$C$7:$C$510,$L96)&gt;0,0,MROUND(IFERROR(AG96*($P96/$AI96),0),100))</f>
        <v>32300</v>
      </c>
      <c r="BA96" s="1">
        <f ca="1">IF(COUNTIFS($J$7:$J$510,Table7[[#Headers],[Energy User Regulation]],$C$7:$C$510,$L96)&gt;0,0,MROUND(IFERROR(AH96*($P96/$AI96),0),100))</f>
        <v>7300</v>
      </c>
    </row>
    <row r="97" spans="2:53">
      <c r="B97" s="38" t="s">
        <v>2120</v>
      </c>
      <c r="C97" s="38" t="s">
        <v>960</v>
      </c>
      <c r="D97" s="38" t="s">
        <v>2083</v>
      </c>
      <c r="E97" s="38" t="s">
        <v>1829</v>
      </c>
      <c r="F97" s="63">
        <v>17100</v>
      </c>
      <c r="G97" s="38"/>
      <c r="H97" s="38" t="s">
        <v>191</v>
      </c>
      <c r="I97" s="38" t="s">
        <v>191</v>
      </c>
      <c r="J97" s="38" t="s">
        <v>35</v>
      </c>
      <c r="L97" s="1" t="str">
        <v>Hartree Partners Power and Gas Company (UK) Limited</v>
      </c>
      <c r="M97" s="1" t="str">
        <f t="shared" si="7"/>
        <v>Supply</v>
      </c>
      <c r="N97" s="109">
        <f t="shared" si="8"/>
        <v>4800</v>
      </c>
      <c r="O97" s="1">
        <f>IFERROR(IF(INDEX(Table3[[Total Spend]:[Total Spend]],MATCH(L97,Table3[[Company name]:[Company name]],0))&gt;N97,INDEX(Table3[[Total Spend]:[Total Spend]],MATCH(L97,Table3[[Company name]:[Company name]])),N97),50000)</f>
        <v>10000</v>
      </c>
      <c r="P97" s="109">
        <f t="shared" si="9"/>
        <v>5200</v>
      </c>
      <c r="Q97" s="103">
        <f t="shared" si="10"/>
        <v>0.48</v>
      </c>
      <c r="R97" s="1">
        <f ca="1">IFERROR(INDEX(INDIRECT("Table3[Column"&amp;R$9&amp;"]"),MATCH($L97,Table3[[Company name]:[Company name]],0)),0)</f>
        <v>8100</v>
      </c>
      <c r="S97" s="1">
        <f ca="1">IFERROR(INDEX(INDIRECT("Table3[Column"&amp;S$9&amp;"]"),MATCH($L97,Table3[[Company name]:[Company name]],0)),0)</f>
        <v>30600</v>
      </c>
      <c r="T97" s="1">
        <f ca="1">IFERROR(INDEX(INDIRECT("Table3[Column"&amp;T$9&amp;"]"),MATCH($L97,Table3[[Company name]:[Company name]],0)),0)</f>
        <v>53100</v>
      </c>
      <c r="U97" s="1">
        <f ca="1">IFERROR(INDEX(INDIRECT("Table3[Column"&amp;U$9&amp;"]"),MATCH($L97,Table3[[Company name]:[Company name]],0)),0)</f>
        <v>34200</v>
      </c>
      <c r="V97" s="1">
        <f ca="1">IFERROR(INDEX(INDIRECT("Table3[Column"&amp;V$9&amp;"]"),MATCH($L97,Table3[[Company name]:[Company name]],0)),0)</f>
        <v>39600</v>
      </c>
      <c r="W97" s="1">
        <f ca="1">IFERROR(INDEX(INDIRECT("Table3[Column"&amp;W$9&amp;"]"),MATCH($L97,Table3[[Company name]:[Company name]],0)),0)</f>
        <v>0</v>
      </c>
      <c r="X97" s="1">
        <f ca="1">IFERROR(INDEX(INDIRECT("Table3[Column"&amp;X$9&amp;"]"),MATCH($L97,Table3[[Company name]:[Company name]],0)),0)</f>
        <v>15300</v>
      </c>
      <c r="Y97" s="1">
        <f ca="1">IFERROR(INDEX(INDIRECT("Table3[Column"&amp;Y$9&amp;"]"),MATCH($L97,Table3[[Company name]:[Company name]],0)),0)</f>
        <v>0</v>
      </c>
      <c r="Z97" s="1">
        <f ca="1">IFERROR(INDEX(INDIRECT("Table3[Column"&amp;Z$9&amp;"]"),MATCH($L97,Table3[[Company name]:[Company name]],0)),0)</f>
        <v>0</v>
      </c>
      <c r="AA97" s="1">
        <f ca="1">IFERROR(INDEX(INDIRECT("Table3[Column"&amp;AA$9&amp;"]"),MATCH($L97,Table3[[Company name]:[Company name]],0)),0)</f>
        <v>21600</v>
      </c>
      <c r="AB97" s="1">
        <f ca="1">IFERROR(INDEX(INDIRECT("Table3[Column"&amp;AB$9&amp;"]"),MATCH($L97,Table3[[Company name]:[Company name]],0)),0)</f>
        <v>7650</v>
      </c>
      <c r="AC97" s="1">
        <f ca="1">IFERROR(INDEX(INDIRECT("Table3[Column"&amp;AC$9&amp;"]"),MATCH($L97,Table3[[Company name]:[Company name]],0)),0)</f>
        <v>31500</v>
      </c>
      <c r="AD97" s="1">
        <f ca="1">IFERROR(INDEX(INDIRECT("Table3[Column"&amp;AD$9&amp;"]"),MATCH($L97,Table3[[Company name]:[Company name]],0)),0)</f>
        <v>0</v>
      </c>
      <c r="AE97" s="1">
        <f ca="1">IFERROR(INDEX(INDIRECT("Table3[Column"&amp;AE$9&amp;"]"),MATCH($L97,Table3[[Company name]:[Company name]],0)),0)</f>
        <v>0</v>
      </c>
      <c r="AF97" s="1">
        <f ca="1">IFERROR(INDEX(INDIRECT("Table3[Column"&amp;AF$9&amp;"]"),MATCH($L97,Table3[[Company name]:[Company name]],0)),0)</f>
        <v>0</v>
      </c>
      <c r="AG97" s="1">
        <f ca="1">IFERROR(INDEX(INDIRECT("Table3[Column"&amp;AG$9&amp;"]"),MATCH($L97,Table3[[Company name]:[Company name]],0)),0)</f>
        <v>0</v>
      </c>
      <c r="AH97" s="1">
        <f ca="1">IFERROR(INDEX(INDIRECT("Table3[Column"&amp;AH$9&amp;"]"),MATCH($L97,Table3[[Company name]:[Company name]],0)),0)</f>
        <v>0</v>
      </c>
      <c r="AI97" s="1">
        <f t="shared" ca="1" si="11"/>
        <v>241650</v>
      </c>
      <c r="AK97" s="1">
        <f>IF(COUNTIFS($J$7:$J$510,Table7[[#Headers],[Industry Essentials]],$C$7:$C$510,$L97)&gt;0,0,MROUND(R97,100))</f>
        <v>0</v>
      </c>
      <c r="AL97" s="1">
        <f ca="1">IF(COUNTIFS($J$7:$J$510,Table7[[#Headers],[Energy Supply Market Intelligence]],$C$7:$C$510,$L97)&gt;0,0,MROUND(IFERROR(S97*($P97/$AI97),0),100))</f>
        <v>700</v>
      </c>
      <c r="AM97" s="1">
        <f ca="1">IF(COUNTIFS($J$7:$J$510,Table7[[#Headers],[Energy Supply RTM Analysis]],$C$7:$C$510,$L97)&gt;0,0,MROUND(IFERROR(T97*($P97/$AI97),0),100))</f>
        <v>1100</v>
      </c>
      <c r="AN97" s="1">
        <f ca="1">IF(COUNTIFS($J$7:$J$510,Table7[[#Headers],[Energy Supply Forecasts]],$C$7:$C$510,$L97)&gt;0,0,MROUND(IFERROR(U97*($P97/$AI97),0),100))</f>
        <v>700</v>
      </c>
      <c r="AO97" s="1">
        <f ca="1">IF(COUNTIFS($J$7:$J$510,Table7[[#Headers],[Energy Supply Regulation]],$C$7:$C$510,$L97)&gt;0,0,MROUND(IFERROR(V97*($P97/$AI97),0),100))</f>
        <v>900</v>
      </c>
      <c r="AP97" s="1">
        <f ca="1">IF(COUNTIFS($J$7:$J$510,Table7[[#Headers],[Renewables Market Intelligence]],$C$7:$C$510,$L97)&gt;0,0,MROUND(IFERROR(W97*($P97/$AI97),0),100))</f>
        <v>0</v>
      </c>
      <c r="AQ97" s="1">
        <f ca="1">IF(COUNTIFS($J$7:$J$510,Table7[[#Headers],[Renewables RTM Analysis]],$C$7:$C$510,$L97)&gt;0,0,MROUND(IFERROR(X97*($P97/$AI97),0),100))</f>
        <v>300</v>
      </c>
      <c r="AR97" s="1">
        <f ca="1">IF(COUNTIFS($J$7:$J$510,Table7[[#Headers],[Renewables Forecasts]],$C$7:$C$510,$L97)&gt;0,0,MROUND(IFERROR(Y97*($P97/$AI97),0),100))</f>
        <v>0</v>
      </c>
      <c r="AS97" s="1">
        <f ca="1">IF(COUNTIFS($J$7:$J$510,Table7[[#Headers],[Renewables Regulation]],$C$7:$C$510,$L97)&gt;0,0,MROUND(IFERROR(Z97*($P97/$AI97),0),100))</f>
        <v>0</v>
      </c>
      <c r="AT97" s="1">
        <f ca="1">IF(COUNTIFS($J$7:$J$510,Table7[[#Headers],[Flexibility Market Intelligence]],$C$7:$C$510,$L97)&gt;0,0,MROUND(IFERROR(AA97*($P97/$AI97),0),100))</f>
        <v>500</v>
      </c>
      <c r="AU97" s="1">
        <f ca="1">IF(COUNTIFS($J$7:$J$510,Table7[[#Headers],[Flexibility RTM Analysis]],$C$7:$C$510,$L97)&gt;0,0,MROUND(IFERROR(AB97*($P97/$AI97),0),100))</f>
        <v>200</v>
      </c>
      <c r="AV97" s="1">
        <f ca="1">IF(COUNTIFS($J$7:$J$510,Table7[[#Headers],[Flexibility Forecasts]],$C$7:$C$510,$L97)&gt;0,0,MROUND(IFERROR(AC97*($P97/$AI97),0),100))</f>
        <v>700</v>
      </c>
      <c r="AW97" s="1">
        <f ca="1">IF(COUNTIFS($J$7:$J$510,Table7[[#Headers],[Flexibility Regulation]],$C$7:$C$510,$L97)&gt;0,0,MROUND(IFERROR(AD97*($P97/$AI97),0),100))</f>
        <v>0</v>
      </c>
      <c r="AX97" s="1">
        <f ca="1">IF(COUNTIFS($J$7:$J$510,Table7[[#Headers],[Business Energy Essentials]],$C$7:$C$510,$L97)&gt;0,0,MROUND(IFERROR(AE97*($P97/$AI97),0),100))</f>
        <v>0</v>
      </c>
      <c r="AY97" s="1">
        <f ca="1">IF(COUNTIFS($J$7:$J$510,Table7[[#Headers],[Energy User RTM Analysis]],$C$7:$C$510,$L97)&gt;0,0,MROUND(IFERROR(AF97*($P97/$AI97),0),100))</f>
        <v>0</v>
      </c>
      <c r="AZ97" s="1">
        <f ca="1">IF(COUNTIFS($J$7:$J$510,Table7[[#Headers],[Energy User Forecasts]],$C$7:$C$510,$L97)&gt;0,0,MROUND(IFERROR(AG97*($P97/$AI97),0),100))</f>
        <v>0</v>
      </c>
      <c r="BA97" s="1">
        <f ca="1">IF(COUNTIFS($J$7:$J$510,Table7[[#Headers],[Energy User Regulation]],$C$7:$C$510,$L97)&gt;0,0,MROUND(IFERROR(AH97*($P97/$AI97),0),100))</f>
        <v>0</v>
      </c>
    </row>
    <row r="98" spans="2:53">
      <c r="B98" s="38" t="s">
        <v>2121</v>
      </c>
      <c r="C98" s="38" t="s">
        <v>347</v>
      </c>
      <c r="D98" s="38" t="s">
        <v>2035</v>
      </c>
      <c r="E98" s="38" t="s">
        <v>1855</v>
      </c>
      <c r="F98" s="63">
        <v>850</v>
      </c>
      <c r="G98" s="38"/>
      <c r="H98" s="38" t="s">
        <v>2031</v>
      </c>
      <c r="I98" s="38" t="s">
        <v>2032</v>
      </c>
      <c r="J98" s="38" t="s">
        <v>20</v>
      </c>
      <c r="L98" s="1" t="str">
        <v>HFD Energy Ltd</v>
      </c>
      <c r="M98" s="1" t="str">
        <f t="shared" si="7"/>
        <v>Supply</v>
      </c>
      <c r="N98" s="109">
        <f t="shared" si="8"/>
        <v>22000</v>
      </c>
      <c r="O98" s="1">
        <f>IFERROR(IF(INDEX(Table3[[Total Spend]:[Total Spend]],MATCH(L98,Table3[[Company name]:[Company name]],0))&gt;N98,INDEX(Table3[[Total Spend]:[Total Spend]],MATCH(L98,Table3[[Company name]:[Company name]])),N98),50000)</f>
        <v>22000</v>
      </c>
      <c r="P98" s="109">
        <f t="shared" si="9"/>
        <v>22000</v>
      </c>
      <c r="Q98" s="103">
        <f t="shared" si="10"/>
        <v>1</v>
      </c>
      <c r="R98" s="1">
        <f ca="1">IFERROR(INDEX(INDIRECT("Table3[Column"&amp;R$9&amp;"]"),MATCH($L98,Table3[[Company name]:[Company name]],0)),0)</f>
        <v>8100</v>
      </c>
      <c r="S98" s="1">
        <f ca="1">IFERROR(INDEX(INDIRECT("Table3[Column"&amp;S$9&amp;"]"),MATCH($L98,Table3[[Company name]:[Company name]],0)),0)</f>
        <v>0</v>
      </c>
      <c r="T98" s="1">
        <f ca="1">IFERROR(INDEX(INDIRECT("Table3[Column"&amp;T$9&amp;"]"),MATCH($L98,Table3[[Company name]:[Company name]],0)),0)</f>
        <v>0</v>
      </c>
      <c r="U98" s="1">
        <f ca="1">IFERROR(INDEX(INDIRECT("Table3[Column"&amp;U$9&amp;"]"),MATCH($L98,Table3[[Company name]:[Company name]],0)),0)</f>
        <v>0</v>
      </c>
      <c r="V98" s="1">
        <f ca="1">IFERROR(INDEX(INDIRECT("Table3[Column"&amp;V$9&amp;"]"),MATCH($L98,Table3[[Company name]:[Company name]],0)),0)</f>
        <v>0</v>
      </c>
      <c r="W98" s="1">
        <f ca="1">IFERROR(INDEX(INDIRECT("Table3[Column"&amp;W$9&amp;"]"),MATCH($L98,Table3[[Company name]:[Company name]],0)),0)</f>
        <v>17100</v>
      </c>
      <c r="X98" s="1">
        <f ca="1">IFERROR(INDEX(INDIRECT("Table3[Column"&amp;X$9&amp;"]"),MATCH($L98,Table3[[Company name]:[Company name]],0)),0)</f>
        <v>0</v>
      </c>
      <c r="Y98" s="1">
        <f ca="1">IFERROR(INDEX(INDIRECT("Table3[Column"&amp;Y$9&amp;"]"),MATCH($L98,Table3[[Company name]:[Company name]],0)),0)</f>
        <v>42300</v>
      </c>
      <c r="Z98" s="1">
        <f ca="1">IFERROR(INDEX(INDIRECT("Table3[Column"&amp;Z$9&amp;"]"),MATCH($L98,Table3[[Company name]:[Company name]],0)),0)</f>
        <v>0</v>
      </c>
      <c r="AA98" s="1">
        <f ca="1">IFERROR(INDEX(INDIRECT("Table3[Column"&amp;AA$9&amp;"]"),MATCH($L98,Table3[[Company name]:[Company name]],0)),0)</f>
        <v>21600</v>
      </c>
      <c r="AB98" s="1">
        <f ca="1">IFERROR(INDEX(INDIRECT("Table3[Column"&amp;AB$9&amp;"]"),MATCH($L98,Table3[[Company name]:[Company name]],0)),0)</f>
        <v>0</v>
      </c>
      <c r="AC98" s="1">
        <f ca="1">IFERROR(INDEX(INDIRECT("Table3[Column"&amp;AC$9&amp;"]"),MATCH($L98,Table3[[Company name]:[Company name]],0)),0)</f>
        <v>31500</v>
      </c>
      <c r="AD98" s="1">
        <f ca="1">IFERROR(INDEX(INDIRECT("Table3[Column"&amp;AD$9&amp;"]"),MATCH($L98,Table3[[Company name]:[Company name]],0)),0)</f>
        <v>0</v>
      </c>
      <c r="AE98" s="1">
        <f ca="1">IFERROR(INDEX(INDIRECT("Table3[Column"&amp;AE$9&amp;"]"),MATCH($L98,Table3[[Company name]:[Company name]],0)),0)</f>
        <v>10800</v>
      </c>
      <c r="AF98" s="1">
        <f ca="1">IFERROR(INDEX(INDIRECT("Table3[Column"&amp;AF$9&amp;"]"),MATCH($L98,Table3[[Company name]:[Company name]],0)),0)</f>
        <v>11250</v>
      </c>
      <c r="AG98" s="1">
        <f ca="1">IFERROR(INDEX(INDIRECT("Table3[Column"&amp;AG$9&amp;"]"),MATCH($L98,Table3[[Company name]:[Company name]],0)),0)</f>
        <v>19800</v>
      </c>
      <c r="AH98" s="1">
        <f ca="1">IFERROR(INDEX(INDIRECT("Table3[Column"&amp;AH$9&amp;"]"),MATCH($L98,Table3[[Company name]:[Company name]],0)),0)</f>
        <v>4500</v>
      </c>
      <c r="AI98" s="1">
        <f t="shared" ca="1" si="11"/>
        <v>166950</v>
      </c>
      <c r="AK98" s="1">
        <f>IF(COUNTIFS($J$7:$J$510,Table7[[#Headers],[Industry Essentials]],$C$7:$C$510,$L98)&gt;0,0,MROUND(R98,100))</f>
        <v>0</v>
      </c>
      <c r="AL98" s="1">
        <f ca="1">IF(COUNTIFS($J$7:$J$510,Table7[[#Headers],[Energy Supply Market Intelligence]],$C$7:$C$510,$L98)&gt;0,0,MROUND(IFERROR(S98*($P98/$AI98),0),100))</f>
        <v>0</v>
      </c>
      <c r="AM98" s="1">
        <f ca="1">IF(COUNTIFS($J$7:$J$510,Table7[[#Headers],[Energy Supply RTM Analysis]],$C$7:$C$510,$L98)&gt;0,0,MROUND(IFERROR(T98*($P98/$AI98),0),100))</f>
        <v>0</v>
      </c>
      <c r="AN98" s="1">
        <f>IF(COUNTIFS($J$7:$J$510,Table7[[#Headers],[Energy Supply Forecasts]],$C$7:$C$510,$L98)&gt;0,0,MROUND(IFERROR(U98*($P98/$AI98),0),100))</f>
        <v>0</v>
      </c>
      <c r="AO98" s="1">
        <f ca="1">IF(COUNTIFS($J$7:$J$510,Table7[[#Headers],[Energy Supply Regulation]],$C$7:$C$510,$L98)&gt;0,0,MROUND(IFERROR(V98*($P98/$AI98),0),100))</f>
        <v>0</v>
      </c>
      <c r="AP98" s="1">
        <f ca="1">IF(COUNTIFS($J$7:$J$510,Table7[[#Headers],[Renewables Market Intelligence]],$C$7:$C$510,$L98)&gt;0,0,MROUND(IFERROR(W98*($P98/$AI98),0),100))</f>
        <v>2300</v>
      </c>
      <c r="AQ98" s="1">
        <f ca="1">IF(COUNTIFS($J$7:$J$510,Table7[[#Headers],[Renewables RTM Analysis]],$C$7:$C$510,$L98)&gt;0,0,MROUND(IFERROR(X98*($P98/$AI98),0),100))</f>
        <v>0</v>
      </c>
      <c r="AR98" s="1">
        <f ca="1">IF(COUNTIFS($J$7:$J$510,Table7[[#Headers],[Renewables Forecasts]],$C$7:$C$510,$L98)&gt;0,0,MROUND(IFERROR(Y98*($P98/$AI98),0),100))</f>
        <v>5600</v>
      </c>
      <c r="AS98" s="1">
        <f ca="1">IF(COUNTIFS($J$7:$J$510,Table7[[#Headers],[Renewables Regulation]],$C$7:$C$510,$L98)&gt;0,0,MROUND(IFERROR(Z98*($P98/$AI98),0),100))</f>
        <v>0</v>
      </c>
      <c r="AT98" s="1">
        <f ca="1">IF(COUNTIFS($J$7:$J$510,Table7[[#Headers],[Flexibility Market Intelligence]],$C$7:$C$510,$L98)&gt;0,0,MROUND(IFERROR(AA98*($P98/$AI98),0),100))</f>
        <v>2800</v>
      </c>
      <c r="AU98" s="1">
        <f ca="1">IF(COUNTIFS($J$7:$J$510,Table7[[#Headers],[Flexibility RTM Analysis]],$C$7:$C$510,$L98)&gt;0,0,MROUND(IFERROR(AB98*($P98/$AI98),0),100))</f>
        <v>0</v>
      </c>
      <c r="AV98" s="1">
        <f ca="1">IF(COUNTIFS($J$7:$J$510,Table7[[#Headers],[Flexibility Forecasts]],$C$7:$C$510,$L98)&gt;0,0,MROUND(IFERROR(AC98*($P98/$AI98),0),100))</f>
        <v>4200</v>
      </c>
      <c r="AW98" s="1">
        <f ca="1">IF(COUNTIFS($J$7:$J$510,Table7[[#Headers],[Flexibility Regulation]],$C$7:$C$510,$L98)&gt;0,0,MROUND(IFERROR(AD98*($P98/$AI98),0),100))</f>
        <v>0</v>
      </c>
      <c r="AX98" s="1">
        <f ca="1">IF(COUNTIFS($J$7:$J$510,Table7[[#Headers],[Business Energy Essentials]],$C$7:$C$510,$L98)&gt;0,0,MROUND(IFERROR(AE98*($P98/$AI98),0),100))</f>
        <v>1400</v>
      </c>
      <c r="AY98" s="1">
        <f ca="1">IF(COUNTIFS($J$7:$J$510,Table7[[#Headers],[Energy User RTM Analysis]],$C$7:$C$510,$L98)&gt;0,0,MROUND(IFERROR(AF98*($P98/$AI98),0),100))</f>
        <v>1500</v>
      </c>
      <c r="AZ98" s="1">
        <f ca="1">IF(COUNTIFS($J$7:$J$510,Table7[[#Headers],[Energy User Forecasts]],$C$7:$C$510,$L98)&gt;0,0,MROUND(IFERROR(AG98*($P98/$AI98),0),100))</f>
        <v>2600</v>
      </c>
      <c r="BA98" s="1">
        <f ca="1">IF(COUNTIFS($J$7:$J$510,Table7[[#Headers],[Energy User Regulation]],$C$7:$C$510,$L98)&gt;0,0,MROUND(IFERROR(AH98*($P98/$AI98),0),100))</f>
        <v>600</v>
      </c>
    </row>
    <row r="99" spans="2:53">
      <c r="B99" s="38" t="s">
        <v>2122</v>
      </c>
      <c r="C99" s="38" t="s">
        <v>97</v>
      </c>
      <c r="D99" s="38" t="s">
        <v>2079</v>
      </c>
      <c r="E99" s="38" t="s">
        <v>1810</v>
      </c>
      <c r="F99" s="63">
        <v>3300</v>
      </c>
      <c r="G99" s="38"/>
      <c r="H99" s="38" t="s">
        <v>2031</v>
      </c>
      <c r="I99" s="38" t="s">
        <v>2031</v>
      </c>
      <c r="J99" s="38" t="s">
        <v>22</v>
      </c>
      <c r="L99" s="1" t="str">
        <v>HGGC LLC</v>
      </c>
      <c r="M99" s="1" t="str">
        <f t="shared" si="7"/>
        <v>Supply</v>
      </c>
      <c r="N99" s="109">
        <f t="shared" si="8"/>
        <v>11900</v>
      </c>
      <c r="O99" s="1">
        <f>IFERROR(IF(INDEX(Table3[[Total Spend]:[Total Spend]],MATCH(L99,Table3[[Company name]:[Company name]],0))&gt;N99,INDEX(Table3[[Total Spend]:[Total Spend]],MATCH(L99,Table3[[Company name]:[Company name]])),N99),50000)</f>
        <v>50000</v>
      </c>
      <c r="P99" s="109">
        <f t="shared" si="9"/>
        <v>38100</v>
      </c>
      <c r="Q99" s="103">
        <f t="shared" si="10"/>
        <v>0.23799999999999999</v>
      </c>
      <c r="R99" s="1">
        <f ca="1">IFERROR(INDEX(INDIRECT("Table3[Column"&amp;R$9&amp;"]"),MATCH($L99,Table3[[Company name]:[Company name]],0)),0)</f>
        <v>0</v>
      </c>
      <c r="S99" s="1">
        <f ca="1">IFERROR(INDEX(INDIRECT("Table3[Column"&amp;S$9&amp;"]"),MATCH($L99,Table3[[Company name]:[Company name]],0)),0)</f>
        <v>0</v>
      </c>
      <c r="T99" s="1">
        <f ca="1">IFERROR(INDEX(INDIRECT("Table3[Column"&amp;T$9&amp;"]"),MATCH($L99,Table3[[Company name]:[Company name]],0)),0)</f>
        <v>0</v>
      </c>
      <c r="U99" s="1">
        <f ca="1">IFERROR(INDEX(INDIRECT("Table3[Column"&amp;U$9&amp;"]"),MATCH($L99,Table3[[Company name]:[Company name]],0)),0)</f>
        <v>0</v>
      </c>
      <c r="V99" s="1">
        <f ca="1">IFERROR(INDEX(INDIRECT("Table3[Column"&amp;V$9&amp;"]"),MATCH($L99,Table3[[Company name]:[Company name]],0)),0)</f>
        <v>0</v>
      </c>
      <c r="W99" s="1">
        <f ca="1">IFERROR(INDEX(INDIRECT("Table3[Column"&amp;W$9&amp;"]"),MATCH($L99,Table3[[Company name]:[Company name]],0)),0)</f>
        <v>0</v>
      </c>
      <c r="X99" s="1">
        <f ca="1">IFERROR(INDEX(INDIRECT("Table3[Column"&amp;X$9&amp;"]"),MATCH($L99,Table3[[Company name]:[Company name]],0)),0)</f>
        <v>0</v>
      </c>
      <c r="Y99" s="1">
        <f ca="1">IFERROR(INDEX(INDIRECT("Table3[Column"&amp;Y$9&amp;"]"),MATCH($L99,Table3[[Company name]:[Company name]],0)),0)</f>
        <v>0</v>
      </c>
      <c r="Z99" s="1">
        <f ca="1">IFERROR(INDEX(INDIRECT("Table3[Column"&amp;Z$9&amp;"]"),MATCH($L99,Table3[[Company name]:[Company name]],0)),0)</f>
        <v>0</v>
      </c>
      <c r="AA99" s="1">
        <f ca="1">IFERROR(INDEX(INDIRECT("Table3[Column"&amp;AA$9&amp;"]"),MATCH($L99,Table3[[Company name]:[Company name]],0)),0)</f>
        <v>0</v>
      </c>
      <c r="AB99" s="1">
        <f ca="1">IFERROR(INDEX(INDIRECT("Table3[Column"&amp;AB$9&amp;"]"),MATCH($L99,Table3[[Company name]:[Company name]],0)),0)</f>
        <v>0</v>
      </c>
      <c r="AC99" s="1">
        <f ca="1">IFERROR(INDEX(INDIRECT("Table3[Column"&amp;AC$9&amp;"]"),MATCH($L99,Table3[[Company name]:[Company name]],0)),0)</f>
        <v>0</v>
      </c>
      <c r="AD99" s="1">
        <f ca="1">IFERROR(INDEX(INDIRECT("Table3[Column"&amp;AD$9&amp;"]"),MATCH($L99,Table3[[Company name]:[Company name]],0)),0)</f>
        <v>0</v>
      </c>
      <c r="AE99" s="1">
        <f ca="1">IFERROR(INDEX(INDIRECT("Table3[Column"&amp;AE$9&amp;"]"),MATCH($L99,Table3[[Company name]:[Company name]],0)),0)</f>
        <v>0</v>
      </c>
      <c r="AF99" s="1">
        <f ca="1">IFERROR(INDEX(INDIRECT("Table3[Column"&amp;AF$9&amp;"]"),MATCH($L99,Table3[[Company name]:[Company name]],0)),0)</f>
        <v>0</v>
      </c>
      <c r="AG99" s="1">
        <f ca="1">IFERROR(INDEX(INDIRECT("Table3[Column"&amp;AG$9&amp;"]"),MATCH($L99,Table3[[Company name]:[Company name]],0)),0)</f>
        <v>0</v>
      </c>
      <c r="AH99" s="1">
        <f ca="1">IFERROR(INDEX(INDIRECT("Table3[Column"&amp;AH$9&amp;"]"),MATCH($L99,Table3[[Company name]:[Company name]],0)),0)</f>
        <v>0</v>
      </c>
      <c r="AI99" s="1">
        <f t="shared" ca="1" si="11"/>
        <v>0</v>
      </c>
      <c r="AK99" s="1">
        <f ca="1">IF(COUNTIFS($J$7:$J$510,Table7[[#Headers],[Industry Essentials]],$C$7:$C$510,$L99)&gt;0,0,MROUND(R99,100))</f>
        <v>0</v>
      </c>
      <c r="AL99" s="1">
        <f ca="1">IF(COUNTIFS($J$7:$J$510,Table7[[#Headers],[Energy Supply Market Intelligence]],$C$7:$C$510,$L99)&gt;0,0,MROUND(IFERROR(S99*($P99/$AI99),0),100))</f>
        <v>0</v>
      </c>
      <c r="AM99" s="1">
        <f>IF(COUNTIFS($J$7:$J$510,Table7[[#Headers],[Energy Supply RTM Analysis]],$C$7:$C$510,$L99)&gt;0,0,MROUND(IFERROR(T99*($P99/$AI99),0),100))</f>
        <v>0</v>
      </c>
      <c r="AN99" s="1">
        <f ca="1">IF(COUNTIFS($J$7:$J$510,Table7[[#Headers],[Energy Supply Forecasts]],$C$7:$C$510,$L99)&gt;0,0,MROUND(IFERROR(U99*($P99/$AI99),0),100))</f>
        <v>0</v>
      </c>
      <c r="AO99" s="1">
        <f ca="1">IF(COUNTIFS($J$7:$J$510,Table7[[#Headers],[Energy Supply Regulation]],$C$7:$C$510,$L99)&gt;0,0,MROUND(IFERROR(V99*($P99/$AI99),0),100))</f>
        <v>0</v>
      </c>
      <c r="AP99" s="1">
        <f ca="1">IF(COUNTIFS($J$7:$J$510,Table7[[#Headers],[Renewables Market Intelligence]],$C$7:$C$510,$L99)&gt;0,0,MROUND(IFERROR(W99*($P99/$AI99),0),100))</f>
        <v>0</v>
      </c>
      <c r="AQ99" s="1">
        <f ca="1">IF(COUNTIFS($J$7:$J$510,Table7[[#Headers],[Renewables RTM Analysis]],$C$7:$C$510,$L99)&gt;0,0,MROUND(IFERROR(X99*($P99/$AI99),0),100))</f>
        <v>0</v>
      </c>
      <c r="AR99" s="1">
        <f ca="1">IF(COUNTIFS($J$7:$J$510,Table7[[#Headers],[Renewables Forecasts]],$C$7:$C$510,$L99)&gt;0,0,MROUND(IFERROR(Y99*($P99/$AI99),0),100))</f>
        <v>0</v>
      </c>
      <c r="AS99" s="1">
        <f ca="1">IF(COUNTIFS($J$7:$J$510,Table7[[#Headers],[Renewables Regulation]],$C$7:$C$510,$L99)&gt;0,0,MROUND(IFERROR(Z99*($P99/$AI99),0),100))</f>
        <v>0</v>
      </c>
      <c r="AT99" s="1">
        <f ca="1">IF(COUNTIFS($J$7:$J$510,Table7[[#Headers],[Flexibility Market Intelligence]],$C$7:$C$510,$L99)&gt;0,0,MROUND(IFERROR(AA99*($P99/$AI99),0),100))</f>
        <v>0</v>
      </c>
      <c r="AU99" s="1">
        <f ca="1">IF(COUNTIFS($J$7:$J$510,Table7[[#Headers],[Flexibility RTM Analysis]],$C$7:$C$510,$L99)&gt;0,0,MROUND(IFERROR(AB99*($P99/$AI99),0),100))</f>
        <v>0</v>
      </c>
      <c r="AV99" s="1">
        <f ca="1">IF(COUNTIFS($J$7:$J$510,Table7[[#Headers],[Flexibility Forecasts]],$C$7:$C$510,$L99)&gt;0,0,MROUND(IFERROR(AC99*($P99/$AI99),0),100))</f>
        <v>0</v>
      </c>
      <c r="AW99" s="1">
        <f ca="1">IF(COUNTIFS($J$7:$J$510,Table7[[#Headers],[Flexibility Regulation]],$C$7:$C$510,$L99)&gt;0,0,MROUND(IFERROR(AD99*($P99/$AI99),0),100))</f>
        <v>0</v>
      </c>
      <c r="AX99" s="1">
        <f ca="1">IF(COUNTIFS($J$7:$J$510,Table7[[#Headers],[Business Energy Essentials]],$C$7:$C$510,$L99)&gt;0,0,MROUND(IFERROR(AE99*($P99/$AI99),0),100))</f>
        <v>0</v>
      </c>
      <c r="AY99" s="1">
        <f ca="1">IF(COUNTIFS($J$7:$J$510,Table7[[#Headers],[Energy User RTM Analysis]],$C$7:$C$510,$L99)&gt;0,0,MROUND(IFERROR(AF99*($P99/$AI99),0),100))</f>
        <v>0</v>
      </c>
      <c r="AZ99" s="1">
        <f ca="1">IF(COUNTIFS($J$7:$J$510,Table7[[#Headers],[Energy User Forecasts]],$C$7:$C$510,$L99)&gt;0,0,MROUND(IFERROR(AG99*($P99/$AI99),0),100))</f>
        <v>0</v>
      </c>
      <c r="BA99" s="1">
        <f ca="1">IF(COUNTIFS($J$7:$J$510,Table7[[#Headers],[Energy User Regulation]],$C$7:$C$510,$L99)&gt;0,0,MROUND(IFERROR(AH99*($P99/$AI99),0),100))</f>
        <v>0</v>
      </c>
    </row>
    <row r="100" spans="2:53">
      <c r="B100" s="38" t="s">
        <v>2122</v>
      </c>
      <c r="C100" s="38" t="s">
        <v>97</v>
      </c>
      <c r="D100" s="38" t="s">
        <v>2080</v>
      </c>
      <c r="E100" s="38" t="s">
        <v>1821</v>
      </c>
      <c r="F100" s="63">
        <v>3300</v>
      </c>
      <c r="G100" s="38"/>
      <c r="H100" s="38" t="s">
        <v>2031</v>
      </c>
      <c r="I100" s="38" t="s">
        <v>2031</v>
      </c>
      <c r="J100" s="38" t="s">
        <v>22</v>
      </c>
      <c r="L100" s="1" t="str">
        <v>Howard Kennedy LLP</v>
      </c>
      <c r="M100" s="1" t="str">
        <f t="shared" si="7"/>
        <v>Other</v>
      </c>
      <c r="N100" s="109">
        <f t="shared" si="8"/>
        <v>5100</v>
      </c>
      <c r="O100" s="1">
        <f>IFERROR(IF(INDEX(Table3[[Total Spend]:[Total Spend]],MATCH(L100,Table3[[Company name]:[Company name]],0))&gt;N100,INDEX(Table3[[Total Spend]:[Total Spend]],MATCH(L100,Table3[[Company name]:[Company name]])),N100),50000)</f>
        <v>8100</v>
      </c>
      <c r="P100" s="109">
        <f t="shared" si="9"/>
        <v>3000</v>
      </c>
      <c r="Q100" s="103">
        <f t="shared" si="10"/>
        <v>0.62962962962962965</v>
      </c>
      <c r="R100" s="1">
        <f ca="1">IFERROR(INDEX(INDIRECT("Table3[Column"&amp;R$9&amp;"]"),MATCH($L100,Table3[[Company name]:[Company name]],0)),0)</f>
        <v>8100</v>
      </c>
      <c r="S100" s="1">
        <f ca="1">IFERROR(INDEX(INDIRECT("Table3[Column"&amp;S$9&amp;"]"),MATCH($L100,Table3[[Company name]:[Company name]],0)),0)</f>
        <v>0</v>
      </c>
      <c r="T100" s="1">
        <f ca="1">IFERROR(INDEX(INDIRECT("Table3[Column"&amp;T$9&amp;"]"),MATCH($L100,Table3[[Company name]:[Company name]],0)),0)</f>
        <v>0</v>
      </c>
      <c r="U100" s="1">
        <f ca="1">IFERROR(INDEX(INDIRECT("Table3[Column"&amp;U$9&amp;"]"),MATCH($L100,Table3[[Company name]:[Company name]],0)),0)</f>
        <v>0</v>
      </c>
      <c r="V100" s="1">
        <f ca="1">IFERROR(INDEX(INDIRECT("Table3[Column"&amp;V$9&amp;"]"),MATCH($L100,Table3[[Company name]:[Company name]],0)),0)</f>
        <v>0</v>
      </c>
      <c r="W100" s="1">
        <f ca="1">IFERROR(INDEX(INDIRECT("Table3[Column"&amp;W$9&amp;"]"),MATCH($L100,Table3[[Company name]:[Company name]],0)),0)</f>
        <v>0</v>
      </c>
      <c r="X100" s="1">
        <f ca="1">IFERROR(INDEX(INDIRECT("Table3[Column"&amp;X$9&amp;"]"),MATCH($L100,Table3[[Company name]:[Company name]],0)),0)</f>
        <v>0</v>
      </c>
      <c r="Y100" s="1">
        <f ca="1">IFERROR(INDEX(INDIRECT("Table3[Column"&amp;Y$9&amp;"]"),MATCH($L100,Table3[[Company name]:[Company name]],0)),0)</f>
        <v>0</v>
      </c>
      <c r="Z100" s="1">
        <f ca="1">IFERROR(INDEX(INDIRECT("Table3[Column"&amp;Z$9&amp;"]"),MATCH($L100,Table3[[Company name]:[Company name]],0)),0)</f>
        <v>0</v>
      </c>
      <c r="AA100" s="1">
        <f ca="1">IFERROR(INDEX(INDIRECT("Table3[Column"&amp;AA$9&amp;"]"),MATCH($L100,Table3[[Company name]:[Company name]],0)),0)</f>
        <v>0</v>
      </c>
      <c r="AB100" s="1">
        <f ca="1">IFERROR(INDEX(INDIRECT("Table3[Column"&amp;AB$9&amp;"]"),MATCH($L100,Table3[[Company name]:[Company name]],0)),0)</f>
        <v>0</v>
      </c>
      <c r="AC100" s="1">
        <f ca="1">IFERROR(INDEX(INDIRECT("Table3[Column"&amp;AC$9&amp;"]"),MATCH($L100,Table3[[Company name]:[Company name]],0)),0)</f>
        <v>0</v>
      </c>
      <c r="AD100" s="1">
        <f ca="1">IFERROR(INDEX(INDIRECT("Table3[Column"&amp;AD$9&amp;"]"),MATCH($L100,Table3[[Company name]:[Company name]],0)),0)</f>
        <v>0</v>
      </c>
      <c r="AE100" s="1">
        <f ca="1">IFERROR(INDEX(INDIRECT("Table3[Column"&amp;AE$9&amp;"]"),MATCH($L100,Table3[[Company name]:[Company name]],0)),0)</f>
        <v>0</v>
      </c>
      <c r="AF100" s="1">
        <f ca="1">IFERROR(INDEX(INDIRECT("Table3[Column"&amp;AF$9&amp;"]"),MATCH($L100,Table3[[Company name]:[Company name]],0)),0)</f>
        <v>0</v>
      </c>
      <c r="AG100" s="1">
        <f ca="1">IFERROR(INDEX(INDIRECT("Table3[Column"&amp;AG$9&amp;"]"),MATCH($L100,Table3[[Company name]:[Company name]],0)),0)</f>
        <v>0</v>
      </c>
      <c r="AH100" s="1">
        <f ca="1">IFERROR(INDEX(INDIRECT("Table3[Column"&amp;AH$9&amp;"]"),MATCH($L100,Table3[[Company name]:[Company name]],0)),0)</f>
        <v>0</v>
      </c>
      <c r="AI100" s="1">
        <f t="shared" ca="1" si="11"/>
        <v>8100</v>
      </c>
      <c r="AK100" s="1">
        <f>IF(COUNTIFS($J$7:$J$510,Table7[[#Headers],[Industry Essentials]],$C$7:$C$510,$L100)&gt;0,0,MROUND(R100,100))</f>
        <v>0</v>
      </c>
      <c r="AL100" s="1">
        <f ca="1">IF(COUNTIFS($J$7:$J$510,Table7[[#Headers],[Energy Supply Market Intelligence]],$C$7:$C$510,$L100)&gt;0,0,MROUND(IFERROR(S100*($P100/$AI100),0),100))</f>
        <v>0</v>
      </c>
      <c r="AM100" s="1">
        <f ca="1">IF(COUNTIFS($J$7:$J$510,Table7[[#Headers],[Energy Supply RTM Analysis]],$C$7:$C$510,$L100)&gt;0,0,MROUND(IFERROR(T100*($P100/$AI100),0),100))</f>
        <v>0</v>
      </c>
      <c r="AN100" s="1">
        <f ca="1">IF(COUNTIFS($J$7:$J$510,Table7[[#Headers],[Energy Supply Forecasts]],$C$7:$C$510,$L100)&gt;0,0,MROUND(IFERROR(U100*($P100/$AI100),0),100))</f>
        <v>0</v>
      </c>
      <c r="AO100" s="1">
        <f ca="1">IF(COUNTIFS($J$7:$J$510,Table7[[#Headers],[Energy Supply Regulation]],$C$7:$C$510,$L100)&gt;0,0,MROUND(IFERROR(V100*($P100/$AI100),0),100))</f>
        <v>0</v>
      </c>
      <c r="AP100" s="1">
        <f ca="1">IF(COUNTIFS($J$7:$J$510,Table7[[#Headers],[Renewables Market Intelligence]],$C$7:$C$510,$L100)&gt;0,0,MROUND(IFERROR(W100*($P100/$AI100),0),100))</f>
        <v>0</v>
      </c>
      <c r="AQ100" s="1">
        <f ca="1">IF(COUNTIFS($J$7:$J$510,Table7[[#Headers],[Renewables RTM Analysis]],$C$7:$C$510,$L100)&gt;0,0,MROUND(IFERROR(X100*($P100/$AI100),0),100))</f>
        <v>0</v>
      </c>
      <c r="AR100" s="1">
        <f ca="1">IF(COUNTIFS($J$7:$J$510,Table7[[#Headers],[Renewables Forecasts]],$C$7:$C$510,$L100)&gt;0,0,MROUND(IFERROR(Y100*($P100/$AI100),0),100))</f>
        <v>0</v>
      </c>
      <c r="AS100" s="1">
        <f ca="1">IF(COUNTIFS($J$7:$J$510,Table7[[#Headers],[Renewables Regulation]],$C$7:$C$510,$L100)&gt;0,0,MROUND(IFERROR(Z100*($P100/$AI100),0),100))</f>
        <v>0</v>
      </c>
      <c r="AT100" s="1">
        <f ca="1">IF(COUNTIFS($J$7:$J$510,Table7[[#Headers],[Flexibility Market Intelligence]],$C$7:$C$510,$L100)&gt;0,0,MROUND(IFERROR(AA100*($P100/$AI100),0),100))</f>
        <v>0</v>
      </c>
      <c r="AU100" s="1">
        <f ca="1">IF(COUNTIFS($J$7:$J$510,Table7[[#Headers],[Flexibility RTM Analysis]],$C$7:$C$510,$L100)&gt;0,0,MROUND(IFERROR(AB100*($P100/$AI100),0),100))</f>
        <v>0</v>
      </c>
      <c r="AV100" s="1">
        <f ca="1">IF(COUNTIFS($J$7:$J$510,Table7[[#Headers],[Flexibility Forecasts]],$C$7:$C$510,$L100)&gt;0,0,MROUND(IFERROR(AC100*($P100/$AI100),0),100))</f>
        <v>0</v>
      </c>
      <c r="AW100" s="1">
        <f ca="1">IF(COUNTIFS($J$7:$J$510,Table7[[#Headers],[Flexibility Regulation]],$C$7:$C$510,$L100)&gt;0,0,MROUND(IFERROR(AD100*($P100/$AI100),0),100))</f>
        <v>0</v>
      </c>
      <c r="AX100" s="1">
        <f ca="1">IF(COUNTIFS($J$7:$J$510,Table7[[#Headers],[Business Energy Essentials]],$C$7:$C$510,$L100)&gt;0,0,MROUND(IFERROR(AE100*($P100/$AI100),0),100))</f>
        <v>0</v>
      </c>
      <c r="AY100" s="1">
        <f ca="1">IF(COUNTIFS($J$7:$J$510,Table7[[#Headers],[Energy User RTM Analysis]],$C$7:$C$510,$L100)&gt;0,0,MROUND(IFERROR(AF100*($P100/$AI100),0),100))</f>
        <v>0</v>
      </c>
      <c r="AZ100" s="1">
        <f ca="1">IF(COUNTIFS($J$7:$J$510,Table7[[#Headers],[Energy User Forecasts]],$C$7:$C$510,$L100)&gt;0,0,MROUND(IFERROR(AG100*($P100/$AI100),0),100))</f>
        <v>0</v>
      </c>
      <c r="BA100" s="1">
        <f ca="1">IF(COUNTIFS($J$7:$J$510,Table7[[#Headers],[Energy User Regulation]],$C$7:$C$510,$L100)&gt;0,0,MROUND(IFERROR(AH100*($P100/$AI100),0),100))</f>
        <v>0</v>
      </c>
    </row>
    <row r="101" spans="2:53">
      <c r="B101" s="38" t="s">
        <v>2122</v>
      </c>
      <c r="C101" s="38" t="s">
        <v>97</v>
      </c>
      <c r="D101" s="38" t="s">
        <v>2069</v>
      </c>
      <c r="E101" s="38" t="s">
        <v>1889</v>
      </c>
      <c r="F101" s="63">
        <v>15560.000000000002</v>
      </c>
      <c r="G101" s="38"/>
      <c r="H101" s="38" t="s">
        <v>2031</v>
      </c>
      <c r="I101" s="38" t="s">
        <v>2031</v>
      </c>
      <c r="J101" s="38" t="s">
        <v>21</v>
      </c>
      <c r="L101" s="1" t="str">
        <v>iChoosr Limited</v>
      </c>
      <c r="M101" s="1" t="str">
        <f t="shared" si="7"/>
        <v>Supply</v>
      </c>
      <c r="N101" s="109">
        <f t="shared" si="8"/>
        <v>4000</v>
      </c>
      <c r="O101" s="1">
        <f>IFERROR(IF(INDEX(Table3[[Total Spend]:[Total Spend]],MATCH(L101,Table3[[Company name]:[Company name]],0))&gt;N101,INDEX(Table3[[Total Spend]:[Total Spend]],MATCH(L101,Table3[[Company name]:[Company name]])),N101),50000)</f>
        <v>30600</v>
      </c>
      <c r="P101" s="109">
        <f t="shared" si="9"/>
        <v>26600</v>
      </c>
      <c r="Q101" s="103">
        <f t="shared" si="10"/>
        <v>0.13071895424836602</v>
      </c>
      <c r="R101" s="1">
        <f ca="1">IFERROR(INDEX(INDIRECT("Table3[Column"&amp;R$9&amp;"]"),MATCH($L101,Table3[[Company name]:[Company name]],0)),0)</f>
        <v>8100</v>
      </c>
      <c r="S101" s="1">
        <f ca="1">IFERROR(INDEX(INDIRECT("Table3[Column"&amp;S$9&amp;"]"),MATCH($L101,Table3[[Company name]:[Company name]],0)),0)</f>
        <v>30600</v>
      </c>
      <c r="T101" s="1">
        <f ca="1">IFERROR(INDEX(INDIRECT("Table3[Column"&amp;T$9&amp;"]"),MATCH($L101,Table3[[Company name]:[Company name]],0)),0)</f>
        <v>53100</v>
      </c>
      <c r="U101" s="1">
        <f ca="1">IFERROR(INDEX(INDIRECT("Table3[Column"&amp;U$9&amp;"]"),MATCH($L101,Table3[[Company name]:[Company name]],0)),0)</f>
        <v>34200</v>
      </c>
      <c r="V101" s="1">
        <f ca="1">IFERROR(INDEX(INDIRECT("Table3[Column"&amp;V$9&amp;"]"),MATCH($L101,Table3[[Company name]:[Company name]],0)),0)</f>
        <v>0</v>
      </c>
      <c r="W101" s="1">
        <f ca="1">IFERROR(INDEX(INDIRECT("Table3[Column"&amp;W$9&amp;"]"),MATCH($L101,Table3[[Company name]:[Company name]],0)),0)</f>
        <v>0</v>
      </c>
      <c r="X101" s="1">
        <f ca="1">IFERROR(INDEX(INDIRECT("Table3[Column"&amp;X$9&amp;"]"),MATCH($L101,Table3[[Company name]:[Company name]],0)),0)</f>
        <v>0</v>
      </c>
      <c r="Y101" s="1">
        <f ca="1">IFERROR(INDEX(INDIRECT("Table3[Column"&amp;Y$9&amp;"]"),MATCH($L101,Table3[[Company name]:[Company name]],0)),0)</f>
        <v>0</v>
      </c>
      <c r="Z101" s="1">
        <f ca="1">IFERROR(INDEX(INDIRECT("Table3[Column"&amp;Z$9&amp;"]"),MATCH($L101,Table3[[Company name]:[Company name]],0)),0)</f>
        <v>0</v>
      </c>
      <c r="AA101" s="1">
        <f ca="1">IFERROR(INDEX(INDIRECT("Table3[Column"&amp;AA$9&amp;"]"),MATCH($L101,Table3[[Company name]:[Company name]],0)),0)</f>
        <v>0</v>
      </c>
      <c r="AB101" s="1">
        <f ca="1">IFERROR(INDEX(INDIRECT("Table3[Column"&amp;AB$9&amp;"]"),MATCH($L101,Table3[[Company name]:[Company name]],0)),0)</f>
        <v>0</v>
      </c>
      <c r="AC101" s="1">
        <f ca="1">IFERROR(INDEX(INDIRECT("Table3[Column"&amp;AC$9&amp;"]"),MATCH($L101,Table3[[Company name]:[Company name]],0)),0)</f>
        <v>0</v>
      </c>
      <c r="AD101" s="1">
        <f ca="1">IFERROR(INDEX(INDIRECT("Table3[Column"&amp;AD$9&amp;"]"),MATCH($L101,Table3[[Company name]:[Company name]],0)),0)</f>
        <v>0</v>
      </c>
      <c r="AE101" s="1">
        <f ca="1">IFERROR(INDEX(INDIRECT("Table3[Column"&amp;AE$9&amp;"]"),MATCH($L101,Table3[[Company name]:[Company name]],0)),0)</f>
        <v>0</v>
      </c>
      <c r="AF101" s="1">
        <f ca="1">IFERROR(INDEX(INDIRECT("Table3[Column"&amp;AF$9&amp;"]"),MATCH($L101,Table3[[Company name]:[Company name]],0)),0)</f>
        <v>11250</v>
      </c>
      <c r="AG101" s="1">
        <f ca="1">IFERROR(INDEX(INDIRECT("Table3[Column"&amp;AG$9&amp;"]"),MATCH($L101,Table3[[Company name]:[Company name]],0)),0)</f>
        <v>0</v>
      </c>
      <c r="AH101" s="1">
        <f ca="1">IFERROR(INDEX(INDIRECT("Table3[Column"&amp;AH$9&amp;"]"),MATCH($L101,Table3[[Company name]:[Company name]],0)),0)</f>
        <v>0</v>
      </c>
      <c r="AI101" s="1">
        <f t="shared" ca="1" si="11"/>
        <v>137250</v>
      </c>
      <c r="AK101" s="1">
        <f>IF(COUNTIFS($J$7:$J$510,Table7[[#Headers],[Industry Essentials]],$C$7:$C$510,$L101)&gt;0,0,MROUND(R101,100))</f>
        <v>0</v>
      </c>
      <c r="AL101" s="1">
        <f ca="1">IF(COUNTIFS($J$7:$J$510,Table7[[#Headers],[Energy Supply Market Intelligence]],$C$7:$C$510,$L101)&gt;0,0,MROUND(IFERROR(S101*($P101/$AI101),0),100))</f>
        <v>5900</v>
      </c>
      <c r="AM101" s="1">
        <f ca="1">IF(COUNTIFS($J$7:$J$510,Table7[[#Headers],[Energy Supply RTM Analysis]],$C$7:$C$510,$L101)&gt;0,0,MROUND(IFERROR(T101*($P101/$AI101),0),100))</f>
        <v>10300</v>
      </c>
      <c r="AN101" s="1">
        <f ca="1">IF(COUNTIFS($J$7:$J$510,Table7[[#Headers],[Energy Supply Forecasts]],$C$7:$C$510,$L101)&gt;0,0,MROUND(IFERROR(U101*($P101/$AI101),0),100))</f>
        <v>6600</v>
      </c>
      <c r="AO101" s="1">
        <f ca="1">IF(COUNTIFS($J$7:$J$510,Table7[[#Headers],[Energy Supply Regulation]],$C$7:$C$510,$L101)&gt;0,0,MROUND(IFERROR(V101*($P101/$AI101),0),100))</f>
        <v>0</v>
      </c>
      <c r="AP101" s="1">
        <f ca="1">IF(COUNTIFS($J$7:$J$510,Table7[[#Headers],[Renewables Market Intelligence]],$C$7:$C$510,$L101)&gt;0,0,MROUND(IFERROR(W101*($P101/$AI101),0),100))</f>
        <v>0</v>
      </c>
      <c r="AQ101" s="1">
        <f ca="1">IF(COUNTIFS($J$7:$J$510,Table7[[#Headers],[Renewables RTM Analysis]],$C$7:$C$510,$L101)&gt;0,0,MROUND(IFERROR(X101*($P101/$AI101),0),100))</f>
        <v>0</v>
      </c>
      <c r="AR101" s="1">
        <f ca="1">IF(COUNTIFS($J$7:$J$510,Table7[[#Headers],[Renewables Forecasts]],$C$7:$C$510,$L101)&gt;0,0,MROUND(IFERROR(Y101*($P101/$AI101),0),100))</f>
        <v>0</v>
      </c>
      <c r="AS101" s="1">
        <f ca="1">IF(COUNTIFS($J$7:$J$510,Table7[[#Headers],[Renewables Regulation]],$C$7:$C$510,$L101)&gt;0,0,MROUND(IFERROR(Z101*($P101/$AI101),0),100))</f>
        <v>0</v>
      </c>
      <c r="AT101" s="1">
        <f ca="1">IF(COUNTIFS($J$7:$J$510,Table7[[#Headers],[Flexibility Market Intelligence]],$C$7:$C$510,$L101)&gt;0,0,MROUND(IFERROR(AA101*($P101/$AI101),0),100))</f>
        <v>0</v>
      </c>
      <c r="AU101" s="1">
        <f ca="1">IF(COUNTIFS($J$7:$J$510,Table7[[#Headers],[Flexibility RTM Analysis]],$C$7:$C$510,$L101)&gt;0,0,MROUND(IFERROR(AB101*($P101/$AI101),0),100))</f>
        <v>0</v>
      </c>
      <c r="AV101" s="1">
        <f ca="1">IF(COUNTIFS($J$7:$J$510,Table7[[#Headers],[Flexibility Forecasts]],$C$7:$C$510,$L101)&gt;0,0,MROUND(IFERROR(AC101*($P101/$AI101),0),100))</f>
        <v>0</v>
      </c>
      <c r="AW101" s="1">
        <f ca="1">IF(COUNTIFS($J$7:$J$510,Table7[[#Headers],[Flexibility Regulation]],$C$7:$C$510,$L101)&gt;0,0,MROUND(IFERROR(AD101*($P101/$AI101),0),100))</f>
        <v>0</v>
      </c>
      <c r="AX101" s="1">
        <f ca="1">IF(COUNTIFS($J$7:$J$510,Table7[[#Headers],[Business Energy Essentials]],$C$7:$C$510,$L101)&gt;0,0,MROUND(IFERROR(AE101*($P101/$AI101),0),100))</f>
        <v>0</v>
      </c>
      <c r="AY101" s="1">
        <f ca="1">IF(COUNTIFS($J$7:$J$510,Table7[[#Headers],[Energy User RTM Analysis]],$C$7:$C$510,$L101)&gt;0,0,MROUND(IFERROR(AF101*($P101/$AI101),0),100))</f>
        <v>2200</v>
      </c>
      <c r="AZ101" s="1">
        <f ca="1">IF(COUNTIFS($J$7:$J$510,Table7[[#Headers],[Energy User Forecasts]],$C$7:$C$510,$L101)&gt;0,0,MROUND(IFERROR(AG101*($P101/$AI101),0),100))</f>
        <v>0</v>
      </c>
      <c r="BA101" s="1">
        <f ca="1">IF(COUNTIFS($J$7:$J$510,Table7[[#Headers],[Energy User Regulation]],$C$7:$C$510,$L101)&gt;0,0,MROUND(IFERROR(AH101*($P101/$AI101),0),100))</f>
        <v>0</v>
      </c>
    </row>
    <row r="102" spans="2:53">
      <c r="B102" s="38" t="s">
        <v>2122</v>
      </c>
      <c r="C102" s="38" t="s">
        <v>97</v>
      </c>
      <c r="D102" s="38" t="s">
        <v>2040</v>
      </c>
      <c r="E102" s="38" t="s">
        <v>1799</v>
      </c>
      <c r="F102" s="63">
        <v>3500</v>
      </c>
      <c r="G102" s="38"/>
      <c r="H102" s="38" t="s">
        <v>2031</v>
      </c>
      <c r="I102" s="38" t="s">
        <v>2032</v>
      </c>
      <c r="J102" s="38" t="s">
        <v>20</v>
      </c>
      <c r="L102" s="1" t="str">
        <v>Imserv Europe Limited</v>
      </c>
      <c r="M102" s="1" t="str">
        <f t="shared" si="7"/>
        <v>Supply</v>
      </c>
      <c r="N102" s="109">
        <f t="shared" si="8"/>
        <v>52500</v>
      </c>
      <c r="O102" s="1">
        <f>IFERROR(IF(INDEX(Table3[[Total Spend]:[Total Spend]],MATCH(L102,Table3[[Company name]:[Company name]],0))&gt;N102,INDEX(Table3[[Total Spend]:[Total Spend]],MATCH(L102,Table3[[Company name]:[Company name]])),N102),50000)</f>
        <v>52500</v>
      </c>
      <c r="P102" s="109">
        <f t="shared" si="9"/>
        <v>52500</v>
      </c>
      <c r="Q102" s="103">
        <f t="shared" si="10"/>
        <v>1</v>
      </c>
      <c r="R102" s="1">
        <f ca="1">IFERROR(INDEX(INDIRECT("Table3[Column"&amp;R$9&amp;"]"),MATCH($L102,Table3[[Company name]:[Company name]],0)),0)</f>
        <v>10800</v>
      </c>
      <c r="S102" s="1">
        <f ca="1">IFERROR(INDEX(INDIRECT("Table3[Column"&amp;S$9&amp;"]"),MATCH($L102,Table3[[Company name]:[Company name]],0)),0)</f>
        <v>0</v>
      </c>
      <c r="T102" s="1">
        <f ca="1">IFERROR(INDEX(INDIRECT("Table3[Column"&amp;T$9&amp;"]"),MATCH($L102,Table3[[Company name]:[Company name]],0)),0)</f>
        <v>0</v>
      </c>
      <c r="U102" s="1">
        <f ca="1">IFERROR(INDEX(INDIRECT("Table3[Column"&amp;U$9&amp;"]"),MATCH($L102,Table3[[Company name]:[Company name]],0)),0)</f>
        <v>0</v>
      </c>
      <c r="V102" s="1">
        <f ca="1">IFERROR(INDEX(INDIRECT("Table3[Column"&amp;V$9&amp;"]"),MATCH($L102,Table3[[Company name]:[Company name]],0)),0)</f>
        <v>55800</v>
      </c>
      <c r="W102" s="1">
        <f ca="1">IFERROR(INDEX(INDIRECT("Table3[Column"&amp;W$9&amp;"]"),MATCH($L102,Table3[[Company name]:[Company name]],0)),0)</f>
        <v>0</v>
      </c>
      <c r="X102" s="1">
        <f ca="1">IFERROR(INDEX(INDIRECT("Table3[Column"&amp;X$9&amp;"]"),MATCH($L102,Table3[[Company name]:[Company name]],0)),0)</f>
        <v>0</v>
      </c>
      <c r="Y102" s="1">
        <f ca="1">IFERROR(INDEX(INDIRECT("Table3[Column"&amp;Y$9&amp;"]"),MATCH($L102,Table3[[Company name]:[Company name]],0)),0)</f>
        <v>0</v>
      </c>
      <c r="Z102" s="1">
        <f ca="1">IFERROR(INDEX(INDIRECT("Table3[Column"&amp;Z$9&amp;"]"),MATCH($L102,Table3[[Company name]:[Company name]],0)),0)</f>
        <v>0</v>
      </c>
      <c r="AA102" s="1">
        <f ca="1">IFERROR(INDEX(INDIRECT("Table3[Column"&amp;AA$9&amp;"]"),MATCH($L102,Table3[[Company name]:[Company name]],0)),0)</f>
        <v>0</v>
      </c>
      <c r="AB102" s="1">
        <f ca="1">IFERROR(INDEX(INDIRECT("Table3[Column"&amp;AB$9&amp;"]"),MATCH($L102,Table3[[Company name]:[Company name]],0)),0)</f>
        <v>0</v>
      </c>
      <c r="AC102" s="1">
        <f ca="1">IFERROR(INDEX(INDIRECT("Table3[Column"&amp;AC$9&amp;"]"),MATCH($L102,Table3[[Company name]:[Company name]],0)),0)</f>
        <v>0</v>
      </c>
      <c r="AD102" s="1">
        <f ca="1">IFERROR(INDEX(INDIRECT("Table3[Column"&amp;AD$9&amp;"]"),MATCH($L102,Table3[[Company name]:[Company name]],0)),0)</f>
        <v>0</v>
      </c>
      <c r="AE102" s="1">
        <f ca="1">IFERROR(INDEX(INDIRECT("Table3[Column"&amp;AE$9&amp;"]"),MATCH($L102,Table3[[Company name]:[Company name]],0)),0)</f>
        <v>0</v>
      </c>
      <c r="AF102" s="1">
        <f ca="1">IFERROR(INDEX(INDIRECT("Table3[Column"&amp;AF$9&amp;"]"),MATCH($L102,Table3[[Company name]:[Company name]],0)),0)</f>
        <v>0</v>
      </c>
      <c r="AG102" s="1">
        <f ca="1">IFERROR(INDEX(INDIRECT("Table3[Column"&amp;AG$9&amp;"]"),MATCH($L102,Table3[[Company name]:[Company name]],0)),0)</f>
        <v>0</v>
      </c>
      <c r="AH102" s="1">
        <f ca="1">IFERROR(INDEX(INDIRECT("Table3[Column"&amp;AH$9&amp;"]"),MATCH($L102,Table3[[Company name]:[Company name]],0)),0)</f>
        <v>0</v>
      </c>
      <c r="AI102" s="1">
        <f t="shared" ca="1" si="11"/>
        <v>66600</v>
      </c>
      <c r="AK102" s="1">
        <f>IF(COUNTIFS($J$7:$J$510,Table7[[#Headers],[Industry Essentials]],$C$7:$C$510,$L102)&gt;0,0,MROUND(R102,100))</f>
        <v>0</v>
      </c>
      <c r="AL102" s="1">
        <f>IF(COUNTIFS($J$7:$J$510,Table7[[#Headers],[Energy Supply Market Intelligence]],$C$7:$C$510,$L102)&gt;0,0,MROUND(IFERROR(S102*($P102/$AI102),0),100))</f>
        <v>0</v>
      </c>
      <c r="AM102" s="1">
        <f>IF(COUNTIFS($J$7:$J$510,Table7[[#Headers],[Energy Supply RTM Analysis]],$C$7:$C$510,$L102)&gt;0,0,MROUND(IFERROR(T102*($P102/$AI102),0),100))</f>
        <v>0</v>
      </c>
      <c r="AN102" s="1">
        <f ca="1">IF(COUNTIFS($J$7:$J$510,Table7[[#Headers],[Energy Supply Forecasts]],$C$7:$C$510,$L102)&gt;0,0,MROUND(IFERROR(U102*($P102/$AI102),0),100))</f>
        <v>0</v>
      </c>
      <c r="AO102" s="1">
        <f>IF(COUNTIFS($J$7:$J$510,Table7[[#Headers],[Energy Supply Regulation]],$C$7:$C$510,$L102)&gt;0,0,MROUND(IFERROR(V102*($P102/$AI102),0),100))</f>
        <v>0</v>
      </c>
      <c r="AP102" s="1">
        <f ca="1">IF(COUNTIFS($J$7:$J$510,Table7[[#Headers],[Renewables Market Intelligence]],$C$7:$C$510,$L102)&gt;0,0,MROUND(IFERROR(W102*($P102/$AI102),0),100))</f>
        <v>0</v>
      </c>
      <c r="AQ102" s="1">
        <f ca="1">IF(COUNTIFS($J$7:$J$510,Table7[[#Headers],[Renewables RTM Analysis]],$C$7:$C$510,$L102)&gt;0,0,MROUND(IFERROR(X102*($P102/$AI102),0),100))</f>
        <v>0</v>
      </c>
      <c r="AR102" s="1">
        <f ca="1">IF(COUNTIFS($J$7:$J$510,Table7[[#Headers],[Renewables Forecasts]],$C$7:$C$510,$L102)&gt;0,0,MROUND(IFERROR(Y102*($P102/$AI102),0),100))</f>
        <v>0</v>
      </c>
      <c r="AS102" s="1">
        <f ca="1">IF(COUNTIFS($J$7:$J$510,Table7[[#Headers],[Renewables Regulation]],$C$7:$C$510,$L102)&gt;0,0,MROUND(IFERROR(Z102*($P102/$AI102),0),100))</f>
        <v>0</v>
      </c>
      <c r="AT102" s="1">
        <f ca="1">IF(COUNTIFS($J$7:$J$510,Table7[[#Headers],[Flexibility Market Intelligence]],$C$7:$C$510,$L102)&gt;0,0,MROUND(IFERROR(AA102*($P102/$AI102),0),100))</f>
        <v>0</v>
      </c>
      <c r="AU102" s="1">
        <f ca="1">IF(COUNTIFS($J$7:$J$510,Table7[[#Headers],[Flexibility RTM Analysis]],$C$7:$C$510,$L102)&gt;0,0,MROUND(IFERROR(AB102*($P102/$AI102),0),100))</f>
        <v>0</v>
      </c>
      <c r="AV102" s="1">
        <f ca="1">IF(COUNTIFS($J$7:$J$510,Table7[[#Headers],[Flexibility Forecasts]],$C$7:$C$510,$L102)&gt;0,0,MROUND(IFERROR(AC102*($P102/$AI102),0),100))</f>
        <v>0</v>
      </c>
      <c r="AW102" s="1">
        <f ca="1">IF(COUNTIFS($J$7:$J$510,Table7[[#Headers],[Flexibility Regulation]],$C$7:$C$510,$L102)&gt;0,0,MROUND(IFERROR(AD102*($P102/$AI102),0),100))</f>
        <v>0</v>
      </c>
      <c r="AX102" s="1">
        <f ca="1">IF(COUNTIFS($J$7:$J$510,Table7[[#Headers],[Business Energy Essentials]],$C$7:$C$510,$L102)&gt;0,0,MROUND(IFERROR(AE102*($P102/$AI102),0),100))</f>
        <v>0</v>
      </c>
      <c r="AY102" s="1">
        <f ca="1">IF(COUNTIFS($J$7:$J$510,Table7[[#Headers],[Energy User RTM Analysis]],$C$7:$C$510,$L102)&gt;0,0,MROUND(IFERROR(AF102*($P102/$AI102),0),100))</f>
        <v>0</v>
      </c>
      <c r="AZ102" s="1">
        <f ca="1">IF(COUNTIFS($J$7:$J$510,Table7[[#Headers],[Energy User Forecasts]],$C$7:$C$510,$L102)&gt;0,0,MROUND(IFERROR(AG102*($P102/$AI102),0),100))</f>
        <v>0</v>
      </c>
      <c r="BA102" s="1">
        <f ca="1">IF(COUNTIFS($J$7:$J$510,Table7[[#Headers],[Energy User Regulation]],$C$7:$C$510,$L102)&gt;0,0,MROUND(IFERROR(AH102*($P102/$AI102),0),100))</f>
        <v>0</v>
      </c>
    </row>
    <row r="103" spans="2:53">
      <c r="B103" s="38" t="s">
        <v>2122</v>
      </c>
      <c r="C103" s="38" t="s">
        <v>97</v>
      </c>
      <c r="D103" s="38" t="s">
        <v>2107</v>
      </c>
      <c r="E103" s="38" t="s">
        <v>1914</v>
      </c>
      <c r="F103" s="63">
        <v>28700</v>
      </c>
      <c r="G103" s="38"/>
      <c r="H103" s="38" t="s">
        <v>2031</v>
      </c>
      <c r="I103" s="38" t="s">
        <v>2031</v>
      </c>
      <c r="J103" s="38" t="s">
        <v>24</v>
      </c>
      <c r="L103" s="1" t="str">
        <v>Indigo Swan Limited</v>
      </c>
      <c r="M103" s="1" t="str">
        <f t="shared" si="7"/>
        <v>Supply</v>
      </c>
      <c r="N103" s="109">
        <f t="shared" si="8"/>
        <v>1000</v>
      </c>
      <c r="O103" s="1">
        <f>IFERROR(IF(INDEX(Table3[[Total Spend]:[Total Spend]],MATCH(L103,Table3[[Company name]:[Company name]],0))&gt;N103,INDEX(Table3[[Total Spend]:[Total Spend]],MATCH(L103,Table3[[Company name]:[Company name]])),N103),50000)</f>
        <v>150000</v>
      </c>
      <c r="P103" s="109">
        <f t="shared" si="9"/>
        <v>149000</v>
      </c>
      <c r="Q103" s="103">
        <f t="shared" si="10"/>
        <v>6.6666666666666671E-3</v>
      </c>
      <c r="R103" s="1">
        <f ca="1">IFERROR(INDEX(INDIRECT("Table3[Column"&amp;R$9&amp;"]"),MATCH($L103,Table3[[Company name]:[Company name]],0)),0)</f>
        <v>8100</v>
      </c>
      <c r="S103" s="1">
        <f ca="1">IFERROR(INDEX(INDIRECT("Table3[Column"&amp;S$9&amp;"]"),MATCH($L103,Table3[[Company name]:[Company name]],0)),0)</f>
        <v>30600</v>
      </c>
      <c r="T103" s="1">
        <f ca="1">IFERROR(INDEX(INDIRECT("Table3[Column"&amp;T$9&amp;"]"),MATCH($L103,Table3[[Company name]:[Company name]],0)),0)</f>
        <v>53100</v>
      </c>
      <c r="U103" s="1">
        <f ca="1">IFERROR(INDEX(INDIRECT("Table3[Column"&amp;U$9&amp;"]"),MATCH($L103,Table3[[Company name]:[Company name]],0)),0)</f>
        <v>34200</v>
      </c>
      <c r="V103" s="1">
        <f ca="1">IFERROR(INDEX(INDIRECT("Table3[Column"&amp;V$9&amp;"]"),MATCH($L103,Table3[[Company name]:[Company name]],0)),0)</f>
        <v>0</v>
      </c>
      <c r="W103" s="1">
        <f ca="1">IFERROR(INDEX(INDIRECT("Table3[Column"&amp;W$9&amp;"]"),MATCH($L103,Table3[[Company name]:[Company name]],0)),0)</f>
        <v>0</v>
      </c>
      <c r="X103" s="1">
        <f ca="1">IFERROR(INDEX(INDIRECT("Table3[Column"&amp;X$9&amp;"]"),MATCH($L103,Table3[[Company name]:[Company name]],0)),0)</f>
        <v>0</v>
      </c>
      <c r="Y103" s="1">
        <f ca="1">IFERROR(INDEX(INDIRECT("Table3[Column"&amp;Y$9&amp;"]"),MATCH($L103,Table3[[Company name]:[Company name]],0)),0)</f>
        <v>0</v>
      </c>
      <c r="Z103" s="1">
        <f ca="1">IFERROR(INDEX(INDIRECT("Table3[Column"&amp;Z$9&amp;"]"),MATCH($L103,Table3[[Company name]:[Company name]],0)),0)</f>
        <v>0</v>
      </c>
      <c r="AA103" s="1">
        <f ca="1">IFERROR(INDEX(INDIRECT("Table3[Column"&amp;AA$9&amp;"]"),MATCH($L103,Table3[[Company name]:[Company name]],0)),0)</f>
        <v>0</v>
      </c>
      <c r="AB103" s="1">
        <f ca="1">IFERROR(INDEX(INDIRECT("Table3[Column"&amp;AB$9&amp;"]"),MATCH($L103,Table3[[Company name]:[Company name]],0)),0)</f>
        <v>0</v>
      </c>
      <c r="AC103" s="1">
        <f ca="1">IFERROR(INDEX(INDIRECT("Table3[Column"&amp;AC$9&amp;"]"),MATCH($L103,Table3[[Company name]:[Company name]],0)),0)</f>
        <v>0</v>
      </c>
      <c r="AD103" s="1">
        <f ca="1">IFERROR(INDEX(INDIRECT("Table3[Column"&amp;AD$9&amp;"]"),MATCH($L103,Table3[[Company name]:[Company name]],0)),0)</f>
        <v>0</v>
      </c>
      <c r="AE103" s="1">
        <f ca="1">IFERROR(INDEX(INDIRECT("Table3[Column"&amp;AE$9&amp;"]"),MATCH($L103,Table3[[Company name]:[Company name]],0)),0)</f>
        <v>0</v>
      </c>
      <c r="AF103" s="1">
        <f ca="1">IFERROR(INDEX(INDIRECT("Table3[Column"&amp;AF$9&amp;"]"),MATCH($L103,Table3[[Company name]:[Company name]],0)),0)</f>
        <v>11250</v>
      </c>
      <c r="AG103" s="1">
        <f ca="1">IFERROR(INDEX(INDIRECT("Table3[Column"&amp;AG$9&amp;"]"),MATCH($L103,Table3[[Company name]:[Company name]],0)),0)</f>
        <v>0</v>
      </c>
      <c r="AH103" s="1">
        <f ca="1">IFERROR(INDEX(INDIRECT("Table3[Column"&amp;AH$9&amp;"]"),MATCH($L103,Table3[[Company name]:[Company name]],0)),0)</f>
        <v>0</v>
      </c>
      <c r="AI103" s="1">
        <f t="shared" ca="1" si="11"/>
        <v>137250</v>
      </c>
      <c r="AK103" s="1">
        <f>IF(COUNTIFS($J$7:$J$510,Table7[[#Headers],[Industry Essentials]],$C$7:$C$510,$L103)&gt;0,0,MROUND(R103,100))</f>
        <v>0</v>
      </c>
      <c r="AL103" s="1">
        <f ca="1">IF(COUNTIFS($J$7:$J$510,Table7[[#Headers],[Energy Supply Market Intelligence]],$C$7:$C$510,$L103)&gt;0,0,MROUND(IFERROR(S103*($P103/$AI103),0),100))</f>
        <v>33200</v>
      </c>
      <c r="AM103" s="1">
        <f ca="1">IF(COUNTIFS($J$7:$J$510,Table7[[#Headers],[Energy Supply RTM Analysis]],$C$7:$C$510,$L103)&gt;0,0,MROUND(IFERROR(T103*($P103/$AI103),0),100))</f>
        <v>57600</v>
      </c>
      <c r="AN103" s="1">
        <f ca="1">IF(COUNTIFS($J$7:$J$510,Table7[[#Headers],[Energy Supply Forecasts]],$C$7:$C$510,$L103)&gt;0,0,MROUND(IFERROR(U103*($P103/$AI103),0),100))</f>
        <v>37100</v>
      </c>
      <c r="AO103" s="1">
        <f ca="1">IF(COUNTIFS($J$7:$J$510,Table7[[#Headers],[Energy Supply Regulation]],$C$7:$C$510,$L103)&gt;0,0,MROUND(IFERROR(V103*($P103/$AI103),0),100))</f>
        <v>0</v>
      </c>
      <c r="AP103" s="1">
        <f ca="1">IF(COUNTIFS($J$7:$J$510,Table7[[#Headers],[Renewables Market Intelligence]],$C$7:$C$510,$L103)&gt;0,0,MROUND(IFERROR(W103*($P103/$AI103),0),100))</f>
        <v>0</v>
      </c>
      <c r="AQ103" s="1">
        <f ca="1">IF(COUNTIFS($J$7:$J$510,Table7[[#Headers],[Renewables RTM Analysis]],$C$7:$C$510,$L103)&gt;0,0,MROUND(IFERROR(X103*($P103/$AI103),0),100))</f>
        <v>0</v>
      </c>
      <c r="AR103" s="1">
        <f ca="1">IF(COUNTIFS($J$7:$J$510,Table7[[#Headers],[Renewables Forecasts]],$C$7:$C$510,$L103)&gt;0,0,MROUND(IFERROR(Y103*($P103/$AI103),0),100))</f>
        <v>0</v>
      </c>
      <c r="AS103" s="1">
        <f ca="1">IF(COUNTIFS($J$7:$J$510,Table7[[#Headers],[Renewables Regulation]],$C$7:$C$510,$L103)&gt;0,0,MROUND(IFERROR(Z103*($P103/$AI103),0),100))</f>
        <v>0</v>
      </c>
      <c r="AT103" s="1">
        <f ca="1">IF(COUNTIFS($J$7:$J$510,Table7[[#Headers],[Flexibility Market Intelligence]],$C$7:$C$510,$L103)&gt;0,0,MROUND(IFERROR(AA103*($P103/$AI103),0),100))</f>
        <v>0</v>
      </c>
      <c r="AU103" s="1">
        <f ca="1">IF(COUNTIFS($J$7:$J$510,Table7[[#Headers],[Flexibility RTM Analysis]],$C$7:$C$510,$L103)&gt;0,0,MROUND(IFERROR(AB103*($P103/$AI103),0),100))</f>
        <v>0</v>
      </c>
      <c r="AV103" s="1">
        <f ca="1">IF(COUNTIFS($J$7:$J$510,Table7[[#Headers],[Flexibility Forecasts]],$C$7:$C$510,$L103)&gt;0,0,MROUND(IFERROR(AC103*($P103/$AI103),0),100))</f>
        <v>0</v>
      </c>
      <c r="AW103" s="1">
        <f ca="1">IF(COUNTIFS($J$7:$J$510,Table7[[#Headers],[Flexibility Regulation]],$C$7:$C$510,$L103)&gt;0,0,MROUND(IFERROR(AD103*($P103/$AI103),0),100))</f>
        <v>0</v>
      </c>
      <c r="AX103" s="1">
        <f ca="1">IF(COUNTIFS($J$7:$J$510,Table7[[#Headers],[Business Energy Essentials]],$C$7:$C$510,$L103)&gt;0,0,MROUND(IFERROR(AE103*($P103/$AI103),0),100))</f>
        <v>0</v>
      </c>
      <c r="AY103" s="1">
        <f ca="1">IF(COUNTIFS($J$7:$J$510,Table7[[#Headers],[Energy User RTM Analysis]],$C$7:$C$510,$L103)&gt;0,0,MROUND(IFERROR(AF103*($P103/$AI103),0),100))</f>
        <v>12200</v>
      </c>
      <c r="AZ103" s="1">
        <f ca="1">IF(COUNTIFS($J$7:$J$510,Table7[[#Headers],[Energy User Forecasts]],$C$7:$C$510,$L103)&gt;0,0,MROUND(IFERROR(AG103*($P103/$AI103),0),100))</f>
        <v>0</v>
      </c>
      <c r="BA103" s="1">
        <f ca="1">IF(COUNTIFS($J$7:$J$510,Table7[[#Headers],[Energy User Regulation]],$C$7:$C$510,$L103)&gt;0,0,MROUND(IFERROR(AH103*($P103/$AI103),0),100))</f>
        <v>0</v>
      </c>
    </row>
    <row r="104" spans="2:53">
      <c r="B104" s="38" t="s">
        <v>2122</v>
      </c>
      <c r="C104" s="38" t="s">
        <v>97</v>
      </c>
      <c r="D104" s="38" t="s">
        <v>2123</v>
      </c>
      <c r="E104" s="38" t="s">
        <v>1833</v>
      </c>
      <c r="F104" s="63">
        <v>3080</v>
      </c>
      <c r="G104" s="38"/>
      <c r="H104" s="38" t="s">
        <v>2031</v>
      </c>
      <c r="I104" s="38" t="s">
        <v>1702</v>
      </c>
      <c r="J104" s="38" t="s">
        <v>26</v>
      </c>
      <c r="L104" s="1" t="str">
        <v>Infinis Energy Services Limited</v>
      </c>
      <c r="M104" s="1" t="str">
        <f t="shared" si="7"/>
        <v>Flexibility</v>
      </c>
      <c r="N104" s="109">
        <f t="shared" si="8"/>
        <v>25000</v>
      </c>
      <c r="O104" s="1">
        <f>IFERROR(IF(INDEX(Table3[[Total Spend]:[Total Spend]],MATCH(L104,Table3[[Company name]:[Company name]],0))&gt;N104,INDEX(Table3[[Total Spend]:[Total Spend]],MATCH(L104,Table3[[Company name]:[Company name]])),N104),50000)</f>
        <v>150000</v>
      </c>
      <c r="P104" s="109">
        <f t="shared" si="9"/>
        <v>125000</v>
      </c>
      <c r="Q104" s="103">
        <f t="shared" si="10"/>
        <v>0.16666666666666666</v>
      </c>
      <c r="R104" s="1">
        <f ca="1">IFERROR(INDEX(INDIRECT("Table3[Column"&amp;R$9&amp;"]"),MATCH($L104,Table3[[Company name]:[Company name]],0)),0)</f>
        <v>8100</v>
      </c>
      <c r="S104" s="1">
        <f ca="1">IFERROR(INDEX(INDIRECT("Table3[Column"&amp;S$9&amp;"]"),MATCH($L104,Table3[[Company name]:[Company name]],0)),0)</f>
        <v>0</v>
      </c>
      <c r="T104" s="1">
        <f ca="1">IFERROR(INDEX(INDIRECT("Table3[Column"&amp;T$9&amp;"]"),MATCH($L104,Table3[[Company name]:[Company name]],0)),0)</f>
        <v>0</v>
      </c>
      <c r="U104" s="1">
        <f ca="1">IFERROR(INDEX(INDIRECT("Table3[Column"&amp;U$9&amp;"]"),MATCH($L104,Table3[[Company name]:[Company name]],0)),0)</f>
        <v>0</v>
      </c>
      <c r="V104" s="1">
        <f ca="1">IFERROR(INDEX(INDIRECT("Table3[Column"&amp;V$9&amp;"]"),MATCH($L104,Table3[[Company name]:[Company name]],0)),0)</f>
        <v>0</v>
      </c>
      <c r="W104" s="1">
        <f ca="1">IFERROR(INDEX(INDIRECT("Table3[Column"&amp;W$9&amp;"]"),MATCH($L104,Table3[[Company name]:[Company name]],0)),0)</f>
        <v>17100</v>
      </c>
      <c r="X104" s="1">
        <f ca="1">IFERROR(INDEX(INDIRECT("Table3[Column"&amp;X$9&amp;"]"),MATCH($L104,Table3[[Company name]:[Company name]],0)),0)</f>
        <v>15300</v>
      </c>
      <c r="Y104" s="1">
        <f ca="1">IFERROR(INDEX(INDIRECT("Table3[Column"&amp;Y$9&amp;"]"),MATCH($L104,Table3[[Company name]:[Company name]],0)),0)</f>
        <v>42300</v>
      </c>
      <c r="Z104" s="1">
        <f ca="1">IFERROR(INDEX(INDIRECT("Table3[Column"&amp;Z$9&amp;"]"),MATCH($L104,Table3[[Company name]:[Company name]],0)),0)</f>
        <v>18900</v>
      </c>
      <c r="AA104" s="1">
        <f ca="1">IFERROR(INDEX(INDIRECT("Table3[Column"&amp;AA$9&amp;"]"),MATCH($L104,Table3[[Company name]:[Company name]],0)),0)</f>
        <v>21600</v>
      </c>
      <c r="AB104" s="1">
        <f ca="1">IFERROR(INDEX(INDIRECT("Table3[Column"&amp;AB$9&amp;"]"),MATCH($L104,Table3[[Company name]:[Company name]],0)),0)</f>
        <v>7650</v>
      </c>
      <c r="AC104" s="1">
        <f ca="1">IFERROR(INDEX(INDIRECT("Table3[Column"&amp;AC$9&amp;"]"),MATCH($L104,Table3[[Company name]:[Company name]],0)),0)</f>
        <v>31500</v>
      </c>
      <c r="AD104" s="1">
        <f ca="1">IFERROR(INDEX(INDIRECT("Table3[Column"&amp;AD$9&amp;"]"),MATCH($L104,Table3[[Company name]:[Company name]],0)),0)</f>
        <v>25200</v>
      </c>
      <c r="AE104" s="1">
        <f ca="1">IFERROR(INDEX(INDIRECT("Table3[Column"&amp;AE$9&amp;"]"),MATCH($L104,Table3[[Company name]:[Company name]],0)),0)</f>
        <v>0</v>
      </c>
      <c r="AF104" s="1">
        <f ca="1">IFERROR(INDEX(INDIRECT("Table3[Column"&amp;AF$9&amp;"]"),MATCH($L104,Table3[[Company name]:[Company name]],0)),0)</f>
        <v>0</v>
      </c>
      <c r="AG104" s="1">
        <f ca="1">IFERROR(INDEX(INDIRECT("Table3[Column"&amp;AG$9&amp;"]"),MATCH($L104,Table3[[Company name]:[Company name]],0)),0)</f>
        <v>0</v>
      </c>
      <c r="AH104" s="1">
        <f ca="1">IFERROR(INDEX(INDIRECT("Table3[Column"&amp;AH$9&amp;"]"),MATCH($L104,Table3[[Company name]:[Company name]],0)),0)</f>
        <v>0</v>
      </c>
      <c r="AI104" s="1">
        <f t="shared" ca="1" si="11"/>
        <v>187650</v>
      </c>
      <c r="AK104" s="1">
        <f>IF(COUNTIFS($J$7:$J$510,Table7[[#Headers],[Industry Essentials]],$C$7:$C$510,$L104)&gt;0,0,MROUND(R104,100))</f>
        <v>0</v>
      </c>
      <c r="AL104" s="1">
        <f ca="1">IF(COUNTIFS($J$7:$J$510,Table7[[#Headers],[Energy Supply Market Intelligence]],$C$7:$C$510,$L104)&gt;0,0,MROUND(IFERROR(S104*($P104/$AI104),0),100))</f>
        <v>0</v>
      </c>
      <c r="AM104" s="1">
        <f ca="1">IF(COUNTIFS($J$7:$J$510,Table7[[#Headers],[Energy Supply RTM Analysis]],$C$7:$C$510,$L104)&gt;0,0,MROUND(IFERROR(T104*($P104/$AI104),0),100))</f>
        <v>0</v>
      </c>
      <c r="AN104" s="1">
        <f ca="1">IF(COUNTIFS($J$7:$J$510,Table7[[#Headers],[Energy Supply Forecasts]],$C$7:$C$510,$L104)&gt;0,0,MROUND(IFERROR(U104*($P104/$AI104),0),100))</f>
        <v>0</v>
      </c>
      <c r="AO104" s="1">
        <f ca="1">IF(COUNTIFS($J$7:$J$510,Table7[[#Headers],[Energy Supply Regulation]],$C$7:$C$510,$L104)&gt;0,0,MROUND(IFERROR(V104*($P104/$AI104),0),100))</f>
        <v>0</v>
      </c>
      <c r="AP104" s="1">
        <f ca="1">IF(COUNTIFS($J$7:$J$510,Table7[[#Headers],[Renewables Market Intelligence]],$C$7:$C$510,$L104)&gt;0,0,MROUND(IFERROR(W104*($P104/$AI104),0),100))</f>
        <v>11400</v>
      </c>
      <c r="AQ104" s="1">
        <f ca="1">IF(COUNTIFS($J$7:$J$510,Table7[[#Headers],[Renewables RTM Analysis]],$C$7:$C$510,$L104)&gt;0,0,MROUND(IFERROR(X104*($P104/$AI104),0),100))</f>
        <v>10200</v>
      </c>
      <c r="AR104" s="1">
        <f>IF(COUNTIFS($J$7:$J$510,Table7[[#Headers],[Renewables Forecasts]],$C$7:$C$510,$L104)&gt;0,0,MROUND(IFERROR(Y104*($P104/$AI104),0),100))</f>
        <v>0</v>
      </c>
      <c r="AS104" s="1">
        <f ca="1">IF(COUNTIFS($J$7:$J$510,Table7[[#Headers],[Renewables Regulation]],$C$7:$C$510,$L104)&gt;0,0,MROUND(IFERROR(Z104*($P104/$AI104),0),100))</f>
        <v>12600</v>
      </c>
      <c r="AT104" s="1">
        <f>IF(COUNTIFS($J$7:$J$510,Table7[[#Headers],[Flexibility Market Intelligence]],$C$7:$C$510,$L104)&gt;0,0,MROUND(IFERROR(AA104*($P104/$AI104),0),100))</f>
        <v>0</v>
      </c>
      <c r="AU104" s="1">
        <f ca="1">IF(COUNTIFS($J$7:$J$510,Table7[[#Headers],[Flexibility RTM Analysis]],$C$7:$C$510,$L104)&gt;0,0,MROUND(IFERROR(AB104*($P104/$AI104),0),100))</f>
        <v>5100</v>
      </c>
      <c r="AV104" s="1">
        <f>IF(COUNTIFS($J$7:$J$510,Table7[[#Headers],[Flexibility Forecasts]],$C$7:$C$510,$L104)&gt;0,0,MROUND(IFERROR(AC104*($P104/$AI104),0),100))</f>
        <v>0</v>
      </c>
      <c r="AW104" s="1">
        <f ca="1">IF(COUNTIFS($J$7:$J$510,Table7[[#Headers],[Flexibility Regulation]],$C$7:$C$510,$L104)&gt;0,0,MROUND(IFERROR(AD104*($P104/$AI104),0),100))</f>
        <v>16800</v>
      </c>
      <c r="AX104" s="1">
        <f ca="1">IF(COUNTIFS($J$7:$J$510,Table7[[#Headers],[Business Energy Essentials]],$C$7:$C$510,$L104)&gt;0,0,MROUND(IFERROR(AE104*($P104/$AI104),0),100))</f>
        <v>0</v>
      </c>
      <c r="AY104" s="1">
        <f ca="1">IF(COUNTIFS($J$7:$J$510,Table7[[#Headers],[Energy User RTM Analysis]],$C$7:$C$510,$L104)&gt;0,0,MROUND(IFERROR(AF104*($P104/$AI104),0),100))</f>
        <v>0</v>
      </c>
      <c r="AZ104" s="1">
        <f ca="1">IF(COUNTIFS($J$7:$J$510,Table7[[#Headers],[Energy User Forecasts]],$C$7:$C$510,$L104)&gt;0,0,MROUND(IFERROR(AG104*($P104/$AI104),0),100))</f>
        <v>0</v>
      </c>
      <c r="BA104" s="1">
        <f ca="1">IF(COUNTIFS($J$7:$J$510,Table7[[#Headers],[Energy User Regulation]],$C$7:$C$510,$L104)&gt;0,0,MROUND(IFERROR(AH104*($P104/$AI104),0),100))</f>
        <v>0</v>
      </c>
    </row>
    <row r="105" spans="2:53">
      <c r="B105" s="38" t="s">
        <v>2122</v>
      </c>
      <c r="C105" s="38" t="s">
        <v>97</v>
      </c>
      <c r="D105" s="38" t="s">
        <v>2072</v>
      </c>
      <c r="E105" s="38" t="s">
        <v>1918</v>
      </c>
      <c r="F105" s="63">
        <v>11020</v>
      </c>
      <c r="G105" s="38"/>
      <c r="H105" s="38" t="s">
        <v>2031</v>
      </c>
      <c r="I105" s="38" t="s">
        <v>1702</v>
      </c>
      <c r="J105" s="38" t="s">
        <v>26</v>
      </c>
      <c r="L105" s="1" t="str">
        <v>Innova Renewables Ltd</v>
      </c>
      <c r="M105" s="1" t="str">
        <f t="shared" si="7"/>
        <v>Renewables</v>
      </c>
      <c r="N105" s="109">
        <f t="shared" si="8"/>
        <v>25700</v>
      </c>
      <c r="O105" s="1">
        <f>IFERROR(IF(INDEX(Table3[[Total Spend]:[Total Spend]],MATCH(L105,Table3[[Company name]:[Company name]],0))&gt;N105,INDEX(Table3[[Total Spend]:[Total Spend]],MATCH(L105,Table3[[Company name]:[Company name]])),N105),50000)</f>
        <v>50000</v>
      </c>
      <c r="P105" s="109">
        <f t="shared" si="9"/>
        <v>24300</v>
      </c>
      <c r="Q105" s="103">
        <f t="shared" si="10"/>
        <v>0.51400000000000001</v>
      </c>
      <c r="R105" s="1">
        <f ca="1">IFERROR(INDEX(INDIRECT("Table3[Column"&amp;R$9&amp;"]"),MATCH($L105,Table3[[Company name]:[Company name]],0)),0)</f>
        <v>8100</v>
      </c>
      <c r="S105" s="1">
        <f ca="1">IFERROR(INDEX(INDIRECT("Table3[Column"&amp;S$9&amp;"]"),MATCH($L105,Table3[[Company name]:[Company name]],0)),0)</f>
        <v>0</v>
      </c>
      <c r="T105" s="1">
        <f ca="1">IFERROR(INDEX(INDIRECT("Table3[Column"&amp;T$9&amp;"]"),MATCH($L105,Table3[[Company name]:[Company name]],0)),0)</f>
        <v>0</v>
      </c>
      <c r="U105" s="1">
        <f ca="1">IFERROR(INDEX(INDIRECT("Table3[Column"&amp;U$9&amp;"]"),MATCH($L105,Table3[[Company name]:[Company name]],0)),0)</f>
        <v>0</v>
      </c>
      <c r="V105" s="1">
        <f ca="1">IFERROR(INDEX(INDIRECT("Table3[Column"&amp;V$9&amp;"]"),MATCH($L105,Table3[[Company name]:[Company name]],0)),0)</f>
        <v>0</v>
      </c>
      <c r="W105" s="1">
        <f ca="1">IFERROR(INDEX(INDIRECT("Table3[Column"&amp;W$9&amp;"]"),MATCH($L105,Table3[[Company name]:[Company name]],0)),0)</f>
        <v>17100</v>
      </c>
      <c r="X105" s="1">
        <f ca="1">IFERROR(INDEX(INDIRECT("Table3[Column"&amp;X$9&amp;"]"),MATCH($L105,Table3[[Company name]:[Company name]],0)),0)</f>
        <v>15300</v>
      </c>
      <c r="Y105" s="1">
        <f ca="1">IFERROR(INDEX(INDIRECT("Table3[Column"&amp;Y$9&amp;"]"),MATCH($L105,Table3[[Company name]:[Company name]],0)),0)</f>
        <v>42300</v>
      </c>
      <c r="Z105" s="1">
        <f ca="1">IFERROR(INDEX(INDIRECT("Table3[Column"&amp;Z$9&amp;"]"),MATCH($L105,Table3[[Company name]:[Company name]],0)),0)</f>
        <v>18900</v>
      </c>
      <c r="AA105" s="1">
        <f ca="1">IFERROR(INDEX(INDIRECT("Table3[Column"&amp;AA$9&amp;"]"),MATCH($L105,Table3[[Company name]:[Company name]],0)),0)</f>
        <v>0</v>
      </c>
      <c r="AB105" s="1">
        <f ca="1">IFERROR(INDEX(INDIRECT("Table3[Column"&amp;AB$9&amp;"]"),MATCH($L105,Table3[[Company name]:[Company name]],0)),0)</f>
        <v>0</v>
      </c>
      <c r="AC105" s="1">
        <f ca="1">IFERROR(INDEX(INDIRECT("Table3[Column"&amp;AC$9&amp;"]"),MATCH($L105,Table3[[Company name]:[Company name]],0)),0)</f>
        <v>0</v>
      </c>
      <c r="AD105" s="1">
        <f ca="1">IFERROR(INDEX(INDIRECT("Table3[Column"&amp;AD$9&amp;"]"),MATCH($L105,Table3[[Company name]:[Company name]],0)),0)</f>
        <v>0</v>
      </c>
      <c r="AE105" s="1">
        <f ca="1">IFERROR(INDEX(INDIRECT("Table3[Column"&amp;AE$9&amp;"]"),MATCH($L105,Table3[[Company name]:[Company name]],0)),0)</f>
        <v>0</v>
      </c>
      <c r="AF105" s="1">
        <f ca="1">IFERROR(INDEX(INDIRECT("Table3[Column"&amp;AF$9&amp;"]"),MATCH($L105,Table3[[Company name]:[Company name]],0)),0)</f>
        <v>0</v>
      </c>
      <c r="AG105" s="1">
        <f ca="1">IFERROR(INDEX(INDIRECT("Table3[Column"&amp;AG$9&amp;"]"),MATCH($L105,Table3[[Company name]:[Company name]],0)),0)</f>
        <v>0</v>
      </c>
      <c r="AH105" s="1">
        <f ca="1">IFERROR(INDEX(INDIRECT("Table3[Column"&amp;AH$9&amp;"]"),MATCH($L105,Table3[[Company name]:[Company name]],0)),0)</f>
        <v>0</v>
      </c>
      <c r="AI105" s="1">
        <f t="shared" ca="1" si="11"/>
        <v>101700</v>
      </c>
      <c r="AK105" s="1">
        <f>IF(COUNTIFS($J$7:$J$510,Table7[[#Headers],[Industry Essentials]],$C$7:$C$510,$L105)&gt;0,0,MROUND(R105,100))</f>
        <v>0</v>
      </c>
      <c r="AL105" s="1">
        <f ca="1">IF(COUNTIFS($J$7:$J$510,Table7[[#Headers],[Energy Supply Market Intelligence]],$C$7:$C$510,$L105)&gt;0,0,MROUND(IFERROR(S105*($P105/$AI105),0),100))</f>
        <v>0</v>
      </c>
      <c r="AM105" s="1">
        <f ca="1">IF(COUNTIFS($J$7:$J$510,Table7[[#Headers],[Energy Supply RTM Analysis]],$C$7:$C$510,$L105)&gt;0,0,MROUND(IFERROR(T105*($P105/$AI105),0),100))</f>
        <v>0</v>
      </c>
      <c r="AN105" s="1">
        <f>IF(COUNTIFS($J$7:$J$510,Table7[[#Headers],[Energy Supply Forecasts]],$C$7:$C$510,$L105)&gt;0,0,MROUND(IFERROR(U105*($P105/$AI105),0),100))</f>
        <v>0</v>
      </c>
      <c r="AO105" s="1">
        <f ca="1">IF(COUNTIFS($J$7:$J$510,Table7[[#Headers],[Energy Supply Regulation]],$C$7:$C$510,$L105)&gt;0,0,MROUND(IFERROR(V105*($P105/$AI105),0),100))</f>
        <v>0</v>
      </c>
      <c r="AP105" s="1">
        <f ca="1">IF(COUNTIFS($J$7:$J$510,Table7[[#Headers],[Renewables Market Intelligence]],$C$7:$C$510,$L105)&gt;0,0,MROUND(IFERROR(W105*($P105/$AI105),0),100))</f>
        <v>4100</v>
      </c>
      <c r="AQ105" s="1">
        <f ca="1">IF(COUNTIFS($J$7:$J$510,Table7[[#Headers],[Renewables RTM Analysis]],$C$7:$C$510,$L105)&gt;0,0,MROUND(IFERROR(X105*($P105/$AI105),0),100))</f>
        <v>3700</v>
      </c>
      <c r="AR105" s="1">
        <f ca="1">IF(COUNTIFS($J$7:$J$510,Table7[[#Headers],[Renewables Forecasts]],$C$7:$C$510,$L105)&gt;0,0,MROUND(IFERROR(Y105*($P105/$AI105),0),100))</f>
        <v>10100</v>
      </c>
      <c r="AS105" s="1">
        <f ca="1">IF(COUNTIFS($J$7:$J$510,Table7[[#Headers],[Renewables Regulation]],$C$7:$C$510,$L105)&gt;0,0,MROUND(IFERROR(Z105*($P105/$AI105),0),100))</f>
        <v>4500</v>
      </c>
      <c r="AT105" s="1">
        <f ca="1">IF(COUNTIFS($J$7:$J$510,Table7[[#Headers],[Flexibility Market Intelligence]],$C$7:$C$510,$L105)&gt;0,0,MROUND(IFERROR(AA105*($P105/$AI105),0),100))</f>
        <v>0</v>
      </c>
      <c r="AU105" s="1">
        <f ca="1">IF(COUNTIFS($J$7:$J$510,Table7[[#Headers],[Flexibility RTM Analysis]],$C$7:$C$510,$L105)&gt;0,0,MROUND(IFERROR(AB105*($P105/$AI105),0),100))</f>
        <v>0</v>
      </c>
      <c r="AV105" s="1">
        <f>IF(COUNTIFS($J$7:$J$510,Table7[[#Headers],[Flexibility Forecasts]],$C$7:$C$510,$L105)&gt;0,0,MROUND(IFERROR(AC105*($P105/$AI105),0),100))</f>
        <v>0</v>
      </c>
      <c r="AW105" s="1">
        <f ca="1">IF(COUNTIFS($J$7:$J$510,Table7[[#Headers],[Flexibility Regulation]],$C$7:$C$510,$L105)&gt;0,0,MROUND(IFERROR(AD105*($P105/$AI105),0),100))</f>
        <v>0</v>
      </c>
      <c r="AX105" s="1">
        <f ca="1">IF(COUNTIFS($J$7:$J$510,Table7[[#Headers],[Business Energy Essentials]],$C$7:$C$510,$L105)&gt;0,0,MROUND(IFERROR(AE105*($P105/$AI105),0),100))</f>
        <v>0</v>
      </c>
      <c r="AY105" s="1">
        <f ca="1">IF(COUNTIFS($J$7:$J$510,Table7[[#Headers],[Energy User RTM Analysis]],$C$7:$C$510,$L105)&gt;0,0,MROUND(IFERROR(AF105*($P105/$AI105),0),100))</f>
        <v>0</v>
      </c>
      <c r="AZ105" s="1">
        <f ca="1">IF(COUNTIFS($J$7:$J$510,Table7[[#Headers],[Energy User Forecasts]],$C$7:$C$510,$L105)&gt;0,0,MROUND(IFERROR(AG105*($P105/$AI105),0),100))</f>
        <v>0</v>
      </c>
      <c r="BA105" s="1">
        <f ca="1">IF(COUNTIFS($J$7:$J$510,Table7[[#Headers],[Energy User Regulation]],$C$7:$C$510,$L105)&gt;0,0,MROUND(IFERROR(AH105*($P105/$AI105),0),100))</f>
        <v>0</v>
      </c>
    </row>
    <row r="106" spans="2:53">
      <c r="B106" s="38" t="s">
        <v>2122</v>
      </c>
      <c r="C106" s="38" t="s">
        <v>97</v>
      </c>
      <c r="D106" s="38" t="s">
        <v>2086</v>
      </c>
      <c r="E106" s="38" t="s">
        <v>1843</v>
      </c>
      <c r="F106" s="63">
        <v>3640</v>
      </c>
      <c r="G106" s="38"/>
      <c r="H106" s="38" t="s">
        <v>2031</v>
      </c>
      <c r="I106" s="38" t="s">
        <v>2031</v>
      </c>
      <c r="J106" s="38" t="s">
        <v>22</v>
      </c>
      <c r="L106" s="1" t="str">
        <v>Inspired PLC</v>
      </c>
      <c r="M106" s="1" t="str">
        <f t="shared" si="7"/>
        <v>Supply</v>
      </c>
      <c r="N106" s="109">
        <f t="shared" si="8"/>
        <v>38000</v>
      </c>
      <c r="O106" s="1">
        <f>IFERROR(IF(INDEX(Table3[[Total Spend]:[Total Spend]],MATCH(L106,Table3[[Company name]:[Company name]],0))&gt;N106,INDEX(Table3[[Total Spend]:[Total Spend]],MATCH(L106,Table3[[Company name]:[Company name]])),N106),50000)</f>
        <v>50000</v>
      </c>
      <c r="P106" s="109">
        <f t="shared" si="9"/>
        <v>12000</v>
      </c>
      <c r="Q106" s="103">
        <f t="shared" si="10"/>
        <v>0.76</v>
      </c>
      <c r="R106" s="1">
        <f ca="1">IFERROR(INDEX(INDIRECT("Table3[Column"&amp;R$9&amp;"]"),MATCH($L106,Table3[[Company name]:[Company name]],0)),0)</f>
        <v>10800</v>
      </c>
      <c r="S106" s="1">
        <f ca="1">IFERROR(INDEX(INDIRECT("Table3[Column"&amp;S$9&amp;"]"),MATCH($L106,Table3[[Company name]:[Company name]],0)),0)</f>
        <v>43200</v>
      </c>
      <c r="T106" s="1">
        <f ca="1">IFERROR(INDEX(INDIRECT("Table3[Column"&amp;T$9&amp;"]"),MATCH($L106,Table3[[Company name]:[Company name]],0)),0)</f>
        <v>73800</v>
      </c>
      <c r="U106" s="1">
        <f ca="1">IFERROR(INDEX(INDIRECT("Table3[Column"&amp;U$9&amp;"]"),MATCH($L106,Table3[[Company name]:[Company name]],0)),0)</f>
        <v>48600</v>
      </c>
      <c r="V106" s="1">
        <f ca="1">IFERROR(INDEX(INDIRECT("Table3[Column"&amp;V$9&amp;"]"),MATCH($L106,Table3[[Company name]:[Company name]],0)),0)</f>
        <v>0</v>
      </c>
      <c r="W106" s="1">
        <f ca="1">IFERROR(INDEX(INDIRECT("Table3[Column"&amp;W$9&amp;"]"),MATCH($L106,Table3[[Company name]:[Company name]],0)),0)</f>
        <v>0</v>
      </c>
      <c r="X106" s="1">
        <f ca="1">IFERROR(INDEX(INDIRECT("Table3[Column"&amp;X$9&amp;"]"),MATCH($L106,Table3[[Company name]:[Company name]],0)),0)</f>
        <v>0</v>
      </c>
      <c r="Y106" s="1">
        <f ca="1">IFERROR(INDEX(INDIRECT("Table3[Column"&amp;Y$9&amp;"]"),MATCH($L106,Table3[[Company name]:[Company name]],0)),0)</f>
        <v>0</v>
      </c>
      <c r="Z106" s="1">
        <f ca="1">IFERROR(INDEX(INDIRECT("Table3[Column"&amp;Z$9&amp;"]"),MATCH($L106,Table3[[Company name]:[Company name]],0)),0)</f>
        <v>0</v>
      </c>
      <c r="AA106" s="1">
        <f ca="1">IFERROR(INDEX(INDIRECT("Table3[Column"&amp;AA$9&amp;"]"),MATCH($L106,Table3[[Company name]:[Company name]],0)),0)</f>
        <v>0</v>
      </c>
      <c r="AB106" s="1">
        <f ca="1">IFERROR(INDEX(INDIRECT("Table3[Column"&amp;AB$9&amp;"]"),MATCH($L106,Table3[[Company name]:[Company name]],0)),0)</f>
        <v>0</v>
      </c>
      <c r="AC106" s="1">
        <f ca="1">IFERROR(INDEX(INDIRECT("Table3[Column"&amp;AC$9&amp;"]"),MATCH($L106,Table3[[Company name]:[Company name]],0)),0)</f>
        <v>0</v>
      </c>
      <c r="AD106" s="1">
        <f ca="1">IFERROR(INDEX(INDIRECT("Table3[Column"&amp;AD$9&amp;"]"),MATCH($L106,Table3[[Company name]:[Company name]],0)),0)</f>
        <v>0</v>
      </c>
      <c r="AE106" s="1">
        <f ca="1">IFERROR(INDEX(INDIRECT("Table3[Column"&amp;AE$9&amp;"]"),MATCH($L106,Table3[[Company name]:[Company name]],0)),0)</f>
        <v>0</v>
      </c>
      <c r="AF106" s="1">
        <f ca="1">IFERROR(INDEX(INDIRECT("Table3[Column"&amp;AF$9&amp;"]"),MATCH($L106,Table3[[Company name]:[Company name]],0)),0)</f>
        <v>15750</v>
      </c>
      <c r="AG106" s="1">
        <f ca="1">IFERROR(INDEX(INDIRECT("Table3[Column"&amp;AG$9&amp;"]"),MATCH($L106,Table3[[Company name]:[Company name]],0)),0)</f>
        <v>0</v>
      </c>
      <c r="AH106" s="1">
        <f ca="1">IFERROR(INDEX(INDIRECT("Table3[Column"&amp;AH$9&amp;"]"),MATCH($L106,Table3[[Company name]:[Company name]],0)),0)</f>
        <v>0</v>
      </c>
      <c r="AI106" s="1">
        <f t="shared" ca="1" si="11"/>
        <v>192150</v>
      </c>
      <c r="AK106" s="1">
        <f ca="1">IF(COUNTIFS($J$7:$J$510,Table7[[#Headers],[Industry Essentials]],$C$7:$C$510,$L106)&gt;0,0,MROUND(R106,100))</f>
        <v>10800</v>
      </c>
      <c r="AL106" s="1">
        <f ca="1">IF(COUNTIFS($J$7:$J$510,Table7[[#Headers],[Energy Supply Market Intelligence]],$C$7:$C$510,$L106)&gt;0,0,MROUND(IFERROR(S106*($P106/$AI106),0),100))</f>
        <v>2700</v>
      </c>
      <c r="AM106" s="1">
        <f>IF(COUNTIFS($J$7:$J$510,Table7[[#Headers],[Energy Supply RTM Analysis]],$C$7:$C$510,$L106)&gt;0,0,MROUND(IFERROR(T106*($P106/$AI106),0),100))</f>
        <v>0</v>
      </c>
      <c r="AN106" s="1">
        <f>IF(COUNTIFS($J$7:$J$510,Table7[[#Headers],[Energy Supply Forecasts]],$C$7:$C$510,$L106)&gt;0,0,MROUND(IFERROR(U106*($P106/$AI106),0),100))</f>
        <v>0</v>
      </c>
      <c r="AO106" s="1">
        <f ca="1">IF(COUNTIFS($J$7:$J$510,Table7[[#Headers],[Energy Supply Regulation]],$C$7:$C$510,$L106)&gt;0,0,MROUND(IFERROR(V106*($P106/$AI106),0),100))</f>
        <v>0</v>
      </c>
      <c r="AP106" s="1">
        <f ca="1">IF(COUNTIFS($J$7:$J$510,Table7[[#Headers],[Renewables Market Intelligence]],$C$7:$C$510,$L106)&gt;0,0,MROUND(IFERROR(W106*($P106/$AI106),0),100))</f>
        <v>0</v>
      </c>
      <c r="AQ106" s="1">
        <f ca="1">IF(COUNTIFS($J$7:$J$510,Table7[[#Headers],[Renewables RTM Analysis]],$C$7:$C$510,$L106)&gt;0,0,MROUND(IFERROR(X106*($P106/$AI106),0),100))</f>
        <v>0</v>
      </c>
      <c r="AR106" s="1">
        <f ca="1">IF(COUNTIFS($J$7:$J$510,Table7[[#Headers],[Renewables Forecasts]],$C$7:$C$510,$L106)&gt;0,0,MROUND(IFERROR(Y106*($P106/$AI106),0),100))</f>
        <v>0</v>
      </c>
      <c r="AS106" s="1">
        <f ca="1">IF(COUNTIFS($J$7:$J$510,Table7[[#Headers],[Renewables Regulation]],$C$7:$C$510,$L106)&gt;0,0,MROUND(IFERROR(Z106*($P106/$AI106),0),100))</f>
        <v>0</v>
      </c>
      <c r="AT106" s="1">
        <f ca="1">IF(COUNTIFS($J$7:$J$510,Table7[[#Headers],[Flexibility Market Intelligence]],$C$7:$C$510,$L106)&gt;0,0,MROUND(IFERROR(AA106*($P106/$AI106),0),100))</f>
        <v>0</v>
      </c>
      <c r="AU106" s="1">
        <f ca="1">IF(COUNTIFS($J$7:$J$510,Table7[[#Headers],[Flexibility RTM Analysis]],$C$7:$C$510,$L106)&gt;0,0,MROUND(IFERROR(AB106*($P106/$AI106),0),100))</f>
        <v>0</v>
      </c>
      <c r="AV106" s="1">
        <f ca="1">IF(COUNTIFS($J$7:$J$510,Table7[[#Headers],[Flexibility Forecasts]],$C$7:$C$510,$L106)&gt;0,0,MROUND(IFERROR(AC106*($P106/$AI106),0),100))</f>
        <v>0</v>
      </c>
      <c r="AW106" s="1">
        <f ca="1">IF(COUNTIFS($J$7:$J$510,Table7[[#Headers],[Flexibility Regulation]],$C$7:$C$510,$L106)&gt;0,0,MROUND(IFERROR(AD106*($P106/$AI106),0),100))</f>
        <v>0</v>
      </c>
      <c r="AX106" s="1">
        <f ca="1">IF(COUNTIFS($J$7:$J$510,Table7[[#Headers],[Business Energy Essentials]],$C$7:$C$510,$L106)&gt;0,0,MROUND(IFERROR(AE106*($P106/$AI106),0),100))</f>
        <v>0</v>
      </c>
      <c r="AY106" s="1">
        <f ca="1">IF(COUNTIFS($J$7:$J$510,Table7[[#Headers],[Energy User RTM Analysis]],$C$7:$C$510,$L106)&gt;0,0,MROUND(IFERROR(AF106*($P106/$AI106),0),100))</f>
        <v>1000</v>
      </c>
      <c r="AZ106" s="1">
        <f ca="1">IF(COUNTIFS($J$7:$J$510,Table7[[#Headers],[Energy User Forecasts]],$C$7:$C$510,$L106)&gt;0,0,MROUND(IFERROR(AG106*($P106/$AI106),0),100))</f>
        <v>0</v>
      </c>
      <c r="BA106" s="1">
        <f ca="1">IF(COUNTIFS($J$7:$J$510,Table7[[#Headers],[Energy User Regulation]],$C$7:$C$510,$L106)&gt;0,0,MROUND(IFERROR(AH106*($P106/$AI106),0),100))</f>
        <v>0</v>
      </c>
    </row>
    <row r="107" spans="2:53">
      <c r="B107" s="38" t="s">
        <v>2124</v>
      </c>
      <c r="C107" s="38" t="s">
        <v>72</v>
      </c>
      <c r="D107" s="38" t="s">
        <v>2069</v>
      </c>
      <c r="E107" s="38" t="s">
        <v>1889</v>
      </c>
      <c r="F107" s="63">
        <v>46800</v>
      </c>
      <c r="G107" s="38"/>
      <c r="H107" s="38" t="s">
        <v>2031</v>
      </c>
      <c r="I107" s="38" t="s">
        <v>2031</v>
      </c>
      <c r="J107" s="38" t="s">
        <v>21</v>
      </c>
      <c r="L107" s="1" t="str">
        <v>Interconnector Limited</v>
      </c>
      <c r="M107" s="1" t="str">
        <f t="shared" si="7"/>
        <v>Supply</v>
      </c>
      <c r="N107" s="109">
        <f t="shared" si="8"/>
        <v>3375</v>
      </c>
      <c r="O107" s="1">
        <f>IFERROR(IF(INDEX(Table3[[Total Spend]:[Total Spend]],MATCH(L107,Table3[[Company name]:[Company name]],0))&gt;N107,INDEX(Table3[[Total Spend]:[Total Spend]],MATCH(L107,Table3[[Company name]:[Company name]])),N107),50000)</f>
        <v>50000</v>
      </c>
      <c r="P107" s="109">
        <f t="shared" si="9"/>
        <v>46625</v>
      </c>
      <c r="Q107" s="103">
        <f t="shared" si="10"/>
        <v>6.7500000000000004E-2</v>
      </c>
      <c r="R107" s="1">
        <f ca="1">IFERROR(INDEX(INDIRECT("Table3[Column"&amp;R$9&amp;"]"),MATCH($L107,Table3[[Company name]:[Company name]],0)),0)</f>
        <v>8100</v>
      </c>
      <c r="S107" s="1">
        <f ca="1">IFERROR(INDEX(INDIRECT("Table3[Column"&amp;S$9&amp;"]"),MATCH($L107,Table3[[Company name]:[Company name]],0)),0)</f>
        <v>0</v>
      </c>
      <c r="T107" s="1">
        <f ca="1">IFERROR(INDEX(INDIRECT("Table3[Column"&amp;T$9&amp;"]"),MATCH($L107,Table3[[Company name]:[Company name]],0)),0)</f>
        <v>0</v>
      </c>
      <c r="U107" s="1">
        <f ca="1">IFERROR(INDEX(INDIRECT("Table3[Column"&amp;U$9&amp;"]"),MATCH($L107,Table3[[Company name]:[Company name]],0)),0)</f>
        <v>0</v>
      </c>
      <c r="V107" s="1">
        <f ca="1">IFERROR(INDEX(INDIRECT("Table3[Column"&amp;V$9&amp;"]"),MATCH($L107,Table3[[Company name]:[Company name]],0)),0)</f>
        <v>0</v>
      </c>
      <c r="W107" s="1">
        <f ca="1">IFERROR(INDEX(INDIRECT("Table3[Column"&amp;W$9&amp;"]"),MATCH($L107,Table3[[Company name]:[Company name]],0)),0)</f>
        <v>0</v>
      </c>
      <c r="X107" s="1">
        <f ca="1">IFERROR(INDEX(INDIRECT("Table3[Column"&amp;X$9&amp;"]"),MATCH($L107,Table3[[Company name]:[Company name]],0)),0)</f>
        <v>0</v>
      </c>
      <c r="Y107" s="1">
        <f ca="1">IFERROR(INDEX(INDIRECT("Table3[Column"&amp;Y$9&amp;"]"),MATCH($L107,Table3[[Company name]:[Company name]],0)),0)</f>
        <v>0</v>
      </c>
      <c r="Z107" s="1">
        <f ca="1">IFERROR(INDEX(INDIRECT("Table3[Column"&amp;Z$9&amp;"]"),MATCH($L107,Table3[[Company name]:[Company name]],0)),0)</f>
        <v>0</v>
      </c>
      <c r="AA107" s="1">
        <f ca="1">IFERROR(INDEX(INDIRECT("Table3[Column"&amp;AA$9&amp;"]"),MATCH($L107,Table3[[Company name]:[Company name]],0)),0)</f>
        <v>0</v>
      </c>
      <c r="AB107" s="1">
        <f ca="1">IFERROR(INDEX(INDIRECT("Table3[Column"&amp;AB$9&amp;"]"),MATCH($L107,Table3[[Company name]:[Company name]],0)),0)</f>
        <v>0</v>
      </c>
      <c r="AC107" s="1">
        <f ca="1">IFERROR(INDEX(INDIRECT("Table3[Column"&amp;AC$9&amp;"]"),MATCH($L107,Table3[[Company name]:[Company name]],0)),0)</f>
        <v>0</v>
      </c>
      <c r="AD107" s="1">
        <f ca="1">IFERROR(INDEX(INDIRECT("Table3[Column"&amp;AD$9&amp;"]"),MATCH($L107,Table3[[Company name]:[Company name]],0)),0)</f>
        <v>0</v>
      </c>
      <c r="AE107" s="1">
        <f ca="1">IFERROR(INDEX(INDIRECT("Table3[Column"&amp;AE$9&amp;"]"),MATCH($L107,Table3[[Company name]:[Company name]],0)),0)</f>
        <v>0</v>
      </c>
      <c r="AF107" s="1">
        <f ca="1">IFERROR(INDEX(INDIRECT("Table3[Column"&amp;AF$9&amp;"]"),MATCH($L107,Table3[[Company name]:[Company name]],0)),0)</f>
        <v>0</v>
      </c>
      <c r="AG107" s="1">
        <f ca="1">IFERROR(INDEX(INDIRECT("Table3[Column"&amp;AG$9&amp;"]"),MATCH($L107,Table3[[Company name]:[Company name]],0)),0)</f>
        <v>0</v>
      </c>
      <c r="AH107" s="1">
        <f ca="1">IFERROR(INDEX(INDIRECT("Table3[Column"&amp;AH$9&amp;"]"),MATCH($L107,Table3[[Company name]:[Company name]],0)),0)</f>
        <v>0</v>
      </c>
      <c r="AI107" s="1">
        <f t="shared" ca="1" si="11"/>
        <v>8100</v>
      </c>
      <c r="AK107" s="1">
        <f>IF(COUNTIFS($J$7:$J$510,Table7[[#Headers],[Industry Essentials]],$C$7:$C$510,$L107)&gt;0,0,MROUND(R107,100))</f>
        <v>0</v>
      </c>
      <c r="AL107" s="1">
        <f ca="1">IF(COUNTIFS($J$7:$J$510,Table7[[#Headers],[Energy Supply Market Intelligence]],$C$7:$C$510,$L107)&gt;0,0,MROUND(IFERROR(S107*($P107/$AI107),0),100))</f>
        <v>0</v>
      </c>
      <c r="AM107" s="1">
        <f ca="1">IF(COUNTIFS($J$7:$J$510,Table7[[#Headers],[Energy Supply RTM Analysis]],$C$7:$C$510,$L107)&gt;0,0,MROUND(IFERROR(T107*($P107/$AI107),0),100))</f>
        <v>0</v>
      </c>
      <c r="AN107" s="1">
        <f ca="1">IF(COUNTIFS($J$7:$J$510,Table7[[#Headers],[Energy Supply Forecasts]],$C$7:$C$510,$L107)&gt;0,0,MROUND(IFERROR(U107*($P107/$AI107),0),100))</f>
        <v>0</v>
      </c>
      <c r="AO107" s="1">
        <f ca="1">IF(COUNTIFS($J$7:$J$510,Table7[[#Headers],[Energy Supply Regulation]],$C$7:$C$510,$L107)&gt;0,0,MROUND(IFERROR(V107*($P107/$AI107),0),100))</f>
        <v>0</v>
      </c>
      <c r="AP107" s="1">
        <f ca="1">IF(COUNTIFS($J$7:$J$510,Table7[[#Headers],[Renewables Market Intelligence]],$C$7:$C$510,$L107)&gt;0,0,MROUND(IFERROR(W107*($P107/$AI107),0),100))</f>
        <v>0</v>
      </c>
      <c r="AQ107" s="1">
        <f ca="1">IF(COUNTIFS($J$7:$J$510,Table7[[#Headers],[Renewables RTM Analysis]],$C$7:$C$510,$L107)&gt;0,0,MROUND(IFERROR(X107*($P107/$AI107),0),100))</f>
        <v>0</v>
      </c>
      <c r="AR107" s="1">
        <f ca="1">IF(COUNTIFS($J$7:$J$510,Table7[[#Headers],[Renewables Forecasts]],$C$7:$C$510,$L107)&gt;0,0,MROUND(IFERROR(Y107*($P107/$AI107),0),100))</f>
        <v>0</v>
      </c>
      <c r="AS107" s="1">
        <f ca="1">IF(COUNTIFS($J$7:$J$510,Table7[[#Headers],[Renewables Regulation]],$C$7:$C$510,$L107)&gt;0,0,MROUND(IFERROR(Z107*($P107/$AI107),0),100))</f>
        <v>0</v>
      </c>
      <c r="AT107" s="1">
        <f ca="1">IF(COUNTIFS($J$7:$J$510,Table7[[#Headers],[Flexibility Market Intelligence]],$C$7:$C$510,$L107)&gt;0,0,MROUND(IFERROR(AA107*($P107/$AI107),0),100))</f>
        <v>0</v>
      </c>
      <c r="AU107" s="1">
        <f ca="1">IF(COUNTIFS($J$7:$J$510,Table7[[#Headers],[Flexibility RTM Analysis]],$C$7:$C$510,$L107)&gt;0,0,MROUND(IFERROR(AB107*($P107/$AI107),0),100))</f>
        <v>0</v>
      </c>
      <c r="AV107" s="1">
        <f ca="1">IF(COUNTIFS($J$7:$J$510,Table7[[#Headers],[Flexibility Forecasts]],$C$7:$C$510,$L107)&gt;0,0,MROUND(IFERROR(AC107*($P107/$AI107),0),100))</f>
        <v>0</v>
      </c>
      <c r="AW107" s="1">
        <f ca="1">IF(COUNTIFS($J$7:$J$510,Table7[[#Headers],[Flexibility Regulation]],$C$7:$C$510,$L107)&gt;0,0,MROUND(IFERROR(AD107*($P107/$AI107),0),100))</f>
        <v>0</v>
      </c>
      <c r="AX107" s="1">
        <f ca="1">IF(COUNTIFS($J$7:$J$510,Table7[[#Headers],[Business Energy Essentials]],$C$7:$C$510,$L107)&gt;0,0,MROUND(IFERROR(AE107*($P107/$AI107),0),100))</f>
        <v>0</v>
      </c>
      <c r="AY107" s="1">
        <f ca="1">IF(COUNTIFS($J$7:$J$510,Table7[[#Headers],[Energy User RTM Analysis]],$C$7:$C$510,$L107)&gt;0,0,MROUND(IFERROR(AF107*($P107/$AI107),0),100))</f>
        <v>0</v>
      </c>
      <c r="AZ107" s="1">
        <f ca="1">IF(COUNTIFS($J$7:$J$510,Table7[[#Headers],[Energy User Forecasts]],$C$7:$C$510,$L107)&gt;0,0,MROUND(IFERROR(AG107*($P107/$AI107),0),100))</f>
        <v>0</v>
      </c>
      <c r="BA107" s="1">
        <f ca="1">IF(COUNTIFS($J$7:$J$510,Table7[[#Headers],[Energy User Regulation]],$C$7:$C$510,$L107)&gt;0,0,MROUND(IFERROR(AH107*($P107/$AI107),0),100))</f>
        <v>0</v>
      </c>
    </row>
    <row r="108" spans="2:53">
      <c r="B108" s="38" t="s">
        <v>2124</v>
      </c>
      <c r="C108" s="38" t="s">
        <v>72</v>
      </c>
      <c r="D108" s="38" t="s">
        <v>2125</v>
      </c>
      <c r="E108" s="38" t="s">
        <v>1895</v>
      </c>
      <c r="F108" s="63">
        <v>19012</v>
      </c>
      <c r="G108" s="38"/>
      <c r="H108" s="38" t="s">
        <v>2031</v>
      </c>
      <c r="I108" s="38" t="s">
        <v>1703</v>
      </c>
      <c r="J108" s="38" t="s">
        <v>29</v>
      </c>
      <c r="L108" s="1" t="str">
        <v>Itineris</v>
      </c>
      <c r="M108" s="1" t="str">
        <f t="shared" si="7"/>
        <v>Supply</v>
      </c>
      <c r="N108" s="109">
        <f t="shared" si="8"/>
        <v>11999.97</v>
      </c>
      <c r="O108" s="1">
        <f>IFERROR(IF(INDEX(Table3[[Total Spend]:[Total Spend]],MATCH(L108,Table3[[Company name]:[Company name]],0))&gt;N108,INDEX(Table3[[Total Spend]:[Total Spend]],MATCH(L108,Table3[[Company name]:[Company name]])),N108),50000)</f>
        <v>50000</v>
      </c>
      <c r="P108" s="109">
        <f t="shared" si="9"/>
        <v>38000.03</v>
      </c>
      <c r="Q108" s="103">
        <f t="shared" si="10"/>
        <v>0.23999939999999997</v>
      </c>
      <c r="R108" s="1">
        <f ca="1">IFERROR(INDEX(INDIRECT("Table3[Column"&amp;R$9&amp;"]"),MATCH($L108,Table3[[Company name]:[Company name]],0)),0)</f>
        <v>0</v>
      </c>
      <c r="S108" s="1">
        <f ca="1">IFERROR(INDEX(INDIRECT("Table3[Column"&amp;S$9&amp;"]"),MATCH($L108,Table3[[Company name]:[Company name]],0)),0)</f>
        <v>0</v>
      </c>
      <c r="T108" s="1">
        <f ca="1">IFERROR(INDEX(INDIRECT("Table3[Column"&amp;T$9&amp;"]"),MATCH($L108,Table3[[Company name]:[Company name]],0)),0)</f>
        <v>0</v>
      </c>
      <c r="U108" s="1">
        <f ca="1">IFERROR(INDEX(INDIRECT("Table3[Column"&amp;U$9&amp;"]"),MATCH($L108,Table3[[Company name]:[Company name]],0)),0)</f>
        <v>0</v>
      </c>
      <c r="V108" s="1">
        <f ca="1">IFERROR(INDEX(INDIRECT("Table3[Column"&amp;V$9&amp;"]"),MATCH($L108,Table3[[Company name]:[Company name]],0)),0)</f>
        <v>0</v>
      </c>
      <c r="W108" s="1">
        <f ca="1">IFERROR(INDEX(INDIRECT("Table3[Column"&amp;W$9&amp;"]"),MATCH($L108,Table3[[Company name]:[Company name]],0)),0)</f>
        <v>0</v>
      </c>
      <c r="X108" s="1">
        <f ca="1">IFERROR(INDEX(INDIRECT("Table3[Column"&amp;X$9&amp;"]"),MATCH($L108,Table3[[Company name]:[Company name]],0)),0)</f>
        <v>0</v>
      </c>
      <c r="Y108" s="1">
        <f ca="1">IFERROR(INDEX(INDIRECT("Table3[Column"&amp;Y$9&amp;"]"),MATCH($L108,Table3[[Company name]:[Company name]],0)),0)</f>
        <v>0</v>
      </c>
      <c r="Z108" s="1">
        <f ca="1">IFERROR(INDEX(INDIRECT("Table3[Column"&amp;Z$9&amp;"]"),MATCH($L108,Table3[[Company name]:[Company name]],0)),0)</f>
        <v>0</v>
      </c>
      <c r="AA108" s="1">
        <f ca="1">IFERROR(INDEX(INDIRECT("Table3[Column"&amp;AA$9&amp;"]"),MATCH($L108,Table3[[Company name]:[Company name]],0)),0)</f>
        <v>0</v>
      </c>
      <c r="AB108" s="1">
        <f ca="1">IFERROR(INDEX(INDIRECT("Table3[Column"&amp;AB$9&amp;"]"),MATCH($L108,Table3[[Company name]:[Company name]],0)),0)</f>
        <v>0</v>
      </c>
      <c r="AC108" s="1">
        <f ca="1">IFERROR(INDEX(INDIRECT("Table3[Column"&amp;AC$9&amp;"]"),MATCH($L108,Table3[[Company name]:[Company name]],0)),0)</f>
        <v>0</v>
      </c>
      <c r="AD108" s="1">
        <f ca="1">IFERROR(INDEX(INDIRECT("Table3[Column"&amp;AD$9&amp;"]"),MATCH($L108,Table3[[Company name]:[Company name]],0)),0)</f>
        <v>0</v>
      </c>
      <c r="AE108" s="1">
        <f ca="1">IFERROR(INDEX(INDIRECT("Table3[Column"&amp;AE$9&amp;"]"),MATCH($L108,Table3[[Company name]:[Company name]],0)),0)</f>
        <v>0</v>
      </c>
      <c r="AF108" s="1">
        <f ca="1">IFERROR(INDEX(INDIRECT("Table3[Column"&amp;AF$9&amp;"]"),MATCH($L108,Table3[[Company name]:[Company name]],0)),0)</f>
        <v>0</v>
      </c>
      <c r="AG108" s="1">
        <f ca="1">IFERROR(INDEX(INDIRECT("Table3[Column"&amp;AG$9&amp;"]"),MATCH($L108,Table3[[Company name]:[Company name]],0)),0)</f>
        <v>0</v>
      </c>
      <c r="AH108" s="1">
        <f ca="1">IFERROR(INDEX(INDIRECT("Table3[Column"&amp;AH$9&amp;"]"),MATCH($L108,Table3[[Company name]:[Company name]],0)),0)</f>
        <v>0</v>
      </c>
      <c r="AI108" s="1">
        <f t="shared" ca="1" si="11"/>
        <v>0</v>
      </c>
      <c r="AK108" s="1">
        <f ca="1">IF(COUNTIFS($J$7:$J$510,Table7[[#Headers],[Industry Essentials]],$C$7:$C$510,$L108)&gt;0,0,MROUND(R108,100))</f>
        <v>0</v>
      </c>
      <c r="AL108" s="1">
        <f ca="1">IF(COUNTIFS($J$7:$J$510,Table7[[#Headers],[Energy Supply Market Intelligence]],$C$7:$C$510,$L108)&gt;0,0,MROUND(IFERROR(S108*($P108/$AI108),0),100))</f>
        <v>0</v>
      </c>
      <c r="AM108" s="1">
        <f ca="1">IF(COUNTIFS($J$7:$J$510,Table7[[#Headers],[Energy Supply RTM Analysis]],$C$7:$C$510,$L108)&gt;0,0,MROUND(IFERROR(T108*($P108/$AI108),0),100))</f>
        <v>0</v>
      </c>
      <c r="AN108" s="1">
        <f ca="1">IF(COUNTIFS($J$7:$J$510,Table7[[#Headers],[Energy Supply Forecasts]],$C$7:$C$510,$L108)&gt;0,0,MROUND(IFERROR(U108*($P108/$AI108),0),100))</f>
        <v>0</v>
      </c>
      <c r="AO108" s="1">
        <f>IF(COUNTIFS($J$7:$J$510,Table7[[#Headers],[Energy Supply Regulation]],$C$7:$C$510,$L108)&gt;0,0,MROUND(IFERROR(V108*($P108/$AI108),0),100))</f>
        <v>0</v>
      </c>
      <c r="AP108" s="1">
        <f ca="1">IF(COUNTIFS($J$7:$J$510,Table7[[#Headers],[Renewables Market Intelligence]],$C$7:$C$510,$L108)&gt;0,0,MROUND(IFERROR(W108*($P108/$AI108),0),100))</f>
        <v>0</v>
      </c>
      <c r="AQ108" s="1">
        <f ca="1">IF(COUNTIFS($J$7:$J$510,Table7[[#Headers],[Renewables RTM Analysis]],$C$7:$C$510,$L108)&gt;0,0,MROUND(IFERROR(X108*($P108/$AI108),0),100))</f>
        <v>0</v>
      </c>
      <c r="AR108" s="1">
        <f ca="1">IF(COUNTIFS($J$7:$J$510,Table7[[#Headers],[Renewables Forecasts]],$C$7:$C$510,$L108)&gt;0,0,MROUND(IFERROR(Y108*($P108/$AI108),0),100))</f>
        <v>0</v>
      </c>
      <c r="AS108" s="1">
        <f ca="1">IF(COUNTIFS($J$7:$J$510,Table7[[#Headers],[Renewables Regulation]],$C$7:$C$510,$L108)&gt;0,0,MROUND(IFERROR(Z108*($P108/$AI108),0),100))</f>
        <v>0</v>
      </c>
      <c r="AT108" s="1">
        <f ca="1">IF(COUNTIFS($J$7:$J$510,Table7[[#Headers],[Flexibility Market Intelligence]],$C$7:$C$510,$L108)&gt;0,0,MROUND(IFERROR(AA108*($P108/$AI108),0),100))</f>
        <v>0</v>
      </c>
      <c r="AU108" s="1">
        <f ca="1">IF(COUNTIFS($J$7:$J$510,Table7[[#Headers],[Flexibility RTM Analysis]],$C$7:$C$510,$L108)&gt;0,0,MROUND(IFERROR(AB108*($P108/$AI108),0),100))</f>
        <v>0</v>
      </c>
      <c r="AV108" s="1">
        <f ca="1">IF(COUNTIFS($J$7:$J$510,Table7[[#Headers],[Flexibility Forecasts]],$C$7:$C$510,$L108)&gt;0,0,MROUND(IFERROR(AC108*($P108/$AI108),0),100))</f>
        <v>0</v>
      </c>
      <c r="AW108" s="1">
        <f ca="1">IF(COUNTIFS($J$7:$J$510,Table7[[#Headers],[Flexibility Regulation]],$C$7:$C$510,$L108)&gt;0,0,MROUND(IFERROR(AD108*($P108/$AI108),0),100))</f>
        <v>0</v>
      </c>
      <c r="AX108" s="1">
        <f ca="1">IF(COUNTIFS($J$7:$J$510,Table7[[#Headers],[Business Energy Essentials]],$C$7:$C$510,$L108)&gt;0,0,MROUND(IFERROR(AE108*($P108/$AI108),0),100))</f>
        <v>0</v>
      </c>
      <c r="AY108" s="1">
        <f ca="1">IF(COUNTIFS($J$7:$J$510,Table7[[#Headers],[Energy User RTM Analysis]],$C$7:$C$510,$L108)&gt;0,0,MROUND(IFERROR(AF108*($P108/$AI108),0),100))</f>
        <v>0</v>
      </c>
      <c r="AZ108" s="1">
        <f ca="1">IF(COUNTIFS($J$7:$J$510,Table7[[#Headers],[Energy User Forecasts]],$C$7:$C$510,$L108)&gt;0,0,MROUND(IFERROR(AG108*($P108/$AI108),0),100))</f>
        <v>0</v>
      </c>
      <c r="BA108" s="1">
        <f ca="1">IF(COUNTIFS($J$7:$J$510,Table7[[#Headers],[Energy User Regulation]],$C$7:$C$510,$L108)&gt;0,0,MROUND(IFERROR(AH108*($P108/$AI108),0),100))</f>
        <v>0</v>
      </c>
    </row>
    <row r="109" spans="2:53">
      <c r="B109" s="38" t="s">
        <v>2124</v>
      </c>
      <c r="C109" s="38" t="s">
        <v>72</v>
      </c>
      <c r="D109" s="38" t="s">
        <v>2071</v>
      </c>
      <c r="E109" s="38" t="s">
        <v>1900</v>
      </c>
      <c r="F109" s="63">
        <v>28153</v>
      </c>
      <c r="G109" s="38"/>
      <c r="H109" s="38" t="s">
        <v>2031</v>
      </c>
      <c r="I109" s="38" t="s">
        <v>2031</v>
      </c>
      <c r="J109" s="38" t="s">
        <v>21</v>
      </c>
      <c r="L109" s="1" t="str">
        <v>J G Pears Holdings (Jersey) Ltd</v>
      </c>
      <c r="M109" s="1" t="str">
        <f t="shared" si="7"/>
        <v>Renewables</v>
      </c>
      <c r="N109" s="109">
        <f t="shared" si="8"/>
        <v>16164</v>
      </c>
      <c r="O109" s="1">
        <f>IFERROR(IF(INDEX(Table3[[Total Spend]:[Total Spend]],MATCH(L109,Table3[[Company name]:[Company name]],0))&gt;N109,INDEX(Table3[[Total Spend]:[Total Spend]],MATCH(L109,Table3[[Company name]:[Company name]])),N109),50000)</f>
        <v>10000</v>
      </c>
      <c r="P109" s="109">
        <f t="shared" si="9"/>
        <v>16164</v>
      </c>
      <c r="Q109" s="103">
        <f t="shared" si="10"/>
        <v>1</v>
      </c>
      <c r="R109" s="1">
        <f ca="1">IFERROR(INDEX(INDIRECT("Table3[Column"&amp;R$9&amp;"]"),MATCH($L109,Table3[[Company name]:[Company name]],0)),0)</f>
        <v>0</v>
      </c>
      <c r="S109" s="1">
        <f ca="1">IFERROR(INDEX(INDIRECT("Table3[Column"&amp;S$9&amp;"]"),MATCH($L109,Table3[[Company name]:[Company name]],0)),0)</f>
        <v>0</v>
      </c>
      <c r="T109" s="1">
        <f ca="1">IFERROR(INDEX(INDIRECT("Table3[Column"&amp;T$9&amp;"]"),MATCH($L109,Table3[[Company name]:[Company name]],0)),0)</f>
        <v>0</v>
      </c>
      <c r="U109" s="1">
        <f ca="1">IFERROR(INDEX(INDIRECT("Table3[Column"&amp;U$9&amp;"]"),MATCH($L109,Table3[[Company name]:[Company name]],0)),0)</f>
        <v>0</v>
      </c>
      <c r="V109" s="1">
        <f ca="1">IFERROR(INDEX(INDIRECT("Table3[Column"&amp;V$9&amp;"]"),MATCH($L109,Table3[[Company name]:[Company name]],0)),0)</f>
        <v>0</v>
      </c>
      <c r="W109" s="1">
        <f ca="1">IFERROR(INDEX(INDIRECT("Table3[Column"&amp;W$9&amp;"]"),MATCH($L109,Table3[[Company name]:[Company name]],0)),0)</f>
        <v>0</v>
      </c>
      <c r="X109" s="1">
        <f ca="1">IFERROR(INDEX(INDIRECT("Table3[Column"&amp;X$9&amp;"]"),MATCH($L109,Table3[[Company name]:[Company name]],0)),0)</f>
        <v>0</v>
      </c>
      <c r="Y109" s="1">
        <f ca="1">IFERROR(INDEX(INDIRECT("Table3[Column"&amp;Y$9&amp;"]"),MATCH($L109,Table3[[Company name]:[Company name]],0)),0)</f>
        <v>0</v>
      </c>
      <c r="Z109" s="1">
        <f ca="1">IFERROR(INDEX(INDIRECT("Table3[Column"&amp;Z$9&amp;"]"),MATCH($L109,Table3[[Company name]:[Company name]],0)),0)</f>
        <v>0</v>
      </c>
      <c r="AA109" s="1">
        <f ca="1">IFERROR(INDEX(INDIRECT("Table3[Column"&amp;AA$9&amp;"]"),MATCH($L109,Table3[[Company name]:[Company name]],0)),0)</f>
        <v>0</v>
      </c>
      <c r="AB109" s="1">
        <f ca="1">IFERROR(INDEX(INDIRECT("Table3[Column"&amp;AB$9&amp;"]"),MATCH($L109,Table3[[Company name]:[Company name]],0)),0)</f>
        <v>0</v>
      </c>
      <c r="AC109" s="1">
        <f ca="1">IFERROR(INDEX(INDIRECT("Table3[Column"&amp;AC$9&amp;"]"),MATCH($L109,Table3[[Company name]:[Company name]],0)),0)</f>
        <v>0</v>
      </c>
      <c r="AD109" s="1">
        <f ca="1">IFERROR(INDEX(INDIRECT("Table3[Column"&amp;AD$9&amp;"]"),MATCH($L109,Table3[[Company name]:[Company name]],0)),0)</f>
        <v>0</v>
      </c>
      <c r="AE109" s="1">
        <f ca="1">IFERROR(INDEX(INDIRECT("Table3[Column"&amp;AE$9&amp;"]"),MATCH($L109,Table3[[Company name]:[Company name]],0)),0)</f>
        <v>10800</v>
      </c>
      <c r="AF109" s="1">
        <f ca="1">IFERROR(INDEX(INDIRECT("Table3[Column"&amp;AF$9&amp;"]"),MATCH($L109,Table3[[Company name]:[Company name]],0)),0)</f>
        <v>11250</v>
      </c>
      <c r="AG109" s="1">
        <f ca="1">IFERROR(INDEX(INDIRECT("Table3[Column"&amp;AG$9&amp;"]"),MATCH($L109,Table3[[Company name]:[Company name]],0)),0)</f>
        <v>19800</v>
      </c>
      <c r="AH109" s="1">
        <f ca="1">IFERROR(INDEX(INDIRECT("Table3[Column"&amp;AH$9&amp;"]"),MATCH($L109,Table3[[Company name]:[Company name]],0)),0)</f>
        <v>4500</v>
      </c>
      <c r="AI109" s="1">
        <f t="shared" ca="1" si="11"/>
        <v>46350</v>
      </c>
      <c r="AK109" s="1">
        <f ca="1">IF(COUNTIFS($J$7:$J$510,Table7[[#Headers],[Industry Essentials]],$C$7:$C$510,$L109)&gt;0,0,MROUND(R109,100))</f>
        <v>0</v>
      </c>
      <c r="AL109" s="1">
        <f ca="1">IF(COUNTIFS($J$7:$J$510,Table7[[#Headers],[Energy Supply Market Intelligence]],$C$7:$C$510,$L109)&gt;0,0,MROUND(IFERROR(S109*($P109/$AI109),0),100))</f>
        <v>0</v>
      </c>
      <c r="AM109" s="1">
        <f ca="1">IF(COUNTIFS($J$7:$J$510,Table7[[#Headers],[Energy Supply RTM Analysis]],$C$7:$C$510,$L109)&gt;0,0,MROUND(IFERROR(T109*($P109/$AI109),0),100))</f>
        <v>0</v>
      </c>
      <c r="AN109" s="1">
        <f ca="1">IF(COUNTIFS($J$7:$J$510,Table7[[#Headers],[Energy Supply Forecasts]],$C$7:$C$510,$L109)&gt;0,0,MROUND(IFERROR(U109*($P109/$AI109),0),100))</f>
        <v>0</v>
      </c>
      <c r="AO109" s="1">
        <f ca="1">IF(COUNTIFS($J$7:$J$510,Table7[[#Headers],[Energy Supply Regulation]],$C$7:$C$510,$L109)&gt;0,0,MROUND(IFERROR(V109*($P109/$AI109),0),100))</f>
        <v>0</v>
      </c>
      <c r="AP109" s="1">
        <f ca="1">IF(COUNTIFS($J$7:$J$510,Table7[[#Headers],[Renewables Market Intelligence]],$C$7:$C$510,$L109)&gt;0,0,MROUND(IFERROR(W109*($P109/$AI109),0),100))</f>
        <v>0</v>
      </c>
      <c r="AQ109" s="1">
        <f ca="1">IF(COUNTIFS($J$7:$J$510,Table7[[#Headers],[Renewables RTM Analysis]],$C$7:$C$510,$L109)&gt;0,0,MROUND(IFERROR(X109*($P109/$AI109),0),100))</f>
        <v>0</v>
      </c>
      <c r="AR109" s="1">
        <f>IF(COUNTIFS($J$7:$J$510,Table7[[#Headers],[Renewables Forecasts]],$C$7:$C$510,$L109)&gt;0,0,MROUND(IFERROR(Y109*($P109/$AI109),0),100))</f>
        <v>0</v>
      </c>
      <c r="AS109" s="1">
        <f ca="1">IF(COUNTIFS($J$7:$J$510,Table7[[#Headers],[Renewables Regulation]],$C$7:$C$510,$L109)&gt;0,0,MROUND(IFERROR(Z109*($P109/$AI109),0),100))</f>
        <v>0</v>
      </c>
      <c r="AT109" s="1">
        <f ca="1">IF(COUNTIFS($J$7:$J$510,Table7[[#Headers],[Flexibility Market Intelligence]],$C$7:$C$510,$L109)&gt;0,0,MROUND(IFERROR(AA109*($P109/$AI109),0),100))</f>
        <v>0</v>
      </c>
      <c r="AU109" s="1">
        <f ca="1">IF(COUNTIFS($J$7:$J$510,Table7[[#Headers],[Flexibility RTM Analysis]],$C$7:$C$510,$L109)&gt;0,0,MROUND(IFERROR(AB109*($P109/$AI109),0),100))</f>
        <v>0</v>
      </c>
      <c r="AV109" s="1">
        <f ca="1">IF(COUNTIFS($J$7:$J$510,Table7[[#Headers],[Flexibility Forecasts]],$C$7:$C$510,$L109)&gt;0,0,MROUND(IFERROR(AC109*($P109/$AI109),0),100))</f>
        <v>0</v>
      </c>
      <c r="AW109" s="1">
        <f ca="1">IF(COUNTIFS($J$7:$J$510,Table7[[#Headers],[Flexibility Regulation]],$C$7:$C$510,$L109)&gt;0,0,MROUND(IFERROR(AD109*($P109/$AI109),0),100))</f>
        <v>0</v>
      </c>
      <c r="AX109" s="1">
        <f ca="1">IF(COUNTIFS($J$7:$J$510,Table7[[#Headers],[Business Energy Essentials]],$C$7:$C$510,$L109)&gt;0,0,MROUND(IFERROR(AE109*($P109/$AI109),0),100))</f>
        <v>3800</v>
      </c>
      <c r="AY109" s="1">
        <f ca="1">IF(COUNTIFS($J$7:$J$510,Table7[[#Headers],[Energy User RTM Analysis]],$C$7:$C$510,$L109)&gt;0,0,MROUND(IFERROR(AF109*($P109/$AI109),0),100))</f>
        <v>3900</v>
      </c>
      <c r="AZ109" s="1">
        <f ca="1">IF(COUNTIFS($J$7:$J$510,Table7[[#Headers],[Energy User Forecasts]],$C$7:$C$510,$L109)&gt;0,0,MROUND(IFERROR(AG109*($P109/$AI109),0),100))</f>
        <v>6900</v>
      </c>
      <c r="BA109" s="1">
        <f ca="1">IF(COUNTIFS($J$7:$J$510,Table7[[#Headers],[Energy User Regulation]],$C$7:$C$510,$L109)&gt;0,0,MROUND(IFERROR(AH109*($P109/$AI109),0),100))</f>
        <v>1600</v>
      </c>
    </row>
    <row r="110" spans="2:53">
      <c r="B110" s="38" t="s">
        <v>2124</v>
      </c>
      <c r="C110" s="38" t="s">
        <v>72</v>
      </c>
      <c r="D110" s="38" t="s">
        <v>2040</v>
      </c>
      <c r="E110" s="38" t="s">
        <v>1799</v>
      </c>
      <c r="F110" s="63">
        <v>12796</v>
      </c>
      <c r="G110" s="38"/>
      <c r="H110" s="38" t="s">
        <v>2031</v>
      </c>
      <c r="I110" s="38" t="s">
        <v>2032</v>
      </c>
      <c r="J110" s="38" t="s">
        <v>20</v>
      </c>
      <c r="L110" s="1" t="str">
        <v>J Murphy &amp; Sons Ltd</v>
      </c>
      <c r="M110" s="1" t="str">
        <f t="shared" si="7"/>
        <v>Flexibility</v>
      </c>
      <c r="N110" s="109">
        <f t="shared" si="8"/>
        <v>19250</v>
      </c>
      <c r="O110" s="1">
        <f>IFERROR(IF(INDEX(Table3[[Total Spend]:[Total Spend]],MATCH(L110,Table3[[Company name]:[Company name]],0))&gt;N110,INDEX(Table3[[Total Spend]:[Total Spend]],MATCH(L110,Table3[[Company name]:[Company name]])),N110),50000)</f>
        <v>19250</v>
      </c>
      <c r="P110" s="109">
        <f t="shared" si="9"/>
        <v>19250</v>
      </c>
      <c r="Q110" s="103">
        <f t="shared" si="10"/>
        <v>1</v>
      </c>
      <c r="R110" s="1">
        <f ca="1">IFERROR(INDEX(INDIRECT("Table3[Column"&amp;R$9&amp;"]"),MATCH($L110,Table3[[Company name]:[Company name]],0)),0)</f>
        <v>8100</v>
      </c>
      <c r="S110" s="1">
        <f ca="1">IFERROR(INDEX(INDIRECT("Table3[Column"&amp;S$9&amp;"]"),MATCH($L110,Table3[[Company name]:[Company name]],0)),0)</f>
        <v>0</v>
      </c>
      <c r="T110" s="1">
        <f ca="1">IFERROR(INDEX(INDIRECT("Table3[Column"&amp;T$9&amp;"]"),MATCH($L110,Table3[[Company name]:[Company name]],0)),0)</f>
        <v>0</v>
      </c>
      <c r="U110" s="1">
        <f ca="1">IFERROR(INDEX(INDIRECT("Table3[Column"&amp;U$9&amp;"]"),MATCH($L110,Table3[[Company name]:[Company name]],0)),0)</f>
        <v>0</v>
      </c>
      <c r="V110" s="1">
        <f ca="1">IFERROR(INDEX(INDIRECT("Table3[Column"&amp;V$9&amp;"]"),MATCH($L110,Table3[[Company name]:[Company name]],0)),0)</f>
        <v>0</v>
      </c>
      <c r="W110" s="1">
        <f ca="1">IFERROR(INDEX(INDIRECT("Table3[Column"&amp;W$9&amp;"]"),MATCH($L110,Table3[[Company name]:[Company name]],0)),0)</f>
        <v>0</v>
      </c>
      <c r="X110" s="1">
        <f ca="1">IFERROR(INDEX(INDIRECT("Table3[Column"&amp;X$9&amp;"]"),MATCH($L110,Table3[[Company name]:[Company name]],0)),0)</f>
        <v>0</v>
      </c>
      <c r="Y110" s="1">
        <f ca="1">IFERROR(INDEX(INDIRECT("Table3[Column"&amp;Y$9&amp;"]"),MATCH($L110,Table3[[Company name]:[Company name]],0)),0)</f>
        <v>0</v>
      </c>
      <c r="Z110" s="1">
        <f ca="1">IFERROR(INDEX(INDIRECT("Table3[Column"&amp;Z$9&amp;"]"),MATCH($L110,Table3[[Company name]:[Company name]],0)),0)</f>
        <v>0</v>
      </c>
      <c r="AA110" s="1">
        <f ca="1">IFERROR(INDEX(INDIRECT("Table3[Column"&amp;AA$9&amp;"]"),MATCH($L110,Table3[[Company name]:[Company name]],0)),0)</f>
        <v>0</v>
      </c>
      <c r="AB110" s="1">
        <f ca="1">IFERROR(INDEX(INDIRECT("Table3[Column"&amp;AB$9&amp;"]"),MATCH($L110,Table3[[Company name]:[Company name]],0)),0)</f>
        <v>0</v>
      </c>
      <c r="AC110" s="1">
        <f ca="1">IFERROR(INDEX(INDIRECT("Table3[Column"&amp;AC$9&amp;"]"),MATCH($L110,Table3[[Company name]:[Company name]],0)),0)</f>
        <v>0</v>
      </c>
      <c r="AD110" s="1">
        <f ca="1">IFERROR(INDEX(INDIRECT("Table3[Column"&amp;AD$9&amp;"]"),MATCH($L110,Table3[[Company name]:[Company name]],0)),0)</f>
        <v>0</v>
      </c>
      <c r="AE110" s="1">
        <f ca="1">IFERROR(INDEX(INDIRECT("Table3[Column"&amp;AE$9&amp;"]"),MATCH($L110,Table3[[Company name]:[Company name]],0)),0)</f>
        <v>0</v>
      </c>
      <c r="AF110" s="1">
        <f ca="1">IFERROR(INDEX(INDIRECT("Table3[Column"&amp;AF$9&amp;"]"),MATCH($L110,Table3[[Company name]:[Company name]],0)),0)</f>
        <v>0</v>
      </c>
      <c r="AG110" s="1">
        <f ca="1">IFERROR(INDEX(INDIRECT("Table3[Column"&amp;AG$9&amp;"]"),MATCH($L110,Table3[[Company name]:[Company name]],0)),0)</f>
        <v>0</v>
      </c>
      <c r="AH110" s="1">
        <f ca="1">IFERROR(INDEX(INDIRECT("Table3[Column"&amp;AH$9&amp;"]"),MATCH($L110,Table3[[Company name]:[Company name]],0)),0)</f>
        <v>0</v>
      </c>
      <c r="AI110" s="1">
        <f t="shared" ca="1" si="11"/>
        <v>8100</v>
      </c>
      <c r="AK110" s="1">
        <f ca="1">IF(COUNTIFS($J$7:$J$510,Table7[[#Headers],[Industry Essentials]],$C$7:$C$510,$L110)&gt;0,0,MROUND(R110,100))</f>
        <v>8100</v>
      </c>
      <c r="AL110" s="1">
        <f ca="1">IF(COUNTIFS($J$7:$J$510,Table7[[#Headers],[Energy Supply Market Intelligence]],$C$7:$C$510,$L110)&gt;0,0,MROUND(IFERROR(S110*($P110/$AI110),0),100))</f>
        <v>0</v>
      </c>
      <c r="AM110" s="1">
        <f ca="1">IF(COUNTIFS($J$7:$J$510,Table7[[#Headers],[Energy Supply RTM Analysis]],$C$7:$C$510,$L110)&gt;0,0,MROUND(IFERROR(T110*($P110/$AI110),0),100))</f>
        <v>0</v>
      </c>
      <c r="AN110" s="1">
        <f ca="1">IF(COUNTIFS($J$7:$J$510,Table7[[#Headers],[Energy Supply Forecasts]],$C$7:$C$510,$L110)&gt;0,0,MROUND(IFERROR(U110*($P110/$AI110),0),100))</f>
        <v>0</v>
      </c>
      <c r="AO110" s="1">
        <f ca="1">IF(COUNTIFS($J$7:$J$510,Table7[[#Headers],[Energy Supply Regulation]],$C$7:$C$510,$L110)&gt;0,0,MROUND(IFERROR(V110*($P110/$AI110),0),100))</f>
        <v>0</v>
      </c>
      <c r="AP110" s="1">
        <f ca="1">IF(COUNTIFS($J$7:$J$510,Table7[[#Headers],[Renewables Market Intelligence]],$C$7:$C$510,$L110)&gt;0,0,MROUND(IFERROR(W110*($P110/$AI110),0),100))</f>
        <v>0</v>
      </c>
      <c r="AQ110" s="1">
        <f ca="1">IF(COUNTIFS($J$7:$J$510,Table7[[#Headers],[Renewables RTM Analysis]],$C$7:$C$510,$L110)&gt;0,0,MROUND(IFERROR(X110*($P110/$AI110),0),100))</f>
        <v>0</v>
      </c>
      <c r="AR110" s="1">
        <f>IF(COUNTIFS($J$7:$J$510,Table7[[#Headers],[Renewables Forecasts]],$C$7:$C$510,$L110)&gt;0,0,MROUND(IFERROR(Y110*($P110/$AI110),0),100))</f>
        <v>0</v>
      </c>
      <c r="AS110" s="1">
        <f ca="1">IF(COUNTIFS($J$7:$J$510,Table7[[#Headers],[Renewables Regulation]],$C$7:$C$510,$L110)&gt;0,0,MROUND(IFERROR(Z110*($P110/$AI110),0),100))</f>
        <v>0</v>
      </c>
      <c r="AT110" s="1">
        <f>IF(COUNTIFS($J$7:$J$510,Table7[[#Headers],[Flexibility Market Intelligence]],$C$7:$C$510,$L110)&gt;0,0,MROUND(IFERROR(AA110*($P110/$AI110),0),100))</f>
        <v>0</v>
      </c>
      <c r="AU110" s="1">
        <f ca="1">IF(COUNTIFS($J$7:$J$510,Table7[[#Headers],[Flexibility RTM Analysis]],$C$7:$C$510,$L110)&gt;0,0,MROUND(IFERROR(AB110*($P110/$AI110),0),100))</f>
        <v>0</v>
      </c>
      <c r="AV110" s="1">
        <f ca="1">IF(COUNTIFS($J$7:$J$510,Table7[[#Headers],[Flexibility Forecasts]],$C$7:$C$510,$L110)&gt;0,0,MROUND(IFERROR(AC110*($P110/$AI110),0),100))</f>
        <v>0</v>
      </c>
      <c r="AW110" s="1">
        <f ca="1">IF(COUNTIFS($J$7:$J$510,Table7[[#Headers],[Flexibility Regulation]],$C$7:$C$510,$L110)&gt;0,0,MROUND(IFERROR(AD110*($P110/$AI110),0),100))</f>
        <v>0</v>
      </c>
      <c r="AX110" s="1">
        <f ca="1">IF(COUNTIFS($J$7:$J$510,Table7[[#Headers],[Business Energy Essentials]],$C$7:$C$510,$L110)&gt;0,0,MROUND(IFERROR(AE110*($P110/$AI110),0),100))</f>
        <v>0</v>
      </c>
      <c r="AY110" s="1">
        <f ca="1">IF(COUNTIFS($J$7:$J$510,Table7[[#Headers],[Energy User RTM Analysis]],$C$7:$C$510,$L110)&gt;0,0,MROUND(IFERROR(AF110*($P110/$AI110),0),100))</f>
        <v>0</v>
      </c>
      <c r="AZ110" s="1">
        <f ca="1">IF(COUNTIFS($J$7:$J$510,Table7[[#Headers],[Energy User Forecasts]],$C$7:$C$510,$L110)&gt;0,0,MROUND(IFERROR(AG110*($P110/$AI110),0),100))</f>
        <v>0</v>
      </c>
      <c r="BA110" s="1">
        <f ca="1">IF(COUNTIFS($J$7:$J$510,Table7[[#Headers],[Energy User Regulation]],$C$7:$C$510,$L110)&gt;0,0,MROUND(IFERROR(AH110*($P110/$AI110),0),100))</f>
        <v>0</v>
      </c>
    </row>
    <row r="111" spans="2:53">
      <c r="B111" s="38" t="s">
        <v>2124</v>
      </c>
      <c r="C111" s="38" t="s">
        <v>72</v>
      </c>
      <c r="D111" s="38" t="s">
        <v>2111</v>
      </c>
      <c r="E111" s="38" t="s">
        <v>2112</v>
      </c>
      <c r="F111" s="63">
        <v>9505</v>
      </c>
      <c r="G111" s="38"/>
      <c r="H111" s="38" t="s">
        <v>2031</v>
      </c>
      <c r="I111" s="38" t="s">
        <v>2031</v>
      </c>
      <c r="J111" s="38" t="s">
        <v>34</v>
      </c>
      <c r="L111" s="1" t="str">
        <v>Jones Lang LaSalle Ltd</v>
      </c>
      <c r="M111" s="1" t="str">
        <f t="shared" si="7"/>
        <v>Renewables</v>
      </c>
      <c r="N111" s="109">
        <f t="shared" si="8"/>
        <v>13000</v>
      </c>
      <c r="O111" s="1">
        <f>IFERROR(IF(INDEX(Table3[[Total Spend]:[Total Spend]],MATCH(L111,Table3[[Company name]:[Company name]],0))&gt;N111,INDEX(Table3[[Total Spend]:[Total Spend]],MATCH(L111,Table3[[Company name]:[Company name]])),N111),50000)</f>
        <v>13000</v>
      </c>
      <c r="P111" s="109">
        <f t="shared" si="9"/>
        <v>13000</v>
      </c>
      <c r="Q111" s="103">
        <f t="shared" si="10"/>
        <v>1</v>
      </c>
      <c r="R111" s="1">
        <f ca="1">IFERROR(INDEX(INDIRECT("Table3[Column"&amp;R$9&amp;"]"),MATCH($L111,Table3[[Company name]:[Company name]],0)),0)</f>
        <v>10800</v>
      </c>
      <c r="S111" s="1">
        <f ca="1">IFERROR(INDEX(INDIRECT("Table3[Column"&amp;S$9&amp;"]"),MATCH($L111,Table3[[Company name]:[Company name]],0)),0)</f>
        <v>0</v>
      </c>
      <c r="T111" s="1">
        <f ca="1">IFERROR(INDEX(INDIRECT("Table3[Column"&amp;T$9&amp;"]"),MATCH($L111,Table3[[Company name]:[Company name]],0)),0)</f>
        <v>0</v>
      </c>
      <c r="U111" s="1">
        <f ca="1">IFERROR(INDEX(INDIRECT("Table3[Column"&amp;U$9&amp;"]"),MATCH($L111,Table3[[Company name]:[Company name]],0)),0)</f>
        <v>0</v>
      </c>
      <c r="V111" s="1">
        <f ca="1">IFERROR(INDEX(INDIRECT("Table3[Column"&amp;V$9&amp;"]"),MATCH($L111,Table3[[Company name]:[Company name]],0)),0)</f>
        <v>0</v>
      </c>
      <c r="W111" s="1">
        <f ca="1">IFERROR(INDEX(INDIRECT("Table3[Column"&amp;W$9&amp;"]"),MATCH($L111,Table3[[Company name]:[Company name]],0)),0)</f>
        <v>0</v>
      </c>
      <c r="X111" s="1">
        <f ca="1">IFERROR(INDEX(INDIRECT("Table3[Column"&amp;X$9&amp;"]"),MATCH($L111,Table3[[Company name]:[Company name]],0)),0)</f>
        <v>0</v>
      </c>
      <c r="Y111" s="1">
        <f ca="1">IFERROR(INDEX(INDIRECT("Table3[Column"&amp;Y$9&amp;"]"),MATCH($L111,Table3[[Company name]:[Company name]],0)),0)</f>
        <v>0</v>
      </c>
      <c r="Z111" s="1">
        <f ca="1">IFERROR(INDEX(INDIRECT("Table3[Column"&amp;Z$9&amp;"]"),MATCH($L111,Table3[[Company name]:[Company name]],0)),0)</f>
        <v>0</v>
      </c>
      <c r="AA111" s="1">
        <f ca="1">IFERROR(INDEX(INDIRECT("Table3[Column"&amp;AA$9&amp;"]"),MATCH($L111,Table3[[Company name]:[Company name]],0)),0)</f>
        <v>0</v>
      </c>
      <c r="AB111" s="1">
        <f ca="1">IFERROR(INDEX(INDIRECT("Table3[Column"&amp;AB$9&amp;"]"),MATCH($L111,Table3[[Company name]:[Company name]],0)),0)</f>
        <v>0</v>
      </c>
      <c r="AC111" s="1">
        <f ca="1">IFERROR(INDEX(INDIRECT("Table3[Column"&amp;AC$9&amp;"]"),MATCH($L111,Table3[[Company name]:[Company name]],0)),0)</f>
        <v>0</v>
      </c>
      <c r="AD111" s="1">
        <f ca="1">IFERROR(INDEX(INDIRECT("Table3[Column"&amp;AD$9&amp;"]"),MATCH($L111,Table3[[Company name]:[Company name]],0)),0)</f>
        <v>0</v>
      </c>
      <c r="AE111" s="1">
        <f ca="1">IFERROR(INDEX(INDIRECT("Table3[Column"&amp;AE$9&amp;"]"),MATCH($L111,Table3[[Company name]:[Company name]],0)),0)</f>
        <v>0</v>
      </c>
      <c r="AF111" s="1">
        <f ca="1">IFERROR(INDEX(INDIRECT("Table3[Column"&amp;AF$9&amp;"]"),MATCH($L111,Table3[[Company name]:[Company name]],0)),0)</f>
        <v>0</v>
      </c>
      <c r="AG111" s="1">
        <f ca="1">IFERROR(INDEX(INDIRECT("Table3[Column"&amp;AG$9&amp;"]"),MATCH($L111,Table3[[Company name]:[Company name]],0)),0)</f>
        <v>0</v>
      </c>
      <c r="AH111" s="1">
        <f ca="1">IFERROR(INDEX(INDIRECT("Table3[Column"&amp;AH$9&amp;"]"),MATCH($L111,Table3[[Company name]:[Company name]],0)),0)</f>
        <v>0</v>
      </c>
      <c r="AI111" s="1">
        <f t="shared" ca="1" si="11"/>
        <v>10800</v>
      </c>
      <c r="AK111" s="1">
        <f ca="1">IF(COUNTIFS($J$7:$J$510,Table7[[#Headers],[Industry Essentials]],$C$7:$C$510,$L111)&gt;0,0,MROUND(R111,100))</f>
        <v>10800</v>
      </c>
      <c r="AL111" s="1">
        <f ca="1">IF(COUNTIFS($J$7:$J$510,Table7[[#Headers],[Energy Supply Market Intelligence]],$C$7:$C$510,$L111)&gt;0,0,MROUND(IFERROR(S111*($P111/$AI111),0),100))</f>
        <v>0</v>
      </c>
      <c r="AM111" s="1">
        <f ca="1">IF(COUNTIFS($J$7:$J$510,Table7[[#Headers],[Energy Supply RTM Analysis]],$C$7:$C$510,$L111)&gt;0,0,MROUND(IFERROR(T111*($P111/$AI111),0),100))</f>
        <v>0</v>
      </c>
      <c r="AN111" s="1">
        <f ca="1">IF(COUNTIFS($J$7:$J$510,Table7[[#Headers],[Energy Supply Forecasts]],$C$7:$C$510,$L111)&gt;0,0,MROUND(IFERROR(U111*($P111/$AI111),0),100))</f>
        <v>0</v>
      </c>
      <c r="AO111" s="1">
        <f ca="1">IF(COUNTIFS($J$7:$J$510,Table7[[#Headers],[Energy Supply Regulation]],$C$7:$C$510,$L111)&gt;0,0,MROUND(IFERROR(V111*($P111/$AI111),0),100))</f>
        <v>0</v>
      </c>
      <c r="AP111" s="1">
        <f>IF(COUNTIFS($J$7:$J$510,Table7[[#Headers],[Renewables Market Intelligence]],$C$7:$C$510,$L111)&gt;0,0,MROUND(IFERROR(W111*($P111/$AI111),0),100))</f>
        <v>0</v>
      </c>
      <c r="AQ111" s="1">
        <f>IF(COUNTIFS($J$7:$J$510,Table7[[#Headers],[Renewables RTM Analysis]],$C$7:$C$510,$L111)&gt;0,0,MROUND(IFERROR(X111*($P111/$AI111),0),100))</f>
        <v>0</v>
      </c>
      <c r="AR111" s="1">
        <f ca="1">IF(COUNTIFS($J$7:$J$510,Table7[[#Headers],[Renewables Forecasts]],$C$7:$C$510,$L111)&gt;0,0,MROUND(IFERROR(Y111*($P111/$AI111),0),100))</f>
        <v>0</v>
      </c>
      <c r="AS111" s="1">
        <f ca="1">IF(COUNTIFS($J$7:$J$510,Table7[[#Headers],[Renewables Regulation]],$C$7:$C$510,$L111)&gt;0,0,MROUND(IFERROR(Z111*($P111/$AI111),0),100))</f>
        <v>0</v>
      </c>
      <c r="AT111" s="1">
        <f ca="1">IF(COUNTIFS($J$7:$J$510,Table7[[#Headers],[Flexibility Market Intelligence]],$C$7:$C$510,$L111)&gt;0,0,MROUND(IFERROR(AA111*($P111/$AI111),0),100))</f>
        <v>0</v>
      </c>
      <c r="AU111" s="1">
        <f ca="1">IF(COUNTIFS($J$7:$J$510,Table7[[#Headers],[Flexibility RTM Analysis]],$C$7:$C$510,$L111)&gt;0,0,MROUND(IFERROR(AB111*($P111/$AI111),0),100))</f>
        <v>0</v>
      </c>
      <c r="AV111" s="1">
        <f ca="1">IF(COUNTIFS($J$7:$J$510,Table7[[#Headers],[Flexibility Forecasts]],$C$7:$C$510,$L111)&gt;0,0,MROUND(IFERROR(AC111*($P111/$AI111),0),100))</f>
        <v>0</v>
      </c>
      <c r="AW111" s="1">
        <f ca="1">IF(COUNTIFS($J$7:$J$510,Table7[[#Headers],[Flexibility Regulation]],$C$7:$C$510,$L111)&gt;0,0,MROUND(IFERROR(AD111*($P111/$AI111),0),100))</f>
        <v>0</v>
      </c>
      <c r="AX111" s="1">
        <f ca="1">IF(COUNTIFS($J$7:$J$510,Table7[[#Headers],[Business Energy Essentials]],$C$7:$C$510,$L111)&gt;0,0,MROUND(IFERROR(AE111*($P111/$AI111),0),100))</f>
        <v>0</v>
      </c>
      <c r="AY111" s="1">
        <f ca="1">IF(COUNTIFS($J$7:$J$510,Table7[[#Headers],[Energy User RTM Analysis]],$C$7:$C$510,$L111)&gt;0,0,MROUND(IFERROR(AF111*($P111/$AI111),0),100))</f>
        <v>0</v>
      </c>
      <c r="AZ111" s="1">
        <f ca="1">IF(COUNTIFS($J$7:$J$510,Table7[[#Headers],[Energy User Forecasts]],$C$7:$C$510,$L111)&gt;0,0,MROUND(IFERROR(AG111*($P111/$AI111),0),100))</f>
        <v>0</v>
      </c>
      <c r="BA111" s="1">
        <f ca="1">IF(COUNTIFS($J$7:$J$510,Table7[[#Headers],[Energy User Regulation]],$C$7:$C$510,$L111)&gt;0,0,MROUND(IFERROR(AH111*($P111/$AI111),0),100))</f>
        <v>0</v>
      </c>
    </row>
    <row r="112" spans="2:53">
      <c r="B112" s="38" t="s">
        <v>2124</v>
      </c>
      <c r="C112" s="38" t="s">
        <v>72</v>
      </c>
      <c r="D112" s="38" t="s">
        <v>2073</v>
      </c>
      <c r="E112" s="38" t="s">
        <v>2074</v>
      </c>
      <c r="F112" s="63">
        <v>23034</v>
      </c>
      <c r="G112" s="38"/>
      <c r="H112" s="38" t="s">
        <v>2031</v>
      </c>
      <c r="I112" s="38" t="s">
        <v>2031</v>
      </c>
      <c r="J112" s="38" t="s">
        <v>23</v>
      </c>
      <c r="L112" s="1" t="str">
        <v>Kemsley CHP Limited</v>
      </c>
      <c r="M112" s="1" t="str">
        <f t="shared" si="7"/>
        <v>Renewables</v>
      </c>
      <c r="N112" s="109">
        <f t="shared" si="8"/>
        <v>14571.4275</v>
      </c>
      <c r="O112" s="1">
        <f>IFERROR(IF(INDEX(Table3[[Total Spend]:[Total Spend]],MATCH(L112,Table3[[Company name]:[Company name]],0))&gt;N112,INDEX(Table3[[Total Spend]:[Total Spend]],MATCH(L112,Table3[[Company name]:[Company name]])),N112),50000)</f>
        <v>46350</v>
      </c>
      <c r="P112" s="109">
        <f t="shared" si="9"/>
        <v>31778.572500000002</v>
      </c>
      <c r="Q112" s="103">
        <f t="shared" si="10"/>
        <v>0.31437815533980584</v>
      </c>
      <c r="R112" s="1">
        <f ca="1">IFERROR(INDEX(INDIRECT("Table3[Column"&amp;R$9&amp;"]"),MATCH($L112,Table3[[Company name]:[Company name]],0)),0)</f>
        <v>8100</v>
      </c>
      <c r="S112" s="1">
        <f ca="1">IFERROR(INDEX(INDIRECT("Table3[Column"&amp;S$9&amp;"]"),MATCH($L112,Table3[[Company name]:[Company name]],0)),0)</f>
        <v>0</v>
      </c>
      <c r="T112" s="1">
        <f ca="1">IFERROR(INDEX(INDIRECT("Table3[Column"&amp;T$9&amp;"]"),MATCH($L112,Table3[[Company name]:[Company name]],0)),0)</f>
        <v>0</v>
      </c>
      <c r="U112" s="1">
        <f ca="1">IFERROR(INDEX(INDIRECT("Table3[Column"&amp;U$9&amp;"]"),MATCH($L112,Table3[[Company name]:[Company name]],0)),0)</f>
        <v>0</v>
      </c>
      <c r="V112" s="1">
        <f ca="1">IFERROR(INDEX(INDIRECT("Table3[Column"&amp;V$9&amp;"]"),MATCH($L112,Table3[[Company name]:[Company name]],0)),0)</f>
        <v>0</v>
      </c>
      <c r="W112" s="1">
        <f ca="1">IFERROR(INDEX(INDIRECT("Table3[Column"&amp;W$9&amp;"]"),MATCH($L112,Table3[[Company name]:[Company name]],0)),0)</f>
        <v>17100</v>
      </c>
      <c r="X112" s="1">
        <f ca="1">IFERROR(INDEX(INDIRECT("Table3[Column"&amp;X$9&amp;"]"),MATCH($L112,Table3[[Company name]:[Company name]],0)),0)</f>
        <v>15300</v>
      </c>
      <c r="Y112" s="1">
        <f ca="1">IFERROR(INDEX(INDIRECT("Table3[Column"&amp;Y$9&amp;"]"),MATCH($L112,Table3[[Company name]:[Company name]],0)),0)</f>
        <v>42300</v>
      </c>
      <c r="Z112" s="1">
        <f ca="1">IFERROR(INDEX(INDIRECT("Table3[Column"&amp;Z$9&amp;"]"),MATCH($L112,Table3[[Company name]:[Company name]],0)),0)</f>
        <v>18900</v>
      </c>
      <c r="AA112" s="1">
        <f ca="1">IFERROR(INDEX(INDIRECT("Table3[Column"&amp;AA$9&amp;"]"),MATCH($L112,Table3[[Company name]:[Company name]],0)),0)</f>
        <v>21600</v>
      </c>
      <c r="AB112" s="1">
        <f ca="1">IFERROR(INDEX(INDIRECT("Table3[Column"&amp;AB$9&amp;"]"),MATCH($L112,Table3[[Company name]:[Company name]],0)),0)</f>
        <v>7650</v>
      </c>
      <c r="AC112" s="1">
        <f ca="1">IFERROR(INDEX(INDIRECT("Table3[Column"&amp;AC$9&amp;"]"),MATCH($L112,Table3[[Company name]:[Company name]],0)),0)</f>
        <v>31500</v>
      </c>
      <c r="AD112" s="1">
        <f ca="1">IFERROR(INDEX(INDIRECT("Table3[Column"&amp;AD$9&amp;"]"),MATCH($L112,Table3[[Company name]:[Company name]],0)),0)</f>
        <v>25200</v>
      </c>
      <c r="AE112" s="1">
        <f ca="1">IFERROR(INDEX(INDIRECT("Table3[Column"&amp;AE$9&amp;"]"),MATCH($L112,Table3[[Company name]:[Company name]],0)),0)</f>
        <v>0</v>
      </c>
      <c r="AF112" s="1">
        <f ca="1">IFERROR(INDEX(INDIRECT("Table3[Column"&amp;AF$9&amp;"]"),MATCH($L112,Table3[[Company name]:[Company name]],0)),0)</f>
        <v>0</v>
      </c>
      <c r="AG112" s="1">
        <f ca="1">IFERROR(INDEX(INDIRECT("Table3[Column"&amp;AG$9&amp;"]"),MATCH($L112,Table3[[Company name]:[Company name]],0)),0)</f>
        <v>0</v>
      </c>
      <c r="AH112" s="1">
        <f ca="1">IFERROR(INDEX(INDIRECT("Table3[Column"&amp;AH$9&amp;"]"),MATCH($L112,Table3[[Company name]:[Company name]],0)),0)</f>
        <v>0</v>
      </c>
      <c r="AI112" s="1">
        <f t="shared" ca="1" si="11"/>
        <v>187650</v>
      </c>
      <c r="AK112" s="1">
        <f ca="1">IF(COUNTIFS($J$7:$J$510,Table7[[#Headers],[Industry Essentials]],$C$7:$C$510,$L112)&gt;0,0,MROUND(R112,100))</f>
        <v>8100</v>
      </c>
      <c r="AL112" s="1">
        <f ca="1">IF(COUNTIFS($J$7:$J$510,Table7[[#Headers],[Energy Supply Market Intelligence]],$C$7:$C$510,$L112)&gt;0,0,MROUND(IFERROR(S112*($P112/$AI112),0),100))</f>
        <v>0</v>
      </c>
      <c r="AM112" s="1">
        <f ca="1">IF(COUNTIFS($J$7:$J$510,Table7[[#Headers],[Energy Supply RTM Analysis]],$C$7:$C$510,$L112)&gt;0,0,MROUND(IFERROR(T112*($P112/$AI112),0),100))</f>
        <v>0</v>
      </c>
      <c r="AN112" s="1">
        <f>IF(COUNTIFS($J$7:$J$510,Table7[[#Headers],[Energy Supply Forecasts]],$C$7:$C$510,$L112)&gt;0,0,MROUND(IFERROR(U112*($P112/$AI112),0),100))</f>
        <v>0</v>
      </c>
      <c r="AO112" s="1">
        <f ca="1">IF(COUNTIFS($J$7:$J$510,Table7[[#Headers],[Energy Supply Regulation]],$C$7:$C$510,$L112)&gt;0,0,MROUND(IFERROR(V112*($P112/$AI112),0),100))</f>
        <v>0</v>
      </c>
      <c r="AP112" s="1">
        <f ca="1">IF(COUNTIFS($J$7:$J$510,Table7[[#Headers],[Renewables Market Intelligence]],$C$7:$C$510,$L112)&gt;0,0,MROUND(IFERROR(W112*($P112/$AI112),0),100))</f>
        <v>2900</v>
      </c>
      <c r="AQ112" s="1">
        <f ca="1">IF(COUNTIFS($J$7:$J$510,Table7[[#Headers],[Renewables RTM Analysis]],$C$7:$C$510,$L112)&gt;0,0,MROUND(IFERROR(X112*($P112/$AI112),0),100))</f>
        <v>2600</v>
      </c>
      <c r="AR112" s="1">
        <f ca="1">IF(COUNTIFS($J$7:$J$510,Table7[[#Headers],[Renewables Forecasts]],$C$7:$C$510,$L112)&gt;0,0,MROUND(IFERROR(Y112*($P112/$AI112),0),100))</f>
        <v>7200</v>
      </c>
      <c r="AS112" s="1">
        <f ca="1">IF(COUNTIFS($J$7:$J$510,Table7[[#Headers],[Renewables Regulation]],$C$7:$C$510,$L112)&gt;0,0,MROUND(IFERROR(Z112*($P112/$AI112),0),100))</f>
        <v>3200</v>
      </c>
      <c r="AT112" s="1">
        <f ca="1">IF(COUNTIFS($J$7:$J$510,Table7[[#Headers],[Flexibility Market Intelligence]],$C$7:$C$510,$L112)&gt;0,0,MROUND(IFERROR(AA112*($P112/$AI112),0),100))</f>
        <v>3700</v>
      </c>
      <c r="AU112" s="1">
        <f ca="1">IF(COUNTIFS($J$7:$J$510,Table7[[#Headers],[Flexibility RTM Analysis]],$C$7:$C$510,$L112)&gt;0,0,MROUND(IFERROR(AB112*($P112/$AI112),0),100))</f>
        <v>1300</v>
      </c>
      <c r="AV112" s="1">
        <f ca="1">IF(COUNTIFS($J$7:$J$510,Table7[[#Headers],[Flexibility Forecasts]],$C$7:$C$510,$L112)&gt;0,0,MROUND(IFERROR(AC112*($P112/$AI112),0),100))</f>
        <v>5300</v>
      </c>
      <c r="AW112" s="1">
        <f ca="1">IF(COUNTIFS($J$7:$J$510,Table7[[#Headers],[Flexibility Regulation]],$C$7:$C$510,$L112)&gt;0,0,MROUND(IFERROR(AD112*($P112/$AI112),0),100))</f>
        <v>4300</v>
      </c>
      <c r="AX112" s="1">
        <f ca="1">IF(COUNTIFS($J$7:$J$510,Table7[[#Headers],[Business Energy Essentials]],$C$7:$C$510,$L112)&gt;0,0,MROUND(IFERROR(AE112*($P112/$AI112),0),100))</f>
        <v>0</v>
      </c>
      <c r="AY112" s="1">
        <f ca="1">IF(COUNTIFS($J$7:$J$510,Table7[[#Headers],[Energy User RTM Analysis]],$C$7:$C$510,$L112)&gt;0,0,MROUND(IFERROR(AF112*($P112/$AI112),0),100))</f>
        <v>0</v>
      </c>
      <c r="AZ112" s="1">
        <f ca="1">IF(COUNTIFS($J$7:$J$510,Table7[[#Headers],[Energy User Forecasts]],$C$7:$C$510,$L112)&gt;0,0,MROUND(IFERROR(AG112*($P112/$AI112),0),100))</f>
        <v>0</v>
      </c>
      <c r="BA112" s="1">
        <f ca="1">IF(COUNTIFS($J$7:$J$510,Table7[[#Headers],[Energy User Regulation]],$C$7:$C$510,$L112)&gt;0,0,MROUND(IFERROR(AH112*($P112/$AI112),0),100))</f>
        <v>0</v>
      </c>
    </row>
    <row r="113" spans="2:53">
      <c r="B113" s="38" t="s">
        <v>2124</v>
      </c>
      <c r="C113" s="38" t="s">
        <v>72</v>
      </c>
      <c r="D113" s="38" t="s">
        <v>2072</v>
      </c>
      <c r="E113" s="38" t="s">
        <v>1918</v>
      </c>
      <c r="F113" s="63">
        <v>26325</v>
      </c>
      <c r="G113" s="38"/>
      <c r="H113" s="38" t="s">
        <v>2031</v>
      </c>
      <c r="I113" s="38" t="s">
        <v>1702</v>
      </c>
      <c r="J113" s="38" t="s">
        <v>26</v>
      </c>
      <c r="L113" s="1" t="str">
        <v>Kinect Energy UK Limited</v>
      </c>
      <c r="M113" s="1" t="str">
        <f t="shared" si="7"/>
        <v>Supply</v>
      </c>
      <c r="N113" s="109">
        <f t="shared" si="8"/>
        <v>23660</v>
      </c>
      <c r="O113" s="1">
        <f>IFERROR(IF(INDEX(Table3[[Total Spend]:[Total Spend]],MATCH(L113,Table3[[Company name]:[Company name]],0))&gt;N113,INDEX(Table3[[Total Spend]:[Total Spend]],MATCH(L113,Table3[[Company name]:[Company name]])),N113),50000)</f>
        <v>23660</v>
      </c>
      <c r="P113" s="109">
        <f t="shared" si="9"/>
        <v>23660</v>
      </c>
      <c r="Q113" s="103">
        <f t="shared" si="10"/>
        <v>1</v>
      </c>
      <c r="R113" s="1">
        <f ca="1">IFERROR(INDEX(INDIRECT("Table3[Column"&amp;R$9&amp;"]"),MATCH($L113,Table3[[Company name]:[Company name]],0)),0)</f>
        <v>8100</v>
      </c>
      <c r="S113" s="1">
        <f ca="1">IFERROR(INDEX(INDIRECT("Table3[Column"&amp;S$9&amp;"]"),MATCH($L113,Table3[[Company name]:[Company name]],0)),0)</f>
        <v>30600</v>
      </c>
      <c r="T113" s="1">
        <f ca="1">IFERROR(INDEX(INDIRECT("Table3[Column"&amp;T$9&amp;"]"),MATCH($L113,Table3[[Company name]:[Company name]],0)),0)</f>
        <v>53100</v>
      </c>
      <c r="U113" s="1">
        <f ca="1">IFERROR(INDEX(INDIRECT("Table3[Column"&amp;U$9&amp;"]"),MATCH($L113,Table3[[Company name]:[Company name]],0)),0)</f>
        <v>34200</v>
      </c>
      <c r="V113" s="1">
        <f ca="1">IFERROR(INDEX(INDIRECT("Table3[Column"&amp;V$9&amp;"]"),MATCH($L113,Table3[[Company name]:[Company name]],0)),0)</f>
        <v>0</v>
      </c>
      <c r="W113" s="1">
        <f ca="1">IFERROR(INDEX(INDIRECT("Table3[Column"&amp;W$9&amp;"]"),MATCH($L113,Table3[[Company name]:[Company name]],0)),0)</f>
        <v>0</v>
      </c>
      <c r="X113" s="1">
        <f ca="1">IFERROR(INDEX(INDIRECT("Table3[Column"&amp;X$9&amp;"]"),MATCH($L113,Table3[[Company name]:[Company name]],0)),0)</f>
        <v>0</v>
      </c>
      <c r="Y113" s="1">
        <f ca="1">IFERROR(INDEX(INDIRECT("Table3[Column"&amp;Y$9&amp;"]"),MATCH($L113,Table3[[Company name]:[Company name]],0)),0)</f>
        <v>0</v>
      </c>
      <c r="Z113" s="1">
        <f ca="1">IFERROR(INDEX(INDIRECT("Table3[Column"&amp;Z$9&amp;"]"),MATCH($L113,Table3[[Company name]:[Company name]],0)),0)</f>
        <v>0</v>
      </c>
      <c r="AA113" s="1">
        <f ca="1">IFERROR(INDEX(INDIRECT("Table3[Column"&amp;AA$9&amp;"]"),MATCH($L113,Table3[[Company name]:[Company name]],0)),0)</f>
        <v>0</v>
      </c>
      <c r="AB113" s="1">
        <f ca="1">IFERROR(INDEX(INDIRECT("Table3[Column"&amp;AB$9&amp;"]"),MATCH($L113,Table3[[Company name]:[Company name]],0)),0)</f>
        <v>0</v>
      </c>
      <c r="AC113" s="1">
        <f ca="1">IFERROR(INDEX(INDIRECT("Table3[Column"&amp;AC$9&amp;"]"),MATCH($L113,Table3[[Company name]:[Company name]],0)),0)</f>
        <v>0</v>
      </c>
      <c r="AD113" s="1">
        <f ca="1">IFERROR(INDEX(INDIRECT("Table3[Column"&amp;AD$9&amp;"]"),MATCH($L113,Table3[[Company name]:[Company name]],0)),0)</f>
        <v>0</v>
      </c>
      <c r="AE113" s="1">
        <f ca="1">IFERROR(INDEX(INDIRECT("Table3[Column"&amp;AE$9&amp;"]"),MATCH($L113,Table3[[Company name]:[Company name]],0)),0)</f>
        <v>0</v>
      </c>
      <c r="AF113" s="1">
        <f ca="1">IFERROR(INDEX(INDIRECT("Table3[Column"&amp;AF$9&amp;"]"),MATCH($L113,Table3[[Company name]:[Company name]],0)),0)</f>
        <v>11250</v>
      </c>
      <c r="AG113" s="1">
        <f ca="1">IFERROR(INDEX(INDIRECT("Table3[Column"&amp;AG$9&amp;"]"),MATCH($L113,Table3[[Company name]:[Company name]],0)),0)</f>
        <v>0</v>
      </c>
      <c r="AH113" s="1">
        <f ca="1">IFERROR(INDEX(INDIRECT("Table3[Column"&amp;AH$9&amp;"]"),MATCH($L113,Table3[[Company name]:[Company name]],0)),0)</f>
        <v>0</v>
      </c>
      <c r="AI113" s="1">
        <f t="shared" ca="1" si="11"/>
        <v>137250</v>
      </c>
      <c r="AK113" s="1">
        <f>IF(COUNTIFS($J$7:$J$510,Table7[[#Headers],[Industry Essentials]],$C$7:$C$510,$L113)&gt;0,0,MROUND(R113,100))</f>
        <v>0</v>
      </c>
      <c r="AL113" s="1">
        <f ca="1">IF(COUNTIFS($J$7:$J$510,Table7[[#Headers],[Energy Supply Market Intelligence]],$C$7:$C$510,$L113)&gt;0,0,MROUND(IFERROR(S113*($P113/$AI113),0),100))</f>
        <v>5300</v>
      </c>
      <c r="AM113" s="1">
        <f ca="1">IF(COUNTIFS($J$7:$J$510,Table7[[#Headers],[Energy Supply RTM Analysis]],$C$7:$C$510,$L113)&gt;0,0,MROUND(IFERROR(T113*($P113/$AI113),0),100))</f>
        <v>9200</v>
      </c>
      <c r="AN113" s="1">
        <f>IF(COUNTIFS($J$7:$J$510,Table7[[#Headers],[Energy Supply Forecasts]],$C$7:$C$510,$L113)&gt;0,0,MROUND(IFERROR(U113*($P113/$AI113),0),100))</f>
        <v>0</v>
      </c>
      <c r="AO113" s="1">
        <f ca="1">IF(COUNTIFS($J$7:$J$510,Table7[[#Headers],[Energy Supply Regulation]],$C$7:$C$510,$L113)&gt;0,0,MROUND(IFERROR(V113*($P113/$AI113),0),100))</f>
        <v>0</v>
      </c>
      <c r="AP113" s="1">
        <f ca="1">IF(COUNTIFS($J$7:$J$510,Table7[[#Headers],[Renewables Market Intelligence]],$C$7:$C$510,$L113)&gt;0,0,MROUND(IFERROR(W113*($P113/$AI113),0),100))</f>
        <v>0</v>
      </c>
      <c r="AQ113" s="1">
        <f ca="1">IF(COUNTIFS($J$7:$J$510,Table7[[#Headers],[Renewables RTM Analysis]],$C$7:$C$510,$L113)&gt;0,0,MROUND(IFERROR(X113*($P113/$AI113),0),100))</f>
        <v>0</v>
      </c>
      <c r="AR113" s="1">
        <f ca="1">IF(COUNTIFS($J$7:$J$510,Table7[[#Headers],[Renewables Forecasts]],$C$7:$C$510,$L113)&gt;0,0,MROUND(IFERROR(Y113*($P113/$AI113),0),100))</f>
        <v>0</v>
      </c>
      <c r="AS113" s="1">
        <f ca="1">IF(COUNTIFS($J$7:$J$510,Table7[[#Headers],[Renewables Regulation]],$C$7:$C$510,$L113)&gt;0,0,MROUND(IFERROR(Z113*($P113/$AI113),0),100))</f>
        <v>0</v>
      </c>
      <c r="AT113" s="1">
        <f ca="1">IF(COUNTIFS($J$7:$J$510,Table7[[#Headers],[Flexibility Market Intelligence]],$C$7:$C$510,$L113)&gt;0,0,MROUND(IFERROR(AA113*($P113/$AI113),0),100))</f>
        <v>0</v>
      </c>
      <c r="AU113" s="1">
        <f ca="1">IF(COUNTIFS($J$7:$J$510,Table7[[#Headers],[Flexibility RTM Analysis]],$C$7:$C$510,$L113)&gt;0,0,MROUND(IFERROR(AB113*($P113/$AI113),0),100))</f>
        <v>0</v>
      </c>
      <c r="AV113" s="1">
        <f ca="1">IF(COUNTIFS($J$7:$J$510,Table7[[#Headers],[Flexibility Forecasts]],$C$7:$C$510,$L113)&gt;0,0,MROUND(IFERROR(AC113*($P113/$AI113),0),100))</f>
        <v>0</v>
      </c>
      <c r="AW113" s="1">
        <f ca="1">IF(COUNTIFS($J$7:$J$510,Table7[[#Headers],[Flexibility Regulation]],$C$7:$C$510,$L113)&gt;0,0,MROUND(IFERROR(AD113*($P113/$AI113),0),100))</f>
        <v>0</v>
      </c>
      <c r="AX113" s="1">
        <f ca="1">IF(COUNTIFS($J$7:$J$510,Table7[[#Headers],[Business Energy Essentials]],$C$7:$C$510,$L113)&gt;0,0,MROUND(IFERROR(AE113*($P113/$AI113),0),100))</f>
        <v>0</v>
      </c>
      <c r="AY113" s="1">
        <f ca="1">IF(COUNTIFS($J$7:$J$510,Table7[[#Headers],[Energy User RTM Analysis]],$C$7:$C$510,$L113)&gt;0,0,MROUND(IFERROR(AF113*($P113/$AI113),0),100))</f>
        <v>1900</v>
      </c>
      <c r="AZ113" s="1">
        <f ca="1">IF(COUNTIFS($J$7:$J$510,Table7[[#Headers],[Energy User Forecasts]],$C$7:$C$510,$L113)&gt;0,0,MROUND(IFERROR(AG113*($P113/$AI113),0),100))</f>
        <v>0</v>
      </c>
      <c r="BA113" s="1">
        <f ca="1">IF(COUNTIFS($J$7:$J$510,Table7[[#Headers],[Energy User Regulation]],$C$7:$C$510,$L113)&gt;0,0,MROUND(IFERROR(AH113*($P113/$AI113),0),100))</f>
        <v>0</v>
      </c>
    </row>
    <row r="114" spans="2:53">
      <c r="B114" s="38" t="s">
        <v>2126</v>
      </c>
      <c r="C114" s="38" t="s">
        <v>963</v>
      </c>
      <c r="D114" s="38" t="s">
        <v>2077</v>
      </c>
      <c r="E114" s="38" t="e">
        <v>#N/A</v>
      </c>
      <c r="F114" s="63">
        <v>6700</v>
      </c>
      <c r="G114" s="38"/>
      <c r="H114" s="38" t="s">
        <v>1702</v>
      </c>
      <c r="I114" s="38" t="s">
        <v>1702</v>
      </c>
      <c r="J114" s="38" t="s">
        <v>20</v>
      </c>
      <c r="L114" s="1" t="str">
        <v>Landmark Power Holdings Ltd</v>
      </c>
      <c r="M114" s="1" t="str">
        <f t="shared" si="7"/>
        <v>Flexibility</v>
      </c>
      <c r="N114" s="109">
        <f t="shared" si="8"/>
        <v>33000</v>
      </c>
      <c r="O114" s="1">
        <f>IFERROR(IF(INDEX(Table3[[Total Spend]:[Total Spend]],MATCH(L114,Table3[[Company name]:[Company name]],0))&gt;N114,INDEX(Table3[[Total Spend]:[Total Spend]],MATCH(L114,Table3[[Company name]:[Company name]])),N114),50000)</f>
        <v>150000</v>
      </c>
      <c r="P114" s="109">
        <f t="shared" si="9"/>
        <v>117000</v>
      </c>
      <c r="Q114" s="103">
        <f t="shared" si="10"/>
        <v>0.22</v>
      </c>
      <c r="R114" s="1">
        <f ca="1">IFERROR(INDEX(INDIRECT("Table3[Column"&amp;R$9&amp;"]"),MATCH($L114,Table3[[Company name]:[Company name]],0)),0)</f>
        <v>8100</v>
      </c>
      <c r="S114" s="1">
        <f ca="1">IFERROR(INDEX(INDIRECT("Table3[Column"&amp;S$9&amp;"]"),MATCH($L114,Table3[[Company name]:[Company name]],0)),0)</f>
        <v>0</v>
      </c>
      <c r="T114" s="1">
        <f ca="1">IFERROR(INDEX(INDIRECT("Table3[Column"&amp;T$9&amp;"]"),MATCH($L114,Table3[[Company name]:[Company name]],0)),0)</f>
        <v>0</v>
      </c>
      <c r="U114" s="1">
        <f ca="1">IFERROR(INDEX(INDIRECT("Table3[Column"&amp;U$9&amp;"]"),MATCH($L114,Table3[[Company name]:[Company name]],0)),0)</f>
        <v>0</v>
      </c>
      <c r="V114" s="1">
        <f ca="1">IFERROR(INDEX(INDIRECT("Table3[Column"&amp;V$9&amp;"]"),MATCH($L114,Table3[[Company name]:[Company name]],0)),0)</f>
        <v>0</v>
      </c>
      <c r="W114" s="1">
        <f ca="1">IFERROR(INDEX(INDIRECT("Table3[Column"&amp;W$9&amp;"]"),MATCH($L114,Table3[[Company name]:[Company name]],0)),0)</f>
        <v>0</v>
      </c>
      <c r="X114" s="1">
        <f ca="1">IFERROR(INDEX(INDIRECT("Table3[Column"&amp;X$9&amp;"]"),MATCH($L114,Table3[[Company name]:[Company name]],0)),0)</f>
        <v>0</v>
      </c>
      <c r="Y114" s="1">
        <f ca="1">IFERROR(INDEX(INDIRECT("Table3[Column"&amp;Y$9&amp;"]"),MATCH($L114,Table3[[Company name]:[Company name]],0)),0)</f>
        <v>0</v>
      </c>
      <c r="Z114" s="1">
        <f ca="1">IFERROR(INDEX(INDIRECT("Table3[Column"&amp;Z$9&amp;"]"),MATCH($L114,Table3[[Company name]:[Company name]],0)),0)</f>
        <v>0</v>
      </c>
      <c r="AA114" s="1">
        <f ca="1">IFERROR(INDEX(INDIRECT("Table3[Column"&amp;AA$9&amp;"]"),MATCH($L114,Table3[[Company name]:[Company name]],0)),0)</f>
        <v>21600</v>
      </c>
      <c r="AB114" s="1">
        <f ca="1">IFERROR(INDEX(INDIRECT("Table3[Column"&amp;AB$9&amp;"]"),MATCH($L114,Table3[[Company name]:[Company name]],0)),0)</f>
        <v>7650</v>
      </c>
      <c r="AC114" s="1">
        <f ca="1">IFERROR(INDEX(INDIRECT("Table3[Column"&amp;AC$9&amp;"]"),MATCH($L114,Table3[[Company name]:[Company name]],0)),0)</f>
        <v>31500</v>
      </c>
      <c r="AD114" s="1">
        <f ca="1">IFERROR(INDEX(INDIRECT("Table3[Column"&amp;AD$9&amp;"]"),MATCH($L114,Table3[[Company name]:[Company name]],0)),0)</f>
        <v>25200</v>
      </c>
      <c r="AE114" s="1">
        <f ca="1">IFERROR(INDEX(INDIRECT("Table3[Column"&amp;AE$9&amp;"]"),MATCH($L114,Table3[[Company name]:[Company name]],0)),0)</f>
        <v>0</v>
      </c>
      <c r="AF114" s="1">
        <f ca="1">IFERROR(INDEX(INDIRECT("Table3[Column"&amp;AF$9&amp;"]"),MATCH($L114,Table3[[Company name]:[Company name]],0)),0)</f>
        <v>0</v>
      </c>
      <c r="AG114" s="1">
        <f ca="1">IFERROR(INDEX(INDIRECT("Table3[Column"&amp;AG$9&amp;"]"),MATCH($L114,Table3[[Company name]:[Company name]],0)),0)</f>
        <v>0</v>
      </c>
      <c r="AH114" s="1">
        <f ca="1">IFERROR(INDEX(INDIRECT("Table3[Column"&amp;AH$9&amp;"]"),MATCH($L114,Table3[[Company name]:[Company name]],0)),0)</f>
        <v>0</v>
      </c>
      <c r="AI114" s="1">
        <f t="shared" ca="1" si="11"/>
        <v>94050</v>
      </c>
      <c r="AK114" s="1">
        <f ca="1">IF(COUNTIFS($J$7:$J$510,Table7[[#Headers],[Industry Essentials]],$C$7:$C$510,$L114)&gt;0,0,MROUND(R114,100))</f>
        <v>8100</v>
      </c>
      <c r="AL114" s="1">
        <f ca="1">IF(COUNTIFS($J$7:$J$510,Table7[[#Headers],[Energy Supply Market Intelligence]],$C$7:$C$510,$L114)&gt;0,0,MROUND(IFERROR(S114*($P114/$AI114),0),100))</f>
        <v>0</v>
      </c>
      <c r="AM114" s="1">
        <f ca="1">IF(COUNTIFS($J$7:$J$510,Table7[[#Headers],[Energy Supply RTM Analysis]],$C$7:$C$510,$L114)&gt;0,0,MROUND(IFERROR(T114*($P114/$AI114),0),100))</f>
        <v>0</v>
      </c>
      <c r="AN114" s="1">
        <f ca="1">IF(COUNTIFS($J$7:$J$510,Table7[[#Headers],[Energy Supply Forecasts]],$C$7:$C$510,$L114)&gt;0,0,MROUND(IFERROR(U114*($P114/$AI114),0),100))</f>
        <v>0</v>
      </c>
      <c r="AO114" s="1">
        <f ca="1">IF(COUNTIFS($J$7:$J$510,Table7[[#Headers],[Energy Supply Regulation]],$C$7:$C$510,$L114)&gt;0,0,MROUND(IFERROR(V114*($P114/$AI114),0),100))</f>
        <v>0</v>
      </c>
      <c r="AP114" s="1">
        <f ca="1">IF(COUNTIFS($J$7:$J$510,Table7[[#Headers],[Renewables Market Intelligence]],$C$7:$C$510,$L114)&gt;0,0,MROUND(IFERROR(W114*($P114/$AI114),0),100))</f>
        <v>0</v>
      </c>
      <c r="AQ114" s="1">
        <f ca="1">IF(COUNTIFS($J$7:$J$510,Table7[[#Headers],[Renewables RTM Analysis]],$C$7:$C$510,$L114)&gt;0,0,MROUND(IFERROR(X114*($P114/$AI114),0),100))</f>
        <v>0</v>
      </c>
      <c r="AR114" s="1">
        <f>IF(COUNTIFS($J$7:$J$510,Table7[[#Headers],[Renewables Forecasts]],$C$7:$C$510,$L114)&gt;0,0,MROUND(IFERROR(Y114*($P114/$AI114),0),100))</f>
        <v>0</v>
      </c>
      <c r="AS114" s="1">
        <f ca="1">IF(COUNTIFS($J$7:$J$510,Table7[[#Headers],[Renewables Regulation]],$C$7:$C$510,$L114)&gt;0,0,MROUND(IFERROR(Z114*($P114/$AI114),0),100))</f>
        <v>0</v>
      </c>
      <c r="AT114" s="1">
        <f ca="1">IF(COUNTIFS($J$7:$J$510,Table7[[#Headers],[Flexibility Market Intelligence]],$C$7:$C$510,$L114)&gt;0,0,MROUND(IFERROR(AA114*($P114/$AI114),0),100))</f>
        <v>26900</v>
      </c>
      <c r="AU114" s="1">
        <f ca="1">IF(COUNTIFS($J$7:$J$510,Table7[[#Headers],[Flexibility RTM Analysis]],$C$7:$C$510,$L114)&gt;0,0,MROUND(IFERROR(AB114*($P114/$AI114),0),100))</f>
        <v>9500</v>
      </c>
      <c r="AV114" s="1">
        <f ca="1">IF(COUNTIFS($J$7:$J$510,Table7[[#Headers],[Flexibility Forecasts]],$C$7:$C$510,$L114)&gt;0,0,MROUND(IFERROR(AC114*($P114/$AI114),0),100))</f>
        <v>39200</v>
      </c>
      <c r="AW114" s="1">
        <f ca="1">IF(COUNTIFS($J$7:$J$510,Table7[[#Headers],[Flexibility Regulation]],$C$7:$C$510,$L114)&gt;0,0,MROUND(IFERROR(AD114*($P114/$AI114),0),100))</f>
        <v>31300</v>
      </c>
      <c r="AX114" s="1">
        <f ca="1">IF(COUNTIFS($J$7:$J$510,Table7[[#Headers],[Business Energy Essentials]],$C$7:$C$510,$L114)&gt;0,0,MROUND(IFERROR(AE114*($P114/$AI114),0),100))</f>
        <v>0</v>
      </c>
      <c r="AY114" s="1">
        <f ca="1">IF(COUNTIFS($J$7:$J$510,Table7[[#Headers],[Energy User RTM Analysis]],$C$7:$C$510,$L114)&gt;0,0,MROUND(IFERROR(AF114*($P114/$AI114),0),100))</f>
        <v>0</v>
      </c>
      <c r="AZ114" s="1">
        <f>IF(COUNTIFS($J$7:$J$510,Table7[[#Headers],[Energy User Forecasts]],$C$7:$C$510,$L114)&gt;0,0,MROUND(IFERROR(AG114*($P114/$AI114),0),100))</f>
        <v>0</v>
      </c>
      <c r="BA114" s="1">
        <f ca="1">IF(COUNTIFS($J$7:$J$510,Table7[[#Headers],[Energy User Regulation]],$C$7:$C$510,$L114)&gt;0,0,MROUND(IFERROR(AH114*($P114/$AI114),0),100))</f>
        <v>0</v>
      </c>
    </row>
    <row r="115" spans="2:53">
      <c r="B115" s="38" t="s">
        <v>2126</v>
      </c>
      <c r="C115" s="38" t="s">
        <v>963</v>
      </c>
      <c r="D115" s="38" t="s">
        <v>2040</v>
      </c>
      <c r="E115" s="38" t="s">
        <v>1799</v>
      </c>
      <c r="F115" s="63">
        <v>4500</v>
      </c>
      <c r="G115" s="38"/>
      <c r="H115" s="38" t="s">
        <v>1702</v>
      </c>
      <c r="I115" s="38" t="s">
        <v>2032</v>
      </c>
      <c r="J115" s="38" t="s">
        <v>20</v>
      </c>
      <c r="L115" s="1" t="str">
        <v>Laser Energy</v>
      </c>
      <c r="M115" s="1" t="str">
        <f t="shared" si="7"/>
        <v>Supply</v>
      </c>
      <c r="N115" s="109">
        <f t="shared" si="8"/>
        <v>50000</v>
      </c>
      <c r="O115" s="1">
        <f>IFERROR(IF(INDEX(Table3[[Total Spend]:[Total Spend]],MATCH(L115,Table3[[Company name]:[Company name]],0))&gt;N115,INDEX(Table3[[Total Spend]:[Total Spend]],MATCH(L115,Table3[[Company name]:[Company name]])),N115),50000)</f>
        <v>50000</v>
      </c>
      <c r="P115" s="109">
        <f t="shared" si="9"/>
        <v>50000</v>
      </c>
      <c r="Q115" s="103">
        <f t="shared" si="10"/>
        <v>1</v>
      </c>
      <c r="R115" s="1">
        <f ca="1">IFERROR(INDEX(INDIRECT("Table3[Column"&amp;R$9&amp;"]"),MATCH($L115,Table3[[Company name]:[Company name]],0)),0)</f>
        <v>8100</v>
      </c>
      <c r="S115" s="1">
        <f ca="1">IFERROR(INDEX(INDIRECT("Table3[Column"&amp;S$9&amp;"]"),MATCH($L115,Table3[[Company name]:[Company name]],0)),0)</f>
        <v>30600</v>
      </c>
      <c r="T115" s="1">
        <f ca="1">IFERROR(INDEX(INDIRECT("Table3[Column"&amp;T$9&amp;"]"),MATCH($L115,Table3[[Company name]:[Company name]],0)),0)</f>
        <v>53100</v>
      </c>
      <c r="U115" s="1">
        <f ca="1">IFERROR(INDEX(INDIRECT("Table3[Column"&amp;U$9&amp;"]"),MATCH($L115,Table3[[Company name]:[Company name]],0)),0)</f>
        <v>34200</v>
      </c>
      <c r="V115" s="1">
        <f ca="1">IFERROR(INDEX(INDIRECT("Table3[Column"&amp;V$9&amp;"]"),MATCH($L115,Table3[[Company name]:[Company name]],0)),0)</f>
        <v>0</v>
      </c>
      <c r="W115" s="1">
        <f ca="1">IFERROR(INDEX(INDIRECT("Table3[Column"&amp;W$9&amp;"]"),MATCH($L115,Table3[[Company name]:[Company name]],0)),0)</f>
        <v>0</v>
      </c>
      <c r="X115" s="1">
        <f ca="1">IFERROR(INDEX(INDIRECT("Table3[Column"&amp;X$9&amp;"]"),MATCH($L115,Table3[[Company name]:[Company name]],0)),0)</f>
        <v>0</v>
      </c>
      <c r="Y115" s="1">
        <f ca="1">IFERROR(INDEX(INDIRECT("Table3[Column"&amp;Y$9&amp;"]"),MATCH($L115,Table3[[Company name]:[Company name]],0)),0)</f>
        <v>0</v>
      </c>
      <c r="Z115" s="1">
        <f ca="1">IFERROR(INDEX(INDIRECT("Table3[Column"&amp;Z$9&amp;"]"),MATCH($L115,Table3[[Company name]:[Company name]],0)),0)</f>
        <v>0</v>
      </c>
      <c r="AA115" s="1">
        <f ca="1">IFERROR(INDEX(INDIRECT("Table3[Column"&amp;AA$9&amp;"]"),MATCH($L115,Table3[[Company name]:[Company name]],0)),0)</f>
        <v>0</v>
      </c>
      <c r="AB115" s="1">
        <f ca="1">IFERROR(INDEX(INDIRECT("Table3[Column"&amp;AB$9&amp;"]"),MATCH($L115,Table3[[Company name]:[Company name]],0)),0)</f>
        <v>0</v>
      </c>
      <c r="AC115" s="1">
        <f ca="1">IFERROR(INDEX(INDIRECT("Table3[Column"&amp;AC$9&amp;"]"),MATCH($L115,Table3[[Company name]:[Company name]],0)),0)</f>
        <v>0</v>
      </c>
      <c r="AD115" s="1">
        <f ca="1">IFERROR(INDEX(INDIRECT("Table3[Column"&amp;AD$9&amp;"]"),MATCH($L115,Table3[[Company name]:[Company name]],0)),0)</f>
        <v>0</v>
      </c>
      <c r="AE115" s="1">
        <f ca="1">IFERROR(INDEX(INDIRECT("Table3[Column"&amp;AE$9&amp;"]"),MATCH($L115,Table3[[Company name]:[Company name]],0)),0)</f>
        <v>0</v>
      </c>
      <c r="AF115" s="1">
        <f ca="1">IFERROR(INDEX(INDIRECT("Table3[Column"&amp;AF$9&amp;"]"),MATCH($L115,Table3[[Company name]:[Company name]],0)),0)</f>
        <v>11250</v>
      </c>
      <c r="AG115" s="1">
        <f ca="1">IFERROR(INDEX(INDIRECT("Table3[Column"&amp;AG$9&amp;"]"),MATCH($L115,Table3[[Company name]:[Company name]],0)),0)</f>
        <v>0</v>
      </c>
      <c r="AH115" s="1">
        <f ca="1">IFERROR(INDEX(INDIRECT("Table3[Column"&amp;AH$9&amp;"]"),MATCH($L115,Table3[[Company name]:[Company name]],0)),0)</f>
        <v>0</v>
      </c>
      <c r="AI115" s="1">
        <f t="shared" ca="1" si="11"/>
        <v>137250</v>
      </c>
      <c r="AK115" s="1">
        <f>IF(COUNTIFS($J$7:$J$510,Table7[[#Headers],[Industry Essentials]],$C$7:$C$510,$L115)&gt;0,0,MROUND(R115,100))</f>
        <v>0</v>
      </c>
      <c r="AL115" s="1">
        <f ca="1">IF(COUNTIFS($J$7:$J$510,Table7[[#Headers],[Energy Supply Market Intelligence]],$C$7:$C$510,$L115)&gt;0,0,MROUND(IFERROR(S115*($P115/$AI115),0),100))</f>
        <v>11100</v>
      </c>
      <c r="AM115" s="1">
        <f ca="1">IF(COUNTIFS($J$7:$J$510,Table7[[#Headers],[Energy Supply RTM Analysis]],$C$7:$C$510,$L115)&gt;0,0,MROUND(IFERROR(T115*($P115/$AI115),0),100))</f>
        <v>19300</v>
      </c>
      <c r="AN115" s="1">
        <f>IF(COUNTIFS($J$7:$J$510,Table7[[#Headers],[Energy Supply Forecasts]],$C$7:$C$510,$L115)&gt;0,0,MROUND(IFERROR(U115*($P115/$AI115),0),100))</f>
        <v>0</v>
      </c>
      <c r="AO115" s="1">
        <f ca="1">IF(COUNTIFS($J$7:$J$510,Table7[[#Headers],[Energy Supply Regulation]],$C$7:$C$510,$L115)&gt;0,0,MROUND(IFERROR(V115*($P115/$AI115),0),100))</f>
        <v>0</v>
      </c>
      <c r="AP115" s="1">
        <f ca="1">IF(COUNTIFS($J$7:$J$510,Table7[[#Headers],[Renewables Market Intelligence]],$C$7:$C$510,$L115)&gt;0,0,MROUND(IFERROR(W115*($P115/$AI115),0),100))</f>
        <v>0</v>
      </c>
      <c r="AQ115" s="1">
        <f>IF(COUNTIFS($J$7:$J$510,Table7[[#Headers],[Renewables RTM Analysis]],$C$7:$C$510,$L115)&gt;0,0,MROUND(IFERROR(X115*($P115/$AI115),0),100))</f>
        <v>0</v>
      </c>
      <c r="AR115" s="1">
        <f ca="1">IF(COUNTIFS($J$7:$J$510,Table7[[#Headers],[Renewables Forecasts]],$C$7:$C$510,$L115)&gt;0,0,MROUND(IFERROR(Y115*($P115/$AI115),0),100))</f>
        <v>0</v>
      </c>
      <c r="AS115" s="1">
        <f ca="1">IF(COUNTIFS($J$7:$J$510,Table7[[#Headers],[Renewables Regulation]],$C$7:$C$510,$L115)&gt;0,0,MROUND(IFERROR(Z115*($P115/$AI115),0),100))</f>
        <v>0</v>
      </c>
      <c r="AT115" s="1">
        <f ca="1">IF(COUNTIFS($J$7:$J$510,Table7[[#Headers],[Flexibility Market Intelligence]],$C$7:$C$510,$L115)&gt;0,0,MROUND(IFERROR(AA115*($P115/$AI115),0),100))</f>
        <v>0</v>
      </c>
      <c r="AU115" s="1">
        <f ca="1">IF(COUNTIFS($J$7:$J$510,Table7[[#Headers],[Flexibility RTM Analysis]],$C$7:$C$510,$L115)&gt;0,0,MROUND(IFERROR(AB115*($P115/$AI115),0),100))</f>
        <v>0</v>
      </c>
      <c r="AV115" s="1">
        <f ca="1">IF(COUNTIFS($J$7:$J$510,Table7[[#Headers],[Flexibility Forecasts]],$C$7:$C$510,$L115)&gt;0,0,MROUND(IFERROR(AC115*($P115/$AI115),0),100))</f>
        <v>0</v>
      </c>
      <c r="AW115" s="1">
        <f ca="1">IF(COUNTIFS($J$7:$J$510,Table7[[#Headers],[Flexibility Regulation]],$C$7:$C$510,$L115)&gt;0,0,MROUND(IFERROR(AD115*($P115/$AI115),0),100))</f>
        <v>0</v>
      </c>
      <c r="AX115" s="1">
        <f ca="1">IF(COUNTIFS($J$7:$J$510,Table7[[#Headers],[Business Energy Essentials]],$C$7:$C$510,$L115)&gt;0,0,MROUND(IFERROR(AE115*($P115/$AI115),0),100))</f>
        <v>0</v>
      </c>
      <c r="AY115" s="1">
        <f ca="1">IF(COUNTIFS($J$7:$J$510,Table7[[#Headers],[Energy User RTM Analysis]],$C$7:$C$510,$L115)&gt;0,0,MROUND(IFERROR(AF115*($P115/$AI115),0),100))</f>
        <v>4100</v>
      </c>
      <c r="AZ115" s="1">
        <f ca="1">IF(COUNTIFS($J$7:$J$510,Table7[[#Headers],[Energy User Forecasts]],$C$7:$C$510,$L115)&gt;0,0,MROUND(IFERROR(AG115*($P115/$AI115),0),100))</f>
        <v>0</v>
      </c>
      <c r="BA115" s="1">
        <f ca="1">IF(COUNTIFS($J$7:$J$510,Table7[[#Headers],[Energy User Regulation]],$C$7:$C$510,$L115)&gt;0,0,MROUND(IFERROR(AH115*($P115/$AI115),0),100))</f>
        <v>0</v>
      </c>
    </row>
    <row r="116" spans="2:53">
      <c r="B116" s="38" t="s">
        <v>2127</v>
      </c>
      <c r="C116" s="38" t="s">
        <v>351</v>
      </c>
      <c r="D116" s="38" t="s">
        <v>2128</v>
      </c>
      <c r="E116" s="38" t="s">
        <v>1827</v>
      </c>
      <c r="F116" s="63">
        <v>9650</v>
      </c>
      <c r="G116" s="38"/>
      <c r="H116" s="38" t="s">
        <v>1703</v>
      </c>
      <c r="I116" s="38" t="s">
        <v>1703</v>
      </c>
      <c r="J116" s="38" t="s">
        <v>29</v>
      </c>
      <c r="L116" s="1" t="str">
        <v>Last Mile Infrastructure Ltd</v>
      </c>
      <c r="M116" s="1" t="str">
        <f t="shared" si="7"/>
        <v>Supply</v>
      </c>
      <c r="N116" s="109">
        <f t="shared" si="8"/>
        <v>44200</v>
      </c>
      <c r="O116" s="1">
        <f>IFERROR(IF(INDEX(Table3[[Total Spend]:[Total Spend]],MATCH(L116,Table3[[Company name]:[Company name]],0))&gt;N116,INDEX(Table3[[Total Spend]:[Total Spend]],MATCH(L116,Table3[[Company name]:[Company name]])),N116),50000)</f>
        <v>44200</v>
      </c>
      <c r="P116" s="109">
        <f t="shared" si="9"/>
        <v>44200</v>
      </c>
      <c r="Q116" s="103">
        <f t="shared" si="10"/>
        <v>1</v>
      </c>
      <c r="R116" s="1">
        <f ca="1">IFERROR(INDEX(INDIRECT("Table3[Column"&amp;R$9&amp;"]"),MATCH($L116,Table3[[Company name]:[Company name]],0)),0)</f>
        <v>8100</v>
      </c>
      <c r="S116" s="1">
        <f ca="1">IFERROR(INDEX(INDIRECT("Table3[Column"&amp;S$9&amp;"]"),MATCH($L116,Table3[[Company name]:[Company name]],0)),0)</f>
        <v>0</v>
      </c>
      <c r="T116" s="1">
        <f ca="1">IFERROR(INDEX(INDIRECT("Table3[Column"&amp;T$9&amp;"]"),MATCH($L116,Table3[[Company name]:[Company name]],0)),0)</f>
        <v>0</v>
      </c>
      <c r="U116" s="1">
        <f ca="1">IFERROR(INDEX(INDIRECT("Table3[Column"&amp;U$9&amp;"]"),MATCH($L116,Table3[[Company name]:[Company name]],0)),0)</f>
        <v>0</v>
      </c>
      <c r="V116" s="1">
        <f ca="1">IFERROR(INDEX(INDIRECT("Table3[Column"&amp;V$9&amp;"]"),MATCH($L116,Table3[[Company name]:[Company name]],0)),0)</f>
        <v>0</v>
      </c>
      <c r="W116" s="1">
        <f ca="1">IFERROR(INDEX(INDIRECT("Table3[Column"&amp;W$9&amp;"]"),MATCH($L116,Table3[[Company name]:[Company name]],0)),0)</f>
        <v>0</v>
      </c>
      <c r="X116" s="1">
        <f ca="1">IFERROR(INDEX(INDIRECT("Table3[Column"&amp;X$9&amp;"]"),MATCH($L116,Table3[[Company name]:[Company name]],0)),0)</f>
        <v>0</v>
      </c>
      <c r="Y116" s="1">
        <f ca="1">IFERROR(INDEX(INDIRECT("Table3[Column"&amp;Y$9&amp;"]"),MATCH($L116,Table3[[Company name]:[Company name]],0)),0)</f>
        <v>0</v>
      </c>
      <c r="Z116" s="1">
        <f ca="1">IFERROR(INDEX(INDIRECT("Table3[Column"&amp;Z$9&amp;"]"),MATCH($L116,Table3[[Company name]:[Company name]],0)),0)</f>
        <v>0</v>
      </c>
      <c r="AA116" s="1">
        <f ca="1">IFERROR(INDEX(INDIRECT("Table3[Column"&amp;AA$9&amp;"]"),MATCH($L116,Table3[[Company name]:[Company name]],0)),0)</f>
        <v>0</v>
      </c>
      <c r="AB116" s="1">
        <f ca="1">IFERROR(INDEX(INDIRECT("Table3[Column"&amp;AB$9&amp;"]"),MATCH($L116,Table3[[Company name]:[Company name]],0)),0)</f>
        <v>0</v>
      </c>
      <c r="AC116" s="1">
        <f ca="1">IFERROR(INDEX(INDIRECT("Table3[Column"&amp;AC$9&amp;"]"),MATCH($L116,Table3[[Company name]:[Company name]],0)),0)</f>
        <v>0</v>
      </c>
      <c r="AD116" s="1">
        <f ca="1">IFERROR(INDEX(INDIRECT("Table3[Column"&amp;AD$9&amp;"]"),MATCH($L116,Table3[[Company name]:[Company name]],0)),0)</f>
        <v>0</v>
      </c>
      <c r="AE116" s="1">
        <f ca="1">IFERROR(INDEX(INDIRECT("Table3[Column"&amp;AE$9&amp;"]"),MATCH($L116,Table3[[Company name]:[Company name]],0)),0)</f>
        <v>0</v>
      </c>
      <c r="AF116" s="1">
        <f ca="1">IFERROR(INDEX(INDIRECT("Table3[Column"&amp;AF$9&amp;"]"),MATCH($L116,Table3[[Company name]:[Company name]],0)),0)</f>
        <v>0</v>
      </c>
      <c r="AG116" s="1">
        <f ca="1">IFERROR(INDEX(INDIRECT("Table3[Column"&amp;AG$9&amp;"]"),MATCH($L116,Table3[[Company name]:[Company name]],0)),0)</f>
        <v>0</v>
      </c>
      <c r="AH116" s="1">
        <f ca="1">IFERROR(INDEX(INDIRECT("Table3[Column"&amp;AH$9&amp;"]"),MATCH($L116,Table3[[Company name]:[Company name]],0)),0)</f>
        <v>0</v>
      </c>
      <c r="AI116" s="1">
        <f t="shared" ca="1" si="11"/>
        <v>8100</v>
      </c>
      <c r="AK116" s="1">
        <f>IF(COUNTIFS($J$7:$J$510,Table7[[#Headers],[Industry Essentials]],$C$7:$C$510,$L116)&gt;0,0,MROUND(R116,100))</f>
        <v>0</v>
      </c>
      <c r="AL116" s="1">
        <f ca="1">IF(COUNTIFS($J$7:$J$510,Table7[[#Headers],[Energy Supply Market Intelligence]],$C$7:$C$510,$L116)&gt;0,0,MROUND(IFERROR(S116*($P116/$AI116),0),100))</f>
        <v>0</v>
      </c>
      <c r="AM116" s="1">
        <f ca="1">IF(COUNTIFS($J$7:$J$510,Table7[[#Headers],[Energy Supply RTM Analysis]],$C$7:$C$510,$L116)&gt;0,0,MROUND(IFERROR(T116*($P116/$AI116),0),100))</f>
        <v>0</v>
      </c>
      <c r="AN116" s="1">
        <f ca="1">IF(COUNTIFS($J$7:$J$510,Table7[[#Headers],[Energy Supply Forecasts]],$C$7:$C$510,$L116)&gt;0,0,MROUND(IFERROR(U116*($P116/$AI116),0),100))</f>
        <v>0</v>
      </c>
      <c r="AO116" s="1">
        <f>IF(COUNTIFS($J$7:$J$510,Table7[[#Headers],[Energy Supply Regulation]],$C$7:$C$510,$L116)&gt;0,0,MROUND(IFERROR(V116*($P116/$AI116),0),100))</f>
        <v>0</v>
      </c>
      <c r="AP116" s="1">
        <f ca="1">IF(COUNTIFS($J$7:$J$510,Table7[[#Headers],[Renewables Market Intelligence]],$C$7:$C$510,$L116)&gt;0,0,MROUND(IFERROR(W116*($P116/$AI116),0),100))</f>
        <v>0</v>
      </c>
      <c r="AQ116" s="1">
        <f ca="1">IF(COUNTIFS($J$7:$J$510,Table7[[#Headers],[Renewables RTM Analysis]],$C$7:$C$510,$L116)&gt;0,0,MROUND(IFERROR(X116*($P116/$AI116),0),100))</f>
        <v>0</v>
      </c>
      <c r="AR116" s="1">
        <f ca="1">IF(COUNTIFS($J$7:$J$510,Table7[[#Headers],[Renewables Forecasts]],$C$7:$C$510,$L116)&gt;0,0,MROUND(IFERROR(Y116*($P116/$AI116),0),100))</f>
        <v>0</v>
      </c>
      <c r="AS116" s="1">
        <f ca="1">IF(COUNTIFS($J$7:$J$510,Table7[[#Headers],[Renewables Regulation]],$C$7:$C$510,$L116)&gt;0,0,MROUND(IFERROR(Z116*($P116/$AI116),0),100))</f>
        <v>0</v>
      </c>
      <c r="AT116" s="1">
        <f ca="1">IF(COUNTIFS($J$7:$J$510,Table7[[#Headers],[Flexibility Market Intelligence]],$C$7:$C$510,$L116)&gt;0,0,MROUND(IFERROR(AA116*($P116/$AI116),0),100))</f>
        <v>0</v>
      </c>
      <c r="AU116" s="1">
        <f ca="1">IF(COUNTIFS($J$7:$J$510,Table7[[#Headers],[Flexibility RTM Analysis]],$C$7:$C$510,$L116)&gt;0,0,MROUND(IFERROR(AB116*($P116/$AI116),0),100))</f>
        <v>0</v>
      </c>
      <c r="AV116" s="1">
        <f ca="1">IF(COUNTIFS($J$7:$J$510,Table7[[#Headers],[Flexibility Forecasts]],$C$7:$C$510,$L116)&gt;0,0,MROUND(IFERROR(AC116*($P116/$AI116),0),100))</f>
        <v>0</v>
      </c>
      <c r="AW116" s="1">
        <f ca="1">IF(COUNTIFS($J$7:$J$510,Table7[[#Headers],[Flexibility Regulation]],$C$7:$C$510,$L116)&gt;0,0,MROUND(IFERROR(AD116*($P116/$AI116),0),100))</f>
        <v>0</v>
      </c>
      <c r="AX116" s="1">
        <f ca="1">IF(COUNTIFS($J$7:$J$510,Table7[[#Headers],[Business Energy Essentials]],$C$7:$C$510,$L116)&gt;0,0,MROUND(IFERROR(AE116*($P116/$AI116),0),100))</f>
        <v>0</v>
      </c>
      <c r="AY116" s="1">
        <f>IF(COUNTIFS($J$7:$J$510,Table7[[#Headers],[Energy User RTM Analysis]],$C$7:$C$510,$L116)&gt;0,0,MROUND(IFERROR(AF116*($P116/$AI116),0),100))</f>
        <v>0</v>
      </c>
      <c r="AZ116" s="1">
        <f ca="1">IF(COUNTIFS($J$7:$J$510,Table7[[#Headers],[Energy User Forecasts]],$C$7:$C$510,$L116)&gt;0,0,MROUND(IFERROR(AG116*($P116/$AI116),0),100))</f>
        <v>0</v>
      </c>
      <c r="BA116" s="1">
        <f ca="1">IF(COUNTIFS($J$7:$J$510,Table7[[#Headers],[Energy User Regulation]],$C$7:$C$510,$L116)&gt;0,0,MROUND(IFERROR(AH116*($P116/$AI116),0),100))</f>
        <v>0</v>
      </c>
    </row>
    <row r="117" spans="2:53">
      <c r="B117" s="38" t="s">
        <v>2129</v>
      </c>
      <c r="C117" s="38" t="s">
        <v>1219</v>
      </c>
      <c r="D117" s="38" t="s">
        <v>2040</v>
      </c>
      <c r="E117" s="38" t="s">
        <v>1799</v>
      </c>
      <c r="F117" s="63">
        <v>7380</v>
      </c>
      <c r="G117" s="38"/>
      <c r="H117" s="38" t="s">
        <v>2032</v>
      </c>
      <c r="I117" s="38" t="s">
        <v>2032</v>
      </c>
      <c r="J117" s="38" t="s">
        <v>20</v>
      </c>
      <c r="L117" s="1" t="str">
        <v>Liberty Charge Limited T/a Believ</v>
      </c>
      <c r="M117" s="1" t="str">
        <f t="shared" si="7"/>
        <v>Energy User</v>
      </c>
      <c r="N117" s="109">
        <f t="shared" si="8"/>
        <v>22875</v>
      </c>
      <c r="O117" s="1">
        <f>IFERROR(IF(INDEX(Table3[[Total Spend]:[Total Spend]],MATCH(L117,Table3[[Company name]:[Company name]],0))&gt;N117,INDEX(Table3[[Total Spend]:[Total Spend]],MATCH(L117,Table3[[Company name]:[Company name]])),N117),50000)</f>
        <v>30600</v>
      </c>
      <c r="P117" s="109">
        <f t="shared" si="9"/>
        <v>7725</v>
      </c>
      <c r="Q117" s="103">
        <f t="shared" si="10"/>
        <v>0.74754901960784315</v>
      </c>
      <c r="R117" s="1">
        <f ca="1">IFERROR(INDEX(INDIRECT("Table3[Column"&amp;R$9&amp;"]"),MATCH($L117,Table3[[Company name]:[Company name]],0)),0)</f>
        <v>0</v>
      </c>
      <c r="S117" s="1">
        <f ca="1">IFERROR(INDEX(INDIRECT("Table3[Column"&amp;S$9&amp;"]"),MATCH($L117,Table3[[Company name]:[Company name]],0)),0)</f>
        <v>0</v>
      </c>
      <c r="T117" s="1">
        <f ca="1">IFERROR(INDEX(INDIRECT("Table3[Column"&amp;T$9&amp;"]"),MATCH($L117,Table3[[Company name]:[Company name]],0)),0)</f>
        <v>0</v>
      </c>
      <c r="U117" s="1">
        <f ca="1">IFERROR(INDEX(INDIRECT("Table3[Column"&amp;U$9&amp;"]"),MATCH($L117,Table3[[Company name]:[Company name]],0)),0)</f>
        <v>0</v>
      </c>
      <c r="V117" s="1">
        <f ca="1">IFERROR(INDEX(INDIRECT("Table3[Column"&amp;V$9&amp;"]"),MATCH($L117,Table3[[Company name]:[Company name]],0)),0)</f>
        <v>0</v>
      </c>
      <c r="W117" s="1">
        <f ca="1">IFERROR(INDEX(INDIRECT("Table3[Column"&amp;W$9&amp;"]"),MATCH($L117,Table3[[Company name]:[Company name]],0)),0)</f>
        <v>0</v>
      </c>
      <c r="X117" s="1">
        <f ca="1">IFERROR(INDEX(INDIRECT("Table3[Column"&amp;X$9&amp;"]"),MATCH($L117,Table3[[Company name]:[Company name]],0)),0)</f>
        <v>0</v>
      </c>
      <c r="Y117" s="1">
        <f ca="1">IFERROR(INDEX(INDIRECT("Table3[Column"&amp;Y$9&amp;"]"),MATCH($L117,Table3[[Company name]:[Company name]],0)),0)</f>
        <v>0</v>
      </c>
      <c r="Z117" s="1">
        <f ca="1">IFERROR(INDEX(INDIRECT("Table3[Column"&amp;Z$9&amp;"]"),MATCH($L117,Table3[[Company name]:[Company name]],0)),0)</f>
        <v>0</v>
      </c>
      <c r="AA117" s="1">
        <f ca="1">IFERROR(INDEX(INDIRECT("Table3[Column"&amp;AA$9&amp;"]"),MATCH($L117,Table3[[Company name]:[Company name]],0)),0)</f>
        <v>0</v>
      </c>
      <c r="AB117" s="1">
        <f ca="1">IFERROR(INDEX(INDIRECT("Table3[Column"&amp;AB$9&amp;"]"),MATCH($L117,Table3[[Company name]:[Company name]],0)),0)</f>
        <v>0</v>
      </c>
      <c r="AC117" s="1">
        <f ca="1">IFERROR(INDEX(INDIRECT("Table3[Column"&amp;AC$9&amp;"]"),MATCH($L117,Table3[[Company name]:[Company name]],0)),0)</f>
        <v>0</v>
      </c>
      <c r="AD117" s="1">
        <f ca="1">IFERROR(INDEX(INDIRECT("Table3[Column"&amp;AD$9&amp;"]"),MATCH($L117,Table3[[Company name]:[Company name]],0)),0)</f>
        <v>0</v>
      </c>
      <c r="AE117" s="1">
        <f ca="1">IFERROR(INDEX(INDIRECT("Table3[Column"&amp;AE$9&amp;"]"),MATCH($L117,Table3[[Company name]:[Company name]],0)),0)</f>
        <v>15300</v>
      </c>
      <c r="AF117" s="1">
        <f ca="1">IFERROR(INDEX(INDIRECT("Table3[Column"&amp;AF$9&amp;"]"),MATCH($L117,Table3[[Company name]:[Company name]],0)),0)</f>
        <v>0</v>
      </c>
      <c r="AG117" s="1">
        <f ca="1">IFERROR(INDEX(INDIRECT("Table3[Column"&amp;AG$9&amp;"]"),MATCH($L117,Table3[[Company name]:[Company name]],0)),0)</f>
        <v>27000</v>
      </c>
      <c r="AH117" s="1">
        <f ca="1">IFERROR(INDEX(INDIRECT("Table3[Column"&amp;AH$9&amp;"]"),MATCH($L117,Table3[[Company name]:[Company name]],0)),0)</f>
        <v>0</v>
      </c>
      <c r="AI117" s="1">
        <f t="shared" ca="1" si="11"/>
        <v>42300</v>
      </c>
      <c r="AK117" s="1">
        <f>IF(COUNTIFS($J$7:$J$510,Table7[[#Headers],[Industry Essentials]],$C$7:$C$510,$L117)&gt;0,0,MROUND(R117,100))</f>
        <v>0</v>
      </c>
      <c r="AL117" s="1">
        <f ca="1">IF(COUNTIFS($J$7:$J$510,Table7[[#Headers],[Energy Supply Market Intelligence]],$C$7:$C$510,$L117)&gt;0,0,MROUND(IFERROR(S117*($P117/$AI117),0),100))</f>
        <v>0</v>
      </c>
      <c r="AM117" s="1">
        <f ca="1">IF(COUNTIFS($J$7:$J$510,Table7[[#Headers],[Energy Supply RTM Analysis]],$C$7:$C$510,$L117)&gt;0,0,MROUND(IFERROR(T117*($P117/$AI117),0),100))</f>
        <v>0</v>
      </c>
      <c r="AN117" s="1">
        <f ca="1">IF(COUNTIFS($J$7:$J$510,Table7[[#Headers],[Energy Supply Forecasts]],$C$7:$C$510,$L117)&gt;0,0,MROUND(IFERROR(U117*($P117/$AI117),0),100))</f>
        <v>0</v>
      </c>
      <c r="AO117" s="1">
        <f ca="1">IF(COUNTIFS($J$7:$J$510,Table7[[#Headers],[Energy Supply Regulation]],$C$7:$C$510,$L117)&gt;0,0,MROUND(IFERROR(V117*($P117/$AI117),0),100))</f>
        <v>0</v>
      </c>
      <c r="AP117" s="1">
        <f ca="1">IF(COUNTIFS($J$7:$J$510,Table7[[#Headers],[Renewables Market Intelligence]],$C$7:$C$510,$L117)&gt;0,0,MROUND(IFERROR(W117*($P117/$AI117),0),100))</f>
        <v>0</v>
      </c>
      <c r="AQ117" s="1">
        <f ca="1">IF(COUNTIFS($J$7:$J$510,Table7[[#Headers],[Renewables RTM Analysis]],$C$7:$C$510,$L117)&gt;0,0,MROUND(IFERROR(X117*($P117/$AI117),0),100))</f>
        <v>0</v>
      </c>
      <c r="AR117" s="1">
        <f ca="1">IF(COUNTIFS($J$7:$J$510,Table7[[#Headers],[Renewables Forecasts]],$C$7:$C$510,$L117)&gt;0,0,MROUND(IFERROR(Y117*($P117/$AI117),0),100))</f>
        <v>0</v>
      </c>
      <c r="AS117" s="1">
        <f ca="1">IF(COUNTIFS($J$7:$J$510,Table7[[#Headers],[Renewables Regulation]],$C$7:$C$510,$L117)&gt;0,0,MROUND(IFERROR(Z117*($P117/$AI117),0),100))</f>
        <v>0</v>
      </c>
      <c r="AT117" s="1">
        <f ca="1">IF(COUNTIFS($J$7:$J$510,Table7[[#Headers],[Flexibility Market Intelligence]],$C$7:$C$510,$L117)&gt;0,0,MROUND(IFERROR(AA117*($P117/$AI117),0),100))</f>
        <v>0</v>
      </c>
      <c r="AU117" s="1">
        <f ca="1">IF(COUNTIFS($J$7:$J$510,Table7[[#Headers],[Flexibility RTM Analysis]],$C$7:$C$510,$L117)&gt;0,0,MROUND(IFERROR(AB117*($P117/$AI117),0),100))</f>
        <v>0</v>
      </c>
      <c r="AV117" s="1">
        <f ca="1">IF(COUNTIFS($J$7:$J$510,Table7[[#Headers],[Flexibility Forecasts]],$C$7:$C$510,$L117)&gt;0,0,MROUND(IFERROR(AC117*($P117/$AI117),0),100))</f>
        <v>0</v>
      </c>
      <c r="AW117" s="1">
        <f ca="1">IF(COUNTIFS($J$7:$J$510,Table7[[#Headers],[Flexibility Regulation]],$C$7:$C$510,$L117)&gt;0,0,MROUND(IFERROR(AD117*($P117/$AI117),0),100))</f>
        <v>0</v>
      </c>
      <c r="AX117" s="1">
        <f ca="1">IF(COUNTIFS($J$7:$J$510,Table7[[#Headers],[Business Energy Essentials]],$C$7:$C$510,$L117)&gt;0,0,MROUND(IFERROR(AE117*($P117/$AI117),0),100))</f>
        <v>2800</v>
      </c>
      <c r="AY117" s="1">
        <f ca="1">IF(COUNTIFS($J$7:$J$510,Table7[[#Headers],[Energy User RTM Analysis]],$C$7:$C$510,$L117)&gt;0,0,MROUND(IFERROR(AF117*($P117/$AI117),0),100))</f>
        <v>0</v>
      </c>
      <c r="AZ117" s="1">
        <f>IF(COUNTIFS($J$7:$J$510,Table7[[#Headers],[Energy User Forecasts]],$C$7:$C$510,$L117)&gt;0,0,MROUND(IFERROR(AG117*($P117/$AI117),0),100))</f>
        <v>0</v>
      </c>
      <c r="BA117" s="1">
        <f ca="1">IF(COUNTIFS($J$7:$J$510,Table7[[#Headers],[Energy User Regulation]],$C$7:$C$510,$L117)&gt;0,0,MROUND(IFERROR(AH117*($P117/$AI117),0),100))</f>
        <v>0</v>
      </c>
    </row>
    <row r="118" spans="2:53">
      <c r="B118" s="38" t="s">
        <v>2129</v>
      </c>
      <c r="C118" s="38" t="s">
        <v>1219</v>
      </c>
      <c r="D118" s="38" t="s">
        <v>2086</v>
      </c>
      <c r="E118" s="38" t="s">
        <v>1843</v>
      </c>
      <c r="F118" s="63">
        <v>9430.0000000000018</v>
      </c>
      <c r="G118" s="38"/>
      <c r="H118" s="38" t="s">
        <v>2032</v>
      </c>
      <c r="I118" s="38" t="s">
        <v>2031</v>
      </c>
      <c r="J118" s="38" t="s">
        <v>22</v>
      </c>
      <c r="L118" s="1" t="str">
        <v>Low Carbon Contracts Company Ltd</v>
      </c>
      <c r="M118" s="1" t="str">
        <f t="shared" si="7"/>
        <v>Renewables</v>
      </c>
      <c r="N118" s="109">
        <f t="shared" si="8"/>
        <v>12000</v>
      </c>
      <c r="O118" s="1">
        <f>IFERROR(IF(INDEX(Table3[[Total Spend]:[Total Spend]],MATCH(L118,Table3[[Company name]:[Company name]],0))&gt;N118,INDEX(Table3[[Total Spend]:[Total Spend]],MATCH(L118,Table3[[Company name]:[Company name]])),N118),50000)</f>
        <v>12000</v>
      </c>
      <c r="P118" s="109">
        <f t="shared" si="9"/>
        <v>12000</v>
      </c>
      <c r="Q118" s="103">
        <f t="shared" si="10"/>
        <v>1</v>
      </c>
      <c r="R118" s="1">
        <f ca="1">IFERROR(INDEX(INDIRECT("Table3[Column"&amp;R$9&amp;"]"),MATCH($L118,Table3[[Company name]:[Company name]],0)),0)</f>
        <v>10800</v>
      </c>
      <c r="S118" s="1">
        <f ca="1">IFERROR(INDEX(INDIRECT("Table3[Column"&amp;S$9&amp;"]"),MATCH($L118,Table3[[Company name]:[Company name]],0)),0)</f>
        <v>0</v>
      </c>
      <c r="T118" s="1">
        <f ca="1">IFERROR(INDEX(INDIRECT("Table3[Column"&amp;T$9&amp;"]"),MATCH($L118,Table3[[Company name]:[Company name]],0)),0)</f>
        <v>0</v>
      </c>
      <c r="U118" s="1">
        <f ca="1">IFERROR(INDEX(INDIRECT("Table3[Column"&amp;U$9&amp;"]"),MATCH($L118,Table3[[Company name]:[Company name]],0)),0)</f>
        <v>0</v>
      </c>
      <c r="V118" s="1">
        <f ca="1">IFERROR(INDEX(INDIRECT("Table3[Column"&amp;V$9&amp;"]"),MATCH($L118,Table3[[Company name]:[Company name]],0)),0)</f>
        <v>0</v>
      </c>
      <c r="W118" s="1">
        <f ca="1">IFERROR(INDEX(INDIRECT("Table3[Column"&amp;W$9&amp;"]"),MATCH($L118,Table3[[Company name]:[Company name]],0)),0)</f>
        <v>0</v>
      </c>
      <c r="X118" s="1">
        <f ca="1">IFERROR(INDEX(INDIRECT("Table3[Column"&amp;X$9&amp;"]"),MATCH($L118,Table3[[Company name]:[Company name]],0)),0)</f>
        <v>0</v>
      </c>
      <c r="Y118" s="1">
        <f ca="1">IFERROR(INDEX(INDIRECT("Table3[Column"&amp;Y$9&amp;"]"),MATCH($L118,Table3[[Company name]:[Company name]],0)),0)</f>
        <v>0</v>
      </c>
      <c r="Z118" s="1">
        <f ca="1">IFERROR(INDEX(INDIRECT("Table3[Column"&amp;Z$9&amp;"]"),MATCH($L118,Table3[[Company name]:[Company name]],0)),0)</f>
        <v>0</v>
      </c>
      <c r="AA118" s="1">
        <f ca="1">IFERROR(INDEX(INDIRECT("Table3[Column"&amp;AA$9&amp;"]"),MATCH($L118,Table3[[Company name]:[Company name]],0)),0)</f>
        <v>0</v>
      </c>
      <c r="AB118" s="1">
        <f ca="1">IFERROR(INDEX(INDIRECT("Table3[Column"&amp;AB$9&amp;"]"),MATCH($L118,Table3[[Company name]:[Company name]],0)),0)</f>
        <v>0</v>
      </c>
      <c r="AC118" s="1">
        <f ca="1">IFERROR(INDEX(INDIRECT("Table3[Column"&amp;AC$9&amp;"]"),MATCH($L118,Table3[[Company name]:[Company name]],0)),0)</f>
        <v>0</v>
      </c>
      <c r="AD118" s="1">
        <f ca="1">IFERROR(INDEX(INDIRECT("Table3[Column"&amp;AD$9&amp;"]"),MATCH($L118,Table3[[Company name]:[Company name]],0)),0)</f>
        <v>0</v>
      </c>
      <c r="AE118" s="1">
        <f ca="1">IFERROR(INDEX(INDIRECT("Table3[Column"&amp;AE$9&amp;"]"),MATCH($L118,Table3[[Company name]:[Company name]],0)),0)</f>
        <v>0</v>
      </c>
      <c r="AF118" s="1">
        <f ca="1">IFERROR(INDEX(INDIRECT("Table3[Column"&amp;AF$9&amp;"]"),MATCH($L118,Table3[[Company name]:[Company name]],0)),0)</f>
        <v>0</v>
      </c>
      <c r="AG118" s="1">
        <f ca="1">IFERROR(INDEX(INDIRECT("Table3[Column"&amp;AG$9&amp;"]"),MATCH($L118,Table3[[Company name]:[Company name]],0)),0)</f>
        <v>0</v>
      </c>
      <c r="AH118" s="1">
        <f ca="1">IFERROR(INDEX(INDIRECT("Table3[Column"&amp;AH$9&amp;"]"),MATCH($L118,Table3[[Company name]:[Company name]],0)),0)</f>
        <v>0</v>
      </c>
      <c r="AI118" s="1">
        <f t="shared" ca="1" si="11"/>
        <v>10800</v>
      </c>
      <c r="AK118" s="1">
        <f>IF(COUNTIFS($J$7:$J$510,Table7[[#Headers],[Industry Essentials]],$C$7:$C$510,$L118)&gt;0,0,MROUND(R118,100))</f>
        <v>0</v>
      </c>
      <c r="AL118" s="1">
        <f ca="1">IF(COUNTIFS($J$7:$J$510,Table7[[#Headers],[Energy Supply Market Intelligence]],$C$7:$C$510,$L118)&gt;0,0,MROUND(IFERROR(S118*($P118/$AI118),0),100))</f>
        <v>0</v>
      </c>
      <c r="AM118" s="1">
        <f ca="1">IF(COUNTIFS($J$7:$J$510,Table7[[#Headers],[Energy Supply RTM Analysis]],$C$7:$C$510,$L118)&gt;0,0,MROUND(IFERROR(T118*($P118/$AI118),0),100))</f>
        <v>0</v>
      </c>
      <c r="AN118" s="1">
        <f ca="1">IF(COUNTIFS($J$7:$J$510,Table7[[#Headers],[Energy Supply Forecasts]],$C$7:$C$510,$L118)&gt;0,0,MROUND(IFERROR(U118*($P118/$AI118),0),100))</f>
        <v>0</v>
      </c>
      <c r="AO118" s="1">
        <f ca="1">IF(COUNTIFS($J$7:$J$510,Table7[[#Headers],[Energy Supply Regulation]],$C$7:$C$510,$L118)&gt;0,0,MROUND(IFERROR(V118*($P118/$AI118),0),100))</f>
        <v>0</v>
      </c>
      <c r="AP118" s="1">
        <f ca="1">IF(COUNTIFS($J$7:$J$510,Table7[[#Headers],[Renewables Market Intelligence]],$C$7:$C$510,$L118)&gt;0,0,MROUND(IFERROR(W118*($P118/$AI118),0),100))</f>
        <v>0</v>
      </c>
      <c r="AQ118" s="1">
        <f ca="1">IF(COUNTIFS($J$7:$J$510,Table7[[#Headers],[Renewables RTM Analysis]],$C$7:$C$510,$L118)&gt;0,0,MROUND(IFERROR(X118*($P118/$AI118),0),100))</f>
        <v>0</v>
      </c>
      <c r="AR118" s="1">
        <f ca="1">IF(COUNTIFS($J$7:$J$510,Table7[[#Headers],[Renewables Forecasts]],$C$7:$C$510,$L118)&gt;0,0,MROUND(IFERROR(Y118*($P118/$AI118),0),100))</f>
        <v>0</v>
      </c>
      <c r="AS118" s="1">
        <f ca="1">IF(COUNTIFS($J$7:$J$510,Table7[[#Headers],[Renewables Regulation]],$C$7:$C$510,$L118)&gt;0,0,MROUND(IFERROR(Z118*($P118/$AI118),0),100))</f>
        <v>0</v>
      </c>
      <c r="AT118" s="1">
        <f ca="1">IF(COUNTIFS($J$7:$J$510,Table7[[#Headers],[Flexibility Market Intelligence]],$C$7:$C$510,$L118)&gt;0,0,MROUND(IFERROR(AA118*($P118/$AI118),0),100))</f>
        <v>0</v>
      </c>
      <c r="AU118" s="1">
        <f ca="1">IF(COUNTIFS($J$7:$J$510,Table7[[#Headers],[Flexibility RTM Analysis]],$C$7:$C$510,$L118)&gt;0,0,MROUND(IFERROR(AB118*($P118/$AI118),0),100))</f>
        <v>0</v>
      </c>
      <c r="AV118" s="1">
        <f ca="1">IF(COUNTIFS($J$7:$J$510,Table7[[#Headers],[Flexibility Forecasts]],$C$7:$C$510,$L118)&gt;0,0,MROUND(IFERROR(AC118*($P118/$AI118),0),100))</f>
        <v>0</v>
      </c>
      <c r="AW118" s="1">
        <f ca="1">IF(COUNTIFS($J$7:$J$510,Table7[[#Headers],[Flexibility Regulation]],$C$7:$C$510,$L118)&gt;0,0,MROUND(IFERROR(AD118*($P118/$AI118),0),100))</f>
        <v>0</v>
      </c>
      <c r="AX118" s="1">
        <f ca="1">IF(COUNTIFS($J$7:$J$510,Table7[[#Headers],[Business Energy Essentials]],$C$7:$C$510,$L118)&gt;0,0,MROUND(IFERROR(AE118*($P118/$AI118),0),100))</f>
        <v>0</v>
      </c>
      <c r="AY118" s="1">
        <f ca="1">IF(COUNTIFS($J$7:$J$510,Table7[[#Headers],[Energy User RTM Analysis]],$C$7:$C$510,$L118)&gt;0,0,MROUND(IFERROR(AF118*($P118/$AI118),0),100))</f>
        <v>0</v>
      </c>
      <c r="AZ118" s="1">
        <f ca="1">IF(COUNTIFS($J$7:$J$510,Table7[[#Headers],[Energy User Forecasts]],$C$7:$C$510,$L118)&gt;0,0,MROUND(IFERROR(AG118*($P118/$AI118),0),100))</f>
        <v>0</v>
      </c>
      <c r="BA118" s="1">
        <f ca="1">IF(COUNTIFS($J$7:$J$510,Table7[[#Headers],[Energy User Regulation]],$C$7:$C$510,$L118)&gt;0,0,MROUND(IFERROR(AH118*($P118/$AI118),0),100))</f>
        <v>0</v>
      </c>
    </row>
    <row r="119" spans="2:53">
      <c r="B119" s="38" t="s">
        <v>2130</v>
      </c>
      <c r="C119" s="38" t="s">
        <v>965</v>
      </c>
      <c r="D119" s="38" t="s">
        <v>2040</v>
      </c>
      <c r="E119" s="38" t="s">
        <v>1799</v>
      </c>
      <c r="F119" s="63">
        <v>9000</v>
      </c>
      <c r="G119" s="38"/>
      <c r="H119" s="38" t="s">
        <v>2032</v>
      </c>
      <c r="I119" s="38" t="s">
        <v>2032</v>
      </c>
      <c r="J119" s="38" t="s">
        <v>20</v>
      </c>
      <c r="L119" s="1" t="str">
        <v>Low Carbon Ltd</v>
      </c>
      <c r="M119" s="1" t="str">
        <f t="shared" si="7"/>
        <v>Renewables</v>
      </c>
      <c r="N119" s="109">
        <f t="shared" si="8"/>
        <v>9975</v>
      </c>
      <c r="O119" s="1">
        <f>IFERROR(IF(INDEX(Table3[[Total Spend]:[Total Spend]],MATCH(L119,Table3[[Company name]:[Company name]],0))&gt;N119,INDEX(Table3[[Total Spend]:[Total Spend]],MATCH(L119,Table3[[Company name]:[Company name]])),N119),50000)</f>
        <v>10000</v>
      </c>
      <c r="P119" s="109">
        <f t="shared" si="9"/>
        <v>25</v>
      </c>
      <c r="Q119" s="103">
        <f t="shared" si="10"/>
        <v>0.99750000000000005</v>
      </c>
      <c r="R119" s="1">
        <f ca="1">IFERROR(INDEX(INDIRECT("Table3[Column"&amp;R$9&amp;"]"),MATCH($L119,Table3[[Company name]:[Company name]],0)),0)</f>
        <v>8100</v>
      </c>
      <c r="S119" s="1">
        <f ca="1">IFERROR(INDEX(INDIRECT("Table3[Column"&amp;S$9&amp;"]"),MATCH($L119,Table3[[Company name]:[Company name]],0)),0)</f>
        <v>0</v>
      </c>
      <c r="T119" s="1">
        <f ca="1">IFERROR(INDEX(INDIRECT("Table3[Column"&amp;T$9&amp;"]"),MATCH($L119,Table3[[Company name]:[Company name]],0)),0)</f>
        <v>0</v>
      </c>
      <c r="U119" s="1">
        <f ca="1">IFERROR(INDEX(INDIRECT("Table3[Column"&amp;U$9&amp;"]"),MATCH($L119,Table3[[Company name]:[Company name]],0)),0)</f>
        <v>0</v>
      </c>
      <c r="V119" s="1">
        <f ca="1">IFERROR(INDEX(INDIRECT("Table3[Column"&amp;V$9&amp;"]"),MATCH($L119,Table3[[Company name]:[Company name]],0)),0)</f>
        <v>0</v>
      </c>
      <c r="W119" s="1">
        <f ca="1">IFERROR(INDEX(INDIRECT("Table3[Column"&amp;W$9&amp;"]"),MATCH($L119,Table3[[Company name]:[Company name]],0)),0)</f>
        <v>17100</v>
      </c>
      <c r="X119" s="1">
        <f ca="1">IFERROR(INDEX(INDIRECT("Table3[Column"&amp;X$9&amp;"]"),MATCH($L119,Table3[[Company name]:[Company name]],0)),0)</f>
        <v>15300</v>
      </c>
      <c r="Y119" s="1">
        <f ca="1">IFERROR(INDEX(INDIRECT("Table3[Column"&amp;Y$9&amp;"]"),MATCH($L119,Table3[[Company name]:[Company name]],0)),0)</f>
        <v>42300</v>
      </c>
      <c r="Z119" s="1">
        <f ca="1">IFERROR(INDEX(INDIRECT("Table3[Column"&amp;Z$9&amp;"]"),MATCH($L119,Table3[[Company name]:[Company name]],0)),0)</f>
        <v>18900</v>
      </c>
      <c r="AA119" s="1">
        <f ca="1">IFERROR(INDEX(INDIRECT("Table3[Column"&amp;AA$9&amp;"]"),MATCH($L119,Table3[[Company name]:[Company name]],0)),0)</f>
        <v>21600</v>
      </c>
      <c r="AB119" s="1">
        <f ca="1">IFERROR(INDEX(INDIRECT("Table3[Column"&amp;AB$9&amp;"]"),MATCH($L119,Table3[[Company name]:[Company name]],0)),0)</f>
        <v>7650</v>
      </c>
      <c r="AC119" s="1">
        <f ca="1">IFERROR(INDEX(INDIRECT("Table3[Column"&amp;AC$9&amp;"]"),MATCH($L119,Table3[[Company name]:[Company name]],0)),0)</f>
        <v>31500</v>
      </c>
      <c r="AD119" s="1">
        <f ca="1">IFERROR(INDEX(INDIRECT("Table3[Column"&amp;AD$9&amp;"]"),MATCH($L119,Table3[[Company name]:[Company name]],0)),0)</f>
        <v>25200</v>
      </c>
      <c r="AE119" s="1">
        <f ca="1">IFERROR(INDEX(INDIRECT("Table3[Column"&amp;AE$9&amp;"]"),MATCH($L119,Table3[[Company name]:[Company name]],0)),0)</f>
        <v>0</v>
      </c>
      <c r="AF119" s="1">
        <f ca="1">IFERROR(INDEX(INDIRECT("Table3[Column"&amp;AF$9&amp;"]"),MATCH($L119,Table3[[Company name]:[Company name]],0)),0)</f>
        <v>0</v>
      </c>
      <c r="AG119" s="1">
        <f ca="1">IFERROR(INDEX(INDIRECT("Table3[Column"&amp;AG$9&amp;"]"),MATCH($L119,Table3[[Company name]:[Company name]],0)),0)</f>
        <v>0</v>
      </c>
      <c r="AH119" s="1">
        <f ca="1">IFERROR(INDEX(INDIRECT("Table3[Column"&amp;AH$9&amp;"]"),MATCH($L119,Table3[[Company name]:[Company name]],0)),0)</f>
        <v>0</v>
      </c>
      <c r="AI119" s="1">
        <f t="shared" ca="1" si="11"/>
        <v>187650</v>
      </c>
      <c r="AK119" s="1">
        <f>IF(COUNTIFS($J$7:$J$510,Table7[[#Headers],[Industry Essentials]],$C$7:$C$510,$L119)&gt;0,0,MROUND(R119,100))</f>
        <v>0</v>
      </c>
      <c r="AL119" s="1">
        <f ca="1">IF(COUNTIFS($J$7:$J$510,Table7[[#Headers],[Energy Supply Market Intelligence]],$C$7:$C$510,$L119)&gt;0,0,MROUND(IFERROR(S119*($P119/$AI119),0),100))</f>
        <v>0</v>
      </c>
      <c r="AM119" s="1">
        <f ca="1">IF(COUNTIFS($J$7:$J$510,Table7[[#Headers],[Energy Supply RTM Analysis]],$C$7:$C$510,$L119)&gt;0,0,MROUND(IFERROR(T119*($P119/$AI119),0),100))</f>
        <v>0</v>
      </c>
      <c r="AN119" s="1">
        <f ca="1">IF(COUNTIFS($J$7:$J$510,Table7[[#Headers],[Energy Supply Forecasts]],$C$7:$C$510,$L119)&gt;0,0,MROUND(IFERROR(U119*($P119/$AI119),0),100))</f>
        <v>0</v>
      </c>
      <c r="AO119" s="1">
        <f ca="1">IF(COUNTIFS($J$7:$J$510,Table7[[#Headers],[Energy Supply Regulation]],$C$7:$C$510,$L119)&gt;0,0,MROUND(IFERROR(V119*($P119/$AI119),0),100))</f>
        <v>0</v>
      </c>
      <c r="AP119" s="1">
        <f ca="1">IF(COUNTIFS($J$7:$J$510,Table7[[#Headers],[Renewables Market Intelligence]],$C$7:$C$510,$L119)&gt;0,0,MROUND(IFERROR(W119*($P119/$AI119),0),100))</f>
        <v>0</v>
      </c>
      <c r="AQ119" s="1">
        <f ca="1">IF(COUNTIFS($J$7:$J$510,Table7[[#Headers],[Renewables RTM Analysis]],$C$7:$C$510,$L119)&gt;0,0,MROUND(IFERROR(X119*($P119/$AI119),0),100))</f>
        <v>0</v>
      </c>
      <c r="AR119" s="1">
        <f ca="1">IF(COUNTIFS($J$7:$J$510,Table7[[#Headers],[Renewables Forecasts]],$C$7:$C$510,$L119)&gt;0,0,MROUND(IFERROR(Y119*($P119/$AI119),0),100))</f>
        <v>0</v>
      </c>
      <c r="AS119" s="1">
        <f ca="1">IF(COUNTIFS($J$7:$J$510,Table7[[#Headers],[Renewables Regulation]],$C$7:$C$510,$L119)&gt;0,0,MROUND(IFERROR(Z119*($P119/$AI119),0),100))</f>
        <v>0</v>
      </c>
      <c r="AT119" s="1">
        <f ca="1">IF(COUNTIFS($J$7:$J$510,Table7[[#Headers],[Flexibility Market Intelligence]],$C$7:$C$510,$L119)&gt;0,0,MROUND(IFERROR(AA119*($P119/$AI119),0),100))</f>
        <v>0</v>
      </c>
      <c r="AU119" s="1">
        <f ca="1">IF(COUNTIFS($J$7:$J$510,Table7[[#Headers],[Flexibility RTM Analysis]],$C$7:$C$510,$L119)&gt;0,0,MROUND(IFERROR(AB119*($P119/$AI119),0),100))</f>
        <v>0</v>
      </c>
      <c r="AV119" s="1">
        <f ca="1">IF(COUNTIFS($J$7:$J$510,Table7[[#Headers],[Flexibility Forecasts]],$C$7:$C$510,$L119)&gt;0,0,MROUND(IFERROR(AC119*($P119/$AI119),0),100))</f>
        <v>0</v>
      </c>
      <c r="AW119" s="1">
        <f ca="1">IF(COUNTIFS($J$7:$J$510,Table7[[#Headers],[Flexibility Regulation]],$C$7:$C$510,$L119)&gt;0,0,MROUND(IFERROR(AD119*($P119/$AI119),0),100))</f>
        <v>0</v>
      </c>
      <c r="AX119" s="1">
        <f ca="1">IF(COUNTIFS($J$7:$J$510,Table7[[#Headers],[Business Energy Essentials]],$C$7:$C$510,$L119)&gt;0,0,MROUND(IFERROR(AE119*($P119/$AI119),0),100))</f>
        <v>0</v>
      </c>
      <c r="AY119" s="1">
        <f ca="1">IF(COUNTIFS($J$7:$J$510,Table7[[#Headers],[Energy User RTM Analysis]],$C$7:$C$510,$L119)&gt;0,0,MROUND(IFERROR(AF119*($P119/$AI119),0),100))</f>
        <v>0</v>
      </c>
      <c r="AZ119" s="1">
        <f ca="1">IF(COUNTIFS($J$7:$J$510,Table7[[#Headers],[Energy User Forecasts]],$C$7:$C$510,$L119)&gt;0,0,MROUND(IFERROR(AG119*($P119/$AI119),0),100))</f>
        <v>0</v>
      </c>
      <c r="BA119" s="1">
        <f ca="1">IF(COUNTIFS($J$7:$J$510,Table7[[#Headers],[Energy User Regulation]],$C$7:$C$510,$L119)&gt;0,0,MROUND(IFERROR(AH119*($P119/$AI119),0),100))</f>
        <v>0</v>
      </c>
    </row>
    <row r="120" spans="2:53">
      <c r="B120" s="38" t="s">
        <v>2131</v>
      </c>
      <c r="C120" s="38" t="s">
        <v>966</v>
      </c>
      <c r="D120" s="38" t="s">
        <v>2040</v>
      </c>
      <c r="E120" s="38" t="s">
        <v>1799</v>
      </c>
      <c r="F120" s="63">
        <v>8550</v>
      </c>
      <c r="G120" s="38"/>
      <c r="H120" s="38" t="s">
        <v>2032</v>
      </c>
      <c r="I120" s="38" t="s">
        <v>2032</v>
      </c>
      <c r="J120" s="38" t="s">
        <v>20</v>
      </c>
      <c r="L120" s="1" t="str">
        <v>Macquarie Energy Leasing Limited</v>
      </c>
      <c r="M120" s="1" t="str">
        <f t="shared" si="7"/>
        <v>Supply</v>
      </c>
      <c r="N120" s="109">
        <f t="shared" si="8"/>
        <v>18150</v>
      </c>
      <c r="O120" s="1">
        <f>IFERROR(IF(INDEX(Table3[[Total Spend]:[Total Spend]],MATCH(L120,Table3[[Company name]:[Company name]],0))&gt;N120,INDEX(Table3[[Total Spend]:[Total Spend]],MATCH(L120,Table3[[Company name]:[Company name]])),N120),50000)</f>
        <v>10000</v>
      </c>
      <c r="P120" s="109">
        <f t="shared" si="9"/>
        <v>18150</v>
      </c>
      <c r="Q120" s="103">
        <f t="shared" si="10"/>
        <v>1</v>
      </c>
      <c r="R120" s="1">
        <f ca="1">IFERROR(INDEX(INDIRECT("Table3[Column"&amp;R$9&amp;"]"),MATCH($L120,Table3[[Company name]:[Company name]],0)),0)</f>
        <v>10800</v>
      </c>
      <c r="S120" s="1">
        <f ca="1">IFERROR(INDEX(INDIRECT("Table3[Column"&amp;S$9&amp;"]"),MATCH($L120,Table3[[Company name]:[Company name]],0)),0)</f>
        <v>0</v>
      </c>
      <c r="T120" s="1">
        <f ca="1">IFERROR(INDEX(INDIRECT("Table3[Column"&amp;T$9&amp;"]"),MATCH($L120,Table3[[Company name]:[Company name]],0)),0)</f>
        <v>0</v>
      </c>
      <c r="U120" s="1">
        <f ca="1">IFERROR(INDEX(INDIRECT("Table3[Column"&amp;U$9&amp;"]"),MATCH($L120,Table3[[Company name]:[Company name]],0)),0)</f>
        <v>0</v>
      </c>
      <c r="V120" s="1">
        <f ca="1">IFERROR(INDEX(INDIRECT("Table3[Column"&amp;V$9&amp;"]"),MATCH($L120,Table3[[Company name]:[Company name]],0)),0)</f>
        <v>0</v>
      </c>
      <c r="W120" s="1">
        <f ca="1">IFERROR(INDEX(INDIRECT("Table3[Column"&amp;W$9&amp;"]"),MATCH($L120,Table3[[Company name]:[Company name]],0)),0)</f>
        <v>23400</v>
      </c>
      <c r="X120" s="1">
        <f ca="1">IFERROR(INDEX(INDIRECT("Table3[Column"&amp;X$9&amp;"]"),MATCH($L120,Table3[[Company name]:[Company name]],0)),0)</f>
        <v>20700</v>
      </c>
      <c r="Y120" s="1">
        <f ca="1">IFERROR(INDEX(INDIRECT("Table3[Column"&amp;Y$9&amp;"]"),MATCH($L120,Table3[[Company name]:[Company name]],0)),0)</f>
        <v>59400</v>
      </c>
      <c r="Z120" s="1">
        <f ca="1">IFERROR(INDEX(INDIRECT("Table3[Column"&amp;Z$9&amp;"]"),MATCH($L120,Table3[[Company name]:[Company name]],0)),0)</f>
        <v>26100</v>
      </c>
      <c r="AA120" s="1">
        <f ca="1">IFERROR(INDEX(INDIRECT("Table3[Column"&amp;AA$9&amp;"]"),MATCH($L120,Table3[[Company name]:[Company name]],0)),0)</f>
        <v>29700</v>
      </c>
      <c r="AB120" s="1">
        <f ca="1">IFERROR(INDEX(INDIRECT("Table3[Column"&amp;AB$9&amp;"]"),MATCH($L120,Table3[[Company name]:[Company name]],0)),0)</f>
        <v>10800</v>
      </c>
      <c r="AC120" s="1">
        <f ca="1">IFERROR(INDEX(INDIRECT("Table3[Column"&amp;AC$9&amp;"]"),MATCH($L120,Table3[[Company name]:[Company name]],0)),0)</f>
        <v>44100</v>
      </c>
      <c r="AD120" s="1">
        <f ca="1">IFERROR(INDEX(INDIRECT("Table3[Column"&amp;AD$9&amp;"]"),MATCH($L120,Table3[[Company name]:[Company name]],0)),0)</f>
        <v>36000</v>
      </c>
      <c r="AE120" s="1">
        <f ca="1">IFERROR(INDEX(INDIRECT("Table3[Column"&amp;AE$9&amp;"]"),MATCH($L120,Table3[[Company name]:[Company name]],0)),0)</f>
        <v>0</v>
      </c>
      <c r="AF120" s="1">
        <f ca="1">IFERROR(INDEX(INDIRECT("Table3[Column"&amp;AF$9&amp;"]"),MATCH($L120,Table3[[Company name]:[Company name]],0)),0)</f>
        <v>0</v>
      </c>
      <c r="AG120" s="1">
        <f ca="1">IFERROR(INDEX(INDIRECT("Table3[Column"&amp;AG$9&amp;"]"),MATCH($L120,Table3[[Company name]:[Company name]],0)),0)</f>
        <v>0</v>
      </c>
      <c r="AH120" s="1">
        <f ca="1">IFERROR(INDEX(INDIRECT("Table3[Column"&amp;AH$9&amp;"]"),MATCH($L120,Table3[[Company name]:[Company name]],0)),0)</f>
        <v>0</v>
      </c>
      <c r="AI120" s="1">
        <f t="shared" ca="1" si="11"/>
        <v>261000</v>
      </c>
      <c r="AK120" s="1">
        <f ca="1">IF(COUNTIFS($J$7:$J$510,Table7[[#Headers],[Industry Essentials]],$C$7:$C$510,$L120)&gt;0,0,MROUND(R120,100))</f>
        <v>10800</v>
      </c>
      <c r="AL120" s="1">
        <f ca="1">IF(COUNTIFS($J$7:$J$510,Table7[[#Headers],[Energy Supply Market Intelligence]],$C$7:$C$510,$L120)&gt;0,0,MROUND(IFERROR(S120*($P120/$AI120),0),100))</f>
        <v>0</v>
      </c>
      <c r="AM120" s="1">
        <f>IF(COUNTIFS($J$7:$J$510,Table7[[#Headers],[Energy Supply RTM Analysis]],$C$7:$C$510,$L120)&gt;0,0,MROUND(IFERROR(T120*($P120/$AI120),0),100))</f>
        <v>0</v>
      </c>
      <c r="AN120" s="1">
        <f ca="1">IF(COUNTIFS($J$7:$J$510,Table7[[#Headers],[Energy Supply Forecasts]],$C$7:$C$510,$L120)&gt;0,0,MROUND(IFERROR(U120*($P120/$AI120),0),100))</f>
        <v>0</v>
      </c>
      <c r="AO120" s="1">
        <f ca="1">IF(COUNTIFS($J$7:$J$510,Table7[[#Headers],[Energy Supply Regulation]],$C$7:$C$510,$L120)&gt;0,0,MROUND(IFERROR(V120*($P120/$AI120),0),100))</f>
        <v>0</v>
      </c>
      <c r="AP120" s="1">
        <f ca="1">IF(COUNTIFS($J$7:$J$510,Table7[[#Headers],[Renewables Market Intelligence]],$C$7:$C$510,$L120)&gt;0,0,MROUND(IFERROR(W120*($P120/$AI120),0),100))</f>
        <v>1600</v>
      </c>
      <c r="AQ120" s="1">
        <f ca="1">IF(COUNTIFS($J$7:$J$510,Table7[[#Headers],[Renewables RTM Analysis]],$C$7:$C$510,$L120)&gt;0,0,MROUND(IFERROR(X120*($P120/$AI120),0),100))</f>
        <v>1400</v>
      </c>
      <c r="AR120" s="1">
        <f ca="1">IF(COUNTIFS($J$7:$J$510,Table7[[#Headers],[Renewables Forecasts]],$C$7:$C$510,$L120)&gt;0,0,MROUND(IFERROR(Y120*($P120/$AI120),0),100))</f>
        <v>4100</v>
      </c>
      <c r="AS120" s="1">
        <f ca="1">IF(COUNTIFS($J$7:$J$510,Table7[[#Headers],[Renewables Regulation]],$C$7:$C$510,$L120)&gt;0,0,MROUND(IFERROR(Z120*($P120/$AI120),0),100))</f>
        <v>1800</v>
      </c>
      <c r="AT120" s="1">
        <f ca="1">IF(COUNTIFS($J$7:$J$510,Table7[[#Headers],[Flexibility Market Intelligence]],$C$7:$C$510,$L120)&gt;0,0,MROUND(IFERROR(AA120*($P120/$AI120),0),100))</f>
        <v>2100</v>
      </c>
      <c r="AU120" s="1">
        <f ca="1">IF(COUNTIFS($J$7:$J$510,Table7[[#Headers],[Flexibility RTM Analysis]],$C$7:$C$510,$L120)&gt;0,0,MROUND(IFERROR(AB120*($P120/$AI120),0),100))</f>
        <v>800</v>
      </c>
      <c r="AV120" s="1">
        <f ca="1">IF(COUNTIFS($J$7:$J$510,Table7[[#Headers],[Flexibility Forecasts]],$C$7:$C$510,$L120)&gt;0,0,MROUND(IFERROR(AC120*($P120/$AI120),0),100))</f>
        <v>3100</v>
      </c>
      <c r="AW120" s="1">
        <f ca="1">IF(COUNTIFS($J$7:$J$510,Table7[[#Headers],[Flexibility Regulation]],$C$7:$C$510,$L120)&gt;0,0,MROUND(IFERROR(AD120*($P120/$AI120),0),100))</f>
        <v>2500</v>
      </c>
      <c r="AX120" s="1">
        <f ca="1">IF(COUNTIFS($J$7:$J$510,Table7[[#Headers],[Business Energy Essentials]],$C$7:$C$510,$L120)&gt;0,0,MROUND(IFERROR(AE120*($P120/$AI120),0),100))</f>
        <v>0</v>
      </c>
      <c r="AY120" s="1">
        <f ca="1">IF(COUNTIFS($J$7:$J$510,Table7[[#Headers],[Energy User RTM Analysis]],$C$7:$C$510,$L120)&gt;0,0,MROUND(IFERROR(AF120*($P120/$AI120),0),100))</f>
        <v>0</v>
      </c>
      <c r="AZ120" s="1">
        <f ca="1">IF(COUNTIFS($J$7:$J$510,Table7[[#Headers],[Energy User Forecasts]],$C$7:$C$510,$L120)&gt;0,0,MROUND(IFERROR(AG120*($P120/$AI120),0),100))</f>
        <v>0</v>
      </c>
      <c r="BA120" s="1">
        <f ca="1">IF(COUNTIFS($J$7:$J$510,Table7[[#Headers],[Energy User Regulation]],$C$7:$C$510,$L120)&gt;0,0,MROUND(IFERROR(AH120*($P120/$AI120),0),100))</f>
        <v>0</v>
      </c>
    </row>
    <row r="121" spans="2:53">
      <c r="B121" s="38" t="s">
        <v>2132</v>
      </c>
      <c r="C121" s="38" t="s">
        <v>156</v>
      </c>
      <c r="D121" s="38" t="s">
        <v>2040</v>
      </c>
      <c r="E121" s="38" t="s">
        <v>1799</v>
      </c>
      <c r="F121" s="63">
        <v>6136.36</v>
      </c>
      <c r="G121" s="38"/>
      <c r="H121" s="38" t="s">
        <v>2031</v>
      </c>
      <c r="I121" s="38" t="s">
        <v>2032</v>
      </c>
      <c r="J121" s="38" t="s">
        <v>20</v>
      </c>
      <c r="L121" s="1" t="str">
        <v>MAG Airport Limited</v>
      </c>
      <c r="M121" s="1" t="str">
        <f t="shared" si="7"/>
        <v>Energy User</v>
      </c>
      <c r="N121" s="109">
        <f t="shared" si="8"/>
        <v>30134</v>
      </c>
      <c r="O121" s="1">
        <f>IFERROR(IF(INDEX(Table3[[Total Spend]:[Total Spend]],MATCH(L121,Table3[[Company name]:[Company name]],0))&gt;N121,INDEX(Table3[[Total Spend]:[Total Spend]],MATCH(L121,Table3[[Company name]:[Company name]])),N121),50000)</f>
        <v>10000</v>
      </c>
      <c r="P121" s="109">
        <f t="shared" si="9"/>
        <v>30134</v>
      </c>
      <c r="Q121" s="103">
        <f t="shared" si="10"/>
        <v>1</v>
      </c>
      <c r="R121" s="1">
        <f ca="1">IFERROR(INDEX(INDIRECT("Table3[Column"&amp;R$9&amp;"]"),MATCH($L121,Table3[[Company name]:[Company name]],0)),0)</f>
        <v>0</v>
      </c>
      <c r="S121" s="1">
        <f ca="1">IFERROR(INDEX(INDIRECT("Table3[Column"&amp;S$9&amp;"]"),MATCH($L121,Table3[[Company name]:[Company name]],0)),0)</f>
        <v>0</v>
      </c>
      <c r="T121" s="1">
        <f ca="1">IFERROR(INDEX(INDIRECT("Table3[Column"&amp;T$9&amp;"]"),MATCH($L121,Table3[[Company name]:[Company name]],0)),0)</f>
        <v>0</v>
      </c>
      <c r="U121" s="1">
        <f ca="1">IFERROR(INDEX(INDIRECT("Table3[Column"&amp;U$9&amp;"]"),MATCH($L121,Table3[[Company name]:[Company name]],0)),0)</f>
        <v>0</v>
      </c>
      <c r="V121" s="1">
        <f ca="1">IFERROR(INDEX(INDIRECT("Table3[Column"&amp;V$9&amp;"]"),MATCH($L121,Table3[[Company name]:[Company name]],0)),0)</f>
        <v>0</v>
      </c>
      <c r="W121" s="1">
        <f ca="1">IFERROR(INDEX(INDIRECT("Table3[Column"&amp;W$9&amp;"]"),MATCH($L121,Table3[[Company name]:[Company name]],0)),0)</f>
        <v>0</v>
      </c>
      <c r="X121" s="1">
        <f ca="1">IFERROR(INDEX(INDIRECT("Table3[Column"&amp;X$9&amp;"]"),MATCH($L121,Table3[[Company name]:[Company name]],0)),0)</f>
        <v>0</v>
      </c>
      <c r="Y121" s="1">
        <f ca="1">IFERROR(INDEX(INDIRECT("Table3[Column"&amp;Y$9&amp;"]"),MATCH($L121,Table3[[Company name]:[Company name]],0)),0)</f>
        <v>0</v>
      </c>
      <c r="Z121" s="1">
        <f ca="1">IFERROR(INDEX(INDIRECT("Table3[Column"&amp;Z$9&amp;"]"),MATCH($L121,Table3[[Company name]:[Company name]],0)),0)</f>
        <v>0</v>
      </c>
      <c r="AA121" s="1">
        <f ca="1">IFERROR(INDEX(INDIRECT("Table3[Column"&amp;AA$9&amp;"]"),MATCH($L121,Table3[[Company name]:[Company name]],0)),0)</f>
        <v>0</v>
      </c>
      <c r="AB121" s="1">
        <f ca="1">IFERROR(INDEX(INDIRECT("Table3[Column"&amp;AB$9&amp;"]"),MATCH($L121,Table3[[Company name]:[Company name]],0)),0)</f>
        <v>0</v>
      </c>
      <c r="AC121" s="1">
        <f ca="1">IFERROR(INDEX(INDIRECT("Table3[Column"&amp;AC$9&amp;"]"),MATCH($L121,Table3[[Company name]:[Company name]],0)),0)</f>
        <v>0</v>
      </c>
      <c r="AD121" s="1">
        <f ca="1">IFERROR(INDEX(INDIRECT("Table3[Column"&amp;AD$9&amp;"]"),MATCH($L121,Table3[[Company name]:[Company name]],0)),0)</f>
        <v>0</v>
      </c>
      <c r="AE121" s="1">
        <f ca="1">IFERROR(INDEX(INDIRECT("Table3[Column"&amp;AE$9&amp;"]"),MATCH($L121,Table3[[Company name]:[Company name]],0)),0)</f>
        <v>15300</v>
      </c>
      <c r="AF121" s="1">
        <f ca="1">IFERROR(INDEX(INDIRECT("Table3[Column"&amp;AF$9&amp;"]"),MATCH($L121,Table3[[Company name]:[Company name]],0)),0)</f>
        <v>15750</v>
      </c>
      <c r="AG121" s="1">
        <f ca="1">IFERROR(INDEX(INDIRECT("Table3[Column"&amp;AG$9&amp;"]"),MATCH($L121,Table3[[Company name]:[Company name]],0)),0)</f>
        <v>27000</v>
      </c>
      <c r="AH121" s="1">
        <f ca="1">IFERROR(INDEX(INDIRECT("Table3[Column"&amp;AH$9&amp;"]"),MATCH($L121,Table3[[Company name]:[Company name]],0)),0)</f>
        <v>6300</v>
      </c>
      <c r="AI121" s="1">
        <f t="shared" ca="1" si="11"/>
        <v>64350</v>
      </c>
      <c r="AK121" s="1">
        <f ca="1">IF(COUNTIFS($J$7:$J$510,Table7[[#Headers],[Industry Essentials]],$C$7:$C$510,$L121)&gt;0,0,MROUND(R121,100))</f>
        <v>0</v>
      </c>
      <c r="AL121" s="1">
        <f ca="1">IF(COUNTIFS($J$7:$J$510,Table7[[#Headers],[Energy Supply Market Intelligence]],$C$7:$C$510,$L121)&gt;0,0,MROUND(IFERROR(S121*($P121/$AI121),0),100))</f>
        <v>0</v>
      </c>
      <c r="AM121" s="1">
        <f ca="1">IF(COUNTIFS($J$7:$J$510,Table7[[#Headers],[Energy Supply RTM Analysis]],$C$7:$C$510,$L121)&gt;0,0,MROUND(IFERROR(T121*($P121/$AI121),0),100))</f>
        <v>0</v>
      </c>
      <c r="AN121" s="1">
        <f ca="1">IF(COUNTIFS($J$7:$J$510,Table7[[#Headers],[Energy Supply Forecasts]],$C$7:$C$510,$L121)&gt;0,0,MROUND(IFERROR(U121*($P121/$AI121),0),100))</f>
        <v>0</v>
      </c>
      <c r="AO121" s="1">
        <f ca="1">IF(COUNTIFS($J$7:$J$510,Table7[[#Headers],[Energy Supply Regulation]],$C$7:$C$510,$L121)&gt;0,0,MROUND(IFERROR(V121*($P121/$AI121),0),100))</f>
        <v>0</v>
      </c>
      <c r="AP121" s="1">
        <f ca="1">IF(COUNTIFS($J$7:$J$510,Table7[[#Headers],[Renewables Market Intelligence]],$C$7:$C$510,$L121)&gt;0,0,MROUND(IFERROR(W121*($P121/$AI121),0),100))</f>
        <v>0</v>
      </c>
      <c r="AQ121" s="1">
        <f ca="1">IF(COUNTIFS($J$7:$J$510,Table7[[#Headers],[Renewables RTM Analysis]],$C$7:$C$510,$L121)&gt;0,0,MROUND(IFERROR(X121*($P121/$AI121),0),100))</f>
        <v>0</v>
      </c>
      <c r="AR121" s="1">
        <f>IF(COUNTIFS($J$7:$J$510,Table7[[#Headers],[Renewables Forecasts]],$C$7:$C$510,$L121)&gt;0,0,MROUND(IFERROR(Y121*($P121/$AI121),0),100))</f>
        <v>0</v>
      </c>
      <c r="AS121" s="1">
        <f ca="1">IF(COUNTIFS($J$7:$J$510,Table7[[#Headers],[Renewables Regulation]],$C$7:$C$510,$L121)&gt;0,0,MROUND(IFERROR(Z121*($P121/$AI121),0),100))</f>
        <v>0</v>
      </c>
      <c r="AT121" s="1">
        <f ca="1">IF(COUNTIFS($J$7:$J$510,Table7[[#Headers],[Flexibility Market Intelligence]],$C$7:$C$510,$L121)&gt;0,0,MROUND(IFERROR(AA121*($P121/$AI121),0),100))</f>
        <v>0</v>
      </c>
      <c r="AU121" s="1">
        <f ca="1">IF(COUNTIFS($J$7:$J$510,Table7[[#Headers],[Flexibility RTM Analysis]],$C$7:$C$510,$L121)&gt;0,0,MROUND(IFERROR(AB121*($P121/$AI121),0),100))</f>
        <v>0</v>
      </c>
      <c r="AV121" s="1">
        <f ca="1">IF(COUNTIFS($J$7:$J$510,Table7[[#Headers],[Flexibility Forecasts]],$C$7:$C$510,$L121)&gt;0,0,MROUND(IFERROR(AC121*($P121/$AI121),0),100))</f>
        <v>0</v>
      </c>
      <c r="AW121" s="1">
        <f ca="1">IF(COUNTIFS($J$7:$J$510,Table7[[#Headers],[Flexibility Regulation]],$C$7:$C$510,$L121)&gt;0,0,MROUND(IFERROR(AD121*($P121/$AI121),0),100))</f>
        <v>0</v>
      </c>
      <c r="AX121" s="1">
        <f ca="1">IF(COUNTIFS($J$7:$J$510,Table7[[#Headers],[Business Energy Essentials]],$C$7:$C$510,$L121)&gt;0,0,MROUND(IFERROR(AE121*($P121/$AI121),0),100))</f>
        <v>7200</v>
      </c>
      <c r="AY121" s="1">
        <f ca="1">IF(COUNTIFS($J$7:$J$510,Table7[[#Headers],[Energy User RTM Analysis]],$C$7:$C$510,$L121)&gt;0,0,MROUND(IFERROR(AF121*($P121/$AI121),0),100))</f>
        <v>7400</v>
      </c>
      <c r="AZ121" s="1">
        <f>IF(COUNTIFS($J$7:$J$510,Table7[[#Headers],[Energy User Forecasts]],$C$7:$C$510,$L121)&gt;0,0,MROUND(IFERROR(AG121*($P121/$AI121),0),100))</f>
        <v>0</v>
      </c>
      <c r="BA121" s="1">
        <f ca="1">IF(COUNTIFS($J$7:$J$510,Table7[[#Headers],[Energy User Regulation]],$C$7:$C$510,$L121)&gt;0,0,MROUND(IFERROR(AH121*($P121/$AI121),0),100))</f>
        <v>3000</v>
      </c>
    </row>
    <row r="122" spans="2:53">
      <c r="B122" s="38" t="s">
        <v>2132</v>
      </c>
      <c r="C122" s="38" t="s">
        <v>156</v>
      </c>
      <c r="D122" s="38" t="s">
        <v>2133</v>
      </c>
      <c r="E122" s="38" t="s">
        <v>1828</v>
      </c>
      <c r="F122" s="63">
        <v>6477.2800000000007</v>
      </c>
      <c r="G122" s="38"/>
      <c r="H122" s="38" t="s">
        <v>2031</v>
      </c>
      <c r="I122" s="38" t="s">
        <v>2031</v>
      </c>
      <c r="J122" s="38" t="s">
        <v>21</v>
      </c>
      <c r="L122" s="1" t="str">
        <v>Manx Utilities</v>
      </c>
      <c r="M122" s="1" t="str">
        <f t="shared" si="7"/>
        <v>Supply</v>
      </c>
      <c r="N122" s="109">
        <f t="shared" si="8"/>
        <v>44865</v>
      </c>
      <c r="O122" s="1">
        <f>IFERROR(IF(INDEX(Table3[[Total Spend]:[Total Spend]],MATCH(L122,Table3[[Company name]:[Company name]],0))&gt;N122,INDEX(Table3[[Total Spend]:[Total Spend]],MATCH(L122,Table3[[Company name]:[Company name]])),N122),50000)</f>
        <v>50000</v>
      </c>
      <c r="P122" s="109">
        <f t="shared" si="9"/>
        <v>5135</v>
      </c>
      <c r="Q122" s="103">
        <f t="shared" si="10"/>
        <v>0.89729999999999999</v>
      </c>
      <c r="R122" s="1">
        <f ca="1">IFERROR(INDEX(INDIRECT("Table3[Column"&amp;R$9&amp;"]"),MATCH($L122,Table3[[Company name]:[Company name]],0)),0)</f>
        <v>8100</v>
      </c>
      <c r="S122" s="1">
        <f ca="1">IFERROR(INDEX(INDIRECT("Table3[Column"&amp;S$9&amp;"]"),MATCH($L122,Table3[[Company name]:[Company name]],0)),0)</f>
        <v>30600</v>
      </c>
      <c r="T122" s="1">
        <f ca="1">IFERROR(INDEX(INDIRECT("Table3[Column"&amp;T$9&amp;"]"),MATCH($L122,Table3[[Company name]:[Company name]],0)),0)</f>
        <v>53100</v>
      </c>
      <c r="U122" s="1">
        <f ca="1">IFERROR(INDEX(INDIRECT("Table3[Column"&amp;U$9&amp;"]"),MATCH($L122,Table3[[Company name]:[Company name]],0)),0)</f>
        <v>34200</v>
      </c>
      <c r="V122" s="1">
        <f ca="1">IFERROR(INDEX(INDIRECT("Table3[Column"&amp;V$9&amp;"]"),MATCH($L122,Table3[[Company name]:[Company name]],0)),0)</f>
        <v>39600</v>
      </c>
      <c r="W122" s="1">
        <f ca="1">IFERROR(INDEX(INDIRECT("Table3[Column"&amp;W$9&amp;"]"),MATCH($L122,Table3[[Company name]:[Company name]],0)),0)</f>
        <v>0</v>
      </c>
      <c r="X122" s="1">
        <f ca="1">IFERROR(INDEX(INDIRECT("Table3[Column"&amp;X$9&amp;"]"),MATCH($L122,Table3[[Company name]:[Company name]],0)),0)</f>
        <v>0</v>
      </c>
      <c r="Y122" s="1">
        <f ca="1">IFERROR(INDEX(INDIRECT("Table3[Column"&amp;Y$9&amp;"]"),MATCH($L122,Table3[[Company name]:[Company name]],0)),0)</f>
        <v>0</v>
      </c>
      <c r="Z122" s="1">
        <f ca="1">IFERROR(INDEX(INDIRECT("Table3[Column"&amp;Z$9&amp;"]"),MATCH($L122,Table3[[Company name]:[Company name]],0)),0)</f>
        <v>0</v>
      </c>
      <c r="AA122" s="1">
        <f ca="1">IFERROR(INDEX(INDIRECT("Table3[Column"&amp;AA$9&amp;"]"),MATCH($L122,Table3[[Company name]:[Company name]],0)),0)</f>
        <v>21600</v>
      </c>
      <c r="AB122" s="1">
        <f ca="1">IFERROR(INDEX(INDIRECT("Table3[Column"&amp;AB$9&amp;"]"),MATCH($L122,Table3[[Company name]:[Company name]],0)),0)</f>
        <v>0</v>
      </c>
      <c r="AC122" s="1">
        <f ca="1">IFERROR(INDEX(INDIRECT("Table3[Column"&amp;AC$9&amp;"]"),MATCH($L122,Table3[[Company name]:[Company name]],0)),0)</f>
        <v>0</v>
      </c>
      <c r="AD122" s="1">
        <f ca="1">IFERROR(INDEX(INDIRECT("Table3[Column"&amp;AD$9&amp;"]"),MATCH($L122,Table3[[Company name]:[Company name]],0)),0)</f>
        <v>0</v>
      </c>
      <c r="AE122" s="1">
        <f ca="1">IFERROR(INDEX(INDIRECT("Table3[Column"&amp;AE$9&amp;"]"),MATCH($L122,Table3[[Company name]:[Company name]],0)),0)</f>
        <v>0</v>
      </c>
      <c r="AF122" s="1">
        <f ca="1">IFERROR(INDEX(INDIRECT("Table3[Column"&amp;AF$9&amp;"]"),MATCH($L122,Table3[[Company name]:[Company name]],0)),0)</f>
        <v>0</v>
      </c>
      <c r="AG122" s="1">
        <f ca="1">IFERROR(INDEX(INDIRECT("Table3[Column"&amp;AG$9&amp;"]"),MATCH($L122,Table3[[Company name]:[Company name]],0)),0)</f>
        <v>0</v>
      </c>
      <c r="AH122" s="1">
        <f ca="1">IFERROR(INDEX(INDIRECT("Table3[Column"&amp;AH$9&amp;"]"),MATCH($L122,Table3[[Company name]:[Company name]],0)),0)</f>
        <v>0</v>
      </c>
      <c r="AI122" s="1">
        <f t="shared" ca="1" si="11"/>
        <v>187200</v>
      </c>
      <c r="AK122" s="1">
        <f>IF(COUNTIFS($J$7:$J$510,Table7[[#Headers],[Industry Essentials]],$C$7:$C$510,$L122)&gt;0,0,MROUND(R122,100))</f>
        <v>0</v>
      </c>
      <c r="AL122" s="1">
        <f ca="1">IF(COUNTIFS($J$7:$J$510,Table7[[#Headers],[Energy Supply Market Intelligence]],$C$7:$C$510,$L122)&gt;0,0,MROUND(IFERROR(S122*($P122/$AI122),0),100))</f>
        <v>800</v>
      </c>
      <c r="AM122" s="1">
        <f ca="1">IF(COUNTIFS($J$7:$J$510,Table7[[#Headers],[Energy Supply RTM Analysis]],$C$7:$C$510,$L122)&gt;0,0,MROUND(IFERROR(T122*($P122/$AI122),0),100))</f>
        <v>1500</v>
      </c>
      <c r="AN122" s="1">
        <f ca="1">IF(COUNTIFS($J$7:$J$510,Table7[[#Headers],[Energy Supply Forecasts]],$C$7:$C$510,$L122)&gt;0,0,MROUND(IFERROR(U122*($P122/$AI122),0),100))</f>
        <v>900</v>
      </c>
      <c r="AO122" s="1">
        <f>IF(COUNTIFS($J$7:$J$510,Table7[[#Headers],[Energy Supply Regulation]],$C$7:$C$510,$L122)&gt;0,0,MROUND(IFERROR(V122*($P122/$AI122),0),100))</f>
        <v>0</v>
      </c>
      <c r="AP122" s="1">
        <f>IF(COUNTIFS($J$7:$J$510,Table7[[#Headers],[Renewables Market Intelligence]],$C$7:$C$510,$L122)&gt;0,0,MROUND(IFERROR(W122*($P122/$AI122),0),100))</f>
        <v>0</v>
      </c>
      <c r="AQ122" s="1">
        <f ca="1">IF(COUNTIFS($J$7:$J$510,Table7[[#Headers],[Renewables RTM Analysis]],$C$7:$C$510,$L122)&gt;0,0,MROUND(IFERROR(X122*($P122/$AI122),0),100))</f>
        <v>0</v>
      </c>
      <c r="AR122" s="1">
        <f>IF(COUNTIFS($J$7:$J$510,Table7[[#Headers],[Renewables Forecasts]],$C$7:$C$510,$L122)&gt;0,0,MROUND(IFERROR(Y122*($P122/$AI122),0),100))</f>
        <v>0</v>
      </c>
      <c r="AS122" s="1">
        <f ca="1">IF(COUNTIFS($J$7:$J$510,Table7[[#Headers],[Renewables Regulation]],$C$7:$C$510,$L122)&gt;0,0,MROUND(IFERROR(Z122*($P122/$AI122),0),100))</f>
        <v>0</v>
      </c>
      <c r="AT122" s="1">
        <f ca="1">IF(COUNTIFS($J$7:$J$510,Table7[[#Headers],[Flexibility Market Intelligence]],$C$7:$C$510,$L122)&gt;0,0,MROUND(IFERROR(AA122*($P122/$AI122),0),100))</f>
        <v>600</v>
      </c>
      <c r="AU122" s="1">
        <f ca="1">IF(COUNTIFS($J$7:$J$510,Table7[[#Headers],[Flexibility RTM Analysis]],$C$7:$C$510,$L122)&gt;0,0,MROUND(IFERROR(AB122*($P122/$AI122),0),100))</f>
        <v>0</v>
      </c>
      <c r="AV122" s="1">
        <f ca="1">IF(COUNTIFS($J$7:$J$510,Table7[[#Headers],[Flexibility Forecasts]],$C$7:$C$510,$L122)&gt;0,0,MROUND(IFERROR(AC122*($P122/$AI122),0),100))</f>
        <v>0</v>
      </c>
      <c r="AW122" s="1">
        <f ca="1">IF(COUNTIFS($J$7:$J$510,Table7[[#Headers],[Flexibility Regulation]],$C$7:$C$510,$L122)&gt;0,0,MROUND(IFERROR(AD122*($P122/$AI122),0),100))</f>
        <v>0</v>
      </c>
      <c r="AX122" s="1">
        <f ca="1">IF(COUNTIFS($J$7:$J$510,Table7[[#Headers],[Business Energy Essentials]],$C$7:$C$510,$L122)&gt;0,0,MROUND(IFERROR(AE122*($P122/$AI122),0),100))</f>
        <v>0</v>
      </c>
      <c r="AY122" s="1">
        <f ca="1">IF(COUNTIFS($J$7:$J$510,Table7[[#Headers],[Energy User RTM Analysis]],$C$7:$C$510,$L122)&gt;0,0,MROUND(IFERROR(AF122*($P122/$AI122),0),100))</f>
        <v>0</v>
      </c>
      <c r="AZ122" s="1">
        <f ca="1">IF(COUNTIFS($J$7:$J$510,Table7[[#Headers],[Energy User Forecasts]],$C$7:$C$510,$L122)&gt;0,0,MROUND(IFERROR(AG122*($P122/$AI122),0),100))</f>
        <v>0</v>
      </c>
      <c r="BA122" s="1">
        <f ca="1">IF(COUNTIFS($J$7:$J$510,Table7[[#Headers],[Energy User Regulation]],$C$7:$C$510,$L122)&gt;0,0,MROUND(IFERROR(AH122*($P122/$AI122),0),100))</f>
        <v>0</v>
      </c>
    </row>
    <row r="123" spans="2:53">
      <c r="B123" s="38" t="s">
        <v>2132</v>
      </c>
      <c r="C123" s="38" t="s">
        <v>156</v>
      </c>
      <c r="D123" s="38" t="s">
        <v>2072</v>
      </c>
      <c r="E123" s="38" t="s">
        <v>1918</v>
      </c>
      <c r="F123" s="63">
        <v>17386.36</v>
      </c>
      <c r="G123" s="38"/>
      <c r="H123" s="38" t="s">
        <v>2031</v>
      </c>
      <c r="I123" s="38" t="s">
        <v>1702</v>
      </c>
      <c r="J123" s="38" t="s">
        <v>26</v>
      </c>
      <c r="L123" s="1" t="str">
        <v>Marble Power Limited</v>
      </c>
      <c r="M123" s="1" t="str">
        <f t="shared" si="7"/>
        <v>Supply</v>
      </c>
      <c r="N123" s="109">
        <f t="shared" si="8"/>
        <v>68850</v>
      </c>
      <c r="O123" s="1">
        <f>IFERROR(IF(INDEX(Table3[[Total Spend]:[Total Spend]],MATCH(L123,Table3[[Company name]:[Company name]],0))&gt;N123,INDEX(Table3[[Total Spend]:[Total Spend]],MATCH(L123,Table3[[Company name]:[Company name]])),N123),50000)</f>
        <v>50000</v>
      </c>
      <c r="P123" s="109">
        <f t="shared" si="9"/>
        <v>68850</v>
      </c>
      <c r="Q123" s="103">
        <f t="shared" si="10"/>
        <v>1</v>
      </c>
      <c r="R123" s="1">
        <f ca="1">IFERROR(INDEX(INDIRECT("Table3[Column"&amp;R$9&amp;"]"),MATCH($L123,Table3[[Company name]:[Company name]],0)),0)</f>
        <v>8100</v>
      </c>
      <c r="S123" s="1">
        <f ca="1">IFERROR(INDEX(INDIRECT("Table3[Column"&amp;S$9&amp;"]"),MATCH($L123,Table3[[Company name]:[Company name]],0)),0)</f>
        <v>30600</v>
      </c>
      <c r="T123" s="1">
        <f ca="1">IFERROR(INDEX(INDIRECT("Table3[Column"&amp;T$9&amp;"]"),MATCH($L123,Table3[[Company name]:[Company name]],0)),0)</f>
        <v>53100</v>
      </c>
      <c r="U123" s="1">
        <f ca="1">IFERROR(INDEX(INDIRECT("Table3[Column"&amp;U$9&amp;"]"),MATCH($L123,Table3[[Company name]:[Company name]],0)),0)</f>
        <v>34200</v>
      </c>
      <c r="V123" s="1">
        <f ca="1">IFERROR(INDEX(INDIRECT("Table3[Column"&amp;V$9&amp;"]"),MATCH($L123,Table3[[Company name]:[Company name]],0)),0)</f>
        <v>39600</v>
      </c>
      <c r="W123" s="1">
        <f ca="1">IFERROR(INDEX(INDIRECT("Table3[Column"&amp;W$9&amp;"]"),MATCH($L123,Table3[[Company name]:[Company name]],0)),0)</f>
        <v>0</v>
      </c>
      <c r="X123" s="1">
        <f ca="1">IFERROR(INDEX(INDIRECT("Table3[Column"&amp;X$9&amp;"]"),MATCH($L123,Table3[[Company name]:[Company name]],0)),0)</f>
        <v>15300</v>
      </c>
      <c r="Y123" s="1">
        <f ca="1">IFERROR(INDEX(INDIRECT("Table3[Column"&amp;Y$9&amp;"]"),MATCH($L123,Table3[[Company name]:[Company name]],0)),0)</f>
        <v>0</v>
      </c>
      <c r="Z123" s="1">
        <f ca="1">IFERROR(INDEX(INDIRECT("Table3[Column"&amp;Z$9&amp;"]"),MATCH($L123,Table3[[Company name]:[Company name]],0)),0)</f>
        <v>0</v>
      </c>
      <c r="AA123" s="1">
        <f ca="1">IFERROR(INDEX(INDIRECT("Table3[Column"&amp;AA$9&amp;"]"),MATCH($L123,Table3[[Company name]:[Company name]],0)),0)</f>
        <v>21600</v>
      </c>
      <c r="AB123" s="1">
        <f ca="1">IFERROR(INDEX(INDIRECT("Table3[Column"&amp;AB$9&amp;"]"),MATCH($L123,Table3[[Company name]:[Company name]],0)),0)</f>
        <v>7650</v>
      </c>
      <c r="AC123" s="1">
        <f ca="1">IFERROR(INDEX(INDIRECT("Table3[Column"&amp;AC$9&amp;"]"),MATCH($L123,Table3[[Company name]:[Company name]],0)),0)</f>
        <v>31500</v>
      </c>
      <c r="AD123" s="1">
        <f ca="1">IFERROR(INDEX(INDIRECT("Table3[Column"&amp;AD$9&amp;"]"),MATCH($L123,Table3[[Company name]:[Company name]],0)),0)</f>
        <v>25200</v>
      </c>
      <c r="AE123" s="1">
        <f ca="1">IFERROR(INDEX(INDIRECT("Table3[Column"&amp;AE$9&amp;"]"),MATCH($L123,Table3[[Company name]:[Company name]],0)),0)</f>
        <v>0</v>
      </c>
      <c r="AF123" s="1">
        <f ca="1">IFERROR(INDEX(INDIRECT("Table3[Column"&amp;AF$9&amp;"]"),MATCH($L123,Table3[[Company name]:[Company name]],0)),0)</f>
        <v>0</v>
      </c>
      <c r="AG123" s="1">
        <f ca="1">IFERROR(INDEX(INDIRECT("Table3[Column"&amp;AG$9&amp;"]"),MATCH($L123,Table3[[Company name]:[Company name]],0)),0)</f>
        <v>0</v>
      </c>
      <c r="AH123" s="1">
        <f ca="1">IFERROR(INDEX(INDIRECT("Table3[Column"&amp;AH$9&amp;"]"),MATCH($L123,Table3[[Company name]:[Company name]],0)),0)</f>
        <v>0</v>
      </c>
      <c r="AI123" s="1">
        <f t="shared" ca="1" si="11"/>
        <v>266850</v>
      </c>
      <c r="AK123" s="1">
        <f>IF(COUNTIFS($J$7:$J$510,Table7[[#Headers],[Industry Essentials]],$C$7:$C$510,$L123)&gt;0,0,MROUND(R123,100))</f>
        <v>0</v>
      </c>
      <c r="AL123" s="1">
        <f>IF(COUNTIFS($J$7:$J$510,Table7[[#Headers],[Energy Supply Market Intelligence]],$C$7:$C$510,$L123)&gt;0,0,MROUND(IFERROR(S123*($P123/$AI123),0),100))</f>
        <v>0</v>
      </c>
      <c r="AM123" s="1">
        <f ca="1">IF(COUNTIFS($J$7:$J$510,Table7[[#Headers],[Energy Supply RTM Analysis]],$C$7:$C$510,$L123)&gt;0,0,MROUND(IFERROR(T123*($P123/$AI123),0),100))</f>
        <v>13700</v>
      </c>
      <c r="AN123" s="1">
        <f>IF(COUNTIFS($J$7:$J$510,Table7[[#Headers],[Energy Supply Forecasts]],$C$7:$C$510,$L123)&gt;0,0,MROUND(IFERROR(U123*($P123/$AI123),0),100))</f>
        <v>0</v>
      </c>
      <c r="AO123" s="1">
        <f>IF(COUNTIFS($J$7:$J$510,Table7[[#Headers],[Energy Supply Regulation]],$C$7:$C$510,$L123)&gt;0,0,MROUND(IFERROR(V123*($P123/$AI123),0),100))</f>
        <v>0</v>
      </c>
      <c r="AP123" s="1">
        <f ca="1">IF(COUNTIFS($J$7:$J$510,Table7[[#Headers],[Renewables Market Intelligence]],$C$7:$C$510,$L123)&gt;0,0,MROUND(IFERROR(W123*($P123/$AI123),0),100))</f>
        <v>0</v>
      </c>
      <c r="AQ123" s="1">
        <f ca="1">IF(COUNTIFS($J$7:$J$510,Table7[[#Headers],[Renewables RTM Analysis]],$C$7:$C$510,$L123)&gt;0,0,MROUND(IFERROR(X123*($P123/$AI123),0),100))</f>
        <v>3900</v>
      </c>
      <c r="AR123" s="1">
        <f ca="1">IF(COUNTIFS($J$7:$J$510,Table7[[#Headers],[Renewables Forecasts]],$C$7:$C$510,$L123)&gt;0,0,MROUND(IFERROR(Y123*($P123/$AI123),0),100))</f>
        <v>0</v>
      </c>
      <c r="AS123" s="1">
        <f ca="1">IF(COUNTIFS($J$7:$J$510,Table7[[#Headers],[Renewables Regulation]],$C$7:$C$510,$L123)&gt;0,0,MROUND(IFERROR(Z123*($P123/$AI123),0),100))</f>
        <v>0</v>
      </c>
      <c r="AT123" s="1">
        <f ca="1">IF(COUNTIFS($J$7:$J$510,Table7[[#Headers],[Flexibility Market Intelligence]],$C$7:$C$510,$L123)&gt;0,0,MROUND(IFERROR(AA123*($P123/$AI123),0),100))</f>
        <v>5600</v>
      </c>
      <c r="AU123" s="1">
        <f ca="1">IF(COUNTIFS($J$7:$J$510,Table7[[#Headers],[Flexibility RTM Analysis]],$C$7:$C$510,$L123)&gt;0,0,MROUND(IFERROR(AB123*($P123/$AI123),0),100))</f>
        <v>2000</v>
      </c>
      <c r="AV123" s="1">
        <f ca="1">IF(COUNTIFS($J$7:$J$510,Table7[[#Headers],[Flexibility Forecasts]],$C$7:$C$510,$L123)&gt;0,0,MROUND(IFERROR(AC123*($P123/$AI123),0),100))</f>
        <v>8100</v>
      </c>
      <c r="AW123" s="1">
        <f ca="1">IF(COUNTIFS($J$7:$J$510,Table7[[#Headers],[Flexibility Regulation]],$C$7:$C$510,$L123)&gt;0,0,MROUND(IFERROR(AD123*($P123/$AI123),0),100))</f>
        <v>6500</v>
      </c>
      <c r="AX123" s="1">
        <f ca="1">IF(COUNTIFS($J$7:$J$510,Table7[[#Headers],[Business Energy Essentials]],$C$7:$C$510,$L123)&gt;0,0,MROUND(IFERROR(AE123*($P123/$AI123),0),100))</f>
        <v>0</v>
      </c>
      <c r="AY123" s="1">
        <f ca="1">IF(COUNTIFS($J$7:$J$510,Table7[[#Headers],[Energy User RTM Analysis]],$C$7:$C$510,$L123)&gt;0,0,MROUND(IFERROR(AF123*($P123/$AI123),0),100))</f>
        <v>0</v>
      </c>
      <c r="AZ123" s="1">
        <f ca="1">IF(COUNTIFS($J$7:$J$510,Table7[[#Headers],[Energy User Forecasts]],$C$7:$C$510,$L123)&gt;0,0,MROUND(IFERROR(AG123*($P123/$AI123),0),100))</f>
        <v>0</v>
      </c>
      <c r="BA123" s="1">
        <f ca="1">IF(COUNTIFS($J$7:$J$510,Table7[[#Headers],[Energy User Regulation]],$C$7:$C$510,$L123)&gt;0,0,MROUND(IFERROR(AH123*($P123/$AI123),0),100))</f>
        <v>0</v>
      </c>
    </row>
    <row r="124" spans="2:53">
      <c r="B124" s="38" t="s">
        <v>2134</v>
      </c>
      <c r="C124" s="38" t="s">
        <v>230</v>
      </c>
      <c r="D124" s="38" t="s">
        <v>2034</v>
      </c>
      <c r="E124" s="38" t="s">
        <v>1864</v>
      </c>
      <c r="F124" s="63">
        <v>15600</v>
      </c>
      <c r="G124" s="38"/>
      <c r="H124" s="38" t="s">
        <v>1702</v>
      </c>
      <c r="I124" s="38" t="s">
        <v>1702</v>
      </c>
      <c r="J124" s="38" t="s">
        <v>27</v>
      </c>
      <c r="L124" s="1" t="str">
        <v>Metka EGN Ltd</v>
      </c>
      <c r="M124" s="1" t="str">
        <f t="shared" si="7"/>
        <v>Renewables</v>
      </c>
      <c r="N124" s="109">
        <f t="shared" si="8"/>
        <v>14500</v>
      </c>
      <c r="O124" s="1">
        <f>IFERROR(IF(INDEX(Table3[[Total Spend]:[Total Spend]],MATCH(L124,Table3[[Company name]:[Company name]],0))&gt;N124,INDEX(Table3[[Total Spend]:[Total Spend]],MATCH(L124,Table3[[Company name]:[Company name]])),N124),50000)</f>
        <v>8100</v>
      </c>
      <c r="P124" s="109">
        <f t="shared" si="9"/>
        <v>14500</v>
      </c>
      <c r="Q124" s="103">
        <f t="shared" si="10"/>
        <v>1</v>
      </c>
      <c r="R124" s="1">
        <f ca="1">IFERROR(INDEX(INDIRECT("Table3[Column"&amp;R$9&amp;"]"),MATCH($L124,Table3[[Company name]:[Company name]],0)),0)</f>
        <v>8100</v>
      </c>
      <c r="S124" s="1">
        <f ca="1">IFERROR(INDEX(INDIRECT("Table3[Column"&amp;S$9&amp;"]"),MATCH($L124,Table3[[Company name]:[Company name]],0)),0)</f>
        <v>0</v>
      </c>
      <c r="T124" s="1">
        <f ca="1">IFERROR(INDEX(INDIRECT("Table3[Column"&amp;T$9&amp;"]"),MATCH($L124,Table3[[Company name]:[Company name]],0)),0)</f>
        <v>0</v>
      </c>
      <c r="U124" s="1">
        <f ca="1">IFERROR(INDEX(INDIRECT("Table3[Column"&amp;U$9&amp;"]"),MATCH($L124,Table3[[Company name]:[Company name]],0)),0)</f>
        <v>0</v>
      </c>
      <c r="V124" s="1">
        <f ca="1">IFERROR(INDEX(INDIRECT("Table3[Column"&amp;V$9&amp;"]"),MATCH($L124,Table3[[Company name]:[Company name]],0)),0)</f>
        <v>0</v>
      </c>
      <c r="W124" s="1">
        <f ca="1">IFERROR(INDEX(INDIRECT("Table3[Column"&amp;W$9&amp;"]"),MATCH($L124,Table3[[Company name]:[Company name]],0)),0)</f>
        <v>17100</v>
      </c>
      <c r="X124" s="1">
        <f ca="1">IFERROR(INDEX(INDIRECT("Table3[Column"&amp;X$9&amp;"]"),MATCH($L124,Table3[[Company name]:[Company name]],0)),0)</f>
        <v>15300</v>
      </c>
      <c r="Y124" s="1">
        <f ca="1">IFERROR(INDEX(INDIRECT("Table3[Column"&amp;Y$9&amp;"]"),MATCH($L124,Table3[[Company name]:[Company name]],0)),0)</f>
        <v>42300</v>
      </c>
      <c r="Z124" s="1">
        <f ca="1">IFERROR(INDEX(INDIRECT("Table3[Column"&amp;Z$9&amp;"]"),MATCH($L124,Table3[[Company name]:[Company name]],0)),0)</f>
        <v>18900</v>
      </c>
      <c r="AA124" s="1">
        <f ca="1">IFERROR(INDEX(INDIRECT("Table3[Column"&amp;AA$9&amp;"]"),MATCH($L124,Table3[[Company name]:[Company name]],0)),0)</f>
        <v>21600</v>
      </c>
      <c r="AB124" s="1">
        <f ca="1">IFERROR(INDEX(INDIRECT("Table3[Column"&amp;AB$9&amp;"]"),MATCH($L124,Table3[[Company name]:[Company name]],0)),0)</f>
        <v>7650</v>
      </c>
      <c r="AC124" s="1">
        <f ca="1">IFERROR(INDEX(INDIRECT("Table3[Column"&amp;AC$9&amp;"]"),MATCH($L124,Table3[[Company name]:[Company name]],0)),0)</f>
        <v>31500</v>
      </c>
      <c r="AD124" s="1">
        <f ca="1">IFERROR(INDEX(INDIRECT("Table3[Column"&amp;AD$9&amp;"]"),MATCH($L124,Table3[[Company name]:[Company name]],0)),0)</f>
        <v>25200</v>
      </c>
      <c r="AE124" s="1">
        <f ca="1">IFERROR(INDEX(INDIRECT("Table3[Column"&amp;AE$9&amp;"]"),MATCH($L124,Table3[[Company name]:[Company name]],0)),0)</f>
        <v>0</v>
      </c>
      <c r="AF124" s="1">
        <f ca="1">IFERROR(INDEX(INDIRECT("Table3[Column"&amp;AF$9&amp;"]"),MATCH($L124,Table3[[Company name]:[Company name]],0)),0)</f>
        <v>0</v>
      </c>
      <c r="AG124" s="1">
        <f ca="1">IFERROR(INDEX(INDIRECT("Table3[Column"&amp;AG$9&amp;"]"),MATCH($L124,Table3[[Company name]:[Company name]],0)),0)</f>
        <v>0</v>
      </c>
      <c r="AH124" s="1">
        <f ca="1">IFERROR(INDEX(INDIRECT("Table3[Column"&amp;AH$9&amp;"]"),MATCH($L124,Table3[[Company name]:[Company name]],0)),0)</f>
        <v>0</v>
      </c>
      <c r="AI124" s="1">
        <f t="shared" ca="1" si="11"/>
        <v>187650</v>
      </c>
      <c r="AK124" s="1">
        <f>IF(COUNTIFS($J$7:$J$510,Table7[[#Headers],[Industry Essentials]],$C$7:$C$510,$L124)&gt;0,0,MROUND(R124,100))</f>
        <v>0</v>
      </c>
      <c r="AL124" s="1">
        <f ca="1">IF(COUNTIFS($J$7:$J$510,Table7[[#Headers],[Energy Supply Market Intelligence]],$C$7:$C$510,$L124)&gt;0,0,MROUND(IFERROR(S124*($P124/$AI124),0),100))</f>
        <v>0</v>
      </c>
      <c r="AM124" s="1">
        <f ca="1">IF(COUNTIFS($J$7:$J$510,Table7[[#Headers],[Energy Supply RTM Analysis]],$C$7:$C$510,$L124)&gt;0,0,MROUND(IFERROR(T124*($P124/$AI124),0),100))</f>
        <v>0</v>
      </c>
      <c r="AN124" s="1">
        <f ca="1">IF(COUNTIFS($J$7:$J$510,Table7[[#Headers],[Energy Supply Forecasts]],$C$7:$C$510,$L124)&gt;0,0,MROUND(IFERROR(U124*($P124/$AI124),0),100))</f>
        <v>0</v>
      </c>
      <c r="AO124" s="1">
        <f ca="1">IF(COUNTIFS($J$7:$J$510,Table7[[#Headers],[Energy Supply Regulation]],$C$7:$C$510,$L124)&gt;0,0,MROUND(IFERROR(V124*($P124/$AI124),0),100))</f>
        <v>0</v>
      </c>
      <c r="AP124" s="1">
        <f ca="1">IF(COUNTIFS($J$7:$J$510,Table7[[#Headers],[Renewables Market Intelligence]],$C$7:$C$510,$L124)&gt;0,0,MROUND(IFERROR(W124*($P124/$AI124),0),100))</f>
        <v>1300</v>
      </c>
      <c r="AQ124" s="1">
        <f ca="1">IF(COUNTIFS($J$7:$J$510,Table7[[#Headers],[Renewables RTM Analysis]],$C$7:$C$510,$L124)&gt;0,0,MROUND(IFERROR(X124*($P124/$AI124),0),100))</f>
        <v>1200</v>
      </c>
      <c r="AR124" s="1">
        <f>IF(COUNTIFS($J$7:$J$510,Table7[[#Headers],[Renewables Forecasts]],$C$7:$C$510,$L124)&gt;0,0,MROUND(IFERROR(Y124*($P124/$AI124),0),100))</f>
        <v>0</v>
      </c>
      <c r="AS124" s="1">
        <f ca="1">IF(COUNTIFS($J$7:$J$510,Table7[[#Headers],[Renewables Regulation]],$C$7:$C$510,$L124)&gt;0,0,MROUND(IFERROR(Z124*($P124/$AI124),0),100))</f>
        <v>1500</v>
      </c>
      <c r="AT124" s="1">
        <f ca="1">IF(COUNTIFS($J$7:$J$510,Table7[[#Headers],[Flexibility Market Intelligence]],$C$7:$C$510,$L124)&gt;0,0,MROUND(IFERROR(AA124*($P124/$AI124),0),100))</f>
        <v>1700</v>
      </c>
      <c r="AU124" s="1">
        <f ca="1">IF(COUNTIFS($J$7:$J$510,Table7[[#Headers],[Flexibility RTM Analysis]],$C$7:$C$510,$L124)&gt;0,0,MROUND(IFERROR(AB124*($P124/$AI124),0),100))</f>
        <v>600</v>
      </c>
      <c r="AV124" s="1">
        <f ca="1">IF(COUNTIFS($J$7:$J$510,Table7[[#Headers],[Flexibility Forecasts]],$C$7:$C$510,$L124)&gt;0,0,MROUND(IFERROR(AC124*($P124/$AI124),0),100))</f>
        <v>2400</v>
      </c>
      <c r="AW124" s="1">
        <f ca="1">IF(COUNTIFS($J$7:$J$510,Table7[[#Headers],[Flexibility Regulation]],$C$7:$C$510,$L124)&gt;0,0,MROUND(IFERROR(AD124*($P124/$AI124),0),100))</f>
        <v>1900</v>
      </c>
      <c r="AX124" s="1">
        <f ca="1">IF(COUNTIFS($J$7:$J$510,Table7[[#Headers],[Business Energy Essentials]],$C$7:$C$510,$L124)&gt;0,0,MROUND(IFERROR(AE124*($P124/$AI124),0),100))</f>
        <v>0</v>
      </c>
      <c r="AY124" s="1">
        <f ca="1">IF(COUNTIFS($J$7:$J$510,Table7[[#Headers],[Energy User RTM Analysis]],$C$7:$C$510,$L124)&gt;0,0,MROUND(IFERROR(AF124*($P124/$AI124),0),100))</f>
        <v>0</v>
      </c>
      <c r="AZ124" s="1">
        <f ca="1">IF(COUNTIFS($J$7:$J$510,Table7[[#Headers],[Energy User Forecasts]],$C$7:$C$510,$L124)&gt;0,0,MROUND(IFERROR(AG124*($P124/$AI124),0),100))</f>
        <v>0</v>
      </c>
      <c r="BA124" s="1">
        <f ca="1">IF(COUNTIFS($J$7:$J$510,Table7[[#Headers],[Energy User Regulation]],$C$7:$C$510,$L124)&gt;0,0,MROUND(IFERROR(AH124*($P124/$AI124),0),100))</f>
        <v>0</v>
      </c>
    </row>
    <row r="125" spans="2:53">
      <c r="B125" s="38" t="s">
        <v>2134</v>
      </c>
      <c r="C125" s="38" t="s">
        <v>230</v>
      </c>
      <c r="D125" s="38" t="s">
        <v>2059</v>
      </c>
      <c r="E125" s="38" t="s">
        <v>1808</v>
      </c>
      <c r="F125" s="63">
        <v>6400</v>
      </c>
      <c r="G125" s="38"/>
      <c r="H125" s="38" t="s">
        <v>1702</v>
      </c>
      <c r="I125" s="38" t="s">
        <v>1702</v>
      </c>
      <c r="J125" s="38" t="s">
        <v>25</v>
      </c>
      <c r="L125" s="1" t="str">
        <v>Mills &amp; Reeve LLP</v>
      </c>
      <c r="M125" s="1" t="str">
        <f t="shared" si="7"/>
        <v>Renewables</v>
      </c>
      <c r="N125" s="109">
        <f t="shared" si="8"/>
        <v>7000</v>
      </c>
      <c r="O125" s="1">
        <f>IFERROR(IF(INDEX(Table3[[Total Spend]:[Total Spend]],MATCH(L125,Table3[[Company name]:[Company name]],0))&gt;N125,INDEX(Table3[[Total Spend]:[Total Spend]],MATCH(L125,Table3[[Company name]:[Company name]])),N125),50000)</f>
        <v>10000</v>
      </c>
      <c r="P125" s="109">
        <f t="shared" si="9"/>
        <v>3000</v>
      </c>
      <c r="Q125" s="103">
        <f t="shared" si="10"/>
        <v>0.7</v>
      </c>
      <c r="R125" s="1">
        <f ca="1">IFERROR(INDEX(INDIRECT("Table3[Column"&amp;R$9&amp;"]"),MATCH($L125,Table3[[Company name]:[Company name]],0)),0)</f>
        <v>8100</v>
      </c>
      <c r="S125" s="1">
        <f ca="1">IFERROR(INDEX(INDIRECT("Table3[Column"&amp;S$9&amp;"]"),MATCH($L125,Table3[[Company name]:[Company name]],0)),0)</f>
        <v>0</v>
      </c>
      <c r="T125" s="1">
        <f ca="1">IFERROR(INDEX(INDIRECT("Table3[Column"&amp;T$9&amp;"]"),MATCH($L125,Table3[[Company name]:[Company name]],0)),0)</f>
        <v>0</v>
      </c>
      <c r="U125" s="1">
        <f ca="1">IFERROR(INDEX(INDIRECT("Table3[Column"&amp;U$9&amp;"]"),MATCH($L125,Table3[[Company name]:[Company name]],0)),0)</f>
        <v>0</v>
      </c>
      <c r="V125" s="1">
        <f ca="1">IFERROR(INDEX(INDIRECT("Table3[Column"&amp;V$9&amp;"]"),MATCH($L125,Table3[[Company name]:[Company name]],0)),0)</f>
        <v>0</v>
      </c>
      <c r="W125" s="1">
        <f ca="1">IFERROR(INDEX(INDIRECT("Table3[Column"&amp;W$9&amp;"]"),MATCH($L125,Table3[[Company name]:[Company name]],0)),0)</f>
        <v>0</v>
      </c>
      <c r="X125" s="1">
        <f ca="1">IFERROR(INDEX(INDIRECT("Table3[Column"&amp;X$9&amp;"]"),MATCH($L125,Table3[[Company name]:[Company name]],0)),0)</f>
        <v>0</v>
      </c>
      <c r="Y125" s="1">
        <f ca="1">IFERROR(INDEX(INDIRECT("Table3[Column"&amp;Y$9&amp;"]"),MATCH($L125,Table3[[Company name]:[Company name]],0)),0)</f>
        <v>0</v>
      </c>
      <c r="Z125" s="1">
        <f ca="1">IFERROR(INDEX(INDIRECT("Table3[Column"&amp;Z$9&amp;"]"),MATCH($L125,Table3[[Company name]:[Company name]],0)),0)</f>
        <v>0</v>
      </c>
      <c r="AA125" s="1">
        <f ca="1">IFERROR(INDEX(INDIRECT("Table3[Column"&amp;AA$9&amp;"]"),MATCH($L125,Table3[[Company name]:[Company name]],0)),0)</f>
        <v>0</v>
      </c>
      <c r="AB125" s="1">
        <f ca="1">IFERROR(INDEX(INDIRECT("Table3[Column"&amp;AB$9&amp;"]"),MATCH($L125,Table3[[Company name]:[Company name]],0)),0)</f>
        <v>0</v>
      </c>
      <c r="AC125" s="1">
        <f ca="1">IFERROR(INDEX(INDIRECT("Table3[Column"&amp;AC$9&amp;"]"),MATCH($L125,Table3[[Company name]:[Company name]],0)),0)</f>
        <v>0</v>
      </c>
      <c r="AD125" s="1">
        <f ca="1">IFERROR(INDEX(INDIRECT("Table3[Column"&amp;AD$9&amp;"]"),MATCH($L125,Table3[[Company name]:[Company name]],0)),0)</f>
        <v>0</v>
      </c>
      <c r="AE125" s="1">
        <f ca="1">IFERROR(INDEX(INDIRECT("Table3[Column"&amp;AE$9&amp;"]"),MATCH($L125,Table3[[Company name]:[Company name]],0)),0)</f>
        <v>0</v>
      </c>
      <c r="AF125" s="1">
        <f ca="1">IFERROR(INDEX(INDIRECT("Table3[Column"&amp;AF$9&amp;"]"),MATCH($L125,Table3[[Company name]:[Company name]],0)),0)</f>
        <v>0</v>
      </c>
      <c r="AG125" s="1">
        <f ca="1">IFERROR(INDEX(INDIRECT("Table3[Column"&amp;AG$9&amp;"]"),MATCH($L125,Table3[[Company name]:[Company name]],0)),0)</f>
        <v>0</v>
      </c>
      <c r="AH125" s="1">
        <f ca="1">IFERROR(INDEX(INDIRECT("Table3[Column"&amp;AH$9&amp;"]"),MATCH($L125,Table3[[Company name]:[Company name]],0)),0)</f>
        <v>0</v>
      </c>
      <c r="AI125" s="1">
        <f t="shared" ca="1" si="11"/>
        <v>8100</v>
      </c>
      <c r="AK125" s="1">
        <f>IF(COUNTIFS($J$7:$J$510,Table7[[#Headers],[Industry Essentials]],$C$7:$C$510,$L125)&gt;0,0,MROUND(R125,100))</f>
        <v>0</v>
      </c>
      <c r="AL125" s="1">
        <f ca="1">IF(COUNTIFS($J$7:$J$510,Table7[[#Headers],[Energy Supply Market Intelligence]],$C$7:$C$510,$L125)&gt;0,0,MROUND(IFERROR(S125*($P125/$AI125),0),100))</f>
        <v>0</v>
      </c>
      <c r="AM125" s="1">
        <f ca="1">IF(COUNTIFS($J$7:$J$510,Table7[[#Headers],[Energy Supply RTM Analysis]],$C$7:$C$510,$L125)&gt;0,0,MROUND(IFERROR(T125*($P125/$AI125),0),100))</f>
        <v>0</v>
      </c>
      <c r="AN125" s="1">
        <f ca="1">IF(COUNTIFS($J$7:$J$510,Table7[[#Headers],[Energy Supply Forecasts]],$C$7:$C$510,$L125)&gt;0,0,MROUND(IFERROR(U125*($P125/$AI125),0),100))</f>
        <v>0</v>
      </c>
      <c r="AO125" s="1">
        <f ca="1">IF(COUNTIFS($J$7:$J$510,Table7[[#Headers],[Energy Supply Regulation]],$C$7:$C$510,$L125)&gt;0,0,MROUND(IFERROR(V125*($P125/$AI125),0),100))</f>
        <v>0</v>
      </c>
      <c r="AP125" s="1">
        <f ca="1">IF(COUNTIFS($J$7:$J$510,Table7[[#Headers],[Renewables Market Intelligence]],$C$7:$C$510,$L125)&gt;0,0,MROUND(IFERROR(W125*($P125/$AI125),0),100))</f>
        <v>0</v>
      </c>
      <c r="AQ125" s="1">
        <f ca="1">IF(COUNTIFS($J$7:$J$510,Table7[[#Headers],[Renewables RTM Analysis]],$C$7:$C$510,$L125)&gt;0,0,MROUND(IFERROR(X125*($P125/$AI125),0),100))</f>
        <v>0</v>
      </c>
      <c r="AR125" s="1">
        <f ca="1">IF(COUNTIFS($J$7:$J$510,Table7[[#Headers],[Renewables Forecasts]],$C$7:$C$510,$L125)&gt;0,0,MROUND(IFERROR(Y125*($P125/$AI125),0),100))</f>
        <v>0</v>
      </c>
      <c r="AS125" s="1">
        <f ca="1">IF(COUNTIFS($J$7:$J$510,Table7[[#Headers],[Renewables Regulation]],$C$7:$C$510,$L125)&gt;0,0,MROUND(IFERROR(Z125*($P125/$AI125),0),100))</f>
        <v>0</v>
      </c>
      <c r="AT125" s="1">
        <f ca="1">IF(COUNTIFS($J$7:$J$510,Table7[[#Headers],[Flexibility Market Intelligence]],$C$7:$C$510,$L125)&gt;0,0,MROUND(IFERROR(AA125*($P125/$AI125),0),100))</f>
        <v>0</v>
      </c>
      <c r="AU125" s="1">
        <f ca="1">IF(COUNTIFS($J$7:$J$510,Table7[[#Headers],[Flexibility RTM Analysis]],$C$7:$C$510,$L125)&gt;0,0,MROUND(IFERROR(AB125*($P125/$AI125),0),100))</f>
        <v>0</v>
      </c>
      <c r="AV125" s="1">
        <f ca="1">IF(COUNTIFS($J$7:$J$510,Table7[[#Headers],[Flexibility Forecasts]],$C$7:$C$510,$L125)&gt;0,0,MROUND(IFERROR(AC125*($P125/$AI125),0),100))</f>
        <v>0</v>
      </c>
      <c r="AW125" s="1">
        <f ca="1">IF(COUNTIFS($J$7:$J$510,Table7[[#Headers],[Flexibility Regulation]],$C$7:$C$510,$L125)&gt;0,0,MROUND(IFERROR(AD125*($P125/$AI125),0),100))</f>
        <v>0</v>
      </c>
      <c r="AX125" s="1">
        <f ca="1">IF(COUNTIFS($J$7:$J$510,Table7[[#Headers],[Business Energy Essentials]],$C$7:$C$510,$L125)&gt;0,0,MROUND(IFERROR(AE125*($P125/$AI125),0),100))</f>
        <v>0</v>
      </c>
      <c r="AY125" s="1">
        <f ca="1">IF(COUNTIFS($J$7:$J$510,Table7[[#Headers],[Energy User RTM Analysis]],$C$7:$C$510,$L125)&gt;0,0,MROUND(IFERROR(AF125*($P125/$AI125),0),100))</f>
        <v>0</v>
      </c>
      <c r="AZ125" s="1">
        <f ca="1">IF(COUNTIFS($J$7:$J$510,Table7[[#Headers],[Energy User Forecasts]],$C$7:$C$510,$L125)&gt;0,0,MROUND(IFERROR(AG125*($P125/$AI125),0),100))</f>
        <v>0</v>
      </c>
      <c r="BA125" s="1">
        <f ca="1">IF(COUNTIFS($J$7:$J$510,Table7[[#Headers],[Energy User Regulation]],$C$7:$C$510,$L125)&gt;0,0,MROUND(IFERROR(AH125*($P125/$AI125),0),100))</f>
        <v>0</v>
      </c>
    </row>
    <row r="126" spans="2:53">
      <c r="B126" s="38" t="s">
        <v>2134</v>
      </c>
      <c r="C126" s="38" t="s">
        <v>230</v>
      </c>
      <c r="D126" s="38" t="s">
        <v>2057</v>
      </c>
      <c r="E126" s="38" t="s">
        <v>1826</v>
      </c>
      <c r="F126" s="63">
        <v>7900</v>
      </c>
      <c r="G126" s="38"/>
      <c r="H126" s="38" t="s">
        <v>1702</v>
      </c>
      <c r="I126" s="38" t="s">
        <v>1702</v>
      </c>
      <c r="J126" s="38" t="s">
        <v>27</v>
      </c>
      <c r="L126" s="1" t="str">
        <v>MoneySuperMarket.com Limited</v>
      </c>
      <c r="M126" s="1" t="str">
        <f t="shared" si="7"/>
        <v>Supply</v>
      </c>
      <c r="N126" s="109">
        <f t="shared" si="8"/>
        <v>14240.510000000002</v>
      </c>
      <c r="O126" s="1">
        <f>IFERROR(IF(INDEX(Table3[[Total Spend]:[Total Spend]],MATCH(L126,Table3[[Company name]:[Company name]],0))&gt;N126,INDEX(Table3[[Total Spend]:[Total Spend]],MATCH(L126,Table3[[Company name]:[Company name]])),N126),50000)</f>
        <v>50000</v>
      </c>
      <c r="P126" s="109">
        <f t="shared" si="9"/>
        <v>35759.49</v>
      </c>
      <c r="Q126" s="103">
        <f t="shared" si="10"/>
        <v>0.28481020000000001</v>
      </c>
      <c r="R126" s="1">
        <f ca="1">IFERROR(INDEX(INDIRECT("Table3[Column"&amp;R$9&amp;"]"),MATCH($L126,Table3[[Company name]:[Company name]],0)),0)</f>
        <v>0</v>
      </c>
      <c r="S126" s="1">
        <f ca="1">IFERROR(INDEX(INDIRECT("Table3[Column"&amp;S$9&amp;"]"),MATCH($L126,Table3[[Company name]:[Company name]],0)),0)</f>
        <v>0</v>
      </c>
      <c r="T126" s="1">
        <f ca="1">IFERROR(INDEX(INDIRECT("Table3[Column"&amp;T$9&amp;"]"),MATCH($L126,Table3[[Company name]:[Company name]],0)),0)</f>
        <v>0</v>
      </c>
      <c r="U126" s="1">
        <f ca="1">IFERROR(INDEX(INDIRECT("Table3[Column"&amp;U$9&amp;"]"),MATCH($L126,Table3[[Company name]:[Company name]],0)),0)</f>
        <v>0</v>
      </c>
      <c r="V126" s="1">
        <f ca="1">IFERROR(INDEX(INDIRECT("Table3[Column"&amp;V$9&amp;"]"),MATCH($L126,Table3[[Company name]:[Company name]],0)),0)</f>
        <v>0</v>
      </c>
      <c r="W126" s="1">
        <f ca="1">IFERROR(INDEX(INDIRECT("Table3[Column"&amp;W$9&amp;"]"),MATCH($L126,Table3[[Company name]:[Company name]],0)),0)</f>
        <v>0</v>
      </c>
      <c r="X126" s="1">
        <f ca="1">IFERROR(INDEX(INDIRECT("Table3[Column"&amp;X$9&amp;"]"),MATCH($L126,Table3[[Company name]:[Company name]],0)),0)</f>
        <v>0</v>
      </c>
      <c r="Y126" s="1">
        <f ca="1">IFERROR(INDEX(INDIRECT("Table3[Column"&amp;Y$9&amp;"]"),MATCH($L126,Table3[[Company name]:[Company name]],0)),0)</f>
        <v>0</v>
      </c>
      <c r="Z126" s="1">
        <f ca="1">IFERROR(INDEX(INDIRECT("Table3[Column"&amp;Z$9&amp;"]"),MATCH($L126,Table3[[Company name]:[Company name]],0)),0)</f>
        <v>0</v>
      </c>
      <c r="AA126" s="1">
        <f ca="1">IFERROR(INDEX(INDIRECT("Table3[Column"&amp;AA$9&amp;"]"),MATCH($L126,Table3[[Company name]:[Company name]],0)),0)</f>
        <v>0</v>
      </c>
      <c r="AB126" s="1">
        <f ca="1">IFERROR(INDEX(INDIRECT("Table3[Column"&amp;AB$9&amp;"]"),MATCH($L126,Table3[[Company name]:[Company name]],0)),0)</f>
        <v>0</v>
      </c>
      <c r="AC126" s="1">
        <f ca="1">IFERROR(INDEX(INDIRECT("Table3[Column"&amp;AC$9&amp;"]"),MATCH($L126,Table3[[Company name]:[Company name]],0)),0)</f>
        <v>0</v>
      </c>
      <c r="AD126" s="1">
        <f ca="1">IFERROR(INDEX(INDIRECT("Table3[Column"&amp;AD$9&amp;"]"),MATCH($L126,Table3[[Company name]:[Company name]],0)),0)</f>
        <v>0</v>
      </c>
      <c r="AE126" s="1">
        <f ca="1">IFERROR(INDEX(INDIRECT("Table3[Column"&amp;AE$9&amp;"]"),MATCH($L126,Table3[[Company name]:[Company name]],0)),0)</f>
        <v>0</v>
      </c>
      <c r="AF126" s="1">
        <f ca="1">IFERROR(INDEX(INDIRECT("Table3[Column"&amp;AF$9&amp;"]"),MATCH($L126,Table3[[Company name]:[Company name]],0)),0)</f>
        <v>0</v>
      </c>
      <c r="AG126" s="1">
        <f ca="1">IFERROR(INDEX(INDIRECT("Table3[Column"&amp;AG$9&amp;"]"),MATCH($L126,Table3[[Company name]:[Company name]],0)),0)</f>
        <v>0</v>
      </c>
      <c r="AH126" s="1">
        <f ca="1">IFERROR(INDEX(INDIRECT("Table3[Column"&amp;AH$9&amp;"]"),MATCH($L126,Table3[[Company name]:[Company name]],0)),0)</f>
        <v>0</v>
      </c>
      <c r="AI126" s="1">
        <f t="shared" ca="1" si="11"/>
        <v>0</v>
      </c>
      <c r="AK126" s="1">
        <f>IF(COUNTIFS($J$7:$J$510,Table7[[#Headers],[Industry Essentials]],$C$7:$C$510,$L126)&gt;0,0,MROUND(R126,100))</f>
        <v>0</v>
      </c>
      <c r="AL126" s="1">
        <f>IF(COUNTIFS($J$7:$J$510,Table7[[#Headers],[Energy Supply Market Intelligence]],$C$7:$C$510,$L126)&gt;0,0,MROUND(IFERROR(S126*($P126/$AI126),0),100))</f>
        <v>0</v>
      </c>
      <c r="AM126" s="1">
        <f ca="1">IF(COUNTIFS($J$7:$J$510,Table7[[#Headers],[Energy Supply RTM Analysis]],$C$7:$C$510,$L126)&gt;0,0,MROUND(IFERROR(T126*($P126/$AI126),0),100))</f>
        <v>0</v>
      </c>
      <c r="AN126" s="1">
        <f ca="1">IF(COUNTIFS($J$7:$J$510,Table7[[#Headers],[Energy Supply Forecasts]],$C$7:$C$510,$L126)&gt;0,0,MROUND(IFERROR(U126*($P126/$AI126),0),100))</f>
        <v>0</v>
      </c>
      <c r="AO126" s="1">
        <f ca="1">IF(COUNTIFS($J$7:$J$510,Table7[[#Headers],[Energy Supply Regulation]],$C$7:$C$510,$L126)&gt;0,0,MROUND(IFERROR(V126*($P126/$AI126),0),100))</f>
        <v>0</v>
      </c>
      <c r="AP126" s="1">
        <f ca="1">IF(COUNTIFS($J$7:$J$510,Table7[[#Headers],[Renewables Market Intelligence]],$C$7:$C$510,$L126)&gt;0,0,MROUND(IFERROR(W126*($P126/$AI126),0),100))</f>
        <v>0</v>
      </c>
      <c r="AQ126" s="1">
        <f ca="1">IF(COUNTIFS($J$7:$J$510,Table7[[#Headers],[Renewables RTM Analysis]],$C$7:$C$510,$L126)&gt;0,0,MROUND(IFERROR(X126*($P126/$AI126),0),100))</f>
        <v>0</v>
      </c>
      <c r="AR126" s="1">
        <f ca="1">IF(COUNTIFS($J$7:$J$510,Table7[[#Headers],[Renewables Forecasts]],$C$7:$C$510,$L126)&gt;0,0,MROUND(IFERROR(Y126*($P126/$AI126),0),100))</f>
        <v>0</v>
      </c>
      <c r="AS126" s="1">
        <f ca="1">IF(COUNTIFS($J$7:$J$510,Table7[[#Headers],[Renewables Regulation]],$C$7:$C$510,$L126)&gt;0,0,MROUND(IFERROR(Z126*($P126/$AI126),0),100))</f>
        <v>0</v>
      </c>
      <c r="AT126" s="1">
        <f ca="1">IF(COUNTIFS($J$7:$J$510,Table7[[#Headers],[Flexibility Market Intelligence]],$C$7:$C$510,$L126)&gt;0,0,MROUND(IFERROR(AA126*($P126/$AI126),0),100))</f>
        <v>0</v>
      </c>
      <c r="AU126" s="1">
        <f ca="1">IF(COUNTIFS($J$7:$J$510,Table7[[#Headers],[Flexibility RTM Analysis]],$C$7:$C$510,$L126)&gt;0,0,MROUND(IFERROR(AB126*($P126/$AI126),0),100))</f>
        <v>0</v>
      </c>
      <c r="AV126" s="1">
        <f ca="1">IF(COUNTIFS($J$7:$J$510,Table7[[#Headers],[Flexibility Forecasts]],$C$7:$C$510,$L126)&gt;0,0,MROUND(IFERROR(AC126*($P126/$AI126),0),100))</f>
        <v>0</v>
      </c>
      <c r="AW126" s="1">
        <f ca="1">IF(COUNTIFS($J$7:$J$510,Table7[[#Headers],[Flexibility Regulation]],$C$7:$C$510,$L126)&gt;0,0,MROUND(IFERROR(AD126*($P126/$AI126),0),100))</f>
        <v>0</v>
      </c>
      <c r="AX126" s="1">
        <f ca="1">IF(COUNTIFS($J$7:$J$510,Table7[[#Headers],[Business Energy Essentials]],$C$7:$C$510,$L126)&gt;0,0,MROUND(IFERROR(AE126*($P126/$AI126),0),100))</f>
        <v>0</v>
      </c>
      <c r="AY126" s="1">
        <f ca="1">IF(COUNTIFS($J$7:$J$510,Table7[[#Headers],[Energy User RTM Analysis]],$C$7:$C$510,$L126)&gt;0,0,MROUND(IFERROR(AF126*($P126/$AI126),0),100))</f>
        <v>0</v>
      </c>
      <c r="AZ126" s="1">
        <f ca="1">IF(COUNTIFS($J$7:$J$510,Table7[[#Headers],[Energy User Forecasts]],$C$7:$C$510,$L126)&gt;0,0,MROUND(IFERROR(AG126*($P126/$AI126),0),100))</f>
        <v>0</v>
      </c>
      <c r="BA126" s="1">
        <f ca="1">IF(COUNTIFS($J$7:$J$510,Table7[[#Headers],[Energy User Regulation]],$C$7:$C$510,$L126)&gt;0,0,MROUND(IFERROR(AH126*($P126/$AI126),0),100))</f>
        <v>0</v>
      </c>
    </row>
    <row r="127" spans="2:53">
      <c r="B127" s="38" t="s">
        <v>2134</v>
      </c>
      <c r="C127" s="38" t="s">
        <v>230</v>
      </c>
      <c r="D127" s="38" t="s">
        <v>2048</v>
      </c>
      <c r="E127" s="38" t="s">
        <v>2049</v>
      </c>
      <c r="F127" s="63">
        <v>7200</v>
      </c>
      <c r="G127" s="38"/>
      <c r="H127" s="38" t="s">
        <v>1702</v>
      </c>
      <c r="I127" s="38" t="s">
        <v>2032</v>
      </c>
      <c r="J127" s="38" t="s">
        <v>20</v>
      </c>
      <c r="L127" s="1" t="str">
        <v>Motability Operations</v>
      </c>
      <c r="M127" s="1" t="str">
        <f t="shared" si="7"/>
        <v>Supply</v>
      </c>
      <c r="N127" s="109">
        <f t="shared" si="8"/>
        <v>15865</v>
      </c>
      <c r="O127" s="1">
        <f>IFERROR(IF(INDEX(Table3[[Total Spend]:[Total Spend]],MATCH(L127,Table3[[Company name]:[Company name]],0))&gt;N127,INDEX(Table3[[Total Spend]:[Total Spend]],MATCH(L127,Table3[[Company name]:[Company name]])),N127),50000)</f>
        <v>150000</v>
      </c>
      <c r="P127" s="109">
        <f t="shared" si="9"/>
        <v>134135</v>
      </c>
      <c r="Q127" s="103">
        <f t="shared" si="10"/>
        <v>0.10576666666666666</v>
      </c>
      <c r="R127" s="1">
        <f ca="1">IFERROR(INDEX(INDIRECT("Table3[Column"&amp;R$9&amp;"]"),MATCH($L127,Table3[[Company name]:[Company name]],0)),0)</f>
        <v>0</v>
      </c>
      <c r="S127" s="1">
        <f ca="1">IFERROR(INDEX(INDIRECT("Table3[Column"&amp;S$9&amp;"]"),MATCH($L127,Table3[[Company name]:[Company name]],0)),0)</f>
        <v>0</v>
      </c>
      <c r="T127" s="1">
        <f ca="1">IFERROR(INDEX(INDIRECT("Table3[Column"&amp;T$9&amp;"]"),MATCH($L127,Table3[[Company name]:[Company name]],0)),0)</f>
        <v>0</v>
      </c>
      <c r="U127" s="1">
        <f ca="1">IFERROR(INDEX(INDIRECT("Table3[Column"&amp;U$9&amp;"]"),MATCH($L127,Table3[[Company name]:[Company name]],0)),0)</f>
        <v>0</v>
      </c>
      <c r="V127" s="1">
        <f ca="1">IFERROR(INDEX(INDIRECT("Table3[Column"&amp;V$9&amp;"]"),MATCH($L127,Table3[[Company name]:[Company name]],0)),0)</f>
        <v>0</v>
      </c>
      <c r="W127" s="1">
        <f ca="1">IFERROR(INDEX(INDIRECT("Table3[Column"&amp;W$9&amp;"]"),MATCH($L127,Table3[[Company name]:[Company name]],0)),0)</f>
        <v>0</v>
      </c>
      <c r="X127" s="1">
        <f ca="1">IFERROR(INDEX(INDIRECT("Table3[Column"&amp;X$9&amp;"]"),MATCH($L127,Table3[[Company name]:[Company name]],0)),0)</f>
        <v>0</v>
      </c>
      <c r="Y127" s="1">
        <f ca="1">IFERROR(INDEX(INDIRECT("Table3[Column"&amp;Y$9&amp;"]"),MATCH($L127,Table3[[Company name]:[Company name]],0)),0)</f>
        <v>0</v>
      </c>
      <c r="Z127" s="1">
        <f ca="1">IFERROR(INDEX(INDIRECT("Table3[Column"&amp;Z$9&amp;"]"),MATCH($L127,Table3[[Company name]:[Company name]],0)),0)</f>
        <v>0</v>
      </c>
      <c r="AA127" s="1">
        <f ca="1">IFERROR(INDEX(INDIRECT("Table3[Column"&amp;AA$9&amp;"]"),MATCH($L127,Table3[[Company name]:[Company name]],0)),0)</f>
        <v>0</v>
      </c>
      <c r="AB127" s="1">
        <f ca="1">IFERROR(INDEX(INDIRECT("Table3[Column"&amp;AB$9&amp;"]"),MATCH($L127,Table3[[Company name]:[Company name]],0)),0)</f>
        <v>0</v>
      </c>
      <c r="AC127" s="1">
        <f ca="1">IFERROR(INDEX(INDIRECT("Table3[Column"&amp;AC$9&amp;"]"),MATCH($L127,Table3[[Company name]:[Company name]],0)),0)</f>
        <v>0</v>
      </c>
      <c r="AD127" s="1">
        <f ca="1">IFERROR(INDEX(INDIRECT("Table3[Column"&amp;AD$9&amp;"]"),MATCH($L127,Table3[[Company name]:[Company name]],0)),0)</f>
        <v>0</v>
      </c>
      <c r="AE127" s="1">
        <f ca="1">IFERROR(INDEX(INDIRECT("Table3[Column"&amp;AE$9&amp;"]"),MATCH($L127,Table3[[Company name]:[Company name]],0)),0)</f>
        <v>10800</v>
      </c>
      <c r="AF127" s="1">
        <f ca="1">IFERROR(INDEX(INDIRECT("Table3[Column"&amp;AF$9&amp;"]"),MATCH($L127,Table3[[Company name]:[Company name]],0)),0)</f>
        <v>11250</v>
      </c>
      <c r="AG127" s="1">
        <f ca="1">IFERROR(INDEX(INDIRECT("Table3[Column"&amp;AG$9&amp;"]"),MATCH($L127,Table3[[Company name]:[Company name]],0)),0)</f>
        <v>19800</v>
      </c>
      <c r="AH127" s="1">
        <f ca="1">IFERROR(INDEX(INDIRECT("Table3[Column"&amp;AH$9&amp;"]"),MATCH($L127,Table3[[Company name]:[Company name]],0)),0)</f>
        <v>4500</v>
      </c>
      <c r="AI127" s="1">
        <f t="shared" ca="1" si="11"/>
        <v>46350</v>
      </c>
      <c r="AK127" s="1">
        <f>IF(COUNTIFS($J$7:$J$510,Table7[[#Headers],[Industry Essentials]],$C$7:$C$510,$L127)&gt;0,0,MROUND(R127,100))</f>
        <v>0</v>
      </c>
      <c r="AL127" s="1">
        <f ca="1">IF(COUNTIFS($J$7:$J$510,Table7[[#Headers],[Energy Supply Market Intelligence]],$C$7:$C$510,$L127)&gt;0,0,MROUND(IFERROR(S127*($P127/$AI127),0),100))</f>
        <v>0</v>
      </c>
      <c r="AM127" s="1">
        <f ca="1">IF(COUNTIFS($J$7:$J$510,Table7[[#Headers],[Energy Supply RTM Analysis]],$C$7:$C$510,$L127)&gt;0,0,MROUND(IFERROR(T127*($P127/$AI127),0),100))</f>
        <v>0</v>
      </c>
      <c r="AN127" s="1">
        <f ca="1">IF(COUNTIFS($J$7:$J$510,Table7[[#Headers],[Energy Supply Forecasts]],$C$7:$C$510,$L127)&gt;0,0,MROUND(IFERROR(U127*($P127/$AI127),0),100))</f>
        <v>0</v>
      </c>
      <c r="AO127" s="1">
        <f ca="1">IF(COUNTIFS($J$7:$J$510,Table7[[#Headers],[Energy Supply Regulation]],$C$7:$C$510,$L127)&gt;0,0,MROUND(IFERROR(V127*($P127/$AI127),0),100))</f>
        <v>0</v>
      </c>
      <c r="AP127" s="1">
        <f ca="1">IF(COUNTIFS($J$7:$J$510,Table7[[#Headers],[Renewables Market Intelligence]],$C$7:$C$510,$L127)&gt;0,0,MROUND(IFERROR(W127*($P127/$AI127),0),100))</f>
        <v>0</v>
      </c>
      <c r="AQ127" s="1">
        <f ca="1">IF(COUNTIFS($J$7:$J$510,Table7[[#Headers],[Renewables RTM Analysis]],$C$7:$C$510,$L127)&gt;0,0,MROUND(IFERROR(X127*($P127/$AI127),0),100))</f>
        <v>0</v>
      </c>
      <c r="AR127" s="1">
        <f ca="1">IF(COUNTIFS($J$7:$J$510,Table7[[#Headers],[Renewables Forecasts]],$C$7:$C$510,$L127)&gt;0,0,MROUND(IFERROR(Y127*($P127/$AI127),0),100))</f>
        <v>0</v>
      </c>
      <c r="AS127" s="1">
        <f ca="1">IF(COUNTIFS($J$7:$J$510,Table7[[#Headers],[Renewables Regulation]],$C$7:$C$510,$L127)&gt;0,0,MROUND(IFERROR(Z127*($P127/$AI127),0),100))</f>
        <v>0</v>
      </c>
      <c r="AT127" s="1">
        <f ca="1">IF(COUNTIFS($J$7:$J$510,Table7[[#Headers],[Flexibility Market Intelligence]],$C$7:$C$510,$L127)&gt;0,0,MROUND(IFERROR(AA127*($P127/$AI127),0),100))</f>
        <v>0</v>
      </c>
      <c r="AU127" s="1">
        <f ca="1">IF(COUNTIFS($J$7:$J$510,Table7[[#Headers],[Flexibility RTM Analysis]],$C$7:$C$510,$L127)&gt;0,0,MROUND(IFERROR(AB127*($P127/$AI127),0),100))</f>
        <v>0</v>
      </c>
      <c r="AV127" s="1">
        <f ca="1">IF(COUNTIFS($J$7:$J$510,Table7[[#Headers],[Flexibility Forecasts]],$C$7:$C$510,$L127)&gt;0,0,MROUND(IFERROR(AC127*($P127/$AI127),0),100))</f>
        <v>0</v>
      </c>
      <c r="AW127" s="1">
        <f ca="1">IF(COUNTIFS($J$7:$J$510,Table7[[#Headers],[Flexibility Regulation]],$C$7:$C$510,$L127)&gt;0,0,MROUND(IFERROR(AD127*($P127/$AI127),0),100))</f>
        <v>0</v>
      </c>
      <c r="AX127" s="1">
        <f ca="1">IF(COUNTIFS($J$7:$J$510,Table7[[#Headers],[Business Energy Essentials]],$C$7:$C$510,$L127)&gt;0,0,MROUND(IFERROR(AE127*($P127/$AI127),0),100))</f>
        <v>31300</v>
      </c>
      <c r="AY127" s="1">
        <f>IF(COUNTIFS($J$7:$J$510,Table7[[#Headers],[Energy User RTM Analysis]],$C$7:$C$510,$L127)&gt;0,0,MROUND(IFERROR(AF127*($P127/$AI127),0),100))</f>
        <v>0</v>
      </c>
      <c r="AZ127" s="1">
        <f ca="1">IF(COUNTIFS($J$7:$J$510,Table7[[#Headers],[Energy User Forecasts]],$C$7:$C$510,$L127)&gt;0,0,MROUND(IFERROR(AG127*($P127/$AI127),0),100))</f>
        <v>57300</v>
      </c>
      <c r="BA127" s="1">
        <f ca="1">IF(COUNTIFS($J$7:$J$510,Table7[[#Headers],[Energy User Regulation]],$C$7:$C$510,$L127)&gt;0,0,MROUND(IFERROR(AH127*($P127/$AI127),0),100))</f>
        <v>13000</v>
      </c>
    </row>
    <row r="128" spans="2:53">
      <c r="B128" s="38" t="s">
        <v>2135</v>
      </c>
      <c r="C128" s="38" t="s">
        <v>1225</v>
      </c>
      <c r="D128" s="38" t="s">
        <v>2035</v>
      </c>
      <c r="E128" s="38" t="s">
        <v>1855</v>
      </c>
      <c r="F128" s="63">
        <v>2950</v>
      </c>
      <c r="G128" s="38"/>
      <c r="H128" s="38" t="s">
        <v>2032</v>
      </c>
      <c r="I128" s="38" t="s">
        <v>2032</v>
      </c>
      <c r="J128" s="38" t="s">
        <v>20</v>
      </c>
      <c r="L128" s="1" t="str">
        <v>Moto Hospitality Ltd</v>
      </c>
      <c r="M128" s="1" t="str">
        <f t="shared" si="7"/>
        <v>Energy User</v>
      </c>
      <c r="N128" s="109">
        <f t="shared" si="8"/>
        <v>22800</v>
      </c>
      <c r="O128" s="1">
        <f>IFERROR(IF(INDEX(Table3[[Total Spend]:[Total Spend]],MATCH(L128,Table3[[Company name]:[Company name]],0))&gt;N128,INDEX(Table3[[Total Spend]:[Total Spend]],MATCH(L128,Table3[[Company name]:[Company name]])),N128),50000)</f>
        <v>150000</v>
      </c>
      <c r="P128" s="109">
        <f t="shared" si="9"/>
        <v>127200</v>
      </c>
      <c r="Q128" s="103">
        <f t="shared" si="10"/>
        <v>0.152</v>
      </c>
      <c r="R128" s="1">
        <f ca="1">IFERROR(INDEX(INDIRECT("Table3[Column"&amp;R$9&amp;"]"),MATCH($L128,Table3[[Company name]:[Company name]],0)),0)</f>
        <v>0</v>
      </c>
      <c r="S128" s="1">
        <f ca="1">IFERROR(INDEX(INDIRECT("Table3[Column"&amp;S$9&amp;"]"),MATCH($L128,Table3[[Company name]:[Company name]],0)),0)</f>
        <v>0</v>
      </c>
      <c r="T128" s="1">
        <f ca="1">IFERROR(INDEX(INDIRECT("Table3[Column"&amp;T$9&amp;"]"),MATCH($L128,Table3[[Company name]:[Company name]],0)),0)</f>
        <v>0</v>
      </c>
      <c r="U128" s="1">
        <f ca="1">IFERROR(INDEX(INDIRECT("Table3[Column"&amp;U$9&amp;"]"),MATCH($L128,Table3[[Company name]:[Company name]],0)),0)</f>
        <v>0</v>
      </c>
      <c r="V128" s="1">
        <f ca="1">IFERROR(INDEX(INDIRECT("Table3[Column"&amp;V$9&amp;"]"),MATCH($L128,Table3[[Company name]:[Company name]],0)),0)</f>
        <v>0</v>
      </c>
      <c r="W128" s="1">
        <f ca="1">IFERROR(INDEX(INDIRECT("Table3[Column"&amp;W$9&amp;"]"),MATCH($L128,Table3[[Company name]:[Company name]],0)),0)</f>
        <v>0</v>
      </c>
      <c r="X128" s="1">
        <f ca="1">IFERROR(INDEX(INDIRECT("Table3[Column"&amp;X$9&amp;"]"),MATCH($L128,Table3[[Company name]:[Company name]],0)),0)</f>
        <v>0</v>
      </c>
      <c r="Y128" s="1">
        <f ca="1">IFERROR(INDEX(INDIRECT("Table3[Column"&amp;Y$9&amp;"]"),MATCH($L128,Table3[[Company name]:[Company name]],0)),0)</f>
        <v>0</v>
      </c>
      <c r="Z128" s="1">
        <f ca="1">IFERROR(INDEX(INDIRECT("Table3[Column"&amp;Z$9&amp;"]"),MATCH($L128,Table3[[Company name]:[Company name]],0)),0)</f>
        <v>0</v>
      </c>
      <c r="AA128" s="1">
        <f ca="1">IFERROR(INDEX(INDIRECT("Table3[Column"&amp;AA$9&amp;"]"),MATCH($L128,Table3[[Company name]:[Company name]],0)),0)</f>
        <v>0</v>
      </c>
      <c r="AB128" s="1">
        <f ca="1">IFERROR(INDEX(INDIRECT("Table3[Column"&amp;AB$9&amp;"]"),MATCH($L128,Table3[[Company name]:[Company name]],0)),0)</f>
        <v>0</v>
      </c>
      <c r="AC128" s="1">
        <f ca="1">IFERROR(INDEX(INDIRECT("Table3[Column"&amp;AC$9&amp;"]"),MATCH($L128,Table3[[Company name]:[Company name]],0)),0)</f>
        <v>0</v>
      </c>
      <c r="AD128" s="1">
        <f ca="1">IFERROR(INDEX(INDIRECT("Table3[Column"&amp;AD$9&amp;"]"),MATCH($L128,Table3[[Company name]:[Company name]],0)),0)</f>
        <v>0</v>
      </c>
      <c r="AE128" s="1">
        <f ca="1">IFERROR(INDEX(INDIRECT("Table3[Column"&amp;AE$9&amp;"]"),MATCH($L128,Table3[[Company name]:[Company name]],0)),0)</f>
        <v>10800</v>
      </c>
      <c r="AF128" s="1">
        <f ca="1">IFERROR(INDEX(INDIRECT("Table3[Column"&amp;AF$9&amp;"]"),MATCH($L128,Table3[[Company name]:[Company name]],0)),0)</f>
        <v>11250</v>
      </c>
      <c r="AG128" s="1">
        <f ca="1">IFERROR(INDEX(INDIRECT("Table3[Column"&amp;AG$9&amp;"]"),MATCH($L128,Table3[[Company name]:[Company name]],0)),0)</f>
        <v>19800</v>
      </c>
      <c r="AH128" s="1">
        <f ca="1">IFERROR(INDEX(INDIRECT("Table3[Column"&amp;AH$9&amp;"]"),MATCH($L128,Table3[[Company name]:[Company name]],0)),0)</f>
        <v>4500</v>
      </c>
      <c r="AI128" s="1">
        <f t="shared" ca="1" si="11"/>
        <v>46350</v>
      </c>
      <c r="AK128" s="1">
        <f>IF(COUNTIFS($J$7:$J$510,Table7[[#Headers],[Industry Essentials]],$C$7:$C$510,$L128)&gt;0,0,MROUND(R128,100))</f>
        <v>0</v>
      </c>
      <c r="AL128" s="1">
        <f ca="1">IF(COUNTIFS($J$7:$J$510,Table7[[#Headers],[Energy Supply Market Intelligence]],$C$7:$C$510,$L128)&gt;0,0,MROUND(IFERROR(S128*($P128/$AI128),0),100))</f>
        <v>0</v>
      </c>
      <c r="AM128" s="1">
        <f ca="1">IF(COUNTIFS($J$7:$J$510,Table7[[#Headers],[Energy Supply RTM Analysis]],$C$7:$C$510,$L128)&gt;0,0,MROUND(IFERROR(T128*($P128/$AI128),0),100))</f>
        <v>0</v>
      </c>
      <c r="AN128" s="1">
        <f ca="1">IF(COUNTIFS($J$7:$J$510,Table7[[#Headers],[Energy Supply Forecasts]],$C$7:$C$510,$L128)&gt;0,0,MROUND(IFERROR(U128*($P128/$AI128),0),100))</f>
        <v>0</v>
      </c>
      <c r="AO128" s="1">
        <f ca="1">IF(COUNTIFS($J$7:$J$510,Table7[[#Headers],[Energy Supply Regulation]],$C$7:$C$510,$L128)&gt;0,0,MROUND(IFERROR(V128*($P128/$AI128),0),100))</f>
        <v>0</v>
      </c>
      <c r="AP128" s="1">
        <f ca="1">IF(COUNTIFS($J$7:$J$510,Table7[[#Headers],[Renewables Market Intelligence]],$C$7:$C$510,$L128)&gt;0,0,MROUND(IFERROR(W128*($P128/$AI128),0),100))</f>
        <v>0</v>
      </c>
      <c r="AQ128" s="1">
        <f ca="1">IF(COUNTIFS($J$7:$J$510,Table7[[#Headers],[Renewables RTM Analysis]],$C$7:$C$510,$L128)&gt;0,0,MROUND(IFERROR(X128*($P128/$AI128),0),100))</f>
        <v>0</v>
      </c>
      <c r="AR128" s="1">
        <f>IF(COUNTIFS($J$7:$J$510,Table7[[#Headers],[Renewables Forecasts]],$C$7:$C$510,$L128)&gt;0,0,MROUND(IFERROR(Y128*($P128/$AI128),0),100))</f>
        <v>0</v>
      </c>
      <c r="AS128" s="1">
        <f ca="1">IF(COUNTIFS($J$7:$J$510,Table7[[#Headers],[Renewables Regulation]],$C$7:$C$510,$L128)&gt;0,0,MROUND(IFERROR(Z128*($P128/$AI128),0),100))</f>
        <v>0</v>
      </c>
      <c r="AT128" s="1">
        <f ca="1">IF(COUNTIFS($J$7:$J$510,Table7[[#Headers],[Flexibility Market Intelligence]],$C$7:$C$510,$L128)&gt;0,0,MROUND(IFERROR(AA128*($P128/$AI128),0),100))</f>
        <v>0</v>
      </c>
      <c r="AU128" s="1">
        <f ca="1">IF(COUNTIFS($J$7:$J$510,Table7[[#Headers],[Flexibility RTM Analysis]],$C$7:$C$510,$L128)&gt;0,0,MROUND(IFERROR(AB128*($P128/$AI128),0),100))</f>
        <v>0</v>
      </c>
      <c r="AV128" s="1">
        <f ca="1">IF(COUNTIFS($J$7:$J$510,Table7[[#Headers],[Flexibility Forecasts]],$C$7:$C$510,$L128)&gt;0,0,MROUND(IFERROR(AC128*($P128/$AI128),0),100))</f>
        <v>0</v>
      </c>
      <c r="AW128" s="1">
        <f ca="1">IF(COUNTIFS($J$7:$J$510,Table7[[#Headers],[Flexibility Regulation]],$C$7:$C$510,$L128)&gt;0,0,MROUND(IFERROR(AD128*($P128/$AI128),0),100))</f>
        <v>0</v>
      </c>
      <c r="AX128" s="1">
        <f ca="1">IF(COUNTIFS($J$7:$J$510,Table7[[#Headers],[Business Energy Essentials]],$C$7:$C$510,$L128)&gt;0,0,MROUND(IFERROR(AE128*($P128/$AI128),0),100))</f>
        <v>29600</v>
      </c>
      <c r="AY128" s="1">
        <f ca="1">IF(COUNTIFS($J$7:$J$510,Table7[[#Headers],[Energy User RTM Analysis]],$C$7:$C$510,$L128)&gt;0,0,MROUND(IFERROR(AF128*($P128/$AI128),0),100))</f>
        <v>30900</v>
      </c>
      <c r="AZ128" s="1">
        <f ca="1">IF(COUNTIFS($J$7:$J$510,Table7[[#Headers],[Energy User Forecasts]],$C$7:$C$510,$L128)&gt;0,0,MROUND(IFERROR(AG128*($P128/$AI128),0),100))</f>
        <v>54300</v>
      </c>
      <c r="BA128" s="1">
        <f ca="1">IF(COUNTIFS($J$7:$J$510,Table7[[#Headers],[Energy User Regulation]],$C$7:$C$510,$L128)&gt;0,0,MROUND(IFERROR(AH128*($P128/$AI128),0),100))</f>
        <v>12300</v>
      </c>
    </row>
    <row r="129" spans="2:53">
      <c r="B129" s="38" t="s">
        <v>2135</v>
      </c>
      <c r="C129" s="38" t="s">
        <v>1225</v>
      </c>
      <c r="D129" s="38" t="s">
        <v>2136</v>
      </c>
      <c r="E129" s="38" t="e">
        <v>#N/A</v>
      </c>
      <c r="F129" s="63">
        <v>3350</v>
      </c>
      <c r="G129" s="38"/>
      <c r="H129" s="38" t="s">
        <v>2032</v>
      </c>
      <c r="I129" s="38" t="s">
        <v>2032</v>
      </c>
      <c r="J129" s="38" t="s">
        <v>20</v>
      </c>
      <c r="L129" s="1" t="str">
        <v>Mott MacDonald</v>
      </c>
      <c r="M129" s="1" t="str">
        <f t="shared" si="7"/>
        <v>Other</v>
      </c>
      <c r="N129" s="109">
        <f t="shared" si="8"/>
        <v>7500</v>
      </c>
      <c r="O129" s="1">
        <f>IFERROR(IF(INDEX(Table3[[Total Spend]:[Total Spend]],MATCH(L129,Table3[[Company name]:[Company name]],0))&gt;N129,INDEX(Table3[[Total Spend]:[Total Spend]],MATCH(L129,Table3[[Company name]:[Company name]])),N129),50000)</f>
        <v>150000</v>
      </c>
      <c r="P129" s="109">
        <f t="shared" si="9"/>
        <v>142500</v>
      </c>
      <c r="Q129" s="103">
        <f t="shared" si="10"/>
        <v>0.05</v>
      </c>
      <c r="R129" s="1">
        <f ca="1">IFERROR(INDEX(INDIRECT("Table3[Column"&amp;R$9&amp;"]"),MATCH($L129,Table3[[Company name]:[Company name]],0)),0)</f>
        <v>10800</v>
      </c>
      <c r="S129" s="1">
        <f ca="1">IFERROR(INDEX(INDIRECT("Table3[Column"&amp;S$9&amp;"]"),MATCH($L129,Table3[[Company name]:[Company name]],0)),0)</f>
        <v>0</v>
      </c>
      <c r="T129" s="1">
        <f ca="1">IFERROR(INDEX(INDIRECT("Table3[Column"&amp;T$9&amp;"]"),MATCH($L129,Table3[[Company name]:[Company name]],0)),0)</f>
        <v>0</v>
      </c>
      <c r="U129" s="1">
        <f ca="1">IFERROR(INDEX(INDIRECT("Table3[Column"&amp;U$9&amp;"]"),MATCH($L129,Table3[[Company name]:[Company name]],0)),0)</f>
        <v>0</v>
      </c>
      <c r="V129" s="1">
        <f ca="1">IFERROR(INDEX(INDIRECT("Table3[Column"&amp;V$9&amp;"]"),MATCH($L129,Table3[[Company name]:[Company name]],0)),0)</f>
        <v>0</v>
      </c>
      <c r="W129" s="1">
        <f ca="1">IFERROR(INDEX(INDIRECT("Table3[Column"&amp;W$9&amp;"]"),MATCH($L129,Table3[[Company name]:[Company name]],0)),0)</f>
        <v>0</v>
      </c>
      <c r="X129" s="1">
        <f ca="1">IFERROR(INDEX(INDIRECT("Table3[Column"&amp;X$9&amp;"]"),MATCH($L129,Table3[[Company name]:[Company name]],0)),0)</f>
        <v>0</v>
      </c>
      <c r="Y129" s="1">
        <f ca="1">IFERROR(INDEX(INDIRECT("Table3[Column"&amp;Y$9&amp;"]"),MATCH($L129,Table3[[Company name]:[Company name]],0)),0)</f>
        <v>0</v>
      </c>
      <c r="Z129" s="1">
        <f ca="1">IFERROR(INDEX(INDIRECT("Table3[Column"&amp;Z$9&amp;"]"),MATCH($L129,Table3[[Company name]:[Company name]],0)),0)</f>
        <v>0</v>
      </c>
      <c r="AA129" s="1">
        <f ca="1">IFERROR(INDEX(INDIRECT("Table3[Column"&amp;AA$9&amp;"]"),MATCH($L129,Table3[[Company name]:[Company name]],0)),0)</f>
        <v>0</v>
      </c>
      <c r="AB129" s="1">
        <f ca="1">IFERROR(INDEX(INDIRECT("Table3[Column"&amp;AB$9&amp;"]"),MATCH($L129,Table3[[Company name]:[Company name]],0)),0)</f>
        <v>0</v>
      </c>
      <c r="AC129" s="1">
        <f ca="1">IFERROR(INDEX(INDIRECT("Table3[Column"&amp;AC$9&amp;"]"),MATCH($L129,Table3[[Company name]:[Company name]],0)),0)</f>
        <v>0</v>
      </c>
      <c r="AD129" s="1">
        <f ca="1">IFERROR(INDEX(INDIRECT("Table3[Column"&amp;AD$9&amp;"]"),MATCH($L129,Table3[[Company name]:[Company name]],0)),0)</f>
        <v>0</v>
      </c>
      <c r="AE129" s="1">
        <f ca="1">IFERROR(INDEX(INDIRECT("Table3[Column"&amp;AE$9&amp;"]"),MATCH($L129,Table3[[Company name]:[Company name]],0)),0)</f>
        <v>0</v>
      </c>
      <c r="AF129" s="1">
        <f ca="1">IFERROR(INDEX(INDIRECT("Table3[Column"&amp;AF$9&amp;"]"),MATCH($L129,Table3[[Company name]:[Company name]],0)),0)</f>
        <v>0</v>
      </c>
      <c r="AG129" s="1">
        <f ca="1">IFERROR(INDEX(INDIRECT("Table3[Column"&amp;AG$9&amp;"]"),MATCH($L129,Table3[[Company name]:[Company name]],0)),0)</f>
        <v>0</v>
      </c>
      <c r="AH129" s="1">
        <f ca="1">IFERROR(INDEX(INDIRECT("Table3[Column"&amp;AH$9&amp;"]"),MATCH($L129,Table3[[Company name]:[Company name]],0)),0)</f>
        <v>0</v>
      </c>
      <c r="AI129" s="1">
        <f t="shared" ca="1" si="11"/>
        <v>10800</v>
      </c>
      <c r="AK129" s="1">
        <f>IF(COUNTIFS($J$7:$J$510,Table7[[#Headers],[Industry Essentials]],$C$7:$C$510,$L129)&gt;0,0,MROUND(R129,100))</f>
        <v>0</v>
      </c>
      <c r="AL129" s="1">
        <f ca="1">IF(COUNTIFS($J$7:$J$510,Table7[[#Headers],[Energy Supply Market Intelligence]],$C$7:$C$510,$L129)&gt;0,0,MROUND(IFERROR(S129*($P129/$AI129),0),100))</f>
        <v>0</v>
      </c>
      <c r="AM129" s="1">
        <f ca="1">IF(COUNTIFS($J$7:$J$510,Table7[[#Headers],[Energy Supply RTM Analysis]],$C$7:$C$510,$L129)&gt;0,0,MROUND(IFERROR(T129*($P129/$AI129),0),100))</f>
        <v>0</v>
      </c>
      <c r="AN129" s="1">
        <f ca="1">IF(COUNTIFS($J$7:$J$510,Table7[[#Headers],[Energy Supply Forecasts]],$C$7:$C$510,$L129)&gt;0,0,MROUND(IFERROR(U129*($P129/$AI129),0),100))</f>
        <v>0</v>
      </c>
      <c r="AO129" s="1">
        <f ca="1">IF(COUNTIFS($J$7:$J$510,Table7[[#Headers],[Energy Supply Regulation]],$C$7:$C$510,$L129)&gt;0,0,MROUND(IFERROR(V129*($P129/$AI129),0),100))</f>
        <v>0</v>
      </c>
      <c r="AP129" s="1">
        <f ca="1">IF(COUNTIFS($J$7:$J$510,Table7[[#Headers],[Renewables Market Intelligence]],$C$7:$C$510,$L129)&gt;0,0,MROUND(IFERROR(W129*($P129/$AI129),0),100))</f>
        <v>0</v>
      </c>
      <c r="AQ129" s="1">
        <f ca="1">IF(COUNTIFS($J$7:$J$510,Table7[[#Headers],[Renewables RTM Analysis]],$C$7:$C$510,$L129)&gt;0,0,MROUND(IFERROR(X129*($P129/$AI129),0),100))</f>
        <v>0</v>
      </c>
      <c r="AR129" s="1">
        <f ca="1">IF(COUNTIFS($J$7:$J$510,Table7[[#Headers],[Renewables Forecasts]],$C$7:$C$510,$L129)&gt;0,0,MROUND(IFERROR(Y129*($P129/$AI129),0),100))</f>
        <v>0</v>
      </c>
      <c r="AS129" s="1">
        <f ca="1">IF(COUNTIFS($J$7:$J$510,Table7[[#Headers],[Renewables Regulation]],$C$7:$C$510,$L129)&gt;0,0,MROUND(IFERROR(Z129*($P129/$AI129),0),100))</f>
        <v>0</v>
      </c>
      <c r="AT129" s="1">
        <f ca="1">IF(COUNTIFS($J$7:$J$510,Table7[[#Headers],[Flexibility Market Intelligence]],$C$7:$C$510,$L129)&gt;0,0,MROUND(IFERROR(AA129*($P129/$AI129),0),100))</f>
        <v>0</v>
      </c>
      <c r="AU129" s="1">
        <f ca="1">IF(COUNTIFS($J$7:$J$510,Table7[[#Headers],[Flexibility RTM Analysis]],$C$7:$C$510,$L129)&gt;0,0,MROUND(IFERROR(AB129*($P129/$AI129),0),100))</f>
        <v>0</v>
      </c>
      <c r="AV129" s="1">
        <f ca="1">IF(COUNTIFS($J$7:$J$510,Table7[[#Headers],[Flexibility Forecasts]],$C$7:$C$510,$L129)&gt;0,0,MROUND(IFERROR(AC129*($P129/$AI129),0),100))</f>
        <v>0</v>
      </c>
      <c r="AW129" s="1">
        <f ca="1">IF(COUNTIFS($J$7:$J$510,Table7[[#Headers],[Flexibility Regulation]],$C$7:$C$510,$L129)&gt;0,0,MROUND(IFERROR(AD129*($P129/$AI129),0),100))</f>
        <v>0</v>
      </c>
      <c r="AX129" s="1">
        <f ca="1">IF(COUNTIFS($J$7:$J$510,Table7[[#Headers],[Business Energy Essentials]],$C$7:$C$510,$L129)&gt;0,0,MROUND(IFERROR(AE129*($P129/$AI129),0),100))</f>
        <v>0</v>
      </c>
      <c r="AY129" s="1">
        <f ca="1">IF(COUNTIFS($J$7:$J$510,Table7[[#Headers],[Energy User RTM Analysis]],$C$7:$C$510,$L129)&gt;0,0,MROUND(IFERROR(AF129*($P129/$AI129),0),100))</f>
        <v>0</v>
      </c>
      <c r="AZ129" s="1">
        <f ca="1">IF(COUNTIFS($J$7:$J$510,Table7[[#Headers],[Energy User Forecasts]],$C$7:$C$510,$L129)&gt;0,0,MROUND(IFERROR(AG129*($P129/$AI129),0),100))</f>
        <v>0</v>
      </c>
      <c r="BA129" s="1">
        <f ca="1">IF(COUNTIFS($J$7:$J$510,Table7[[#Headers],[Energy User Regulation]],$C$7:$C$510,$L129)&gt;0,0,MROUND(IFERROR(AH129*($P129/$AI129),0),100))</f>
        <v>0</v>
      </c>
    </row>
    <row r="130" spans="2:53">
      <c r="B130" s="38" t="s">
        <v>2137</v>
      </c>
      <c r="C130" s="38" t="s">
        <v>1228</v>
      </c>
      <c r="D130" s="38" t="s">
        <v>2128</v>
      </c>
      <c r="E130" s="38" t="s">
        <v>1827</v>
      </c>
      <c r="F130" s="63">
        <v>8500</v>
      </c>
      <c r="G130" s="38"/>
      <c r="H130" s="38" t="s">
        <v>2032</v>
      </c>
      <c r="I130" s="38" t="s">
        <v>1703</v>
      </c>
      <c r="J130" s="38" t="s">
        <v>29</v>
      </c>
      <c r="L130" s="1" t="str">
        <v>Mutual Energy Limited</v>
      </c>
      <c r="M130" s="1" t="str">
        <f t="shared" si="7"/>
        <v>Supply</v>
      </c>
      <c r="N130" s="109">
        <f t="shared" si="8"/>
        <v>4250</v>
      </c>
      <c r="O130" s="1">
        <f>IFERROR(IF(INDEX(Table3[[Total Spend]:[Total Spend]],MATCH(L130,Table3[[Company name]:[Company name]],0))&gt;N130,INDEX(Table3[[Total Spend]:[Total Spend]],MATCH(L130,Table3[[Company name]:[Company name]])),N130),50000)</f>
        <v>50000</v>
      </c>
      <c r="P130" s="109">
        <f t="shared" si="9"/>
        <v>45750</v>
      </c>
      <c r="Q130" s="103">
        <f t="shared" si="10"/>
        <v>8.5000000000000006E-2</v>
      </c>
      <c r="R130" s="1">
        <f ca="1">IFERROR(INDEX(INDIRECT("Table3[Column"&amp;R$9&amp;"]"),MATCH($L130,Table3[[Company name]:[Company name]],0)),0)</f>
        <v>0</v>
      </c>
      <c r="S130" s="1">
        <f ca="1">IFERROR(INDEX(INDIRECT("Table3[Column"&amp;S$9&amp;"]"),MATCH($L130,Table3[[Company name]:[Company name]],0)),0)</f>
        <v>0</v>
      </c>
      <c r="T130" s="1">
        <f ca="1">IFERROR(INDEX(INDIRECT("Table3[Column"&amp;T$9&amp;"]"),MATCH($L130,Table3[[Company name]:[Company name]],0)),0)</f>
        <v>0</v>
      </c>
      <c r="U130" s="1">
        <f ca="1">IFERROR(INDEX(INDIRECT("Table3[Column"&amp;U$9&amp;"]"),MATCH($L130,Table3[[Company name]:[Company name]],0)),0)</f>
        <v>0</v>
      </c>
      <c r="V130" s="1">
        <f ca="1">IFERROR(INDEX(INDIRECT("Table3[Column"&amp;V$9&amp;"]"),MATCH($L130,Table3[[Company name]:[Company name]],0)),0)</f>
        <v>0</v>
      </c>
      <c r="W130" s="1">
        <f ca="1">IFERROR(INDEX(INDIRECT("Table3[Column"&amp;W$9&amp;"]"),MATCH($L130,Table3[[Company name]:[Company name]],0)),0)</f>
        <v>0</v>
      </c>
      <c r="X130" s="1">
        <f ca="1">IFERROR(INDEX(INDIRECT("Table3[Column"&amp;X$9&amp;"]"),MATCH($L130,Table3[[Company name]:[Company name]],0)),0)</f>
        <v>0</v>
      </c>
      <c r="Y130" s="1">
        <f ca="1">IFERROR(INDEX(INDIRECT("Table3[Column"&amp;Y$9&amp;"]"),MATCH($L130,Table3[[Company name]:[Company name]],0)),0)</f>
        <v>0</v>
      </c>
      <c r="Z130" s="1">
        <f ca="1">IFERROR(INDEX(INDIRECT("Table3[Column"&amp;Z$9&amp;"]"),MATCH($L130,Table3[[Company name]:[Company name]],0)),0)</f>
        <v>0</v>
      </c>
      <c r="AA130" s="1">
        <f ca="1">IFERROR(INDEX(INDIRECT("Table3[Column"&amp;AA$9&amp;"]"),MATCH($L130,Table3[[Company name]:[Company name]],0)),0)</f>
        <v>0</v>
      </c>
      <c r="AB130" s="1">
        <f ca="1">IFERROR(INDEX(INDIRECT("Table3[Column"&amp;AB$9&amp;"]"),MATCH($L130,Table3[[Company name]:[Company name]],0)),0)</f>
        <v>0</v>
      </c>
      <c r="AC130" s="1">
        <f ca="1">IFERROR(INDEX(INDIRECT("Table3[Column"&amp;AC$9&amp;"]"),MATCH($L130,Table3[[Company name]:[Company name]],0)),0)</f>
        <v>0</v>
      </c>
      <c r="AD130" s="1">
        <f ca="1">IFERROR(INDEX(INDIRECT("Table3[Column"&amp;AD$9&amp;"]"),MATCH($L130,Table3[[Company name]:[Company name]],0)),0)</f>
        <v>0</v>
      </c>
      <c r="AE130" s="1">
        <f ca="1">IFERROR(INDEX(INDIRECT("Table3[Column"&amp;AE$9&amp;"]"),MATCH($L130,Table3[[Company name]:[Company name]],0)),0)</f>
        <v>0</v>
      </c>
      <c r="AF130" s="1">
        <f ca="1">IFERROR(INDEX(INDIRECT("Table3[Column"&amp;AF$9&amp;"]"),MATCH($L130,Table3[[Company name]:[Company name]],0)),0)</f>
        <v>0</v>
      </c>
      <c r="AG130" s="1">
        <f ca="1">IFERROR(INDEX(INDIRECT("Table3[Column"&amp;AG$9&amp;"]"),MATCH($L130,Table3[[Company name]:[Company name]],0)),0)</f>
        <v>0</v>
      </c>
      <c r="AH130" s="1">
        <f ca="1">IFERROR(INDEX(INDIRECT("Table3[Column"&amp;AH$9&amp;"]"),MATCH($L130,Table3[[Company name]:[Company name]],0)),0)</f>
        <v>0</v>
      </c>
      <c r="AI130" s="1">
        <f t="shared" ca="1" si="11"/>
        <v>0</v>
      </c>
      <c r="AK130" s="1">
        <f>IF(COUNTIFS($J$7:$J$510,Table7[[#Headers],[Industry Essentials]],$C$7:$C$510,$L130)&gt;0,0,MROUND(R130,100))</f>
        <v>0</v>
      </c>
      <c r="AL130" s="1">
        <f ca="1">IF(COUNTIFS($J$7:$J$510,Table7[[#Headers],[Energy Supply Market Intelligence]],$C$7:$C$510,$L130)&gt;0,0,MROUND(IFERROR(S130*($P130/$AI130),0),100))</f>
        <v>0</v>
      </c>
      <c r="AM130" s="1">
        <f ca="1">IF(COUNTIFS($J$7:$J$510,Table7[[#Headers],[Energy Supply RTM Analysis]],$C$7:$C$510,$L130)&gt;0,0,MROUND(IFERROR(T130*($P130/$AI130),0),100))</f>
        <v>0</v>
      </c>
      <c r="AN130" s="1">
        <f ca="1">IF(COUNTIFS($J$7:$J$510,Table7[[#Headers],[Energy Supply Forecasts]],$C$7:$C$510,$L130)&gt;0,0,MROUND(IFERROR(U130*($P130/$AI130),0),100))</f>
        <v>0</v>
      </c>
      <c r="AO130" s="1">
        <f ca="1">IF(COUNTIFS($J$7:$J$510,Table7[[#Headers],[Energy Supply Regulation]],$C$7:$C$510,$L130)&gt;0,0,MROUND(IFERROR(V130*($P130/$AI130),0),100))</f>
        <v>0</v>
      </c>
      <c r="AP130" s="1">
        <f ca="1">IF(COUNTIFS($J$7:$J$510,Table7[[#Headers],[Renewables Market Intelligence]],$C$7:$C$510,$L130)&gt;0,0,MROUND(IFERROR(W130*($P130/$AI130),0),100))</f>
        <v>0</v>
      </c>
      <c r="AQ130" s="1">
        <f ca="1">IF(COUNTIFS($J$7:$J$510,Table7[[#Headers],[Renewables RTM Analysis]],$C$7:$C$510,$L130)&gt;0,0,MROUND(IFERROR(X130*($P130/$AI130),0),100))</f>
        <v>0</v>
      </c>
      <c r="AR130" s="1">
        <f ca="1">IF(COUNTIFS($J$7:$J$510,Table7[[#Headers],[Renewables Forecasts]],$C$7:$C$510,$L130)&gt;0,0,MROUND(IFERROR(Y130*($P130/$AI130),0),100))</f>
        <v>0</v>
      </c>
      <c r="AS130" s="1">
        <f ca="1">IF(COUNTIFS($J$7:$J$510,Table7[[#Headers],[Renewables Regulation]],$C$7:$C$510,$L130)&gt;0,0,MROUND(IFERROR(Z130*($P130/$AI130),0),100))</f>
        <v>0</v>
      </c>
      <c r="AT130" s="1">
        <f ca="1">IF(COUNTIFS($J$7:$J$510,Table7[[#Headers],[Flexibility Market Intelligence]],$C$7:$C$510,$L130)&gt;0,0,MROUND(IFERROR(AA130*($P130/$AI130),0),100))</f>
        <v>0</v>
      </c>
      <c r="AU130" s="1">
        <f ca="1">IF(COUNTIFS($J$7:$J$510,Table7[[#Headers],[Flexibility RTM Analysis]],$C$7:$C$510,$L130)&gt;0,0,MROUND(IFERROR(AB130*($P130/$AI130),0),100))</f>
        <v>0</v>
      </c>
      <c r="AV130" s="1">
        <f ca="1">IF(COUNTIFS($J$7:$J$510,Table7[[#Headers],[Flexibility Forecasts]],$C$7:$C$510,$L130)&gt;0,0,MROUND(IFERROR(AC130*($P130/$AI130),0),100))</f>
        <v>0</v>
      </c>
      <c r="AW130" s="1">
        <f ca="1">IF(COUNTIFS($J$7:$J$510,Table7[[#Headers],[Flexibility Regulation]],$C$7:$C$510,$L130)&gt;0,0,MROUND(IFERROR(AD130*($P130/$AI130),0),100))</f>
        <v>0</v>
      </c>
      <c r="AX130" s="1">
        <f ca="1">IF(COUNTIFS($J$7:$J$510,Table7[[#Headers],[Business Energy Essentials]],$C$7:$C$510,$L130)&gt;0,0,MROUND(IFERROR(AE130*($P130/$AI130),0),100))</f>
        <v>0</v>
      </c>
      <c r="AY130" s="1">
        <f ca="1">IF(COUNTIFS($J$7:$J$510,Table7[[#Headers],[Energy User RTM Analysis]],$C$7:$C$510,$L130)&gt;0,0,MROUND(IFERROR(AF130*($P130/$AI130),0),100))</f>
        <v>0</v>
      </c>
      <c r="AZ130" s="1">
        <f ca="1">IF(COUNTIFS($J$7:$J$510,Table7[[#Headers],[Energy User Forecasts]],$C$7:$C$510,$L130)&gt;0,0,MROUND(IFERROR(AG130*($P130/$AI130),0),100))</f>
        <v>0</v>
      </c>
      <c r="BA130" s="1">
        <f ca="1">IF(COUNTIFS($J$7:$J$510,Table7[[#Headers],[Energy User Regulation]],$C$7:$C$510,$L130)&gt;0,0,MROUND(IFERROR(AH130*($P130/$AI130),0),100))</f>
        <v>0</v>
      </c>
    </row>
    <row r="131" spans="2:53">
      <c r="B131" s="38" t="s">
        <v>2137</v>
      </c>
      <c r="C131" s="38" t="s">
        <v>1228</v>
      </c>
      <c r="D131" s="38" t="s">
        <v>2061</v>
      </c>
      <c r="E131" s="38" t="s">
        <v>1820</v>
      </c>
      <c r="F131" s="63">
        <v>8500</v>
      </c>
      <c r="G131" s="38"/>
      <c r="H131" s="38" t="s">
        <v>2032</v>
      </c>
      <c r="I131" s="38" t="s">
        <v>1702</v>
      </c>
      <c r="J131" s="38" t="s">
        <v>25</v>
      </c>
      <c r="L131" s="1" t="str">
        <v>Nadara Limited</v>
      </c>
      <c r="M131" s="1" t="str">
        <f t="shared" si="7"/>
        <v>Renewables</v>
      </c>
      <c r="N131" s="109">
        <f t="shared" si="8"/>
        <v>27300</v>
      </c>
      <c r="O131" s="1">
        <f>IFERROR(IF(INDEX(Table3[[Total Spend]:[Total Spend]],MATCH(L131,Table3[[Company name]:[Company name]],0))&gt;N131,INDEX(Table3[[Total Spend]:[Total Spend]],MATCH(L131,Table3[[Company name]:[Company name]])),N131),50000)</f>
        <v>150000</v>
      </c>
      <c r="P131" s="109">
        <f t="shared" si="9"/>
        <v>122700</v>
      </c>
      <c r="Q131" s="103">
        <f t="shared" si="10"/>
        <v>0.182</v>
      </c>
      <c r="R131" s="1">
        <f ca="1">IFERROR(INDEX(INDIRECT("Table3[Column"&amp;R$9&amp;"]"),MATCH($L131,Table3[[Company name]:[Company name]],0)),0)</f>
        <v>10800</v>
      </c>
      <c r="S131" s="1">
        <f ca="1">IFERROR(INDEX(INDIRECT("Table3[Column"&amp;S$9&amp;"]"),MATCH($L131,Table3[[Company name]:[Company name]],0)),0)</f>
        <v>0</v>
      </c>
      <c r="T131" s="1">
        <f ca="1">IFERROR(INDEX(INDIRECT("Table3[Column"&amp;T$9&amp;"]"),MATCH($L131,Table3[[Company name]:[Company name]],0)),0)</f>
        <v>0</v>
      </c>
      <c r="U131" s="1">
        <f ca="1">IFERROR(INDEX(INDIRECT("Table3[Column"&amp;U$9&amp;"]"),MATCH($L131,Table3[[Company name]:[Company name]],0)),0)</f>
        <v>0</v>
      </c>
      <c r="V131" s="1">
        <f ca="1">IFERROR(INDEX(INDIRECT("Table3[Column"&amp;V$9&amp;"]"),MATCH($L131,Table3[[Company name]:[Company name]],0)),0)</f>
        <v>0</v>
      </c>
      <c r="W131" s="1">
        <f ca="1">IFERROR(INDEX(INDIRECT("Table3[Column"&amp;W$9&amp;"]"),MATCH($L131,Table3[[Company name]:[Company name]],0)),0)</f>
        <v>23400</v>
      </c>
      <c r="X131" s="1">
        <f ca="1">IFERROR(INDEX(INDIRECT("Table3[Column"&amp;X$9&amp;"]"),MATCH($L131,Table3[[Company name]:[Company name]],0)),0)</f>
        <v>20700</v>
      </c>
      <c r="Y131" s="1">
        <f ca="1">IFERROR(INDEX(INDIRECT("Table3[Column"&amp;Y$9&amp;"]"),MATCH($L131,Table3[[Company name]:[Company name]],0)),0)</f>
        <v>59400</v>
      </c>
      <c r="Z131" s="1">
        <f ca="1">IFERROR(INDEX(INDIRECT("Table3[Column"&amp;Z$9&amp;"]"),MATCH($L131,Table3[[Company name]:[Company name]],0)),0)</f>
        <v>26100</v>
      </c>
      <c r="AA131" s="1">
        <f ca="1">IFERROR(INDEX(INDIRECT("Table3[Column"&amp;AA$9&amp;"]"),MATCH($L131,Table3[[Company name]:[Company name]],0)),0)</f>
        <v>29700</v>
      </c>
      <c r="AB131" s="1">
        <f ca="1">IFERROR(INDEX(INDIRECT("Table3[Column"&amp;AB$9&amp;"]"),MATCH($L131,Table3[[Company name]:[Company name]],0)),0)</f>
        <v>10800</v>
      </c>
      <c r="AC131" s="1">
        <f ca="1">IFERROR(INDEX(INDIRECT("Table3[Column"&amp;AC$9&amp;"]"),MATCH($L131,Table3[[Company name]:[Company name]],0)),0)</f>
        <v>44100</v>
      </c>
      <c r="AD131" s="1">
        <f ca="1">IFERROR(INDEX(INDIRECT("Table3[Column"&amp;AD$9&amp;"]"),MATCH($L131,Table3[[Company name]:[Company name]],0)),0)</f>
        <v>36000</v>
      </c>
      <c r="AE131" s="1">
        <f ca="1">IFERROR(INDEX(INDIRECT("Table3[Column"&amp;AE$9&amp;"]"),MATCH($L131,Table3[[Company name]:[Company name]],0)),0)</f>
        <v>0</v>
      </c>
      <c r="AF131" s="1">
        <f ca="1">IFERROR(INDEX(INDIRECT("Table3[Column"&amp;AF$9&amp;"]"),MATCH($L131,Table3[[Company name]:[Company name]],0)),0)</f>
        <v>0</v>
      </c>
      <c r="AG131" s="1">
        <f ca="1">IFERROR(INDEX(INDIRECT("Table3[Column"&amp;AG$9&amp;"]"),MATCH($L131,Table3[[Company name]:[Company name]],0)),0)</f>
        <v>0</v>
      </c>
      <c r="AH131" s="1">
        <f ca="1">IFERROR(INDEX(INDIRECT("Table3[Column"&amp;AH$9&amp;"]"),MATCH($L131,Table3[[Company name]:[Company name]],0)),0)</f>
        <v>0</v>
      </c>
      <c r="AI131" s="1">
        <f t="shared" ca="1" si="11"/>
        <v>261000</v>
      </c>
      <c r="AK131" s="1">
        <f>IF(COUNTIFS($J$7:$J$510,Table7[[#Headers],[Industry Essentials]],$C$7:$C$510,$L131)&gt;0,0,MROUND(R131,100))</f>
        <v>0</v>
      </c>
      <c r="AL131" s="1">
        <f ca="1">IF(COUNTIFS($J$7:$J$510,Table7[[#Headers],[Energy Supply Market Intelligence]],$C$7:$C$510,$L131)&gt;0,0,MROUND(IFERROR(S131*($P131/$AI131),0),100))</f>
        <v>0</v>
      </c>
      <c r="AM131" s="1">
        <f ca="1">IF(COUNTIFS($J$7:$J$510,Table7[[#Headers],[Energy Supply RTM Analysis]],$C$7:$C$510,$L131)&gt;0,0,MROUND(IFERROR(T131*($P131/$AI131),0),100))</f>
        <v>0</v>
      </c>
      <c r="AN131" s="1">
        <f ca="1">IF(COUNTIFS($J$7:$J$510,Table7[[#Headers],[Energy Supply Forecasts]],$C$7:$C$510,$L131)&gt;0,0,MROUND(IFERROR(U131*($P131/$AI131),0),100))</f>
        <v>0</v>
      </c>
      <c r="AO131" s="1">
        <f ca="1">IF(COUNTIFS($J$7:$J$510,Table7[[#Headers],[Energy Supply Regulation]],$C$7:$C$510,$L131)&gt;0,0,MROUND(IFERROR(V131*($P131/$AI131),0),100))</f>
        <v>0</v>
      </c>
      <c r="AP131" s="1">
        <f>IF(COUNTIFS($J$7:$J$510,Table7[[#Headers],[Renewables Market Intelligence]],$C$7:$C$510,$L131)&gt;0,0,MROUND(IFERROR(W131*($P131/$AI131),0),100))</f>
        <v>0</v>
      </c>
      <c r="AQ131" s="1">
        <f ca="1">IF(COUNTIFS($J$7:$J$510,Table7[[#Headers],[Renewables RTM Analysis]],$C$7:$C$510,$L131)&gt;0,0,MROUND(IFERROR(X131*($P131/$AI131),0),100))</f>
        <v>9700</v>
      </c>
      <c r="AR131" s="1">
        <f ca="1">IF(COUNTIFS($J$7:$J$510,Table7[[#Headers],[Renewables Forecasts]],$C$7:$C$510,$L131)&gt;0,0,MROUND(IFERROR(Y131*($P131/$AI131),0),100))</f>
        <v>27900</v>
      </c>
      <c r="AS131" s="1">
        <f ca="1">IF(COUNTIFS($J$7:$J$510,Table7[[#Headers],[Renewables Regulation]],$C$7:$C$510,$L131)&gt;0,0,MROUND(IFERROR(Z131*($P131/$AI131),0),100))</f>
        <v>12300</v>
      </c>
      <c r="AT131" s="1">
        <f ca="1">IF(COUNTIFS($J$7:$J$510,Table7[[#Headers],[Flexibility Market Intelligence]],$C$7:$C$510,$L131)&gt;0,0,MROUND(IFERROR(AA131*($P131/$AI131),0),100))</f>
        <v>14000</v>
      </c>
      <c r="AU131" s="1">
        <f ca="1">IF(COUNTIFS($J$7:$J$510,Table7[[#Headers],[Flexibility RTM Analysis]],$C$7:$C$510,$L131)&gt;0,0,MROUND(IFERROR(AB131*($P131/$AI131),0),100))</f>
        <v>5100</v>
      </c>
      <c r="AV131" s="1">
        <f ca="1">IF(COUNTIFS($J$7:$J$510,Table7[[#Headers],[Flexibility Forecasts]],$C$7:$C$510,$L131)&gt;0,0,MROUND(IFERROR(AC131*($P131/$AI131),0),100))</f>
        <v>20700</v>
      </c>
      <c r="AW131" s="1">
        <f ca="1">IF(COUNTIFS($J$7:$J$510,Table7[[#Headers],[Flexibility Regulation]],$C$7:$C$510,$L131)&gt;0,0,MROUND(IFERROR(AD131*($P131/$AI131),0),100))</f>
        <v>16900</v>
      </c>
      <c r="AX131" s="1">
        <f ca="1">IF(COUNTIFS($J$7:$J$510,Table7[[#Headers],[Business Energy Essentials]],$C$7:$C$510,$L131)&gt;0,0,MROUND(IFERROR(AE131*($P131/$AI131),0),100))</f>
        <v>0</v>
      </c>
      <c r="AY131" s="1">
        <f ca="1">IF(COUNTIFS($J$7:$J$510,Table7[[#Headers],[Energy User RTM Analysis]],$C$7:$C$510,$L131)&gt;0,0,MROUND(IFERROR(AF131*($P131/$AI131),0),100))</f>
        <v>0</v>
      </c>
      <c r="AZ131" s="1">
        <f ca="1">IF(COUNTIFS($J$7:$J$510,Table7[[#Headers],[Energy User Forecasts]],$C$7:$C$510,$L131)&gt;0,0,MROUND(IFERROR(AG131*($P131/$AI131),0),100))</f>
        <v>0</v>
      </c>
      <c r="BA131" s="1">
        <f ca="1">IF(COUNTIFS($J$7:$J$510,Table7[[#Headers],[Energy User Regulation]],$C$7:$C$510,$L131)&gt;0,0,MROUND(IFERROR(AH131*($P131/$AI131),0),100))</f>
        <v>0</v>
      </c>
    </row>
    <row r="132" spans="2:53">
      <c r="B132" s="38" t="s">
        <v>2137</v>
      </c>
      <c r="C132" s="38" t="s">
        <v>1228</v>
      </c>
      <c r="D132" s="38" t="s">
        <v>2040</v>
      </c>
      <c r="E132" s="38" t="s">
        <v>1799</v>
      </c>
      <c r="F132" s="63">
        <v>16500</v>
      </c>
      <c r="G132" s="38"/>
      <c r="H132" s="38" t="s">
        <v>2032</v>
      </c>
      <c r="I132" s="38" t="s">
        <v>2032</v>
      </c>
      <c r="J132" s="38" t="s">
        <v>20</v>
      </c>
      <c r="L132" s="1" t="str">
        <v>National Energy Action</v>
      </c>
      <c r="M132" s="1" t="str">
        <f t="shared" si="7"/>
        <v>Other</v>
      </c>
      <c r="N132" s="109">
        <f t="shared" si="8"/>
        <v>750</v>
      </c>
      <c r="O132" s="1">
        <f>IFERROR(IF(INDEX(Table3[[Total Spend]:[Total Spend]],MATCH(L132,Table3[[Company name]:[Company name]],0))&gt;N132,INDEX(Table3[[Total Spend]:[Total Spend]],MATCH(L132,Table3[[Company name]:[Company name]])),N132),50000)</f>
        <v>8100</v>
      </c>
      <c r="P132" s="109">
        <f t="shared" si="9"/>
        <v>7350</v>
      </c>
      <c r="Q132" s="103">
        <f t="shared" si="10"/>
        <v>9.2592592592592587E-2</v>
      </c>
      <c r="R132" s="1">
        <f ca="1">IFERROR(INDEX(INDIRECT("Table3[Column"&amp;R$9&amp;"]"),MATCH($L132,Table3[[Company name]:[Company name]],0)),0)</f>
        <v>8100</v>
      </c>
      <c r="S132" s="1">
        <f ca="1">IFERROR(INDEX(INDIRECT("Table3[Column"&amp;S$9&amp;"]"),MATCH($L132,Table3[[Company name]:[Company name]],0)),0)</f>
        <v>0</v>
      </c>
      <c r="T132" s="1">
        <f ca="1">IFERROR(INDEX(INDIRECT("Table3[Column"&amp;T$9&amp;"]"),MATCH($L132,Table3[[Company name]:[Company name]],0)),0)</f>
        <v>0</v>
      </c>
      <c r="U132" s="1">
        <f ca="1">IFERROR(INDEX(INDIRECT("Table3[Column"&amp;U$9&amp;"]"),MATCH($L132,Table3[[Company name]:[Company name]],0)),0)</f>
        <v>0</v>
      </c>
      <c r="V132" s="1">
        <f ca="1">IFERROR(INDEX(INDIRECT("Table3[Column"&amp;V$9&amp;"]"),MATCH($L132,Table3[[Company name]:[Company name]],0)),0)</f>
        <v>0</v>
      </c>
      <c r="W132" s="1">
        <f ca="1">IFERROR(INDEX(INDIRECT("Table3[Column"&amp;W$9&amp;"]"),MATCH($L132,Table3[[Company name]:[Company name]],0)),0)</f>
        <v>0</v>
      </c>
      <c r="X132" s="1">
        <f ca="1">IFERROR(INDEX(INDIRECT("Table3[Column"&amp;X$9&amp;"]"),MATCH($L132,Table3[[Company name]:[Company name]],0)),0)</f>
        <v>0</v>
      </c>
      <c r="Y132" s="1">
        <f ca="1">IFERROR(INDEX(INDIRECT("Table3[Column"&amp;Y$9&amp;"]"),MATCH($L132,Table3[[Company name]:[Company name]],0)),0)</f>
        <v>0</v>
      </c>
      <c r="Z132" s="1">
        <f ca="1">IFERROR(INDEX(INDIRECT("Table3[Column"&amp;Z$9&amp;"]"),MATCH($L132,Table3[[Company name]:[Company name]],0)),0)</f>
        <v>0</v>
      </c>
      <c r="AA132" s="1">
        <f ca="1">IFERROR(INDEX(INDIRECT("Table3[Column"&amp;AA$9&amp;"]"),MATCH($L132,Table3[[Company name]:[Company name]],0)),0)</f>
        <v>0</v>
      </c>
      <c r="AB132" s="1">
        <f ca="1">IFERROR(INDEX(INDIRECT("Table3[Column"&amp;AB$9&amp;"]"),MATCH($L132,Table3[[Company name]:[Company name]],0)),0)</f>
        <v>0</v>
      </c>
      <c r="AC132" s="1">
        <f ca="1">IFERROR(INDEX(INDIRECT("Table3[Column"&amp;AC$9&amp;"]"),MATCH($L132,Table3[[Company name]:[Company name]],0)),0)</f>
        <v>0</v>
      </c>
      <c r="AD132" s="1">
        <f ca="1">IFERROR(INDEX(INDIRECT("Table3[Column"&amp;AD$9&amp;"]"),MATCH($L132,Table3[[Company name]:[Company name]],0)),0)</f>
        <v>0</v>
      </c>
      <c r="AE132" s="1">
        <f ca="1">IFERROR(INDEX(INDIRECT("Table3[Column"&amp;AE$9&amp;"]"),MATCH($L132,Table3[[Company name]:[Company name]],0)),0)</f>
        <v>0</v>
      </c>
      <c r="AF132" s="1">
        <f ca="1">IFERROR(INDEX(INDIRECT("Table3[Column"&amp;AF$9&amp;"]"),MATCH($L132,Table3[[Company name]:[Company name]],0)),0)</f>
        <v>0</v>
      </c>
      <c r="AG132" s="1">
        <f ca="1">IFERROR(INDEX(INDIRECT("Table3[Column"&amp;AG$9&amp;"]"),MATCH($L132,Table3[[Company name]:[Company name]],0)),0)</f>
        <v>0</v>
      </c>
      <c r="AH132" s="1">
        <f ca="1">IFERROR(INDEX(INDIRECT("Table3[Column"&amp;AH$9&amp;"]"),MATCH($L132,Table3[[Company name]:[Company name]],0)),0)</f>
        <v>0</v>
      </c>
      <c r="AI132" s="1">
        <f t="shared" ca="1" si="11"/>
        <v>8100</v>
      </c>
      <c r="AK132" s="1">
        <f>IF(COUNTIFS($J$7:$J$510,Table7[[#Headers],[Industry Essentials]],$C$7:$C$510,$L132)&gt;0,0,MROUND(R132,100))</f>
        <v>0</v>
      </c>
      <c r="AL132" s="1">
        <f ca="1">IF(COUNTIFS($J$7:$J$510,Table7[[#Headers],[Energy Supply Market Intelligence]],$C$7:$C$510,$L132)&gt;0,0,MROUND(IFERROR(S132*($P132/$AI132),0),100))</f>
        <v>0</v>
      </c>
      <c r="AM132" s="1">
        <f ca="1">IF(COUNTIFS($J$7:$J$510,Table7[[#Headers],[Energy Supply RTM Analysis]],$C$7:$C$510,$L132)&gt;0,0,MROUND(IFERROR(T132*($P132/$AI132),0),100))</f>
        <v>0</v>
      </c>
      <c r="AN132" s="1">
        <f ca="1">IF(COUNTIFS($J$7:$J$510,Table7[[#Headers],[Energy Supply Forecasts]],$C$7:$C$510,$L132)&gt;0,0,MROUND(IFERROR(U132*($P132/$AI132),0),100))</f>
        <v>0</v>
      </c>
      <c r="AO132" s="1">
        <f ca="1">IF(COUNTIFS($J$7:$J$510,Table7[[#Headers],[Energy Supply Regulation]],$C$7:$C$510,$L132)&gt;0,0,MROUND(IFERROR(V132*($P132/$AI132),0),100))</f>
        <v>0</v>
      </c>
      <c r="AP132" s="1">
        <f ca="1">IF(COUNTIFS($J$7:$J$510,Table7[[#Headers],[Renewables Market Intelligence]],$C$7:$C$510,$L132)&gt;0,0,MROUND(IFERROR(W132*($P132/$AI132),0),100))</f>
        <v>0</v>
      </c>
      <c r="AQ132" s="1">
        <f ca="1">IF(COUNTIFS($J$7:$J$510,Table7[[#Headers],[Renewables RTM Analysis]],$C$7:$C$510,$L132)&gt;0,0,MROUND(IFERROR(X132*($P132/$AI132),0),100))</f>
        <v>0</v>
      </c>
      <c r="AR132" s="1">
        <f ca="1">IF(COUNTIFS($J$7:$J$510,Table7[[#Headers],[Renewables Forecasts]],$C$7:$C$510,$L132)&gt;0,0,MROUND(IFERROR(Y132*($P132/$AI132),0),100))</f>
        <v>0</v>
      </c>
      <c r="AS132" s="1">
        <f ca="1">IF(COUNTIFS($J$7:$J$510,Table7[[#Headers],[Renewables Regulation]],$C$7:$C$510,$L132)&gt;0,0,MROUND(IFERROR(Z132*($P132/$AI132),0),100))</f>
        <v>0</v>
      </c>
      <c r="AT132" s="1">
        <f ca="1">IF(COUNTIFS($J$7:$J$510,Table7[[#Headers],[Flexibility Market Intelligence]],$C$7:$C$510,$L132)&gt;0,0,MROUND(IFERROR(AA132*($P132/$AI132),0),100))</f>
        <v>0</v>
      </c>
      <c r="AU132" s="1">
        <f ca="1">IF(COUNTIFS($J$7:$J$510,Table7[[#Headers],[Flexibility RTM Analysis]],$C$7:$C$510,$L132)&gt;0,0,MROUND(IFERROR(AB132*($P132/$AI132),0),100))</f>
        <v>0</v>
      </c>
      <c r="AV132" s="1">
        <f ca="1">IF(COUNTIFS($J$7:$J$510,Table7[[#Headers],[Flexibility Forecasts]],$C$7:$C$510,$L132)&gt;0,0,MROUND(IFERROR(AC132*($P132/$AI132),0),100))</f>
        <v>0</v>
      </c>
      <c r="AW132" s="1">
        <f ca="1">IF(COUNTIFS($J$7:$J$510,Table7[[#Headers],[Flexibility Regulation]],$C$7:$C$510,$L132)&gt;0,0,MROUND(IFERROR(AD132*($P132/$AI132),0),100))</f>
        <v>0</v>
      </c>
      <c r="AX132" s="1">
        <f ca="1">IF(COUNTIFS($J$7:$J$510,Table7[[#Headers],[Business Energy Essentials]],$C$7:$C$510,$L132)&gt;0,0,MROUND(IFERROR(AE132*($P132/$AI132),0),100))</f>
        <v>0</v>
      </c>
      <c r="AY132" s="1">
        <f ca="1">IF(COUNTIFS($J$7:$J$510,Table7[[#Headers],[Energy User RTM Analysis]],$C$7:$C$510,$L132)&gt;0,0,MROUND(IFERROR(AF132*($P132/$AI132),0),100))</f>
        <v>0</v>
      </c>
      <c r="AZ132" s="1">
        <f ca="1">IF(COUNTIFS($J$7:$J$510,Table7[[#Headers],[Energy User Forecasts]],$C$7:$C$510,$L132)&gt;0,0,MROUND(IFERROR(AG132*($P132/$AI132),0),100))</f>
        <v>0</v>
      </c>
      <c r="BA132" s="1">
        <f ca="1">IF(COUNTIFS($J$7:$J$510,Table7[[#Headers],[Energy User Regulation]],$C$7:$C$510,$L132)&gt;0,0,MROUND(IFERROR(AH132*($P132/$AI132),0),100))</f>
        <v>0</v>
      </c>
    </row>
    <row r="133" spans="2:53">
      <c r="B133" s="38" t="s">
        <v>2138</v>
      </c>
      <c r="C133" s="38" t="s">
        <v>355</v>
      </c>
      <c r="D133" s="38" t="s">
        <v>2051</v>
      </c>
      <c r="E133" s="38" t="s">
        <v>1817</v>
      </c>
      <c r="F133" s="63">
        <v>16000</v>
      </c>
      <c r="G133" s="38"/>
      <c r="H133" s="38" t="s">
        <v>1702</v>
      </c>
      <c r="I133" s="38" t="s">
        <v>191</v>
      </c>
      <c r="J133" s="38" t="s">
        <v>35</v>
      </c>
      <c r="L133" s="1" t="str">
        <v>National Gas Transmission Plc</v>
      </c>
      <c r="M133" s="1" t="str">
        <f t="shared" si="7"/>
        <v>Other</v>
      </c>
      <c r="N133" s="109">
        <f t="shared" si="8"/>
        <v>6150</v>
      </c>
      <c r="O133" s="1">
        <f>IFERROR(IF(INDEX(Table3[[Total Spend]:[Total Spend]],MATCH(L133,Table3[[Company name]:[Company name]],0))&gt;N133,INDEX(Table3[[Total Spend]:[Total Spend]],MATCH(L133,Table3[[Company name]:[Company name]])),N133),50000)</f>
        <v>8100</v>
      </c>
      <c r="P133" s="109">
        <f t="shared" si="9"/>
        <v>1950</v>
      </c>
      <c r="Q133" s="103">
        <f t="shared" si="10"/>
        <v>0.7592592592592593</v>
      </c>
      <c r="R133" s="1">
        <f ca="1">IFERROR(INDEX(INDIRECT("Table3[Column"&amp;R$9&amp;"]"),MATCH($L133,Table3[[Company name]:[Company name]],0)),0)</f>
        <v>10800</v>
      </c>
      <c r="S133" s="1">
        <f ca="1">IFERROR(INDEX(INDIRECT("Table3[Column"&amp;S$9&amp;"]"),MATCH($L133,Table3[[Company name]:[Company name]],0)),0)</f>
        <v>0</v>
      </c>
      <c r="T133" s="1">
        <f ca="1">IFERROR(INDEX(INDIRECT("Table3[Column"&amp;T$9&amp;"]"),MATCH($L133,Table3[[Company name]:[Company name]],0)),0)</f>
        <v>0</v>
      </c>
      <c r="U133" s="1">
        <f ca="1">IFERROR(INDEX(INDIRECT("Table3[Column"&amp;U$9&amp;"]"),MATCH($L133,Table3[[Company name]:[Company name]],0)),0)</f>
        <v>0</v>
      </c>
      <c r="V133" s="1">
        <f ca="1">IFERROR(INDEX(INDIRECT("Table3[Column"&amp;V$9&amp;"]"),MATCH($L133,Table3[[Company name]:[Company name]],0)),0)</f>
        <v>0</v>
      </c>
      <c r="W133" s="1">
        <f ca="1">IFERROR(INDEX(INDIRECT("Table3[Column"&amp;W$9&amp;"]"),MATCH($L133,Table3[[Company name]:[Company name]],0)),0)</f>
        <v>0</v>
      </c>
      <c r="X133" s="1">
        <f ca="1">IFERROR(INDEX(INDIRECT("Table3[Column"&amp;X$9&amp;"]"),MATCH($L133,Table3[[Company name]:[Company name]],0)),0)</f>
        <v>0</v>
      </c>
      <c r="Y133" s="1">
        <f ca="1">IFERROR(INDEX(INDIRECT("Table3[Column"&amp;Y$9&amp;"]"),MATCH($L133,Table3[[Company name]:[Company name]],0)),0)</f>
        <v>0</v>
      </c>
      <c r="Z133" s="1">
        <f ca="1">IFERROR(INDEX(INDIRECT("Table3[Column"&amp;Z$9&amp;"]"),MATCH($L133,Table3[[Company name]:[Company name]],0)),0)</f>
        <v>0</v>
      </c>
      <c r="AA133" s="1">
        <f ca="1">IFERROR(INDEX(INDIRECT("Table3[Column"&amp;AA$9&amp;"]"),MATCH($L133,Table3[[Company name]:[Company name]],0)),0)</f>
        <v>0</v>
      </c>
      <c r="AB133" s="1">
        <f ca="1">IFERROR(INDEX(INDIRECT("Table3[Column"&amp;AB$9&amp;"]"),MATCH($L133,Table3[[Company name]:[Company name]],0)),0)</f>
        <v>0</v>
      </c>
      <c r="AC133" s="1">
        <f ca="1">IFERROR(INDEX(INDIRECT("Table3[Column"&amp;AC$9&amp;"]"),MATCH($L133,Table3[[Company name]:[Company name]],0)),0)</f>
        <v>0</v>
      </c>
      <c r="AD133" s="1">
        <f ca="1">IFERROR(INDEX(INDIRECT("Table3[Column"&amp;AD$9&amp;"]"),MATCH($L133,Table3[[Company name]:[Company name]],0)),0)</f>
        <v>0</v>
      </c>
      <c r="AE133" s="1">
        <f ca="1">IFERROR(INDEX(INDIRECT("Table3[Column"&amp;AE$9&amp;"]"),MATCH($L133,Table3[[Company name]:[Company name]],0)),0)</f>
        <v>0</v>
      </c>
      <c r="AF133" s="1">
        <f ca="1">IFERROR(INDEX(INDIRECT("Table3[Column"&amp;AF$9&amp;"]"),MATCH($L133,Table3[[Company name]:[Company name]],0)),0)</f>
        <v>0</v>
      </c>
      <c r="AG133" s="1">
        <f ca="1">IFERROR(INDEX(INDIRECT("Table3[Column"&amp;AG$9&amp;"]"),MATCH($L133,Table3[[Company name]:[Company name]],0)),0)</f>
        <v>0</v>
      </c>
      <c r="AH133" s="1">
        <f ca="1">IFERROR(INDEX(INDIRECT("Table3[Column"&amp;AH$9&amp;"]"),MATCH($L133,Table3[[Company name]:[Company name]],0)),0)</f>
        <v>0</v>
      </c>
      <c r="AI133" s="1">
        <f t="shared" ca="1" si="11"/>
        <v>10800</v>
      </c>
      <c r="AK133" s="1">
        <f>IF(COUNTIFS($J$7:$J$510,Table7[[#Headers],[Industry Essentials]],$C$7:$C$510,$L133)&gt;0,0,MROUND(R133,100))</f>
        <v>0</v>
      </c>
      <c r="AL133" s="1">
        <f ca="1">IF(COUNTIFS($J$7:$J$510,Table7[[#Headers],[Energy Supply Market Intelligence]],$C$7:$C$510,$L133)&gt;0,0,MROUND(IFERROR(S133*($P133/$AI133),0),100))</f>
        <v>0</v>
      </c>
      <c r="AM133" s="1">
        <f ca="1">IF(COUNTIFS($J$7:$J$510,Table7[[#Headers],[Energy Supply RTM Analysis]],$C$7:$C$510,$L133)&gt;0,0,MROUND(IFERROR(T133*($P133/$AI133),0),100))</f>
        <v>0</v>
      </c>
      <c r="AN133" s="1">
        <f ca="1">IF(COUNTIFS($J$7:$J$510,Table7[[#Headers],[Energy Supply Forecasts]],$C$7:$C$510,$L133)&gt;0,0,MROUND(IFERROR(U133*($P133/$AI133),0),100))</f>
        <v>0</v>
      </c>
      <c r="AO133" s="1">
        <f ca="1">IF(COUNTIFS($J$7:$J$510,Table7[[#Headers],[Energy Supply Regulation]],$C$7:$C$510,$L133)&gt;0,0,MROUND(IFERROR(V133*($P133/$AI133),0),100))</f>
        <v>0</v>
      </c>
      <c r="AP133" s="1">
        <f ca="1">IF(COUNTIFS($J$7:$J$510,Table7[[#Headers],[Renewables Market Intelligence]],$C$7:$C$510,$L133)&gt;0,0,MROUND(IFERROR(W133*($P133/$AI133),0),100))</f>
        <v>0</v>
      </c>
      <c r="AQ133" s="1">
        <f ca="1">IF(COUNTIFS($J$7:$J$510,Table7[[#Headers],[Renewables RTM Analysis]],$C$7:$C$510,$L133)&gt;0,0,MROUND(IFERROR(X133*($P133/$AI133),0),100))</f>
        <v>0</v>
      </c>
      <c r="AR133" s="1">
        <f ca="1">IF(COUNTIFS($J$7:$J$510,Table7[[#Headers],[Renewables Forecasts]],$C$7:$C$510,$L133)&gt;0,0,MROUND(IFERROR(Y133*($P133/$AI133),0),100))</f>
        <v>0</v>
      </c>
      <c r="AS133" s="1">
        <f ca="1">IF(COUNTIFS($J$7:$J$510,Table7[[#Headers],[Renewables Regulation]],$C$7:$C$510,$L133)&gt;0,0,MROUND(IFERROR(Z133*($P133/$AI133),0),100))</f>
        <v>0</v>
      </c>
      <c r="AT133" s="1">
        <f ca="1">IF(COUNTIFS($J$7:$J$510,Table7[[#Headers],[Flexibility Market Intelligence]],$C$7:$C$510,$L133)&gt;0,0,MROUND(IFERROR(AA133*($P133/$AI133),0),100))</f>
        <v>0</v>
      </c>
      <c r="AU133" s="1">
        <f ca="1">IF(COUNTIFS($J$7:$J$510,Table7[[#Headers],[Flexibility RTM Analysis]],$C$7:$C$510,$L133)&gt;0,0,MROUND(IFERROR(AB133*($P133/$AI133),0),100))</f>
        <v>0</v>
      </c>
      <c r="AV133" s="1">
        <f ca="1">IF(COUNTIFS($J$7:$J$510,Table7[[#Headers],[Flexibility Forecasts]],$C$7:$C$510,$L133)&gt;0,0,MROUND(IFERROR(AC133*($P133/$AI133),0),100))</f>
        <v>0</v>
      </c>
      <c r="AW133" s="1">
        <f ca="1">IF(COUNTIFS($J$7:$J$510,Table7[[#Headers],[Flexibility Regulation]],$C$7:$C$510,$L133)&gt;0,0,MROUND(IFERROR(AD133*($P133/$AI133),0),100))</f>
        <v>0</v>
      </c>
      <c r="AX133" s="1">
        <f ca="1">IF(COUNTIFS($J$7:$J$510,Table7[[#Headers],[Business Energy Essentials]],$C$7:$C$510,$L133)&gt;0,0,MROUND(IFERROR(AE133*($P133/$AI133),0),100))</f>
        <v>0</v>
      </c>
      <c r="AY133" s="1">
        <f ca="1">IF(COUNTIFS($J$7:$J$510,Table7[[#Headers],[Energy User RTM Analysis]],$C$7:$C$510,$L133)&gt;0,0,MROUND(IFERROR(AF133*($P133/$AI133),0),100))</f>
        <v>0</v>
      </c>
      <c r="AZ133" s="1">
        <f ca="1">IF(COUNTIFS($J$7:$J$510,Table7[[#Headers],[Energy User Forecasts]],$C$7:$C$510,$L133)&gt;0,0,MROUND(IFERROR(AG133*($P133/$AI133),0),100))</f>
        <v>0</v>
      </c>
      <c r="BA133" s="1">
        <f ca="1">IF(COUNTIFS($J$7:$J$510,Table7[[#Headers],[Energy User Regulation]],$C$7:$C$510,$L133)&gt;0,0,MROUND(IFERROR(AH133*($P133/$AI133),0),100))</f>
        <v>0</v>
      </c>
    </row>
    <row r="134" spans="2:53">
      <c r="B134" s="38" t="s">
        <v>2138</v>
      </c>
      <c r="C134" s="38" t="s">
        <v>355</v>
      </c>
      <c r="D134" s="38" t="s">
        <v>2040</v>
      </c>
      <c r="E134" s="38" t="s">
        <v>1799</v>
      </c>
      <c r="F134" s="63">
        <v>8520</v>
      </c>
      <c r="G134" s="38"/>
      <c r="H134" s="38" t="s">
        <v>1702</v>
      </c>
      <c r="I134" s="38" t="s">
        <v>2032</v>
      </c>
      <c r="J134" s="38" t="s">
        <v>20</v>
      </c>
      <c r="L134" s="1" t="str">
        <v>National Grid Electricity Distribution plc</v>
      </c>
      <c r="M134" s="1" t="str">
        <f t="shared" si="7"/>
        <v>Other</v>
      </c>
      <c r="N134" s="109">
        <f t="shared" si="8"/>
        <v>6750</v>
      </c>
      <c r="O134" s="1">
        <f>IFERROR(IF(INDEX(Table3[[Total Spend]:[Total Spend]],MATCH(L134,Table3[[Company name]:[Company name]],0))&gt;N134,INDEX(Table3[[Total Spend]:[Total Spend]],MATCH(L134,Table3[[Company name]:[Company name]])),N134),50000)</f>
        <v>8100</v>
      </c>
      <c r="P134" s="109">
        <f t="shared" si="9"/>
        <v>1350</v>
      </c>
      <c r="Q134" s="103">
        <f t="shared" si="10"/>
        <v>0.83333333333333337</v>
      </c>
      <c r="R134" s="1">
        <f ca="1">IFERROR(INDEX(INDIRECT("Table3[Column"&amp;R$9&amp;"]"),MATCH($L134,Table3[[Company name]:[Company name]],0)),0)</f>
        <v>10800</v>
      </c>
      <c r="S134" s="1">
        <f ca="1">IFERROR(INDEX(INDIRECT("Table3[Column"&amp;S$9&amp;"]"),MATCH($L134,Table3[[Company name]:[Company name]],0)),0)</f>
        <v>0</v>
      </c>
      <c r="T134" s="1">
        <f ca="1">IFERROR(INDEX(INDIRECT("Table3[Column"&amp;T$9&amp;"]"),MATCH($L134,Table3[[Company name]:[Company name]],0)),0)</f>
        <v>0</v>
      </c>
      <c r="U134" s="1">
        <f ca="1">IFERROR(INDEX(INDIRECT("Table3[Column"&amp;U$9&amp;"]"),MATCH($L134,Table3[[Company name]:[Company name]],0)),0)</f>
        <v>0</v>
      </c>
      <c r="V134" s="1">
        <f ca="1">IFERROR(INDEX(INDIRECT("Table3[Column"&amp;V$9&amp;"]"),MATCH($L134,Table3[[Company name]:[Company name]],0)),0)</f>
        <v>0</v>
      </c>
      <c r="W134" s="1">
        <f ca="1">IFERROR(INDEX(INDIRECT("Table3[Column"&amp;W$9&amp;"]"),MATCH($L134,Table3[[Company name]:[Company name]],0)),0)</f>
        <v>0</v>
      </c>
      <c r="X134" s="1">
        <f ca="1">IFERROR(INDEX(INDIRECT("Table3[Column"&amp;X$9&amp;"]"),MATCH($L134,Table3[[Company name]:[Company name]],0)),0)</f>
        <v>0</v>
      </c>
      <c r="Y134" s="1">
        <f ca="1">IFERROR(INDEX(INDIRECT("Table3[Column"&amp;Y$9&amp;"]"),MATCH($L134,Table3[[Company name]:[Company name]],0)),0)</f>
        <v>0</v>
      </c>
      <c r="Z134" s="1">
        <f ca="1">IFERROR(INDEX(INDIRECT("Table3[Column"&amp;Z$9&amp;"]"),MATCH($L134,Table3[[Company name]:[Company name]],0)),0)</f>
        <v>0</v>
      </c>
      <c r="AA134" s="1">
        <f ca="1">IFERROR(INDEX(INDIRECT("Table3[Column"&amp;AA$9&amp;"]"),MATCH($L134,Table3[[Company name]:[Company name]],0)),0)</f>
        <v>0</v>
      </c>
      <c r="AB134" s="1">
        <f ca="1">IFERROR(INDEX(INDIRECT("Table3[Column"&amp;AB$9&amp;"]"),MATCH($L134,Table3[[Company name]:[Company name]],0)),0)</f>
        <v>0</v>
      </c>
      <c r="AC134" s="1">
        <f ca="1">IFERROR(INDEX(INDIRECT("Table3[Column"&amp;AC$9&amp;"]"),MATCH($L134,Table3[[Company name]:[Company name]],0)),0)</f>
        <v>0</v>
      </c>
      <c r="AD134" s="1">
        <f ca="1">IFERROR(INDEX(INDIRECT("Table3[Column"&amp;AD$9&amp;"]"),MATCH($L134,Table3[[Company name]:[Company name]],0)),0)</f>
        <v>0</v>
      </c>
      <c r="AE134" s="1">
        <f ca="1">IFERROR(INDEX(INDIRECT("Table3[Column"&amp;AE$9&amp;"]"),MATCH($L134,Table3[[Company name]:[Company name]],0)),0)</f>
        <v>0</v>
      </c>
      <c r="AF134" s="1">
        <f ca="1">IFERROR(INDEX(INDIRECT("Table3[Column"&amp;AF$9&amp;"]"),MATCH($L134,Table3[[Company name]:[Company name]],0)),0)</f>
        <v>0</v>
      </c>
      <c r="AG134" s="1">
        <f ca="1">IFERROR(INDEX(INDIRECT("Table3[Column"&amp;AG$9&amp;"]"),MATCH($L134,Table3[[Company name]:[Company name]],0)),0)</f>
        <v>0</v>
      </c>
      <c r="AH134" s="1">
        <f ca="1">IFERROR(INDEX(INDIRECT("Table3[Column"&amp;AH$9&amp;"]"),MATCH($L134,Table3[[Company name]:[Company name]],0)),0)</f>
        <v>0</v>
      </c>
      <c r="AI134" s="1">
        <f t="shared" ca="1" si="11"/>
        <v>10800</v>
      </c>
      <c r="AK134" s="1">
        <f>IF(COUNTIFS($J$7:$J$510,Table7[[#Headers],[Industry Essentials]],$C$7:$C$510,$L134)&gt;0,0,MROUND(R134,100))</f>
        <v>0</v>
      </c>
      <c r="AL134" s="1">
        <f ca="1">IF(COUNTIFS($J$7:$J$510,Table7[[#Headers],[Energy Supply Market Intelligence]],$C$7:$C$510,$L134)&gt;0,0,MROUND(IFERROR(S134*($P134/$AI134),0),100))</f>
        <v>0</v>
      </c>
      <c r="AM134" s="1">
        <f ca="1">IF(COUNTIFS($J$7:$J$510,Table7[[#Headers],[Energy Supply RTM Analysis]],$C$7:$C$510,$L134)&gt;0,0,MROUND(IFERROR(T134*($P134/$AI134),0),100))</f>
        <v>0</v>
      </c>
      <c r="AN134" s="1">
        <f ca="1">IF(COUNTIFS($J$7:$J$510,Table7[[#Headers],[Energy Supply Forecasts]],$C$7:$C$510,$L134)&gt;0,0,MROUND(IFERROR(U134*($P134/$AI134),0),100))</f>
        <v>0</v>
      </c>
      <c r="AO134" s="1">
        <f ca="1">IF(COUNTIFS($J$7:$J$510,Table7[[#Headers],[Energy Supply Regulation]],$C$7:$C$510,$L134)&gt;0,0,MROUND(IFERROR(V134*($P134/$AI134),0),100))</f>
        <v>0</v>
      </c>
      <c r="AP134" s="1">
        <f ca="1">IF(COUNTIFS($J$7:$J$510,Table7[[#Headers],[Renewables Market Intelligence]],$C$7:$C$510,$L134)&gt;0,0,MROUND(IFERROR(W134*($P134/$AI134),0),100))</f>
        <v>0</v>
      </c>
      <c r="AQ134" s="1">
        <f ca="1">IF(COUNTIFS($J$7:$J$510,Table7[[#Headers],[Renewables RTM Analysis]],$C$7:$C$510,$L134)&gt;0,0,MROUND(IFERROR(X134*($P134/$AI134),0),100))</f>
        <v>0</v>
      </c>
      <c r="AR134" s="1">
        <f ca="1">IF(COUNTIFS($J$7:$J$510,Table7[[#Headers],[Renewables Forecasts]],$C$7:$C$510,$L134)&gt;0,0,MROUND(IFERROR(Y134*($P134/$AI134),0),100))</f>
        <v>0</v>
      </c>
      <c r="AS134" s="1">
        <f ca="1">IF(COUNTIFS($J$7:$J$510,Table7[[#Headers],[Renewables Regulation]],$C$7:$C$510,$L134)&gt;0,0,MROUND(IFERROR(Z134*($P134/$AI134),0),100))</f>
        <v>0</v>
      </c>
      <c r="AT134" s="1">
        <f ca="1">IF(COUNTIFS($J$7:$J$510,Table7[[#Headers],[Flexibility Market Intelligence]],$C$7:$C$510,$L134)&gt;0,0,MROUND(IFERROR(AA134*($P134/$AI134),0),100))</f>
        <v>0</v>
      </c>
      <c r="AU134" s="1">
        <f ca="1">IF(COUNTIFS($J$7:$J$510,Table7[[#Headers],[Flexibility RTM Analysis]],$C$7:$C$510,$L134)&gt;0,0,MROUND(IFERROR(AB134*($P134/$AI134),0),100))</f>
        <v>0</v>
      </c>
      <c r="AV134" s="1">
        <f ca="1">IF(COUNTIFS($J$7:$J$510,Table7[[#Headers],[Flexibility Forecasts]],$C$7:$C$510,$L134)&gt;0,0,MROUND(IFERROR(AC134*($P134/$AI134),0),100))</f>
        <v>0</v>
      </c>
      <c r="AW134" s="1">
        <f ca="1">IF(COUNTIFS($J$7:$J$510,Table7[[#Headers],[Flexibility Regulation]],$C$7:$C$510,$L134)&gt;0,0,MROUND(IFERROR(AD134*($P134/$AI134),0),100))</f>
        <v>0</v>
      </c>
      <c r="AX134" s="1">
        <f ca="1">IF(COUNTIFS($J$7:$J$510,Table7[[#Headers],[Business Energy Essentials]],$C$7:$C$510,$L134)&gt;0,0,MROUND(IFERROR(AE134*($P134/$AI134),0),100))</f>
        <v>0</v>
      </c>
      <c r="AY134" s="1">
        <f ca="1">IF(COUNTIFS($J$7:$J$510,Table7[[#Headers],[Energy User RTM Analysis]],$C$7:$C$510,$L134)&gt;0,0,MROUND(IFERROR(AF134*($P134/$AI134),0),100))</f>
        <v>0</v>
      </c>
      <c r="AZ134" s="1">
        <f ca="1">IF(COUNTIFS($J$7:$J$510,Table7[[#Headers],[Energy User Forecasts]],$C$7:$C$510,$L134)&gt;0,0,MROUND(IFERROR(AG134*($P134/$AI134),0),100))</f>
        <v>0</v>
      </c>
      <c r="BA134" s="1">
        <f ca="1">IF(COUNTIFS($J$7:$J$510,Table7[[#Headers],[Energy User Regulation]],$C$7:$C$510,$L134)&gt;0,0,MROUND(IFERROR(AH134*($P134/$AI134),0),100))</f>
        <v>0</v>
      </c>
    </row>
    <row r="135" spans="2:53">
      <c r="B135" s="38" t="s">
        <v>2139</v>
      </c>
      <c r="C135" s="38" t="s">
        <v>73</v>
      </c>
      <c r="D135" s="38" t="s">
        <v>2079</v>
      </c>
      <c r="E135" s="38" t="s">
        <v>1810</v>
      </c>
      <c r="F135" s="63">
        <v>9995.7284210526323</v>
      </c>
      <c r="G135" s="38"/>
      <c r="H135" s="38" t="s">
        <v>2031</v>
      </c>
      <c r="I135" s="38" t="s">
        <v>2031</v>
      </c>
      <c r="J135" s="38" t="s">
        <v>22</v>
      </c>
      <c r="L135" s="1" t="str">
        <v>National Grid Interconnectors Ltd</v>
      </c>
      <c r="M135" s="1" t="str">
        <f t="shared" si="7"/>
        <v>Other</v>
      </c>
      <c r="N135" s="109">
        <f t="shared" si="8"/>
        <v>9900</v>
      </c>
      <c r="O135" s="1">
        <f>IFERROR(IF(INDEX(Table3[[Total Spend]:[Total Spend]],MATCH(L135,Table3[[Company name]:[Company name]],0))&gt;N135,INDEX(Table3[[Total Spend]:[Total Spend]],MATCH(L135,Table3[[Company name]:[Company name]])),N135),50000)</f>
        <v>8100</v>
      </c>
      <c r="P135" s="109">
        <f t="shared" si="9"/>
        <v>9900</v>
      </c>
      <c r="Q135" s="103">
        <f t="shared" si="10"/>
        <v>1</v>
      </c>
      <c r="R135" s="1">
        <f ca="1">IFERROR(INDEX(INDIRECT("Table3[Column"&amp;R$9&amp;"]"),MATCH($L135,Table3[[Company name]:[Company name]],0)),0)</f>
        <v>10800</v>
      </c>
      <c r="S135" s="1">
        <f ca="1">IFERROR(INDEX(INDIRECT("Table3[Column"&amp;S$9&amp;"]"),MATCH($L135,Table3[[Company name]:[Company name]],0)),0)</f>
        <v>0</v>
      </c>
      <c r="T135" s="1">
        <f ca="1">IFERROR(INDEX(INDIRECT("Table3[Column"&amp;T$9&amp;"]"),MATCH($L135,Table3[[Company name]:[Company name]],0)),0)</f>
        <v>0</v>
      </c>
      <c r="U135" s="1">
        <f ca="1">IFERROR(INDEX(INDIRECT("Table3[Column"&amp;U$9&amp;"]"),MATCH($L135,Table3[[Company name]:[Company name]],0)),0)</f>
        <v>0</v>
      </c>
      <c r="V135" s="1">
        <f ca="1">IFERROR(INDEX(INDIRECT("Table3[Column"&amp;V$9&amp;"]"),MATCH($L135,Table3[[Company name]:[Company name]],0)),0)</f>
        <v>0</v>
      </c>
      <c r="W135" s="1">
        <f ca="1">IFERROR(INDEX(INDIRECT("Table3[Column"&amp;W$9&amp;"]"),MATCH($L135,Table3[[Company name]:[Company name]],0)),0)</f>
        <v>0</v>
      </c>
      <c r="X135" s="1">
        <f ca="1">IFERROR(INDEX(INDIRECT("Table3[Column"&amp;X$9&amp;"]"),MATCH($L135,Table3[[Company name]:[Company name]],0)),0)</f>
        <v>0</v>
      </c>
      <c r="Y135" s="1">
        <f ca="1">IFERROR(INDEX(INDIRECT("Table3[Column"&amp;Y$9&amp;"]"),MATCH($L135,Table3[[Company name]:[Company name]],0)),0)</f>
        <v>0</v>
      </c>
      <c r="Z135" s="1">
        <f ca="1">IFERROR(INDEX(INDIRECT("Table3[Column"&amp;Z$9&amp;"]"),MATCH($L135,Table3[[Company name]:[Company name]],0)),0)</f>
        <v>0</v>
      </c>
      <c r="AA135" s="1">
        <f ca="1">IFERROR(INDEX(INDIRECT("Table3[Column"&amp;AA$9&amp;"]"),MATCH($L135,Table3[[Company name]:[Company name]],0)),0)</f>
        <v>0</v>
      </c>
      <c r="AB135" s="1">
        <f ca="1">IFERROR(INDEX(INDIRECT("Table3[Column"&amp;AB$9&amp;"]"),MATCH($L135,Table3[[Company name]:[Company name]],0)),0)</f>
        <v>0</v>
      </c>
      <c r="AC135" s="1">
        <f ca="1">IFERROR(INDEX(INDIRECT("Table3[Column"&amp;AC$9&amp;"]"),MATCH($L135,Table3[[Company name]:[Company name]],0)),0)</f>
        <v>0</v>
      </c>
      <c r="AD135" s="1">
        <f ca="1">IFERROR(INDEX(INDIRECT("Table3[Column"&amp;AD$9&amp;"]"),MATCH($L135,Table3[[Company name]:[Company name]],0)),0)</f>
        <v>0</v>
      </c>
      <c r="AE135" s="1">
        <f ca="1">IFERROR(INDEX(INDIRECT("Table3[Column"&amp;AE$9&amp;"]"),MATCH($L135,Table3[[Company name]:[Company name]],0)),0)</f>
        <v>0</v>
      </c>
      <c r="AF135" s="1">
        <f ca="1">IFERROR(INDEX(INDIRECT("Table3[Column"&amp;AF$9&amp;"]"),MATCH($L135,Table3[[Company name]:[Company name]],0)),0)</f>
        <v>0</v>
      </c>
      <c r="AG135" s="1">
        <f ca="1">IFERROR(INDEX(INDIRECT("Table3[Column"&amp;AG$9&amp;"]"),MATCH($L135,Table3[[Company name]:[Company name]],0)),0)</f>
        <v>0</v>
      </c>
      <c r="AH135" s="1">
        <f ca="1">IFERROR(INDEX(INDIRECT("Table3[Column"&amp;AH$9&amp;"]"),MATCH($L135,Table3[[Company name]:[Company name]],0)),0)</f>
        <v>0</v>
      </c>
      <c r="AI135" s="1">
        <f t="shared" ca="1" si="11"/>
        <v>10800</v>
      </c>
      <c r="AK135" s="1">
        <f>IF(COUNTIFS($J$7:$J$510,Table7[[#Headers],[Industry Essentials]],$C$7:$C$510,$L135)&gt;0,0,MROUND(R135,100))</f>
        <v>0</v>
      </c>
      <c r="AL135" s="1">
        <f ca="1">IF(COUNTIFS($J$7:$J$510,Table7[[#Headers],[Energy Supply Market Intelligence]],$C$7:$C$510,$L135)&gt;0,0,MROUND(IFERROR(S135*($P135/$AI135),0),100))</f>
        <v>0</v>
      </c>
      <c r="AM135" s="1">
        <f ca="1">IF(COUNTIFS($J$7:$J$510,Table7[[#Headers],[Energy Supply RTM Analysis]],$C$7:$C$510,$L135)&gt;0,0,MROUND(IFERROR(T135*($P135/$AI135),0),100))</f>
        <v>0</v>
      </c>
      <c r="AN135" s="1">
        <f ca="1">IF(COUNTIFS($J$7:$J$510,Table7[[#Headers],[Energy Supply Forecasts]],$C$7:$C$510,$L135)&gt;0,0,MROUND(IFERROR(U135*($P135/$AI135),0),100))</f>
        <v>0</v>
      </c>
      <c r="AO135" s="1">
        <f ca="1">IF(COUNTIFS($J$7:$J$510,Table7[[#Headers],[Energy Supply Regulation]],$C$7:$C$510,$L135)&gt;0,0,MROUND(IFERROR(V135*($P135/$AI135),0),100))</f>
        <v>0</v>
      </c>
      <c r="AP135" s="1">
        <f ca="1">IF(COUNTIFS($J$7:$J$510,Table7[[#Headers],[Renewables Market Intelligence]],$C$7:$C$510,$L135)&gt;0,0,MROUND(IFERROR(W135*($P135/$AI135),0),100))</f>
        <v>0</v>
      </c>
      <c r="AQ135" s="1">
        <f ca="1">IF(COUNTIFS($J$7:$J$510,Table7[[#Headers],[Renewables RTM Analysis]],$C$7:$C$510,$L135)&gt;0,0,MROUND(IFERROR(X135*($P135/$AI135),0),100))</f>
        <v>0</v>
      </c>
      <c r="AR135" s="1">
        <f ca="1">IF(COUNTIFS($J$7:$J$510,Table7[[#Headers],[Renewables Forecasts]],$C$7:$C$510,$L135)&gt;0,0,MROUND(IFERROR(Y135*($P135/$AI135),0),100))</f>
        <v>0</v>
      </c>
      <c r="AS135" s="1">
        <f ca="1">IF(COUNTIFS($J$7:$J$510,Table7[[#Headers],[Renewables Regulation]],$C$7:$C$510,$L135)&gt;0,0,MROUND(IFERROR(Z135*($P135/$AI135),0),100))</f>
        <v>0</v>
      </c>
      <c r="AT135" s="1">
        <f ca="1">IF(COUNTIFS($J$7:$J$510,Table7[[#Headers],[Flexibility Market Intelligence]],$C$7:$C$510,$L135)&gt;0,0,MROUND(IFERROR(AA135*($P135/$AI135),0),100))</f>
        <v>0</v>
      </c>
      <c r="AU135" s="1">
        <f ca="1">IF(COUNTIFS($J$7:$J$510,Table7[[#Headers],[Flexibility RTM Analysis]],$C$7:$C$510,$L135)&gt;0,0,MROUND(IFERROR(AB135*($P135/$AI135),0),100))</f>
        <v>0</v>
      </c>
      <c r="AV135" s="1">
        <f ca="1">IF(COUNTIFS($J$7:$J$510,Table7[[#Headers],[Flexibility Forecasts]],$C$7:$C$510,$L135)&gt;0,0,MROUND(IFERROR(AC135*($P135/$AI135),0),100))</f>
        <v>0</v>
      </c>
      <c r="AW135" s="1">
        <f ca="1">IF(COUNTIFS($J$7:$J$510,Table7[[#Headers],[Flexibility Regulation]],$C$7:$C$510,$L135)&gt;0,0,MROUND(IFERROR(AD135*($P135/$AI135),0),100))</f>
        <v>0</v>
      </c>
      <c r="AX135" s="1">
        <f ca="1">IF(COUNTIFS($J$7:$J$510,Table7[[#Headers],[Business Energy Essentials]],$C$7:$C$510,$L135)&gt;0,0,MROUND(IFERROR(AE135*($P135/$AI135),0),100))</f>
        <v>0</v>
      </c>
      <c r="AY135" s="1">
        <f ca="1">IF(COUNTIFS($J$7:$J$510,Table7[[#Headers],[Energy User RTM Analysis]],$C$7:$C$510,$L135)&gt;0,0,MROUND(IFERROR(AF135*($P135/$AI135),0),100))</f>
        <v>0</v>
      </c>
      <c r="AZ135" s="1">
        <f ca="1">IF(COUNTIFS($J$7:$J$510,Table7[[#Headers],[Energy User Forecasts]],$C$7:$C$510,$L135)&gt;0,0,MROUND(IFERROR(AG135*($P135/$AI135),0),100))</f>
        <v>0</v>
      </c>
      <c r="BA135" s="1">
        <f ca="1">IF(COUNTIFS($J$7:$J$510,Table7[[#Headers],[Energy User Regulation]],$C$7:$C$510,$L135)&gt;0,0,MROUND(IFERROR(AH135*($P135/$AI135),0),100))</f>
        <v>0</v>
      </c>
    </row>
    <row r="136" spans="2:53">
      <c r="B136" s="38" t="s">
        <v>2139</v>
      </c>
      <c r="C136" s="38" t="s">
        <v>73</v>
      </c>
      <c r="D136" s="38" t="s">
        <v>2080</v>
      </c>
      <c r="E136" s="38" t="s">
        <v>1821</v>
      </c>
      <c r="F136" s="63">
        <v>9995.7284210526323</v>
      </c>
      <c r="G136" s="38"/>
      <c r="H136" s="38" t="s">
        <v>2031</v>
      </c>
      <c r="I136" s="38" t="s">
        <v>2031</v>
      </c>
      <c r="J136" s="38" t="s">
        <v>22</v>
      </c>
      <c r="L136" s="1" t="str">
        <v>National Grid PLC</v>
      </c>
      <c r="M136" s="1" t="str">
        <f t="shared" si="7"/>
        <v>Other</v>
      </c>
      <c r="N136" s="109">
        <f t="shared" si="8"/>
        <v>67500</v>
      </c>
      <c r="O136" s="1">
        <f>IFERROR(IF(INDEX(Table3[[Total Spend]:[Total Spend]],MATCH(L136,Table3[[Company name]:[Company name]],0))&gt;N136,INDEX(Table3[[Total Spend]:[Total Spend]],MATCH(L136,Table3[[Company name]:[Company name]])),N136),50000)</f>
        <v>67500</v>
      </c>
      <c r="P136" s="109">
        <f t="shared" si="9"/>
        <v>67500</v>
      </c>
      <c r="Q136" s="103">
        <f t="shared" si="10"/>
        <v>1</v>
      </c>
      <c r="R136" s="1">
        <f ca="1">IFERROR(INDEX(INDIRECT("Table3[Column"&amp;R$9&amp;"]"),MATCH($L136,Table3[[Company name]:[Company name]],0)),0)</f>
        <v>10800</v>
      </c>
      <c r="S136" s="1">
        <f ca="1">IFERROR(INDEX(INDIRECT("Table3[Column"&amp;S$9&amp;"]"),MATCH($L136,Table3[[Company name]:[Company name]],0)),0)</f>
        <v>0</v>
      </c>
      <c r="T136" s="1">
        <f ca="1">IFERROR(INDEX(INDIRECT("Table3[Column"&amp;T$9&amp;"]"),MATCH($L136,Table3[[Company name]:[Company name]],0)),0)</f>
        <v>0</v>
      </c>
      <c r="U136" s="1">
        <f ca="1">IFERROR(INDEX(INDIRECT("Table3[Column"&amp;U$9&amp;"]"),MATCH($L136,Table3[[Company name]:[Company name]],0)),0)</f>
        <v>0</v>
      </c>
      <c r="V136" s="1">
        <f ca="1">IFERROR(INDEX(INDIRECT("Table3[Column"&amp;V$9&amp;"]"),MATCH($L136,Table3[[Company name]:[Company name]],0)),0)</f>
        <v>0</v>
      </c>
      <c r="W136" s="1">
        <f ca="1">IFERROR(INDEX(INDIRECT("Table3[Column"&amp;W$9&amp;"]"),MATCH($L136,Table3[[Company name]:[Company name]],0)),0)</f>
        <v>0</v>
      </c>
      <c r="X136" s="1">
        <f ca="1">IFERROR(INDEX(INDIRECT("Table3[Column"&amp;X$9&amp;"]"),MATCH($L136,Table3[[Company name]:[Company name]],0)),0)</f>
        <v>0</v>
      </c>
      <c r="Y136" s="1">
        <f ca="1">IFERROR(INDEX(INDIRECT("Table3[Column"&amp;Y$9&amp;"]"),MATCH($L136,Table3[[Company name]:[Company name]],0)),0)</f>
        <v>0</v>
      </c>
      <c r="Z136" s="1">
        <f ca="1">IFERROR(INDEX(INDIRECT("Table3[Column"&amp;Z$9&amp;"]"),MATCH($L136,Table3[[Company name]:[Company name]],0)),0)</f>
        <v>0</v>
      </c>
      <c r="AA136" s="1">
        <f ca="1">IFERROR(INDEX(INDIRECT("Table3[Column"&amp;AA$9&amp;"]"),MATCH($L136,Table3[[Company name]:[Company name]],0)),0)</f>
        <v>0</v>
      </c>
      <c r="AB136" s="1">
        <f ca="1">IFERROR(INDEX(INDIRECT("Table3[Column"&amp;AB$9&amp;"]"),MATCH($L136,Table3[[Company name]:[Company name]],0)),0)</f>
        <v>0</v>
      </c>
      <c r="AC136" s="1">
        <f ca="1">IFERROR(INDEX(INDIRECT("Table3[Column"&amp;AC$9&amp;"]"),MATCH($L136,Table3[[Company name]:[Company name]],0)),0)</f>
        <v>0</v>
      </c>
      <c r="AD136" s="1">
        <f ca="1">IFERROR(INDEX(INDIRECT("Table3[Column"&amp;AD$9&amp;"]"),MATCH($L136,Table3[[Company name]:[Company name]],0)),0)</f>
        <v>0</v>
      </c>
      <c r="AE136" s="1">
        <f ca="1">IFERROR(INDEX(INDIRECT("Table3[Column"&amp;AE$9&amp;"]"),MATCH($L136,Table3[[Company name]:[Company name]],0)),0)</f>
        <v>0</v>
      </c>
      <c r="AF136" s="1">
        <f ca="1">IFERROR(INDEX(INDIRECT("Table3[Column"&amp;AF$9&amp;"]"),MATCH($L136,Table3[[Company name]:[Company name]],0)),0)</f>
        <v>0</v>
      </c>
      <c r="AG136" s="1">
        <f ca="1">IFERROR(INDEX(INDIRECT("Table3[Column"&amp;AG$9&amp;"]"),MATCH($L136,Table3[[Company name]:[Company name]],0)),0)</f>
        <v>0</v>
      </c>
      <c r="AH136" s="1">
        <f ca="1">IFERROR(INDEX(INDIRECT("Table3[Column"&amp;AH$9&amp;"]"),MATCH($L136,Table3[[Company name]:[Company name]],0)),0)</f>
        <v>0</v>
      </c>
      <c r="AI136" s="1">
        <f t="shared" ca="1" si="11"/>
        <v>10800</v>
      </c>
      <c r="AK136" s="1">
        <f>IF(COUNTIFS($J$7:$J$510,Table7[[#Headers],[Industry Essentials]],$C$7:$C$510,$L136)&gt;0,0,MROUND(R136,100))</f>
        <v>0</v>
      </c>
      <c r="AL136" s="1">
        <f>IF(COUNTIFS($J$7:$J$510,Table7[[#Headers],[Energy Supply Market Intelligence]],$C$7:$C$510,$L136)&gt;0,0,MROUND(IFERROR(S136*($P136/$AI136),0),100))</f>
        <v>0</v>
      </c>
      <c r="AM136" s="1">
        <f ca="1">IF(COUNTIFS($J$7:$J$510,Table7[[#Headers],[Energy Supply RTM Analysis]],$C$7:$C$510,$L136)&gt;0,0,MROUND(IFERROR(T136*($P136/$AI136),0),100))</f>
        <v>0</v>
      </c>
      <c r="AN136" s="1">
        <f ca="1">IF(COUNTIFS($J$7:$J$510,Table7[[#Headers],[Energy Supply Forecasts]],$C$7:$C$510,$L136)&gt;0,0,MROUND(IFERROR(U136*($P136/$AI136),0),100))</f>
        <v>0</v>
      </c>
      <c r="AO136" s="1">
        <f ca="1">IF(COUNTIFS($J$7:$J$510,Table7[[#Headers],[Energy Supply Regulation]],$C$7:$C$510,$L136)&gt;0,0,MROUND(IFERROR(V136*($P136/$AI136),0),100))</f>
        <v>0</v>
      </c>
      <c r="AP136" s="1">
        <f ca="1">IF(COUNTIFS($J$7:$J$510,Table7[[#Headers],[Renewables Market Intelligence]],$C$7:$C$510,$L136)&gt;0,0,MROUND(IFERROR(W136*($P136/$AI136),0),100))</f>
        <v>0</v>
      </c>
      <c r="AQ136" s="1">
        <f ca="1">IF(COUNTIFS($J$7:$J$510,Table7[[#Headers],[Renewables RTM Analysis]],$C$7:$C$510,$L136)&gt;0,0,MROUND(IFERROR(X136*($P136/$AI136),0),100))</f>
        <v>0</v>
      </c>
      <c r="AR136" s="1">
        <f ca="1">IF(COUNTIFS($J$7:$J$510,Table7[[#Headers],[Renewables Forecasts]],$C$7:$C$510,$L136)&gt;0,0,MROUND(IFERROR(Y136*($P136/$AI136),0),100))</f>
        <v>0</v>
      </c>
      <c r="AS136" s="1">
        <f ca="1">IF(COUNTIFS($J$7:$J$510,Table7[[#Headers],[Renewables Regulation]],$C$7:$C$510,$L136)&gt;0,0,MROUND(IFERROR(Z136*($P136/$AI136),0),100))</f>
        <v>0</v>
      </c>
      <c r="AT136" s="1">
        <f ca="1">IF(COUNTIFS($J$7:$J$510,Table7[[#Headers],[Flexibility Market Intelligence]],$C$7:$C$510,$L136)&gt;0,0,MROUND(IFERROR(AA136*($P136/$AI136),0),100))</f>
        <v>0</v>
      </c>
      <c r="AU136" s="1">
        <f ca="1">IF(COUNTIFS($J$7:$J$510,Table7[[#Headers],[Flexibility RTM Analysis]],$C$7:$C$510,$L136)&gt;0,0,MROUND(IFERROR(AB136*($P136/$AI136),0),100))</f>
        <v>0</v>
      </c>
      <c r="AV136" s="1">
        <f ca="1">IF(COUNTIFS($J$7:$J$510,Table7[[#Headers],[Flexibility Forecasts]],$C$7:$C$510,$L136)&gt;0,0,MROUND(IFERROR(AC136*($P136/$AI136),0),100))</f>
        <v>0</v>
      </c>
      <c r="AW136" s="1">
        <f ca="1">IF(COUNTIFS($J$7:$J$510,Table7[[#Headers],[Flexibility Regulation]],$C$7:$C$510,$L136)&gt;0,0,MROUND(IFERROR(AD136*($P136/$AI136),0),100))</f>
        <v>0</v>
      </c>
      <c r="AX136" s="1">
        <f ca="1">IF(COUNTIFS($J$7:$J$510,Table7[[#Headers],[Business Energy Essentials]],$C$7:$C$510,$L136)&gt;0,0,MROUND(IFERROR(AE136*($P136/$AI136),0),100))</f>
        <v>0</v>
      </c>
      <c r="AY136" s="1">
        <f>IF(COUNTIFS($J$7:$J$510,Table7[[#Headers],[Energy User RTM Analysis]],$C$7:$C$510,$L136)&gt;0,0,MROUND(IFERROR(AF136*($P136/$AI136),0),100))</f>
        <v>0</v>
      </c>
      <c r="AZ136" s="1">
        <f ca="1">IF(COUNTIFS($J$7:$J$510,Table7[[#Headers],[Energy User Forecasts]],$C$7:$C$510,$L136)&gt;0,0,MROUND(IFERROR(AG136*($P136/$AI136),0),100))</f>
        <v>0</v>
      </c>
      <c r="BA136" s="1">
        <f ca="1">IF(COUNTIFS($J$7:$J$510,Table7[[#Headers],[Energy User Regulation]],$C$7:$C$510,$L136)&gt;0,0,MROUND(IFERROR(AH136*($P136/$AI136),0),100))</f>
        <v>0</v>
      </c>
    </row>
    <row r="137" spans="2:53">
      <c r="B137" s="38" t="s">
        <v>2139</v>
      </c>
      <c r="C137" s="38" t="s">
        <v>73</v>
      </c>
      <c r="D137" s="38" t="s">
        <v>2042</v>
      </c>
      <c r="E137" s="38" t="s">
        <v>1819</v>
      </c>
      <c r="F137" s="63">
        <v>4487.621052631579</v>
      </c>
      <c r="G137" s="38"/>
      <c r="H137" s="38" t="s">
        <v>2031</v>
      </c>
      <c r="I137" s="38" t="s">
        <v>1702</v>
      </c>
      <c r="J137" s="38" t="s">
        <v>26</v>
      </c>
      <c r="L137" s="1" t="str">
        <v>National Infrastructure &amp; Service Transformation Authority</v>
      </c>
      <c r="M137" s="1" t="str">
        <f t="shared" si="7"/>
        <v>Other</v>
      </c>
      <c r="N137" s="109">
        <f t="shared" si="8"/>
        <v>2950</v>
      </c>
      <c r="O137" s="1">
        <f>IFERROR(IF(INDEX(Table3[[Total Spend]:[Total Spend]],MATCH(L137,Table3[[Company name]:[Company name]],0))&gt;N137,INDEX(Table3[[Total Spend]:[Total Spend]],MATCH(L137,Table3[[Company name]:[Company name]])),N137),50000)</f>
        <v>8100</v>
      </c>
      <c r="P137" s="109">
        <f t="shared" si="9"/>
        <v>5150</v>
      </c>
      <c r="Q137" s="103">
        <f t="shared" si="10"/>
        <v>0.36419753086419754</v>
      </c>
      <c r="R137" s="1">
        <f ca="1">IFERROR(INDEX(INDIRECT("Table3[Column"&amp;R$9&amp;"]"),MATCH($L137,Table3[[Company name]:[Company name]],0)),0)</f>
        <v>10800</v>
      </c>
      <c r="S137" s="1">
        <f ca="1">IFERROR(INDEX(INDIRECT("Table3[Column"&amp;S$9&amp;"]"),MATCH($L137,Table3[[Company name]:[Company name]],0)),0)</f>
        <v>0</v>
      </c>
      <c r="T137" s="1">
        <f ca="1">IFERROR(INDEX(INDIRECT("Table3[Column"&amp;T$9&amp;"]"),MATCH($L137,Table3[[Company name]:[Company name]],0)),0)</f>
        <v>0</v>
      </c>
      <c r="U137" s="1">
        <f ca="1">IFERROR(INDEX(INDIRECT("Table3[Column"&amp;U$9&amp;"]"),MATCH($L137,Table3[[Company name]:[Company name]],0)),0)</f>
        <v>0</v>
      </c>
      <c r="V137" s="1">
        <f ca="1">IFERROR(INDEX(INDIRECT("Table3[Column"&amp;V$9&amp;"]"),MATCH($L137,Table3[[Company name]:[Company name]],0)),0)</f>
        <v>0</v>
      </c>
      <c r="W137" s="1">
        <f ca="1">IFERROR(INDEX(INDIRECT("Table3[Column"&amp;W$9&amp;"]"),MATCH($L137,Table3[[Company name]:[Company name]],0)),0)</f>
        <v>0</v>
      </c>
      <c r="X137" s="1">
        <f ca="1">IFERROR(INDEX(INDIRECT("Table3[Column"&amp;X$9&amp;"]"),MATCH($L137,Table3[[Company name]:[Company name]],0)),0)</f>
        <v>0</v>
      </c>
      <c r="Y137" s="1">
        <f ca="1">IFERROR(INDEX(INDIRECT("Table3[Column"&amp;Y$9&amp;"]"),MATCH($L137,Table3[[Company name]:[Company name]],0)),0)</f>
        <v>0</v>
      </c>
      <c r="Z137" s="1">
        <f ca="1">IFERROR(INDEX(INDIRECT("Table3[Column"&amp;Z$9&amp;"]"),MATCH($L137,Table3[[Company name]:[Company name]],0)),0)</f>
        <v>0</v>
      </c>
      <c r="AA137" s="1">
        <f ca="1">IFERROR(INDEX(INDIRECT("Table3[Column"&amp;AA$9&amp;"]"),MATCH($L137,Table3[[Company name]:[Company name]],0)),0)</f>
        <v>0</v>
      </c>
      <c r="AB137" s="1">
        <f ca="1">IFERROR(INDEX(INDIRECT("Table3[Column"&amp;AB$9&amp;"]"),MATCH($L137,Table3[[Company name]:[Company name]],0)),0)</f>
        <v>0</v>
      </c>
      <c r="AC137" s="1">
        <f ca="1">IFERROR(INDEX(INDIRECT("Table3[Column"&amp;AC$9&amp;"]"),MATCH($L137,Table3[[Company name]:[Company name]],0)),0)</f>
        <v>0</v>
      </c>
      <c r="AD137" s="1">
        <f ca="1">IFERROR(INDEX(INDIRECT("Table3[Column"&amp;AD$9&amp;"]"),MATCH($L137,Table3[[Company name]:[Company name]],0)),0)</f>
        <v>0</v>
      </c>
      <c r="AE137" s="1">
        <f ca="1">IFERROR(INDEX(INDIRECT("Table3[Column"&amp;AE$9&amp;"]"),MATCH($L137,Table3[[Company name]:[Company name]],0)),0)</f>
        <v>0</v>
      </c>
      <c r="AF137" s="1">
        <f ca="1">IFERROR(INDEX(INDIRECT("Table3[Column"&amp;AF$9&amp;"]"),MATCH($L137,Table3[[Company name]:[Company name]],0)),0)</f>
        <v>0</v>
      </c>
      <c r="AG137" s="1">
        <f ca="1">IFERROR(INDEX(INDIRECT("Table3[Column"&amp;AG$9&amp;"]"),MATCH($L137,Table3[[Company name]:[Company name]],0)),0)</f>
        <v>0</v>
      </c>
      <c r="AH137" s="1">
        <f ca="1">IFERROR(INDEX(INDIRECT("Table3[Column"&amp;AH$9&amp;"]"),MATCH($L137,Table3[[Company name]:[Company name]],0)),0)</f>
        <v>0</v>
      </c>
      <c r="AI137" s="1">
        <f t="shared" ca="1" si="11"/>
        <v>10800</v>
      </c>
      <c r="AK137" s="1">
        <f>IF(COUNTIFS($J$7:$J$510,Table7[[#Headers],[Industry Essentials]],$C$7:$C$510,$L137)&gt;0,0,MROUND(R137,100))</f>
        <v>0</v>
      </c>
      <c r="AL137" s="1">
        <f ca="1">IF(COUNTIFS($J$7:$J$510,Table7[[#Headers],[Energy Supply Market Intelligence]],$C$7:$C$510,$L137)&gt;0,0,MROUND(IFERROR(S137*($P137/$AI137),0),100))</f>
        <v>0</v>
      </c>
      <c r="AM137" s="1">
        <f ca="1">IF(COUNTIFS($J$7:$J$510,Table7[[#Headers],[Energy Supply RTM Analysis]],$C$7:$C$510,$L137)&gt;0,0,MROUND(IFERROR(T137*($P137/$AI137),0),100))</f>
        <v>0</v>
      </c>
      <c r="AN137" s="1">
        <f ca="1">IF(COUNTIFS($J$7:$J$510,Table7[[#Headers],[Energy Supply Forecasts]],$C$7:$C$510,$L137)&gt;0,0,MROUND(IFERROR(U137*($P137/$AI137),0),100))</f>
        <v>0</v>
      </c>
      <c r="AO137" s="1">
        <f ca="1">IF(COUNTIFS($J$7:$J$510,Table7[[#Headers],[Energy Supply Regulation]],$C$7:$C$510,$L137)&gt;0,0,MROUND(IFERROR(V137*($P137/$AI137),0),100))</f>
        <v>0</v>
      </c>
      <c r="AP137" s="1">
        <f ca="1">IF(COUNTIFS($J$7:$J$510,Table7[[#Headers],[Renewables Market Intelligence]],$C$7:$C$510,$L137)&gt;0,0,MROUND(IFERROR(W137*($P137/$AI137),0),100))</f>
        <v>0</v>
      </c>
      <c r="AQ137" s="1">
        <f ca="1">IF(COUNTIFS($J$7:$J$510,Table7[[#Headers],[Renewables RTM Analysis]],$C$7:$C$510,$L137)&gt;0,0,MROUND(IFERROR(X137*($P137/$AI137),0),100))</f>
        <v>0</v>
      </c>
      <c r="AR137" s="1">
        <f ca="1">IF(COUNTIFS($J$7:$J$510,Table7[[#Headers],[Renewables Forecasts]],$C$7:$C$510,$L137)&gt;0,0,MROUND(IFERROR(Y137*($P137/$AI137),0),100))</f>
        <v>0</v>
      </c>
      <c r="AS137" s="1">
        <f ca="1">IF(COUNTIFS($J$7:$J$510,Table7[[#Headers],[Renewables Regulation]],$C$7:$C$510,$L137)&gt;0,0,MROUND(IFERROR(Z137*($P137/$AI137),0),100))</f>
        <v>0</v>
      </c>
      <c r="AT137" s="1">
        <f ca="1">IF(COUNTIFS($J$7:$J$510,Table7[[#Headers],[Flexibility Market Intelligence]],$C$7:$C$510,$L137)&gt;0,0,MROUND(IFERROR(AA137*($P137/$AI137),0),100))</f>
        <v>0</v>
      </c>
      <c r="AU137" s="1">
        <f ca="1">IF(COUNTIFS($J$7:$J$510,Table7[[#Headers],[Flexibility RTM Analysis]],$C$7:$C$510,$L137)&gt;0,0,MROUND(IFERROR(AB137*($P137/$AI137),0),100))</f>
        <v>0</v>
      </c>
      <c r="AV137" s="1">
        <f ca="1">IF(COUNTIFS($J$7:$J$510,Table7[[#Headers],[Flexibility Forecasts]],$C$7:$C$510,$L137)&gt;0,0,MROUND(IFERROR(AC137*($P137/$AI137),0),100))</f>
        <v>0</v>
      </c>
      <c r="AW137" s="1">
        <f ca="1">IF(COUNTIFS($J$7:$J$510,Table7[[#Headers],[Flexibility Regulation]],$C$7:$C$510,$L137)&gt;0,0,MROUND(IFERROR(AD137*($P137/$AI137),0),100))</f>
        <v>0</v>
      </c>
      <c r="AX137" s="1">
        <f ca="1">IF(COUNTIFS($J$7:$J$510,Table7[[#Headers],[Business Energy Essentials]],$C$7:$C$510,$L137)&gt;0,0,MROUND(IFERROR(AE137*($P137/$AI137),0),100))</f>
        <v>0</v>
      </c>
      <c r="AY137" s="1">
        <f ca="1">IF(COUNTIFS($J$7:$J$510,Table7[[#Headers],[Energy User RTM Analysis]],$C$7:$C$510,$L137)&gt;0,0,MROUND(IFERROR(AF137*($P137/$AI137),0),100))</f>
        <v>0</v>
      </c>
      <c r="AZ137" s="1">
        <f ca="1">IF(COUNTIFS($J$7:$J$510,Table7[[#Headers],[Energy User Forecasts]],$C$7:$C$510,$L137)&gt;0,0,MROUND(IFERROR(AG137*($P137/$AI137),0),100))</f>
        <v>0</v>
      </c>
      <c r="BA137" s="1">
        <f ca="1">IF(COUNTIFS($J$7:$J$510,Table7[[#Headers],[Energy User Regulation]],$C$7:$C$510,$L137)&gt;0,0,MROUND(IFERROR(AH137*($P137/$AI137),0),100))</f>
        <v>0</v>
      </c>
    </row>
    <row r="138" spans="2:53">
      <c r="B138" s="38" t="s">
        <v>2139</v>
      </c>
      <c r="C138" s="38" t="s">
        <v>73</v>
      </c>
      <c r="D138" s="38" t="s">
        <v>2040</v>
      </c>
      <c r="E138" s="38" t="s">
        <v>1799</v>
      </c>
      <c r="F138" s="63">
        <v>12048.189999999999</v>
      </c>
      <c r="G138" s="38"/>
      <c r="H138" s="38" t="s">
        <v>2031</v>
      </c>
      <c r="I138" s="38" t="s">
        <v>2032</v>
      </c>
      <c r="J138" s="38" t="s">
        <v>20</v>
      </c>
      <c r="L138" s="1" t="str">
        <v>NextEnergy Solar Holdings III Limited</v>
      </c>
      <c r="M138" s="1" t="str">
        <f t="shared" si="7"/>
        <v>Renewables</v>
      </c>
      <c r="N138" s="109">
        <f t="shared" si="8"/>
        <v>25000</v>
      </c>
      <c r="O138" s="1">
        <f>IFERROR(IF(INDEX(Table3[[Total Spend]:[Total Spend]],MATCH(L138,Table3[[Company name]:[Company name]],0))&gt;N138,INDEX(Table3[[Total Spend]:[Total Spend]],MATCH(L138,Table3[[Company name]:[Company name]])),N138),50000)</f>
        <v>10000</v>
      </c>
      <c r="P138" s="109">
        <f t="shared" si="9"/>
        <v>25000</v>
      </c>
      <c r="Q138" s="103">
        <f t="shared" si="10"/>
        <v>1</v>
      </c>
      <c r="R138" s="1">
        <f ca="1">IFERROR(INDEX(INDIRECT("Table3[Column"&amp;R$9&amp;"]"),MATCH($L138,Table3[[Company name]:[Company name]],0)),0)</f>
        <v>10800</v>
      </c>
      <c r="S138" s="1">
        <f ca="1">IFERROR(INDEX(INDIRECT("Table3[Column"&amp;S$9&amp;"]"),MATCH($L138,Table3[[Company name]:[Company name]],0)),0)</f>
        <v>0</v>
      </c>
      <c r="T138" s="1">
        <f ca="1">IFERROR(INDEX(INDIRECT("Table3[Column"&amp;T$9&amp;"]"),MATCH($L138,Table3[[Company name]:[Company name]],0)),0)</f>
        <v>0</v>
      </c>
      <c r="U138" s="1">
        <f ca="1">IFERROR(INDEX(INDIRECT("Table3[Column"&amp;U$9&amp;"]"),MATCH($L138,Table3[[Company name]:[Company name]],0)),0)</f>
        <v>0</v>
      </c>
      <c r="V138" s="1">
        <f ca="1">IFERROR(INDEX(INDIRECT("Table3[Column"&amp;V$9&amp;"]"),MATCH($L138,Table3[[Company name]:[Company name]],0)),0)</f>
        <v>0</v>
      </c>
      <c r="W138" s="1">
        <f ca="1">IFERROR(INDEX(INDIRECT("Table3[Column"&amp;W$9&amp;"]"),MATCH($L138,Table3[[Company name]:[Company name]],0)),0)</f>
        <v>23400</v>
      </c>
      <c r="X138" s="1">
        <f ca="1">IFERROR(INDEX(INDIRECT("Table3[Column"&amp;X$9&amp;"]"),MATCH($L138,Table3[[Company name]:[Company name]],0)),0)</f>
        <v>20700</v>
      </c>
      <c r="Y138" s="1">
        <f ca="1">IFERROR(INDEX(INDIRECT("Table3[Column"&amp;Y$9&amp;"]"),MATCH($L138,Table3[[Company name]:[Company name]],0)),0)</f>
        <v>59400</v>
      </c>
      <c r="Z138" s="1">
        <f ca="1">IFERROR(INDEX(INDIRECT("Table3[Column"&amp;Z$9&amp;"]"),MATCH($L138,Table3[[Company name]:[Company name]],0)),0)</f>
        <v>26100</v>
      </c>
      <c r="AA138" s="1">
        <f ca="1">IFERROR(INDEX(INDIRECT("Table3[Column"&amp;AA$9&amp;"]"),MATCH($L138,Table3[[Company name]:[Company name]],0)),0)</f>
        <v>29700</v>
      </c>
      <c r="AB138" s="1">
        <f ca="1">IFERROR(INDEX(INDIRECT("Table3[Column"&amp;AB$9&amp;"]"),MATCH($L138,Table3[[Company name]:[Company name]],0)),0)</f>
        <v>10800</v>
      </c>
      <c r="AC138" s="1">
        <f ca="1">IFERROR(INDEX(INDIRECT("Table3[Column"&amp;AC$9&amp;"]"),MATCH($L138,Table3[[Company name]:[Company name]],0)),0)</f>
        <v>44100</v>
      </c>
      <c r="AD138" s="1">
        <f ca="1">IFERROR(INDEX(INDIRECT("Table3[Column"&amp;AD$9&amp;"]"),MATCH($L138,Table3[[Company name]:[Company name]],0)),0)</f>
        <v>36000</v>
      </c>
      <c r="AE138" s="1">
        <f ca="1">IFERROR(INDEX(INDIRECT("Table3[Column"&amp;AE$9&amp;"]"),MATCH($L138,Table3[[Company name]:[Company name]],0)),0)</f>
        <v>0</v>
      </c>
      <c r="AF138" s="1">
        <f ca="1">IFERROR(INDEX(INDIRECT("Table3[Column"&amp;AF$9&amp;"]"),MATCH($L138,Table3[[Company name]:[Company name]],0)),0)</f>
        <v>0</v>
      </c>
      <c r="AG138" s="1">
        <f ca="1">IFERROR(INDEX(INDIRECT("Table3[Column"&amp;AG$9&amp;"]"),MATCH($L138,Table3[[Company name]:[Company name]],0)),0)</f>
        <v>0</v>
      </c>
      <c r="AH138" s="1">
        <f ca="1">IFERROR(INDEX(INDIRECT("Table3[Column"&amp;AH$9&amp;"]"),MATCH($L138,Table3[[Company name]:[Company name]],0)),0)</f>
        <v>0</v>
      </c>
      <c r="AI138" s="1">
        <f t="shared" ca="1" si="11"/>
        <v>261000</v>
      </c>
      <c r="AK138" s="1">
        <f>IF(COUNTIFS($J$7:$J$510,Table7[[#Headers],[Industry Essentials]],$C$7:$C$510,$L138)&gt;0,0,MROUND(R138,100))</f>
        <v>0</v>
      </c>
      <c r="AL138" s="1">
        <f ca="1">IF(COUNTIFS($J$7:$J$510,Table7[[#Headers],[Energy Supply Market Intelligence]],$C$7:$C$510,$L138)&gt;0,0,MROUND(IFERROR(S138*($P138/$AI138),0),100))</f>
        <v>0</v>
      </c>
      <c r="AM138" s="1">
        <f ca="1">IF(COUNTIFS($J$7:$J$510,Table7[[#Headers],[Energy Supply RTM Analysis]],$C$7:$C$510,$L138)&gt;0,0,MROUND(IFERROR(T138*($P138/$AI138),0),100))</f>
        <v>0</v>
      </c>
      <c r="AN138" s="1">
        <f ca="1">IF(COUNTIFS($J$7:$J$510,Table7[[#Headers],[Energy Supply Forecasts]],$C$7:$C$510,$L138)&gt;0,0,MROUND(IFERROR(U138*($P138/$AI138),0),100))</f>
        <v>0</v>
      </c>
      <c r="AO138" s="1">
        <f ca="1">IF(COUNTIFS($J$7:$J$510,Table7[[#Headers],[Energy Supply Regulation]],$C$7:$C$510,$L138)&gt;0,0,MROUND(IFERROR(V138*($P138/$AI138),0),100))</f>
        <v>0</v>
      </c>
      <c r="AP138" s="1">
        <f ca="1">IF(COUNTIFS($J$7:$J$510,Table7[[#Headers],[Renewables Market Intelligence]],$C$7:$C$510,$L138)&gt;0,0,MROUND(IFERROR(W138*($P138/$AI138),0),100))</f>
        <v>2200</v>
      </c>
      <c r="AQ138" s="1">
        <f ca="1">IF(COUNTIFS($J$7:$J$510,Table7[[#Headers],[Renewables RTM Analysis]],$C$7:$C$510,$L138)&gt;0,0,MROUND(IFERROR(X138*($P138/$AI138),0),100))</f>
        <v>2000</v>
      </c>
      <c r="AR138" s="1">
        <f>IF(COUNTIFS($J$7:$J$510,Table7[[#Headers],[Renewables Forecasts]],$C$7:$C$510,$L138)&gt;0,0,MROUND(IFERROR(Y138*($P138/$AI138),0),100))</f>
        <v>0</v>
      </c>
      <c r="AS138" s="1">
        <f ca="1">IF(COUNTIFS($J$7:$J$510,Table7[[#Headers],[Renewables Regulation]],$C$7:$C$510,$L138)&gt;0,0,MROUND(IFERROR(Z138*($P138/$AI138),0),100))</f>
        <v>2500</v>
      </c>
      <c r="AT138" s="1">
        <f ca="1">IF(COUNTIFS($J$7:$J$510,Table7[[#Headers],[Flexibility Market Intelligence]],$C$7:$C$510,$L138)&gt;0,0,MROUND(IFERROR(AA138*($P138/$AI138),0),100))</f>
        <v>2800</v>
      </c>
      <c r="AU138" s="1">
        <f ca="1">IF(COUNTIFS($J$7:$J$510,Table7[[#Headers],[Flexibility RTM Analysis]],$C$7:$C$510,$L138)&gt;0,0,MROUND(IFERROR(AB138*($P138/$AI138),0),100))</f>
        <v>1000</v>
      </c>
      <c r="AV138" s="1">
        <f ca="1">IF(COUNTIFS($J$7:$J$510,Table7[[#Headers],[Flexibility Forecasts]],$C$7:$C$510,$L138)&gt;0,0,MROUND(IFERROR(AC138*($P138/$AI138),0),100))</f>
        <v>4200</v>
      </c>
      <c r="AW138" s="1">
        <f ca="1">IF(COUNTIFS($J$7:$J$510,Table7[[#Headers],[Flexibility Regulation]],$C$7:$C$510,$L138)&gt;0,0,MROUND(IFERROR(AD138*($P138/$AI138),0),100))</f>
        <v>3400</v>
      </c>
      <c r="AX138" s="1">
        <f ca="1">IF(COUNTIFS($J$7:$J$510,Table7[[#Headers],[Business Energy Essentials]],$C$7:$C$510,$L138)&gt;0,0,MROUND(IFERROR(AE138*($P138/$AI138),0),100))</f>
        <v>0</v>
      </c>
      <c r="AY138" s="1">
        <f ca="1">IF(COUNTIFS($J$7:$J$510,Table7[[#Headers],[Energy User RTM Analysis]],$C$7:$C$510,$L138)&gt;0,0,MROUND(IFERROR(AF138*($P138/$AI138),0),100))</f>
        <v>0</v>
      </c>
      <c r="AZ138" s="1">
        <f ca="1">IF(COUNTIFS($J$7:$J$510,Table7[[#Headers],[Energy User Forecasts]],$C$7:$C$510,$L138)&gt;0,0,MROUND(IFERROR(AG138*($P138/$AI138),0),100))</f>
        <v>0</v>
      </c>
      <c r="BA138" s="1">
        <f ca="1">IF(COUNTIFS($J$7:$J$510,Table7[[#Headers],[Energy User Regulation]],$C$7:$C$510,$L138)&gt;0,0,MROUND(IFERROR(AH138*($P138/$AI138),0),100))</f>
        <v>0</v>
      </c>
    </row>
    <row r="139" spans="2:53">
      <c r="B139" s="38" t="s">
        <v>2139</v>
      </c>
      <c r="C139" s="38" t="s">
        <v>73</v>
      </c>
      <c r="D139" s="38" t="s">
        <v>2057</v>
      </c>
      <c r="E139" s="38" t="s">
        <v>1826</v>
      </c>
      <c r="F139" s="63">
        <v>7065.5399999999991</v>
      </c>
      <c r="G139" s="38"/>
      <c r="H139" s="38" t="s">
        <v>2031</v>
      </c>
      <c r="I139" s="38" t="s">
        <v>1702</v>
      </c>
      <c r="J139" s="38" t="s">
        <v>27</v>
      </c>
      <c r="L139" s="1" t="str">
        <v>NFPAS Ltd t/a E-Power</v>
      </c>
      <c r="M139" s="1" t="str">
        <f t="shared" si="7"/>
        <v>Renewables</v>
      </c>
      <c r="N139" s="109">
        <f t="shared" si="8"/>
        <v>26000</v>
      </c>
      <c r="O139" s="1">
        <f>IFERROR(IF(INDEX(Table3[[Total Spend]:[Total Spend]],MATCH(L139,Table3[[Company name]:[Company name]],0))&gt;N139,INDEX(Table3[[Total Spend]:[Total Spend]],MATCH(L139,Table3[[Company name]:[Company name]])),N139),50000)</f>
        <v>26000</v>
      </c>
      <c r="P139" s="109">
        <f t="shared" si="9"/>
        <v>26000</v>
      </c>
      <c r="Q139" s="103">
        <f t="shared" si="10"/>
        <v>1</v>
      </c>
      <c r="R139" s="1">
        <f ca="1">IFERROR(INDEX(INDIRECT("Table3[Column"&amp;R$9&amp;"]"),MATCH($L139,Table3[[Company name]:[Company name]],0)),0)</f>
        <v>8100</v>
      </c>
      <c r="S139" s="1">
        <f ca="1">IFERROR(INDEX(INDIRECT("Table3[Column"&amp;S$9&amp;"]"),MATCH($L139,Table3[[Company name]:[Company name]],0)),0)</f>
        <v>30600</v>
      </c>
      <c r="T139" s="1">
        <f ca="1">IFERROR(INDEX(INDIRECT("Table3[Column"&amp;T$9&amp;"]"),MATCH($L139,Table3[[Company name]:[Company name]],0)),0)</f>
        <v>53100</v>
      </c>
      <c r="U139" s="1">
        <f ca="1">IFERROR(INDEX(INDIRECT("Table3[Column"&amp;U$9&amp;"]"),MATCH($L139,Table3[[Company name]:[Company name]],0)),0)</f>
        <v>34200</v>
      </c>
      <c r="V139" s="1">
        <f ca="1">IFERROR(INDEX(INDIRECT("Table3[Column"&amp;V$9&amp;"]"),MATCH($L139,Table3[[Company name]:[Company name]],0)),0)</f>
        <v>0</v>
      </c>
      <c r="W139" s="1">
        <f ca="1">IFERROR(INDEX(INDIRECT("Table3[Column"&amp;W$9&amp;"]"),MATCH($L139,Table3[[Company name]:[Company name]],0)),0)</f>
        <v>0</v>
      </c>
      <c r="X139" s="1">
        <f ca="1">IFERROR(INDEX(INDIRECT("Table3[Column"&amp;X$9&amp;"]"),MATCH($L139,Table3[[Company name]:[Company name]],0)),0)</f>
        <v>0</v>
      </c>
      <c r="Y139" s="1">
        <f ca="1">IFERROR(INDEX(INDIRECT("Table3[Column"&amp;Y$9&amp;"]"),MATCH($L139,Table3[[Company name]:[Company name]],0)),0)</f>
        <v>0</v>
      </c>
      <c r="Z139" s="1">
        <f ca="1">IFERROR(INDEX(INDIRECT("Table3[Column"&amp;Z$9&amp;"]"),MATCH($L139,Table3[[Company name]:[Company name]],0)),0)</f>
        <v>0</v>
      </c>
      <c r="AA139" s="1">
        <f ca="1">IFERROR(INDEX(INDIRECT("Table3[Column"&amp;AA$9&amp;"]"),MATCH($L139,Table3[[Company name]:[Company name]],0)),0)</f>
        <v>0</v>
      </c>
      <c r="AB139" s="1">
        <f ca="1">IFERROR(INDEX(INDIRECT("Table3[Column"&amp;AB$9&amp;"]"),MATCH($L139,Table3[[Company name]:[Company name]],0)),0)</f>
        <v>0</v>
      </c>
      <c r="AC139" s="1">
        <f ca="1">IFERROR(INDEX(INDIRECT("Table3[Column"&amp;AC$9&amp;"]"),MATCH($L139,Table3[[Company name]:[Company name]],0)),0)</f>
        <v>0</v>
      </c>
      <c r="AD139" s="1">
        <f ca="1">IFERROR(INDEX(INDIRECT("Table3[Column"&amp;AD$9&amp;"]"),MATCH($L139,Table3[[Company name]:[Company name]],0)),0)</f>
        <v>0</v>
      </c>
      <c r="AE139" s="1">
        <f ca="1">IFERROR(INDEX(INDIRECT("Table3[Column"&amp;AE$9&amp;"]"),MATCH($L139,Table3[[Company name]:[Company name]],0)),0)</f>
        <v>0</v>
      </c>
      <c r="AF139" s="1">
        <f ca="1">IFERROR(INDEX(INDIRECT("Table3[Column"&amp;AF$9&amp;"]"),MATCH($L139,Table3[[Company name]:[Company name]],0)),0)</f>
        <v>11250</v>
      </c>
      <c r="AG139" s="1">
        <f ca="1">IFERROR(INDEX(INDIRECT("Table3[Column"&amp;AG$9&amp;"]"),MATCH($L139,Table3[[Company name]:[Company name]],0)),0)</f>
        <v>0</v>
      </c>
      <c r="AH139" s="1">
        <f ca="1">IFERROR(INDEX(INDIRECT("Table3[Column"&amp;AH$9&amp;"]"),MATCH($L139,Table3[[Company name]:[Company name]],0)),0)</f>
        <v>0</v>
      </c>
      <c r="AI139" s="1">
        <f t="shared" ca="1" si="11"/>
        <v>137250</v>
      </c>
      <c r="AK139" s="1">
        <f>IF(COUNTIFS($J$7:$J$510,Table7[[#Headers],[Industry Essentials]],$C$7:$C$510,$L139)&gt;0,0,MROUND(R139,100))</f>
        <v>0</v>
      </c>
      <c r="AL139" s="1">
        <f ca="1">IF(COUNTIFS($J$7:$J$510,Table7[[#Headers],[Energy Supply Market Intelligence]],$C$7:$C$510,$L139)&gt;0,0,MROUND(IFERROR(S139*($P139/$AI139),0),100))</f>
        <v>5800</v>
      </c>
      <c r="AM139" s="1">
        <f ca="1">IF(COUNTIFS($J$7:$J$510,Table7[[#Headers],[Energy Supply RTM Analysis]],$C$7:$C$510,$L139)&gt;0,0,MROUND(IFERROR(T139*($P139/$AI139),0),100))</f>
        <v>10100</v>
      </c>
      <c r="AN139" s="1">
        <f ca="1">IF(COUNTIFS($J$7:$J$510,Table7[[#Headers],[Energy Supply Forecasts]],$C$7:$C$510,$L139)&gt;0,0,MROUND(IFERROR(U139*($P139/$AI139),0),100))</f>
        <v>6500</v>
      </c>
      <c r="AO139" s="1">
        <f ca="1">IF(COUNTIFS($J$7:$J$510,Table7[[#Headers],[Energy Supply Regulation]],$C$7:$C$510,$L139)&gt;0,0,MROUND(IFERROR(V139*($P139/$AI139),0),100))</f>
        <v>0</v>
      </c>
      <c r="AP139" s="1">
        <f>IF(COUNTIFS($J$7:$J$510,Table7[[#Headers],[Renewables Market Intelligence]],$C$7:$C$510,$L139)&gt;0,0,MROUND(IFERROR(W139*($P139/$AI139),0),100))</f>
        <v>0</v>
      </c>
      <c r="AQ139" s="1">
        <f ca="1">IF(COUNTIFS($J$7:$J$510,Table7[[#Headers],[Renewables RTM Analysis]],$C$7:$C$510,$L139)&gt;0,0,MROUND(IFERROR(X139*($P139/$AI139),0),100))</f>
        <v>0</v>
      </c>
      <c r="AR139" s="1">
        <f ca="1">IF(COUNTIFS($J$7:$J$510,Table7[[#Headers],[Renewables Forecasts]],$C$7:$C$510,$L139)&gt;0,0,MROUND(IFERROR(Y139*($P139/$AI139),0),100))</f>
        <v>0</v>
      </c>
      <c r="AS139" s="1">
        <f ca="1">IF(COUNTIFS($J$7:$J$510,Table7[[#Headers],[Renewables Regulation]],$C$7:$C$510,$L139)&gt;0,0,MROUND(IFERROR(Z139*($P139/$AI139),0),100))</f>
        <v>0</v>
      </c>
      <c r="AT139" s="1">
        <f ca="1">IF(COUNTIFS($J$7:$J$510,Table7[[#Headers],[Flexibility Market Intelligence]],$C$7:$C$510,$L139)&gt;0,0,MROUND(IFERROR(AA139*($P139/$AI139),0),100))</f>
        <v>0</v>
      </c>
      <c r="AU139" s="1">
        <f ca="1">IF(COUNTIFS($J$7:$J$510,Table7[[#Headers],[Flexibility RTM Analysis]],$C$7:$C$510,$L139)&gt;0,0,MROUND(IFERROR(AB139*($P139/$AI139),0),100))</f>
        <v>0</v>
      </c>
      <c r="AV139" s="1">
        <f ca="1">IF(COUNTIFS($J$7:$J$510,Table7[[#Headers],[Flexibility Forecasts]],$C$7:$C$510,$L139)&gt;0,0,MROUND(IFERROR(AC139*($P139/$AI139),0),100))</f>
        <v>0</v>
      </c>
      <c r="AW139" s="1">
        <f ca="1">IF(COUNTIFS($J$7:$J$510,Table7[[#Headers],[Flexibility Regulation]],$C$7:$C$510,$L139)&gt;0,0,MROUND(IFERROR(AD139*($P139/$AI139),0),100))</f>
        <v>0</v>
      </c>
      <c r="AX139" s="1">
        <f ca="1">IF(COUNTIFS($J$7:$J$510,Table7[[#Headers],[Business Energy Essentials]],$C$7:$C$510,$L139)&gt;0,0,MROUND(IFERROR(AE139*($P139/$AI139),0),100))</f>
        <v>0</v>
      </c>
      <c r="AY139" s="1">
        <f ca="1">IF(COUNTIFS($J$7:$J$510,Table7[[#Headers],[Energy User RTM Analysis]],$C$7:$C$510,$L139)&gt;0,0,MROUND(IFERROR(AF139*($P139/$AI139),0),100))</f>
        <v>2100</v>
      </c>
      <c r="AZ139" s="1">
        <f ca="1">IF(COUNTIFS($J$7:$J$510,Table7[[#Headers],[Energy User Forecasts]],$C$7:$C$510,$L139)&gt;0,0,MROUND(IFERROR(AG139*($P139/$AI139),0),100))</f>
        <v>0</v>
      </c>
      <c r="BA139" s="1">
        <f ca="1">IF(COUNTIFS($J$7:$J$510,Table7[[#Headers],[Energy User Regulation]],$C$7:$C$510,$L139)&gt;0,0,MROUND(IFERROR(AH139*($P139/$AI139),0),100))</f>
        <v>0</v>
      </c>
    </row>
    <row r="140" spans="2:53">
      <c r="B140" s="38" t="s">
        <v>2139</v>
      </c>
      <c r="C140" s="38" t="s">
        <v>73</v>
      </c>
      <c r="D140" s="38" t="s">
        <v>2073</v>
      </c>
      <c r="E140" s="38" t="s">
        <v>2074</v>
      </c>
      <c r="F140" s="63">
        <v>9779.3142857142866</v>
      </c>
      <c r="G140" s="38"/>
      <c r="H140" s="38" t="s">
        <v>2031</v>
      </c>
      <c r="I140" s="38" t="s">
        <v>2031</v>
      </c>
      <c r="J140" s="38" t="s">
        <v>23</v>
      </c>
      <c r="L140" s="1" t="str">
        <v>NFU Energy Ltd</v>
      </c>
      <c r="M140" s="1" t="str">
        <f t="shared" ref="M140:M203" si="12">INDEX($H$7:$H$510,MATCH(L140,$C$7:$C$510))</f>
        <v>Supply</v>
      </c>
      <c r="N140" s="109">
        <f t="shared" ref="N140:N203" si="13">SUMIF(C136:C639,L140,F136:F639)</f>
        <v>4750</v>
      </c>
      <c r="O140" s="1">
        <f>IFERROR(IF(INDEX(Table3[[Total Spend]:[Total Spend]],MATCH(L140,Table3[[Company name]:[Company name]],0))&gt;N140,INDEX(Table3[[Total Spend]:[Total Spend]],MATCH(L140,Table3[[Company name]:[Company name]])),N140),50000)</f>
        <v>10000</v>
      </c>
      <c r="P140" s="109">
        <f t="shared" ref="P140:P203" si="14">IF(O140&gt;N140,O140-N140,N140)</f>
        <v>5250</v>
      </c>
      <c r="Q140" s="103">
        <f t="shared" ref="Q140:Q203" si="15">IF(IFERROR(N140/O140,0)&gt;1,1,IFERROR(N140/O140,0))</f>
        <v>0.47499999999999998</v>
      </c>
      <c r="R140" s="1">
        <f ca="1">IFERROR(INDEX(INDIRECT("Table3[Column"&amp;R$9&amp;"]"),MATCH($L140,Table3[[Company name]:[Company name]],0)),0)</f>
        <v>8100</v>
      </c>
      <c r="S140" s="1">
        <f ca="1">IFERROR(INDEX(INDIRECT("Table3[Column"&amp;S$9&amp;"]"),MATCH($L140,Table3[[Company name]:[Company name]],0)),0)</f>
        <v>30600</v>
      </c>
      <c r="T140" s="1">
        <f ca="1">IFERROR(INDEX(INDIRECT("Table3[Column"&amp;T$9&amp;"]"),MATCH($L140,Table3[[Company name]:[Company name]],0)),0)</f>
        <v>53100</v>
      </c>
      <c r="U140" s="1">
        <f ca="1">IFERROR(INDEX(INDIRECT("Table3[Column"&amp;U$9&amp;"]"),MATCH($L140,Table3[[Company name]:[Company name]],0)),0)</f>
        <v>34200</v>
      </c>
      <c r="V140" s="1">
        <f ca="1">IFERROR(INDEX(INDIRECT("Table3[Column"&amp;V$9&amp;"]"),MATCH($L140,Table3[[Company name]:[Company name]],0)),0)</f>
        <v>0</v>
      </c>
      <c r="W140" s="1">
        <f ca="1">IFERROR(INDEX(INDIRECT("Table3[Column"&amp;W$9&amp;"]"),MATCH($L140,Table3[[Company name]:[Company name]],0)),0)</f>
        <v>0</v>
      </c>
      <c r="X140" s="1">
        <f ca="1">IFERROR(INDEX(INDIRECT("Table3[Column"&amp;X$9&amp;"]"),MATCH($L140,Table3[[Company name]:[Company name]],0)),0)</f>
        <v>0</v>
      </c>
      <c r="Y140" s="1">
        <f ca="1">IFERROR(INDEX(INDIRECT("Table3[Column"&amp;Y$9&amp;"]"),MATCH($L140,Table3[[Company name]:[Company name]],0)),0)</f>
        <v>0</v>
      </c>
      <c r="Z140" s="1">
        <f ca="1">IFERROR(INDEX(INDIRECT("Table3[Column"&amp;Z$9&amp;"]"),MATCH($L140,Table3[[Company name]:[Company name]],0)),0)</f>
        <v>0</v>
      </c>
      <c r="AA140" s="1">
        <f ca="1">IFERROR(INDEX(INDIRECT("Table3[Column"&amp;AA$9&amp;"]"),MATCH($L140,Table3[[Company name]:[Company name]],0)),0)</f>
        <v>0</v>
      </c>
      <c r="AB140" s="1">
        <f ca="1">IFERROR(INDEX(INDIRECT("Table3[Column"&amp;AB$9&amp;"]"),MATCH($L140,Table3[[Company name]:[Company name]],0)),0)</f>
        <v>0</v>
      </c>
      <c r="AC140" s="1">
        <f ca="1">IFERROR(INDEX(INDIRECT("Table3[Column"&amp;AC$9&amp;"]"),MATCH($L140,Table3[[Company name]:[Company name]],0)),0)</f>
        <v>0</v>
      </c>
      <c r="AD140" s="1">
        <f ca="1">IFERROR(INDEX(INDIRECT("Table3[Column"&amp;AD$9&amp;"]"),MATCH($L140,Table3[[Company name]:[Company name]],0)),0)</f>
        <v>0</v>
      </c>
      <c r="AE140" s="1">
        <f ca="1">IFERROR(INDEX(INDIRECT("Table3[Column"&amp;AE$9&amp;"]"),MATCH($L140,Table3[[Company name]:[Company name]],0)),0)</f>
        <v>0</v>
      </c>
      <c r="AF140" s="1">
        <f ca="1">IFERROR(INDEX(INDIRECT("Table3[Column"&amp;AF$9&amp;"]"),MATCH($L140,Table3[[Company name]:[Company name]],0)),0)</f>
        <v>11250</v>
      </c>
      <c r="AG140" s="1">
        <f ca="1">IFERROR(INDEX(INDIRECT("Table3[Column"&amp;AG$9&amp;"]"),MATCH($L140,Table3[[Company name]:[Company name]],0)),0)</f>
        <v>0</v>
      </c>
      <c r="AH140" s="1">
        <f ca="1">IFERROR(INDEX(INDIRECT("Table3[Column"&amp;AH$9&amp;"]"),MATCH($L140,Table3[[Company name]:[Company name]],0)),0)</f>
        <v>0</v>
      </c>
      <c r="AI140" s="1">
        <f t="shared" ref="AI140:AI203" ca="1" si="16">SUM(R140:AH140)</f>
        <v>137250</v>
      </c>
      <c r="AK140" s="1">
        <f>IF(COUNTIFS($J$7:$J$510,Table7[[#Headers],[Industry Essentials]],$C$7:$C$510,$L140)&gt;0,0,MROUND(R140,100))</f>
        <v>0</v>
      </c>
      <c r="AL140" s="1">
        <f ca="1">IF(COUNTIFS($J$7:$J$510,Table7[[#Headers],[Energy Supply Market Intelligence]],$C$7:$C$510,$L140)&gt;0,0,MROUND(IFERROR(S140*($P140/$AI140),0),100))</f>
        <v>1200</v>
      </c>
      <c r="AM140" s="1">
        <f ca="1">IF(COUNTIFS($J$7:$J$510,Table7[[#Headers],[Energy Supply RTM Analysis]],$C$7:$C$510,$L140)&gt;0,0,MROUND(IFERROR(T140*($P140/$AI140),0),100))</f>
        <v>2000</v>
      </c>
      <c r="AN140" s="1">
        <f ca="1">IF(COUNTIFS($J$7:$J$510,Table7[[#Headers],[Energy Supply Forecasts]],$C$7:$C$510,$L140)&gt;0,0,MROUND(IFERROR(U140*($P140/$AI140),0),100))</f>
        <v>1300</v>
      </c>
      <c r="AO140" s="1">
        <f ca="1">IF(COUNTIFS($J$7:$J$510,Table7[[#Headers],[Energy Supply Regulation]],$C$7:$C$510,$L140)&gt;0,0,MROUND(IFERROR(V140*($P140/$AI140),0),100))</f>
        <v>0</v>
      </c>
      <c r="AP140" s="1">
        <f ca="1">IF(COUNTIFS($J$7:$J$510,Table7[[#Headers],[Renewables Market Intelligence]],$C$7:$C$510,$L140)&gt;0,0,MROUND(IFERROR(W140*($P140/$AI140),0),100))</f>
        <v>0</v>
      </c>
      <c r="AQ140" s="1">
        <f ca="1">IF(COUNTIFS($J$7:$J$510,Table7[[#Headers],[Renewables RTM Analysis]],$C$7:$C$510,$L140)&gt;0,0,MROUND(IFERROR(X140*($P140/$AI140),0),100))</f>
        <v>0</v>
      </c>
      <c r="AR140" s="1">
        <f ca="1">IF(COUNTIFS($J$7:$J$510,Table7[[#Headers],[Renewables Forecasts]],$C$7:$C$510,$L140)&gt;0,0,MROUND(IFERROR(Y140*($P140/$AI140),0),100))</f>
        <v>0</v>
      </c>
      <c r="AS140" s="1">
        <f ca="1">IF(COUNTIFS($J$7:$J$510,Table7[[#Headers],[Renewables Regulation]],$C$7:$C$510,$L140)&gt;0,0,MROUND(IFERROR(Z140*($P140/$AI140),0),100))</f>
        <v>0</v>
      </c>
      <c r="AT140" s="1">
        <f ca="1">IF(COUNTIFS($J$7:$J$510,Table7[[#Headers],[Flexibility Market Intelligence]],$C$7:$C$510,$L140)&gt;0,0,MROUND(IFERROR(AA140*($P140/$AI140),0),100))</f>
        <v>0</v>
      </c>
      <c r="AU140" s="1">
        <f ca="1">IF(COUNTIFS($J$7:$J$510,Table7[[#Headers],[Flexibility RTM Analysis]],$C$7:$C$510,$L140)&gt;0,0,MROUND(IFERROR(AB140*($P140/$AI140),0),100))</f>
        <v>0</v>
      </c>
      <c r="AV140" s="1">
        <f ca="1">IF(COUNTIFS($J$7:$J$510,Table7[[#Headers],[Flexibility Forecasts]],$C$7:$C$510,$L140)&gt;0,0,MROUND(IFERROR(AC140*($P140/$AI140),0),100))</f>
        <v>0</v>
      </c>
      <c r="AW140" s="1">
        <f ca="1">IF(COUNTIFS($J$7:$J$510,Table7[[#Headers],[Flexibility Regulation]],$C$7:$C$510,$L140)&gt;0,0,MROUND(IFERROR(AD140*($P140/$AI140),0),100))</f>
        <v>0</v>
      </c>
      <c r="AX140" s="1">
        <f ca="1">IF(COUNTIFS($J$7:$J$510,Table7[[#Headers],[Business Energy Essentials]],$C$7:$C$510,$L140)&gt;0,0,MROUND(IFERROR(AE140*($P140/$AI140),0),100))</f>
        <v>0</v>
      </c>
      <c r="AY140" s="1">
        <f ca="1">IF(COUNTIFS($J$7:$J$510,Table7[[#Headers],[Energy User RTM Analysis]],$C$7:$C$510,$L140)&gt;0,0,MROUND(IFERROR(AF140*($P140/$AI140),0),100))</f>
        <v>400</v>
      </c>
      <c r="AZ140" s="1">
        <f ca="1">IF(COUNTIFS($J$7:$J$510,Table7[[#Headers],[Energy User Forecasts]],$C$7:$C$510,$L140)&gt;0,0,MROUND(IFERROR(AG140*($P140/$AI140),0),100))</f>
        <v>0</v>
      </c>
      <c r="BA140" s="1">
        <f ca="1">IF(COUNTIFS($J$7:$J$510,Table7[[#Headers],[Energy User Regulation]],$C$7:$C$510,$L140)&gt;0,0,MROUND(IFERROR(AH140*($P140/$AI140),0),100))</f>
        <v>0</v>
      </c>
    </row>
    <row r="141" spans="2:53">
      <c r="B141" s="38" t="s">
        <v>2139</v>
      </c>
      <c r="C141" s="38" t="s">
        <v>73</v>
      </c>
      <c r="D141" s="38" t="s">
        <v>2085</v>
      </c>
      <c r="E141" s="38" t="s">
        <v>1842</v>
      </c>
      <c r="F141" s="63">
        <v>6987.95</v>
      </c>
      <c r="G141" s="38"/>
      <c r="H141" s="38" t="s">
        <v>2031</v>
      </c>
      <c r="I141" s="38" t="s">
        <v>2031</v>
      </c>
      <c r="J141" s="38" t="s">
        <v>24</v>
      </c>
      <c r="L141" s="1" t="str">
        <v>Northern Gas Networks Operations Limited</v>
      </c>
      <c r="M141" s="1" t="str">
        <f t="shared" si="12"/>
        <v>Other</v>
      </c>
      <c r="N141" s="109">
        <f t="shared" si="13"/>
        <v>7500</v>
      </c>
      <c r="O141" s="1">
        <f>IFERROR(IF(INDEX(Table3[[Total Spend]:[Total Spend]],MATCH(L141,Table3[[Company name]:[Company name]],0))&gt;N141,INDEX(Table3[[Total Spend]:[Total Spend]],MATCH(L141,Table3[[Company name]:[Company name]])),N141),50000)</f>
        <v>10000</v>
      </c>
      <c r="P141" s="109">
        <f t="shared" si="14"/>
        <v>2500</v>
      </c>
      <c r="Q141" s="103">
        <f t="shared" si="15"/>
        <v>0.75</v>
      </c>
      <c r="R141" s="1">
        <f ca="1">IFERROR(INDEX(INDIRECT("Table3[Column"&amp;R$9&amp;"]"),MATCH($L141,Table3[[Company name]:[Company name]],0)),0)</f>
        <v>10800</v>
      </c>
      <c r="S141" s="1">
        <f ca="1">IFERROR(INDEX(INDIRECT("Table3[Column"&amp;S$9&amp;"]"),MATCH($L141,Table3[[Company name]:[Company name]],0)),0)</f>
        <v>0</v>
      </c>
      <c r="T141" s="1">
        <f ca="1">IFERROR(INDEX(INDIRECT("Table3[Column"&amp;T$9&amp;"]"),MATCH($L141,Table3[[Company name]:[Company name]],0)),0)</f>
        <v>0</v>
      </c>
      <c r="U141" s="1">
        <f ca="1">IFERROR(INDEX(INDIRECT("Table3[Column"&amp;U$9&amp;"]"),MATCH($L141,Table3[[Company name]:[Company name]],0)),0)</f>
        <v>0</v>
      </c>
      <c r="V141" s="1">
        <f ca="1">IFERROR(INDEX(INDIRECT("Table3[Column"&amp;V$9&amp;"]"),MATCH($L141,Table3[[Company name]:[Company name]],0)),0)</f>
        <v>0</v>
      </c>
      <c r="W141" s="1">
        <f ca="1">IFERROR(INDEX(INDIRECT("Table3[Column"&amp;W$9&amp;"]"),MATCH($L141,Table3[[Company name]:[Company name]],0)),0)</f>
        <v>0</v>
      </c>
      <c r="X141" s="1">
        <f ca="1">IFERROR(INDEX(INDIRECT("Table3[Column"&amp;X$9&amp;"]"),MATCH($L141,Table3[[Company name]:[Company name]],0)),0)</f>
        <v>0</v>
      </c>
      <c r="Y141" s="1">
        <f ca="1">IFERROR(INDEX(INDIRECT("Table3[Column"&amp;Y$9&amp;"]"),MATCH($L141,Table3[[Company name]:[Company name]],0)),0)</f>
        <v>0</v>
      </c>
      <c r="Z141" s="1">
        <f ca="1">IFERROR(INDEX(INDIRECT("Table3[Column"&amp;Z$9&amp;"]"),MATCH($L141,Table3[[Company name]:[Company name]],0)),0)</f>
        <v>0</v>
      </c>
      <c r="AA141" s="1">
        <f ca="1">IFERROR(INDEX(INDIRECT("Table3[Column"&amp;AA$9&amp;"]"),MATCH($L141,Table3[[Company name]:[Company name]],0)),0)</f>
        <v>0</v>
      </c>
      <c r="AB141" s="1">
        <f ca="1">IFERROR(INDEX(INDIRECT("Table3[Column"&amp;AB$9&amp;"]"),MATCH($L141,Table3[[Company name]:[Company name]],0)),0)</f>
        <v>0</v>
      </c>
      <c r="AC141" s="1">
        <f ca="1">IFERROR(INDEX(INDIRECT("Table3[Column"&amp;AC$9&amp;"]"),MATCH($L141,Table3[[Company name]:[Company name]],0)),0)</f>
        <v>0</v>
      </c>
      <c r="AD141" s="1">
        <f ca="1">IFERROR(INDEX(INDIRECT("Table3[Column"&amp;AD$9&amp;"]"),MATCH($L141,Table3[[Company name]:[Company name]],0)),0)</f>
        <v>0</v>
      </c>
      <c r="AE141" s="1">
        <f ca="1">IFERROR(INDEX(INDIRECT("Table3[Column"&amp;AE$9&amp;"]"),MATCH($L141,Table3[[Company name]:[Company name]],0)),0)</f>
        <v>0</v>
      </c>
      <c r="AF141" s="1">
        <f ca="1">IFERROR(INDEX(INDIRECT("Table3[Column"&amp;AF$9&amp;"]"),MATCH($L141,Table3[[Company name]:[Company name]],0)),0)</f>
        <v>0</v>
      </c>
      <c r="AG141" s="1">
        <f ca="1">IFERROR(INDEX(INDIRECT("Table3[Column"&amp;AG$9&amp;"]"),MATCH($L141,Table3[[Company name]:[Company name]],0)),0)</f>
        <v>0</v>
      </c>
      <c r="AH141" s="1">
        <f ca="1">IFERROR(INDEX(INDIRECT("Table3[Column"&amp;AH$9&amp;"]"),MATCH($L141,Table3[[Company name]:[Company name]],0)),0)</f>
        <v>0</v>
      </c>
      <c r="AI141" s="1">
        <f t="shared" ca="1" si="16"/>
        <v>10800</v>
      </c>
      <c r="AK141" s="1">
        <f>IF(COUNTIFS($J$7:$J$510,Table7[[#Headers],[Industry Essentials]],$C$7:$C$510,$L141)&gt;0,0,MROUND(R141,100))</f>
        <v>0</v>
      </c>
      <c r="AL141" s="1">
        <f ca="1">IF(COUNTIFS($J$7:$J$510,Table7[[#Headers],[Energy Supply Market Intelligence]],$C$7:$C$510,$L141)&gt;0,0,MROUND(IFERROR(S141*($P141/$AI141),0),100))</f>
        <v>0</v>
      </c>
      <c r="AM141" s="1">
        <f ca="1">IF(COUNTIFS($J$7:$J$510,Table7[[#Headers],[Energy Supply RTM Analysis]],$C$7:$C$510,$L141)&gt;0,0,MROUND(IFERROR(T141*($P141/$AI141),0),100))</f>
        <v>0</v>
      </c>
      <c r="AN141" s="1">
        <f ca="1">IF(COUNTIFS($J$7:$J$510,Table7[[#Headers],[Energy Supply Forecasts]],$C$7:$C$510,$L141)&gt;0,0,MROUND(IFERROR(U141*($P141/$AI141),0),100))</f>
        <v>0</v>
      </c>
      <c r="AO141" s="1">
        <f>IF(COUNTIFS($J$7:$J$510,Table7[[#Headers],[Energy Supply Regulation]],$C$7:$C$510,$L141)&gt;0,0,MROUND(IFERROR(V141*($P141/$AI141),0),100))</f>
        <v>0</v>
      </c>
      <c r="AP141" s="1">
        <f ca="1">IF(COUNTIFS($J$7:$J$510,Table7[[#Headers],[Renewables Market Intelligence]],$C$7:$C$510,$L141)&gt;0,0,MROUND(IFERROR(W141*($P141/$AI141),0),100))</f>
        <v>0</v>
      </c>
      <c r="AQ141" s="1">
        <f ca="1">IF(COUNTIFS($J$7:$J$510,Table7[[#Headers],[Renewables RTM Analysis]],$C$7:$C$510,$L141)&gt;0,0,MROUND(IFERROR(X141*($P141/$AI141),0),100))</f>
        <v>0</v>
      </c>
      <c r="AR141" s="1">
        <f ca="1">IF(COUNTIFS($J$7:$J$510,Table7[[#Headers],[Renewables Forecasts]],$C$7:$C$510,$L141)&gt;0,0,MROUND(IFERROR(Y141*($P141/$AI141),0),100))</f>
        <v>0</v>
      </c>
      <c r="AS141" s="1">
        <f ca="1">IF(COUNTIFS($J$7:$J$510,Table7[[#Headers],[Renewables Regulation]],$C$7:$C$510,$L141)&gt;0,0,MROUND(IFERROR(Z141*($P141/$AI141),0),100))</f>
        <v>0</v>
      </c>
      <c r="AT141" s="1">
        <f ca="1">IF(COUNTIFS($J$7:$J$510,Table7[[#Headers],[Flexibility Market Intelligence]],$C$7:$C$510,$L141)&gt;0,0,MROUND(IFERROR(AA141*($P141/$AI141),0),100))</f>
        <v>0</v>
      </c>
      <c r="AU141" s="1">
        <f ca="1">IF(COUNTIFS($J$7:$J$510,Table7[[#Headers],[Flexibility RTM Analysis]],$C$7:$C$510,$L141)&gt;0,0,MROUND(IFERROR(AB141*($P141/$AI141),0),100))</f>
        <v>0</v>
      </c>
      <c r="AV141" s="1">
        <f ca="1">IF(COUNTIFS($J$7:$J$510,Table7[[#Headers],[Flexibility Forecasts]],$C$7:$C$510,$L141)&gt;0,0,MROUND(IFERROR(AC141*($P141/$AI141),0),100))</f>
        <v>0</v>
      </c>
      <c r="AW141" s="1">
        <f ca="1">IF(COUNTIFS($J$7:$J$510,Table7[[#Headers],[Flexibility Regulation]],$C$7:$C$510,$L141)&gt;0,0,MROUND(IFERROR(AD141*($P141/$AI141),0),100))</f>
        <v>0</v>
      </c>
      <c r="AX141" s="1">
        <f ca="1">IF(COUNTIFS($J$7:$J$510,Table7[[#Headers],[Business Energy Essentials]],$C$7:$C$510,$L141)&gt;0,0,MROUND(IFERROR(AE141*($P141/$AI141),0),100))</f>
        <v>0</v>
      </c>
      <c r="AY141" s="1">
        <f ca="1">IF(COUNTIFS($J$7:$J$510,Table7[[#Headers],[Energy User RTM Analysis]],$C$7:$C$510,$L141)&gt;0,0,MROUND(IFERROR(AF141*($P141/$AI141),0),100))</f>
        <v>0</v>
      </c>
      <c r="AZ141" s="1">
        <f ca="1">IF(COUNTIFS($J$7:$J$510,Table7[[#Headers],[Energy User Forecasts]],$C$7:$C$510,$L141)&gt;0,0,MROUND(IFERROR(AG141*($P141/$AI141),0),100))</f>
        <v>0</v>
      </c>
      <c r="BA141" s="1">
        <f ca="1">IF(COUNTIFS($J$7:$J$510,Table7[[#Headers],[Energy User Regulation]],$C$7:$C$510,$L141)&gt;0,0,MROUND(IFERROR(AH141*($P141/$AI141),0),100))</f>
        <v>0</v>
      </c>
    </row>
    <row r="142" spans="2:53">
      <c r="B142" s="38" t="s">
        <v>2139</v>
      </c>
      <c r="C142" s="38" t="s">
        <v>73</v>
      </c>
      <c r="D142" s="38" t="s">
        <v>2044</v>
      </c>
      <c r="E142" s="38" t="s">
        <v>1912</v>
      </c>
      <c r="F142" s="63">
        <v>28915.670000000002</v>
      </c>
      <c r="G142" s="38"/>
      <c r="H142" s="38" t="s">
        <v>2031</v>
      </c>
      <c r="I142" s="38" t="s">
        <v>2031</v>
      </c>
      <c r="J142" s="38" t="s">
        <v>24</v>
      </c>
      <c r="L142" s="1" t="str">
        <v>NPower Limited</v>
      </c>
      <c r="M142" s="1" t="str">
        <f t="shared" si="12"/>
        <v>Other</v>
      </c>
      <c r="N142" s="109">
        <f t="shared" si="13"/>
        <v>16625</v>
      </c>
      <c r="O142" s="1">
        <f>IFERROR(IF(INDEX(Table3[[Total Spend]:[Total Spend]],MATCH(L142,Table3[[Company name]:[Company name]],0))&gt;N142,INDEX(Table3[[Total Spend]:[Total Spend]],MATCH(L142,Table3[[Company name]:[Company name]])),N142),50000)</f>
        <v>10000</v>
      </c>
      <c r="P142" s="109">
        <f t="shared" si="14"/>
        <v>16625</v>
      </c>
      <c r="Q142" s="103">
        <f t="shared" si="15"/>
        <v>1</v>
      </c>
      <c r="R142" s="1">
        <f ca="1">IFERROR(INDEX(INDIRECT("Table3[Column"&amp;R$9&amp;"]"),MATCH($L142,Table3[[Company name]:[Company name]],0)),0)</f>
        <v>10800</v>
      </c>
      <c r="S142" s="1">
        <f ca="1">IFERROR(INDEX(INDIRECT("Table3[Column"&amp;S$9&amp;"]"),MATCH($L142,Table3[[Company name]:[Company name]],0)),0)</f>
        <v>43200</v>
      </c>
      <c r="T142" s="1">
        <f ca="1">IFERROR(INDEX(INDIRECT("Table3[Column"&amp;T$9&amp;"]"),MATCH($L142,Table3[[Company name]:[Company name]],0)),0)</f>
        <v>73800</v>
      </c>
      <c r="U142" s="1">
        <f ca="1">IFERROR(INDEX(INDIRECT("Table3[Column"&amp;U$9&amp;"]"),MATCH($L142,Table3[[Company name]:[Company name]],0)),0)</f>
        <v>48600</v>
      </c>
      <c r="V142" s="1">
        <f ca="1">IFERROR(INDEX(INDIRECT("Table3[Column"&amp;V$9&amp;"]"),MATCH($L142,Table3[[Company name]:[Company name]],0)),0)</f>
        <v>55800</v>
      </c>
      <c r="W142" s="1">
        <f ca="1">IFERROR(INDEX(INDIRECT("Table3[Column"&amp;W$9&amp;"]"),MATCH($L142,Table3[[Company name]:[Company name]],0)),0)</f>
        <v>0</v>
      </c>
      <c r="X142" s="1">
        <f ca="1">IFERROR(INDEX(INDIRECT("Table3[Column"&amp;X$9&amp;"]"),MATCH($L142,Table3[[Company name]:[Company name]],0)),0)</f>
        <v>0</v>
      </c>
      <c r="Y142" s="1">
        <f ca="1">IFERROR(INDEX(INDIRECT("Table3[Column"&amp;Y$9&amp;"]"),MATCH($L142,Table3[[Company name]:[Company name]],0)),0)</f>
        <v>0</v>
      </c>
      <c r="Z142" s="1">
        <f ca="1">IFERROR(INDEX(INDIRECT("Table3[Column"&amp;Z$9&amp;"]"),MATCH($L142,Table3[[Company name]:[Company name]],0)),0)</f>
        <v>0</v>
      </c>
      <c r="AA142" s="1">
        <f ca="1">IFERROR(INDEX(INDIRECT("Table3[Column"&amp;AA$9&amp;"]"),MATCH($L142,Table3[[Company name]:[Company name]],0)),0)</f>
        <v>29700</v>
      </c>
      <c r="AB142" s="1">
        <f ca="1">IFERROR(INDEX(INDIRECT("Table3[Column"&amp;AB$9&amp;"]"),MATCH($L142,Table3[[Company name]:[Company name]],0)),0)</f>
        <v>0</v>
      </c>
      <c r="AC142" s="1">
        <f ca="1">IFERROR(INDEX(INDIRECT("Table3[Column"&amp;AC$9&amp;"]"),MATCH($L142,Table3[[Company name]:[Company name]],0)),0)</f>
        <v>0</v>
      </c>
      <c r="AD142" s="1">
        <f ca="1">IFERROR(INDEX(INDIRECT("Table3[Column"&amp;AD$9&amp;"]"),MATCH($L142,Table3[[Company name]:[Company name]],0)),0)</f>
        <v>0</v>
      </c>
      <c r="AE142" s="1">
        <f ca="1">IFERROR(INDEX(INDIRECT("Table3[Column"&amp;AE$9&amp;"]"),MATCH($L142,Table3[[Company name]:[Company name]],0)),0)</f>
        <v>0</v>
      </c>
      <c r="AF142" s="1">
        <f ca="1">IFERROR(INDEX(INDIRECT("Table3[Column"&amp;AF$9&amp;"]"),MATCH($L142,Table3[[Company name]:[Company name]],0)),0)</f>
        <v>0</v>
      </c>
      <c r="AG142" s="1">
        <f ca="1">IFERROR(INDEX(INDIRECT("Table3[Column"&amp;AG$9&amp;"]"),MATCH($L142,Table3[[Company name]:[Company name]],0)),0)</f>
        <v>0</v>
      </c>
      <c r="AH142" s="1">
        <f ca="1">IFERROR(INDEX(INDIRECT("Table3[Column"&amp;AH$9&amp;"]"),MATCH($L142,Table3[[Company name]:[Company name]],0)),0)</f>
        <v>0</v>
      </c>
      <c r="AI142" s="1">
        <f t="shared" ca="1" si="16"/>
        <v>261900</v>
      </c>
      <c r="AK142" s="1">
        <f ca="1">IF(COUNTIFS($J$7:$J$510,Table7[[#Headers],[Industry Essentials]],$C$7:$C$510,$L142)&gt;0,0,MROUND(R142,100))</f>
        <v>10800</v>
      </c>
      <c r="AL142" s="1">
        <f ca="1">IF(COUNTIFS($J$7:$J$510,Table7[[#Headers],[Energy Supply Market Intelligence]],$C$7:$C$510,$L142)&gt;0,0,MROUND(IFERROR(S142*($P142/$AI142),0),100))</f>
        <v>2700</v>
      </c>
      <c r="AM142" s="1">
        <f ca="1">IF(COUNTIFS($J$7:$J$510,Table7[[#Headers],[Energy Supply RTM Analysis]],$C$7:$C$510,$L142)&gt;0,0,MROUND(IFERROR(T142*($P142/$AI142),0),100))</f>
        <v>4700</v>
      </c>
      <c r="AN142" s="1">
        <f ca="1">IF(COUNTIFS($J$7:$J$510,Table7[[#Headers],[Energy Supply Forecasts]],$C$7:$C$510,$L142)&gt;0,0,MROUND(IFERROR(U142*($P142/$AI142),0),100))</f>
        <v>3100</v>
      </c>
      <c r="AO142" s="1">
        <f ca="1">IF(COUNTIFS($J$7:$J$510,Table7[[#Headers],[Energy Supply Regulation]],$C$7:$C$510,$L142)&gt;0,0,MROUND(IFERROR(V142*($P142/$AI142),0),100))</f>
        <v>3500</v>
      </c>
      <c r="AP142" s="1">
        <f>IF(COUNTIFS($J$7:$J$510,Table7[[#Headers],[Renewables Market Intelligence]],$C$7:$C$510,$L142)&gt;0,0,MROUND(IFERROR(W142*($P142/$AI142),0),100))</f>
        <v>0</v>
      </c>
      <c r="AQ142" s="1">
        <f>IF(COUNTIFS($J$7:$J$510,Table7[[#Headers],[Renewables RTM Analysis]],$C$7:$C$510,$L142)&gt;0,0,MROUND(IFERROR(X142*($P142/$AI142),0),100))</f>
        <v>0</v>
      </c>
      <c r="AR142" s="1">
        <f ca="1">IF(COUNTIFS($J$7:$J$510,Table7[[#Headers],[Renewables Forecasts]],$C$7:$C$510,$L142)&gt;0,0,MROUND(IFERROR(Y142*($P142/$AI142),0),100))</f>
        <v>0</v>
      </c>
      <c r="AS142" s="1">
        <f ca="1">IF(COUNTIFS($J$7:$J$510,Table7[[#Headers],[Renewables Regulation]],$C$7:$C$510,$L142)&gt;0,0,MROUND(IFERROR(Z142*($P142/$AI142),0),100))</f>
        <v>0</v>
      </c>
      <c r="AT142" s="1">
        <f ca="1">IF(COUNTIFS($J$7:$J$510,Table7[[#Headers],[Flexibility Market Intelligence]],$C$7:$C$510,$L142)&gt;0,0,MROUND(IFERROR(AA142*($P142/$AI142),0),100))</f>
        <v>1900</v>
      </c>
      <c r="AU142" s="1">
        <f ca="1">IF(COUNTIFS($J$7:$J$510,Table7[[#Headers],[Flexibility RTM Analysis]],$C$7:$C$510,$L142)&gt;0,0,MROUND(IFERROR(AB142*($P142/$AI142),0),100))</f>
        <v>0</v>
      </c>
      <c r="AV142" s="1">
        <f ca="1">IF(COUNTIFS($J$7:$J$510,Table7[[#Headers],[Flexibility Forecasts]],$C$7:$C$510,$L142)&gt;0,0,MROUND(IFERROR(AC142*($P142/$AI142),0),100))</f>
        <v>0</v>
      </c>
      <c r="AW142" s="1">
        <f ca="1">IF(COUNTIFS($J$7:$J$510,Table7[[#Headers],[Flexibility Regulation]],$C$7:$C$510,$L142)&gt;0,0,MROUND(IFERROR(AD142*($P142/$AI142),0),100))</f>
        <v>0</v>
      </c>
      <c r="AX142" s="1">
        <f ca="1">IF(COUNTIFS($J$7:$J$510,Table7[[#Headers],[Business Energy Essentials]],$C$7:$C$510,$L142)&gt;0,0,MROUND(IFERROR(AE142*($P142/$AI142),0),100))</f>
        <v>0</v>
      </c>
      <c r="AY142" s="1">
        <f ca="1">IF(COUNTIFS($J$7:$J$510,Table7[[#Headers],[Energy User RTM Analysis]],$C$7:$C$510,$L142)&gt;0,0,MROUND(IFERROR(AF142*($P142/$AI142),0),100))</f>
        <v>0</v>
      </c>
      <c r="AZ142" s="1">
        <f ca="1">IF(COUNTIFS($J$7:$J$510,Table7[[#Headers],[Energy User Forecasts]],$C$7:$C$510,$L142)&gt;0,0,MROUND(IFERROR(AG142*($P142/$AI142),0),100))</f>
        <v>0</v>
      </c>
      <c r="BA142" s="1">
        <f ca="1">IF(COUNTIFS($J$7:$J$510,Table7[[#Headers],[Energy User Regulation]],$C$7:$C$510,$L142)&gt;0,0,MROUND(IFERROR(AH142*($P142/$AI142),0),100))</f>
        <v>0</v>
      </c>
    </row>
    <row r="143" spans="2:53">
      <c r="B143" s="38" t="s">
        <v>2139</v>
      </c>
      <c r="C143" s="38" t="s">
        <v>73</v>
      </c>
      <c r="D143" s="38" t="s">
        <v>2123</v>
      </c>
      <c r="E143" s="38" t="s">
        <v>1833</v>
      </c>
      <c r="F143" s="63">
        <v>7667.4063157894734</v>
      </c>
      <c r="G143" s="38"/>
      <c r="H143" s="38" t="s">
        <v>2031</v>
      </c>
      <c r="I143" s="38" t="s">
        <v>1702</v>
      </c>
      <c r="J143" s="38" t="s">
        <v>26</v>
      </c>
      <c r="L143" s="1" t="str">
        <v>Ocean Winds UK Limited</v>
      </c>
      <c r="M143" s="1" t="str">
        <f t="shared" si="12"/>
        <v>Renewables</v>
      </c>
      <c r="N143" s="109">
        <f t="shared" si="13"/>
        <v>24525</v>
      </c>
      <c r="O143" s="1">
        <f>IFERROR(IF(INDEX(Table3[[Total Spend]:[Total Spend]],MATCH(L143,Table3[[Company name]:[Company name]],0))&gt;N143,INDEX(Table3[[Total Spend]:[Total Spend]],MATCH(L143,Table3[[Company name]:[Company name]])),N143),50000)</f>
        <v>10000</v>
      </c>
      <c r="P143" s="109">
        <f t="shared" si="14"/>
        <v>24525</v>
      </c>
      <c r="Q143" s="103">
        <f t="shared" si="15"/>
        <v>1</v>
      </c>
      <c r="R143" s="1">
        <f ca="1">IFERROR(INDEX(INDIRECT("Table3[Column"&amp;R$9&amp;"]"),MATCH($L143,Table3[[Company name]:[Company name]],0)),0)</f>
        <v>8100</v>
      </c>
      <c r="S143" s="1">
        <f ca="1">IFERROR(INDEX(INDIRECT("Table3[Column"&amp;S$9&amp;"]"),MATCH($L143,Table3[[Company name]:[Company name]],0)),0)</f>
        <v>0</v>
      </c>
      <c r="T143" s="1">
        <f ca="1">IFERROR(INDEX(INDIRECT("Table3[Column"&amp;T$9&amp;"]"),MATCH($L143,Table3[[Company name]:[Company name]],0)),0)</f>
        <v>0</v>
      </c>
      <c r="U143" s="1">
        <f ca="1">IFERROR(INDEX(INDIRECT("Table3[Column"&amp;U$9&amp;"]"),MATCH($L143,Table3[[Company name]:[Company name]],0)),0)</f>
        <v>0</v>
      </c>
      <c r="V143" s="1">
        <f ca="1">IFERROR(INDEX(INDIRECT("Table3[Column"&amp;V$9&amp;"]"),MATCH($L143,Table3[[Company name]:[Company name]],0)),0)</f>
        <v>0</v>
      </c>
      <c r="W143" s="1">
        <f ca="1">IFERROR(INDEX(INDIRECT("Table3[Column"&amp;W$9&amp;"]"),MATCH($L143,Table3[[Company name]:[Company name]],0)),0)</f>
        <v>17100</v>
      </c>
      <c r="X143" s="1">
        <f ca="1">IFERROR(INDEX(INDIRECT("Table3[Column"&amp;X$9&amp;"]"),MATCH($L143,Table3[[Company name]:[Company name]],0)),0)</f>
        <v>15300</v>
      </c>
      <c r="Y143" s="1">
        <f ca="1">IFERROR(INDEX(INDIRECT("Table3[Column"&amp;Y$9&amp;"]"),MATCH($L143,Table3[[Company name]:[Company name]],0)),0)</f>
        <v>42300</v>
      </c>
      <c r="Z143" s="1">
        <f ca="1">IFERROR(INDEX(INDIRECT("Table3[Column"&amp;Z$9&amp;"]"),MATCH($L143,Table3[[Company name]:[Company name]],0)),0)</f>
        <v>18900</v>
      </c>
      <c r="AA143" s="1">
        <f ca="1">IFERROR(INDEX(INDIRECT("Table3[Column"&amp;AA$9&amp;"]"),MATCH($L143,Table3[[Company name]:[Company name]],0)),0)</f>
        <v>0</v>
      </c>
      <c r="AB143" s="1">
        <f ca="1">IFERROR(INDEX(INDIRECT("Table3[Column"&amp;AB$9&amp;"]"),MATCH($L143,Table3[[Company name]:[Company name]],0)),0)</f>
        <v>0</v>
      </c>
      <c r="AC143" s="1">
        <f ca="1">IFERROR(INDEX(INDIRECT("Table3[Column"&amp;AC$9&amp;"]"),MATCH($L143,Table3[[Company name]:[Company name]],0)),0)</f>
        <v>0</v>
      </c>
      <c r="AD143" s="1">
        <f ca="1">IFERROR(INDEX(INDIRECT("Table3[Column"&amp;AD$9&amp;"]"),MATCH($L143,Table3[[Company name]:[Company name]],0)),0)</f>
        <v>0</v>
      </c>
      <c r="AE143" s="1">
        <f ca="1">IFERROR(INDEX(INDIRECT("Table3[Column"&amp;AE$9&amp;"]"),MATCH($L143,Table3[[Company name]:[Company name]],0)),0)</f>
        <v>0</v>
      </c>
      <c r="AF143" s="1">
        <f ca="1">IFERROR(INDEX(INDIRECT("Table3[Column"&amp;AF$9&amp;"]"),MATCH($L143,Table3[[Company name]:[Company name]],0)),0)</f>
        <v>0</v>
      </c>
      <c r="AG143" s="1">
        <f ca="1">IFERROR(INDEX(INDIRECT("Table3[Column"&amp;AG$9&amp;"]"),MATCH($L143,Table3[[Company name]:[Company name]],0)),0)</f>
        <v>0</v>
      </c>
      <c r="AH143" s="1">
        <f ca="1">IFERROR(INDEX(INDIRECT("Table3[Column"&amp;AH$9&amp;"]"),MATCH($L143,Table3[[Company name]:[Company name]],0)),0)</f>
        <v>0</v>
      </c>
      <c r="AI143" s="1">
        <f t="shared" ca="1" si="16"/>
        <v>101700</v>
      </c>
      <c r="AK143" s="1">
        <f>IF(COUNTIFS($J$7:$J$510,Table7[[#Headers],[Industry Essentials]],$C$7:$C$510,$L143)&gt;0,0,MROUND(R143,100))</f>
        <v>0</v>
      </c>
      <c r="AL143" s="1">
        <f ca="1">IF(COUNTIFS($J$7:$J$510,Table7[[#Headers],[Energy Supply Market Intelligence]],$C$7:$C$510,$L143)&gt;0,0,MROUND(IFERROR(S143*($P143/$AI143),0),100))</f>
        <v>0</v>
      </c>
      <c r="AM143" s="1">
        <f ca="1">IF(COUNTIFS($J$7:$J$510,Table7[[#Headers],[Energy Supply RTM Analysis]],$C$7:$C$510,$L143)&gt;0,0,MROUND(IFERROR(T143*($P143/$AI143),0),100))</f>
        <v>0</v>
      </c>
      <c r="AN143" s="1">
        <f ca="1">IF(COUNTIFS($J$7:$J$510,Table7[[#Headers],[Energy Supply Forecasts]],$C$7:$C$510,$L143)&gt;0,0,MROUND(IFERROR(U143*($P143/$AI143),0),100))</f>
        <v>0</v>
      </c>
      <c r="AO143" s="1">
        <f ca="1">IF(COUNTIFS($J$7:$J$510,Table7[[#Headers],[Energy Supply Regulation]],$C$7:$C$510,$L143)&gt;0,0,MROUND(IFERROR(V143*($P143/$AI143),0),100))</f>
        <v>0</v>
      </c>
      <c r="AP143" s="1">
        <f>IF(COUNTIFS($J$7:$J$510,Table7[[#Headers],[Renewables Market Intelligence]],$C$7:$C$510,$L143)&gt;0,0,MROUND(IFERROR(W143*($P143/$AI143),0),100))</f>
        <v>0</v>
      </c>
      <c r="AQ143" s="1">
        <f ca="1">IF(COUNTIFS($J$7:$J$510,Table7[[#Headers],[Renewables RTM Analysis]],$C$7:$C$510,$L143)&gt;0,0,MROUND(IFERROR(X143*($P143/$AI143),0),100))</f>
        <v>3700</v>
      </c>
      <c r="AR143" s="1">
        <f ca="1">IF(COUNTIFS($J$7:$J$510,Table7[[#Headers],[Renewables Forecasts]],$C$7:$C$510,$L143)&gt;0,0,MROUND(IFERROR(Y143*($P143/$AI143),0),100))</f>
        <v>10200</v>
      </c>
      <c r="AS143" s="1">
        <f>IF(COUNTIFS($J$7:$J$510,Table7[[#Headers],[Renewables Regulation]],$C$7:$C$510,$L143)&gt;0,0,MROUND(IFERROR(Z143*($P143/$AI143),0),100))</f>
        <v>0</v>
      </c>
      <c r="AT143" s="1">
        <f ca="1">IF(COUNTIFS($J$7:$J$510,Table7[[#Headers],[Flexibility Market Intelligence]],$C$7:$C$510,$L143)&gt;0,0,MROUND(IFERROR(AA143*($P143/$AI143),0),100))</f>
        <v>0</v>
      </c>
      <c r="AU143" s="1">
        <f ca="1">IF(COUNTIFS($J$7:$J$510,Table7[[#Headers],[Flexibility RTM Analysis]],$C$7:$C$510,$L143)&gt;0,0,MROUND(IFERROR(AB143*($P143/$AI143),0),100))</f>
        <v>0</v>
      </c>
      <c r="AV143" s="1">
        <f ca="1">IF(COUNTIFS($J$7:$J$510,Table7[[#Headers],[Flexibility Forecasts]],$C$7:$C$510,$L143)&gt;0,0,MROUND(IFERROR(AC143*($P143/$AI143),0),100))</f>
        <v>0</v>
      </c>
      <c r="AW143" s="1">
        <f ca="1">IF(COUNTIFS($J$7:$J$510,Table7[[#Headers],[Flexibility Regulation]],$C$7:$C$510,$L143)&gt;0,0,MROUND(IFERROR(AD143*($P143/$AI143),0),100))</f>
        <v>0</v>
      </c>
      <c r="AX143" s="1">
        <f ca="1">IF(COUNTIFS($J$7:$J$510,Table7[[#Headers],[Business Energy Essentials]],$C$7:$C$510,$L143)&gt;0,0,MROUND(IFERROR(AE143*($P143/$AI143),0),100))</f>
        <v>0</v>
      </c>
      <c r="AY143" s="1">
        <f ca="1">IF(COUNTIFS($J$7:$J$510,Table7[[#Headers],[Energy User RTM Analysis]],$C$7:$C$510,$L143)&gt;0,0,MROUND(IFERROR(AF143*($P143/$AI143),0),100))</f>
        <v>0</v>
      </c>
      <c r="AZ143" s="1">
        <f ca="1">IF(COUNTIFS($J$7:$J$510,Table7[[#Headers],[Energy User Forecasts]],$C$7:$C$510,$L143)&gt;0,0,MROUND(IFERROR(AG143*($P143/$AI143),0),100))</f>
        <v>0</v>
      </c>
      <c r="BA143" s="1">
        <f ca="1">IF(COUNTIFS($J$7:$J$510,Table7[[#Headers],[Energy User Regulation]],$C$7:$C$510,$L143)&gt;0,0,MROUND(IFERROR(AH143*($P143/$AI143),0),100))</f>
        <v>0</v>
      </c>
    </row>
    <row r="144" spans="2:53">
      <c r="B144" s="38" t="s">
        <v>2139</v>
      </c>
      <c r="C144" s="38" t="s">
        <v>73</v>
      </c>
      <c r="D144" s="38" t="s">
        <v>2086</v>
      </c>
      <c r="E144" s="38" t="s">
        <v>1843</v>
      </c>
      <c r="F144" s="63">
        <v>9462.3915789473685</v>
      </c>
      <c r="G144" s="38"/>
      <c r="H144" s="38" t="s">
        <v>2031</v>
      </c>
      <c r="I144" s="38" t="s">
        <v>2031</v>
      </c>
      <c r="J144" s="38" t="s">
        <v>22</v>
      </c>
      <c r="L144" s="1" t="str">
        <v>Octopus Energy Ltd</v>
      </c>
      <c r="M144" s="1" t="str">
        <f t="shared" si="12"/>
        <v>Supply</v>
      </c>
      <c r="N144" s="109">
        <f t="shared" si="13"/>
        <v>123085</v>
      </c>
      <c r="O144" s="1">
        <f>IFERROR(IF(INDEX(Table3[[Total Spend]:[Total Spend]],MATCH(L144,Table3[[Company name]:[Company name]],0))&gt;N144,INDEX(Table3[[Total Spend]:[Total Spend]],MATCH(L144,Table3[[Company name]:[Company name]])),N144),50000)</f>
        <v>10000</v>
      </c>
      <c r="P144" s="109">
        <f t="shared" si="14"/>
        <v>123085</v>
      </c>
      <c r="Q144" s="103">
        <f t="shared" si="15"/>
        <v>1</v>
      </c>
      <c r="R144" s="1">
        <f ca="1">IFERROR(INDEX(INDIRECT("Table3[Column"&amp;R$9&amp;"]"),MATCH($L144,Table3[[Company name]:[Company name]],0)),0)</f>
        <v>10800</v>
      </c>
      <c r="S144" s="1">
        <f ca="1">IFERROR(INDEX(INDIRECT("Table3[Column"&amp;S$9&amp;"]"),MATCH($L144,Table3[[Company name]:[Company name]],0)),0)</f>
        <v>43200</v>
      </c>
      <c r="T144" s="1">
        <f ca="1">IFERROR(INDEX(INDIRECT("Table3[Column"&amp;T$9&amp;"]"),MATCH($L144,Table3[[Company name]:[Company name]],0)),0)</f>
        <v>73800</v>
      </c>
      <c r="U144" s="1">
        <f ca="1">IFERROR(INDEX(INDIRECT("Table3[Column"&amp;U$9&amp;"]"),MATCH($L144,Table3[[Company name]:[Company name]],0)),0)</f>
        <v>48600</v>
      </c>
      <c r="V144" s="1">
        <f ca="1">IFERROR(INDEX(INDIRECT("Table3[Column"&amp;V$9&amp;"]"),MATCH($L144,Table3[[Company name]:[Company name]],0)),0)</f>
        <v>55800</v>
      </c>
      <c r="W144" s="1">
        <f ca="1">IFERROR(INDEX(INDIRECT("Table3[Column"&amp;W$9&amp;"]"),MATCH($L144,Table3[[Company name]:[Company name]],0)),0)</f>
        <v>23400</v>
      </c>
      <c r="X144" s="1">
        <f ca="1">IFERROR(INDEX(INDIRECT("Table3[Column"&amp;X$9&amp;"]"),MATCH($L144,Table3[[Company name]:[Company name]],0)),0)</f>
        <v>20700</v>
      </c>
      <c r="Y144" s="1">
        <f ca="1">IFERROR(INDEX(INDIRECT("Table3[Column"&amp;Y$9&amp;"]"),MATCH($L144,Table3[[Company name]:[Company name]],0)),0)</f>
        <v>59400</v>
      </c>
      <c r="Z144" s="1">
        <f ca="1">IFERROR(INDEX(INDIRECT("Table3[Column"&amp;Z$9&amp;"]"),MATCH($L144,Table3[[Company name]:[Company name]],0)),0)</f>
        <v>26100</v>
      </c>
      <c r="AA144" s="1">
        <f ca="1">IFERROR(INDEX(INDIRECT("Table3[Column"&amp;AA$9&amp;"]"),MATCH($L144,Table3[[Company name]:[Company name]],0)),0)</f>
        <v>29700</v>
      </c>
      <c r="AB144" s="1">
        <f ca="1">IFERROR(INDEX(INDIRECT("Table3[Column"&amp;AB$9&amp;"]"),MATCH($L144,Table3[[Company name]:[Company name]],0)),0)</f>
        <v>10800</v>
      </c>
      <c r="AC144" s="1">
        <f ca="1">IFERROR(INDEX(INDIRECT("Table3[Column"&amp;AC$9&amp;"]"),MATCH($L144,Table3[[Company name]:[Company name]],0)),0)</f>
        <v>44100</v>
      </c>
      <c r="AD144" s="1">
        <f ca="1">IFERROR(INDEX(INDIRECT("Table3[Column"&amp;AD$9&amp;"]"),MATCH($L144,Table3[[Company name]:[Company name]],0)),0)</f>
        <v>0</v>
      </c>
      <c r="AE144" s="1">
        <f ca="1">IFERROR(INDEX(INDIRECT("Table3[Column"&amp;AE$9&amp;"]"),MATCH($L144,Table3[[Company name]:[Company name]],0)),0)</f>
        <v>15300</v>
      </c>
      <c r="AF144" s="1">
        <f ca="1">IFERROR(INDEX(INDIRECT("Table3[Column"&amp;AF$9&amp;"]"),MATCH($L144,Table3[[Company name]:[Company name]],0)),0)</f>
        <v>0</v>
      </c>
      <c r="AG144" s="1">
        <f ca="1">IFERROR(INDEX(INDIRECT("Table3[Column"&amp;AG$9&amp;"]"),MATCH($L144,Table3[[Company name]:[Company name]],0)),0)</f>
        <v>27000</v>
      </c>
      <c r="AH144" s="1">
        <f ca="1">IFERROR(INDEX(INDIRECT("Table3[Column"&amp;AH$9&amp;"]"),MATCH($L144,Table3[[Company name]:[Company name]],0)),0)</f>
        <v>0</v>
      </c>
      <c r="AI144" s="1">
        <f t="shared" ca="1" si="16"/>
        <v>488700</v>
      </c>
      <c r="AK144" s="1">
        <f>IF(COUNTIFS($J$7:$J$510,Table7[[#Headers],[Industry Essentials]],$C$7:$C$510,$L144)&gt;0,0,MROUND(R144,100))</f>
        <v>0</v>
      </c>
      <c r="AL144" s="1">
        <f>IF(COUNTIFS($J$7:$J$510,Table7[[#Headers],[Energy Supply Market Intelligence]],$C$7:$C$510,$L144)&gt;0,0,MROUND(IFERROR(S144*($P144/$AI144),0),100))</f>
        <v>0</v>
      </c>
      <c r="AM144" s="1">
        <f ca="1">IF(COUNTIFS($J$7:$J$510,Table7[[#Headers],[Energy Supply RTM Analysis]],$C$7:$C$510,$L144)&gt;0,0,MROUND(IFERROR(T144*($P144/$AI144),0),100))</f>
        <v>18600</v>
      </c>
      <c r="AN144" s="1">
        <f>IF(COUNTIFS($J$7:$J$510,Table7[[#Headers],[Energy Supply Forecasts]],$C$7:$C$510,$L144)&gt;0,0,MROUND(IFERROR(U144*($P144/$AI144),0),100))</f>
        <v>0</v>
      </c>
      <c r="AO144" s="1">
        <f>IF(COUNTIFS($J$7:$J$510,Table7[[#Headers],[Energy Supply Regulation]],$C$7:$C$510,$L144)&gt;0,0,MROUND(IFERROR(V144*($P144/$AI144),0),100))</f>
        <v>0</v>
      </c>
      <c r="AP144" s="1">
        <f ca="1">IF(COUNTIFS($J$7:$J$510,Table7[[#Headers],[Renewables Market Intelligence]],$C$7:$C$510,$L144)&gt;0,0,MROUND(IFERROR(W144*($P144/$AI144),0),100))</f>
        <v>5900</v>
      </c>
      <c r="AQ144" s="1">
        <f ca="1">IF(COUNTIFS($J$7:$J$510,Table7[[#Headers],[Renewables RTM Analysis]],$C$7:$C$510,$L144)&gt;0,0,MROUND(IFERROR(X144*($P144/$AI144),0),100))</f>
        <v>5200</v>
      </c>
      <c r="AR144" s="1">
        <f ca="1">IF(COUNTIFS($J$7:$J$510,Table7[[#Headers],[Renewables Forecasts]],$C$7:$C$510,$L144)&gt;0,0,MROUND(IFERROR(Y144*($P144/$AI144),0),100))</f>
        <v>15000</v>
      </c>
      <c r="AS144" s="1">
        <f ca="1">IF(COUNTIFS($J$7:$J$510,Table7[[#Headers],[Renewables Regulation]],$C$7:$C$510,$L144)&gt;0,0,MROUND(IFERROR(Z144*($P144/$AI144),0),100))</f>
        <v>6600</v>
      </c>
      <c r="AT144" s="1">
        <f ca="1">IF(COUNTIFS($J$7:$J$510,Table7[[#Headers],[Flexibility Market Intelligence]],$C$7:$C$510,$L144)&gt;0,0,MROUND(IFERROR(AA144*($P144/$AI144),0),100))</f>
        <v>7500</v>
      </c>
      <c r="AU144" s="1">
        <f ca="1">IF(COUNTIFS($J$7:$J$510,Table7[[#Headers],[Flexibility RTM Analysis]],$C$7:$C$510,$L144)&gt;0,0,MROUND(IFERROR(AB144*($P144/$AI144),0),100))</f>
        <v>2700</v>
      </c>
      <c r="AV144" s="1">
        <f ca="1">IF(COUNTIFS($J$7:$J$510,Table7[[#Headers],[Flexibility Forecasts]],$C$7:$C$510,$L144)&gt;0,0,MROUND(IFERROR(AC144*($P144/$AI144),0),100))</f>
        <v>11100</v>
      </c>
      <c r="AW144" s="1">
        <f ca="1">IF(COUNTIFS($J$7:$J$510,Table7[[#Headers],[Flexibility Regulation]],$C$7:$C$510,$L144)&gt;0,0,MROUND(IFERROR(AD144*($P144/$AI144),0),100))</f>
        <v>0</v>
      </c>
      <c r="AX144" s="1">
        <f ca="1">IF(COUNTIFS($J$7:$J$510,Table7[[#Headers],[Business Energy Essentials]],$C$7:$C$510,$L144)&gt;0,0,MROUND(IFERROR(AE144*($P144/$AI144),0),100))</f>
        <v>3900</v>
      </c>
      <c r="AY144" s="1">
        <f ca="1">IF(COUNTIFS($J$7:$J$510,Table7[[#Headers],[Energy User RTM Analysis]],$C$7:$C$510,$L144)&gt;0,0,MROUND(IFERROR(AF144*($P144/$AI144),0),100))</f>
        <v>0</v>
      </c>
      <c r="AZ144" s="1">
        <f ca="1">IF(COUNTIFS($J$7:$J$510,Table7[[#Headers],[Energy User Forecasts]],$C$7:$C$510,$L144)&gt;0,0,MROUND(IFERROR(AG144*($P144/$AI144),0),100))</f>
        <v>6800</v>
      </c>
      <c r="BA144" s="1">
        <f ca="1">IF(COUNTIFS($J$7:$J$510,Table7[[#Headers],[Energy User Regulation]],$C$7:$C$510,$L144)&gt;0,0,MROUND(IFERROR(AH144*($P144/$AI144),0),100))</f>
        <v>0</v>
      </c>
    </row>
    <row r="145" spans="2:53">
      <c r="B145" s="38" t="s">
        <v>2139</v>
      </c>
      <c r="C145" s="38" t="s">
        <v>73</v>
      </c>
      <c r="D145" s="38" t="s">
        <v>2038</v>
      </c>
      <c r="E145" s="38" t="s">
        <v>1838</v>
      </c>
      <c r="F145" s="63">
        <v>5644.54</v>
      </c>
      <c r="G145" s="38"/>
      <c r="H145" s="38" t="s">
        <v>2031</v>
      </c>
      <c r="I145" s="38" t="s">
        <v>1702</v>
      </c>
      <c r="J145" s="38" t="s">
        <v>27</v>
      </c>
      <c r="L145" s="1" t="str">
        <v>Ofgem</v>
      </c>
      <c r="M145" s="1" t="str">
        <f t="shared" si="12"/>
        <v>Other</v>
      </c>
      <c r="N145" s="109">
        <f t="shared" si="13"/>
        <v>45922.5</v>
      </c>
      <c r="O145" s="1">
        <f>IFERROR(IF(INDEX(Table3[[Total Spend]:[Total Spend]],MATCH(L145,Table3[[Company name]:[Company name]],0))&gt;N145,INDEX(Table3[[Total Spend]:[Total Spend]],MATCH(L145,Table3[[Company name]:[Company name]])),N145),50000)</f>
        <v>45922.5</v>
      </c>
      <c r="P145" s="109">
        <f t="shared" si="14"/>
        <v>45922.5</v>
      </c>
      <c r="Q145" s="103">
        <f t="shared" si="15"/>
        <v>1</v>
      </c>
      <c r="R145" s="1">
        <f ca="1">IFERROR(INDEX(INDIRECT("Table3[Column"&amp;R$9&amp;"]"),MATCH($L145,Table3[[Company name]:[Company name]],0)),0)</f>
        <v>10800</v>
      </c>
      <c r="S145" s="1">
        <f ca="1">IFERROR(INDEX(INDIRECT("Table3[Column"&amp;S$9&amp;"]"),MATCH($L145,Table3[[Company name]:[Company name]],0)),0)</f>
        <v>0</v>
      </c>
      <c r="T145" s="1">
        <f ca="1">IFERROR(INDEX(INDIRECT("Table3[Column"&amp;T$9&amp;"]"),MATCH($L145,Table3[[Company name]:[Company name]],0)),0)</f>
        <v>0</v>
      </c>
      <c r="U145" s="1">
        <f ca="1">IFERROR(INDEX(INDIRECT("Table3[Column"&amp;U$9&amp;"]"),MATCH($L145,Table3[[Company name]:[Company name]],0)),0)</f>
        <v>0</v>
      </c>
      <c r="V145" s="1">
        <f ca="1">IFERROR(INDEX(INDIRECT("Table3[Column"&amp;V$9&amp;"]"),MATCH($L145,Table3[[Company name]:[Company name]],0)),0)</f>
        <v>0</v>
      </c>
      <c r="W145" s="1">
        <f ca="1">IFERROR(INDEX(INDIRECT("Table3[Column"&amp;W$9&amp;"]"),MATCH($L145,Table3[[Company name]:[Company name]],0)),0)</f>
        <v>0</v>
      </c>
      <c r="X145" s="1">
        <f ca="1">IFERROR(INDEX(INDIRECT("Table3[Column"&amp;X$9&amp;"]"),MATCH($L145,Table3[[Company name]:[Company name]],0)),0)</f>
        <v>0</v>
      </c>
      <c r="Y145" s="1">
        <f ca="1">IFERROR(INDEX(INDIRECT("Table3[Column"&amp;Y$9&amp;"]"),MATCH($L145,Table3[[Company name]:[Company name]],0)),0)</f>
        <v>0</v>
      </c>
      <c r="Z145" s="1">
        <f ca="1">IFERROR(INDEX(INDIRECT("Table3[Column"&amp;Z$9&amp;"]"),MATCH($L145,Table3[[Company name]:[Company name]],0)),0)</f>
        <v>0</v>
      </c>
      <c r="AA145" s="1">
        <f ca="1">IFERROR(INDEX(INDIRECT("Table3[Column"&amp;AA$9&amp;"]"),MATCH($L145,Table3[[Company name]:[Company name]],0)),0)</f>
        <v>0</v>
      </c>
      <c r="AB145" s="1">
        <f ca="1">IFERROR(INDEX(INDIRECT("Table3[Column"&amp;AB$9&amp;"]"),MATCH($L145,Table3[[Company name]:[Company name]],0)),0)</f>
        <v>0</v>
      </c>
      <c r="AC145" s="1">
        <f ca="1">IFERROR(INDEX(INDIRECT("Table3[Column"&amp;AC$9&amp;"]"),MATCH($L145,Table3[[Company name]:[Company name]],0)),0)</f>
        <v>0</v>
      </c>
      <c r="AD145" s="1">
        <f ca="1">IFERROR(INDEX(INDIRECT("Table3[Column"&amp;AD$9&amp;"]"),MATCH($L145,Table3[[Company name]:[Company name]],0)),0)</f>
        <v>0</v>
      </c>
      <c r="AE145" s="1">
        <f ca="1">IFERROR(INDEX(INDIRECT("Table3[Column"&amp;AE$9&amp;"]"),MATCH($L145,Table3[[Company name]:[Company name]],0)),0)</f>
        <v>0</v>
      </c>
      <c r="AF145" s="1">
        <f ca="1">IFERROR(INDEX(INDIRECT("Table3[Column"&amp;AF$9&amp;"]"),MATCH($L145,Table3[[Company name]:[Company name]],0)),0)</f>
        <v>0</v>
      </c>
      <c r="AG145" s="1">
        <f ca="1">IFERROR(INDEX(INDIRECT("Table3[Column"&amp;AG$9&amp;"]"),MATCH($L145,Table3[[Company name]:[Company name]],0)),0)</f>
        <v>0</v>
      </c>
      <c r="AH145" s="1">
        <f ca="1">IFERROR(INDEX(INDIRECT("Table3[Column"&amp;AH$9&amp;"]"),MATCH($L145,Table3[[Company name]:[Company name]],0)),0)</f>
        <v>0</v>
      </c>
      <c r="AI145" s="1">
        <f t="shared" ca="1" si="16"/>
        <v>10800</v>
      </c>
      <c r="AK145" s="1">
        <f>IF(COUNTIFS($J$7:$J$510,Table7[[#Headers],[Industry Essentials]],$C$7:$C$510,$L145)&gt;0,0,MROUND(R145,100))</f>
        <v>0</v>
      </c>
      <c r="AL145" s="1">
        <f>IF(COUNTIFS($J$7:$J$510,Table7[[#Headers],[Energy Supply Market Intelligence]],$C$7:$C$510,$L145)&gt;0,0,MROUND(IFERROR(S145*($P145/$AI145),0),100))</f>
        <v>0</v>
      </c>
      <c r="AM145" s="1">
        <f ca="1">IF(COUNTIFS($J$7:$J$510,Table7[[#Headers],[Energy Supply RTM Analysis]],$C$7:$C$510,$L145)&gt;0,0,MROUND(IFERROR(T145*($P145/$AI145),0),100))</f>
        <v>0</v>
      </c>
      <c r="AN145" s="1">
        <f ca="1">IF(COUNTIFS($J$7:$J$510,Table7[[#Headers],[Energy Supply Forecasts]],$C$7:$C$510,$L145)&gt;0,0,MROUND(IFERROR(U145*($P145/$AI145),0),100))</f>
        <v>0</v>
      </c>
      <c r="AO145" s="1">
        <f ca="1">IF(COUNTIFS($J$7:$J$510,Table7[[#Headers],[Energy Supply Regulation]],$C$7:$C$510,$L145)&gt;0,0,MROUND(IFERROR(V145*($P145/$AI145),0),100))</f>
        <v>0</v>
      </c>
      <c r="AP145" s="1">
        <f ca="1">IF(COUNTIFS($J$7:$J$510,Table7[[#Headers],[Renewables Market Intelligence]],$C$7:$C$510,$L145)&gt;0,0,MROUND(IFERROR(W145*($P145/$AI145),0),100))</f>
        <v>0</v>
      </c>
      <c r="AQ145" s="1">
        <f ca="1">IF(COUNTIFS($J$7:$J$510,Table7[[#Headers],[Renewables RTM Analysis]],$C$7:$C$510,$L145)&gt;0,0,MROUND(IFERROR(X145*($P145/$AI145),0),100))</f>
        <v>0</v>
      </c>
      <c r="AR145" s="1">
        <f ca="1">IF(COUNTIFS($J$7:$J$510,Table7[[#Headers],[Renewables Forecasts]],$C$7:$C$510,$L145)&gt;0,0,MROUND(IFERROR(Y145*($P145/$AI145),0),100))</f>
        <v>0</v>
      </c>
      <c r="AS145" s="1">
        <f ca="1">IF(COUNTIFS($J$7:$J$510,Table7[[#Headers],[Renewables Regulation]],$C$7:$C$510,$L145)&gt;0,0,MROUND(IFERROR(Z145*($P145/$AI145),0),100))</f>
        <v>0</v>
      </c>
      <c r="AT145" s="1">
        <f ca="1">IF(COUNTIFS($J$7:$J$510,Table7[[#Headers],[Flexibility Market Intelligence]],$C$7:$C$510,$L145)&gt;0,0,MROUND(IFERROR(AA145*($P145/$AI145),0),100))</f>
        <v>0</v>
      </c>
      <c r="AU145" s="1">
        <f ca="1">IF(COUNTIFS($J$7:$J$510,Table7[[#Headers],[Flexibility RTM Analysis]],$C$7:$C$510,$L145)&gt;0,0,MROUND(IFERROR(AB145*($P145/$AI145),0),100))</f>
        <v>0</v>
      </c>
      <c r="AV145" s="1">
        <f ca="1">IF(COUNTIFS($J$7:$J$510,Table7[[#Headers],[Flexibility Forecasts]],$C$7:$C$510,$L145)&gt;0,0,MROUND(IFERROR(AC145*($P145/$AI145),0),100))</f>
        <v>0</v>
      </c>
      <c r="AW145" s="1">
        <f ca="1">IF(COUNTIFS($J$7:$J$510,Table7[[#Headers],[Flexibility Regulation]],$C$7:$C$510,$L145)&gt;0,0,MROUND(IFERROR(AD145*($P145/$AI145),0),100))</f>
        <v>0</v>
      </c>
      <c r="AX145" s="1">
        <f ca="1">IF(COUNTIFS($J$7:$J$510,Table7[[#Headers],[Business Energy Essentials]],$C$7:$C$510,$L145)&gt;0,0,MROUND(IFERROR(AE145*($P145/$AI145),0),100))</f>
        <v>0</v>
      </c>
      <c r="AY145" s="1">
        <f ca="1">IF(COUNTIFS($J$7:$J$510,Table7[[#Headers],[Energy User RTM Analysis]],$C$7:$C$510,$L145)&gt;0,0,MROUND(IFERROR(AF145*($P145/$AI145),0),100))</f>
        <v>0</v>
      </c>
      <c r="AZ145" s="1">
        <f ca="1">IF(COUNTIFS($J$7:$J$510,Table7[[#Headers],[Energy User Forecasts]],$C$7:$C$510,$L145)&gt;0,0,MROUND(IFERROR(AG145*($P145/$AI145),0),100))</f>
        <v>0</v>
      </c>
      <c r="BA145" s="1">
        <f ca="1">IF(COUNTIFS($J$7:$J$510,Table7[[#Headers],[Energy User Regulation]],$C$7:$C$510,$L145)&gt;0,0,MROUND(IFERROR(AH145*($P145/$AI145),0),100))</f>
        <v>0</v>
      </c>
    </row>
    <row r="146" spans="2:53">
      <c r="B146" s="38" t="s">
        <v>2140</v>
      </c>
      <c r="C146" s="38" t="s">
        <v>970</v>
      </c>
      <c r="D146" s="38" t="s">
        <v>2040</v>
      </c>
      <c r="E146" s="38" t="s">
        <v>1799</v>
      </c>
      <c r="F146" s="63">
        <v>5000</v>
      </c>
      <c r="G146" s="38"/>
      <c r="H146" s="38" t="s">
        <v>2031</v>
      </c>
      <c r="I146" s="38" t="s">
        <v>2032</v>
      </c>
      <c r="J146" s="38" t="s">
        <v>20</v>
      </c>
      <c r="L146" s="1" t="str">
        <v>OnPath Energy Limited</v>
      </c>
      <c r="M146" s="1" t="str">
        <f t="shared" si="12"/>
        <v>Renewables</v>
      </c>
      <c r="N146" s="109">
        <f t="shared" si="13"/>
        <v>17800</v>
      </c>
      <c r="O146" s="1">
        <f>IFERROR(IF(INDEX(Table3[[Total Spend]:[Total Spend]],MATCH(L146,Table3[[Company name]:[Company name]],0))&gt;N146,INDEX(Table3[[Total Spend]:[Total Spend]],MATCH(L146,Table3[[Company name]:[Company name]])),N146),50000)</f>
        <v>10000</v>
      </c>
      <c r="P146" s="109">
        <f t="shared" si="14"/>
        <v>17800</v>
      </c>
      <c r="Q146" s="103">
        <f t="shared" si="15"/>
        <v>1</v>
      </c>
      <c r="R146" s="1">
        <f ca="1">IFERROR(INDEX(INDIRECT("Table3[Column"&amp;R$9&amp;"]"),MATCH($L146,Table3[[Company name]:[Company name]],0)),0)</f>
        <v>8100</v>
      </c>
      <c r="S146" s="1">
        <f ca="1">IFERROR(INDEX(INDIRECT("Table3[Column"&amp;S$9&amp;"]"),MATCH($L146,Table3[[Company name]:[Company name]],0)),0)</f>
        <v>0</v>
      </c>
      <c r="T146" s="1">
        <f ca="1">IFERROR(INDEX(INDIRECT("Table3[Column"&amp;T$9&amp;"]"),MATCH($L146,Table3[[Company name]:[Company name]],0)),0)</f>
        <v>0</v>
      </c>
      <c r="U146" s="1">
        <f ca="1">IFERROR(INDEX(INDIRECT("Table3[Column"&amp;U$9&amp;"]"),MATCH($L146,Table3[[Company name]:[Company name]],0)),0)</f>
        <v>0</v>
      </c>
      <c r="V146" s="1">
        <f ca="1">IFERROR(INDEX(INDIRECT("Table3[Column"&amp;V$9&amp;"]"),MATCH($L146,Table3[[Company name]:[Company name]],0)),0)</f>
        <v>0</v>
      </c>
      <c r="W146" s="1">
        <f ca="1">IFERROR(INDEX(INDIRECT("Table3[Column"&amp;W$9&amp;"]"),MATCH($L146,Table3[[Company name]:[Company name]],0)),0)</f>
        <v>17100</v>
      </c>
      <c r="X146" s="1">
        <f ca="1">IFERROR(INDEX(INDIRECT("Table3[Column"&amp;X$9&amp;"]"),MATCH($L146,Table3[[Company name]:[Company name]],0)),0)</f>
        <v>15300</v>
      </c>
      <c r="Y146" s="1">
        <f ca="1">IFERROR(INDEX(INDIRECT("Table3[Column"&amp;Y$9&amp;"]"),MATCH($L146,Table3[[Company name]:[Company name]],0)),0)</f>
        <v>42300</v>
      </c>
      <c r="Z146" s="1">
        <f ca="1">IFERROR(INDEX(INDIRECT("Table3[Column"&amp;Z$9&amp;"]"),MATCH($L146,Table3[[Company name]:[Company name]],0)),0)</f>
        <v>18900</v>
      </c>
      <c r="AA146" s="1">
        <f ca="1">IFERROR(INDEX(INDIRECT("Table3[Column"&amp;AA$9&amp;"]"),MATCH($L146,Table3[[Company name]:[Company name]],0)),0)</f>
        <v>21600</v>
      </c>
      <c r="AB146" s="1">
        <f ca="1">IFERROR(INDEX(INDIRECT("Table3[Column"&amp;AB$9&amp;"]"),MATCH($L146,Table3[[Company name]:[Company name]],0)),0)</f>
        <v>7650</v>
      </c>
      <c r="AC146" s="1">
        <f ca="1">IFERROR(INDEX(INDIRECT("Table3[Column"&amp;AC$9&amp;"]"),MATCH($L146,Table3[[Company name]:[Company name]],0)),0)</f>
        <v>31500</v>
      </c>
      <c r="AD146" s="1">
        <f ca="1">IFERROR(INDEX(INDIRECT("Table3[Column"&amp;AD$9&amp;"]"),MATCH($L146,Table3[[Company name]:[Company name]],0)),0)</f>
        <v>25200</v>
      </c>
      <c r="AE146" s="1">
        <f ca="1">IFERROR(INDEX(INDIRECT("Table3[Column"&amp;AE$9&amp;"]"),MATCH($L146,Table3[[Company name]:[Company name]],0)),0)</f>
        <v>0</v>
      </c>
      <c r="AF146" s="1">
        <f ca="1">IFERROR(INDEX(INDIRECT("Table3[Column"&amp;AF$9&amp;"]"),MATCH($L146,Table3[[Company name]:[Company name]],0)),0)</f>
        <v>0</v>
      </c>
      <c r="AG146" s="1">
        <f ca="1">IFERROR(INDEX(INDIRECT("Table3[Column"&amp;AG$9&amp;"]"),MATCH($L146,Table3[[Company name]:[Company name]],0)),0)</f>
        <v>0</v>
      </c>
      <c r="AH146" s="1">
        <f ca="1">IFERROR(INDEX(INDIRECT("Table3[Column"&amp;AH$9&amp;"]"),MATCH($L146,Table3[[Company name]:[Company name]],0)),0)</f>
        <v>0</v>
      </c>
      <c r="AI146" s="1">
        <f t="shared" ca="1" si="16"/>
        <v>187650</v>
      </c>
      <c r="AK146" s="1">
        <f>IF(COUNTIFS($J$7:$J$510,Table7[[#Headers],[Industry Essentials]],$C$7:$C$510,$L146)&gt;0,0,MROUND(R146,100))</f>
        <v>0</v>
      </c>
      <c r="AL146" s="1">
        <f ca="1">IF(COUNTIFS($J$7:$J$510,Table7[[#Headers],[Energy Supply Market Intelligence]],$C$7:$C$510,$L146)&gt;0,0,MROUND(IFERROR(S146*($P146/$AI146),0),100))</f>
        <v>0</v>
      </c>
      <c r="AM146" s="1">
        <f ca="1">IF(COUNTIFS($J$7:$J$510,Table7[[#Headers],[Energy Supply RTM Analysis]],$C$7:$C$510,$L146)&gt;0,0,MROUND(IFERROR(T146*($P146/$AI146),0),100))</f>
        <v>0</v>
      </c>
      <c r="AN146" s="1">
        <f ca="1">IF(COUNTIFS($J$7:$J$510,Table7[[#Headers],[Energy Supply Forecasts]],$C$7:$C$510,$L146)&gt;0,0,MROUND(IFERROR(U146*($P146/$AI146),0),100))</f>
        <v>0</v>
      </c>
      <c r="AO146" s="1">
        <f ca="1">IF(COUNTIFS($J$7:$J$510,Table7[[#Headers],[Energy Supply Regulation]],$C$7:$C$510,$L146)&gt;0,0,MROUND(IFERROR(V146*($P146/$AI146),0),100))</f>
        <v>0</v>
      </c>
      <c r="AP146" s="1">
        <f>IF(COUNTIFS($J$7:$J$510,Table7[[#Headers],[Renewables Market Intelligence]],$C$7:$C$510,$L146)&gt;0,0,MROUND(IFERROR(W146*($P146/$AI146),0),100))</f>
        <v>0</v>
      </c>
      <c r="AQ146" s="1">
        <f ca="1">IF(COUNTIFS($J$7:$J$510,Table7[[#Headers],[Renewables RTM Analysis]],$C$7:$C$510,$L146)&gt;0,0,MROUND(IFERROR(X146*($P146/$AI146),0),100))</f>
        <v>1500</v>
      </c>
      <c r="AR146" s="1">
        <f ca="1">IF(COUNTIFS($J$7:$J$510,Table7[[#Headers],[Renewables Forecasts]],$C$7:$C$510,$L146)&gt;0,0,MROUND(IFERROR(Y146*($P146/$AI146),0),100))</f>
        <v>4000</v>
      </c>
      <c r="AS146" s="1">
        <f ca="1">IF(COUNTIFS($J$7:$J$510,Table7[[#Headers],[Renewables Regulation]],$C$7:$C$510,$L146)&gt;0,0,MROUND(IFERROR(Z146*($P146/$AI146),0),100))</f>
        <v>1800</v>
      </c>
      <c r="AT146" s="1">
        <f ca="1">IF(COUNTIFS($J$7:$J$510,Table7[[#Headers],[Flexibility Market Intelligence]],$C$7:$C$510,$L146)&gt;0,0,MROUND(IFERROR(AA146*($P146/$AI146),0),100))</f>
        <v>2000</v>
      </c>
      <c r="AU146" s="1">
        <f ca="1">IF(COUNTIFS($J$7:$J$510,Table7[[#Headers],[Flexibility RTM Analysis]],$C$7:$C$510,$L146)&gt;0,0,MROUND(IFERROR(AB146*($P146/$AI146),0),100))</f>
        <v>700</v>
      </c>
      <c r="AV146" s="1">
        <f ca="1">IF(COUNTIFS($J$7:$J$510,Table7[[#Headers],[Flexibility Forecasts]],$C$7:$C$510,$L146)&gt;0,0,MROUND(IFERROR(AC146*($P146/$AI146),0),100))</f>
        <v>3000</v>
      </c>
      <c r="AW146" s="1">
        <f ca="1">IF(COUNTIFS($J$7:$J$510,Table7[[#Headers],[Flexibility Regulation]],$C$7:$C$510,$L146)&gt;0,0,MROUND(IFERROR(AD146*($P146/$AI146),0),100))</f>
        <v>2400</v>
      </c>
      <c r="AX146" s="1">
        <f ca="1">IF(COUNTIFS($J$7:$J$510,Table7[[#Headers],[Business Energy Essentials]],$C$7:$C$510,$L146)&gt;0,0,MROUND(IFERROR(AE146*($P146/$AI146),0),100))</f>
        <v>0</v>
      </c>
      <c r="AY146" s="1">
        <f ca="1">IF(COUNTIFS($J$7:$J$510,Table7[[#Headers],[Energy User RTM Analysis]],$C$7:$C$510,$L146)&gt;0,0,MROUND(IFERROR(AF146*($P146/$AI146),0),100))</f>
        <v>0</v>
      </c>
      <c r="AZ146" s="1">
        <f ca="1">IF(COUNTIFS($J$7:$J$510,Table7[[#Headers],[Energy User Forecasts]],$C$7:$C$510,$L146)&gt;0,0,MROUND(IFERROR(AG146*($P146/$AI146),0),100))</f>
        <v>0</v>
      </c>
      <c r="BA146" s="1">
        <f ca="1">IF(COUNTIFS($J$7:$J$510,Table7[[#Headers],[Energy User Regulation]],$C$7:$C$510,$L146)&gt;0,0,MROUND(IFERROR(AH146*($P146/$AI146),0),100))</f>
        <v>0</v>
      </c>
    </row>
    <row r="147" spans="2:53">
      <c r="B147" s="38" t="s">
        <v>2140</v>
      </c>
      <c r="C147" s="38" t="s">
        <v>970</v>
      </c>
      <c r="D147" s="38" t="s">
        <v>2141</v>
      </c>
      <c r="E147" s="38" t="s">
        <v>2142</v>
      </c>
      <c r="F147" s="63">
        <v>14000</v>
      </c>
      <c r="G147" s="38"/>
      <c r="H147" s="38" t="s">
        <v>2031</v>
      </c>
      <c r="I147" s="38" t="s">
        <v>2031</v>
      </c>
      <c r="J147" s="38" t="s">
        <v>23</v>
      </c>
      <c r="L147" s="1" t="str">
        <v>On-site Energy Ltd</v>
      </c>
      <c r="M147" s="1" t="str">
        <f t="shared" si="12"/>
        <v>Renewables</v>
      </c>
      <c r="N147" s="109">
        <f t="shared" si="13"/>
        <v>4187.5</v>
      </c>
      <c r="O147" s="1">
        <f>IFERROR(IF(INDEX(Table3[[Total Spend]:[Total Spend]],MATCH(L147,Table3[[Company name]:[Company name]],0))&gt;N147,INDEX(Table3[[Total Spend]:[Total Spend]],MATCH(L147,Table3[[Company name]:[Company name]])),N147),50000)</f>
        <v>10000</v>
      </c>
      <c r="P147" s="109">
        <f t="shared" si="14"/>
        <v>5812.5</v>
      </c>
      <c r="Q147" s="103">
        <f t="shared" si="15"/>
        <v>0.41875000000000001</v>
      </c>
      <c r="R147" s="1">
        <f ca="1">IFERROR(INDEX(INDIRECT("Table3[Column"&amp;R$9&amp;"]"),MATCH($L147,Table3[[Company name]:[Company name]],0)),0)</f>
        <v>8100</v>
      </c>
      <c r="S147" s="1">
        <f ca="1">IFERROR(INDEX(INDIRECT("Table3[Column"&amp;S$9&amp;"]"),MATCH($L147,Table3[[Company name]:[Company name]],0)),0)</f>
        <v>0</v>
      </c>
      <c r="T147" s="1">
        <f ca="1">IFERROR(INDEX(INDIRECT("Table3[Column"&amp;T$9&amp;"]"),MATCH($L147,Table3[[Company name]:[Company name]],0)),0)</f>
        <v>0</v>
      </c>
      <c r="U147" s="1">
        <f ca="1">IFERROR(INDEX(INDIRECT("Table3[Column"&amp;U$9&amp;"]"),MATCH($L147,Table3[[Company name]:[Company name]],0)),0)</f>
        <v>0</v>
      </c>
      <c r="V147" s="1">
        <f ca="1">IFERROR(INDEX(INDIRECT("Table3[Column"&amp;V$9&amp;"]"),MATCH($L147,Table3[[Company name]:[Company name]],0)),0)</f>
        <v>0</v>
      </c>
      <c r="W147" s="1">
        <f ca="1">IFERROR(INDEX(INDIRECT("Table3[Column"&amp;W$9&amp;"]"),MATCH($L147,Table3[[Company name]:[Company name]],0)),0)</f>
        <v>17100</v>
      </c>
      <c r="X147" s="1">
        <f ca="1">IFERROR(INDEX(INDIRECT("Table3[Column"&amp;X$9&amp;"]"),MATCH($L147,Table3[[Company name]:[Company name]],0)),0)</f>
        <v>15300</v>
      </c>
      <c r="Y147" s="1">
        <f ca="1">IFERROR(INDEX(INDIRECT("Table3[Column"&amp;Y$9&amp;"]"),MATCH($L147,Table3[[Company name]:[Company name]],0)),0)</f>
        <v>42300</v>
      </c>
      <c r="Z147" s="1">
        <f ca="1">IFERROR(INDEX(INDIRECT("Table3[Column"&amp;Z$9&amp;"]"),MATCH($L147,Table3[[Company name]:[Company name]],0)),0)</f>
        <v>18900</v>
      </c>
      <c r="AA147" s="1">
        <f ca="1">IFERROR(INDEX(INDIRECT("Table3[Column"&amp;AA$9&amp;"]"),MATCH($L147,Table3[[Company name]:[Company name]],0)),0)</f>
        <v>21600</v>
      </c>
      <c r="AB147" s="1">
        <f ca="1">IFERROR(INDEX(INDIRECT("Table3[Column"&amp;AB$9&amp;"]"),MATCH($L147,Table3[[Company name]:[Company name]],0)),0)</f>
        <v>7650</v>
      </c>
      <c r="AC147" s="1">
        <f ca="1">IFERROR(INDEX(INDIRECT("Table3[Column"&amp;AC$9&amp;"]"),MATCH($L147,Table3[[Company name]:[Company name]],0)),0)</f>
        <v>31500</v>
      </c>
      <c r="AD147" s="1">
        <f ca="1">IFERROR(INDEX(INDIRECT("Table3[Column"&amp;AD$9&amp;"]"),MATCH($L147,Table3[[Company name]:[Company name]],0)),0)</f>
        <v>25200</v>
      </c>
      <c r="AE147" s="1">
        <f ca="1">IFERROR(INDEX(INDIRECT("Table3[Column"&amp;AE$9&amp;"]"),MATCH($L147,Table3[[Company name]:[Company name]],0)),0)</f>
        <v>10800</v>
      </c>
      <c r="AF147" s="1">
        <f ca="1">IFERROR(INDEX(INDIRECT("Table3[Column"&amp;AF$9&amp;"]"),MATCH($L147,Table3[[Company name]:[Company name]],0)),0)</f>
        <v>11250</v>
      </c>
      <c r="AG147" s="1">
        <f ca="1">IFERROR(INDEX(INDIRECT("Table3[Column"&amp;AG$9&amp;"]"),MATCH($L147,Table3[[Company name]:[Company name]],0)),0)</f>
        <v>19800</v>
      </c>
      <c r="AH147" s="1">
        <f ca="1">IFERROR(INDEX(INDIRECT("Table3[Column"&amp;AH$9&amp;"]"),MATCH($L147,Table3[[Company name]:[Company name]],0)),0)</f>
        <v>4500</v>
      </c>
      <c r="AI147" s="1">
        <f t="shared" ca="1" si="16"/>
        <v>234000</v>
      </c>
      <c r="AK147" s="1">
        <f>IF(COUNTIFS($J$7:$J$510,Table7[[#Headers],[Industry Essentials]],$C$7:$C$510,$L147)&gt;0,0,MROUND(R147,100))</f>
        <v>0</v>
      </c>
      <c r="AL147" s="1">
        <f ca="1">IF(COUNTIFS($J$7:$J$510,Table7[[#Headers],[Energy Supply Market Intelligence]],$C$7:$C$510,$L147)&gt;0,0,MROUND(IFERROR(S147*($P147/$AI147),0),100))</f>
        <v>0</v>
      </c>
      <c r="AM147" s="1">
        <f ca="1">IF(COUNTIFS($J$7:$J$510,Table7[[#Headers],[Energy Supply RTM Analysis]],$C$7:$C$510,$L147)&gt;0,0,MROUND(IFERROR(T147*($P147/$AI147),0),100))</f>
        <v>0</v>
      </c>
      <c r="AN147" s="1">
        <f ca="1">IF(COUNTIFS($J$7:$J$510,Table7[[#Headers],[Energy Supply Forecasts]],$C$7:$C$510,$L147)&gt;0,0,MROUND(IFERROR(U147*($P147/$AI147),0),100))</f>
        <v>0</v>
      </c>
      <c r="AO147" s="1">
        <f ca="1">IF(COUNTIFS($J$7:$J$510,Table7[[#Headers],[Energy Supply Regulation]],$C$7:$C$510,$L147)&gt;0,0,MROUND(IFERROR(V147*($P147/$AI147),0),100))</f>
        <v>0</v>
      </c>
      <c r="AP147" s="1">
        <f ca="1">IF(COUNTIFS($J$7:$J$510,Table7[[#Headers],[Renewables Market Intelligence]],$C$7:$C$510,$L147)&gt;0,0,MROUND(IFERROR(W147*($P147/$AI147),0),100))</f>
        <v>400</v>
      </c>
      <c r="AQ147" s="1">
        <f ca="1">IF(COUNTIFS($J$7:$J$510,Table7[[#Headers],[Renewables RTM Analysis]],$C$7:$C$510,$L147)&gt;0,0,MROUND(IFERROR(X147*($P147/$AI147),0),100))</f>
        <v>400</v>
      </c>
      <c r="AR147" s="1">
        <f ca="1">IF(COUNTIFS($J$7:$J$510,Table7[[#Headers],[Renewables Forecasts]],$C$7:$C$510,$L147)&gt;0,0,MROUND(IFERROR(Y147*($P147/$AI147),0),100))</f>
        <v>1100</v>
      </c>
      <c r="AS147" s="1">
        <f ca="1">IF(COUNTIFS($J$7:$J$510,Table7[[#Headers],[Renewables Regulation]],$C$7:$C$510,$L147)&gt;0,0,MROUND(IFERROR(Z147*($P147/$AI147),0),100))</f>
        <v>500</v>
      </c>
      <c r="AT147" s="1">
        <f ca="1">IF(COUNTIFS($J$7:$J$510,Table7[[#Headers],[Flexibility Market Intelligence]],$C$7:$C$510,$L147)&gt;0,0,MROUND(IFERROR(AA147*($P147/$AI147),0),100))</f>
        <v>500</v>
      </c>
      <c r="AU147" s="1">
        <f ca="1">IF(COUNTIFS($J$7:$J$510,Table7[[#Headers],[Flexibility RTM Analysis]],$C$7:$C$510,$L147)&gt;0,0,MROUND(IFERROR(AB147*($P147/$AI147),0),100))</f>
        <v>200</v>
      </c>
      <c r="AV147" s="1">
        <f ca="1">IF(COUNTIFS($J$7:$J$510,Table7[[#Headers],[Flexibility Forecasts]],$C$7:$C$510,$L147)&gt;0,0,MROUND(IFERROR(AC147*($P147/$AI147),0),100))</f>
        <v>800</v>
      </c>
      <c r="AW147" s="1">
        <f ca="1">IF(COUNTIFS($J$7:$J$510,Table7[[#Headers],[Flexibility Regulation]],$C$7:$C$510,$L147)&gt;0,0,MROUND(IFERROR(AD147*($P147/$AI147),0),100))</f>
        <v>600</v>
      </c>
      <c r="AX147" s="1">
        <f ca="1">IF(COUNTIFS($J$7:$J$510,Table7[[#Headers],[Business Energy Essentials]],$C$7:$C$510,$L147)&gt;0,0,MROUND(IFERROR(AE147*($P147/$AI147),0),100))</f>
        <v>300</v>
      </c>
      <c r="AY147" s="1">
        <f ca="1">IF(COUNTIFS($J$7:$J$510,Table7[[#Headers],[Energy User RTM Analysis]],$C$7:$C$510,$L147)&gt;0,0,MROUND(IFERROR(AF147*($P147/$AI147),0),100))</f>
        <v>300</v>
      </c>
      <c r="AZ147" s="1">
        <f ca="1">IF(COUNTIFS($J$7:$J$510,Table7[[#Headers],[Energy User Forecasts]],$C$7:$C$510,$L147)&gt;0,0,MROUND(IFERROR(AG147*($P147/$AI147),0),100))</f>
        <v>500</v>
      </c>
      <c r="BA147" s="1">
        <f ca="1">IF(COUNTIFS($J$7:$J$510,Table7[[#Headers],[Energy User Regulation]],$C$7:$C$510,$L147)&gt;0,0,MROUND(IFERROR(AH147*($P147/$AI147),0),100))</f>
        <v>100</v>
      </c>
    </row>
    <row r="148" spans="2:53">
      <c r="B148" s="38" t="s">
        <v>2143</v>
      </c>
      <c r="C148" s="38" t="s">
        <v>972</v>
      </c>
      <c r="D148" s="38" t="s">
        <v>2035</v>
      </c>
      <c r="E148" s="38" t="s">
        <v>1855</v>
      </c>
      <c r="F148" s="63">
        <v>4000</v>
      </c>
      <c r="G148" s="38"/>
      <c r="H148" s="38" t="s">
        <v>2032</v>
      </c>
      <c r="I148" s="38" t="s">
        <v>2032</v>
      </c>
      <c r="J148" s="38" t="s">
        <v>20</v>
      </c>
      <c r="L148" s="1" t="str">
        <v>Orsted Power (UK) Ltd</v>
      </c>
      <c r="M148" s="1" t="str">
        <f t="shared" si="12"/>
        <v>Renewables</v>
      </c>
      <c r="N148" s="109">
        <f t="shared" si="13"/>
        <v>24000</v>
      </c>
      <c r="O148" s="1">
        <f>IFERROR(IF(INDEX(Table3[[Total Spend]:[Total Spend]],MATCH(L148,Table3[[Company name]:[Company name]],0))&gt;N148,INDEX(Table3[[Total Spend]:[Total Spend]],MATCH(L148,Table3[[Company name]:[Company name]])),N148),50000)</f>
        <v>8100</v>
      </c>
      <c r="P148" s="109">
        <f t="shared" si="14"/>
        <v>24000</v>
      </c>
      <c r="Q148" s="103">
        <f t="shared" si="15"/>
        <v>1</v>
      </c>
      <c r="R148" s="1">
        <f ca="1">IFERROR(INDEX(INDIRECT("Table3[Column"&amp;R$9&amp;"]"),MATCH($L148,Table3[[Company name]:[Company name]],0)),0)</f>
        <v>10800</v>
      </c>
      <c r="S148" s="1">
        <f ca="1">IFERROR(INDEX(INDIRECT("Table3[Column"&amp;S$9&amp;"]"),MATCH($L148,Table3[[Company name]:[Company name]],0)),0)</f>
        <v>43200</v>
      </c>
      <c r="T148" s="1">
        <f ca="1">IFERROR(INDEX(INDIRECT("Table3[Column"&amp;T$9&amp;"]"),MATCH($L148,Table3[[Company name]:[Company name]],0)),0)</f>
        <v>73800</v>
      </c>
      <c r="U148" s="1">
        <f ca="1">IFERROR(INDEX(INDIRECT("Table3[Column"&amp;U$9&amp;"]"),MATCH($L148,Table3[[Company name]:[Company name]],0)),0)</f>
        <v>48600</v>
      </c>
      <c r="V148" s="1">
        <f ca="1">IFERROR(INDEX(INDIRECT("Table3[Column"&amp;V$9&amp;"]"),MATCH($L148,Table3[[Company name]:[Company name]],0)),0)</f>
        <v>55800</v>
      </c>
      <c r="W148" s="1">
        <f ca="1">IFERROR(INDEX(INDIRECT("Table3[Column"&amp;W$9&amp;"]"),MATCH($L148,Table3[[Company name]:[Company name]],0)),0)</f>
        <v>23400</v>
      </c>
      <c r="X148" s="1">
        <f ca="1">IFERROR(INDEX(INDIRECT("Table3[Column"&amp;X$9&amp;"]"),MATCH($L148,Table3[[Company name]:[Company name]],0)),0)</f>
        <v>20700</v>
      </c>
      <c r="Y148" s="1">
        <f ca="1">IFERROR(INDEX(INDIRECT("Table3[Column"&amp;Y$9&amp;"]"),MATCH($L148,Table3[[Company name]:[Company name]],0)),0)</f>
        <v>59400</v>
      </c>
      <c r="Z148" s="1">
        <f ca="1">IFERROR(INDEX(INDIRECT("Table3[Column"&amp;Z$9&amp;"]"),MATCH($L148,Table3[[Company name]:[Company name]],0)),0)</f>
        <v>26100</v>
      </c>
      <c r="AA148" s="1">
        <f ca="1">IFERROR(INDEX(INDIRECT("Table3[Column"&amp;AA$9&amp;"]"),MATCH($L148,Table3[[Company name]:[Company name]],0)),0)</f>
        <v>29700</v>
      </c>
      <c r="AB148" s="1">
        <f ca="1">IFERROR(INDEX(INDIRECT("Table3[Column"&amp;AB$9&amp;"]"),MATCH($L148,Table3[[Company name]:[Company name]],0)),0)</f>
        <v>10800</v>
      </c>
      <c r="AC148" s="1">
        <f ca="1">IFERROR(INDEX(INDIRECT("Table3[Column"&amp;AC$9&amp;"]"),MATCH($L148,Table3[[Company name]:[Company name]],0)),0)</f>
        <v>44100</v>
      </c>
      <c r="AD148" s="1">
        <f ca="1">IFERROR(INDEX(INDIRECT("Table3[Column"&amp;AD$9&amp;"]"),MATCH($L148,Table3[[Company name]:[Company name]],0)),0)</f>
        <v>36000</v>
      </c>
      <c r="AE148" s="1">
        <f ca="1">IFERROR(INDEX(INDIRECT("Table3[Column"&amp;AE$9&amp;"]"),MATCH($L148,Table3[[Company name]:[Company name]],0)),0)</f>
        <v>0</v>
      </c>
      <c r="AF148" s="1">
        <f ca="1">IFERROR(INDEX(INDIRECT("Table3[Column"&amp;AF$9&amp;"]"),MATCH($L148,Table3[[Company name]:[Company name]],0)),0)</f>
        <v>0</v>
      </c>
      <c r="AG148" s="1">
        <f ca="1">IFERROR(INDEX(INDIRECT("Table3[Column"&amp;AG$9&amp;"]"),MATCH($L148,Table3[[Company name]:[Company name]],0)),0)</f>
        <v>0</v>
      </c>
      <c r="AH148" s="1">
        <f ca="1">IFERROR(INDEX(INDIRECT("Table3[Column"&amp;AH$9&amp;"]"),MATCH($L148,Table3[[Company name]:[Company name]],0)),0)</f>
        <v>0</v>
      </c>
      <c r="AI148" s="1">
        <f t="shared" ca="1" si="16"/>
        <v>482400</v>
      </c>
      <c r="AK148" s="1">
        <f>IF(COUNTIFS($J$7:$J$510,Table7[[#Headers],[Industry Essentials]],$C$7:$C$510,$L148)&gt;0,0,MROUND(R148,100))</f>
        <v>0</v>
      </c>
      <c r="AL148" s="1">
        <f ca="1">IF(COUNTIFS($J$7:$J$510,Table7[[#Headers],[Energy Supply Market Intelligence]],$C$7:$C$510,$L148)&gt;0,0,MROUND(IFERROR(S148*($P148/$AI148),0),100))</f>
        <v>2100</v>
      </c>
      <c r="AM148" s="1">
        <f ca="1">IF(COUNTIFS($J$7:$J$510,Table7[[#Headers],[Energy Supply RTM Analysis]],$C$7:$C$510,$L148)&gt;0,0,MROUND(IFERROR(T148*($P148/$AI148),0),100))</f>
        <v>3700</v>
      </c>
      <c r="AN148" s="1">
        <f ca="1">IF(COUNTIFS($J$7:$J$510,Table7[[#Headers],[Energy Supply Forecasts]],$C$7:$C$510,$L148)&gt;0,0,MROUND(IFERROR(U148*($P148/$AI148),0),100))</f>
        <v>2400</v>
      </c>
      <c r="AO148" s="1">
        <f ca="1">IF(COUNTIFS($J$7:$J$510,Table7[[#Headers],[Energy Supply Regulation]],$C$7:$C$510,$L148)&gt;0,0,MROUND(IFERROR(V148*($P148/$AI148),0),100))</f>
        <v>2800</v>
      </c>
      <c r="AP148" s="1">
        <f ca="1">IF(COUNTIFS($J$7:$J$510,Table7[[#Headers],[Renewables Market Intelligence]],$C$7:$C$510,$L148)&gt;0,0,MROUND(IFERROR(W148*($P148/$AI148),0),100))</f>
        <v>1200</v>
      </c>
      <c r="AQ148" s="1">
        <f ca="1">IF(COUNTIFS($J$7:$J$510,Table7[[#Headers],[Renewables RTM Analysis]],$C$7:$C$510,$L148)&gt;0,0,MROUND(IFERROR(X148*($P148/$AI148),0),100))</f>
        <v>1000</v>
      </c>
      <c r="AR148" s="1">
        <f>IF(COUNTIFS($J$7:$J$510,Table7[[#Headers],[Renewables Forecasts]],$C$7:$C$510,$L148)&gt;0,0,MROUND(IFERROR(Y148*($P148/$AI148),0),100))</f>
        <v>0</v>
      </c>
      <c r="AS148" s="1">
        <f ca="1">IF(COUNTIFS($J$7:$J$510,Table7[[#Headers],[Renewables Regulation]],$C$7:$C$510,$L148)&gt;0,0,MROUND(IFERROR(Z148*($P148/$AI148),0),100))</f>
        <v>1300</v>
      </c>
      <c r="AT148" s="1">
        <f ca="1">IF(COUNTIFS($J$7:$J$510,Table7[[#Headers],[Flexibility Market Intelligence]],$C$7:$C$510,$L148)&gt;0,0,MROUND(IFERROR(AA148*($P148/$AI148),0),100))</f>
        <v>1500</v>
      </c>
      <c r="AU148" s="1">
        <f ca="1">IF(COUNTIFS($J$7:$J$510,Table7[[#Headers],[Flexibility RTM Analysis]],$C$7:$C$510,$L148)&gt;0,0,MROUND(IFERROR(AB148*($P148/$AI148),0),100))</f>
        <v>500</v>
      </c>
      <c r="AV148" s="1">
        <f ca="1">IF(COUNTIFS($J$7:$J$510,Table7[[#Headers],[Flexibility Forecasts]],$C$7:$C$510,$L148)&gt;0,0,MROUND(IFERROR(AC148*($P148/$AI148),0),100))</f>
        <v>2200</v>
      </c>
      <c r="AW148" s="1">
        <f ca="1">IF(COUNTIFS($J$7:$J$510,Table7[[#Headers],[Flexibility Regulation]],$C$7:$C$510,$L148)&gt;0,0,MROUND(IFERROR(AD148*($P148/$AI148),0),100))</f>
        <v>1800</v>
      </c>
      <c r="AX148" s="1">
        <f ca="1">IF(COUNTIFS($J$7:$J$510,Table7[[#Headers],[Business Energy Essentials]],$C$7:$C$510,$L148)&gt;0,0,MROUND(IFERROR(AE148*($P148/$AI148),0),100))</f>
        <v>0</v>
      </c>
      <c r="AY148" s="1">
        <f ca="1">IF(COUNTIFS($J$7:$J$510,Table7[[#Headers],[Energy User RTM Analysis]],$C$7:$C$510,$L148)&gt;0,0,MROUND(IFERROR(AF148*($P148/$AI148),0),100))</f>
        <v>0</v>
      </c>
      <c r="AZ148" s="1">
        <f ca="1">IF(COUNTIFS($J$7:$J$510,Table7[[#Headers],[Energy User Forecasts]],$C$7:$C$510,$L148)&gt;0,0,MROUND(IFERROR(AG148*($P148/$AI148),0),100))</f>
        <v>0</v>
      </c>
      <c r="BA148" s="1">
        <f ca="1">IF(COUNTIFS($J$7:$J$510,Table7[[#Headers],[Energy User Regulation]],$C$7:$C$510,$L148)&gt;0,0,MROUND(IFERROR(AH148*($P148/$AI148),0),100))</f>
        <v>0</v>
      </c>
    </row>
    <row r="149" spans="2:53">
      <c r="B149" s="38" t="s">
        <v>2144</v>
      </c>
      <c r="C149" s="38" t="s">
        <v>100</v>
      </c>
      <c r="D149" s="38" t="s">
        <v>2040</v>
      </c>
      <c r="E149" s="38" t="s">
        <v>1799</v>
      </c>
      <c r="F149" s="63">
        <v>7425</v>
      </c>
      <c r="G149" s="38"/>
      <c r="H149" s="38" t="s">
        <v>2031</v>
      </c>
      <c r="I149" s="38" t="s">
        <v>2032</v>
      </c>
      <c r="J149" s="38" t="s">
        <v>20</v>
      </c>
      <c r="L149" s="1" t="str">
        <v>OVO Energy Limited</v>
      </c>
      <c r="M149" s="1" t="str">
        <f t="shared" si="12"/>
        <v>Supply</v>
      </c>
      <c r="N149" s="109">
        <f t="shared" si="13"/>
        <v>82333.329999999987</v>
      </c>
      <c r="O149" s="1">
        <f>IFERROR(IF(INDEX(Table3[[Total Spend]:[Total Spend]],MATCH(L149,Table3[[Company name]:[Company name]],0))&gt;N149,INDEX(Table3[[Total Spend]:[Total Spend]],MATCH(L149,Table3[[Company name]:[Company name]])),N149),50000)</f>
        <v>8100</v>
      </c>
      <c r="P149" s="109">
        <f t="shared" si="14"/>
        <v>82333.329999999987</v>
      </c>
      <c r="Q149" s="103">
        <f t="shared" si="15"/>
        <v>1</v>
      </c>
      <c r="R149" s="1">
        <f ca="1">IFERROR(INDEX(INDIRECT("Table3[Column"&amp;R$9&amp;"]"),MATCH($L149,Table3[[Company name]:[Company name]],0)),0)</f>
        <v>10800</v>
      </c>
      <c r="S149" s="1">
        <f ca="1">IFERROR(INDEX(INDIRECT("Table3[Column"&amp;S$9&amp;"]"),MATCH($L149,Table3[[Company name]:[Company name]],0)),0)</f>
        <v>43200</v>
      </c>
      <c r="T149" s="1">
        <f ca="1">IFERROR(INDEX(INDIRECT("Table3[Column"&amp;T$9&amp;"]"),MATCH($L149,Table3[[Company name]:[Company name]],0)),0)</f>
        <v>73800</v>
      </c>
      <c r="U149" s="1">
        <f ca="1">IFERROR(INDEX(INDIRECT("Table3[Column"&amp;U$9&amp;"]"),MATCH($L149,Table3[[Company name]:[Company name]],0)),0)</f>
        <v>48600</v>
      </c>
      <c r="V149" s="1">
        <f ca="1">IFERROR(INDEX(INDIRECT("Table3[Column"&amp;V$9&amp;"]"),MATCH($L149,Table3[[Company name]:[Company name]],0)),0)</f>
        <v>55800</v>
      </c>
      <c r="W149" s="1">
        <f ca="1">IFERROR(INDEX(INDIRECT("Table3[Column"&amp;W$9&amp;"]"),MATCH($L149,Table3[[Company name]:[Company name]],0)),0)</f>
        <v>23400</v>
      </c>
      <c r="X149" s="1">
        <f ca="1">IFERROR(INDEX(INDIRECT("Table3[Column"&amp;X$9&amp;"]"),MATCH($L149,Table3[[Company name]:[Company name]],0)),0)</f>
        <v>20700</v>
      </c>
      <c r="Y149" s="1">
        <f ca="1">IFERROR(INDEX(INDIRECT("Table3[Column"&amp;Y$9&amp;"]"),MATCH($L149,Table3[[Company name]:[Company name]],0)),0)</f>
        <v>59400</v>
      </c>
      <c r="Z149" s="1">
        <f ca="1">IFERROR(INDEX(INDIRECT("Table3[Column"&amp;Z$9&amp;"]"),MATCH($L149,Table3[[Company name]:[Company name]],0)),0)</f>
        <v>26100</v>
      </c>
      <c r="AA149" s="1">
        <f ca="1">IFERROR(INDEX(INDIRECT("Table3[Column"&amp;AA$9&amp;"]"),MATCH($L149,Table3[[Company name]:[Company name]],0)),0)</f>
        <v>29700</v>
      </c>
      <c r="AB149" s="1">
        <f ca="1">IFERROR(INDEX(INDIRECT("Table3[Column"&amp;AB$9&amp;"]"),MATCH($L149,Table3[[Company name]:[Company name]],0)),0)</f>
        <v>10800</v>
      </c>
      <c r="AC149" s="1">
        <f ca="1">IFERROR(INDEX(INDIRECT("Table3[Column"&amp;AC$9&amp;"]"),MATCH($L149,Table3[[Company name]:[Company name]],0)),0)</f>
        <v>44100</v>
      </c>
      <c r="AD149" s="1">
        <f ca="1">IFERROR(INDEX(INDIRECT("Table3[Column"&amp;AD$9&amp;"]"),MATCH($L149,Table3[[Company name]:[Company name]],0)),0)</f>
        <v>0</v>
      </c>
      <c r="AE149" s="1">
        <f ca="1">IFERROR(INDEX(INDIRECT("Table3[Column"&amp;AE$9&amp;"]"),MATCH($L149,Table3[[Company name]:[Company name]],0)),0)</f>
        <v>15300</v>
      </c>
      <c r="AF149" s="1">
        <f ca="1">IFERROR(INDEX(INDIRECT("Table3[Column"&amp;AF$9&amp;"]"),MATCH($L149,Table3[[Company name]:[Company name]],0)),0)</f>
        <v>0</v>
      </c>
      <c r="AG149" s="1">
        <f ca="1">IFERROR(INDEX(INDIRECT("Table3[Column"&amp;AG$9&amp;"]"),MATCH($L149,Table3[[Company name]:[Company name]],0)),0)</f>
        <v>27000</v>
      </c>
      <c r="AH149" s="1">
        <f ca="1">IFERROR(INDEX(INDIRECT("Table3[Column"&amp;AH$9&amp;"]"),MATCH($L149,Table3[[Company name]:[Company name]],0)),0)</f>
        <v>0</v>
      </c>
      <c r="AI149" s="1">
        <f t="shared" ca="1" si="16"/>
        <v>488700</v>
      </c>
      <c r="AK149" s="1">
        <f>IF(COUNTIFS($J$7:$J$510,Table7[[#Headers],[Industry Essentials]],$C$7:$C$510,$L149)&gt;0,0,MROUND(R149,100))</f>
        <v>0</v>
      </c>
      <c r="AL149" s="1">
        <f>IF(COUNTIFS($J$7:$J$510,Table7[[#Headers],[Energy Supply Market Intelligence]],$C$7:$C$510,$L149)&gt;0,0,MROUND(IFERROR(S149*($P149/$AI149),0),100))</f>
        <v>0</v>
      </c>
      <c r="AM149" s="1">
        <f ca="1">IF(COUNTIFS($J$7:$J$510,Table7[[#Headers],[Energy Supply RTM Analysis]],$C$7:$C$510,$L149)&gt;0,0,MROUND(IFERROR(T149*($P149/$AI149),0),100))</f>
        <v>12400</v>
      </c>
      <c r="AN149" s="1">
        <f>IF(COUNTIFS($J$7:$J$510,Table7[[#Headers],[Energy Supply Forecasts]],$C$7:$C$510,$L149)&gt;0,0,MROUND(IFERROR(U149*($P149/$AI149),0),100))</f>
        <v>0</v>
      </c>
      <c r="AO149" s="1">
        <f>IF(COUNTIFS($J$7:$J$510,Table7[[#Headers],[Energy Supply Regulation]],$C$7:$C$510,$L149)&gt;0,0,MROUND(IFERROR(V149*($P149/$AI149),0),100))</f>
        <v>0</v>
      </c>
      <c r="AP149" s="1">
        <f ca="1">IF(COUNTIFS($J$7:$J$510,Table7[[#Headers],[Renewables Market Intelligence]],$C$7:$C$510,$L149)&gt;0,0,MROUND(IFERROR(W149*($P149/$AI149),0),100))</f>
        <v>3900</v>
      </c>
      <c r="AQ149" s="1">
        <f ca="1">IF(COUNTIFS($J$7:$J$510,Table7[[#Headers],[Renewables RTM Analysis]],$C$7:$C$510,$L149)&gt;0,0,MROUND(IFERROR(X149*($P149/$AI149),0),100))</f>
        <v>3500</v>
      </c>
      <c r="AR149" s="1">
        <f ca="1">IF(COUNTIFS($J$7:$J$510,Table7[[#Headers],[Renewables Forecasts]],$C$7:$C$510,$L149)&gt;0,0,MROUND(IFERROR(Y149*($P149/$AI149),0),100))</f>
        <v>10000</v>
      </c>
      <c r="AS149" s="1">
        <f ca="1">IF(COUNTIFS($J$7:$J$510,Table7[[#Headers],[Renewables Regulation]],$C$7:$C$510,$L149)&gt;0,0,MROUND(IFERROR(Z149*($P149/$AI149),0),100))</f>
        <v>4400</v>
      </c>
      <c r="AT149" s="1">
        <f ca="1">IF(COUNTIFS($J$7:$J$510,Table7[[#Headers],[Flexibility Market Intelligence]],$C$7:$C$510,$L149)&gt;0,0,MROUND(IFERROR(AA149*($P149/$AI149),0),100))</f>
        <v>5000</v>
      </c>
      <c r="AU149" s="1">
        <f ca="1">IF(COUNTIFS($J$7:$J$510,Table7[[#Headers],[Flexibility RTM Analysis]],$C$7:$C$510,$L149)&gt;0,0,MROUND(IFERROR(AB149*($P149/$AI149),0),100))</f>
        <v>1800</v>
      </c>
      <c r="AV149" s="1">
        <f ca="1">IF(COUNTIFS($J$7:$J$510,Table7[[#Headers],[Flexibility Forecasts]],$C$7:$C$510,$L149)&gt;0,0,MROUND(IFERROR(AC149*($P149/$AI149),0),100))</f>
        <v>7400</v>
      </c>
      <c r="AW149" s="1">
        <f ca="1">IF(COUNTIFS($J$7:$J$510,Table7[[#Headers],[Flexibility Regulation]],$C$7:$C$510,$L149)&gt;0,0,MROUND(IFERROR(AD149*($P149/$AI149),0),100))</f>
        <v>0</v>
      </c>
      <c r="AX149" s="1">
        <f ca="1">IF(COUNTIFS($J$7:$J$510,Table7[[#Headers],[Business Energy Essentials]],$C$7:$C$510,$L149)&gt;0,0,MROUND(IFERROR(AE149*($P149/$AI149),0),100))</f>
        <v>2600</v>
      </c>
      <c r="AY149" s="1">
        <f ca="1">IF(COUNTIFS($J$7:$J$510,Table7[[#Headers],[Energy User RTM Analysis]],$C$7:$C$510,$L149)&gt;0,0,MROUND(IFERROR(AF149*($P149/$AI149),0),100))</f>
        <v>0</v>
      </c>
      <c r="AZ149" s="1">
        <f ca="1">IF(COUNTIFS($J$7:$J$510,Table7[[#Headers],[Energy User Forecasts]],$C$7:$C$510,$L149)&gt;0,0,MROUND(IFERROR(AG149*($P149/$AI149),0),100))</f>
        <v>4500</v>
      </c>
      <c r="BA149" s="1">
        <f ca="1">IF(COUNTIFS($J$7:$J$510,Table7[[#Headers],[Energy User Regulation]],$C$7:$C$510,$L149)&gt;0,0,MROUND(IFERROR(AH149*($P149/$AI149),0),100))</f>
        <v>0</v>
      </c>
    </row>
    <row r="150" spans="2:53">
      <c r="B150" s="38" t="s">
        <v>2144</v>
      </c>
      <c r="C150" s="38" t="s">
        <v>100</v>
      </c>
      <c r="D150" s="38" t="s">
        <v>2044</v>
      </c>
      <c r="E150" s="38" t="s">
        <v>1912</v>
      </c>
      <c r="F150" s="63">
        <v>27720</v>
      </c>
      <c r="G150" s="38"/>
      <c r="H150" s="38" t="s">
        <v>2031</v>
      </c>
      <c r="I150" s="38" t="s">
        <v>2031</v>
      </c>
      <c r="J150" s="38" t="s">
        <v>24</v>
      </c>
      <c r="L150" s="1" t="str">
        <v>Peak Gen Top Co Limited</v>
      </c>
      <c r="M150" s="1" t="str">
        <f t="shared" si="12"/>
        <v>Flexibility</v>
      </c>
      <c r="N150" s="109">
        <f t="shared" si="13"/>
        <v>9650</v>
      </c>
      <c r="O150" s="1">
        <f>IFERROR(IF(INDEX(Table3[[Total Spend]:[Total Spend]],MATCH(L150,Table3[[Company name]:[Company name]],0))&gt;N150,INDEX(Table3[[Total Spend]:[Total Spend]],MATCH(L150,Table3[[Company name]:[Company name]])),N150),50000)</f>
        <v>8100</v>
      </c>
      <c r="P150" s="109">
        <f t="shared" si="14"/>
        <v>9650</v>
      </c>
      <c r="Q150" s="103">
        <f t="shared" si="15"/>
        <v>1</v>
      </c>
      <c r="R150" s="1">
        <f ca="1">IFERROR(INDEX(INDIRECT("Table3[Column"&amp;R$9&amp;"]"),MATCH($L150,Table3[[Company name]:[Company name]],0)),0)</f>
        <v>8100</v>
      </c>
      <c r="S150" s="1">
        <f ca="1">IFERROR(INDEX(INDIRECT("Table3[Column"&amp;S$9&amp;"]"),MATCH($L150,Table3[[Company name]:[Company name]],0)),0)</f>
        <v>0</v>
      </c>
      <c r="T150" s="1">
        <f ca="1">IFERROR(INDEX(INDIRECT("Table3[Column"&amp;T$9&amp;"]"),MATCH($L150,Table3[[Company name]:[Company name]],0)),0)</f>
        <v>0</v>
      </c>
      <c r="U150" s="1">
        <f ca="1">IFERROR(INDEX(INDIRECT("Table3[Column"&amp;U$9&amp;"]"),MATCH($L150,Table3[[Company name]:[Company name]],0)),0)</f>
        <v>0</v>
      </c>
      <c r="V150" s="1">
        <f ca="1">IFERROR(INDEX(INDIRECT("Table3[Column"&amp;V$9&amp;"]"),MATCH($L150,Table3[[Company name]:[Company name]],0)),0)</f>
        <v>0</v>
      </c>
      <c r="W150" s="1">
        <f ca="1">IFERROR(INDEX(INDIRECT("Table3[Column"&amp;W$9&amp;"]"),MATCH($L150,Table3[[Company name]:[Company name]],0)),0)</f>
        <v>0</v>
      </c>
      <c r="X150" s="1">
        <f ca="1">IFERROR(INDEX(INDIRECT("Table3[Column"&amp;X$9&amp;"]"),MATCH($L150,Table3[[Company name]:[Company name]],0)),0)</f>
        <v>0</v>
      </c>
      <c r="Y150" s="1">
        <f ca="1">IFERROR(INDEX(INDIRECT("Table3[Column"&amp;Y$9&amp;"]"),MATCH($L150,Table3[[Company name]:[Company name]],0)),0)</f>
        <v>0</v>
      </c>
      <c r="Z150" s="1">
        <f ca="1">IFERROR(INDEX(INDIRECT("Table3[Column"&amp;Z$9&amp;"]"),MATCH($L150,Table3[[Company name]:[Company name]],0)),0)</f>
        <v>0</v>
      </c>
      <c r="AA150" s="1">
        <f ca="1">IFERROR(INDEX(INDIRECT("Table3[Column"&amp;AA$9&amp;"]"),MATCH($L150,Table3[[Company name]:[Company name]],0)),0)</f>
        <v>21600</v>
      </c>
      <c r="AB150" s="1">
        <f ca="1">IFERROR(INDEX(INDIRECT("Table3[Column"&amp;AB$9&amp;"]"),MATCH($L150,Table3[[Company name]:[Company name]],0)),0)</f>
        <v>7650</v>
      </c>
      <c r="AC150" s="1">
        <f ca="1">IFERROR(INDEX(INDIRECT("Table3[Column"&amp;AC$9&amp;"]"),MATCH($L150,Table3[[Company name]:[Company name]],0)),0)</f>
        <v>31500</v>
      </c>
      <c r="AD150" s="1">
        <f ca="1">IFERROR(INDEX(INDIRECT("Table3[Column"&amp;AD$9&amp;"]"),MATCH($L150,Table3[[Company name]:[Company name]],0)),0)</f>
        <v>25200</v>
      </c>
      <c r="AE150" s="1">
        <f ca="1">IFERROR(INDEX(INDIRECT("Table3[Column"&amp;AE$9&amp;"]"),MATCH($L150,Table3[[Company name]:[Company name]],0)),0)</f>
        <v>0</v>
      </c>
      <c r="AF150" s="1">
        <f ca="1">IFERROR(INDEX(INDIRECT("Table3[Column"&amp;AF$9&amp;"]"),MATCH($L150,Table3[[Company name]:[Company name]],0)),0)</f>
        <v>0</v>
      </c>
      <c r="AG150" s="1">
        <f ca="1">IFERROR(INDEX(INDIRECT("Table3[Column"&amp;AG$9&amp;"]"),MATCH($L150,Table3[[Company name]:[Company name]],0)),0)</f>
        <v>0</v>
      </c>
      <c r="AH150" s="1">
        <f ca="1">IFERROR(INDEX(INDIRECT("Table3[Column"&amp;AH$9&amp;"]"),MATCH($L150,Table3[[Company name]:[Company name]],0)),0)</f>
        <v>0</v>
      </c>
      <c r="AI150" s="1">
        <f t="shared" ca="1" si="16"/>
        <v>94050</v>
      </c>
      <c r="AK150" s="1">
        <f ca="1">IF(COUNTIFS($J$7:$J$510,Table7[[#Headers],[Industry Essentials]],$C$7:$C$510,$L150)&gt;0,0,MROUND(R150,100))</f>
        <v>8100</v>
      </c>
      <c r="AL150" s="1">
        <f ca="1">IF(COUNTIFS($J$7:$J$510,Table7[[#Headers],[Energy Supply Market Intelligence]],$C$7:$C$510,$L150)&gt;0,0,MROUND(IFERROR(S150*($P150/$AI150),0),100))</f>
        <v>0</v>
      </c>
      <c r="AM150" s="1">
        <f ca="1">IF(COUNTIFS($J$7:$J$510,Table7[[#Headers],[Energy Supply RTM Analysis]],$C$7:$C$510,$L150)&gt;0,0,MROUND(IFERROR(T150*($P150/$AI150),0),100))</f>
        <v>0</v>
      </c>
      <c r="AN150" s="1">
        <f ca="1">IF(COUNTIFS($J$7:$J$510,Table7[[#Headers],[Energy Supply Forecasts]],$C$7:$C$510,$L150)&gt;0,0,MROUND(IFERROR(U150*($P150/$AI150),0),100))</f>
        <v>0</v>
      </c>
      <c r="AO150" s="1">
        <f ca="1">IF(COUNTIFS($J$7:$J$510,Table7[[#Headers],[Energy Supply Regulation]],$C$7:$C$510,$L150)&gt;0,0,MROUND(IFERROR(V150*($P150/$AI150),0),100))</f>
        <v>0</v>
      </c>
      <c r="AP150" s="1">
        <f ca="1">IF(COUNTIFS($J$7:$J$510,Table7[[#Headers],[Renewables Market Intelligence]],$C$7:$C$510,$L150)&gt;0,0,MROUND(IFERROR(W150*($P150/$AI150),0),100))</f>
        <v>0</v>
      </c>
      <c r="AQ150" s="1">
        <f ca="1">IF(COUNTIFS($J$7:$J$510,Table7[[#Headers],[Renewables RTM Analysis]],$C$7:$C$510,$L150)&gt;0,0,MROUND(IFERROR(X150*($P150/$AI150),0),100))</f>
        <v>0</v>
      </c>
      <c r="AR150" s="1">
        <f ca="1">IF(COUNTIFS($J$7:$J$510,Table7[[#Headers],[Renewables Forecasts]],$C$7:$C$510,$L150)&gt;0,0,MROUND(IFERROR(Y150*($P150/$AI150),0),100))</f>
        <v>0</v>
      </c>
      <c r="AS150" s="1">
        <f ca="1">IF(COUNTIFS($J$7:$J$510,Table7[[#Headers],[Renewables Regulation]],$C$7:$C$510,$L150)&gt;0,0,MROUND(IFERROR(Z150*($P150/$AI150),0),100))</f>
        <v>0</v>
      </c>
      <c r="AT150" s="1">
        <f>IF(COUNTIFS($J$7:$J$510,Table7[[#Headers],[Flexibility Market Intelligence]],$C$7:$C$510,$L150)&gt;0,0,MROUND(IFERROR(AA150*($P150/$AI150),0),100))</f>
        <v>0</v>
      </c>
      <c r="AU150" s="1">
        <f ca="1">IF(COUNTIFS($J$7:$J$510,Table7[[#Headers],[Flexibility RTM Analysis]],$C$7:$C$510,$L150)&gt;0,0,MROUND(IFERROR(AB150*($P150/$AI150),0),100))</f>
        <v>800</v>
      </c>
      <c r="AV150" s="1">
        <f ca="1">IF(COUNTIFS($J$7:$J$510,Table7[[#Headers],[Flexibility Forecasts]],$C$7:$C$510,$L150)&gt;0,0,MROUND(IFERROR(AC150*($P150/$AI150),0),100))</f>
        <v>3200</v>
      </c>
      <c r="AW150" s="1">
        <f ca="1">IF(COUNTIFS($J$7:$J$510,Table7[[#Headers],[Flexibility Regulation]],$C$7:$C$510,$L150)&gt;0,0,MROUND(IFERROR(AD150*($P150/$AI150),0),100))</f>
        <v>2600</v>
      </c>
      <c r="AX150" s="1">
        <f ca="1">IF(COUNTIFS($J$7:$J$510,Table7[[#Headers],[Business Energy Essentials]],$C$7:$C$510,$L150)&gt;0,0,MROUND(IFERROR(AE150*($P150/$AI150),0),100))</f>
        <v>0</v>
      </c>
      <c r="AY150" s="1">
        <f ca="1">IF(COUNTIFS($J$7:$J$510,Table7[[#Headers],[Energy User RTM Analysis]],$C$7:$C$510,$L150)&gt;0,0,MROUND(IFERROR(AF150*($P150/$AI150),0),100))</f>
        <v>0</v>
      </c>
      <c r="AZ150" s="1">
        <f ca="1">IF(COUNTIFS($J$7:$J$510,Table7[[#Headers],[Energy User Forecasts]],$C$7:$C$510,$L150)&gt;0,0,MROUND(IFERROR(AG150*($P150/$AI150),0),100))</f>
        <v>0</v>
      </c>
      <c r="BA150" s="1">
        <f ca="1">IF(COUNTIFS($J$7:$J$510,Table7[[#Headers],[Energy User Regulation]],$C$7:$C$510,$L150)&gt;0,0,MROUND(IFERROR(AH150*($P150/$AI150),0),100))</f>
        <v>0</v>
      </c>
    </row>
    <row r="151" spans="2:53">
      <c r="B151" s="38" t="s">
        <v>2145</v>
      </c>
      <c r="C151" s="38" t="s">
        <v>233</v>
      </c>
      <c r="D151" s="38" t="s">
        <v>2083</v>
      </c>
      <c r="E151" s="38" t="s">
        <v>1829</v>
      </c>
      <c r="F151" s="63">
        <v>14050</v>
      </c>
      <c r="G151" s="38"/>
      <c r="H151" s="38" t="s">
        <v>191</v>
      </c>
      <c r="I151" s="38" t="s">
        <v>191</v>
      </c>
      <c r="J151" s="38" t="s">
        <v>35</v>
      </c>
      <c r="L151" s="1" t="str">
        <v>Port of Tilbury London Ltd</v>
      </c>
      <c r="M151" s="1" t="str">
        <f t="shared" si="12"/>
        <v>Energy User</v>
      </c>
      <c r="N151" s="109">
        <f t="shared" si="13"/>
        <v>16769.989999999998</v>
      </c>
      <c r="O151" s="1">
        <f>IFERROR(IF(INDEX(Table3[[Total Spend]:[Total Spend]],MATCH(L151,Table3[[Company name]:[Company name]],0))&gt;N151,INDEX(Table3[[Total Spend]:[Total Spend]],MATCH(L151,Table3[[Company name]:[Company name]])),N151),50000)</f>
        <v>8100</v>
      </c>
      <c r="P151" s="109">
        <f t="shared" si="14"/>
        <v>16769.989999999998</v>
      </c>
      <c r="Q151" s="103">
        <f t="shared" si="15"/>
        <v>1</v>
      </c>
      <c r="R151" s="1">
        <f ca="1">IFERROR(INDEX(INDIRECT("Table3[Column"&amp;R$9&amp;"]"),MATCH($L151,Table3[[Company name]:[Company name]],0)),0)</f>
        <v>10800</v>
      </c>
      <c r="S151" s="1">
        <f ca="1">IFERROR(INDEX(INDIRECT("Table3[Column"&amp;S$9&amp;"]"),MATCH($L151,Table3[[Company name]:[Company name]],0)),0)</f>
        <v>0</v>
      </c>
      <c r="T151" s="1">
        <f ca="1">IFERROR(INDEX(INDIRECT("Table3[Column"&amp;T$9&amp;"]"),MATCH($L151,Table3[[Company name]:[Company name]],0)),0)</f>
        <v>0</v>
      </c>
      <c r="U151" s="1">
        <f ca="1">IFERROR(INDEX(INDIRECT("Table3[Column"&amp;U$9&amp;"]"),MATCH($L151,Table3[[Company name]:[Company name]],0)),0)</f>
        <v>0</v>
      </c>
      <c r="V151" s="1">
        <f ca="1">IFERROR(INDEX(INDIRECT("Table3[Column"&amp;V$9&amp;"]"),MATCH($L151,Table3[[Company name]:[Company name]],0)),0)</f>
        <v>0</v>
      </c>
      <c r="W151" s="1">
        <f ca="1">IFERROR(INDEX(INDIRECT("Table3[Column"&amp;W$9&amp;"]"),MATCH($L151,Table3[[Company name]:[Company name]],0)),0)</f>
        <v>23400</v>
      </c>
      <c r="X151" s="1">
        <f ca="1">IFERROR(INDEX(INDIRECT("Table3[Column"&amp;X$9&amp;"]"),MATCH($L151,Table3[[Company name]:[Company name]],0)),0)</f>
        <v>20700</v>
      </c>
      <c r="Y151" s="1">
        <f ca="1">IFERROR(INDEX(INDIRECT("Table3[Column"&amp;Y$9&amp;"]"),MATCH($L151,Table3[[Company name]:[Company name]],0)),0)</f>
        <v>59400</v>
      </c>
      <c r="Z151" s="1">
        <f ca="1">IFERROR(INDEX(INDIRECT("Table3[Column"&amp;Z$9&amp;"]"),MATCH($L151,Table3[[Company name]:[Company name]],0)),0)</f>
        <v>26100</v>
      </c>
      <c r="AA151" s="1">
        <f ca="1">IFERROR(INDEX(INDIRECT("Table3[Column"&amp;AA$9&amp;"]"),MATCH($L151,Table3[[Company name]:[Company name]],0)),0)</f>
        <v>0</v>
      </c>
      <c r="AB151" s="1">
        <f ca="1">IFERROR(INDEX(INDIRECT("Table3[Column"&amp;AB$9&amp;"]"),MATCH($L151,Table3[[Company name]:[Company name]],0)),0)</f>
        <v>0</v>
      </c>
      <c r="AC151" s="1">
        <f ca="1">IFERROR(INDEX(INDIRECT("Table3[Column"&amp;AC$9&amp;"]"),MATCH($L151,Table3[[Company name]:[Company name]],0)),0)</f>
        <v>0</v>
      </c>
      <c r="AD151" s="1">
        <f ca="1">IFERROR(INDEX(INDIRECT("Table3[Column"&amp;AD$9&amp;"]"),MATCH($L151,Table3[[Company name]:[Company name]],0)),0)</f>
        <v>0</v>
      </c>
      <c r="AE151" s="1">
        <f ca="1">IFERROR(INDEX(INDIRECT("Table3[Column"&amp;AE$9&amp;"]"),MATCH($L151,Table3[[Company name]:[Company name]],0)),0)</f>
        <v>15300</v>
      </c>
      <c r="AF151" s="1">
        <f ca="1">IFERROR(INDEX(INDIRECT("Table3[Column"&amp;AF$9&amp;"]"),MATCH($L151,Table3[[Company name]:[Company name]],0)),0)</f>
        <v>15750</v>
      </c>
      <c r="AG151" s="1">
        <f ca="1">IFERROR(INDEX(INDIRECT("Table3[Column"&amp;AG$9&amp;"]"),MATCH($L151,Table3[[Company name]:[Company name]],0)),0)</f>
        <v>27000</v>
      </c>
      <c r="AH151" s="1">
        <f ca="1">IFERROR(INDEX(INDIRECT("Table3[Column"&amp;AH$9&amp;"]"),MATCH($L151,Table3[[Company name]:[Company name]],0)),0)</f>
        <v>6300</v>
      </c>
      <c r="AI151" s="1">
        <f t="shared" ca="1" si="16"/>
        <v>204750</v>
      </c>
      <c r="AK151" s="1">
        <f>IF(COUNTIFS($J$7:$J$510,Table7[[#Headers],[Industry Essentials]],$C$7:$C$510,$L151)&gt;0,0,MROUND(R151,100))</f>
        <v>0</v>
      </c>
      <c r="AL151" s="1">
        <f ca="1">IF(COUNTIFS($J$7:$J$510,Table7[[#Headers],[Energy Supply Market Intelligence]],$C$7:$C$510,$L151)&gt;0,0,MROUND(IFERROR(S151*($P151/$AI151),0),100))</f>
        <v>0</v>
      </c>
      <c r="AM151" s="1">
        <f ca="1">IF(COUNTIFS($J$7:$J$510,Table7[[#Headers],[Energy Supply RTM Analysis]],$C$7:$C$510,$L151)&gt;0,0,MROUND(IFERROR(T151*($P151/$AI151),0),100))</f>
        <v>0</v>
      </c>
      <c r="AN151" s="1">
        <f ca="1">IF(COUNTIFS($J$7:$J$510,Table7[[#Headers],[Energy Supply Forecasts]],$C$7:$C$510,$L151)&gt;0,0,MROUND(IFERROR(U151*($P151/$AI151),0),100))</f>
        <v>0</v>
      </c>
      <c r="AO151" s="1">
        <f ca="1">IF(COUNTIFS($J$7:$J$510,Table7[[#Headers],[Energy Supply Regulation]],$C$7:$C$510,$L151)&gt;0,0,MROUND(IFERROR(V151*($P151/$AI151),0),100))</f>
        <v>0</v>
      </c>
      <c r="AP151" s="1">
        <f ca="1">IF(COUNTIFS($J$7:$J$510,Table7[[#Headers],[Renewables Market Intelligence]],$C$7:$C$510,$L151)&gt;0,0,MROUND(IFERROR(W151*($P151/$AI151),0),100))</f>
        <v>1900</v>
      </c>
      <c r="AQ151" s="1">
        <f ca="1">IF(COUNTIFS($J$7:$J$510,Table7[[#Headers],[Renewables RTM Analysis]],$C$7:$C$510,$L151)&gt;0,0,MROUND(IFERROR(X151*($P151/$AI151),0),100))</f>
        <v>1700</v>
      </c>
      <c r="AR151" s="1">
        <f ca="1">IF(COUNTIFS($J$7:$J$510,Table7[[#Headers],[Renewables Forecasts]],$C$7:$C$510,$L151)&gt;0,0,MROUND(IFERROR(Y151*($P151/$AI151),0),100))</f>
        <v>4900</v>
      </c>
      <c r="AS151" s="1">
        <f ca="1">IF(COUNTIFS($J$7:$J$510,Table7[[#Headers],[Renewables Regulation]],$C$7:$C$510,$L151)&gt;0,0,MROUND(IFERROR(Z151*($P151/$AI151),0),100))</f>
        <v>2100</v>
      </c>
      <c r="AT151" s="1">
        <f ca="1">IF(COUNTIFS($J$7:$J$510,Table7[[#Headers],[Flexibility Market Intelligence]],$C$7:$C$510,$L151)&gt;0,0,MROUND(IFERROR(AA151*($P151/$AI151),0),100))</f>
        <v>0</v>
      </c>
      <c r="AU151" s="1">
        <f ca="1">IF(COUNTIFS($J$7:$J$510,Table7[[#Headers],[Flexibility RTM Analysis]],$C$7:$C$510,$L151)&gt;0,0,MROUND(IFERROR(AB151*($P151/$AI151),0),100))</f>
        <v>0</v>
      </c>
      <c r="AV151" s="1">
        <f ca="1">IF(COUNTIFS($J$7:$J$510,Table7[[#Headers],[Flexibility Forecasts]],$C$7:$C$510,$L151)&gt;0,0,MROUND(IFERROR(AC151*($P151/$AI151),0),100))</f>
        <v>0</v>
      </c>
      <c r="AW151" s="1">
        <f ca="1">IF(COUNTIFS($J$7:$J$510,Table7[[#Headers],[Flexibility Regulation]],$C$7:$C$510,$L151)&gt;0,0,MROUND(IFERROR(AD151*($P151/$AI151),0),100))</f>
        <v>0</v>
      </c>
      <c r="AX151" s="1">
        <f ca="1">IF(COUNTIFS($J$7:$J$510,Table7[[#Headers],[Business Energy Essentials]],$C$7:$C$510,$L151)&gt;0,0,MROUND(IFERROR(AE151*($P151/$AI151),0),100))</f>
        <v>1300</v>
      </c>
      <c r="AY151" s="1">
        <f ca="1">IF(COUNTIFS($J$7:$J$510,Table7[[#Headers],[Energy User RTM Analysis]],$C$7:$C$510,$L151)&gt;0,0,MROUND(IFERROR(AF151*($P151/$AI151),0),100))</f>
        <v>1300</v>
      </c>
      <c r="AZ151" s="1">
        <f ca="1">IF(COUNTIFS($J$7:$J$510,Table7[[#Headers],[Energy User Forecasts]],$C$7:$C$510,$L151)&gt;0,0,MROUND(IFERROR(AG151*($P151/$AI151),0),100))</f>
        <v>2200</v>
      </c>
      <c r="BA151" s="1">
        <f ca="1">IF(COUNTIFS($J$7:$J$510,Table7[[#Headers],[Energy User Regulation]],$C$7:$C$510,$L151)&gt;0,0,MROUND(IFERROR(AH151*($P151/$AI151),0),100))</f>
        <v>500</v>
      </c>
    </row>
    <row r="152" spans="2:53">
      <c r="B152" s="38" t="s">
        <v>2146</v>
      </c>
      <c r="C152" s="38" t="s">
        <v>103</v>
      </c>
      <c r="D152" s="38" t="s">
        <v>2040</v>
      </c>
      <c r="E152" s="38" t="s">
        <v>1799</v>
      </c>
      <c r="F152" s="63">
        <v>6300</v>
      </c>
      <c r="G152" s="38"/>
      <c r="H152" s="38" t="s">
        <v>1702</v>
      </c>
      <c r="I152" s="38" t="s">
        <v>2032</v>
      </c>
      <c r="J152" s="38" t="s">
        <v>20</v>
      </c>
      <c r="L152" s="1" t="str">
        <v>Power Circle Projects Ltd</v>
      </c>
      <c r="M152" s="1" t="str">
        <f t="shared" si="12"/>
        <v>Energy User</v>
      </c>
      <c r="N152" s="109">
        <f t="shared" si="13"/>
        <v>23955</v>
      </c>
      <c r="O152" s="1">
        <f>IFERROR(IF(INDEX(Table3[[Total Spend]:[Total Spend]],MATCH(L152,Table3[[Company name]:[Company name]],0))&gt;N152,INDEX(Table3[[Total Spend]:[Total Spend]],MATCH(L152,Table3[[Company name]:[Company name]])),N152),50000)</f>
        <v>10000</v>
      </c>
      <c r="P152" s="109">
        <f t="shared" si="14"/>
        <v>23955</v>
      </c>
      <c r="Q152" s="103">
        <f t="shared" si="15"/>
        <v>1</v>
      </c>
      <c r="R152" s="1">
        <f ca="1">IFERROR(INDEX(INDIRECT("Table3[Column"&amp;R$9&amp;"]"),MATCH($L152,Table3[[Company name]:[Company name]],0)),0)</f>
        <v>8100</v>
      </c>
      <c r="S152" s="1">
        <f ca="1">IFERROR(INDEX(INDIRECT("Table3[Column"&amp;S$9&amp;"]"),MATCH($L152,Table3[[Company name]:[Company name]],0)),0)</f>
        <v>0</v>
      </c>
      <c r="T152" s="1">
        <f ca="1">IFERROR(INDEX(INDIRECT("Table3[Column"&amp;T$9&amp;"]"),MATCH($L152,Table3[[Company name]:[Company name]],0)),0)</f>
        <v>0</v>
      </c>
      <c r="U152" s="1">
        <f ca="1">IFERROR(INDEX(INDIRECT("Table3[Column"&amp;U$9&amp;"]"),MATCH($L152,Table3[[Company name]:[Company name]],0)),0)</f>
        <v>0</v>
      </c>
      <c r="V152" s="1">
        <f ca="1">IFERROR(INDEX(INDIRECT("Table3[Column"&amp;V$9&amp;"]"),MATCH($L152,Table3[[Company name]:[Company name]],0)),0)</f>
        <v>0</v>
      </c>
      <c r="W152" s="1">
        <f ca="1">IFERROR(INDEX(INDIRECT("Table3[Column"&amp;W$9&amp;"]"),MATCH($L152,Table3[[Company name]:[Company name]],0)),0)</f>
        <v>17100</v>
      </c>
      <c r="X152" s="1">
        <f ca="1">IFERROR(INDEX(INDIRECT("Table3[Column"&amp;X$9&amp;"]"),MATCH($L152,Table3[[Company name]:[Company name]],0)),0)</f>
        <v>15300</v>
      </c>
      <c r="Y152" s="1">
        <f ca="1">IFERROR(INDEX(INDIRECT("Table3[Column"&amp;Y$9&amp;"]"),MATCH($L152,Table3[[Company name]:[Company name]],0)),0)</f>
        <v>42300</v>
      </c>
      <c r="Z152" s="1">
        <f ca="1">IFERROR(INDEX(INDIRECT("Table3[Column"&amp;Z$9&amp;"]"),MATCH($L152,Table3[[Company name]:[Company name]],0)),0)</f>
        <v>18900</v>
      </c>
      <c r="AA152" s="1">
        <f ca="1">IFERROR(INDEX(INDIRECT("Table3[Column"&amp;AA$9&amp;"]"),MATCH($L152,Table3[[Company name]:[Company name]],0)),0)</f>
        <v>0</v>
      </c>
      <c r="AB152" s="1">
        <f ca="1">IFERROR(INDEX(INDIRECT("Table3[Column"&amp;AB$9&amp;"]"),MATCH($L152,Table3[[Company name]:[Company name]],0)),0)</f>
        <v>0</v>
      </c>
      <c r="AC152" s="1">
        <f ca="1">IFERROR(INDEX(INDIRECT("Table3[Column"&amp;AC$9&amp;"]"),MATCH($L152,Table3[[Company name]:[Company name]],0)),0)</f>
        <v>0</v>
      </c>
      <c r="AD152" s="1">
        <f ca="1">IFERROR(INDEX(INDIRECT("Table3[Column"&amp;AD$9&amp;"]"),MATCH($L152,Table3[[Company name]:[Company name]],0)),0)</f>
        <v>0</v>
      </c>
      <c r="AE152" s="1">
        <f ca="1">IFERROR(INDEX(INDIRECT("Table3[Column"&amp;AE$9&amp;"]"),MATCH($L152,Table3[[Company name]:[Company name]],0)),0)</f>
        <v>10800</v>
      </c>
      <c r="AF152" s="1">
        <f ca="1">IFERROR(INDEX(INDIRECT("Table3[Column"&amp;AF$9&amp;"]"),MATCH($L152,Table3[[Company name]:[Company name]],0)),0)</f>
        <v>11250</v>
      </c>
      <c r="AG152" s="1">
        <f ca="1">IFERROR(INDEX(INDIRECT("Table3[Column"&amp;AG$9&amp;"]"),MATCH($L152,Table3[[Company name]:[Company name]],0)),0)</f>
        <v>19800</v>
      </c>
      <c r="AH152" s="1">
        <f ca="1">IFERROR(INDEX(INDIRECT("Table3[Column"&amp;AH$9&amp;"]"),MATCH($L152,Table3[[Company name]:[Company name]],0)),0)</f>
        <v>4500</v>
      </c>
      <c r="AI152" s="1">
        <f t="shared" ca="1" si="16"/>
        <v>148050</v>
      </c>
      <c r="AK152" s="1">
        <f>IF(COUNTIFS($J$7:$J$510,Table7[[#Headers],[Industry Essentials]],$C$7:$C$510,$L152)&gt;0,0,MROUND(R152,100))</f>
        <v>0</v>
      </c>
      <c r="AL152" s="1">
        <f ca="1">IF(COUNTIFS($J$7:$J$510,Table7[[#Headers],[Energy Supply Market Intelligence]],$C$7:$C$510,$L152)&gt;0,0,MROUND(IFERROR(S152*($P152/$AI152),0),100))</f>
        <v>0</v>
      </c>
      <c r="AM152" s="1">
        <f ca="1">IF(COUNTIFS($J$7:$J$510,Table7[[#Headers],[Energy Supply RTM Analysis]],$C$7:$C$510,$L152)&gt;0,0,MROUND(IFERROR(T152*($P152/$AI152),0),100))</f>
        <v>0</v>
      </c>
      <c r="AN152" s="1">
        <f ca="1">IF(COUNTIFS($J$7:$J$510,Table7[[#Headers],[Energy Supply Forecasts]],$C$7:$C$510,$L152)&gt;0,0,MROUND(IFERROR(U152*($P152/$AI152),0),100))</f>
        <v>0</v>
      </c>
      <c r="AO152" s="1">
        <f ca="1">IF(COUNTIFS($J$7:$J$510,Table7[[#Headers],[Energy Supply Regulation]],$C$7:$C$510,$L152)&gt;0,0,MROUND(IFERROR(V152*($P152/$AI152),0),100))</f>
        <v>0</v>
      </c>
      <c r="AP152" s="1">
        <f ca="1">IF(COUNTIFS($J$7:$J$510,Table7[[#Headers],[Renewables Market Intelligence]],$C$7:$C$510,$L152)&gt;0,0,MROUND(IFERROR(W152*($P152/$AI152),0),100))</f>
        <v>2800</v>
      </c>
      <c r="AQ152" s="1">
        <f ca="1">IF(COUNTIFS($J$7:$J$510,Table7[[#Headers],[Renewables RTM Analysis]],$C$7:$C$510,$L152)&gt;0,0,MROUND(IFERROR(X152*($P152/$AI152),0),100))</f>
        <v>2500</v>
      </c>
      <c r="AR152" s="1">
        <f ca="1">IF(COUNTIFS($J$7:$J$510,Table7[[#Headers],[Renewables Forecasts]],$C$7:$C$510,$L152)&gt;0,0,MROUND(IFERROR(Y152*($P152/$AI152),0),100))</f>
        <v>6800</v>
      </c>
      <c r="AS152" s="1">
        <f ca="1">IF(COUNTIFS($J$7:$J$510,Table7[[#Headers],[Renewables Regulation]],$C$7:$C$510,$L152)&gt;0,0,MROUND(IFERROR(Z152*($P152/$AI152),0),100))</f>
        <v>3100</v>
      </c>
      <c r="AT152" s="1">
        <f ca="1">IF(COUNTIFS($J$7:$J$510,Table7[[#Headers],[Flexibility Market Intelligence]],$C$7:$C$510,$L152)&gt;0,0,MROUND(IFERROR(AA152*($P152/$AI152),0),100))</f>
        <v>0</v>
      </c>
      <c r="AU152" s="1">
        <f ca="1">IF(COUNTIFS($J$7:$J$510,Table7[[#Headers],[Flexibility RTM Analysis]],$C$7:$C$510,$L152)&gt;0,0,MROUND(IFERROR(AB152*($P152/$AI152),0),100))</f>
        <v>0</v>
      </c>
      <c r="AV152" s="1">
        <f ca="1">IF(COUNTIFS($J$7:$J$510,Table7[[#Headers],[Flexibility Forecasts]],$C$7:$C$510,$L152)&gt;0,0,MROUND(IFERROR(AC152*($P152/$AI152),0),100))</f>
        <v>0</v>
      </c>
      <c r="AW152" s="1">
        <f ca="1">IF(COUNTIFS($J$7:$J$510,Table7[[#Headers],[Flexibility Regulation]],$C$7:$C$510,$L152)&gt;0,0,MROUND(IFERROR(AD152*($P152/$AI152),0),100))</f>
        <v>0</v>
      </c>
      <c r="AX152" s="1">
        <f ca="1">IF(COUNTIFS($J$7:$J$510,Table7[[#Headers],[Business Energy Essentials]],$C$7:$C$510,$L152)&gt;0,0,MROUND(IFERROR(AE152*($P152/$AI152),0),100))</f>
        <v>1700</v>
      </c>
      <c r="AY152" s="1">
        <f ca="1">IF(COUNTIFS($J$7:$J$510,Table7[[#Headers],[Energy User RTM Analysis]],$C$7:$C$510,$L152)&gt;0,0,MROUND(IFERROR(AF152*($P152/$AI152),0),100))</f>
        <v>1800</v>
      </c>
      <c r="AZ152" s="1">
        <f>IF(COUNTIFS($J$7:$J$510,Table7[[#Headers],[Energy User Forecasts]],$C$7:$C$510,$L152)&gt;0,0,MROUND(IFERROR(AG152*($P152/$AI152),0),100))</f>
        <v>0</v>
      </c>
      <c r="BA152" s="1">
        <f ca="1">IF(COUNTIFS($J$7:$J$510,Table7[[#Headers],[Energy User Regulation]],$C$7:$C$510,$L152)&gt;0,0,MROUND(IFERROR(AH152*($P152/$AI152),0),100))</f>
        <v>700</v>
      </c>
    </row>
    <row r="153" spans="2:53">
      <c r="B153" s="38" t="s">
        <v>2146</v>
      </c>
      <c r="C153" s="38" t="s">
        <v>103</v>
      </c>
      <c r="D153" s="38" t="s">
        <v>2100</v>
      </c>
      <c r="E153" s="38" t="s">
        <v>1904</v>
      </c>
      <c r="F153" s="63">
        <v>26400</v>
      </c>
      <c r="G153" s="38"/>
      <c r="H153" s="38" t="s">
        <v>1702</v>
      </c>
      <c r="I153" s="38" t="s">
        <v>1702</v>
      </c>
      <c r="J153" s="38" t="s">
        <v>25</v>
      </c>
      <c r="L153" s="1" t="str">
        <v>Power NI Energy Limited</v>
      </c>
      <c r="M153" s="1" t="str">
        <f t="shared" si="12"/>
        <v>Supply</v>
      </c>
      <c r="N153" s="109">
        <f t="shared" si="13"/>
        <v>5000</v>
      </c>
      <c r="O153" s="1">
        <f>IFERROR(IF(INDEX(Table3[[Total Spend]:[Total Spend]],MATCH(L153,Table3[[Company name]:[Company name]],0))&gt;N153,INDEX(Table3[[Total Spend]:[Total Spend]],MATCH(L153,Table3[[Company name]:[Company name]])),N153),50000)</f>
        <v>50000</v>
      </c>
      <c r="P153" s="109">
        <f t="shared" si="14"/>
        <v>45000</v>
      </c>
      <c r="Q153" s="103">
        <f t="shared" si="15"/>
        <v>0.1</v>
      </c>
      <c r="R153" s="1">
        <f ca="1">IFERROR(INDEX(INDIRECT("Table3[Column"&amp;R$9&amp;"]"),MATCH($L153,Table3[[Company name]:[Company name]],0)),0)</f>
        <v>0</v>
      </c>
      <c r="S153" s="1">
        <f ca="1">IFERROR(INDEX(INDIRECT("Table3[Column"&amp;S$9&amp;"]"),MATCH($L153,Table3[[Company name]:[Company name]],0)),0)</f>
        <v>0</v>
      </c>
      <c r="T153" s="1">
        <f ca="1">IFERROR(INDEX(INDIRECT("Table3[Column"&amp;T$9&amp;"]"),MATCH($L153,Table3[[Company name]:[Company name]],0)),0)</f>
        <v>0</v>
      </c>
      <c r="U153" s="1">
        <f ca="1">IFERROR(INDEX(INDIRECT("Table3[Column"&amp;U$9&amp;"]"),MATCH($L153,Table3[[Company name]:[Company name]],0)),0)</f>
        <v>0</v>
      </c>
      <c r="V153" s="1">
        <f ca="1">IFERROR(INDEX(INDIRECT("Table3[Column"&amp;V$9&amp;"]"),MATCH($L153,Table3[[Company name]:[Company name]],0)),0)</f>
        <v>0</v>
      </c>
      <c r="W153" s="1">
        <f ca="1">IFERROR(INDEX(INDIRECT("Table3[Column"&amp;W$9&amp;"]"),MATCH($L153,Table3[[Company name]:[Company name]],0)),0)</f>
        <v>0</v>
      </c>
      <c r="X153" s="1">
        <f ca="1">IFERROR(INDEX(INDIRECT("Table3[Column"&amp;X$9&amp;"]"),MATCH($L153,Table3[[Company name]:[Company name]],0)),0)</f>
        <v>0</v>
      </c>
      <c r="Y153" s="1">
        <f ca="1">IFERROR(INDEX(INDIRECT("Table3[Column"&amp;Y$9&amp;"]"),MATCH($L153,Table3[[Company name]:[Company name]],0)),0)</f>
        <v>0</v>
      </c>
      <c r="Z153" s="1">
        <f ca="1">IFERROR(INDEX(INDIRECT("Table3[Column"&amp;Z$9&amp;"]"),MATCH($L153,Table3[[Company name]:[Company name]],0)),0)</f>
        <v>0</v>
      </c>
      <c r="AA153" s="1">
        <f ca="1">IFERROR(INDEX(INDIRECT("Table3[Column"&amp;AA$9&amp;"]"),MATCH($L153,Table3[[Company name]:[Company name]],0)),0)</f>
        <v>0</v>
      </c>
      <c r="AB153" s="1">
        <f ca="1">IFERROR(INDEX(INDIRECT("Table3[Column"&amp;AB$9&amp;"]"),MATCH($L153,Table3[[Company name]:[Company name]],0)),0)</f>
        <v>0</v>
      </c>
      <c r="AC153" s="1">
        <f ca="1">IFERROR(INDEX(INDIRECT("Table3[Column"&amp;AC$9&amp;"]"),MATCH($L153,Table3[[Company name]:[Company name]],0)),0)</f>
        <v>0</v>
      </c>
      <c r="AD153" s="1">
        <f ca="1">IFERROR(INDEX(INDIRECT("Table3[Column"&amp;AD$9&amp;"]"),MATCH($L153,Table3[[Company name]:[Company name]],0)),0)</f>
        <v>0</v>
      </c>
      <c r="AE153" s="1">
        <f ca="1">IFERROR(INDEX(INDIRECT("Table3[Column"&amp;AE$9&amp;"]"),MATCH($L153,Table3[[Company name]:[Company name]],0)),0)</f>
        <v>0</v>
      </c>
      <c r="AF153" s="1">
        <f ca="1">IFERROR(INDEX(INDIRECT("Table3[Column"&amp;AF$9&amp;"]"),MATCH($L153,Table3[[Company name]:[Company name]],0)),0)</f>
        <v>0</v>
      </c>
      <c r="AG153" s="1">
        <f ca="1">IFERROR(INDEX(INDIRECT("Table3[Column"&amp;AG$9&amp;"]"),MATCH($L153,Table3[[Company name]:[Company name]],0)),0)</f>
        <v>0</v>
      </c>
      <c r="AH153" s="1">
        <f ca="1">IFERROR(INDEX(INDIRECT("Table3[Column"&amp;AH$9&amp;"]"),MATCH($L153,Table3[[Company name]:[Company name]],0)),0)</f>
        <v>0</v>
      </c>
      <c r="AI153" s="1">
        <f t="shared" ca="1" si="16"/>
        <v>0</v>
      </c>
      <c r="AK153" s="1">
        <f>IF(COUNTIFS($J$7:$J$510,Table7[[#Headers],[Industry Essentials]],$C$7:$C$510,$L153)&gt;0,0,MROUND(R153,100))</f>
        <v>0</v>
      </c>
      <c r="AL153" s="1">
        <f ca="1">IF(COUNTIFS($J$7:$J$510,Table7[[#Headers],[Energy Supply Market Intelligence]],$C$7:$C$510,$L153)&gt;0,0,MROUND(IFERROR(S153*($P153/$AI153),0),100))</f>
        <v>0</v>
      </c>
      <c r="AM153" s="1">
        <f ca="1">IF(COUNTIFS($J$7:$J$510,Table7[[#Headers],[Energy Supply RTM Analysis]],$C$7:$C$510,$L153)&gt;0,0,MROUND(IFERROR(T153*($P153/$AI153),0),100))</f>
        <v>0</v>
      </c>
      <c r="AN153" s="1">
        <f ca="1">IF(COUNTIFS($J$7:$J$510,Table7[[#Headers],[Energy Supply Forecasts]],$C$7:$C$510,$L153)&gt;0,0,MROUND(IFERROR(U153*($P153/$AI153),0),100))</f>
        <v>0</v>
      </c>
      <c r="AO153" s="1">
        <f ca="1">IF(COUNTIFS($J$7:$J$510,Table7[[#Headers],[Energy Supply Regulation]],$C$7:$C$510,$L153)&gt;0,0,MROUND(IFERROR(V153*($P153/$AI153),0),100))</f>
        <v>0</v>
      </c>
      <c r="AP153" s="1">
        <f ca="1">IF(COUNTIFS($J$7:$J$510,Table7[[#Headers],[Renewables Market Intelligence]],$C$7:$C$510,$L153)&gt;0,0,MROUND(IFERROR(W153*($P153/$AI153),0),100))</f>
        <v>0</v>
      </c>
      <c r="AQ153" s="1">
        <f ca="1">IF(COUNTIFS($J$7:$J$510,Table7[[#Headers],[Renewables RTM Analysis]],$C$7:$C$510,$L153)&gt;0,0,MROUND(IFERROR(X153*($P153/$AI153),0),100))</f>
        <v>0</v>
      </c>
      <c r="AR153" s="1">
        <f ca="1">IF(COUNTIFS($J$7:$J$510,Table7[[#Headers],[Renewables Forecasts]],$C$7:$C$510,$L153)&gt;0,0,MROUND(IFERROR(Y153*($P153/$AI153),0),100))</f>
        <v>0</v>
      </c>
      <c r="AS153" s="1">
        <f ca="1">IF(COUNTIFS($J$7:$J$510,Table7[[#Headers],[Renewables Regulation]],$C$7:$C$510,$L153)&gt;0,0,MROUND(IFERROR(Z153*($P153/$AI153),0),100))</f>
        <v>0</v>
      </c>
      <c r="AT153" s="1">
        <f ca="1">IF(COUNTIFS($J$7:$J$510,Table7[[#Headers],[Flexibility Market Intelligence]],$C$7:$C$510,$L153)&gt;0,0,MROUND(IFERROR(AA153*($P153/$AI153),0),100))</f>
        <v>0</v>
      </c>
      <c r="AU153" s="1">
        <f ca="1">IF(COUNTIFS($J$7:$J$510,Table7[[#Headers],[Flexibility RTM Analysis]],$C$7:$C$510,$L153)&gt;0,0,MROUND(IFERROR(AB153*($P153/$AI153),0),100))</f>
        <v>0</v>
      </c>
      <c r="AV153" s="1">
        <f ca="1">IF(COUNTIFS($J$7:$J$510,Table7[[#Headers],[Flexibility Forecasts]],$C$7:$C$510,$L153)&gt;0,0,MROUND(IFERROR(AC153*($P153/$AI153),0),100))</f>
        <v>0</v>
      </c>
      <c r="AW153" s="1">
        <f ca="1">IF(COUNTIFS($J$7:$J$510,Table7[[#Headers],[Flexibility Regulation]],$C$7:$C$510,$L153)&gt;0,0,MROUND(IFERROR(AD153*($P153/$AI153),0),100))</f>
        <v>0</v>
      </c>
      <c r="AX153" s="1">
        <f ca="1">IF(COUNTIFS($J$7:$J$510,Table7[[#Headers],[Business Energy Essentials]],$C$7:$C$510,$L153)&gt;0,0,MROUND(IFERROR(AE153*($P153/$AI153),0),100))</f>
        <v>0</v>
      </c>
      <c r="AY153" s="1">
        <f ca="1">IF(COUNTIFS($J$7:$J$510,Table7[[#Headers],[Energy User RTM Analysis]],$C$7:$C$510,$L153)&gt;0,0,MROUND(IFERROR(AF153*($P153/$AI153),0),100))</f>
        <v>0</v>
      </c>
      <c r="AZ153" s="1">
        <f ca="1">IF(COUNTIFS($J$7:$J$510,Table7[[#Headers],[Energy User Forecasts]],$C$7:$C$510,$L153)&gt;0,0,MROUND(IFERROR(AG153*($P153/$AI153),0),100))</f>
        <v>0</v>
      </c>
      <c r="BA153" s="1">
        <f ca="1">IF(COUNTIFS($J$7:$J$510,Table7[[#Headers],[Energy User Regulation]],$C$7:$C$510,$L153)&gt;0,0,MROUND(IFERROR(AH153*($P153/$AI153),0),100))</f>
        <v>0</v>
      </c>
    </row>
    <row r="154" spans="2:53">
      <c r="B154" s="38" t="s">
        <v>2146</v>
      </c>
      <c r="C154" s="38" t="s">
        <v>103</v>
      </c>
      <c r="D154" s="38" t="s">
        <v>2044</v>
      </c>
      <c r="E154" s="38" t="s">
        <v>1912</v>
      </c>
      <c r="F154" s="63">
        <v>21000</v>
      </c>
      <c r="G154" s="38"/>
      <c r="H154" s="38" t="s">
        <v>1702</v>
      </c>
      <c r="I154" s="38" t="s">
        <v>1702</v>
      </c>
      <c r="J154" s="38" t="s">
        <v>28</v>
      </c>
      <c r="L154" s="1" t="str">
        <v>PricewaterhouseCoopers LLP</v>
      </c>
      <c r="M154" s="1" t="str">
        <f t="shared" si="12"/>
        <v>Other</v>
      </c>
      <c r="N154" s="109">
        <f t="shared" si="13"/>
        <v>21825</v>
      </c>
      <c r="O154" s="1">
        <f>IFERROR(IF(INDEX(Table3[[Total Spend]:[Total Spend]],MATCH(L154,Table3[[Company name]:[Company name]],0))&gt;N154,INDEX(Table3[[Total Spend]:[Total Spend]],MATCH(L154,Table3[[Company name]:[Company name]])),N154),50000)</f>
        <v>21825</v>
      </c>
      <c r="P154" s="109">
        <f t="shared" si="14"/>
        <v>21825</v>
      </c>
      <c r="Q154" s="103">
        <f t="shared" si="15"/>
        <v>1</v>
      </c>
      <c r="R154" s="1">
        <f ca="1">IFERROR(INDEX(INDIRECT("Table3[Column"&amp;R$9&amp;"]"),MATCH($L154,Table3[[Company name]:[Company name]],0)),0)</f>
        <v>10800</v>
      </c>
      <c r="S154" s="1">
        <f ca="1">IFERROR(INDEX(INDIRECT("Table3[Column"&amp;S$9&amp;"]"),MATCH($L154,Table3[[Company name]:[Company name]],0)),0)</f>
        <v>0</v>
      </c>
      <c r="T154" s="1">
        <f ca="1">IFERROR(INDEX(INDIRECT("Table3[Column"&amp;T$9&amp;"]"),MATCH($L154,Table3[[Company name]:[Company name]],0)),0)</f>
        <v>0</v>
      </c>
      <c r="U154" s="1">
        <f ca="1">IFERROR(INDEX(INDIRECT("Table3[Column"&amp;U$9&amp;"]"),MATCH($L154,Table3[[Company name]:[Company name]],0)),0)</f>
        <v>0</v>
      </c>
      <c r="V154" s="1">
        <f ca="1">IFERROR(INDEX(INDIRECT("Table3[Column"&amp;V$9&amp;"]"),MATCH($L154,Table3[[Company name]:[Company name]],0)),0)</f>
        <v>0</v>
      </c>
      <c r="W154" s="1">
        <f ca="1">IFERROR(INDEX(INDIRECT("Table3[Column"&amp;W$9&amp;"]"),MATCH($L154,Table3[[Company name]:[Company name]],0)),0)</f>
        <v>0</v>
      </c>
      <c r="X154" s="1">
        <f ca="1">IFERROR(INDEX(INDIRECT("Table3[Column"&amp;X$9&amp;"]"),MATCH($L154,Table3[[Company name]:[Company name]],0)),0)</f>
        <v>0</v>
      </c>
      <c r="Y154" s="1">
        <f ca="1">IFERROR(INDEX(INDIRECT("Table3[Column"&amp;Y$9&amp;"]"),MATCH($L154,Table3[[Company name]:[Company name]],0)),0)</f>
        <v>0</v>
      </c>
      <c r="Z154" s="1">
        <f ca="1">IFERROR(INDEX(INDIRECT("Table3[Column"&amp;Z$9&amp;"]"),MATCH($L154,Table3[[Company name]:[Company name]],0)),0)</f>
        <v>0</v>
      </c>
      <c r="AA154" s="1">
        <f ca="1">IFERROR(INDEX(INDIRECT("Table3[Column"&amp;AA$9&amp;"]"),MATCH($L154,Table3[[Company name]:[Company name]],0)),0)</f>
        <v>0</v>
      </c>
      <c r="AB154" s="1">
        <f ca="1">IFERROR(INDEX(INDIRECT("Table3[Column"&amp;AB$9&amp;"]"),MATCH($L154,Table3[[Company name]:[Company name]],0)),0)</f>
        <v>0</v>
      </c>
      <c r="AC154" s="1">
        <f ca="1">IFERROR(INDEX(INDIRECT("Table3[Column"&amp;AC$9&amp;"]"),MATCH($L154,Table3[[Company name]:[Company name]],0)),0)</f>
        <v>0</v>
      </c>
      <c r="AD154" s="1">
        <f ca="1">IFERROR(INDEX(INDIRECT("Table3[Column"&amp;AD$9&amp;"]"),MATCH($L154,Table3[[Company name]:[Company name]],0)),0)</f>
        <v>0</v>
      </c>
      <c r="AE154" s="1">
        <f ca="1">IFERROR(INDEX(INDIRECT("Table3[Column"&amp;AE$9&amp;"]"),MATCH($L154,Table3[[Company name]:[Company name]],0)),0)</f>
        <v>0</v>
      </c>
      <c r="AF154" s="1">
        <f ca="1">IFERROR(INDEX(INDIRECT("Table3[Column"&amp;AF$9&amp;"]"),MATCH($L154,Table3[[Company name]:[Company name]],0)),0)</f>
        <v>0</v>
      </c>
      <c r="AG154" s="1">
        <f ca="1">IFERROR(INDEX(INDIRECT("Table3[Column"&amp;AG$9&amp;"]"),MATCH($L154,Table3[[Company name]:[Company name]],0)),0)</f>
        <v>0</v>
      </c>
      <c r="AH154" s="1">
        <f ca="1">IFERROR(INDEX(INDIRECT("Table3[Column"&amp;AH$9&amp;"]"),MATCH($L154,Table3[[Company name]:[Company name]],0)),0)</f>
        <v>0</v>
      </c>
      <c r="AI154" s="1">
        <f t="shared" ca="1" si="16"/>
        <v>10800</v>
      </c>
      <c r="AK154" s="1">
        <f>IF(COUNTIFS($J$7:$J$510,Table7[[#Headers],[Industry Essentials]],$C$7:$C$510,$L154)&gt;0,0,MROUND(R154,100))</f>
        <v>0</v>
      </c>
      <c r="AL154" s="1">
        <f ca="1">IF(COUNTIFS($J$7:$J$510,Table7[[#Headers],[Energy Supply Market Intelligence]],$C$7:$C$510,$L154)&gt;0,0,MROUND(IFERROR(S154*($P154/$AI154),0),100))</f>
        <v>0</v>
      </c>
      <c r="AM154" s="1">
        <f>IF(COUNTIFS($J$7:$J$510,Table7[[#Headers],[Energy Supply RTM Analysis]],$C$7:$C$510,$L154)&gt;0,0,MROUND(IFERROR(T154*($P154/$AI154),0),100))</f>
        <v>0</v>
      </c>
      <c r="AN154" s="1">
        <f ca="1">IF(COUNTIFS($J$7:$J$510,Table7[[#Headers],[Energy Supply Forecasts]],$C$7:$C$510,$L154)&gt;0,0,MROUND(IFERROR(U154*($P154/$AI154),0),100))</f>
        <v>0</v>
      </c>
      <c r="AO154" s="1">
        <f ca="1">IF(COUNTIFS($J$7:$J$510,Table7[[#Headers],[Energy Supply Regulation]],$C$7:$C$510,$L154)&gt;0,0,MROUND(IFERROR(V154*($P154/$AI154),0),100))</f>
        <v>0</v>
      </c>
      <c r="AP154" s="1">
        <f ca="1">IF(COUNTIFS($J$7:$J$510,Table7[[#Headers],[Renewables Market Intelligence]],$C$7:$C$510,$L154)&gt;0,0,MROUND(IFERROR(W154*($P154/$AI154),0),100))</f>
        <v>0</v>
      </c>
      <c r="AQ154" s="1">
        <f ca="1">IF(COUNTIFS($J$7:$J$510,Table7[[#Headers],[Renewables RTM Analysis]],$C$7:$C$510,$L154)&gt;0,0,MROUND(IFERROR(X154*($P154/$AI154),0),100))</f>
        <v>0</v>
      </c>
      <c r="AR154" s="1">
        <f ca="1">IF(COUNTIFS($J$7:$J$510,Table7[[#Headers],[Renewables Forecasts]],$C$7:$C$510,$L154)&gt;0,0,MROUND(IFERROR(Y154*($P154/$AI154),0),100))</f>
        <v>0</v>
      </c>
      <c r="AS154" s="1">
        <f ca="1">IF(COUNTIFS($J$7:$J$510,Table7[[#Headers],[Renewables Regulation]],$C$7:$C$510,$L154)&gt;0,0,MROUND(IFERROR(Z154*($P154/$AI154),0),100))</f>
        <v>0</v>
      </c>
      <c r="AT154" s="1">
        <f ca="1">IF(COUNTIFS($J$7:$J$510,Table7[[#Headers],[Flexibility Market Intelligence]],$C$7:$C$510,$L154)&gt;0,0,MROUND(IFERROR(AA154*($P154/$AI154),0),100))</f>
        <v>0</v>
      </c>
      <c r="AU154" s="1">
        <f ca="1">IF(COUNTIFS($J$7:$J$510,Table7[[#Headers],[Flexibility RTM Analysis]],$C$7:$C$510,$L154)&gt;0,0,MROUND(IFERROR(AB154*($P154/$AI154),0),100))</f>
        <v>0</v>
      </c>
      <c r="AV154" s="1">
        <f ca="1">IF(COUNTIFS($J$7:$J$510,Table7[[#Headers],[Flexibility Forecasts]],$C$7:$C$510,$L154)&gt;0,0,MROUND(IFERROR(AC154*($P154/$AI154),0),100))</f>
        <v>0</v>
      </c>
      <c r="AW154" s="1">
        <f ca="1">IF(COUNTIFS($J$7:$J$510,Table7[[#Headers],[Flexibility Regulation]],$C$7:$C$510,$L154)&gt;0,0,MROUND(IFERROR(AD154*($P154/$AI154),0),100))</f>
        <v>0</v>
      </c>
      <c r="AX154" s="1">
        <f ca="1">IF(COUNTIFS($J$7:$J$510,Table7[[#Headers],[Business Energy Essentials]],$C$7:$C$510,$L154)&gt;0,0,MROUND(IFERROR(AE154*($P154/$AI154),0),100))</f>
        <v>0</v>
      </c>
      <c r="AY154" s="1">
        <f ca="1">IF(COUNTIFS($J$7:$J$510,Table7[[#Headers],[Energy User RTM Analysis]],$C$7:$C$510,$L154)&gt;0,0,MROUND(IFERROR(AF154*($P154/$AI154),0),100))</f>
        <v>0</v>
      </c>
      <c r="AZ154" s="1">
        <f ca="1">IF(COUNTIFS($J$7:$J$510,Table7[[#Headers],[Energy User Forecasts]],$C$7:$C$510,$L154)&gt;0,0,MROUND(IFERROR(AG154*($P154/$AI154),0),100))</f>
        <v>0</v>
      </c>
      <c r="BA154" s="1">
        <f ca="1">IF(COUNTIFS($J$7:$J$510,Table7[[#Headers],[Energy User Regulation]],$C$7:$C$510,$L154)&gt;0,0,MROUND(IFERROR(AH154*($P154/$AI154),0),100))</f>
        <v>0</v>
      </c>
    </row>
    <row r="155" spans="2:53">
      <c r="B155" s="38" t="s">
        <v>2147</v>
      </c>
      <c r="C155" s="38" t="s">
        <v>157</v>
      </c>
      <c r="D155" s="38" t="s">
        <v>2061</v>
      </c>
      <c r="E155" s="38" t="s">
        <v>1820</v>
      </c>
      <c r="F155" s="63">
        <v>10500</v>
      </c>
      <c r="G155" s="38"/>
      <c r="H155" s="38" t="s">
        <v>1702</v>
      </c>
      <c r="I155" s="38" t="s">
        <v>1702</v>
      </c>
      <c r="J155" s="38" t="s">
        <v>25</v>
      </c>
      <c r="L155" s="1" t="str">
        <v>Pure Energy Professionals</v>
      </c>
      <c r="M155" s="1" t="str">
        <f t="shared" si="12"/>
        <v>Renewables</v>
      </c>
      <c r="N155" s="109">
        <f t="shared" si="13"/>
        <v>3700</v>
      </c>
      <c r="O155" s="1">
        <f>IFERROR(IF(INDEX(Table3[[Total Spend]:[Total Spend]],MATCH(L155,Table3[[Company name]:[Company name]],0))&gt;N155,INDEX(Table3[[Total Spend]:[Total Spend]],MATCH(L155,Table3[[Company name]:[Company name]])),N155),50000)</f>
        <v>10000</v>
      </c>
      <c r="P155" s="109">
        <f t="shared" si="14"/>
        <v>6300</v>
      </c>
      <c r="Q155" s="103">
        <f t="shared" si="15"/>
        <v>0.37</v>
      </c>
      <c r="R155" s="1">
        <f ca="1">IFERROR(INDEX(INDIRECT("Table3[Column"&amp;R$9&amp;"]"),MATCH($L155,Table3[[Company name]:[Company name]],0)),0)</f>
        <v>8100</v>
      </c>
      <c r="S155" s="1">
        <f ca="1">IFERROR(INDEX(INDIRECT("Table3[Column"&amp;S$9&amp;"]"),MATCH($L155,Table3[[Company name]:[Company name]],0)),0)</f>
        <v>0</v>
      </c>
      <c r="T155" s="1">
        <f ca="1">IFERROR(INDEX(INDIRECT("Table3[Column"&amp;T$9&amp;"]"),MATCH($L155,Table3[[Company name]:[Company name]],0)),0)</f>
        <v>0</v>
      </c>
      <c r="U155" s="1">
        <f ca="1">IFERROR(INDEX(INDIRECT("Table3[Column"&amp;U$9&amp;"]"),MATCH($L155,Table3[[Company name]:[Company name]],0)),0)</f>
        <v>0</v>
      </c>
      <c r="V155" s="1">
        <f ca="1">IFERROR(INDEX(INDIRECT("Table3[Column"&amp;V$9&amp;"]"),MATCH($L155,Table3[[Company name]:[Company name]],0)),0)</f>
        <v>0</v>
      </c>
      <c r="W155" s="1">
        <f ca="1">IFERROR(INDEX(INDIRECT("Table3[Column"&amp;W$9&amp;"]"),MATCH($L155,Table3[[Company name]:[Company name]],0)),0)</f>
        <v>17100</v>
      </c>
      <c r="X155" s="1">
        <f ca="1">IFERROR(INDEX(INDIRECT("Table3[Column"&amp;X$9&amp;"]"),MATCH($L155,Table3[[Company name]:[Company name]],0)),0)</f>
        <v>15300</v>
      </c>
      <c r="Y155" s="1">
        <f ca="1">IFERROR(INDEX(INDIRECT("Table3[Column"&amp;Y$9&amp;"]"),MATCH($L155,Table3[[Company name]:[Company name]],0)),0)</f>
        <v>42300</v>
      </c>
      <c r="Z155" s="1">
        <f ca="1">IFERROR(INDEX(INDIRECT("Table3[Column"&amp;Z$9&amp;"]"),MATCH($L155,Table3[[Company name]:[Company name]],0)),0)</f>
        <v>18900</v>
      </c>
      <c r="AA155" s="1">
        <f ca="1">IFERROR(INDEX(INDIRECT("Table3[Column"&amp;AA$9&amp;"]"),MATCH($L155,Table3[[Company name]:[Company name]],0)),0)</f>
        <v>0</v>
      </c>
      <c r="AB155" s="1">
        <f ca="1">IFERROR(INDEX(INDIRECT("Table3[Column"&amp;AB$9&amp;"]"),MATCH($L155,Table3[[Company name]:[Company name]],0)),0)</f>
        <v>0</v>
      </c>
      <c r="AC155" s="1">
        <f ca="1">IFERROR(INDEX(INDIRECT("Table3[Column"&amp;AC$9&amp;"]"),MATCH($L155,Table3[[Company name]:[Company name]],0)),0)</f>
        <v>0</v>
      </c>
      <c r="AD155" s="1">
        <f ca="1">IFERROR(INDEX(INDIRECT("Table3[Column"&amp;AD$9&amp;"]"),MATCH($L155,Table3[[Company name]:[Company name]],0)),0)</f>
        <v>0</v>
      </c>
      <c r="AE155" s="1">
        <f ca="1">IFERROR(INDEX(INDIRECT("Table3[Column"&amp;AE$9&amp;"]"),MATCH($L155,Table3[[Company name]:[Company name]],0)),0)</f>
        <v>0</v>
      </c>
      <c r="AF155" s="1">
        <f ca="1">IFERROR(INDEX(INDIRECT("Table3[Column"&amp;AF$9&amp;"]"),MATCH($L155,Table3[[Company name]:[Company name]],0)),0)</f>
        <v>0</v>
      </c>
      <c r="AG155" s="1">
        <f ca="1">IFERROR(INDEX(INDIRECT("Table3[Column"&amp;AG$9&amp;"]"),MATCH($L155,Table3[[Company name]:[Company name]],0)),0)</f>
        <v>0</v>
      </c>
      <c r="AH155" s="1">
        <f ca="1">IFERROR(INDEX(INDIRECT("Table3[Column"&amp;AH$9&amp;"]"),MATCH($L155,Table3[[Company name]:[Company name]],0)),0)</f>
        <v>0</v>
      </c>
      <c r="AI155" s="1">
        <f t="shared" ca="1" si="16"/>
        <v>101700</v>
      </c>
      <c r="AK155" s="1">
        <f>IF(COUNTIFS($J$7:$J$510,Table7[[#Headers],[Industry Essentials]],$C$7:$C$510,$L155)&gt;0,0,MROUND(R155,100))</f>
        <v>0</v>
      </c>
      <c r="AL155" s="1">
        <f ca="1">IF(COUNTIFS($J$7:$J$510,Table7[[#Headers],[Energy Supply Market Intelligence]],$C$7:$C$510,$L155)&gt;0,0,MROUND(IFERROR(S155*($P155/$AI155),0),100))</f>
        <v>0</v>
      </c>
      <c r="AM155" s="1">
        <f ca="1">IF(COUNTIFS($J$7:$J$510,Table7[[#Headers],[Energy Supply RTM Analysis]],$C$7:$C$510,$L155)&gt;0,0,MROUND(IFERROR(T155*($P155/$AI155),0),100))</f>
        <v>0</v>
      </c>
      <c r="AN155" s="1">
        <f ca="1">IF(COUNTIFS($J$7:$J$510,Table7[[#Headers],[Energy Supply Forecasts]],$C$7:$C$510,$L155)&gt;0,0,MROUND(IFERROR(U155*($P155/$AI155),0),100))</f>
        <v>0</v>
      </c>
      <c r="AO155" s="1">
        <f ca="1">IF(COUNTIFS($J$7:$J$510,Table7[[#Headers],[Energy Supply Regulation]],$C$7:$C$510,$L155)&gt;0,0,MROUND(IFERROR(V155*($P155/$AI155),0),100))</f>
        <v>0</v>
      </c>
      <c r="AP155" s="1">
        <f ca="1">IF(COUNTIFS($J$7:$J$510,Table7[[#Headers],[Renewables Market Intelligence]],$C$7:$C$510,$L155)&gt;0,0,MROUND(IFERROR(W155*($P155/$AI155),0),100))</f>
        <v>1100</v>
      </c>
      <c r="AQ155" s="1">
        <f ca="1">IF(COUNTIFS($J$7:$J$510,Table7[[#Headers],[Renewables RTM Analysis]],$C$7:$C$510,$L155)&gt;0,0,MROUND(IFERROR(X155*($P155/$AI155),0),100))</f>
        <v>900</v>
      </c>
      <c r="AR155" s="1">
        <f ca="1">IF(COUNTIFS($J$7:$J$510,Table7[[#Headers],[Renewables Forecasts]],$C$7:$C$510,$L155)&gt;0,0,MROUND(IFERROR(Y155*($P155/$AI155),0),100))</f>
        <v>2600</v>
      </c>
      <c r="AS155" s="1">
        <f ca="1">IF(COUNTIFS($J$7:$J$510,Table7[[#Headers],[Renewables Regulation]],$C$7:$C$510,$L155)&gt;0,0,MROUND(IFERROR(Z155*($P155/$AI155),0),100))</f>
        <v>1200</v>
      </c>
      <c r="AT155" s="1">
        <f ca="1">IF(COUNTIFS($J$7:$J$510,Table7[[#Headers],[Flexibility Market Intelligence]],$C$7:$C$510,$L155)&gt;0,0,MROUND(IFERROR(AA155*($P155/$AI155),0),100))</f>
        <v>0</v>
      </c>
      <c r="AU155" s="1">
        <f ca="1">IF(COUNTIFS($J$7:$J$510,Table7[[#Headers],[Flexibility RTM Analysis]],$C$7:$C$510,$L155)&gt;0,0,MROUND(IFERROR(AB155*($P155/$AI155),0),100))</f>
        <v>0</v>
      </c>
      <c r="AV155" s="1">
        <f ca="1">IF(COUNTIFS($J$7:$J$510,Table7[[#Headers],[Flexibility Forecasts]],$C$7:$C$510,$L155)&gt;0,0,MROUND(IFERROR(AC155*($P155/$AI155),0),100))</f>
        <v>0</v>
      </c>
      <c r="AW155" s="1">
        <f ca="1">IF(COUNTIFS($J$7:$J$510,Table7[[#Headers],[Flexibility Regulation]],$C$7:$C$510,$L155)&gt;0,0,MROUND(IFERROR(AD155*($P155/$AI155),0),100))</f>
        <v>0</v>
      </c>
      <c r="AX155" s="1">
        <f ca="1">IF(COUNTIFS($J$7:$J$510,Table7[[#Headers],[Business Energy Essentials]],$C$7:$C$510,$L155)&gt;0,0,MROUND(IFERROR(AE155*($P155/$AI155),0),100))</f>
        <v>0</v>
      </c>
      <c r="AY155" s="1">
        <f ca="1">IF(COUNTIFS($J$7:$J$510,Table7[[#Headers],[Energy User RTM Analysis]],$C$7:$C$510,$L155)&gt;0,0,MROUND(IFERROR(AF155*($P155/$AI155),0),100))</f>
        <v>0</v>
      </c>
      <c r="AZ155" s="1">
        <f ca="1">IF(COUNTIFS($J$7:$J$510,Table7[[#Headers],[Energy User Forecasts]],$C$7:$C$510,$L155)&gt;0,0,MROUND(IFERROR(AG155*($P155/$AI155),0),100))</f>
        <v>0</v>
      </c>
      <c r="BA155" s="1">
        <f ca="1">IF(COUNTIFS($J$7:$J$510,Table7[[#Headers],[Energy User Regulation]],$C$7:$C$510,$L155)&gt;0,0,MROUND(IFERROR(AH155*($P155/$AI155),0),100))</f>
        <v>0</v>
      </c>
    </row>
    <row r="156" spans="2:53">
      <c r="B156" s="38" t="s">
        <v>2148</v>
      </c>
      <c r="C156" s="38" t="s">
        <v>974</v>
      </c>
      <c r="D156" s="38" t="s">
        <v>2035</v>
      </c>
      <c r="E156" s="38" t="s">
        <v>1855</v>
      </c>
      <c r="F156" s="63">
        <v>9568</v>
      </c>
      <c r="G156" s="38"/>
      <c r="H156" s="38" t="s">
        <v>1702</v>
      </c>
      <c r="I156" s="38" t="s">
        <v>2032</v>
      </c>
      <c r="J156" s="38" t="s">
        <v>20</v>
      </c>
      <c r="L156" s="1" t="str">
        <v>PX Group Ltd</v>
      </c>
      <c r="M156" s="1" t="str">
        <f t="shared" si="12"/>
        <v>Supply</v>
      </c>
      <c r="N156" s="109">
        <f t="shared" si="13"/>
        <v>2950</v>
      </c>
      <c r="O156" s="1">
        <f>IFERROR(IF(INDEX(Table3[[Total Spend]:[Total Spend]],MATCH(L156,Table3[[Company name]:[Company name]],0))&gt;N156,INDEX(Table3[[Total Spend]:[Total Spend]],MATCH(L156,Table3[[Company name]:[Company name]])),N156),50000)</f>
        <v>10000</v>
      </c>
      <c r="P156" s="109">
        <f t="shared" si="14"/>
        <v>7050</v>
      </c>
      <c r="Q156" s="103">
        <f t="shared" si="15"/>
        <v>0.29499999999999998</v>
      </c>
      <c r="R156" s="1">
        <f ca="1">IFERROR(INDEX(INDIRECT("Table3[Column"&amp;R$9&amp;"]"),MATCH($L156,Table3[[Company name]:[Company name]],0)),0)</f>
        <v>8100</v>
      </c>
      <c r="S156" s="1">
        <f ca="1">IFERROR(INDEX(INDIRECT("Table3[Column"&amp;S$9&amp;"]"),MATCH($L156,Table3[[Company name]:[Company name]],0)),0)</f>
        <v>30600</v>
      </c>
      <c r="T156" s="1">
        <f ca="1">IFERROR(INDEX(INDIRECT("Table3[Column"&amp;T$9&amp;"]"),MATCH($L156,Table3[[Company name]:[Company name]],0)),0)</f>
        <v>53100</v>
      </c>
      <c r="U156" s="1">
        <f ca="1">IFERROR(INDEX(INDIRECT("Table3[Column"&amp;U$9&amp;"]"),MATCH($L156,Table3[[Company name]:[Company name]],0)),0)</f>
        <v>34200</v>
      </c>
      <c r="V156" s="1">
        <f ca="1">IFERROR(INDEX(INDIRECT("Table3[Column"&amp;V$9&amp;"]"),MATCH($L156,Table3[[Company name]:[Company name]],0)),0)</f>
        <v>39600</v>
      </c>
      <c r="W156" s="1">
        <f ca="1">IFERROR(INDEX(INDIRECT("Table3[Column"&amp;W$9&amp;"]"),MATCH($L156,Table3[[Company name]:[Company name]],0)),0)</f>
        <v>0</v>
      </c>
      <c r="X156" s="1">
        <f ca="1">IFERROR(INDEX(INDIRECT("Table3[Column"&amp;X$9&amp;"]"),MATCH($L156,Table3[[Company name]:[Company name]],0)),0)</f>
        <v>0</v>
      </c>
      <c r="Y156" s="1">
        <f ca="1">IFERROR(INDEX(INDIRECT("Table3[Column"&amp;Y$9&amp;"]"),MATCH($L156,Table3[[Company name]:[Company name]],0)),0)</f>
        <v>0</v>
      </c>
      <c r="Z156" s="1">
        <f ca="1">IFERROR(INDEX(INDIRECT("Table3[Column"&amp;Z$9&amp;"]"),MATCH($L156,Table3[[Company name]:[Company name]],0)),0)</f>
        <v>0</v>
      </c>
      <c r="AA156" s="1">
        <f ca="1">IFERROR(INDEX(INDIRECT("Table3[Column"&amp;AA$9&amp;"]"),MATCH($L156,Table3[[Company name]:[Company name]],0)),0)</f>
        <v>21600</v>
      </c>
      <c r="AB156" s="1">
        <f ca="1">IFERROR(INDEX(INDIRECT("Table3[Column"&amp;AB$9&amp;"]"),MATCH($L156,Table3[[Company name]:[Company name]],0)),0)</f>
        <v>0</v>
      </c>
      <c r="AC156" s="1">
        <f ca="1">IFERROR(INDEX(INDIRECT("Table3[Column"&amp;AC$9&amp;"]"),MATCH($L156,Table3[[Company name]:[Company name]],0)),0)</f>
        <v>0</v>
      </c>
      <c r="AD156" s="1">
        <f ca="1">IFERROR(INDEX(INDIRECT("Table3[Column"&amp;AD$9&amp;"]"),MATCH($L156,Table3[[Company name]:[Company name]],0)),0)</f>
        <v>0</v>
      </c>
      <c r="AE156" s="1">
        <f ca="1">IFERROR(INDEX(INDIRECT("Table3[Column"&amp;AE$9&amp;"]"),MATCH($L156,Table3[[Company name]:[Company name]],0)),0)</f>
        <v>0</v>
      </c>
      <c r="AF156" s="1">
        <f ca="1">IFERROR(INDEX(INDIRECT("Table3[Column"&amp;AF$9&amp;"]"),MATCH($L156,Table3[[Company name]:[Company name]],0)),0)</f>
        <v>0</v>
      </c>
      <c r="AG156" s="1">
        <f ca="1">IFERROR(INDEX(INDIRECT("Table3[Column"&amp;AG$9&amp;"]"),MATCH($L156,Table3[[Company name]:[Company name]],0)),0)</f>
        <v>0</v>
      </c>
      <c r="AH156" s="1">
        <f ca="1">IFERROR(INDEX(INDIRECT("Table3[Column"&amp;AH$9&amp;"]"),MATCH($L156,Table3[[Company name]:[Company name]],0)),0)</f>
        <v>0</v>
      </c>
      <c r="AI156" s="1">
        <f t="shared" ca="1" si="16"/>
        <v>187200</v>
      </c>
      <c r="AK156" s="1">
        <f>IF(COUNTIFS($J$7:$J$510,Table7[[#Headers],[Industry Essentials]],$C$7:$C$510,$L156)&gt;0,0,MROUND(R156,100))</f>
        <v>0</v>
      </c>
      <c r="AL156" s="1">
        <f ca="1">IF(COUNTIFS($J$7:$J$510,Table7[[#Headers],[Energy Supply Market Intelligence]],$C$7:$C$510,$L156)&gt;0,0,MROUND(IFERROR(S156*($P156/$AI156),0),100))</f>
        <v>1200</v>
      </c>
      <c r="AM156" s="1">
        <f ca="1">IF(COUNTIFS($J$7:$J$510,Table7[[#Headers],[Energy Supply RTM Analysis]],$C$7:$C$510,$L156)&gt;0,0,MROUND(IFERROR(T156*($P156/$AI156),0),100))</f>
        <v>2000</v>
      </c>
      <c r="AN156" s="1">
        <f ca="1">IF(COUNTIFS($J$7:$J$510,Table7[[#Headers],[Energy Supply Forecasts]],$C$7:$C$510,$L156)&gt;0,0,MROUND(IFERROR(U156*($P156/$AI156),0),100))</f>
        <v>1300</v>
      </c>
      <c r="AO156" s="1">
        <f ca="1">IF(COUNTIFS($J$7:$J$510,Table7[[#Headers],[Energy Supply Regulation]],$C$7:$C$510,$L156)&gt;0,0,MROUND(IFERROR(V156*($P156/$AI156),0),100))</f>
        <v>1500</v>
      </c>
      <c r="AP156" s="1">
        <f ca="1">IF(COUNTIFS($J$7:$J$510,Table7[[#Headers],[Renewables Market Intelligence]],$C$7:$C$510,$L156)&gt;0,0,MROUND(IFERROR(W156*($P156/$AI156),0),100))</f>
        <v>0</v>
      </c>
      <c r="AQ156" s="1">
        <f ca="1">IF(COUNTIFS($J$7:$J$510,Table7[[#Headers],[Renewables RTM Analysis]],$C$7:$C$510,$L156)&gt;0,0,MROUND(IFERROR(X156*($P156/$AI156),0),100))</f>
        <v>0</v>
      </c>
      <c r="AR156" s="1">
        <f ca="1">IF(COUNTIFS($J$7:$J$510,Table7[[#Headers],[Renewables Forecasts]],$C$7:$C$510,$L156)&gt;0,0,MROUND(IFERROR(Y156*($P156/$AI156),0),100))</f>
        <v>0</v>
      </c>
      <c r="AS156" s="1">
        <f ca="1">IF(COUNTIFS($J$7:$J$510,Table7[[#Headers],[Renewables Regulation]],$C$7:$C$510,$L156)&gt;0,0,MROUND(IFERROR(Z156*($P156/$AI156),0),100))</f>
        <v>0</v>
      </c>
      <c r="AT156" s="1">
        <f ca="1">IF(COUNTIFS($J$7:$J$510,Table7[[#Headers],[Flexibility Market Intelligence]],$C$7:$C$510,$L156)&gt;0,0,MROUND(IFERROR(AA156*($P156/$AI156),0),100))</f>
        <v>800</v>
      </c>
      <c r="AU156" s="1">
        <f ca="1">IF(COUNTIFS($J$7:$J$510,Table7[[#Headers],[Flexibility RTM Analysis]],$C$7:$C$510,$L156)&gt;0,0,MROUND(IFERROR(AB156*($P156/$AI156),0),100))</f>
        <v>0</v>
      </c>
      <c r="AV156" s="1">
        <f ca="1">IF(COUNTIFS($J$7:$J$510,Table7[[#Headers],[Flexibility Forecasts]],$C$7:$C$510,$L156)&gt;0,0,MROUND(IFERROR(AC156*($P156/$AI156),0),100))</f>
        <v>0</v>
      </c>
      <c r="AW156" s="1">
        <f ca="1">IF(COUNTIFS($J$7:$J$510,Table7[[#Headers],[Flexibility Regulation]],$C$7:$C$510,$L156)&gt;0,0,MROUND(IFERROR(AD156*($P156/$AI156),0),100))</f>
        <v>0</v>
      </c>
      <c r="AX156" s="1">
        <f ca="1">IF(COUNTIFS($J$7:$J$510,Table7[[#Headers],[Business Energy Essentials]],$C$7:$C$510,$L156)&gt;0,0,MROUND(IFERROR(AE156*($P156/$AI156),0),100))</f>
        <v>0</v>
      </c>
      <c r="AY156" s="1">
        <f ca="1">IF(COUNTIFS($J$7:$J$510,Table7[[#Headers],[Energy User RTM Analysis]],$C$7:$C$510,$L156)&gt;0,0,MROUND(IFERROR(AF156*($P156/$AI156),0),100))</f>
        <v>0</v>
      </c>
      <c r="AZ156" s="1">
        <f ca="1">IF(COUNTIFS($J$7:$J$510,Table7[[#Headers],[Energy User Forecasts]],$C$7:$C$510,$L156)&gt;0,0,MROUND(IFERROR(AG156*($P156/$AI156),0),100))</f>
        <v>0</v>
      </c>
      <c r="BA156" s="1">
        <f ca="1">IF(COUNTIFS($J$7:$J$510,Table7[[#Headers],[Energy User Regulation]],$C$7:$C$510,$L156)&gt;0,0,MROUND(IFERROR(AH156*($P156/$AI156),0),100))</f>
        <v>0</v>
      </c>
    </row>
    <row r="157" spans="2:53">
      <c r="B157" s="38" t="s">
        <v>2148</v>
      </c>
      <c r="C157" s="38" t="s">
        <v>974</v>
      </c>
      <c r="D157" s="38" t="s">
        <v>2136</v>
      </c>
      <c r="E157" s="38" t="e">
        <v>#N/A</v>
      </c>
      <c r="F157" s="63">
        <v>4932</v>
      </c>
      <c r="G157" s="38"/>
      <c r="H157" s="38" t="s">
        <v>2032</v>
      </c>
      <c r="I157" s="38" t="s">
        <v>2032</v>
      </c>
      <c r="J157" s="38" t="s">
        <v>20</v>
      </c>
      <c r="L157" s="1" t="str">
        <v>Retail Energy Code Company Limited</v>
      </c>
      <c r="M157" s="1" t="str">
        <f t="shared" si="12"/>
        <v>Supply</v>
      </c>
      <c r="N157" s="109">
        <f t="shared" si="13"/>
        <v>4750</v>
      </c>
      <c r="O157" s="1">
        <f>IFERROR(IF(INDEX(Table3[[Total Spend]:[Total Spend]],MATCH(L157,Table3[[Company name]:[Company name]],0))&gt;N157,INDEX(Table3[[Total Spend]:[Total Spend]],MATCH(L157,Table3[[Company name]:[Company name]])),N157),50000)</f>
        <v>10000</v>
      </c>
      <c r="P157" s="109">
        <f t="shared" si="14"/>
        <v>5250</v>
      </c>
      <c r="Q157" s="103">
        <f t="shared" si="15"/>
        <v>0.47499999999999998</v>
      </c>
      <c r="R157" s="1">
        <f ca="1">IFERROR(INDEX(INDIRECT("Table3[Column"&amp;R$9&amp;"]"),MATCH($L157,Table3[[Company name]:[Company name]],0)),0)</f>
        <v>8100</v>
      </c>
      <c r="S157" s="1">
        <f ca="1">IFERROR(INDEX(INDIRECT("Table3[Column"&amp;S$9&amp;"]"),MATCH($L157,Table3[[Company name]:[Company name]],0)),0)</f>
        <v>0</v>
      </c>
      <c r="T157" s="1">
        <f ca="1">IFERROR(INDEX(INDIRECT("Table3[Column"&amp;T$9&amp;"]"),MATCH($L157,Table3[[Company name]:[Company name]],0)),0)</f>
        <v>0</v>
      </c>
      <c r="U157" s="1">
        <f ca="1">IFERROR(INDEX(INDIRECT("Table3[Column"&amp;U$9&amp;"]"),MATCH($L157,Table3[[Company name]:[Company name]],0)),0)</f>
        <v>0</v>
      </c>
      <c r="V157" s="1">
        <f ca="1">IFERROR(INDEX(INDIRECT("Table3[Column"&amp;V$9&amp;"]"),MATCH($L157,Table3[[Company name]:[Company name]],0)),0)</f>
        <v>0</v>
      </c>
      <c r="W157" s="1">
        <f ca="1">IFERROR(INDEX(INDIRECT("Table3[Column"&amp;W$9&amp;"]"),MATCH($L157,Table3[[Company name]:[Company name]],0)),0)</f>
        <v>0</v>
      </c>
      <c r="X157" s="1">
        <f ca="1">IFERROR(INDEX(INDIRECT("Table3[Column"&amp;X$9&amp;"]"),MATCH($L157,Table3[[Company name]:[Company name]],0)),0)</f>
        <v>0</v>
      </c>
      <c r="Y157" s="1">
        <f ca="1">IFERROR(INDEX(INDIRECT("Table3[Column"&amp;Y$9&amp;"]"),MATCH($L157,Table3[[Company name]:[Company name]],0)),0)</f>
        <v>0</v>
      </c>
      <c r="Z157" s="1">
        <f ca="1">IFERROR(INDEX(INDIRECT("Table3[Column"&amp;Z$9&amp;"]"),MATCH($L157,Table3[[Company name]:[Company name]],0)),0)</f>
        <v>0</v>
      </c>
      <c r="AA157" s="1">
        <f ca="1">IFERROR(INDEX(INDIRECT("Table3[Column"&amp;AA$9&amp;"]"),MATCH($L157,Table3[[Company name]:[Company name]],0)),0)</f>
        <v>0</v>
      </c>
      <c r="AB157" s="1">
        <f ca="1">IFERROR(INDEX(INDIRECT("Table3[Column"&amp;AB$9&amp;"]"),MATCH($L157,Table3[[Company name]:[Company name]],0)),0)</f>
        <v>0</v>
      </c>
      <c r="AC157" s="1">
        <f ca="1">IFERROR(INDEX(INDIRECT("Table3[Column"&amp;AC$9&amp;"]"),MATCH($L157,Table3[[Company name]:[Company name]],0)),0)</f>
        <v>0</v>
      </c>
      <c r="AD157" s="1">
        <f ca="1">IFERROR(INDEX(INDIRECT("Table3[Column"&amp;AD$9&amp;"]"),MATCH($L157,Table3[[Company name]:[Company name]],0)),0)</f>
        <v>0</v>
      </c>
      <c r="AE157" s="1">
        <f ca="1">IFERROR(INDEX(INDIRECT("Table3[Column"&amp;AE$9&amp;"]"),MATCH($L157,Table3[[Company name]:[Company name]],0)),0)</f>
        <v>0</v>
      </c>
      <c r="AF157" s="1">
        <f ca="1">IFERROR(INDEX(INDIRECT("Table3[Column"&amp;AF$9&amp;"]"),MATCH($L157,Table3[[Company name]:[Company name]],0)),0)</f>
        <v>0</v>
      </c>
      <c r="AG157" s="1">
        <f ca="1">IFERROR(INDEX(INDIRECT("Table3[Column"&amp;AG$9&amp;"]"),MATCH($L157,Table3[[Company name]:[Company name]],0)),0)</f>
        <v>0</v>
      </c>
      <c r="AH157" s="1">
        <f ca="1">IFERROR(INDEX(INDIRECT("Table3[Column"&amp;AH$9&amp;"]"),MATCH($L157,Table3[[Company name]:[Company name]],0)),0)</f>
        <v>0</v>
      </c>
      <c r="AI157" s="1">
        <f t="shared" ca="1" si="16"/>
        <v>8100</v>
      </c>
      <c r="AK157" s="1">
        <f>IF(COUNTIFS($J$7:$J$510,Table7[[#Headers],[Industry Essentials]],$C$7:$C$510,$L157)&gt;0,0,MROUND(R157,100))</f>
        <v>0</v>
      </c>
      <c r="AL157" s="1">
        <f ca="1">IF(COUNTIFS($J$7:$J$510,Table7[[#Headers],[Energy Supply Market Intelligence]],$C$7:$C$510,$L157)&gt;0,0,MROUND(IFERROR(S157*($P157/$AI157),0),100))</f>
        <v>0</v>
      </c>
      <c r="AM157" s="1">
        <f ca="1">IF(COUNTIFS($J$7:$J$510,Table7[[#Headers],[Energy Supply RTM Analysis]],$C$7:$C$510,$L157)&gt;0,0,MROUND(IFERROR(T157*($P157/$AI157),0),100))</f>
        <v>0</v>
      </c>
      <c r="AN157" s="1">
        <f ca="1">IF(COUNTIFS($J$7:$J$510,Table7[[#Headers],[Energy Supply Forecasts]],$C$7:$C$510,$L157)&gt;0,0,MROUND(IFERROR(U157*($P157/$AI157),0),100))</f>
        <v>0</v>
      </c>
      <c r="AO157" s="1">
        <f ca="1">IF(COUNTIFS($J$7:$J$510,Table7[[#Headers],[Energy Supply Regulation]],$C$7:$C$510,$L157)&gt;0,0,MROUND(IFERROR(V157*($P157/$AI157),0),100))</f>
        <v>0</v>
      </c>
      <c r="AP157" s="1">
        <f ca="1">IF(COUNTIFS($J$7:$J$510,Table7[[#Headers],[Renewables Market Intelligence]],$C$7:$C$510,$L157)&gt;0,0,MROUND(IFERROR(W157*($P157/$AI157),0),100))</f>
        <v>0</v>
      </c>
      <c r="AQ157" s="1">
        <f ca="1">IF(COUNTIFS($J$7:$J$510,Table7[[#Headers],[Renewables RTM Analysis]],$C$7:$C$510,$L157)&gt;0,0,MROUND(IFERROR(X157*($P157/$AI157),0),100))</f>
        <v>0</v>
      </c>
      <c r="AR157" s="1">
        <f ca="1">IF(COUNTIFS($J$7:$J$510,Table7[[#Headers],[Renewables Forecasts]],$C$7:$C$510,$L157)&gt;0,0,MROUND(IFERROR(Y157*($P157/$AI157),0),100))</f>
        <v>0</v>
      </c>
      <c r="AS157" s="1">
        <f ca="1">IF(COUNTIFS($J$7:$J$510,Table7[[#Headers],[Renewables Regulation]],$C$7:$C$510,$L157)&gt;0,0,MROUND(IFERROR(Z157*($P157/$AI157),0),100))</f>
        <v>0</v>
      </c>
      <c r="AT157" s="1">
        <f ca="1">IF(COUNTIFS($J$7:$J$510,Table7[[#Headers],[Flexibility Market Intelligence]],$C$7:$C$510,$L157)&gt;0,0,MROUND(IFERROR(AA157*($P157/$AI157),0),100))</f>
        <v>0</v>
      </c>
      <c r="AU157" s="1">
        <f ca="1">IF(COUNTIFS($J$7:$J$510,Table7[[#Headers],[Flexibility RTM Analysis]],$C$7:$C$510,$L157)&gt;0,0,MROUND(IFERROR(AB157*($P157/$AI157),0),100))</f>
        <v>0</v>
      </c>
      <c r="AV157" s="1">
        <f ca="1">IF(COUNTIFS($J$7:$J$510,Table7[[#Headers],[Flexibility Forecasts]],$C$7:$C$510,$L157)&gt;0,0,MROUND(IFERROR(AC157*($P157/$AI157),0),100))</f>
        <v>0</v>
      </c>
      <c r="AW157" s="1">
        <f ca="1">IF(COUNTIFS($J$7:$J$510,Table7[[#Headers],[Flexibility Regulation]],$C$7:$C$510,$L157)&gt;0,0,MROUND(IFERROR(AD157*($P157/$AI157),0),100))</f>
        <v>0</v>
      </c>
      <c r="AX157" s="1">
        <f ca="1">IF(COUNTIFS($J$7:$J$510,Table7[[#Headers],[Business Energy Essentials]],$C$7:$C$510,$L157)&gt;0,0,MROUND(IFERROR(AE157*($P157/$AI157),0),100))</f>
        <v>0</v>
      </c>
      <c r="AY157" s="1">
        <f ca="1">IF(COUNTIFS($J$7:$J$510,Table7[[#Headers],[Energy User RTM Analysis]],$C$7:$C$510,$L157)&gt;0,0,MROUND(IFERROR(AF157*($P157/$AI157),0),100))</f>
        <v>0</v>
      </c>
      <c r="AZ157" s="1">
        <f ca="1">IF(COUNTIFS($J$7:$J$510,Table7[[#Headers],[Energy User Forecasts]],$C$7:$C$510,$L157)&gt;0,0,MROUND(IFERROR(AG157*($P157/$AI157),0),100))</f>
        <v>0</v>
      </c>
      <c r="BA157" s="1">
        <f ca="1">IF(COUNTIFS($J$7:$J$510,Table7[[#Headers],[Energy User Regulation]],$C$7:$C$510,$L157)&gt;0,0,MROUND(IFERROR(AH157*($P157/$AI157),0),100))</f>
        <v>0</v>
      </c>
    </row>
    <row r="158" spans="2:53">
      <c r="B158" s="38" t="s">
        <v>2148</v>
      </c>
      <c r="C158" s="38" t="s">
        <v>974</v>
      </c>
      <c r="D158" s="38" t="s">
        <v>2086</v>
      </c>
      <c r="E158" s="38" t="s">
        <v>1843</v>
      </c>
      <c r="F158" s="63">
        <v>17500</v>
      </c>
      <c r="G158" s="38"/>
      <c r="H158" s="38" t="s">
        <v>2032</v>
      </c>
      <c r="I158" s="38" t="s">
        <v>2031</v>
      </c>
      <c r="J158" s="38" t="s">
        <v>22</v>
      </c>
      <c r="L158" s="1" t="str">
        <v>Reventus Power Ltd</v>
      </c>
      <c r="M158" s="1" t="str">
        <f t="shared" si="12"/>
        <v>Supply</v>
      </c>
      <c r="N158" s="109">
        <f t="shared" si="13"/>
        <v>11000</v>
      </c>
      <c r="O158" s="1">
        <f>IFERROR(IF(INDEX(Table3[[Total Spend]:[Total Spend]],MATCH(L158,Table3[[Company name]:[Company name]],0))&gt;N158,INDEX(Table3[[Total Spend]:[Total Spend]],MATCH(L158,Table3[[Company name]:[Company name]])),N158),50000)</f>
        <v>10000</v>
      </c>
      <c r="P158" s="109">
        <f t="shared" si="14"/>
        <v>11000</v>
      </c>
      <c r="Q158" s="103">
        <f t="shared" si="15"/>
        <v>1</v>
      </c>
      <c r="R158" s="1">
        <f ca="1">IFERROR(INDEX(INDIRECT("Table3[Column"&amp;R$9&amp;"]"),MATCH($L158,Table3[[Company name]:[Company name]],0)),0)</f>
        <v>8100</v>
      </c>
      <c r="S158" s="1">
        <f ca="1">IFERROR(INDEX(INDIRECT("Table3[Column"&amp;S$9&amp;"]"),MATCH($L158,Table3[[Company name]:[Company name]],0)),0)</f>
        <v>0</v>
      </c>
      <c r="T158" s="1">
        <f ca="1">IFERROR(INDEX(INDIRECT("Table3[Column"&amp;T$9&amp;"]"),MATCH($L158,Table3[[Company name]:[Company name]],0)),0)</f>
        <v>0</v>
      </c>
      <c r="U158" s="1">
        <f ca="1">IFERROR(INDEX(INDIRECT("Table3[Column"&amp;U$9&amp;"]"),MATCH($L158,Table3[[Company name]:[Company name]],0)),0)</f>
        <v>0</v>
      </c>
      <c r="V158" s="1">
        <f ca="1">IFERROR(INDEX(INDIRECT("Table3[Column"&amp;V$9&amp;"]"),MATCH($L158,Table3[[Company name]:[Company name]],0)),0)</f>
        <v>0</v>
      </c>
      <c r="W158" s="1">
        <f ca="1">IFERROR(INDEX(INDIRECT("Table3[Column"&amp;W$9&amp;"]"),MATCH($L158,Table3[[Company name]:[Company name]],0)),0)</f>
        <v>17100</v>
      </c>
      <c r="X158" s="1">
        <f ca="1">IFERROR(INDEX(INDIRECT("Table3[Column"&amp;X$9&amp;"]"),MATCH($L158,Table3[[Company name]:[Company name]],0)),0)</f>
        <v>15300</v>
      </c>
      <c r="Y158" s="1">
        <f ca="1">IFERROR(INDEX(INDIRECT("Table3[Column"&amp;Y$9&amp;"]"),MATCH($L158,Table3[[Company name]:[Company name]],0)),0)</f>
        <v>42300</v>
      </c>
      <c r="Z158" s="1">
        <f ca="1">IFERROR(INDEX(INDIRECT("Table3[Column"&amp;Z$9&amp;"]"),MATCH($L158,Table3[[Company name]:[Company name]],0)),0)</f>
        <v>18900</v>
      </c>
      <c r="AA158" s="1">
        <f ca="1">IFERROR(INDEX(INDIRECT("Table3[Column"&amp;AA$9&amp;"]"),MATCH($L158,Table3[[Company name]:[Company name]],0)),0)</f>
        <v>0</v>
      </c>
      <c r="AB158" s="1">
        <f ca="1">IFERROR(INDEX(INDIRECT("Table3[Column"&amp;AB$9&amp;"]"),MATCH($L158,Table3[[Company name]:[Company name]],0)),0)</f>
        <v>0</v>
      </c>
      <c r="AC158" s="1">
        <f ca="1">IFERROR(INDEX(INDIRECT("Table3[Column"&amp;AC$9&amp;"]"),MATCH($L158,Table3[[Company name]:[Company name]],0)),0)</f>
        <v>0</v>
      </c>
      <c r="AD158" s="1">
        <f ca="1">IFERROR(INDEX(INDIRECT("Table3[Column"&amp;AD$9&amp;"]"),MATCH($L158,Table3[[Company name]:[Company name]],0)),0)</f>
        <v>0</v>
      </c>
      <c r="AE158" s="1">
        <f ca="1">IFERROR(INDEX(INDIRECT("Table3[Column"&amp;AE$9&amp;"]"),MATCH($L158,Table3[[Company name]:[Company name]],0)),0)</f>
        <v>0</v>
      </c>
      <c r="AF158" s="1">
        <f ca="1">IFERROR(INDEX(INDIRECT("Table3[Column"&amp;AF$9&amp;"]"),MATCH($L158,Table3[[Company name]:[Company name]],0)),0)</f>
        <v>0</v>
      </c>
      <c r="AG158" s="1">
        <f ca="1">IFERROR(INDEX(INDIRECT("Table3[Column"&amp;AG$9&amp;"]"),MATCH($L158,Table3[[Company name]:[Company name]],0)),0)</f>
        <v>0</v>
      </c>
      <c r="AH158" s="1">
        <f ca="1">IFERROR(INDEX(INDIRECT("Table3[Column"&amp;AH$9&amp;"]"),MATCH($L158,Table3[[Company name]:[Company name]],0)),0)</f>
        <v>0</v>
      </c>
      <c r="AI158" s="1">
        <f t="shared" ca="1" si="16"/>
        <v>101700</v>
      </c>
      <c r="AK158" s="1">
        <f ca="1">IF(COUNTIFS($J$7:$J$510,Table7[[#Headers],[Industry Essentials]],$C$7:$C$510,$L158)&gt;0,0,MROUND(R158,100))</f>
        <v>8100</v>
      </c>
      <c r="AL158" s="1">
        <f ca="1">IF(COUNTIFS($J$7:$J$510,Table7[[#Headers],[Energy Supply Market Intelligence]],$C$7:$C$510,$L158)&gt;0,0,MROUND(IFERROR(S158*($P158/$AI158),0),100))</f>
        <v>0</v>
      </c>
      <c r="AM158" s="1">
        <f ca="1">IF(COUNTIFS($J$7:$J$510,Table7[[#Headers],[Energy Supply RTM Analysis]],$C$7:$C$510,$L158)&gt;0,0,MROUND(IFERROR(T158*($P158/$AI158),0),100))</f>
        <v>0</v>
      </c>
      <c r="AN158" s="1">
        <f ca="1">IF(COUNTIFS($J$7:$J$510,Table7[[#Headers],[Energy Supply Forecasts]],$C$7:$C$510,$L158)&gt;0,0,MROUND(IFERROR(U158*($P158/$AI158),0),100))</f>
        <v>0</v>
      </c>
      <c r="AO158" s="1">
        <f ca="1">IF(COUNTIFS($J$7:$J$510,Table7[[#Headers],[Energy Supply Regulation]],$C$7:$C$510,$L158)&gt;0,0,MROUND(IFERROR(V158*($P158/$AI158),0),100))</f>
        <v>0</v>
      </c>
      <c r="AP158" s="1">
        <f ca="1">IF(COUNTIFS($J$7:$J$510,Table7[[#Headers],[Renewables Market Intelligence]],$C$7:$C$510,$L158)&gt;0,0,MROUND(IFERROR(W158*($P158/$AI158),0),100))</f>
        <v>1800</v>
      </c>
      <c r="AQ158" s="1">
        <f ca="1">IF(COUNTIFS($J$7:$J$510,Table7[[#Headers],[Renewables RTM Analysis]],$C$7:$C$510,$L158)&gt;0,0,MROUND(IFERROR(X158*($P158/$AI158),0),100))</f>
        <v>1700</v>
      </c>
      <c r="AR158" s="1">
        <f>IF(COUNTIFS($J$7:$J$510,Table7[[#Headers],[Renewables Forecasts]],$C$7:$C$510,$L158)&gt;0,0,MROUND(IFERROR(Y158*($P158/$AI158),0),100))</f>
        <v>0</v>
      </c>
      <c r="AS158" s="1">
        <f ca="1">IF(COUNTIFS($J$7:$J$510,Table7[[#Headers],[Renewables Regulation]],$C$7:$C$510,$L158)&gt;0,0,MROUND(IFERROR(Z158*($P158/$AI158),0),100))</f>
        <v>2000</v>
      </c>
      <c r="AT158" s="1">
        <f ca="1">IF(COUNTIFS($J$7:$J$510,Table7[[#Headers],[Flexibility Market Intelligence]],$C$7:$C$510,$L158)&gt;0,0,MROUND(IFERROR(AA158*($P158/$AI158),0),100))</f>
        <v>0</v>
      </c>
      <c r="AU158" s="1">
        <f ca="1">IF(COUNTIFS($J$7:$J$510,Table7[[#Headers],[Flexibility RTM Analysis]],$C$7:$C$510,$L158)&gt;0,0,MROUND(IFERROR(AB158*($P158/$AI158),0),100))</f>
        <v>0</v>
      </c>
      <c r="AV158" s="1">
        <f ca="1">IF(COUNTIFS($J$7:$J$510,Table7[[#Headers],[Flexibility Forecasts]],$C$7:$C$510,$L158)&gt;0,0,MROUND(IFERROR(AC158*($P158/$AI158),0),100))</f>
        <v>0</v>
      </c>
      <c r="AW158" s="1">
        <f ca="1">IF(COUNTIFS($J$7:$J$510,Table7[[#Headers],[Flexibility Regulation]],$C$7:$C$510,$L158)&gt;0,0,MROUND(IFERROR(AD158*($P158/$AI158),0),100))</f>
        <v>0</v>
      </c>
      <c r="AX158" s="1">
        <f ca="1">IF(COUNTIFS($J$7:$J$510,Table7[[#Headers],[Business Energy Essentials]],$C$7:$C$510,$L158)&gt;0,0,MROUND(IFERROR(AE158*($P158/$AI158),0),100))</f>
        <v>0</v>
      </c>
      <c r="AY158" s="1">
        <f ca="1">IF(COUNTIFS($J$7:$J$510,Table7[[#Headers],[Energy User RTM Analysis]],$C$7:$C$510,$L158)&gt;0,0,MROUND(IFERROR(AF158*($P158/$AI158),0),100))</f>
        <v>0</v>
      </c>
      <c r="AZ158" s="1">
        <f ca="1">IF(COUNTIFS($J$7:$J$510,Table7[[#Headers],[Energy User Forecasts]],$C$7:$C$510,$L158)&gt;0,0,MROUND(IFERROR(AG158*($P158/$AI158),0),100))</f>
        <v>0</v>
      </c>
      <c r="BA158" s="1">
        <f ca="1">IF(COUNTIFS($J$7:$J$510,Table7[[#Headers],[Energy User Regulation]],$C$7:$C$510,$L158)&gt;0,0,MROUND(IFERROR(AH158*($P158/$AI158),0),100))</f>
        <v>0</v>
      </c>
    </row>
    <row r="159" spans="2:53">
      <c r="B159" s="38" t="s">
        <v>2149</v>
      </c>
      <c r="C159" s="38" t="s">
        <v>522</v>
      </c>
      <c r="D159" s="38" t="s">
        <v>2035</v>
      </c>
      <c r="E159" s="38" t="s">
        <v>1855</v>
      </c>
      <c r="F159" s="63">
        <v>4650.76</v>
      </c>
      <c r="G159" s="38"/>
      <c r="H159" s="38" t="s">
        <v>2031</v>
      </c>
      <c r="I159" s="38" t="s">
        <v>2032</v>
      </c>
      <c r="J159" s="38" t="s">
        <v>20</v>
      </c>
      <c r="L159" s="1" t="str">
        <v>RWE Renewables UK Limited</v>
      </c>
      <c r="M159" s="1" t="str">
        <f t="shared" si="12"/>
        <v>Renewables</v>
      </c>
      <c r="N159" s="109">
        <f t="shared" si="13"/>
        <v>25100</v>
      </c>
      <c r="O159" s="1">
        <f>IFERROR(IF(INDEX(Table3[[Total Spend]:[Total Spend]],MATCH(L159,Table3[[Company name]:[Company name]],0))&gt;N159,INDEX(Table3[[Total Spend]:[Total Spend]],MATCH(L159,Table3[[Company name]:[Company name]])),N159),50000)</f>
        <v>8100</v>
      </c>
      <c r="P159" s="109">
        <f t="shared" si="14"/>
        <v>25100</v>
      </c>
      <c r="Q159" s="103">
        <f t="shared" si="15"/>
        <v>1</v>
      </c>
      <c r="R159" s="1">
        <f ca="1">IFERROR(INDEX(INDIRECT("Table3[Column"&amp;R$9&amp;"]"),MATCH($L159,Table3[[Company name]:[Company name]],0)),0)</f>
        <v>10800</v>
      </c>
      <c r="S159" s="1">
        <f ca="1">IFERROR(INDEX(INDIRECT("Table3[Column"&amp;S$9&amp;"]"),MATCH($L159,Table3[[Company name]:[Company name]],0)),0)</f>
        <v>0</v>
      </c>
      <c r="T159" s="1">
        <f ca="1">IFERROR(INDEX(INDIRECT("Table3[Column"&amp;T$9&amp;"]"),MATCH($L159,Table3[[Company name]:[Company name]],0)),0)</f>
        <v>0</v>
      </c>
      <c r="U159" s="1">
        <f ca="1">IFERROR(INDEX(INDIRECT("Table3[Column"&amp;U$9&amp;"]"),MATCH($L159,Table3[[Company name]:[Company name]],0)),0)</f>
        <v>0</v>
      </c>
      <c r="V159" s="1">
        <f ca="1">IFERROR(INDEX(INDIRECT("Table3[Column"&amp;V$9&amp;"]"),MATCH($L159,Table3[[Company name]:[Company name]],0)),0)</f>
        <v>0</v>
      </c>
      <c r="W159" s="1">
        <f ca="1">IFERROR(INDEX(INDIRECT("Table3[Column"&amp;W$9&amp;"]"),MATCH($L159,Table3[[Company name]:[Company name]],0)),0)</f>
        <v>23400</v>
      </c>
      <c r="X159" s="1">
        <f ca="1">IFERROR(INDEX(INDIRECT("Table3[Column"&amp;X$9&amp;"]"),MATCH($L159,Table3[[Company name]:[Company name]],0)),0)</f>
        <v>20700</v>
      </c>
      <c r="Y159" s="1">
        <f ca="1">IFERROR(INDEX(INDIRECT("Table3[Column"&amp;Y$9&amp;"]"),MATCH($L159,Table3[[Company name]:[Company name]],0)),0)</f>
        <v>59400</v>
      </c>
      <c r="Z159" s="1">
        <f ca="1">IFERROR(INDEX(INDIRECT("Table3[Column"&amp;Z$9&amp;"]"),MATCH($L159,Table3[[Company name]:[Company name]],0)),0)</f>
        <v>26100</v>
      </c>
      <c r="AA159" s="1">
        <f ca="1">IFERROR(INDEX(INDIRECT("Table3[Column"&amp;AA$9&amp;"]"),MATCH($L159,Table3[[Company name]:[Company name]],0)),0)</f>
        <v>0</v>
      </c>
      <c r="AB159" s="1">
        <f ca="1">IFERROR(INDEX(INDIRECT("Table3[Column"&amp;AB$9&amp;"]"),MATCH($L159,Table3[[Company name]:[Company name]],0)),0)</f>
        <v>0</v>
      </c>
      <c r="AC159" s="1">
        <f ca="1">IFERROR(INDEX(INDIRECT("Table3[Column"&amp;AC$9&amp;"]"),MATCH($L159,Table3[[Company name]:[Company name]],0)),0)</f>
        <v>0</v>
      </c>
      <c r="AD159" s="1">
        <f ca="1">IFERROR(INDEX(INDIRECT("Table3[Column"&amp;AD$9&amp;"]"),MATCH($L159,Table3[[Company name]:[Company name]],0)),0)</f>
        <v>0</v>
      </c>
      <c r="AE159" s="1">
        <f ca="1">IFERROR(INDEX(INDIRECT("Table3[Column"&amp;AE$9&amp;"]"),MATCH($L159,Table3[[Company name]:[Company name]],0)),0)</f>
        <v>0</v>
      </c>
      <c r="AF159" s="1">
        <f ca="1">IFERROR(INDEX(INDIRECT("Table3[Column"&amp;AF$9&amp;"]"),MATCH($L159,Table3[[Company name]:[Company name]],0)),0)</f>
        <v>0</v>
      </c>
      <c r="AG159" s="1">
        <f ca="1">IFERROR(INDEX(INDIRECT("Table3[Column"&amp;AG$9&amp;"]"),MATCH($L159,Table3[[Company name]:[Company name]],0)),0)</f>
        <v>0</v>
      </c>
      <c r="AH159" s="1">
        <f ca="1">IFERROR(INDEX(INDIRECT("Table3[Column"&amp;AH$9&amp;"]"),MATCH($L159,Table3[[Company name]:[Company name]],0)),0)</f>
        <v>0</v>
      </c>
      <c r="AI159" s="1">
        <f t="shared" ca="1" si="16"/>
        <v>140400</v>
      </c>
      <c r="AK159" s="1">
        <f ca="1">IF(COUNTIFS($J$7:$J$510,Table7[[#Headers],[Industry Essentials]],$C$7:$C$510,$L159)&gt;0,0,MROUND(R159,100))</f>
        <v>10800</v>
      </c>
      <c r="AL159" s="1">
        <f ca="1">IF(COUNTIFS($J$7:$J$510,Table7[[#Headers],[Energy Supply Market Intelligence]],$C$7:$C$510,$L159)&gt;0,0,MROUND(IFERROR(S159*($P159/$AI159),0),100))</f>
        <v>0</v>
      </c>
      <c r="AM159" s="1">
        <f ca="1">IF(COUNTIFS($J$7:$J$510,Table7[[#Headers],[Energy Supply RTM Analysis]],$C$7:$C$510,$L159)&gt;0,0,MROUND(IFERROR(T159*($P159/$AI159),0),100))</f>
        <v>0</v>
      </c>
      <c r="AN159" s="1">
        <f ca="1">IF(COUNTIFS($J$7:$J$510,Table7[[#Headers],[Energy Supply Forecasts]],$C$7:$C$510,$L159)&gt;0,0,MROUND(IFERROR(U159*($P159/$AI159),0),100))</f>
        <v>0</v>
      </c>
      <c r="AO159" s="1">
        <f ca="1">IF(COUNTIFS($J$7:$J$510,Table7[[#Headers],[Energy Supply Regulation]],$C$7:$C$510,$L159)&gt;0,0,MROUND(IFERROR(V159*($P159/$AI159),0),100))</f>
        <v>0</v>
      </c>
      <c r="AP159" s="1">
        <f ca="1">IF(COUNTIFS($J$7:$J$510,Table7[[#Headers],[Renewables Market Intelligence]],$C$7:$C$510,$L159)&gt;0,0,MROUND(IFERROR(W159*($P159/$AI159),0),100))</f>
        <v>4200</v>
      </c>
      <c r="AQ159" s="1">
        <f>IF(COUNTIFS($J$7:$J$510,Table7[[#Headers],[Renewables RTM Analysis]],$C$7:$C$510,$L159)&gt;0,0,MROUND(IFERROR(X159*($P159/$AI159),0),100))</f>
        <v>0</v>
      </c>
      <c r="AR159" s="1">
        <f>IF(COUNTIFS($J$7:$J$510,Table7[[#Headers],[Renewables Forecasts]],$C$7:$C$510,$L159)&gt;0,0,MROUND(IFERROR(Y159*($P159/$AI159),0),100))</f>
        <v>0</v>
      </c>
      <c r="AS159" s="1">
        <f ca="1">IF(COUNTIFS($J$7:$J$510,Table7[[#Headers],[Renewables Regulation]],$C$7:$C$510,$L159)&gt;0,0,MROUND(IFERROR(Z159*($P159/$AI159),0),100))</f>
        <v>4700</v>
      </c>
      <c r="AT159" s="1">
        <f ca="1">IF(COUNTIFS($J$7:$J$510,Table7[[#Headers],[Flexibility Market Intelligence]],$C$7:$C$510,$L159)&gt;0,0,MROUND(IFERROR(AA159*($P159/$AI159),0),100))</f>
        <v>0</v>
      </c>
      <c r="AU159" s="1">
        <f ca="1">IF(COUNTIFS($J$7:$J$510,Table7[[#Headers],[Flexibility RTM Analysis]],$C$7:$C$510,$L159)&gt;0,0,MROUND(IFERROR(AB159*($P159/$AI159),0),100))</f>
        <v>0</v>
      </c>
      <c r="AV159" s="1">
        <f ca="1">IF(COUNTIFS($J$7:$J$510,Table7[[#Headers],[Flexibility Forecasts]],$C$7:$C$510,$L159)&gt;0,0,MROUND(IFERROR(AC159*($P159/$AI159),0),100))</f>
        <v>0</v>
      </c>
      <c r="AW159" s="1">
        <f ca="1">IF(COUNTIFS($J$7:$J$510,Table7[[#Headers],[Flexibility Regulation]],$C$7:$C$510,$L159)&gt;0,0,MROUND(IFERROR(AD159*($P159/$AI159),0),100))</f>
        <v>0</v>
      </c>
      <c r="AX159" s="1">
        <f ca="1">IF(COUNTIFS($J$7:$J$510,Table7[[#Headers],[Business Energy Essentials]],$C$7:$C$510,$L159)&gt;0,0,MROUND(IFERROR(AE159*($P159/$AI159),0),100))</f>
        <v>0</v>
      </c>
      <c r="AY159" s="1">
        <f ca="1">IF(COUNTIFS($J$7:$J$510,Table7[[#Headers],[Energy User RTM Analysis]],$C$7:$C$510,$L159)&gt;0,0,MROUND(IFERROR(AF159*($P159/$AI159),0),100))</f>
        <v>0</v>
      </c>
      <c r="AZ159" s="1">
        <f ca="1">IF(COUNTIFS($J$7:$J$510,Table7[[#Headers],[Energy User Forecasts]],$C$7:$C$510,$L159)&gt;0,0,MROUND(IFERROR(AG159*($P159/$AI159),0),100))</f>
        <v>0</v>
      </c>
      <c r="BA159" s="1">
        <f ca="1">IF(COUNTIFS($J$7:$J$510,Table7[[#Headers],[Energy User Regulation]],$C$7:$C$510,$L159)&gt;0,0,MROUND(IFERROR(AH159*($P159/$AI159),0),100))</f>
        <v>0</v>
      </c>
    </row>
    <row r="160" spans="2:53">
      <c r="B160" s="38" t="s">
        <v>2150</v>
      </c>
      <c r="C160" s="38" t="s">
        <v>2151</v>
      </c>
      <c r="D160" s="38" t="s">
        <v>2051</v>
      </c>
      <c r="E160" s="38" t="s">
        <v>1817</v>
      </c>
      <c r="F160" s="63">
        <v>21000</v>
      </c>
      <c r="G160" s="38"/>
      <c r="H160" s="38" t="s">
        <v>191</v>
      </c>
      <c r="I160" s="38" t="s">
        <v>191</v>
      </c>
      <c r="J160" s="38" t="s">
        <v>35</v>
      </c>
      <c r="L160" s="1" t="str">
        <v>S&amp;P Global UK Limited</v>
      </c>
      <c r="M160" s="1" t="str">
        <f t="shared" si="12"/>
        <v>Other</v>
      </c>
      <c r="N160" s="109">
        <f t="shared" si="13"/>
        <v>3750</v>
      </c>
      <c r="O160" s="1">
        <f>IFERROR(IF(INDEX(Table3[[Total Spend]:[Total Spend]],MATCH(L160,Table3[[Company name]:[Company name]],0))&gt;N160,INDEX(Table3[[Total Spend]:[Total Spend]],MATCH(L160,Table3[[Company name]:[Company name]])),N160),50000)</f>
        <v>8100</v>
      </c>
      <c r="P160" s="109">
        <f t="shared" si="14"/>
        <v>4350</v>
      </c>
      <c r="Q160" s="103">
        <f t="shared" si="15"/>
        <v>0.46296296296296297</v>
      </c>
      <c r="R160" s="1">
        <f ca="1">IFERROR(INDEX(INDIRECT("Table3[Column"&amp;R$9&amp;"]"),MATCH($L160,Table3[[Company name]:[Company name]],0)),0)</f>
        <v>10800</v>
      </c>
      <c r="S160" s="1">
        <f ca="1">IFERROR(INDEX(INDIRECT("Table3[Column"&amp;S$9&amp;"]"),MATCH($L160,Table3[[Company name]:[Company name]],0)),0)</f>
        <v>0</v>
      </c>
      <c r="T160" s="1">
        <f ca="1">IFERROR(INDEX(INDIRECT("Table3[Column"&amp;T$9&amp;"]"),MATCH($L160,Table3[[Company name]:[Company name]],0)),0)</f>
        <v>0</v>
      </c>
      <c r="U160" s="1">
        <f ca="1">IFERROR(INDEX(INDIRECT("Table3[Column"&amp;U$9&amp;"]"),MATCH($L160,Table3[[Company name]:[Company name]],0)),0)</f>
        <v>0</v>
      </c>
      <c r="V160" s="1">
        <f ca="1">IFERROR(INDEX(INDIRECT("Table3[Column"&amp;V$9&amp;"]"),MATCH($L160,Table3[[Company name]:[Company name]],0)),0)</f>
        <v>0</v>
      </c>
      <c r="W160" s="1">
        <f ca="1">IFERROR(INDEX(INDIRECT("Table3[Column"&amp;W$9&amp;"]"),MATCH($L160,Table3[[Company name]:[Company name]],0)),0)</f>
        <v>0</v>
      </c>
      <c r="X160" s="1">
        <f ca="1">IFERROR(INDEX(INDIRECT("Table3[Column"&amp;X$9&amp;"]"),MATCH($L160,Table3[[Company name]:[Company name]],0)),0)</f>
        <v>0</v>
      </c>
      <c r="Y160" s="1">
        <f ca="1">IFERROR(INDEX(INDIRECT("Table3[Column"&amp;Y$9&amp;"]"),MATCH($L160,Table3[[Company name]:[Company name]],0)),0)</f>
        <v>0</v>
      </c>
      <c r="Z160" s="1">
        <f ca="1">IFERROR(INDEX(INDIRECT("Table3[Column"&amp;Z$9&amp;"]"),MATCH($L160,Table3[[Company name]:[Company name]],0)),0)</f>
        <v>0</v>
      </c>
      <c r="AA160" s="1">
        <f ca="1">IFERROR(INDEX(INDIRECT("Table3[Column"&amp;AA$9&amp;"]"),MATCH($L160,Table3[[Company name]:[Company name]],0)),0)</f>
        <v>0</v>
      </c>
      <c r="AB160" s="1">
        <f ca="1">IFERROR(INDEX(INDIRECT("Table3[Column"&amp;AB$9&amp;"]"),MATCH($L160,Table3[[Company name]:[Company name]],0)),0)</f>
        <v>0</v>
      </c>
      <c r="AC160" s="1">
        <f ca="1">IFERROR(INDEX(INDIRECT("Table3[Column"&amp;AC$9&amp;"]"),MATCH($L160,Table3[[Company name]:[Company name]],0)),0)</f>
        <v>0</v>
      </c>
      <c r="AD160" s="1">
        <f ca="1">IFERROR(INDEX(INDIRECT("Table3[Column"&amp;AD$9&amp;"]"),MATCH($L160,Table3[[Company name]:[Company name]],0)),0)</f>
        <v>0</v>
      </c>
      <c r="AE160" s="1">
        <f ca="1">IFERROR(INDEX(INDIRECT("Table3[Column"&amp;AE$9&amp;"]"),MATCH($L160,Table3[[Company name]:[Company name]],0)),0)</f>
        <v>0</v>
      </c>
      <c r="AF160" s="1">
        <f ca="1">IFERROR(INDEX(INDIRECT("Table3[Column"&amp;AF$9&amp;"]"),MATCH($L160,Table3[[Company name]:[Company name]],0)),0)</f>
        <v>0</v>
      </c>
      <c r="AG160" s="1">
        <f ca="1">IFERROR(INDEX(INDIRECT("Table3[Column"&amp;AG$9&amp;"]"),MATCH($L160,Table3[[Company name]:[Company name]],0)),0)</f>
        <v>0</v>
      </c>
      <c r="AH160" s="1">
        <f ca="1">IFERROR(INDEX(INDIRECT("Table3[Column"&amp;AH$9&amp;"]"),MATCH($L160,Table3[[Company name]:[Company name]],0)),0)</f>
        <v>0</v>
      </c>
      <c r="AI160" s="1">
        <f t="shared" ca="1" si="16"/>
        <v>10800</v>
      </c>
      <c r="AK160" s="1">
        <f>IF(COUNTIFS($J$7:$J$510,Table7[[#Headers],[Industry Essentials]],$C$7:$C$510,$L160)&gt;0,0,MROUND(R160,100))</f>
        <v>0</v>
      </c>
      <c r="AL160" s="1">
        <f ca="1">IF(COUNTIFS($J$7:$J$510,Table7[[#Headers],[Energy Supply Market Intelligence]],$C$7:$C$510,$L160)&gt;0,0,MROUND(IFERROR(S160*($P160/$AI160),0),100))</f>
        <v>0</v>
      </c>
      <c r="AM160" s="1">
        <f ca="1">IF(COUNTIFS($J$7:$J$510,Table7[[#Headers],[Energy Supply RTM Analysis]],$C$7:$C$510,$L160)&gt;0,0,MROUND(IFERROR(T160*($P160/$AI160),0),100))</f>
        <v>0</v>
      </c>
      <c r="AN160" s="1">
        <f ca="1">IF(COUNTIFS($J$7:$J$510,Table7[[#Headers],[Energy Supply Forecasts]],$C$7:$C$510,$L160)&gt;0,0,MROUND(IFERROR(U160*($P160/$AI160),0),100))</f>
        <v>0</v>
      </c>
      <c r="AO160" s="1">
        <f ca="1">IF(COUNTIFS($J$7:$J$510,Table7[[#Headers],[Energy Supply Regulation]],$C$7:$C$510,$L160)&gt;0,0,MROUND(IFERROR(V160*($P160/$AI160),0),100))</f>
        <v>0</v>
      </c>
      <c r="AP160" s="1">
        <f ca="1">IF(COUNTIFS($J$7:$J$510,Table7[[#Headers],[Renewables Market Intelligence]],$C$7:$C$510,$L160)&gt;0,0,MROUND(IFERROR(W160*($P160/$AI160),0),100))</f>
        <v>0</v>
      </c>
      <c r="AQ160" s="1">
        <f ca="1">IF(COUNTIFS($J$7:$J$510,Table7[[#Headers],[Renewables RTM Analysis]],$C$7:$C$510,$L160)&gt;0,0,MROUND(IFERROR(X160*($P160/$AI160),0),100))</f>
        <v>0</v>
      </c>
      <c r="AR160" s="1">
        <f ca="1">IF(COUNTIFS($J$7:$J$510,Table7[[#Headers],[Renewables Forecasts]],$C$7:$C$510,$L160)&gt;0,0,MROUND(IFERROR(Y160*($P160/$AI160),0),100))</f>
        <v>0</v>
      </c>
      <c r="AS160" s="1">
        <f ca="1">IF(COUNTIFS($J$7:$J$510,Table7[[#Headers],[Renewables Regulation]],$C$7:$C$510,$L160)&gt;0,0,MROUND(IFERROR(Z160*($P160/$AI160),0),100))</f>
        <v>0</v>
      </c>
      <c r="AT160" s="1">
        <f ca="1">IF(COUNTIFS($J$7:$J$510,Table7[[#Headers],[Flexibility Market Intelligence]],$C$7:$C$510,$L160)&gt;0,0,MROUND(IFERROR(AA160*($P160/$AI160),0),100))</f>
        <v>0</v>
      </c>
      <c r="AU160" s="1">
        <f ca="1">IF(COUNTIFS($J$7:$J$510,Table7[[#Headers],[Flexibility RTM Analysis]],$C$7:$C$510,$L160)&gt;0,0,MROUND(IFERROR(AB160*($P160/$AI160),0),100))</f>
        <v>0</v>
      </c>
      <c r="AV160" s="1">
        <f ca="1">IF(COUNTIFS($J$7:$J$510,Table7[[#Headers],[Flexibility Forecasts]],$C$7:$C$510,$L160)&gt;0,0,MROUND(IFERROR(AC160*($P160/$AI160),0),100))</f>
        <v>0</v>
      </c>
      <c r="AW160" s="1">
        <f ca="1">IF(COUNTIFS($J$7:$J$510,Table7[[#Headers],[Flexibility Regulation]],$C$7:$C$510,$L160)&gt;0,0,MROUND(IFERROR(AD160*($P160/$AI160),0),100))</f>
        <v>0</v>
      </c>
      <c r="AX160" s="1">
        <f ca="1">IF(COUNTIFS($J$7:$J$510,Table7[[#Headers],[Business Energy Essentials]],$C$7:$C$510,$L160)&gt;0,0,MROUND(IFERROR(AE160*($P160/$AI160),0),100))</f>
        <v>0</v>
      </c>
      <c r="AY160" s="1">
        <f ca="1">IF(COUNTIFS($J$7:$J$510,Table7[[#Headers],[Energy User RTM Analysis]],$C$7:$C$510,$L160)&gt;0,0,MROUND(IFERROR(AF160*($P160/$AI160),0),100))</f>
        <v>0</v>
      </c>
      <c r="AZ160" s="1">
        <f ca="1">IF(COUNTIFS($J$7:$J$510,Table7[[#Headers],[Energy User Forecasts]],$C$7:$C$510,$L160)&gt;0,0,MROUND(IFERROR(AG160*($P160/$AI160),0),100))</f>
        <v>0</v>
      </c>
      <c r="BA160" s="1">
        <f ca="1">IF(COUNTIFS($J$7:$J$510,Table7[[#Headers],[Energy User Regulation]],$C$7:$C$510,$L160)&gt;0,0,MROUND(IFERROR(AH160*($P160/$AI160),0),100))</f>
        <v>0</v>
      </c>
    </row>
    <row r="161" spans="2:53">
      <c r="B161" s="38" t="s">
        <v>2152</v>
      </c>
      <c r="C161" s="38" t="s">
        <v>527</v>
      </c>
      <c r="D161" s="38" t="s">
        <v>2153</v>
      </c>
      <c r="E161" s="38" t="s">
        <v>1853</v>
      </c>
      <c r="F161" s="63">
        <v>4350</v>
      </c>
      <c r="G161" s="38"/>
      <c r="H161" s="38" t="s">
        <v>1703</v>
      </c>
      <c r="I161" s="38" t="s">
        <v>1703</v>
      </c>
      <c r="J161" s="38" t="s">
        <v>32</v>
      </c>
      <c r="L161" s="1" t="str">
        <v>Savills (UK) Limited</v>
      </c>
      <c r="M161" s="1" t="str">
        <f t="shared" si="12"/>
        <v>Energy User</v>
      </c>
      <c r="N161" s="109">
        <f t="shared" si="13"/>
        <v>7500</v>
      </c>
      <c r="O161" s="1">
        <f>IFERROR(IF(INDEX(Table3[[Total Spend]:[Total Spend]],MATCH(L161,Table3[[Company name]:[Company name]],0))&gt;N161,INDEX(Table3[[Total Spend]:[Total Spend]],MATCH(L161,Table3[[Company name]:[Company name]])),N161),50000)</f>
        <v>10000</v>
      </c>
      <c r="P161" s="109">
        <f t="shared" si="14"/>
        <v>2500</v>
      </c>
      <c r="Q161" s="103">
        <f t="shared" si="15"/>
        <v>0.75</v>
      </c>
      <c r="R161" s="1">
        <f ca="1">IFERROR(INDEX(INDIRECT("Table3[Column"&amp;R$9&amp;"]"),MATCH($L161,Table3[[Company name]:[Company name]],0)),0)</f>
        <v>10800</v>
      </c>
      <c r="S161" s="1">
        <f ca="1">IFERROR(INDEX(INDIRECT("Table3[Column"&amp;S$9&amp;"]"),MATCH($L161,Table3[[Company name]:[Company name]],0)),0)</f>
        <v>0</v>
      </c>
      <c r="T161" s="1">
        <f ca="1">IFERROR(INDEX(INDIRECT("Table3[Column"&amp;T$9&amp;"]"),MATCH($L161,Table3[[Company name]:[Company name]],0)),0)</f>
        <v>0</v>
      </c>
      <c r="U161" s="1">
        <f ca="1">IFERROR(INDEX(INDIRECT("Table3[Column"&amp;U$9&amp;"]"),MATCH($L161,Table3[[Company name]:[Company name]],0)),0)</f>
        <v>0</v>
      </c>
      <c r="V161" s="1">
        <f ca="1">IFERROR(INDEX(INDIRECT("Table3[Column"&amp;V$9&amp;"]"),MATCH($L161,Table3[[Company name]:[Company name]],0)),0)</f>
        <v>0</v>
      </c>
      <c r="W161" s="1">
        <f ca="1">IFERROR(INDEX(INDIRECT("Table3[Column"&amp;W$9&amp;"]"),MATCH($L161,Table3[[Company name]:[Company name]],0)),0)</f>
        <v>23400</v>
      </c>
      <c r="X161" s="1">
        <f ca="1">IFERROR(INDEX(INDIRECT("Table3[Column"&amp;X$9&amp;"]"),MATCH($L161,Table3[[Company name]:[Company name]],0)),0)</f>
        <v>0</v>
      </c>
      <c r="Y161" s="1">
        <f ca="1">IFERROR(INDEX(INDIRECT("Table3[Column"&amp;Y$9&amp;"]"),MATCH($L161,Table3[[Company name]:[Company name]],0)),0)</f>
        <v>59400</v>
      </c>
      <c r="Z161" s="1">
        <f ca="1">IFERROR(INDEX(INDIRECT("Table3[Column"&amp;Z$9&amp;"]"),MATCH($L161,Table3[[Company name]:[Company name]],0)),0)</f>
        <v>0</v>
      </c>
      <c r="AA161" s="1">
        <f ca="1">IFERROR(INDEX(INDIRECT("Table3[Column"&amp;AA$9&amp;"]"),MATCH($L161,Table3[[Company name]:[Company name]],0)),0)</f>
        <v>29700</v>
      </c>
      <c r="AB161" s="1">
        <f ca="1">IFERROR(INDEX(INDIRECT("Table3[Column"&amp;AB$9&amp;"]"),MATCH($L161,Table3[[Company name]:[Company name]],0)),0)</f>
        <v>0</v>
      </c>
      <c r="AC161" s="1">
        <f ca="1">IFERROR(INDEX(INDIRECT("Table3[Column"&amp;AC$9&amp;"]"),MATCH($L161,Table3[[Company name]:[Company name]],0)),0)</f>
        <v>44100</v>
      </c>
      <c r="AD161" s="1">
        <f ca="1">IFERROR(INDEX(INDIRECT("Table3[Column"&amp;AD$9&amp;"]"),MATCH($L161,Table3[[Company name]:[Company name]],0)),0)</f>
        <v>0</v>
      </c>
      <c r="AE161" s="1">
        <f ca="1">IFERROR(INDEX(INDIRECT("Table3[Column"&amp;AE$9&amp;"]"),MATCH($L161,Table3[[Company name]:[Company name]],0)),0)</f>
        <v>15300</v>
      </c>
      <c r="AF161" s="1">
        <f ca="1">IFERROR(INDEX(INDIRECT("Table3[Column"&amp;AF$9&amp;"]"),MATCH($L161,Table3[[Company name]:[Company name]],0)),0)</f>
        <v>15750</v>
      </c>
      <c r="AG161" s="1">
        <f ca="1">IFERROR(INDEX(INDIRECT("Table3[Column"&amp;AG$9&amp;"]"),MATCH($L161,Table3[[Company name]:[Company name]],0)),0)</f>
        <v>27000</v>
      </c>
      <c r="AH161" s="1">
        <f ca="1">IFERROR(INDEX(INDIRECT("Table3[Column"&amp;AH$9&amp;"]"),MATCH($L161,Table3[[Company name]:[Company name]],0)),0)</f>
        <v>6300</v>
      </c>
      <c r="AI161" s="1">
        <f t="shared" ca="1" si="16"/>
        <v>231750</v>
      </c>
      <c r="AK161" s="1">
        <f ca="1">IF(COUNTIFS($J$7:$J$510,Table7[[#Headers],[Industry Essentials]],$C$7:$C$510,$L161)&gt;0,0,MROUND(R161,100))</f>
        <v>10800</v>
      </c>
      <c r="AL161" s="1">
        <f ca="1">IF(COUNTIFS($J$7:$J$510,Table7[[#Headers],[Energy Supply Market Intelligence]],$C$7:$C$510,$L161)&gt;0,0,MROUND(IFERROR(S161*($P161/$AI161),0),100))</f>
        <v>0</v>
      </c>
      <c r="AM161" s="1">
        <f ca="1">IF(COUNTIFS($J$7:$J$510,Table7[[#Headers],[Energy Supply RTM Analysis]],$C$7:$C$510,$L161)&gt;0,0,MROUND(IFERROR(T161*($P161/$AI161),0),100))</f>
        <v>0</v>
      </c>
      <c r="AN161" s="1">
        <f ca="1">IF(COUNTIFS($J$7:$J$510,Table7[[#Headers],[Energy Supply Forecasts]],$C$7:$C$510,$L161)&gt;0,0,MROUND(IFERROR(U161*($P161/$AI161),0),100))</f>
        <v>0</v>
      </c>
      <c r="AO161" s="1">
        <f ca="1">IF(COUNTIFS($J$7:$J$510,Table7[[#Headers],[Energy Supply Regulation]],$C$7:$C$510,$L161)&gt;0,0,MROUND(IFERROR(V161*($P161/$AI161),0),100))</f>
        <v>0</v>
      </c>
      <c r="AP161" s="1">
        <f ca="1">IF(COUNTIFS($J$7:$J$510,Table7[[#Headers],[Renewables Market Intelligence]],$C$7:$C$510,$L161)&gt;0,0,MROUND(IFERROR(W161*($P161/$AI161),0),100))</f>
        <v>300</v>
      </c>
      <c r="AQ161" s="1">
        <f ca="1">IF(COUNTIFS($J$7:$J$510,Table7[[#Headers],[Renewables RTM Analysis]],$C$7:$C$510,$L161)&gt;0,0,MROUND(IFERROR(X161*($P161/$AI161),0),100))</f>
        <v>0</v>
      </c>
      <c r="AR161" s="1">
        <f>IF(COUNTIFS($J$7:$J$510,Table7[[#Headers],[Renewables Forecasts]],$C$7:$C$510,$L161)&gt;0,0,MROUND(IFERROR(Y161*($P161/$AI161),0),100))</f>
        <v>0</v>
      </c>
      <c r="AS161" s="1">
        <f ca="1">IF(COUNTIFS($J$7:$J$510,Table7[[#Headers],[Renewables Regulation]],$C$7:$C$510,$L161)&gt;0,0,MROUND(IFERROR(Z161*($P161/$AI161),0),100))</f>
        <v>0</v>
      </c>
      <c r="AT161" s="1">
        <f ca="1">IF(COUNTIFS($J$7:$J$510,Table7[[#Headers],[Flexibility Market Intelligence]],$C$7:$C$510,$L161)&gt;0,0,MROUND(IFERROR(AA161*($P161/$AI161),0),100))</f>
        <v>300</v>
      </c>
      <c r="AU161" s="1">
        <f ca="1">IF(COUNTIFS($J$7:$J$510,Table7[[#Headers],[Flexibility RTM Analysis]],$C$7:$C$510,$L161)&gt;0,0,MROUND(IFERROR(AB161*($P161/$AI161),0),100))</f>
        <v>0</v>
      </c>
      <c r="AV161" s="1">
        <f ca="1">IF(COUNTIFS($J$7:$J$510,Table7[[#Headers],[Flexibility Forecasts]],$C$7:$C$510,$L161)&gt;0,0,MROUND(IFERROR(AC161*($P161/$AI161),0),100))</f>
        <v>500</v>
      </c>
      <c r="AW161" s="1">
        <f ca="1">IF(COUNTIFS($J$7:$J$510,Table7[[#Headers],[Flexibility Regulation]],$C$7:$C$510,$L161)&gt;0,0,MROUND(IFERROR(AD161*($P161/$AI161),0),100))</f>
        <v>0</v>
      </c>
      <c r="AX161" s="1">
        <f ca="1">IF(COUNTIFS($J$7:$J$510,Table7[[#Headers],[Business Energy Essentials]],$C$7:$C$510,$L161)&gt;0,0,MROUND(IFERROR(AE161*($P161/$AI161),0),100))</f>
        <v>200</v>
      </c>
      <c r="AY161" s="1">
        <f ca="1">IF(COUNTIFS($J$7:$J$510,Table7[[#Headers],[Energy User RTM Analysis]],$C$7:$C$510,$L161)&gt;0,0,MROUND(IFERROR(AF161*($P161/$AI161),0),100))</f>
        <v>200</v>
      </c>
      <c r="AZ161" s="1">
        <f ca="1">IF(COUNTIFS($J$7:$J$510,Table7[[#Headers],[Energy User Forecasts]],$C$7:$C$510,$L161)&gt;0,0,MROUND(IFERROR(AG161*($P161/$AI161),0),100))</f>
        <v>300</v>
      </c>
      <c r="BA161" s="1">
        <f ca="1">IF(COUNTIFS($J$7:$J$510,Table7[[#Headers],[Energy User Regulation]],$C$7:$C$510,$L161)&gt;0,0,MROUND(IFERROR(AH161*($P161/$AI161),0),100))</f>
        <v>100</v>
      </c>
    </row>
    <row r="162" spans="2:53">
      <c r="B162" s="38" t="s">
        <v>2154</v>
      </c>
      <c r="C162" s="38" t="s">
        <v>689</v>
      </c>
      <c r="D162" s="38" t="s">
        <v>2099</v>
      </c>
      <c r="E162" s="38" t="s">
        <v>1815</v>
      </c>
      <c r="F162" s="63">
        <v>9500</v>
      </c>
      <c r="G162" s="38"/>
      <c r="H162" s="38" t="s">
        <v>1703</v>
      </c>
      <c r="I162" s="38" t="s">
        <v>1703</v>
      </c>
      <c r="J162" s="38" t="s">
        <v>31</v>
      </c>
      <c r="L162" s="1" t="str">
        <v>Schroders Greencoat LLP</v>
      </c>
      <c r="M162" s="1" t="str">
        <f t="shared" si="12"/>
        <v>Renewables</v>
      </c>
      <c r="N162" s="109">
        <f t="shared" si="13"/>
        <v>9970</v>
      </c>
      <c r="O162" s="1">
        <f>IFERROR(IF(INDEX(Table3[[Total Spend]:[Total Spend]],MATCH(L162,Table3[[Company name]:[Company name]],0))&gt;N162,INDEX(Table3[[Total Spend]:[Total Spend]],MATCH(L162,Table3[[Company name]:[Company name]])),N162),50000)</f>
        <v>10000</v>
      </c>
      <c r="P162" s="109">
        <f t="shared" si="14"/>
        <v>30</v>
      </c>
      <c r="Q162" s="103">
        <f t="shared" si="15"/>
        <v>0.997</v>
      </c>
      <c r="R162" s="1">
        <f ca="1">IFERROR(INDEX(INDIRECT("Table3[Column"&amp;R$9&amp;"]"),MATCH($L162,Table3[[Company name]:[Company name]],0)),0)</f>
        <v>10800</v>
      </c>
      <c r="S162" s="1">
        <f ca="1">IFERROR(INDEX(INDIRECT("Table3[Column"&amp;S$9&amp;"]"),MATCH($L162,Table3[[Company name]:[Company name]],0)),0)</f>
        <v>0</v>
      </c>
      <c r="T162" s="1">
        <f ca="1">IFERROR(INDEX(INDIRECT("Table3[Column"&amp;T$9&amp;"]"),MATCH($L162,Table3[[Company name]:[Company name]],0)),0)</f>
        <v>0</v>
      </c>
      <c r="U162" s="1">
        <f ca="1">IFERROR(INDEX(INDIRECT("Table3[Column"&amp;U$9&amp;"]"),MATCH($L162,Table3[[Company name]:[Company name]],0)),0)</f>
        <v>0</v>
      </c>
      <c r="V162" s="1">
        <f ca="1">IFERROR(INDEX(INDIRECT("Table3[Column"&amp;V$9&amp;"]"),MATCH($L162,Table3[[Company name]:[Company name]],0)),0)</f>
        <v>0</v>
      </c>
      <c r="W162" s="1">
        <f ca="1">IFERROR(INDEX(INDIRECT("Table3[Column"&amp;W$9&amp;"]"),MATCH($L162,Table3[[Company name]:[Company name]],0)),0)</f>
        <v>23400</v>
      </c>
      <c r="X162" s="1">
        <f ca="1">IFERROR(INDEX(INDIRECT("Table3[Column"&amp;X$9&amp;"]"),MATCH($L162,Table3[[Company name]:[Company name]],0)),0)</f>
        <v>20700</v>
      </c>
      <c r="Y162" s="1">
        <f ca="1">IFERROR(INDEX(INDIRECT("Table3[Column"&amp;Y$9&amp;"]"),MATCH($L162,Table3[[Company name]:[Company name]],0)),0)</f>
        <v>59400</v>
      </c>
      <c r="Z162" s="1">
        <f ca="1">IFERROR(INDEX(INDIRECT("Table3[Column"&amp;Z$9&amp;"]"),MATCH($L162,Table3[[Company name]:[Company name]],0)),0)</f>
        <v>26100</v>
      </c>
      <c r="AA162" s="1">
        <f ca="1">IFERROR(INDEX(INDIRECT("Table3[Column"&amp;AA$9&amp;"]"),MATCH($L162,Table3[[Company name]:[Company name]],0)),0)</f>
        <v>29700</v>
      </c>
      <c r="AB162" s="1">
        <f ca="1">IFERROR(INDEX(INDIRECT("Table3[Column"&amp;AB$9&amp;"]"),MATCH($L162,Table3[[Company name]:[Company name]],0)),0)</f>
        <v>10800</v>
      </c>
      <c r="AC162" s="1">
        <f ca="1">IFERROR(INDEX(INDIRECT("Table3[Column"&amp;AC$9&amp;"]"),MATCH($L162,Table3[[Company name]:[Company name]],0)),0)</f>
        <v>44100</v>
      </c>
      <c r="AD162" s="1">
        <f ca="1">IFERROR(INDEX(INDIRECT("Table3[Column"&amp;AD$9&amp;"]"),MATCH($L162,Table3[[Company name]:[Company name]],0)),0)</f>
        <v>36000</v>
      </c>
      <c r="AE162" s="1">
        <f ca="1">IFERROR(INDEX(INDIRECT("Table3[Column"&amp;AE$9&amp;"]"),MATCH($L162,Table3[[Company name]:[Company name]],0)),0)</f>
        <v>0</v>
      </c>
      <c r="AF162" s="1">
        <f ca="1">IFERROR(INDEX(INDIRECT("Table3[Column"&amp;AF$9&amp;"]"),MATCH($L162,Table3[[Company name]:[Company name]],0)),0)</f>
        <v>0</v>
      </c>
      <c r="AG162" s="1">
        <f ca="1">IFERROR(INDEX(INDIRECT("Table3[Column"&amp;AG$9&amp;"]"),MATCH($L162,Table3[[Company name]:[Company name]],0)),0)</f>
        <v>0</v>
      </c>
      <c r="AH162" s="1">
        <f ca="1">IFERROR(INDEX(INDIRECT("Table3[Column"&amp;AH$9&amp;"]"),MATCH($L162,Table3[[Company name]:[Company name]],0)),0)</f>
        <v>0</v>
      </c>
      <c r="AI162" s="1">
        <f t="shared" ca="1" si="16"/>
        <v>261000</v>
      </c>
      <c r="AK162" s="1">
        <f>IF(COUNTIFS($J$7:$J$510,Table7[[#Headers],[Industry Essentials]],$C$7:$C$510,$L162)&gt;0,0,MROUND(R162,100))</f>
        <v>0</v>
      </c>
      <c r="AL162" s="1">
        <f ca="1">IF(COUNTIFS($J$7:$J$510,Table7[[#Headers],[Energy Supply Market Intelligence]],$C$7:$C$510,$L162)&gt;0,0,MROUND(IFERROR(S162*($P162/$AI162),0),100))</f>
        <v>0</v>
      </c>
      <c r="AM162" s="1">
        <f ca="1">IF(COUNTIFS($J$7:$J$510,Table7[[#Headers],[Energy Supply RTM Analysis]],$C$7:$C$510,$L162)&gt;0,0,MROUND(IFERROR(T162*($P162/$AI162),0),100))</f>
        <v>0</v>
      </c>
      <c r="AN162" s="1">
        <f ca="1">IF(COUNTIFS($J$7:$J$510,Table7[[#Headers],[Energy Supply Forecasts]],$C$7:$C$510,$L162)&gt;0,0,MROUND(IFERROR(U162*($P162/$AI162),0),100))</f>
        <v>0</v>
      </c>
      <c r="AO162" s="1">
        <f ca="1">IF(COUNTIFS($J$7:$J$510,Table7[[#Headers],[Energy Supply Regulation]],$C$7:$C$510,$L162)&gt;0,0,MROUND(IFERROR(V162*($P162/$AI162),0),100))</f>
        <v>0</v>
      </c>
      <c r="AP162" s="1">
        <f ca="1">IF(COUNTIFS($J$7:$J$510,Table7[[#Headers],[Renewables Market Intelligence]],$C$7:$C$510,$L162)&gt;0,0,MROUND(IFERROR(W162*($P162/$AI162),0),100))</f>
        <v>0</v>
      </c>
      <c r="AQ162" s="1">
        <f ca="1">IF(COUNTIFS($J$7:$J$510,Table7[[#Headers],[Renewables RTM Analysis]],$C$7:$C$510,$L162)&gt;0,0,MROUND(IFERROR(X162*($P162/$AI162),0),100))</f>
        <v>0</v>
      </c>
      <c r="AR162" s="1">
        <f ca="1">IF(COUNTIFS($J$7:$J$510,Table7[[#Headers],[Renewables Forecasts]],$C$7:$C$510,$L162)&gt;0,0,MROUND(IFERROR(Y162*($P162/$AI162),0),100))</f>
        <v>0</v>
      </c>
      <c r="AS162" s="1">
        <f ca="1">IF(COUNTIFS($J$7:$J$510,Table7[[#Headers],[Renewables Regulation]],$C$7:$C$510,$L162)&gt;0,0,MROUND(IFERROR(Z162*($P162/$AI162),0),100))</f>
        <v>0</v>
      </c>
      <c r="AT162" s="1">
        <f ca="1">IF(COUNTIFS($J$7:$J$510,Table7[[#Headers],[Flexibility Market Intelligence]],$C$7:$C$510,$L162)&gt;0,0,MROUND(IFERROR(AA162*($P162/$AI162),0),100))</f>
        <v>0</v>
      </c>
      <c r="AU162" s="1">
        <f ca="1">IF(COUNTIFS($J$7:$J$510,Table7[[#Headers],[Flexibility RTM Analysis]],$C$7:$C$510,$L162)&gt;0,0,MROUND(IFERROR(AB162*($P162/$AI162),0),100))</f>
        <v>0</v>
      </c>
      <c r="AV162" s="1">
        <f ca="1">IF(COUNTIFS($J$7:$J$510,Table7[[#Headers],[Flexibility Forecasts]],$C$7:$C$510,$L162)&gt;0,0,MROUND(IFERROR(AC162*($P162/$AI162),0),100))</f>
        <v>0</v>
      </c>
      <c r="AW162" s="1">
        <f ca="1">IF(COUNTIFS($J$7:$J$510,Table7[[#Headers],[Flexibility Regulation]],$C$7:$C$510,$L162)&gt;0,0,MROUND(IFERROR(AD162*($P162/$AI162),0),100))</f>
        <v>0</v>
      </c>
      <c r="AX162" s="1">
        <f ca="1">IF(COUNTIFS($J$7:$J$510,Table7[[#Headers],[Business Energy Essentials]],$C$7:$C$510,$L162)&gt;0,0,MROUND(IFERROR(AE162*($P162/$AI162),0),100))</f>
        <v>0</v>
      </c>
      <c r="AY162" s="1">
        <f ca="1">IF(COUNTIFS($J$7:$J$510,Table7[[#Headers],[Energy User RTM Analysis]],$C$7:$C$510,$L162)&gt;0,0,MROUND(IFERROR(AF162*($P162/$AI162),0),100))</f>
        <v>0</v>
      </c>
      <c r="AZ162" s="1">
        <f ca="1">IF(COUNTIFS($J$7:$J$510,Table7[[#Headers],[Energy User Forecasts]],$C$7:$C$510,$L162)&gt;0,0,MROUND(IFERROR(AG162*($P162/$AI162),0),100))</f>
        <v>0</v>
      </c>
      <c r="BA162" s="1">
        <f ca="1">IF(COUNTIFS($J$7:$J$510,Table7[[#Headers],[Energy User Regulation]],$C$7:$C$510,$L162)&gt;0,0,MROUND(IFERROR(AH162*($P162/$AI162),0),100))</f>
        <v>0</v>
      </c>
    </row>
    <row r="163" spans="2:53">
      <c r="B163" s="38" t="s">
        <v>2154</v>
      </c>
      <c r="C163" s="38" t="s">
        <v>689</v>
      </c>
      <c r="D163" s="38" t="s">
        <v>2128</v>
      </c>
      <c r="E163" s="38" t="s">
        <v>1827</v>
      </c>
      <c r="F163" s="63">
        <v>9650</v>
      </c>
      <c r="G163" s="38"/>
      <c r="H163" s="38" t="s">
        <v>1703</v>
      </c>
      <c r="I163" s="38" t="s">
        <v>1703</v>
      </c>
      <c r="J163" s="38" t="s">
        <v>29</v>
      </c>
      <c r="L163" s="1" t="str">
        <v>Scotia Gas Networks Limited</v>
      </c>
      <c r="M163" s="1" t="str">
        <f t="shared" si="12"/>
        <v>Other</v>
      </c>
      <c r="N163" s="109">
        <f t="shared" si="13"/>
        <v>5000</v>
      </c>
      <c r="O163" s="1">
        <f>IFERROR(IF(INDEX(Table3[[Total Spend]:[Total Spend]],MATCH(L163,Table3[[Company name]:[Company name]],0))&gt;N163,INDEX(Table3[[Total Spend]:[Total Spend]],MATCH(L163,Table3[[Company name]:[Company name]])),N163),50000)</f>
        <v>10000</v>
      </c>
      <c r="P163" s="109">
        <f t="shared" si="14"/>
        <v>5000</v>
      </c>
      <c r="Q163" s="103">
        <f t="shared" si="15"/>
        <v>0.5</v>
      </c>
      <c r="R163" s="1">
        <f ca="1">IFERROR(INDEX(INDIRECT("Table3[Column"&amp;R$9&amp;"]"),MATCH($L163,Table3[[Company name]:[Company name]],0)),0)</f>
        <v>8100</v>
      </c>
      <c r="S163" s="1">
        <f ca="1">IFERROR(INDEX(INDIRECT("Table3[Column"&amp;S$9&amp;"]"),MATCH($L163,Table3[[Company name]:[Company name]],0)),0)</f>
        <v>0</v>
      </c>
      <c r="T163" s="1">
        <f ca="1">IFERROR(INDEX(INDIRECT("Table3[Column"&amp;T$9&amp;"]"),MATCH($L163,Table3[[Company name]:[Company name]],0)),0)</f>
        <v>0</v>
      </c>
      <c r="U163" s="1">
        <f ca="1">IFERROR(INDEX(INDIRECT("Table3[Column"&amp;U$9&amp;"]"),MATCH($L163,Table3[[Company name]:[Company name]],0)),0)</f>
        <v>0</v>
      </c>
      <c r="V163" s="1">
        <f ca="1">IFERROR(INDEX(INDIRECT("Table3[Column"&amp;V$9&amp;"]"),MATCH($L163,Table3[[Company name]:[Company name]],0)),0)</f>
        <v>0</v>
      </c>
      <c r="W163" s="1">
        <f ca="1">IFERROR(INDEX(INDIRECT("Table3[Column"&amp;W$9&amp;"]"),MATCH($L163,Table3[[Company name]:[Company name]],0)),0)</f>
        <v>0</v>
      </c>
      <c r="X163" s="1">
        <f ca="1">IFERROR(INDEX(INDIRECT("Table3[Column"&amp;X$9&amp;"]"),MATCH($L163,Table3[[Company name]:[Company name]],0)),0)</f>
        <v>0</v>
      </c>
      <c r="Y163" s="1">
        <f ca="1">IFERROR(INDEX(INDIRECT("Table3[Column"&amp;Y$9&amp;"]"),MATCH($L163,Table3[[Company name]:[Company name]],0)),0)</f>
        <v>0</v>
      </c>
      <c r="Z163" s="1">
        <f ca="1">IFERROR(INDEX(INDIRECT("Table3[Column"&amp;Z$9&amp;"]"),MATCH($L163,Table3[[Company name]:[Company name]],0)),0)</f>
        <v>0</v>
      </c>
      <c r="AA163" s="1">
        <f ca="1">IFERROR(INDEX(INDIRECT("Table3[Column"&amp;AA$9&amp;"]"),MATCH($L163,Table3[[Company name]:[Company name]],0)),0)</f>
        <v>0</v>
      </c>
      <c r="AB163" s="1">
        <f ca="1">IFERROR(INDEX(INDIRECT("Table3[Column"&amp;AB$9&amp;"]"),MATCH($L163,Table3[[Company name]:[Company name]],0)),0)</f>
        <v>0</v>
      </c>
      <c r="AC163" s="1">
        <f ca="1">IFERROR(INDEX(INDIRECT("Table3[Column"&amp;AC$9&amp;"]"),MATCH($L163,Table3[[Company name]:[Company name]],0)),0)</f>
        <v>0</v>
      </c>
      <c r="AD163" s="1">
        <f ca="1">IFERROR(INDEX(INDIRECT("Table3[Column"&amp;AD$9&amp;"]"),MATCH($L163,Table3[[Company name]:[Company name]],0)),0)</f>
        <v>0</v>
      </c>
      <c r="AE163" s="1">
        <f ca="1">IFERROR(INDEX(INDIRECT("Table3[Column"&amp;AE$9&amp;"]"),MATCH($L163,Table3[[Company name]:[Company name]],0)),0)</f>
        <v>0</v>
      </c>
      <c r="AF163" s="1">
        <f ca="1">IFERROR(INDEX(INDIRECT("Table3[Column"&amp;AF$9&amp;"]"),MATCH($L163,Table3[[Company name]:[Company name]],0)),0)</f>
        <v>0</v>
      </c>
      <c r="AG163" s="1">
        <f ca="1">IFERROR(INDEX(INDIRECT("Table3[Column"&amp;AG$9&amp;"]"),MATCH($L163,Table3[[Company name]:[Company name]],0)),0)</f>
        <v>0</v>
      </c>
      <c r="AH163" s="1">
        <f ca="1">IFERROR(INDEX(INDIRECT("Table3[Column"&amp;AH$9&amp;"]"),MATCH($L163,Table3[[Company name]:[Company name]],0)),0)</f>
        <v>0</v>
      </c>
      <c r="AI163" s="1">
        <f t="shared" ca="1" si="16"/>
        <v>8100</v>
      </c>
      <c r="AK163" s="1">
        <f>IF(COUNTIFS($J$7:$J$510,Table7[[#Headers],[Industry Essentials]],$C$7:$C$510,$L163)&gt;0,0,MROUND(R163,100))</f>
        <v>0</v>
      </c>
      <c r="AL163" s="1">
        <f ca="1">IF(COUNTIFS($J$7:$J$510,Table7[[#Headers],[Energy Supply Market Intelligence]],$C$7:$C$510,$L163)&gt;0,0,MROUND(IFERROR(S163*($P163/$AI163),0),100))</f>
        <v>0</v>
      </c>
      <c r="AM163" s="1">
        <f ca="1">IF(COUNTIFS($J$7:$J$510,Table7[[#Headers],[Energy Supply RTM Analysis]],$C$7:$C$510,$L163)&gt;0,0,MROUND(IFERROR(T163*($P163/$AI163),0),100))</f>
        <v>0</v>
      </c>
      <c r="AN163" s="1">
        <f ca="1">IF(COUNTIFS($J$7:$J$510,Table7[[#Headers],[Energy Supply Forecasts]],$C$7:$C$510,$L163)&gt;0,0,MROUND(IFERROR(U163*($P163/$AI163),0),100))</f>
        <v>0</v>
      </c>
      <c r="AO163" s="1">
        <f ca="1">IF(COUNTIFS($J$7:$J$510,Table7[[#Headers],[Energy Supply Regulation]],$C$7:$C$510,$L163)&gt;0,0,MROUND(IFERROR(V163*($P163/$AI163),0),100))</f>
        <v>0</v>
      </c>
      <c r="AP163" s="1">
        <f ca="1">IF(COUNTIFS($J$7:$J$510,Table7[[#Headers],[Renewables Market Intelligence]],$C$7:$C$510,$L163)&gt;0,0,MROUND(IFERROR(W163*($P163/$AI163),0),100))</f>
        <v>0</v>
      </c>
      <c r="AQ163" s="1">
        <f ca="1">IF(COUNTIFS($J$7:$J$510,Table7[[#Headers],[Renewables RTM Analysis]],$C$7:$C$510,$L163)&gt;0,0,MROUND(IFERROR(X163*($P163/$AI163),0),100))</f>
        <v>0</v>
      </c>
      <c r="AR163" s="1">
        <f ca="1">IF(COUNTIFS($J$7:$J$510,Table7[[#Headers],[Renewables Forecasts]],$C$7:$C$510,$L163)&gt;0,0,MROUND(IFERROR(Y163*($P163/$AI163),0),100))</f>
        <v>0</v>
      </c>
      <c r="AS163" s="1">
        <f ca="1">IF(COUNTIFS($J$7:$J$510,Table7[[#Headers],[Renewables Regulation]],$C$7:$C$510,$L163)&gt;0,0,MROUND(IFERROR(Z163*($P163/$AI163),0),100))</f>
        <v>0</v>
      </c>
      <c r="AT163" s="1">
        <f ca="1">IF(COUNTIFS($J$7:$J$510,Table7[[#Headers],[Flexibility Market Intelligence]],$C$7:$C$510,$L163)&gt;0,0,MROUND(IFERROR(AA163*($P163/$AI163),0),100))</f>
        <v>0</v>
      </c>
      <c r="AU163" s="1">
        <f ca="1">IF(COUNTIFS($J$7:$J$510,Table7[[#Headers],[Flexibility RTM Analysis]],$C$7:$C$510,$L163)&gt;0,0,MROUND(IFERROR(AB163*($P163/$AI163),0),100))</f>
        <v>0</v>
      </c>
      <c r="AV163" s="1">
        <f ca="1">IF(COUNTIFS($J$7:$J$510,Table7[[#Headers],[Flexibility Forecasts]],$C$7:$C$510,$L163)&gt;0,0,MROUND(IFERROR(AC163*($P163/$AI163),0),100))</f>
        <v>0</v>
      </c>
      <c r="AW163" s="1">
        <f ca="1">IF(COUNTIFS($J$7:$J$510,Table7[[#Headers],[Flexibility Regulation]],$C$7:$C$510,$L163)&gt;0,0,MROUND(IFERROR(AD163*($P163/$AI163),0),100))</f>
        <v>0</v>
      </c>
      <c r="AX163" s="1">
        <f ca="1">IF(COUNTIFS($J$7:$J$510,Table7[[#Headers],[Business Energy Essentials]],$C$7:$C$510,$L163)&gt;0,0,MROUND(IFERROR(AE163*($P163/$AI163),0),100))</f>
        <v>0</v>
      </c>
      <c r="AY163" s="1">
        <f ca="1">IF(COUNTIFS($J$7:$J$510,Table7[[#Headers],[Energy User RTM Analysis]],$C$7:$C$510,$L163)&gt;0,0,MROUND(IFERROR(AF163*($P163/$AI163),0),100))</f>
        <v>0</v>
      </c>
      <c r="AZ163" s="1">
        <f ca="1">IF(COUNTIFS($J$7:$J$510,Table7[[#Headers],[Energy User Forecasts]],$C$7:$C$510,$L163)&gt;0,0,MROUND(IFERROR(AG163*($P163/$AI163),0),100))</f>
        <v>0</v>
      </c>
      <c r="BA163" s="1">
        <f ca="1">IF(COUNTIFS($J$7:$J$510,Table7[[#Headers],[Energy User Regulation]],$C$7:$C$510,$L163)&gt;0,0,MROUND(IFERROR(AH163*($P163/$AI163),0),100))</f>
        <v>0</v>
      </c>
    </row>
    <row r="164" spans="2:53">
      <c r="B164" s="38" t="s">
        <v>2155</v>
      </c>
      <c r="C164" s="38" t="s">
        <v>241</v>
      </c>
      <c r="D164" s="38" t="s">
        <v>2040</v>
      </c>
      <c r="E164" s="38" t="s">
        <v>1799</v>
      </c>
      <c r="F164" s="63">
        <v>8000</v>
      </c>
      <c r="G164" s="38"/>
      <c r="H164" s="38" t="s">
        <v>1702</v>
      </c>
      <c r="I164" s="38" t="s">
        <v>2032</v>
      </c>
      <c r="J164" s="38" t="s">
        <v>20</v>
      </c>
      <c r="L164" s="1" t="str">
        <v>Scottish Fuel Poverty Advisory Panel</v>
      </c>
      <c r="M164" s="1" t="str">
        <f t="shared" si="12"/>
        <v>Other</v>
      </c>
      <c r="N164" s="109">
        <f t="shared" si="13"/>
        <v>1714.2857142857142</v>
      </c>
      <c r="O164" s="1">
        <f>IFERROR(IF(INDEX(Table3[[Total Spend]:[Total Spend]],MATCH(L164,Table3[[Company name]:[Company name]],0))&gt;N164,INDEX(Table3[[Total Spend]:[Total Spend]],MATCH(L164,Table3[[Company name]:[Company name]])),N164),50000)</f>
        <v>50000</v>
      </c>
      <c r="P164" s="109">
        <f t="shared" si="14"/>
        <v>48285.714285714283</v>
      </c>
      <c r="Q164" s="103">
        <f t="shared" si="15"/>
        <v>3.4285714285714287E-2</v>
      </c>
      <c r="R164" s="1">
        <f ca="1">IFERROR(INDEX(INDIRECT("Table3[Column"&amp;R$9&amp;"]"),MATCH($L164,Table3[[Company name]:[Company name]],0)),0)</f>
        <v>0</v>
      </c>
      <c r="S164" s="1">
        <f ca="1">IFERROR(INDEX(INDIRECT("Table3[Column"&amp;S$9&amp;"]"),MATCH($L164,Table3[[Company name]:[Company name]],0)),0)</f>
        <v>0</v>
      </c>
      <c r="T164" s="1">
        <f ca="1">IFERROR(INDEX(INDIRECT("Table3[Column"&amp;T$9&amp;"]"),MATCH($L164,Table3[[Company name]:[Company name]],0)),0)</f>
        <v>0</v>
      </c>
      <c r="U164" s="1">
        <f ca="1">IFERROR(INDEX(INDIRECT("Table3[Column"&amp;U$9&amp;"]"),MATCH($L164,Table3[[Company name]:[Company name]],0)),0)</f>
        <v>0</v>
      </c>
      <c r="V164" s="1">
        <f ca="1">IFERROR(INDEX(INDIRECT("Table3[Column"&amp;V$9&amp;"]"),MATCH($L164,Table3[[Company name]:[Company name]],0)),0)</f>
        <v>0</v>
      </c>
      <c r="W164" s="1">
        <f ca="1">IFERROR(INDEX(INDIRECT("Table3[Column"&amp;W$9&amp;"]"),MATCH($L164,Table3[[Company name]:[Company name]],0)),0)</f>
        <v>0</v>
      </c>
      <c r="X164" s="1">
        <f ca="1">IFERROR(INDEX(INDIRECT("Table3[Column"&amp;X$9&amp;"]"),MATCH($L164,Table3[[Company name]:[Company name]],0)),0)</f>
        <v>0</v>
      </c>
      <c r="Y164" s="1">
        <f ca="1">IFERROR(INDEX(INDIRECT("Table3[Column"&amp;Y$9&amp;"]"),MATCH($L164,Table3[[Company name]:[Company name]],0)),0)</f>
        <v>0</v>
      </c>
      <c r="Z164" s="1">
        <f ca="1">IFERROR(INDEX(INDIRECT("Table3[Column"&amp;Z$9&amp;"]"),MATCH($L164,Table3[[Company name]:[Company name]],0)),0)</f>
        <v>0</v>
      </c>
      <c r="AA164" s="1">
        <f ca="1">IFERROR(INDEX(INDIRECT("Table3[Column"&amp;AA$9&amp;"]"),MATCH($L164,Table3[[Company name]:[Company name]],0)),0)</f>
        <v>0</v>
      </c>
      <c r="AB164" s="1">
        <f ca="1">IFERROR(INDEX(INDIRECT("Table3[Column"&amp;AB$9&amp;"]"),MATCH($L164,Table3[[Company name]:[Company name]],0)),0)</f>
        <v>0</v>
      </c>
      <c r="AC164" s="1">
        <f ca="1">IFERROR(INDEX(INDIRECT("Table3[Column"&amp;AC$9&amp;"]"),MATCH($L164,Table3[[Company name]:[Company name]],0)),0)</f>
        <v>0</v>
      </c>
      <c r="AD164" s="1">
        <f ca="1">IFERROR(INDEX(INDIRECT("Table3[Column"&amp;AD$9&amp;"]"),MATCH($L164,Table3[[Company name]:[Company name]],0)),0)</f>
        <v>0</v>
      </c>
      <c r="AE164" s="1">
        <f ca="1">IFERROR(INDEX(INDIRECT("Table3[Column"&amp;AE$9&amp;"]"),MATCH($L164,Table3[[Company name]:[Company name]],0)),0)</f>
        <v>0</v>
      </c>
      <c r="AF164" s="1">
        <f ca="1">IFERROR(INDEX(INDIRECT("Table3[Column"&amp;AF$9&amp;"]"),MATCH($L164,Table3[[Company name]:[Company name]],0)),0)</f>
        <v>0</v>
      </c>
      <c r="AG164" s="1">
        <f ca="1">IFERROR(INDEX(INDIRECT("Table3[Column"&amp;AG$9&amp;"]"),MATCH($L164,Table3[[Company name]:[Company name]],0)),0)</f>
        <v>0</v>
      </c>
      <c r="AH164" s="1">
        <f ca="1">IFERROR(INDEX(INDIRECT("Table3[Column"&amp;AH$9&amp;"]"),MATCH($L164,Table3[[Company name]:[Company name]],0)),0)</f>
        <v>0</v>
      </c>
      <c r="AI164" s="1">
        <f t="shared" ca="1" si="16"/>
        <v>0</v>
      </c>
      <c r="AK164" s="1">
        <f>IF(COUNTIFS($J$7:$J$510,Table7[[#Headers],[Industry Essentials]],$C$7:$C$510,$L164)&gt;0,0,MROUND(R164,100))</f>
        <v>0</v>
      </c>
      <c r="AL164" s="1">
        <f ca="1">IF(COUNTIFS($J$7:$J$510,Table7[[#Headers],[Energy Supply Market Intelligence]],$C$7:$C$510,$L164)&gt;0,0,MROUND(IFERROR(S164*($P164/$AI164),0),100))</f>
        <v>0</v>
      </c>
      <c r="AM164" s="1">
        <f ca="1">IF(COUNTIFS($J$7:$J$510,Table7[[#Headers],[Energy Supply RTM Analysis]],$C$7:$C$510,$L164)&gt;0,0,MROUND(IFERROR(T164*($P164/$AI164),0),100))</f>
        <v>0</v>
      </c>
      <c r="AN164" s="1">
        <f ca="1">IF(COUNTIFS($J$7:$J$510,Table7[[#Headers],[Energy Supply Forecasts]],$C$7:$C$510,$L164)&gt;0,0,MROUND(IFERROR(U164*($P164/$AI164),0),100))</f>
        <v>0</v>
      </c>
      <c r="AO164" s="1">
        <f ca="1">IF(COUNTIFS($J$7:$J$510,Table7[[#Headers],[Energy Supply Regulation]],$C$7:$C$510,$L164)&gt;0,0,MROUND(IFERROR(V164*($P164/$AI164),0),100))</f>
        <v>0</v>
      </c>
      <c r="AP164" s="1">
        <f ca="1">IF(COUNTIFS($J$7:$J$510,Table7[[#Headers],[Renewables Market Intelligence]],$C$7:$C$510,$L164)&gt;0,0,MROUND(IFERROR(W164*($P164/$AI164),0),100))</f>
        <v>0</v>
      </c>
      <c r="AQ164" s="1">
        <f ca="1">IF(COUNTIFS($J$7:$J$510,Table7[[#Headers],[Renewables RTM Analysis]],$C$7:$C$510,$L164)&gt;0,0,MROUND(IFERROR(X164*($P164/$AI164),0),100))</f>
        <v>0</v>
      </c>
      <c r="AR164" s="1">
        <f ca="1">IF(COUNTIFS($J$7:$J$510,Table7[[#Headers],[Renewables Forecasts]],$C$7:$C$510,$L164)&gt;0,0,MROUND(IFERROR(Y164*($P164/$AI164),0),100))</f>
        <v>0</v>
      </c>
      <c r="AS164" s="1">
        <f ca="1">IF(COUNTIFS($J$7:$J$510,Table7[[#Headers],[Renewables Regulation]],$C$7:$C$510,$L164)&gt;0,0,MROUND(IFERROR(Z164*($P164/$AI164),0),100))</f>
        <v>0</v>
      </c>
      <c r="AT164" s="1">
        <f ca="1">IF(COUNTIFS($J$7:$J$510,Table7[[#Headers],[Flexibility Market Intelligence]],$C$7:$C$510,$L164)&gt;0,0,MROUND(IFERROR(AA164*($P164/$AI164),0),100))</f>
        <v>0</v>
      </c>
      <c r="AU164" s="1">
        <f ca="1">IF(COUNTIFS($J$7:$J$510,Table7[[#Headers],[Flexibility RTM Analysis]],$C$7:$C$510,$L164)&gt;0,0,MROUND(IFERROR(AB164*($P164/$AI164),0),100))</f>
        <v>0</v>
      </c>
      <c r="AV164" s="1">
        <f ca="1">IF(COUNTIFS($J$7:$J$510,Table7[[#Headers],[Flexibility Forecasts]],$C$7:$C$510,$L164)&gt;0,0,MROUND(IFERROR(AC164*($P164/$AI164),0),100))</f>
        <v>0</v>
      </c>
      <c r="AW164" s="1">
        <f ca="1">IF(COUNTIFS($J$7:$J$510,Table7[[#Headers],[Flexibility Regulation]],$C$7:$C$510,$L164)&gt;0,0,MROUND(IFERROR(AD164*($P164/$AI164),0),100))</f>
        <v>0</v>
      </c>
      <c r="AX164" s="1">
        <f ca="1">IF(COUNTIFS($J$7:$J$510,Table7[[#Headers],[Business Energy Essentials]],$C$7:$C$510,$L164)&gt;0,0,MROUND(IFERROR(AE164*($P164/$AI164),0),100))</f>
        <v>0</v>
      </c>
      <c r="AY164" s="1">
        <f ca="1">IF(COUNTIFS($J$7:$J$510,Table7[[#Headers],[Energy User RTM Analysis]],$C$7:$C$510,$L164)&gt;0,0,MROUND(IFERROR(AF164*($P164/$AI164),0),100))</f>
        <v>0</v>
      </c>
      <c r="AZ164" s="1">
        <f ca="1">IF(COUNTIFS($J$7:$J$510,Table7[[#Headers],[Energy User Forecasts]],$C$7:$C$510,$L164)&gt;0,0,MROUND(IFERROR(AG164*($P164/$AI164),0),100))</f>
        <v>0</v>
      </c>
      <c r="BA164" s="1">
        <f ca="1">IF(COUNTIFS($J$7:$J$510,Table7[[#Headers],[Energy User Regulation]],$C$7:$C$510,$L164)&gt;0,0,MROUND(IFERROR(AH164*($P164/$AI164),0),100))</f>
        <v>0</v>
      </c>
    </row>
    <row r="165" spans="2:53">
      <c r="B165" s="38" t="s">
        <v>2155</v>
      </c>
      <c r="C165" s="38" t="s">
        <v>241</v>
      </c>
      <c r="D165" s="38" t="s">
        <v>2054</v>
      </c>
      <c r="E165" s="38" t="s">
        <v>2055</v>
      </c>
      <c r="F165" s="63">
        <v>11446.153846153846</v>
      </c>
      <c r="G165" s="38"/>
      <c r="H165" s="38" t="s">
        <v>1702</v>
      </c>
      <c r="I165" s="38" t="s">
        <v>1702</v>
      </c>
      <c r="J165" s="38" t="s">
        <v>27</v>
      </c>
      <c r="L165" s="1" t="str">
        <v>Scottish Water Ltd</v>
      </c>
      <c r="M165" s="1" t="str">
        <f t="shared" si="12"/>
        <v>Energy User</v>
      </c>
      <c r="N165" s="109">
        <f t="shared" si="13"/>
        <v>9000</v>
      </c>
      <c r="O165" s="1">
        <f>IFERROR(IF(INDEX(Table3[[Total Spend]:[Total Spend]],MATCH(L165,Table3[[Company name]:[Company name]],0))&gt;N165,INDEX(Table3[[Total Spend]:[Total Spend]],MATCH(L165,Table3[[Company name]:[Company name]])),N165),50000)</f>
        <v>10000</v>
      </c>
      <c r="P165" s="109">
        <f t="shared" si="14"/>
        <v>1000</v>
      </c>
      <c r="Q165" s="103">
        <f t="shared" si="15"/>
        <v>0.9</v>
      </c>
      <c r="R165" s="1">
        <f ca="1">IFERROR(INDEX(INDIRECT("Table3[Column"&amp;R$9&amp;"]"),MATCH($L165,Table3[[Company name]:[Company name]],0)),0)</f>
        <v>10800</v>
      </c>
      <c r="S165" s="1">
        <f ca="1">IFERROR(INDEX(INDIRECT("Table3[Column"&amp;S$9&amp;"]"),MATCH($L165,Table3[[Company name]:[Company name]],0)),0)</f>
        <v>0</v>
      </c>
      <c r="T165" s="1">
        <f ca="1">IFERROR(INDEX(INDIRECT("Table3[Column"&amp;T$9&amp;"]"),MATCH($L165,Table3[[Company name]:[Company name]],0)),0)</f>
        <v>0</v>
      </c>
      <c r="U165" s="1">
        <f ca="1">IFERROR(INDEX(INDIRECT("Table3[Column"&amp;U$9&amp;"]"),MATCH($L165,Table3[[Company name]:[Company name]],0)),0)</f>
        <v>0</v>
      </c>
      <c r="V165" s="1">
        <f ca="1">IFERROR(INDEX(INDIRECT("Table3[Column"&amp;V$9&amp;"]"),MATCH($L165,Table3[[Company name]:[Company name]],0)),0)</f>
        <v>0</v>
      </c>
      <c r="W165" s="1">
        <f ca="1">IFERROR(INDEX(INDIRECT("Table3[Column"&amp;W$9&amp;"]"),MATCH($L165,Table3[[Company name]:[Company name]],0)),0)</f>
        <v>23400</v>
      </c>
      <c r="X165" s="1">
        <f ca="1">IFERROR(INDEX(INDIRECT("Table3[Column"&amp;X$9&amp;"]"),MATCH($L165,Table3[[Company name]:[Company name]],0)),0)</f>
        <v>20700</v>
      </c>
      <c r="Y165" s="1">
        <f ca="1">IFERROR(INDEX(INDIRECT("Table3[Column"&amp;Y$9&amp;"]"),MATCH($L165,Table3[[Company name]:[Company name]],0)),0)</f>
        <v>59400</v>
      </c>
      <c r="Z165" s="1">
        <f ca="1">IFERROR(INDEX(INDIRECT("Table3[Column"&amp;Z$9&amp;"]"),MATCH($L165,Table3[[Company name]:[Company name]],0)),0)</f>
        <v>26100</v>
      </c>
      <c r="AA165" s="1">
        <f ca="1">IFERROR(INDEX(INDIRECT("Table3[Column"&amp;AA$9&amp;"]"),MATCH($L165,Table3[[Company name]:[Company name]],0)),0)</f>
        <v>0</v>
      </c>
      <c r="AB165" s="1">
        <f ca="1">IFERROR(INDEX(INDIRECT("Table3[Column"&amp;AB$9&amp;"]"),MATCH($L165,Table3[[Company name]:[Company name]],0)),0)</f>
        <v>0</v>
      </c>
      <c r="AC165" s="1">
        <f ca="1">IFERROR(INDEX(INDIRECT("Table3[Column"&amp;AC$9&amp;"]"),MATCH($L165,Table3[[Company name]:[Company name]],0)),0)</f>
        <v>0</v>
      </c>
      <c r="AD165" s="1">
        <f ca="1">IFERROR(INDEX(INDIRECT("Table3[Column"&amp;AD$9&amp;"]"),MATCH($L165,Table3[[Company name]:[Company name]],0)),0)</f>
        <v>0</v>
      </c>
      <c r="AE165" s="1">
        <f ca="1">IFERROR(INDEX(INDIRECT("Table3[Column"&amp;AE$9&amp;"]"),MATCH($L165,Table3[[Company name]:[Company name]],0)),0)</f>
        <v>15300</v>
      </c>
      <c r="AF165" s="1">
        <f ca="1">IFERROR(INDEX(INDIRECT("Table3[Column"&amp;AF$9&amp;"]"),MATCH($L165,Table3[[Company name]:[Company name]],0)),0)</f>
        <v>15750</v>
      </c>
      <c r="AG165" s="1">
        <f ca="1">IFERROR(INDEX(INDIRECT("Table3[Column"&amp;AG$9&amp;"]"),MATCH($L165,Table3[[Company name]:[Company name]],0)),0)</f>
        <v>27000</v>
      </c>
      <c r="AH165" s="1">
        <f ca="1">IFERROR(INDEX(INDIRECT("Table3[Column"&amp;AH$9&amp;"]"),MATCH($L165,Table3[[Company name]:[Company name]],0)),0)</f>
        <v>6300</v>
      </c>
      <c r="AI165" s="1">
        <f t="shared" ca="1" si="16"/>
        <v>204750</v>
      </c>
      <c r="AK165" s="1">
        <f>IF(COUNTIFS($J$7:$J$510,Table7[[#Headers],[Industry Essentials]],$C$7:$C$510,$L165)&gt;0,0,MROUND(R165,100))</f>
        <v>0</v>
      </c>
      <c r="AL165" s="1">
        <f ca="1">IF(COUNTIFS($J$7:$J$510,Table7[[#Headers],[Energy Supply Market Intelligence]],$C$7:$C$510,$L165)&gt;0,0,MROUND(IFERROR(S165*($P165/$AI165),0),100))</f>
        <v>0</v>
      </c>
      <c r="AM165" s="1">
        <f ca="1">IF(COUNTIFS($J$7:$J$510,Table7[[#Headers],[Energy Supply RTM Analysis]],$C$7:$C$510,$L165)&gt;0,0,MROUND(IFERROR(T165*($P165/$AI165),0),100))</f>
        <v>0</v>
      </c>
      <c r="AN165" s="1">
        <f ca="1">IF(COUNTIFS($J$7:$J$510,Table7[[#Headers],[Energy Supply Forecasts]],$C$7:$C$510,$L165)&gt;0,0,MROUND(IFERROR(U165*($P165/$AI165),0),100))</f>
        <v>0</v>
      </c>
      <c r="AO165" s="1">
        <f ca="1">IF(COUNTIFS($J$7:$J$510,Table7[[#Headers],[Energy Supply Regulation]],$C$7:$C$510,$L165)&gt;0,0,MROUND(IFERROR(V165*($P165/$AI165),0),100))</f>
        <v>0</v>
      </c>
      <c r="AP165" s="1">
        <f ca="1">IF(COUNTIFS($J$7:$J$510,Table7[[#Headers],[Renewables Market Intelligence]],$C$7:$C$510,$L165)&gt;0,0,MROUND(IFERROR(W165*($P165/$AI165),0),100))</f>
        <v>100</v>
      </c>
      <c r="AQ165" s="1">
        <f ca="1">IF(COUNTIFS($J$7:$J$510,Table7[[#Headers],[Renewables RTM Analysis]],$C$7:$C$510,$L165)&gt;0,0,MROUND(IFERROR(X165*($P165/$AI165),0),100))</f>
        <v>100</v>
      </c>
      <c r="AR165" s="1">
        <f ca="1">IF(COUNTIFS($J$7:$J$510,Table7[[#Headers],[Renewables Forecasts]],$C$7:$C$510,$L165)&gt;0,0,MROUND(IFERROR(Y165*($P165/$AI165),0),100))</f>
        <v>300</v>
      </c>
      <c r="AS165" s="1">
        <f ca="1">IF(COUNTIFS($J$7:$J$510,Table7[[#Headers],[Renewables Regulation]],$C$7:$C$510,$L165)&gt;0,0,MROUND(IFERROR(Z165*($P165/$AI165),0),100))</f>
        <v>100</v>
      </c>
      <c r="AT165" s="1">
        <f ca="1">IF(COUNTIFS($J$7:$J$510,Table7[[#Headers],[Flexibility Market Intelligence]],$C$7:$C$510,$L165)&gt;0,0,MROUND(IFERROR(AA165*($P165/$AI165),0),100))</f>
        <v>0</v>
      </c>
      <c r="AU165" s="1">
        <f ca="1">IF(COUNTIFS($J$7:$J$510,Table7[[#Headers],[Flexibility RTM Analysis]],$C$7:$C$510,$L165)&gt;0,0,MROUND(IFERROR(AB165*($P165/$AI165),0),100))</f>
        <v>0</v>
      </c>
      <c r="AV165" s="1">
        <f ca="1">IF(COUNTIFS($J$7:$J$510,Table7[[#Headers],[Flexibility Forecasts]],$C$7:$C$510,$L165)&gt;0,0,MROUND(IFERROR(AC165*($P165/$AI165),0),100))</f>
        <v>0</v>
      </c>
      <c r="AW165" s="1">
        <f ca="1">IF(COUNTIFS($J$7:$J$510,Table7[[#Headers],[Flexibility Regulation]],$C$7:$C$510,$L165)&gt;0,0,MROUND(IFERROR(AD165*($P165/$AI165),0),100))</f>
        <v>0</v>
      </c>
      <c r="AX165" s="1">
        <f ca="1">IF(COUNTIFS($J$7:$J$510,Table7[[#Headers],[Business Energy Essentials]],$C$7:$C$510,$L165)&gt;0,0,MROUND(IFERROR(AE165*($P165/$AI165),0),100))</f>
        <v>100</v>
      </c>
      <c r="AY165" s="1">
        <f ca="1">IF(COUNTIFS($J$7:$J$510,Table7[[#Headers],[Energy User RTM Analysis]],$C$7:$C$510,$L165)&gt;0,0,MROUND(IFERROR(AF165*($P165/$AI165),0),100))</f>
        <v>100</v>
      </c>
      <c r="AZ165" s="1">
        <f ca="1">IF(COUNTIFS($J$7:$J$510,Table7[[#Headers],[Energy User Forecasts]],$C$7:$C$510,$L165)&gt;0,0,MROUND(IFERROR(AG165*($P165/$AI165),0),100))</f>
        <v>100</v>
      </c>
      <c r="BA165" s="1">
        <f ca="1">IF(COUNTIFS($J$7:$J$510,Table7[[#Headers],[Energy User Regulation]],$C$7:$C$510,$L165)&gt;0,0,MROUND(IFERROR(AH165*($P165/$AI165),0),100))</f>
        <v>0</v>
      </c>
    </row>
    <row r="166" spans="2:53">
      <c r="B166" s="38" t="s">
        <v>2156</v>
      </c>
      <c r="C166" s="38" t="s">
        <v>1248</v>
      </c>
      <c r="D166" s="38" t="s">
        <v>2035</v>
      </c>
      <c r="E166" s="38" t="s">
        <v>1855</v>
      </c>
      <c r="F166" s="63">
        <v>3000</v>
      </c>
      <c r="G166" s="38"/>
      <c r="H166" s="38" t="s">
        <v>2032</v>
      </c>
      <c r="I166" s="38" t="s">
        <v>2032</v>
      </c>
      <c r="J166" s="38" t="s">
        <v>20</v>
      </c>
      <c r="L166" s="1" t="str">
        <v>ScottishPower Limited</v>
      </c>
      <c r="M166" s="1" t="str">
        <f t="shared" si="12"/>
        <v>Supply</v>
      </c>
      <c r="N166" s="109">
        <f t="shared" si="13"/>
        <v>181590.98999999993</v>
      </c>
      <c r="O166" s="1">
        <f>IFERROR(IF(INDEX(Table3[[Total Spend]:[Total Spend]],MATCH(L166,Table3[[Company name]:[Company name]],0))&gt;N166,INDEX(Table3[[Total Spend]:[Total Spend]],MATCH(L166,Table3[[Company name]:[Company name]])),N166),50000)</f>
        <v>10000</v>
      </c>
      <c r="P166" s="109">
        <f t="shared" si="14"/>
        <v>181590.98999999993</v>
      </c>
      <c r="Q166" s="103">
        <f t="shared" si="15"/>
        <v>1</v>
      </c>
      <c r="R166" s="1">
        <f ca="1">IFERROR(INDEX(INDIRECT("Table3[Column"&amp;R$9&amp;"]"),MATCH($L166,Table3[[Company name]:[Company name]],0)),0)</f>
        <v>10800</v>
      </c>
      <c r="S166" s="1">
        <f ca="1">IFERROR(INDEX(INDIRECT("Table3[Column"&amp;S$9&amp;"]"),MATCH($L166,Table3[[Company name]:[Company name]],0)),0)</f>
        <v>43200</v>
      </c>
      <c r="T166" s="1">
        <f ca="1">IFERROR(INDEX(INDIRECT("Table3[Column"&amp;T$9&amp;"]"),MATCH($L166,Table3[[Company name]:[Company name]],0)),0)</f>
        <v>73800</v>
      </c>
      <c r="U166" s="1">
        <f ca="1">IFERROR(INDEX(INDIRECT("Table3[Column"&amp;U$9&amp;"]"),MATCH($L166,Table3[[Company name]:[Company name]],0)),0)</f>
        <v>48600</v>
      </c>
      <c r="V166" s="1">
        <f ca="1">IFERROR(INDEX(INDIRECT("Table3[Column"&amp;V$9&amp;"]"),MATCH($L166,Table3[[Company name]:[Company name]],0)),0)</f>
        <v>55800</v>
      </c>
      <c r="W166" s="1">
        <f ca="1">IFERROR(INDEX(INDIRECT("Table3[Column"&amp;W$9&amp;"]"),MATCH($L166,Table3[[Company name]:[Company name]],0)),0)</f>
        <v>0</v>
      </c>
      <c r="X166" s="1">
        <f ca="1">IFERROR(INDEX(INDIRECT("Table3[Column"&amp;X$9&amp;"]"),MATCH($L166,Table3[[Company name]:[Company name]],0)),0)</f>
        <v>0</v>
      </c>
      <c r="Y166" s="1">
        <f ca="1">IFERROR(INDEX(INDIRECT("Table3[Column"&amp;Y$9&amp;"]"),MATCH($L166,Table3[[Company name]:[Company name]],0)),0)</f>
        <v>0</v>
      </c>
      <c r="Z166" s="1">
        <f ca="1">IFERROR(INDEX(INDIRECT("Table3[Column"&amp;Z$9&amp;"]"),MATCH($L166,Table3[[Company name]:[Company name]],0)),0)</f>
        <v>0</v>
      </c>
      <c r="AA166" s="1">
        <f ca="1">IFERROR(INDEX(INDIRECT("Table3[Column"&amp;AA$9&amp;"]"),MATCH($L166,Table3[[Company name]:[Company name]],0)),0)</f>
        <v>29700</v>
      </c>
      <c r="AB166" s="1">
        <f ca="1">IFERROR(INDEX(INDIRECT("Table3[Column"&amp;AB$9&amp;"]"),MATCH($L166,Table3[[Company name]:[Company name]],0)),0)</f>
        <v>0</v>
      </c>
      <c r="AC166" s="1">
        <f ca="1">IFERROR(INDEX(INDIRECT("Table3[Column"&amp;AC$9&amp;"]"),MATCH($L166,Table3[[Company name]:[Company name]],0)),0)</f>
        <v>0</v>
      </c>
      <c r="AD166" s="1">
        <f ca="1">IFERROR(INDEX(INDIRECT("Table3[Column"&amp;AD$9&amp;"]"),MATCH($L166,Table3[[Company name]:[Company name]],0)),0)</f>
        <v>0</v>
      </c>
      <c r="AE166" s="1">
        <f ca="1">IFERROR(INDEX(INDIRECT("Table3[Column"&amp;AE$9&amp;"]"),MATCH($L166,Table3[[Company name]:[Company name]],0)),0)</f>
        <v>0</v>
      </c>
      <c r="AF166" s="1">
        <f ca="1">IFERROR(INDEX(INDIRECT("Table3[Column"&amp;AF$9&amp;"]"),MATCH($L166,Table3[[Company name]:[Company name]],0)),0)</f>
        <v>0</v>
      </c>
      <c r="AG166" s="1">
        <f ca="1">IFERROR(INDEX(INDIRECT("Table3[Column"&amp;AG$9&amp;"]"),MATCH($L166,Table3[[Company name]:[Company name]],0)),0)</f>
        <v>0</v>
      </c>
      <c r="AH166" s="1">
        <f ca="1">IFERROR(INDEX(INDIRECT("Table3[Column"&amp;AH$9&amp;"]"),MATCH($L166,Table3[[Company name]:[Company name]],0)),0)</f>
        <v>0</v>
      </c>
      <c r="AI166" s="1">
        <f t="shared" ca="1" si="16"/>
        <v>261900</v>
      </c>
      <c r="AK166" s="1">
        <f>IF(COUNTIFS($J$7:$J$510,Table7[[#Headers],[Industry Essentials]],$C$7:$C$510,$L166)&gt;0,0,MROUND(R166,100))</f>
        <v>0</v>
      </c>
      <c r="AL166" s="1">
        <f>IF(COUNTIFS($J$7:$J$510,Table7[[#Headers],[Energy Supply Market Intelligence]],$C$7:$C$510,$L166)&gt;0,0,MROUND(IFERROR(S166*($P166/$AI166),0),100))</f>
        <v>0</v>
      </c>
      <c r="AM166" s="1">
        <f ca="1">IF(COUNTIFS($J$7:$J$510,Table7[[#Headers],[Energy Supply RTM Analysis]],$C$7:$C$510,$L166)&gt;0,0,MROUND(IFERROR(T166*($P166/$AI166),0),100))</f>
        <v>51200</v>
      </c>
      <c r="AN166" s="1">
        <f>IF(COUNTIFS($J$7:$J$510,Table7[[#Headers],[Energy Supply Forecasts]],$C$7:$C$510,$L166)&gt;0,0,MROUND(IFERROR(U166*($P166/$AI166),0),100))</f>
        <v>0</v>
      </c>
      <c r="AO166" s="1">
        <f ca="1">IF(COUNTIFS($J$7:$J$510,Table7[[#Headers],[Energy Supply Regulation]],$C$7:$C$510,$L166)&gt;0,0,MROUND(IFERROR(V166*($P166/$AI166),0),100))</f>
        <v>38700</v>
      </c>
      <c r="AP166" s="1">
        <f>IF(COUNTIFS($J$7:$J$510,Table7[[#Headers],[Renewables Market Intelligence]],$C$7:$C$510,$L166)&gt;0,0,MROUND(IFERROR(W166*($P166/$AI166),0),100))</f>
        <v>0</v>
      </c>
      <c r="AQ166" s="1">
        <f>IF(COUNTIFS($J$7:$J$510,Table7[[#Headers],[Renewables RTM Analysis]],$C$7:$C$510,$L166)&gt;0,0,MROUND(IFERROR(X166*($P166/$AI166),0),100))</f>
        <v>0</v>
      </c>
      <c r="AR166" s="1">
        <f>IF(COUNTIFS($J$7:$J$510,Table7[[#Headers],[Renewables Forecasts]],$C$7:$C$510,$L166)&gt;0,0,MROUND(IFERROR(Y166*($P166/$AI166),0),100))</f>
        <v>0</v>
      </c>
      <c r="AS166" s="1">
        <f ca="1">IF(COUNTIFS($J$7:$J$510,Table7[[#Headers],[Renewables Regulation]],$C$7:$C$510,$L166)&gt;0,0,MROUND(IFERROR(Z166*($P166/$AI166),0),100))</f>
        <v>0</v>
      </c>
      <c r="AT166" s="1">
        <f>IF(COUNTIFS($J$7:$J$510,Table7[[#Headers],[Flexibility Market Intelligence]],$C$7:$C$510,$L166)&gt;0,0,MROUND(IFERROR(AA166*($P166/$AI166),0),100))</f>
        <v>0</v>
      </c>
      <c r="AU166" s="1">
        <f ca="1">IF(COUNTIFS($J$7:$J$510,Table7[[#Headers],[Flexibility RTM Analysis]],$C$7:$C$510,$L166)&gt;0,0,MROUND(IFERROR(AB166*($P166/$AI166),0),100))</f>
        <v>0</v>
      </c>
      <c r="AV166" s="1">
        <f>IF(COUNTIFS($J$7:$J$510,Table7[[#Headers],[Flexibility Forecasts]],$C$7:$C$510,$L166)&gt;0,0,MROUND(IFERROR(AC166*($P166/$AI166),0),100))</f>
        <v>0</v>
      </c>
      <c r="AW166" s="1">
        <f ca="1">IF(COUNTIFS($J$7:$J$510,Table7[[#Headers],[Flexibility Regulation]],$C$7:$C$510,$L166)&gt;0,0,MROUND(IFERROR(AD166*($P166/$AI166),0),100))</f>
        <v>0</v>
      </c>
      <c r="AX166" s="1">
        <f ca="1">IF(COUNTIFS($J$7:$J$510,Table7[[#Headers],[Business Energy Essentials]],$C$7:$C$510,$L166)&gt;0,0,MROUND(IFERROR(AE166*($P166/$AI166),0),100))</f>
        <v>0</v>
      </c>
      <c r="AY166" s="1">
        <f>IF(COUNTIFS($J$7:$J$510,Table7[[#Headers],[Energy User RTM Analysis]],$C$7:$C$510,$L166)&gt;0,0,MROUND(IFERROR(AF166*($P166/$AI166),0),100))</f>
        <v>0</v>
      </c>
      <c r="AZ166" s="1">
        <f ca="1">IF(COUNTIFS($J$7:$J$510,Table7[[#Headers],[Energy User Forecasts]],$C$7:$C$510,$L166)&gt;0,0,MROUND(IFERROR(AG166*($P166/$AI166),0),100))</f>
        <v>0</v>
      </c>
      <c r="BA166" s="1">
        <f ca="1">IF(COUNTIFS($J$7:$J$510,Table7[[#Headers],[Energy User Regulation]],$C$7:$C$510,$L166)&gt;0,0,MROUND(IFERROR(AH166*($P166/$AI166),0),100))</f>
        <v>0</v>
      </c>
    </row>
    <row r="167" spans="2:53">
      <c r="B167" s="38" t="s">
        <v>2157</v>
      </c>
      <c r="C167" s="38" t="s">
        <v>1249</v>
      </c>
      <c r="D167" s="38" t="s">
        <v>2035</v>
      </c>
      <c r="E167" s="38" t="s">
        <v>1855</v>
      </c>
      <c r="F167" s="63">
        <v>4150</v>
      </c>
      <c r="G167" s="38"/>
      <c r="H167" s="38" t="s">
        <v>2032</v>
      </c>
      <c r="I167" s="38" t="s">
        <v>2032</v>
      </c>
      <c r="J167" s="38" t="s">
        <v>20</v>
      </c>
      <c r="L167" s="1" t="str">
        <v>Seabank Power Ltd</v>
      </c>
      <c r="M167" s="1" t="str">
        <f t="shared" si="12"/>
        <v>Flexibility</v>
      </c>
      <c r="N167" s="109">
        <f t="shared" si="13"/>
        <v>14142.857142857145</v>
      </c>
      <c r="O167" s="1">
        <f>IFERROR(IF(INDEX(Table3[[Total Spend]:[Total Spend]],MATCH(L167,Table3[[Company name]:[Company name]],0))&gt;N167,INDEX(Table3[[Total Spend]:[Total Spend]],MATCH(L167,Table3[[Company name]:[Company name]])),N167),50000)</f>
        <v>10000</v>
      </c>
      <c r="P167" s="109">
        <f t="shared" si="14"/>
        <v>14142.857142857145</v>
      </c>
      <c r="Q167" s="103">
        <f t="shared" si="15"/>
        <v>1</v>
      </c>
      <c r="R167" s="1">
        <f ca="1">IFERROR(INDEX(INDIRECT("Table3[Column"&amp;R$9&amp;"]"),MATCH($L167,Table3[[Company name]:[Company name]],0)),0)</f>
        <v>10800</v>
      </c>
      <c r="S167" s="1">
        <f ca="1">IFERROR(INDEX(INDIRECT("Table3[Column"&amp;S$9&amp;"]"),MATCH($L167,Table3[[Company name]:[Company name]],0)),0)</f>
        <v>0</v>
      </c>
      <c r="T167" s="1">
        <f ca="1">IFERROR(INDEX(INDIRECT("Table3[Column"&amp;T$9&amp;"]"),MATCH($L167,Table3[[Company name]:[Company name]],0)),0)</f>
        <v>0</v>
      </c>
      <c r="U167" s="1">
        <f ca="1">IFERROR(INDEX(INDIRECT("Table3[Column"&amp;U$9&amp;"]"),MATCH($L167,Table3[[Company name]:[Company name]],0)),0)</f>
        <v>0</v>
      </c>
      <c r="V167" s="1">
        <f ca="1">IFERROR(INDEX(INDIRECT("Table3[Column"&amp;V$9&amp;"]"),MATCH($L167,Table3[[Company name]:[Company name]],0)),0)</f>
        <v>0</v>
      </c>
      <c r="W167" s="1">
        <f ca="1">IFERROR(INDEX(INDIRECT("Table3[Column"&amp;W$9&amp;"]"),MATCH($L167,Table3[[Company name]:[Company name]],0)),0)</f>
        <v>0</v>
      </c>
      <c r="X167" s="1">
        <f ca="1">IFERROR(INDEX(INDIRECT("Table3[Column"&amp;X$9&amp;"]"),MATCH($L167,Table3[[Company name]:[Company name]],0)),0)</f>
        <v>0</v>
      </c>
      <c r="Y167" s="1">
        <f ca="1">IFERROR(INDEX(INDIRECT("Table3[Column"&amp;Y$9&amp;"]"),MATCH($L167,Table3[[Company name]:[Company name]],0)),0)</f>
        <v>0</v>
      </c>
      <c r="Z167" s="1">
        <f ca="1">IFERROR(INDEX(INDIRECT("Table3[Column"&amp;Z$9&amp;"]"),MATCH($L167,Table3[[Company name]:[Company name]],0)),0)</f>
        <v>0</v>
      </c>
      <c r="AA167" s="1">
        <f ca="1">IFERROR(INDEX(INDIRECT("Table3[Column"&amp;AA$9&amp;"]"),MATCH($L167,Table3[[Company name]:[Company name]],0)),0)</f>
        <v>29700</v>
      </c>
      <c r="AB167" s="1">
        <f ca="1">IFERROR(INDEX(INDIRECT("Table3[Column"&amp;AB$9&amp;"]"),MATCH($L167,Table3[[Company name]:[Company name]],0)),0)</f>
        <v>10800</v>
      </c>
      <c r="AC167" s="1">
        <f ca="1">IFERROR(INDEX(INDIRECT("Table3[Column"&amp;AC$9&amp;"]"),MATCH($L167,Table3[[Company name]:[Company name]],0)),0)</f>
        <v>44100</v>
      </c>
      <c r="AD167" s="1">
        <f ca="1">IFERROR(INDEX(INDIRECT("Table3[Column"&amp;AD$9&amp;"]"),MATCH($L167,Table3[[Company name]:[Company name]],0)),0)</f>
        <v>36000</v>
      </c>
      <c r="AE167" s="1">
        <f ca="1">IFERROR(INDEX(INDIRECT("Table3[Column"&amp;AE$9&amp;"]"),MATCH($L167,Table3[[Company name]:[Company name]],0)),0)</f>
        <v>0</v>
      </c>
      <c r="AF167" s="1">
        <f ca="1">IFERROR(INDEX(INDIRECT("Table3[Column"&amp;AF$9&amp;"]"),MATCH($L167,Table3[[Company name]:[Company name]],0)),0)</f>
        <v>0</v>
      </c>
      <c r="AG167" s="1">
        <f ca="1">IFERROR(INDEX(INDIRECT("Table3[Column"&amp;AG$9&amp;"]"),MATCH($L167,Table3[[Company name]:[Company name]],0)),0)</f>
        <v>0</v>
      </c>
      <c r="AH167" s="1">
        <f ca="1">IFERROR(INDEX(INDIRECT("Table3[Column"&amp;AH$9&amp;"]"),MATCH($L167,Table3[[Company name]:[Company name]],0)),0)</f>
        <v>0</v>
      </c>
      <c r="AI167" s="1">
        <f t="shared" ca="1" si="16"/>
        <v>131400</v>
      </c>
      <c r="AK167" s="1">
        <f>IF(COUNTIFS($J$7:$J$510,Table7[[#Headers],[Industry Essentials]],$C$7:$C$510,$L167)&gt;0,0,MROUND(R167,100))</f>
        <v>0</v>
      </c>
      <c r="AL167" s="1">
        <f ca="1">IF(COUNTIFS($J$7:$J$510,Table7[[#Headers],[Energy Supply Market Intelligence]],$C$7:$C$510,$L167)&gt;0,0,MROUND(IFERROR(S167*($P167/$AI167),0),100))</f>
        <v>0</v>
      </c>
      <c r="AM167" s="1">
        <f ca="1">IF(COUNTIFS($J$7:$J$510,Table7[[#Headers],[Energy Supply RTM Analysis]],$C$7:$C$510,$L167)&gt;0,0,MROUND(IFERROR(T167*($P167/$AI167),0),100))</f>
        <v>0</v>
      </c>
      <c r="AN167" s="1">
        <f ca="1">IF(COUNTIFS($J$7:$J$510,Table7[[#Headers],[Energy Supply Forecasts]],$C$7:$C$510,$L167)&gt;0,0,MROUND(IFERROR(U167*($P167/$AI167),0),100))</f>
        <v>0</v>
      </c>
      <c r="AO167" s="1">
        <f ca="1">IF(COUNTIFS($J$7:$J$510,Table7[[#Headers],[Energy Supply Regulation]],$C$7:$C$510,$L167)&gt;0,0,MROUND(IFERROR(V167*($P167/$AI167),0),100))</f>
        <v>0</v>
      </c>
      <c r="AP167" s="1">
        <f ca="1">IF(COUNTIFS($J$7:$J$510,Table7[[#Headers],[Renewables Market Intelligence]],$C$7:$C$510,$L167)&gt;0,0,MROUND(IFERROR(W167*($P167/$AI167),0),100))</f>
        <v>0</v>
      </c>
      <c r="AQ167" s="1">
        <f ca="1">IF(COUNTIFS($J$7:$J$510,Table7[[#Headers],[Renewables RTM Analysis]],$C$7:$C$510,$L167)&gt;0,0,MROUND(IFERROR(X167*($P167/$AI167),0),100))</f>
        <v>0</v>
      </c>
      <c r="AR167" s="1">
        <f ca="1">IF(COUNTIFS($J$7:$J$510,Table7[[#Headers],[Renewables Forecasts]],$C$7:$C$510,$L167)&gt;0,0,MROUND(IFERROR(Y167*($P167/$AI167),0),100))</f>
        <v>0</v>
      </c>
      <c r="AS167" s="1">
        <f ca="1">IF(COUNTIFS($J$7:$J$510,Table7[[#Headers],[Renewables Regulation]],$C$7:$C$510,$L167)&gt;0,0,MROUND(IFERROR(Z167*($P167/$AI167),0),100))</f>
        <v>0</v>
      </c>
      <c r="AT167" s="1">
        <f ca="1">IF(COUNTIFS($J$7:$J$510,Table7[[#Headers],[Flexibility Market Intelligence]],$C$7:$C$510,$L167)&gt;0,0,MROUND(IFERROR(AA167*($P167/$AI167),0),100))</f>
        <v>3200</v>
      </c>
      <c r="AU167" s="1">
        <f ca="1">IF(COUNTIFS($J$7:$J$510,Table7[[#Headers],[Flexibility RTM Analysis]],$C$7:$C$510,$L167)&gt;0,0,MROUND(IFERROR(AB167*($P167/$AI167),0),100))</f>
        <v>1200</v>
      </c>
      <c r="AV167" s="1">
        <f>IF(COUNTIFS($J$7:$J$510,Table7[[#Headers],[Flexibility Forecasts]],$C$7:$C$510,$L167)&gt;0,0,MROUND(IFERROR(AC167*($P167/$AI167),0),100))</f>
        <v>0</v>
      </c>
      <c r="AW167" s="1">
        <f ca="1">IF(COUNTIFS($J$7:$J$510,Table7[[#Headers],[Flexibility Regulation]],$C$7:$C$510,$L167)&gt;0,0,MROUND(IFERROR(AD167*($P167/$AI167),0),100))</f>
        <v>3900</v>
      </c>
      <c r="AX167" s="1">
        <f ca="1">IF(COUNTIFS($J$7:$J$510,Table7[[#Headers],[Business Energy Essentials]],$C$7:$C$510,$L167)&gt;0,0,MROUND(IFERROR(AE167*($P167/$AI167),0),100))</f>
        <v>0</v>
      </c>
      <c r="AY167" s="1">
        <f ca="1">IF(COUNTIFS($J$7:$J$510,Table7[[#Headers],[Energy User RTM Analysis]],$C$7:$C$510,$L167)&gt;0,0,MROUND(IFERROR(AF167*($P167/$AI167),0),100))</f>
        <v>0</v>
      </c>
      <c r="AZ167" s="1">
        <f ca="1">IF(COUNTIFS($J$7:$J$510,Table7[[#Headers],[Energy User Forecasts]],$C$7:$C$510,$L167)&gt;0,0,MROUND(IFERROR(AG167*($P167/$AI167),0),100))</f>
        <v>0</v>
      </c>
      <c r="BA167" s="1">
        <f ca="1">IF(COUNTIFS($J$7:$J$510,Table7[[#Headers],[Energy User Regulation]],$C$7:$C$510,$L167)&gt;0,0,MROUND(IFERROR(AH167*($P167/$AI167),0),100))</f>
        <v>0</v>
      </c>
    </row>
    <row r="168" spans="2:53">
      <c r="B168" s="38" t="s">
        <v>2157</v>
      </c>
      <c r="C168" s="38" t="s">
        <v>1249</v>
      </c>
      <c r="D168" s="38" t="s">
        <v>2136</v>
      </c>
      <c r="E168" s="38" t="e">
        <v>#N/A</v>
      </c>
      <c r="F168" s="63">
        <v>2850</v>
      </c>
      <c r="G168" s="38"/>
      <c r="H168" s="38" t="s">
        <v>2032</v>
      </c>
      <c r="I168" s="38" t="s">
        <v>2032</v>
      </c>
      <c r="J168" s="38" t="s">
        <v>20</v>
      </c>
      <c r="L168" s="1" t="str">
        <v>Sedgwick Trading Ltd</v>
      </c>
      <c r="M168" s="1" t="str">
        <f t="shared" si="12"/>
        <v>Renewables</v>
      </c>
      <c r="N168" s="109">
        <f t="shared" si="13"/>
        <v>22950</v>
      </c>
      <c r="O168" s="1">
        <f>IFERROR(IF(INDEX(Table3[[Total Spend]:[Total Spend]],MATCH(L168,Table3[[Company name]:[Company name]],0))&gt;N168,INDEX(Table3[[Total Spend]:[Total Spend]],MATCH(L168,Table3[[Company name]:[Company name]])),N168),50000)</f>
        <v>10000</v>
      </c>
      <c r="P168" s="109">
        <f t="shared" si="14"/>
        <v>22950</v>
      </c>
      <c r="Q168" s="103">
        <f t="shared" si="15"/>
        <v>1</v>
      </c>
      <c r="R168" s="1">
        <f ca="1">IFERROR(INDEX(INDIRECT("Table3[Column"&amp;R$9&amp;"]"),MATCH($L168,Table3[[Company name]:[Company name]],0)),0)</f>
        <v>8100</v>
      </c>
      <c r="S168" s="1">
        <f ca="1">IFERROR(INDEX(INDIRECT("Table3[Column"&amp;S$9&amp;"]"),MATCH($L168,Table3[[Company name]:[Company name]],0)),0)</f>
        <v>0</v>
      </c>
      <c r="T168" s="1">
        <f ca="1">IFERROR(INDEX(INDIRECT("Table3[Column"&amp;T$9&amp;"]"),MATCH($L168,Table3[[Company name]:[Company name]],0)),0)</f>
        <v>0</v>
      </c>
      <c r="U168" s="1">
        <f ca="1">IFERROR(INDEX(INDIRECT("Table3[Column"&amp;U$9&amp;"]"),MATCH($L168,Table3[[Company name]:[Company name]],0)),0)</f>
        <v>0</v>
      </c>
      <c r="V168" s="1">
        <f ca="1">IFERROR(INDEX(INDIRECT("Table3[Column"&amp;V$9&amp;"]"),MATCH($L168,Table3[[Company name]:[Company name]],0)),0)</f>
        <v>0</v>
      </c>
      <c r="W168" s="1">
        <f ca="1">IFERROR(INDEX(INDIRECT("Table3[Column"&amp;W$9&amp;"]"),MATCH($L168,Table3[[Company name]:[Company name]],0)),0)</f>
        <v>17100</v>
      </c>
      <c r="X168" s="1">
        <f ca="1">IFERROR(INDEX(INDIRECT("Table3[Column"&amp;X$9&amp;"]"),MATCH($L168,Table3[[Company name]:[Company name]],0)),0)</f>
        <v>15300</v>
      </c>
      <c r="Y168" s="1">
        <f ca="1">IFERROR(INDEX(INDIRECT("Table3[Column"&amp;Y$9&amp;"]"),MATCH($L168,Table3[[Company name]:[Company name]],0)),0)</f>
        <v>42300</v>
      </c>
      <c r="Z168" s="1">
        <f ca="1">IFERROR(INDEX(INDIRECT("Table3[Column"&amp;Z$9&amp;"]"),MATCH($L168,Table3[[Company name]:[Company name]],0)),0)</f>
        <v>18900</v>
      </c>
      <c r="AA168" s="1">
        <f ca="1">IFERROR(INDEX(INDIRECT("Table3[Column"&amp;AA$9&amp;"]"),MATCH($L168,Table3[[Company name]:[Company name]],0)),0)</f>
        <v>21600</v>
      </c>
      <c r="AB168" s="1">
        <f ca="1">IFERROR(INDEX(INDIRECT("Table3[Column"&amp;AB$9&amp;"]"),MATCH($L168,Table3[[Company name]:[Company name]],0)),0)</f>
        <v>7650</v>
      </c>
      <c r="AC168" s="1">
        <f ca="1">IFERROR(INDEX(INDIRECT("Table3[Column"&amp;AC$9&amp;"]"),MATCH($L168,Table3[[Company name]:[Company name]],0)),0)</f>
        <v>31500</v>
      </c>
      <c r="AD168" s="1">
        <f ca="1">IFERROR(INDEX(INDIRECT("Table3[Column"&amp;AD$9&amp;"]"),MATCH($L168,Table3[[Company name]:[Company name]],0)),0)</f>
        <v>25200</v>
      </c>
      <c r="AE168" s="1">
        <f ca="1">IFERROR(INDEX(INDIRECT("Table3[Column"&amp;AE$9&amp;"]"),MATCH($L168,Table3[[Company name]:[Company name]],0)),0)</f>
        <v>0</v>
      </c>
      <c r="AF168" s="1">
        <f ca="1">IFERROR(INDEX(INDIRECT("Table3[Column"&amp;AF$9&amp;"]"),MATCH($L168,Table3[[Company name]:[Company name]],0)),0)</f>
        <v>0</v>
      </c>
      <c r="AG168" s="1">
        <f ca="1">IFERROR(INDEX(INDIRECT("Table3[Column"&amp;AG$9&amp;"]"),MATCH($L168,Table3[[Company name]:[Company name]],0)),0)</f>
        <v>0</v>
      </c>
      <c r="AH168" s="1">
        <f ca="1">IFERROR(INDEX(INDIRECT("Table3[Column"&amp;AH$9&amp;"]"),MATCH($L168,Table3[[Company name]:[Company name]],0)),0)</f>
        <v>0</v>
      </c>
      <c r="AI168" s="1">
        <f t="shared" ca="1" si="16"/>
        <v>187650</v>
      </c>
      <c r="AK168" s="1">
        <f>IF(COUNTIFS($J$7:$J$510,Table7[[#Headers],[Industry Essentials]],$C$7:$C$510,$L168)&gt;0,0,MROUND(R168,100))</f>
        <v>0</v>
      </c>
      <c r="AL168" s="1">
        <f ca="1">IF(COUNTIFS($J$7:$J$510,Table7[[#Headers],[Energy Supply Market Intelligence]],$C$7:$C$510,$L168)&gt;0,0,MROUND(IFERROR(S168*($P168/$AI168),0),100))</f>
        <v>0</v>
      </c>
      <c r="AM168" s="1">
        <f ca="1">IF(COUNTIFS($J$7:$J$510,Table7[[#Headers],[Energy Supply RTM Analysis]],$C$7:$C$510,$L168)&gt;0,0,MROUND(IFERROR(T168*($P168/$AI168),0),100))</f>
        <v>0</v>
      </c>
      <c r="AN168" s="1">
        <f ca="1">IF(COUNTIFS($J$7:$J$510,Table7[[#Headers],[Energy Supply Forecasts]],$C$7:$C$510,$L168)&gt;0,0,MROUND(IFERROR(U168*($P168/$AI168),0),100))</f>
        <v>0</v>
      </c>
      <c r="AO168" s="1">
        <f ca="1">IF(COUNTIFS($J$7:$J$510,Table7[[#Headers],[Energy Supply Regulation]],$C$7:$C$510,$L168)&gt;0,0,MROUND(IFERROR(V168*($P168/$AI168),0),100))</f>
        <v>0</v>
      </c>
      <c r="AP168" s="1">
        <f ca="1">IF(COUNTIFS($J$7:$J$510,Table7[[#Headers],[Renewables Market Intelligence]],$C$7:$C$510,$L168)&gt;0,0,MROUND(IFERROR(W168*($P168/$AI168),0),100))</f>
        <v>2100</v>
      </c>
      <c r="AQ168" s="1">
        <f ca="1">IF(COUNTIFS($J$7:$J$510,Table7[[#Headers],[Renewables RTM Analysis]],$C$7:$C$510,$L168)&gt;0,0,MROUND(IFERROR(X168*($P168/$AI168),0),100))</f>
        <v>1900</v>
      </c>
      <c r="AR168" s="1">
        <f>IF(COUNTIFS($J$7:$J$510,Table7[[#Headers],[Renewables Forecasts]],$C$7:$C$510,$L168)&gt;0,0,MROUND(IFERROR(Y168*($P168/$AI168),0),100))</f>
        <v>0</v>
      </c>
      <c r="AS168" s="1">
        <f ca="1">IF(COUNTIFS($J$7:$J$510,Table7[[#Headers],[Renewables Regulation]],$C$7:$C$510,$L168)&gt;0,0,MROUND(IFERROR(Z168*($P168/$AI168),0),100))</f>
        <v>2300</v>
      </c>
      <c r="AT168" s="1">
        <f ca="1">IF(COUNTIFS($J$7:$J$510,Table7[[#Headers],[Flexibility Market Intelligence]],$C$7:$C$510,$L168)&gt;0,0,MROUND(IFERROR(AA168*($P168/$AI168),0),100))</f>
        <v>2600</v>
      </c>
      <c r="AU168" s="1">
        <f ca="1">IF(COUNTIFS($J$7:$J$510,Table7[[#Headers],[Flexibility RTM Analysis]],$C$7:$C$510,$L168)&gt;0,0,MROUND(IFERROR(AB168*($P168/$AI168),0),100))</f>
        <v>900</v>
      </c>
      <c r="AV168" s="1">
        <f ca="1">IF(COUNTIFS($J$7:$J$510,Table7[[#Headers],[Flexibility Forecasts]],$C$7:$C$510,$L168)&gt;0,0,MROUND(IFERROR(AC168*($P168/$AI168),0),100))</f>
        <v>3900</v>
      </c>
      <c r="AW168" s="1">
        <f ca="1">IF(COUNTIFS($J$7:$J$510,Table7[[#Headers],[Flexibility Regulation]],$C$7:$C$510,$L168)&gt;0,0,MROUND(IFERROR(AD168*($P168/$AI168),0),100))</f>
        <v>3100</v>
      </c>
      <c r="AX168" s="1">
        <f ca="1">IF(COUNTIFS($J$7:$J$510,Table7[[#Headers],[Business Energy Essentials]],$C$7:$C$510,$L168)&gt;0,0,MROUND(IFERROR(AE168*($P168/$AI168),0),100))</f>
        <v>0</v>
      </c>
      <c r="AY168" s="1">
        <f ca="1">IF(COUNTIFS($J$7:$J$510,Table7[[#Headers],[Energy User RTM Analysis]],$C$7:$C$510,$L168)&gt;0,0,MROUND(IFERROR(AF168*($P168/$AI168),0),100))</f>
        <v>0</v>
      </c>
      <c r="AZ168" s="1">
        <f ca="1">IF(COUNTIFS($J$7:$J$510,Table7[[#Headers],[Energy User Forecasts]],$C$7:$C$510,$L168)&gt;0,0,MROUND(IFERROR(AG168*($P168/$AI168),0),100))</f>
        <v>0</v>
      </c>
      <c r="BA168" s="1">
        <f ca="1">IF(COUNTIFS($J$7:$J$510,Table7[[#Headers],[Energy User Regulation]],$C$7:$C$510,$L168)&gt;0,0,MROUND(IFERROR(AH168*($P168/$AI168),0),100))</f>
        <v>0</v>
      </c>
    </row>
    <row r="169" spans="2:53">
      <c r="B169" s="38" t="s">
        <v>2158</v>
      </c>
      <c r="C169" s="38" t="s">
        <v>993</v>
      </c>
      <c r="D169" s="38" t="s">
        <v>2035</v>
      </c>
      <c r="E169" s="38" t="s">
        <v>1855</v>
      </c>
      <c r="F169" s="63">
        <v>2950</v>
      </c>
      <c r="G169" s="38"/>
      <c r="H169" s="38" t="s">
        <v>2032</v>
      </c>
      <c r="I169" s="38" t="s">
        <v>2032</v>
      </c>
      <c r="J169" s="38" t="s">
        <v>20</v>
      </c>
      <c r="L169" s="1" t="str">
        <v>SEFE Energy Ltd</v>
      </c>
      <c r="M169" s="1" t="str">
        <f t="shared" si="12"/>
        <v>Supply</v>
      </c>
      <c r="N169" s="109">
        <f t="shared" si="13"/>
        <v>94638.546000000002</v>
      </c>
      <c r="O169" s="1">
        <f>IFERROR(IF(INDEX(Table3[[Total Spend]:[Total Spend]],MATCH(L169,Table3[[Company name]:[Company name]],0))&gt;N169,INDEX(Table3[[Total Spend]:[Total Spend]],MATCH(L169,Table3[[Company name]:[Company name]])),N169),50000)</f>
        <v>10000</v>
      </c>
      <c r="P169" s="109">
        <f t="shared" si="14"/>
        <v>94638.546000000002</v>
      </c>
      <c r="Q169" s="103">
        <f t="shared" si="15"/>
        <v>1</v>
      </c>
      <c r="R169" s="1">
        <f ca="1">IFERROR(INDEX(INDIRECT("Table3[Column"&amp;R$9&amp;"]"),MATCH($L169,Table3[[Company name]:[Company name]],0)),0)</f>
        <v>10800</v>
      </c>
      <c r="S169" s="1">
        <f ca="1">IFERROR(INDEX(INDIRECT("Table3[Column"&amp;S$9&amp;"]"),MATCH($L169,Table3[[Company name]:[Company name]],0)),0)</f>
        <v>43200</v>
      </c>
      <c r="T169" s="1">
        <f ca="1">IFERROR(INDEX(INDIRECT("Table3[Column"&amp;T$9&amp;"]"),MATCH($L169,Table3[[Company name]:[Company name]],0)),0)</f>
        <v>73800</v>
      </c>
      <c r="U169" s="1">
        <f ca="1">IFERROR(INDEX(INDIRECT("Table3[Column"&amp;U$9&amp;"]"),MATCH($L169,Table3[[Company name]:[Company name]],0)),0)</f>
        <v>48600</v>
      </c>
      <c r="V169" s="1">
        <f ca="1">IFERROR(INDEX(INDIRECT("Table3[Column"&amp;V$9&amp;"]"),MATCH($L169,Table3[[Company name]:[Company name]],0)),0)</f>
        <v>55800</v>
      </c>
      <c r="W169" s="1">
        <f ca="1">IFERROR(INDEX(INDIRECT("Table3[Column"&amp;W$9&amp;"]"),MATCH($L169,Table3[[Company name]:[Company name]],0)),0)</f>
        <v>0</v>
      </c>
      <c r="X169" s="1">
        <f ca="1">IFERROR(INDEX(INDIRECT("Table3[Column"&amp;X$9&amp;"]"),MATCH($L169,Table3[[Company name]:[Company name]],0)),0)</f>
        <v>20700</v>
      </c>
      <c r="Y169" s="1">
        <f ca="1">IFERROR(INDEX(INDIRECT("Table3[Column"&amp;Y$9&amp;"]"),MATCH($L169,Table3[[Company name]:[Company name]],0)),0)</f>
        <v>0</v>
      </c>
      <c r="Z169" s="1">
        <f ca="1">IFERROR(INDEX(INDIRECT("Table3[Column"&amp;Z$9&amp;"]"),MATCH($L169,Table3[[Company name]:[Company name]],0)),0)</f>
        <v>0</v>
      </c>
      <c r="AA169" s="1">
        <f ca="1">IFERROR(INDEX(INDIRECT("Table3[Column"&amp;AA$9&amp;"]"),MATCH($L169,Table3[[Company name]:[Company name]],0)),0)</f>
        <v>29700</v>
      </c>
      <c r="AB169" s="1">
        <f ca="1">IFERROR(INDEX(INDIRECT("Table3[Column"&amp;AB$9&amp;"]"),MATCH($L169,Table3[[Company name]:[Company name]],0)),0)</f>
        <v>10800</v>
      </c>
      <c r="AC169" s="1">
        <f ca="1">IFERROR(INDEX(INDIRECT("Table3[Column"&amp;AC$9&amp;"]"),MATCH($L169,Table3[[Company name]:[Company name]],0)),0)</f>
        <v>44100</v>
      </c>
      <c r="AD169" s="1">
        <f ca="1">IFERROR(INDEX(INDIRECT("Table3[Column"&amp;AD$9&amp;"]"),MATCH($L169,Table3[[Company name]:[Company name]],0)),0)</f>
        <v>0</v>
      </c>
      <c r="AE169" s="1">
        <f ca="1">IFERROR(INDEX(INDIRECT("Table3[Column"&amp;AE$9&amp;"]"),MATCH($L169,Table3[[Company name]:[Company name]],0)),0)</f>
        <v>0</v>
      </c>
      <c r="AF169" s="1">
        <f ca="1">IFERROR(INDEX(INDIRECT("Table3[Column"&amp;AF$9&amp;"]"),MATCH($L169,Table3[[Company name]:[Company name]],0)),0)</f>
        <v>0</v>
      </c>
      <c r="AG169" s="1">
        <f ca="1">IFERROR(INDEX(INDIRECT("Table3[Column"&amp;AG$9&amp;"]"),MATCH($L169,Table3[[Company name]:[Company name]],0)),0)</f>
        <v>0</v>
      </c>
      <c r="AH169" s="1">
        <f ca="1">IFERROR(INDEX(INDIRECT("Table3[Column"&amp;AH$9&amp;"]"),MATCH($L169,Table3[[Company name]:[Company name]],0)),0)</f>
        <v>0</v>
      </c>
      <c r="AI169" s="1">
        <f t="shared" ca="1" si="16"/>
        <v>337500</v>
      </c>
      <c r="AK169" s="1">
        <f ca="1">IF(COUNTIFS($J$7:$J$510,Table7[[#Headers],[Industry Essentials]],$C$7:$C$510,$L169)&gt;0,0,MROUND(R169,100))</f>
        <v>10800</v>
      </c>
      <c r="AL169" s="1">
        <f>IF(COUNTIFS($J$7:$J$510,Table7[[#Headers],[Energy Supply Market Intelligence]],$C$7:$C$510,$L169)&gt;0,0,MROUND(IFERROR(S169*($P169/$AI169),0),100))</f>
        <v>0</v>
      </c>
      <c r="AM169" s="1">
        <f ca="1">IF(COUNTIFS($J$7:$J$510,Table7[[#Headers],[Energy Supply RTM Analysis]],$C$7:$C$510,$L169)&gt;0,0,MROUND(IFERROR(T169*($P169/$AI169),0),100))</f>
        <v>20700</v>
      </c>
      <c r="AN169" s="1">
        <f>IF(COUNTIFS($J$7:$J$510,Table7[[#Headers],[Energy Supply Forecasts]],$C$7:$C$510,$L169)&gt;0,0,MROUND(IFERROR(U169*($P169/$AI169),0),100))</f>
        <v>0</v>
      </c>
      <c r="AO169" s="1">
        <f ca="1">IF(COUNTIFS($J$7:$J$510,Table7[[#Headers],[Energy Supply Regulation]],$C$7:$C$510,$L169)&gt;0,0,MROUND(IFERROR(V169*($P169/$AI169),0),100))</f>
        <v>15600</v>
      </c>
      <c r="AP169" s="1">
        <f ca="1">IF(COUNTIFS($J$7:$J$510,Table7[[#Headers],[Renewables Market Intelligence]],$C$7:$C$510,$L169)&gt;0,0,MROUND(IFERROR(W169*($P169/$AI169),0),100))</f>
        <v>0</v>
      </c>
      <c r="AQ169" s="1">
        <f>IF(COUNTIFS($J$7:$J$510,Table7[[#Headers],[Renewables RTM Analysis]],$C$7:$C$510,$L169)&gt;0,0,MROUND(IFERROR(X169*($P169/$AI169),0),100))</f>
        <v>0</v>
      </c>
      <c r="AR169" s="1">
        <f>IF(COUNTIFS($J$7:$J$510,Table7[[#Headers],[Renewables Forecasts]],$C$7:$C$510,$L169)&gt;0,0,MROUND(IFERROR(Y169*($P169/$AI169),0),100))</f>
        <v>0</v>
      </c>
      <c r="AS169" s="1">
        <f ca="1">IF(COUNTIFS($J$7:$J$510,Table7[[#Headers],[Renewables Regulation]],$C$7:$C$510,$L169)&gt;0,0,MROUND(IFERROR(Z169*($P169/$AI169),0),100))</f>
        <v>0</v>
      </c>
      <c r="AT169" s="1">
        <f ca="1">IF(COUNTIFS($J$7:$J$510,Table7[[#Headers],[Flexibility Market Intelligence]],$C$7:$C$510,$L169)&gt;0,0,MROUND(IFERROR(AA169*($P169/$AI169),0),100))</f>
        <v>8300</v>
      </c>
      <c r="AU169" s="1">
        <f ca="1">IF(COUNTIFS($J$7:$J$510,Table7[[#Headers],[Flexibility RTM Analysis]],$C$7:$C$510,$L169)&gt;0,0,MROUND(IFERROR(AB169*($P169/$AI169),0),100))</f>
        <v>3000</v>
      </c>
      <c r="AV169" s="1">
        <f ca="1">IF(COUNTIFS($J$7:$J$510,Table7[[#Headers],[Flexibility Forecasts]],$C$7:$C$510,$L169)&gt;0,0,MROUND(IFERROR(AC169*($P169/$AI169),0),100))</f>
        <v>12400</v>
      </c>
      <c r="AW169" s="1">
        <f ca="1">IF(COUNTIFS($J$7:$J$510,Table7[[#Headers],[Flexibility Regulation]],$C$7:$C$510,$L169)&gt;0,0,MROUND(IFERROR(AD169*($P169/$AI169),0),100))</f>
        <v>0</v>
      </c>
      <c r="AX169" s="1">
        <f ca="1">IF(COUNTIFS($J$7:$J$510,Table7[[#Headers],[Business Energy Essentials]],$C$7:$C$510,$L169)&gt;0,0,MROUND(IFERROR(AE169*($P169/$AI169),0),100))</f>
        <v>0</v>
      </c>
      <c r="AY169" s="1">
        <f ca="1">IF(COUNTIFS($J$7:$J$510,Table7[[#Headers],[Energy User RTM Analysis]],$C$7:$C$510,$L169)&gt;0,0,MROUND(IFERROR(AF169*($P169/$AI169),0),100))</f>
        <v>0</v>
      </c>
      <c r="AZ169" s="1">
        <f ca="1">IF(COUNTIFS($J$7:$J$510,Table7[[#Headers],[Energy User Forecasts]],$C$7:$C$510,$L169)&gt;0,0,MROUND(IFERROR(AG169*($P169/$AI169),0),100))</f>
        <v>0</v>
      </c>
      <c r="BA169" s="1">
        <f ca="1">IF(COUNTIFS($J$7:$J$510,Table7[[#Headers],[Energy User Regulation]],$C$7:$C$510,$L169)&gt;0,0,MROUND(IFERROR(AH169*($P169/$AI169),0),100))</f>
        <v>0</v>
      </c>
    </row>
    <row r="170" spans="2:53">
      <c r="B170" s="38" t="s">
        <v>2159</v>
      </c>
      <c r="C170" s="38" t="s">
        <v>2160</v>
      </c>
      <c r="D170" s="38" t="s">
        <v>2040</v>
      </c>
      <c r="E170" s="38" t="s">
        <v>1799</v>
      </c>
      <c r="F170" s="63">
        <v>3900</v>
      </c>
      <c r="G170" s="38"/>
      <c r="H170" s="38" t="s">
        <v>2031</v>
      </c>
      <c r="I170" s="38" t="s">
        <v>2032</v>
      </c>
      <c r="J170" s="38" t="s">
        <v>20</v>
      </c>
      <c r="L170" s="1" t="str">
        <v>Sembcorp Energy UK Ltd</v>
      </c>
      <c r="M170" s="1" t="str">
        <f t="shared" si="12"/>
        <v>Supply</v>
      </c>
      <c r="N170" s="109">
        <f t="shared" si="13"/>
        <v>9000</v>
      </c>
      <c r="O170" s="1">
        <f>IFERROR(IF(INDEX(Table3[[Total Spend]:[Total Spend]],MATCH(L170,Table3[[Company name]:[Company name]],0))&gt;N170,INDEX(Table3[[Total Spend]:[Total Spend]],MATCH(L170,Table3[[Company name]:[Company name]])),N170),50000)</f>
        <v>10000</v>
      </c>
      <c r="P170" s="109">
        <f t="shared" si="14"/>
        <v>1000</v>
      </c>
      <c r="Q170" s="103">
        <f t="shared" si="15"/>
        <v>0.9</v>
      </c>
      <c r="R170" s="1">
        <f ca="1">IFERROR(INDEX(INDIRECT("Table3[Column"&amp;R$9&amp;"]"),MATCH($L170,Table3[[Company name]:[Company name]],0)),0)</f>
        <v>10800</v>
      </c>
      <c r="S170" s="1">
        <f ca="1">IFERROR(INDEX(INDIRECT("Table3[Column"&amp;S$9&amp;"]"),MATCH($L170,Table3[[Company name]:[Company name]],0)),0)</f>
        <v>0</v>
      </c>
      <c r="T170" s="1">
        <f ca="1">IFERROR(INDEX(INDIRECT("Table3[Column"&amp;T$9&amp;"]"),MATCH($L170,Table3[[Company name]:[Company name]],0)),0)</f>
        <v>0</v>
      </c>
      <c r="U170" s="1">
        <f ca="1">IFERROR(INDEX(INDIRECT("Table3[Column"&amp;U$9&amp;"]"),MATCH($L170,Table3[[Company name]:[Company name]],0)),0)</f>
        <v>0</v>
      </c>
      <c r="V170" s="1">
        <f ca="1">IFERROR(INDEX(INDIRECT("Table3[Column"&amp;V$9&amp;"]"),MATCH($L170,Table3[[Company name]:[Company name]],0)),0)</f>
        <v>0</v>
      </c>
      <c r="W170" s="1">
        <f ca="1">IFERROR(INDEX(INDIRECT("Table3[Column"&amp;W$9&amp;"]"),MATCH($L170,Table3[[Company name]:[Company name]],0)),0)</f>
        <v>23400</v>
      </c>
      <c r="X170" s="1">
        <f ca="1">IFERROR(INDEX(INDIRECT("Table3[Column"&amp;X$9&amp;"]"),MATCH($L170,Table3[[Company name]:[Company name]],0)),0)</f>
        <v>20700</v>
      </c>
      <c r="Y170" s="1">
        <f ca="1">IFERROR(INDEX(INDIRECT("Table3[Column"&amp;Y$9&amp;"]"),MATCH($L170,Table3[[Company name]:[Company name]],0)),0)</f>
        <v>59400</v>
      </c>
      <c r="Z170" s="1">
        <f ca="1">IFERROR(INDEX(INDIRECT("Table3[Column"&amp;Z$9&amp;"]"),MATCH($L170,Table3[[Company name]:[Company name]],0)),0)</f>
        <v>26100</v>
      </c>
      <c r="AA170" s="1">
        <f ca="1">IFERROR(INDEX(INDIRECT("Table3[Column"&amp;AA$9&amp;"]"),MATCH($L170,Table3[[Company name]:[Company name]],0)),0)</f>
        <v>29700</v>
      </c>
      <c r="AB170" s="1">
        <f ca="1">IFERROR(INDEX(INDIRECT("Table3[Column"&amp;AB$9&amp;"]"),MATCH($L170,Table3[[Company name]:[Company name]],0)),0)</f>
        <v>10800</v>
      </c>
      <c r="AC170" s="1">
        <f ca="1">IFERROR(INDEX(INDIRECT("Table3[Column"&amp;AC$9&amp;"]"),MATCH($L170,Table3[[Company name]:[Company name]],0)),0)</f>
        <v>44100</v>
      </c>
      <c r="AD170" s="1">
        <f ca="1">IFERROR(INDEX(INDIRECT("Table3[Column"&amp;AD$9&amp;"]"),MATCH($L170,Table3[[Company name]:[Company name]],0)),0)</f>
        <v>36000</v>
      </c>
      <c r="AE170" s="1">
        <f ca="1">IFERROR(INDEX(INDIRECT("Table3[Column"&amp;AE$9&amp;"]"),MATCH($L170,Table3[[Company name]:[Company name]],0)),0)</f>
        <v>0</v>
      </c>
      <c r="AF170" s="1">
        <f ca="1">IFERROR(INDEX(INDIRECT("Table3[Column"&amp;AF$9&amp;"]"),MATCH($L170,Table3[[Company name]:[Company name]],0)),0)</f>
        <v>0</v>
      </c>
      <c r="AG170" s="1">
        <f ca="1">IFERROR(INDEX(INDIRECT("Table3[Column"&amp;AG$9&amp;"]"),MATCH($L170,Table3[[Company name]:[Company name]],0)),0)</f>
        <v>0</v>
      </c>
      <c r="AH170" s="1">
        <f ca="1">IFERROR(INDEX(INDIRECT("Table3[Column"&amp;AH$9&amp;"]"),MATCH($L170,Table3[[Company name]:[Company name]],0)),0)</f>
        <v>0</v>
      </c>
      <c r="AI170" s="1">
        <f t="shared" ca="1" si="16"/>
        <v>261000</v>
      </c>
      <c r="AK170" s="1">
        <f>IF(COUNTIFS($J$7:$J$510,Table7[[#Headers],[Industry Essentials]],$C$7:$C$510,$L170)&gt;0,0,MROUND(R170,100))</f>
        <v>0</v>
      </c>
      <c r="AL170" s="1">
        <f ca="1">IF(COUNTIFS($J$7:$J$510,Table7[[#Headers],[Energy Supply Market Intelligence]],$C$7:$C$510,$L170)&gt;0,0,MROUND(IFERROR(S170*($P170/$AI170),0),100))</f>
        <v>0</v>
      </c>
      <c r="AM170" s="1">
        <f ca="1">IF(COUNTIFS($J$7:$J$510,Table7[[#Headers],[Energy Supply RTM Analysis]],$C$7:$C$510,$L170)&gt;0,0,MROUND(IFERROR(T170*($P170/$AI170),0),100))</f>
        <v>0</v>
      </c>
      <c r="AN170" s="1">
        <f ca="1">IF(COUNTIFS($J$7:$J$510,Table7[[#Headers],[Energy Supply Forecasts]],$C$7:$C$510,$L170)&gt;0,0,MROUND(IFERROR(U170*($P170/$AI170),0),100))</f>
        <v>0</v>
      </c>
      <c r="AO170" s="1">
        <f ca="1">IF(COUNTIFS($J$7:$J$510,Table7[[#Headers],[Energy Supply Regulation]],$C$7:$C$510,$L170)&gt;0,0,MROUND(IFERROR(V170*($P170/$AI170),0),100))</f>
        <v>0</v>
      </c>
      <c r="AP170" s="1">
        <f ca="1">IF(COUNTIFS($J$7:$J$510,Table7[[#Headers],[Renewables Market Intelligence]],$C$7:$C$510,$L170)&gt;0,0,MROUND(IFERROR(W170*($P170/$AI170),0),100))</f>
        <v>100</v>
      </c>
      <c r="AQ170" s="1">
        <f ca="1">IF(COUNTIFS($J$7:$J$510,Table7[[#Headers],[Renewables RTM Analysis]],$C$7:$C$510,$L170)&gt;0,0,MROUND(IFERROR(X170*($P170/$AI170),0),100))</f>
        <v>100</v>
      </c>
      <c r="AR170" s="1">
        <f ca="1">IF(COUNTIFS($J$7:$J$510,Table7[[#Headers],[Renewables Forecasts]],$C$7:$C$510,$L170)&gt;0,0,MROUND(IFERROR(Y170*($P170/$AI170),0),100))</f>
        <v>200</v>
      </c>
      <c r="AS170" s="1">
        <f ca="1">IF(COUNTIFS($J$7:$J$510,Table7[[#Headers],[Renewables Regulation]],$C$7:$C$510,$L170)&gt;0,0,MROUND(IFERROR(Z170*($P170/$AI170),0),100))</f>
        <v>100</v>
      </c>
      <c r="AT170" s="1">
        <f ca="1">IF(COUNTIFS($J$7:$J$510,Table7[[#Headers],[Flexibility Market Intelligence]],$C$7:$C$510,$L170)&gt;0,0,MROUND(IFERROR(AA170*($P170/$AI170),0),100))</f>
        <v>100</v>
      </c>
      <c r="AU170" s="1">
        <f ca="1">IF(COUNTIFS($J$7:$J$510,Table7[[#Headers],[Flexibility RTM Analysis]],$C$7:$C$510,$L170)&gt;0,0,MROUND(IFERROR(AB170*($P170/$AI170),0),100))</f>
        <v>0</v>
      </c>
      <c r="AV170" s="1">
        <f ca="1">IF(COUNTIFS($J$7:$J$510,Table7[[#Headers],[Flexibility Forecasts]],$C$7:$C$510,$L170)&gt;0,0,MROUND(IFERROR(AC170*($P170/$AI170),0),100))</f>
        <v>200</v>
      </c>
      <c r="AW170" s="1">
        <f ca="1">IF(COUNTIFS($J$7:$J$510,Table7[[#Headers],[Flexibility Regulation]],$C$7:$C$510,$L170)&gt;0,0,MROUND(IFERROR(AD170*($P170/$AI170),0),100))</f>
        <v>100</v>
      </c>
      <c r="AX170" s="1">
        <f ca="1">IF(COUNTIFS($J$7:$J$510,Table7[[#Headers],[Business Energy Essentials]],$C$7:$C$510,$L170)&gt;0,0,MROUND(IFERROR(AE170*($P170/$AI170),0),100))</f>
        <v>0</v>
      </c>
      <c r="AY170" s="1">
        <f ca="1">IF(COUNTIFS($J$7:$J$510,Table7[[#Headers],[Energy User RTM Analysis]],$C$7:$C$510,$L170)&gt;0,0,MROUND(IFERROR(AF170*($P170/$AI170),0),100))</f>
        <v>0</v>
      </c>
      <c r="AZ170" s="1">
        <f ca="1">IF(COUNTIFS($J$7:$J$510,Table7[[#Headers],[Energy User Forecasts]],$C$7:$C$510,$L170)&gt;0,0,MROUND(IFERROR(AG170*($P170/$AI170),0),100))</f>
        <v>0</v>
      </c>
      <c r="BA170" s="1">
        <f ca="1">IF(COUNTIFS($J$7:$J$510,Table7[[#Headers],[Energy User Regulation]],$C$7:$C$510,$L170)&gt;0,0,MROUND(IFERROR(AH170*($P170/$AI170),0),100))</f>
        <v>0</v>
      </c>
    </row>
    <row r="171" spans="2:53">
      <c r="B171" s="38" t="s">
        <v>2161</v>
      </c>
      <c r="C171" s="38" t="s">
        <v>105</v>
      </c>
      <c r="D171" s="38" t="s">
        <v>2040</v>
      </c>
      <c r="E171" s="38" t="s">
        <v>1799</v>
      </c>
      <c r="F171" s="63">
        <v>4500</v>
      </c>
      <c r="G171" s="38"/>
      <c r="H171" s="38" t="s">
        <v>2031</v>
      </c>
      <c r="I171" s="38" t="s">
        <v>2032</v>
      </c>
      <c r="J171" s="38" t="s">
        <v>20</v>
      </c>
      <c r="L171" s="1" t="str">
        <v>Severn Trent Water Limited</v>
      </c>
      <c r="M171" s="1" t="str">
        <f t="shared" si="12"/>
        <v>Energy User</v>
      </c>
      <c r="N171" s="109">
        <f t="shared" si="13"/>
        <v>11132</v>
      </c>
      <c r="O171" s="1">
        <f>IFERROR(IF(INDEX(Table3[[Total Spend]:[Total Spend]],MATCH(L171,Table3[[Company name]:[Company name]],0))&gt;N171,INDEX(Table3[[Total Spend]:[Total Spend]],MATCH(L171,Table3[[Company name]:[Company name]])),N171),50000)</f>
        <v>10000</v>
      </c>
      <c r="P171" s="109">
        <f t="shared" si="14"/>
        <v>11132</v>
      </c>
      <c r="Q171" s="103">
        <f t="shared" si="15"/>
        <v>1</v>
      </c>
      <c r="R171" s="1">
        <f ca="1">IFERROR(INDEX(INDIRECT("Table3[Column"&amp;R$9&amp;"]"),MATCH($L171,Table3[[Company name]:[Company name]],0)),0)</f>
        <v>10800</v>
      </c>
      <c r="S171" s="1">
        <f ca="1">IFERROR(INDEX(INDIRECT("Table3[Column"&amp;S$9&amp;"]"),MATCH($L171,Table3[[Company name]:[Company name]],0)),0)</f>
        <v>0</v>
      </c>
      <c r="T171" s="1">
        <f ca="1">IFERROR(INDEX(INDIRECT("Table3[Column"&amp;T$9&amp;"]"),MATCH($L171,Table3[[Company name]:[Company name]],0)),0)</f>
        <v>0</v>
      </c>
      <c r="U171" s="1">
        <f ca="1">IFERROR(INDEX(INDIRECT("Table3[Column"&amp;U$9&amp;"]"),MATCH($L171,Table3[[Company name]:[Company name]],0)),0)</f>
        <v>0</v>
      </c>
      <c r="V171" s="1">
        <f ca="1">IFERROR(INDEX(INDIRECT("Table3[Column"&amp;V$9&amp;"]"),MATCH($L171,Table3[[Company name]:[Company name]],0)),0)</f>
        <v>0</v>
      </c>
      <c r="W171" s="1">
        <f ca="1">IFERROR(INDEX(INDIRECT("Table3[Column"&amp;W$9&amp;"]"),MATCH($L171,Table3[[Company name]:[Company name]],0)),0)</f>
        <v>23400</v>
      </c>
      <c r="X171" s="1">
        <f ca="1">IFERROR(INDEX(INDIRECT("Table3[Column"&amp;X$9&amp;"]"),MATCH($L171,Table3[[Company name]:[Company name]],0)),0)</f>
        <v>20700</v>
      </c>
      <c r="Y171" s="1">
        <f ca="1">IFERROR(INDEX(INDIRECT("Table3[Column"&amp;Y$9&amp;"]"),MATCH($L171,Table3[[Company name]:[Company name]],0)),0)</f>
        <v>59400</v>
      </c>
      <c r="Z171" s="1">
        <f ca="1">IFERROR(INDEX(INDIRECT("Table3[Column"&amp;Z$9&amp;"]"),MATCH($L171,Table3[[Company name]:[Company name]],0)),0)</f>
        <v>26100</v>
      </c>
      <c r="AA171" s="1">
        <f ca="1">IFERROR(INDEX(INDIRECT("Table3[Column"&amp;AA$9&amp;"]"),MATCH($L171,Table3[[Company name]:[Company name]],0)),0)</f>
        <v>0</v>
      </c>
      <c r="AB171" s="1">
        <f ca="1">IFERROR(INDEX(INDIRECT("Table3[Column"&amp;AB$9&amp;"]"),MATCH($L171,Table3[[Company name]:[Company name]],0)),0)</f>
        <v>0</v>
      </c>
      <c r="AC171" s="1">
        <f ca="1">IFERROR(INDEX(INDIRECT("Table3[Column"&amp;AC$9&amp;"]"),MATCH($L171,Table3[[Company name]:[Company name]],0)),0)</f>
        <v>0</v>
      </c>
      <c r="AD171" s="1">
        <f ca="1">IFERROR(INDEX(INDIRECT("Table3[Column"&amp;AD$9&amp;"]"),MATCH($L171,Table3[[Company name]:[Company name]],0)),0)</f>
        <v>0</v>
      </c>
      <c r="AE171" s="1">
        <f ca="1">IFERROR(INDEX(INDIRECT("Table3[Column"&amp;AE$9&amp;"]"),MATCH($L171,Table3[[Company name]:[Company name]],0)),0)</f>
        <v>15300</v>
      </c>
      <c r="AF171" s="1">
        <f ca="1">IFERROR(INDEX(INDIRECT("Table3[Column"&amp;AF$9&amp;"]"),MATCH($L171,Table3[[Company name]:[Company name]],0)),0)</f>
        <v>15750</v>
      </c>
      <c r="AG171" s="1">
        <f ca="1">IFERROR(INDEX(INDIRECT("Table3[Column"&amp;AG$9&amp;"]"),MATCH($L171,Table3[[Company name]:[Company name]],0)),0)</f>
        <v>27000</v>
      </c>
      <c r="AH171" s="1">
        <f ca="1">IFERROR(INDEX(INDIRECT("Table3[Column"&amp;AH$9&amp;"]"),MATCH($L171,Table3[[Company name]:[Company name]],0)),0)</f>
        <v>6300</v>
      </c>
      <c r="AI171" s="1">
        <f t="shared" ca="1" si="16"/>
        <v>204750</v>
      </c>
      <c r="AK171" s="1">
        <f ca="1">IF(COUNTIFS($J$7:$J$510,Table7[[#Headers],[Industry Essentials]],$C$7:$C$510,$L171)&gt;0,0,MROUND(R171,100))</f>
        <v>10800</v>
      </c>
      <c r="AL171" s="1">
        <f ca="1">IF(COUNTIFS($J$7:$J$510,Table7[[#Headers],[Energy Supply Market Intelligence]],$C$7:$C$510,$L171)&gt;0,0,MROUND(IFERROR(S171*($P171/$AI171),0),100))</f>
        <v>0</v>
      </c>
      <c r="AM171" s="1">
        <f ca="1">IF(COUNTIFS($J$7:$J$510,Table7[[#Headers],[Energy Supply RTM Analysis]],$C$7:$C$510,$L171)&gt;0,0,MROUND(IFERROR(T171*($P171/$AI171),0),100))</f>
        <v>0</v>
      </c>
      <c r="AN171" s="1">
        <f ca="1">IF(COUNTIFS($J$7:$J$510,Table7[[#Headers],[Energy Supply Forecasts]],$C$7:$C$510,$L171)&gt;0,0,MROUND(IFERROR(U171*($P171/$AI171),0),100))</f>
        <v>0</v>
      </c>
      <c r="AO171" s="1">
        <f ca="1">IF(COUNTIFS($J$7:$J$510,Table7[[#Headers],[Energy Supply Regulation]],$C$7:$C$510,$L171)&gt;0,0,MROUND(IFERROR(V171*($P171/$AI171),0),100))</f>
        <v>0</v>
      </c>
      <c r="AP171" s="1">
        <f ca="1">IF(COUNTIFS($J$7:$J$510,Table7[[#Headers],[Renewables Market Intelligence]],$C$7:$C$510,$L171)&gt;0,0,MROUND(IFERROR(W171*($P171/$AI171),0),100))</f>
        <v>1300</v>
      </c>
      <c r="AQ171" s="1">
        <f ca="1">IF(COUNTIFS($J$7:$J$510,Table7[[#Headers],[Renewables RTM Analysis]],$C$7:$C$510,$L171)&gt;0,0,MROUND(IFERROR(X171*($P171/$AI171),0),100))</f>
        <v>1100</v>
      </c>
      <c r="AR171" s="1">
        <f ca="1">IF(COUNTIFS($J$7:$J$510,Table7[[#Headers],[Renewables Forecasts]],$C$7:$C$510,$L171)&gt;0,0,MROUND(IFERROR(Y171*($P171/$AI171),0),100))</f>
        <v>3200</v>
      </c>
      <c r="AS171" s="1">
        <f ca="1">IF(COUNTIFS($J$7:$J$510,Table7[[#Headers],[Renewables Regulation]],$C$7:$C$510,$L171)&gt;0,0,MROUND(IFERROR(Z171*($P171/$AI171),0),100))</f>
        <v>1400</v>
      </c>
      <c r="AT171" s="1">
        <f ca="1">IF(COUNTIFS($J$7:$J$510,Table7[[#Headers],[Flexibility Market Intelligence]],$C$7:$C$510,$L171)&gt;0,0,MROUND(IFERROR(AA171*($P171/$AI171),0),100))</f>
        <v>0</v>
      </c>
      <c r="AU171" s="1">
        <f ca="1">IF(COUNTIFS($J$7:$J$510,Table7[[#Headers],[Flexibility RTM Analysis]],$C$7:$C$510,$L171)&gt;0,0,MROUND(IFERROR(AB171*($P171/$AI171),0),100))</f>
        <v>0</v>
      </c>
      <c r="AV171" s="1">
        <f ca="1">IF(COUNTIFS($J$7:$J$510,Table7[[#Headers],[Flexibility Forecasts]],$C$7:$C$510,$L171)&gt;0,0,MROUND(IFERROR(AC171*($P171/$AI171),0),100))</f>
        <v>0</v>
      </c>
      <c r="AW171" s="1">
        <f ca="1">IF(COUNTIFS($J$7:$J$510,Table7[[#Headers],[Flexibility Regulation]],$C$7:$C$510,$L171)&gt;0,0,MROUND(IFERROR(AD171*($P171/$AI171),0),100))</f>
        <v>0</v>
      </c>
      <c r="AX171" s="1">
        <f ca="1">IF(COUNTIFS($J$7:$J$510,Table7[[#Headers],[Business Energy Essentials]],$C$7:$C$510,$L171)&gt;0,0,MROUND(IFERROR(AE171*($P171/$AI171),0),100))</f>
        <v>800</v>
      </c>
      <c r="AY171" s="1">
        <f ca="1">IF(COUNTIFS($J$7:$J$510,Table7[[#Headers],[Energy User RTM Analysis]],$C$7:$C$510,$L171)&gt;0,0,MROUND(IFERROR(AF171*($P171/$AI171),0),100))</f>
        <v>900</v>
      </c>
      <c r="AZ171" s="1">
        <f>IF(COUNTIFS($J$7:$J$510,Table7[[#Headers],[Energy User Forecasts]],$C$7:$C$510,$L171)&gt;0,0,MROUND(IFERROR(AG171*($P171/$AI171),0),100))</f>
        <v>0</v>
      </c>
      <c r="BA171" s="1">
        <f ca="1">IF(COUNTIFS($J$7:$J$510,Table7[[#Headers],[Energy User Regulation]],$C$7:$C$510,$L171)&gt;0,0,MROUND(IFERROR(AH171*($P171/$AI171),0),100))</f>
        <v>300</v>
      </c>
    </row>
    <row r="172" spans="2:53">
      <c r="B172" s="38" t="s">
        <v>2161</v>
      </c>
      <c r="C172" s="38" t="s">
        <v>105</v>
      </c>
      <c r="D172" s="38" t="s">
        <v>2073</v>
      </c>
      <c r="E172" s="38" t="s">
        <v>2074</v>
      </c>
      <c r="F172" s="63">
        <v>17000</v>
      </c>
      <c r="G172" s="38"/>
      <c r="H172" s="38" t="s">
        <v>2031</v>
      </c>
      <c r="I172" s="38" t="s">
        <v>2031</v>
      </c>
      <c r="J172" s="38" t="s">
        <v>23</v>
      </c>
      <c r="L172" s="1" t="str">
        <v>Shell International B.V</v>
      </c>
      <c r="M172" s="1" t="str">
        <f t="shared" si="12"/>
        <v>Renewables</v>
      </c>
      <c r="N172" s="109">
        <f t="shared" si="13"/>
        <v>245000</v>
      </c>
      <c r="O172" s="1">
        <f>IFERROR(IF(INDEX(Table3[[Total Spend]:[Total Spend]],MATCH(L172,Table3[[Company name]:[Company name]],0))&gt;N172,INDEX(Table3[[Total Spend]:[Total Spend]],MATCH(L172,Table3[[Company name]:[Company name]])),N172),50000)</f>
        <v>10000</v>
      </c>
      <c r="P172" s="109">
        <f t="shared" si="14"/>
        <v>245000</v>
      </c>
      <c r="Q172" s="103">
        <f t="shared" si="15"/>
        <v>1</v>
      </c>
      <c r="R172" s="1">
        <f ca="1">IFERROR(INDEX(INDIRECT("Table3[Column"&amp;R$9&amp;"]"),MATCH($L172,Table3[[Company name]:[Company name]],0)),0)</f>
        <v>10800</v>
      </c>
      <c r="S172" s="1">
        <f ca="1">IFERROR(INDEX(INDIRECT("Table3[Column"&amp;S$9&amp;"]"),MATCH($L172,Table3[[Company name]:[Company name]],0)),0)</f>
        <v>43200</v>
      </c>
      <c r="T172" s="1">
        <f ca="1">IFERROR(INDEX(INDIRECT("Table3[Column"&amp;T$9&amp;"]"),MATCH($L172,Table3[[Company name]:[Company name]],0)),0)</f>
        <v>73800</v>
      </c>
      <c r="U172" s="1">
        <f ca="1">IFERROR(INDEX(INDIRECT("Table3[Column"&amp;U$9&amp;"]"),MATCH($L172,Table3[[Company name]:[Company name]],0)),0)</f>
        <v>48600</v>
      </c>
      <c r="V172" s="1">
        <f ca="1">IFERROR(INDEX(INDIRECT("Table3[Column"&amp;V$9&amp;"]"),MATCH($L172,Table3[[Company name]:[Company name]],0)),0)</f>
        <v>55800</v>
      </c>
      <c r="W172" s="1">
        <f ca="1">IFERROR(INDEX(INDIRECT("Table3[Column"&amp;W$9&amp;"]"),MATCH($L172,Table3[[Company name]:[Company name]],0)),0)</f>
        <v>23400</v>
      </c>
      <c r="X172" s="1">
        <f ca="1">IFERROR(INDEX(INDIRECT("Table3[Column"&amp;X$9&amp;"]"),MATCH($L172,Table3[[Company name]:[Company name]],0)),0)</f>
        <v>20700</v>
      </c>
      <c r="Y172" s="1">
        <f ca="1">IFERROR(INDEX(INDIRECT("Table3[Column"&amp;Y$9&amp;"]"),MATCH($L172,Table3[[Company name]:[Company name]],0)),0)</f>
        <v>59400</v>
      </c>
      <c r="Z172" s="1">
        <f ca="1">IFERROR(INDEX(INDIRECT("Table3[Column"&amp;Z$9&amp;"]"),MATCH($L172,Table3[[Company name]:[Company name]],0)),0)</f>
        <v>26100</v>
      </c>
      <c r="AA172" s="1">
        <f ca="1">IFERROR(INDEX(INDIRECT("Table3[Column"&amp;AA$9&amp;"]"),MATCH($L172,Table3[[Company name]:[Company name]],0)),0)</f>
        <v>29700</v>
      </c>
      <c r="AB172" s="1">
        <f ca="1">IFERROR(INDEX(INDIRECT("Table3[Column"&amp;AB$9&amp;"]"),MATCH($L172,Table3[[Company name]:[Company name]],0)),0)</f>
        <v>10800</v>
      </c>
      <c r="AC172" s="1">
        <f ca="1">IFERROR(INDEX(INDIRECT("Table3[Column"&amp;AC$9&amp;"]"),MATCH($L172,Table3[[Company name]:[Company name]],0)),0)</f>
        <v>44100</v>
      </c>
      <c r="AD172" s="1">
        <f ca="1">IFERROR(INDEX(INDIRECT("Table3[Column"&amp;AD$9&amp;"]"),MATCH($L172,Table3[[Company name]:[Company name]],0)),0)</f>
        <v>0</v>
      </c>
      <c r="AE172" s="1">
        <f ca="1">IFERROR(INDEX(INDIRECT("Table3[Column"&amp;AE$9&amp;"]"),MATCH($L172,Table3[[Company name]:[Company name]],0)),0)</f>
        <v>0</v>
      </c>
      <c r="AF172" s="1">
        <f ca="1">IFERROR(INDEX(INDIRECT("Table3[Column"&amp;AF$9&amp;"]"),MATCH($L172,Table3[[Company name]:[Company name]],0)),0)</f>
        <v>0</v>
      </c>
      <c r="AG172" s="1">
        <f ca="1">IFERROR(INDEX(INDIRECT("Table3[Column"&amp;AG$9&amp;"]"),MATCH($L172,Table3[[Company name]:[Company name]],0)),0)</f>
        <v>0</v>
      </c>
      <c r="AH172" s="1">
        <f ca="1">IFERROR(INDEX(INDIRECT("Table3[Column"&amp;AH$9&amp;"]"),MATCH($L172,Table3[[Company name]:[Company name]],0)),0)</f>
        <v>0</v>
      </c>
      <c r="AI172" s="1">
        <f t="shared" ca="1" si="16"/>
        <v>446400</v>
      </c>
      <c r="AK172" s="1">
        <f>IF(COUNTIFS($J$7:$J$510,Table7[[#Headers],[Industry Essentials]],$C$7:$C$510,$L172)&gt;0,0,MROUND(R172,100))</f>
        <v>0</v>
      </c>
      <c r="AL172" s="1">
        <f>IF(COUNTIFS($J$7:$J$510,Table7[[#Headers],[Energy Supply Market Intelligence]],$C$7:$C$510,$L172)&gt;0,0,MROUND(IFERROR(S172*($P172/$AI172),0),100))</f>
        <v>0</v>
      </c>
      <c r="AM172" s="1">
        <f ca="1">IF(COUNTIFS($J$7:$J$510,Table7[[#Headers],[Energy Supply RTM Analysis]],$C$7:$C$510,$L172)&gt;0,0,MROUND(IFERROR(T172*($P172/$AI172),0),100))</f>
        <v>40500</v>
      </c>
      <c r="AN172" s="1">
        <f>IF(COUNTIFS($J$7:$J$510,Table7[[#Headers],[Energy Supply Forecasts]],$C$7:$C$510,$L172)&gt;0,0,MROUND(IFERROR(U172*($P172/$AI172),0),100))</f>
        <v>0</v>
      </c>
      <c r="AO172" s="1">
        <f>IF(COUNTIFS($J$7:$J$510,Table7[[#Headers],[Energy Supply Regulation]],$C$7:$C$510,$L172)&gt;0,0,MROUND(IFERROR(V172*($P172/$AI172),0),100))</f>
        <v>0</v>
      </c>
      <c r="AP172" s="1">
        <f>IF(COUNTIFS($J$7:$J$510,Table7[[#Headers],[Renewables Market Intelligence]],$C$7:$C$510,$L172)&gt;0,0,MROUND(IFERROR(W172*($P172/$AI172),0),100))</f>
        <v>0</v>
      </c>
      <c r="AQ172" s="1">
        <f ca="1">IF(COUNTIFS($J$7:$J$510,Table7[[#Headers],[Renewables RTM Analysis]],$C$7:$C$510,$L172)&gt;0,0,MROUND(IFERROR(X172*($P172/$AI172),0),100))</f>
        <v>11400</v>
      </c>
      <c r="AR172" s="1">
        <f>IF(COUNTIFS($J$7:$J$510,Table7[[#Headers],[Renewables Forecasts]],$C$7:$C$510,$L172)&gt;0,0,MROUND(IFERROR(Y172*($P172/$AI172),0),100))</f>
        <v>0</v>
      </c>
      <c r="AS172" s="1">
        <f ca="1">IF(COUNTIFS($J$7:$J$510,Table7[[#Headers],[Renewables Regulation]],$C$7:$C$510,$L172)&gt;0,0,MROUND(IFERROR(Z172*($P172/$AI172),0),100))</f>
        <v>14300</v>
      </c>
      <c r="AT172" s="1">
        <f>IF(COUNTIFS($J$7:$J$510,Table7[[#Headers],[Flexibility Market Intelligence]],$C$7:$C$510,$L172)&gt;0,0,MROUND(IFERROR(AA172*($P172/$AI172),0),100))</f>
        <v>0</v>
      </c>
      <c r="AU172" s="1">
        <f ca="1">IF(COUNTIFS($J$7:$J$510,Table7[[#Headers],[Flexibility RTM Analysis]],$C$7:$C$510,$L172)&gt;0,0,MROUND(IFERROR(AB172*($P172/$AI172),0),100))</f>
        <v>5900</v>
      </c>
      <c r="AV172" s="1">
        <f>IF(COUNTIFS($J$7:$J$510,Table7[[#Headers],[Flexibility Forecasts]],$C$7:$C$510,$L172)&gt;0,0,MROUND(IFERROR(AC172*($P172/$AI172),0),100))</f>
        <v>0</v>
      </c>
      <c r="AW172" s="1">
        <f ca="1">IF(COUNTIFS($J$7:$J$510,Table7[[#Headers],[Flexibility Regulation]],$C$7:$C$510,$L172)&gt;0,0,MROUND(IFERROR(AD172*($P172/$AI172),0),100))</f>
        <v>0</v>
      </c>
      <c r="AX172" s="1">
        <f ca="1">IF(COUNTIFS($J$7:$J$510,Table7[[#Headers],[Business Energy Essentials]],$C$7:$C$510,$L172)&gt;0,0,MROUND(IFERROR(AE172*($P172/$AI172),0),100))</f>
        <v>0</v>
      </c>
      <c r="AY172" s="1">
        <f>IF(COUNTIFS($J$7:$J$510,Table7[[#Headers],[Energy User RTM Analysis]],$C$7:$C$510,$L172)&gt;0,0,MROUND(IFERROR(AF172*($P172/$AI172),0),100))</f>
        <v>0</v>
      </c>
      <c r="AZ172" s="1">
        <f ca="1">IF(COUNTIFS($J$7:$J$510,Table7[[#Headers],[Energy User Forecasts]],$C$7:$C$510,$L172)&gt;0,0,MROUND(IFERROR(AG172*($P172/$AI172),0),100))</f>
        <v>0</v>
      </c>
      <c r="BA172" s="1">
        <f ca="1">IF(COUNTIFS($J$7:$J$510,Table7[[#Headers],[Energy User Regulation]],$C$7:$C$510,$L172)&gt;0,0,MROUND(IFERROR(AH172*($P172/$AI172),0),100))</f>
        <v>0</v>
      </c>
    </row>
    <row r="173" spans="2:53">
      <c r="B173" s="38" t="s">
        <v>2162</v>
      </c>
      <c r="C173" s="38" t="s">
        <v>999</v>
      </c>
      <c r="D173" s="38" t="s">
        <v>2040</v>
      </c>
      <c r="E173" s="38" t="s">
        <v>1799</v>
      </c>
      <c r="F173" s="63">
        <v>7200</v>
      </c>
      <c r="G173" s="38"/>
      <c r="H173" s="38" t="s">
        <v>2032</v>
      </c>
      <c r="I173" s="38" t="s">
        <v>2032</v>
      </c>
      <c r="J173" s="38" t="s">
        <v>20</v>
      </c>
      <c r="L173" s="1" t="str">
        <v>Sinq Power Limited</v>
      </c>
      <c r="M173" s="1" t="str">
        <f t="shared" si="12"/>
        <v>Supply</v>
      </c>
      <c r="N173" s="109">
        <f t="shared" si="13"/>
        <v>17100</v>
      </c>
      <c r="O173" s="1">
        <f>IFERROR(IF(INDEX(Table3[[Total Spend]:[Total Spend]],MATCH(L173,Table3[[Company name]:[Company name]],0))&gt;N173,INDEX(Table3[[Total Spend]:[Total Spend]],MATCH(L173,Table3[[Company name]:[Company name]])),N173),50000)</f>
        <v>50000</v>
      </c>
      <c r="P173" s="109">
        <f t="shared" si="14"/>
        <v>32900</v>
      </c>
      <c r="Q173" s="103">
        <f t="shared" si="15"/>
        <v>0.34200000000000003</v>
      </c>
      <c r="R173" s="1">
        <f ca="1">IFERROR(INDEX(INDIRECT("Table3[Column"&amp;R$9&amp;"]"),MATCH($L173,Table3[[Company name]:[Company name]],0)),0)</f>
        <v>0</v>
      </c>
      <c r="S173" s="1">
        <f ca="1">IFERROR(INDEX(INDIRECT("Table3[Column"&amp;S$9&amp;"]"),MATCH($L173,Table3[[Company name]:[Company name]],0)),0)</f>
        <v>0</v>
      </c>
      <c r="T173" s="1">
        <f ca="1">IFERROR(INDEX(INDIRECT("Table3[Column"&amp;T$9&amp;"]"),MATCH($L173,Table3[[Company name]:[Company name]],0)),0)</f>
        <v>0</v>
      </c>
      <c r="U173" s="1">
        <f ca="1">IFERROR(INDEX(INDIRECT("Table3[Column"&amp;U$9&amp;"]"),MATCH($L173,Table3[[Company name]:[Company name]],0)),0)</f>
        <v>0</v>
      </c>
      <c r="V173" s="1">
        <f ca="1">IFERROR(INDEX(INDIRECT("Table3[Column"&amp;V$9&amp;"]"),MATCH($L173,Table3[[Company name]:[Company name]],0)),0)</f>
        <v>0</v>
      </c>
      <c r="W173" s="1">
        <f ca="1">IFERROR(INDEX(INDIRECT("Table3[Column"&amp;W$9&amp;"]"),MATCH($L173,Table3[[Company name]:[Company name]],0)),0)</f>
        <v>0</v>
      </c>
      <c r="X173" s="1">
        <f ca="1">IFERROR(INDEX(INDIRECT("Table3[Column"&amp;X$9&amp;"]"),MATCH($L173,Table3[[Company name]:[Company name]],0)),0)</f>
        <v>0</v>
      </c>
      <c r="Y173" s="1">
        <f ca="1">IFERROR(INDEX(INDIRECT("Table3[Column"&amp;Y$9&amp;"]"),MATCH($L173,Table3[[Company name]:[Company name]],0)),0)</f>
        <v>0</v>
      </c>
      <c r="Z173" s="1">
        <f ca="1">IFERROR(INDEX(INDIRECT("Table3[Column"&amp;Z$9&amp;"]"),MATCH($L173,Table3[[Company name]:[Company name]],0)),0)</f>
        <v>0</v>
      </c>
      <c r="AA173" s="1">
        <f ca="1">IFERROR(INDEX(INDIRECT("Table3[Column"&amp;AA$9&amp;"]"),MATCH($L173,Table3[[Company name]:[Company name]],0)),0)</f>
        <v>0</v>
      </c>
      <c r="AB173" s="1">
        <f ca="1">IFERROR(INDEX(INDIRECT("Table3[Column"&amp;AB$9&amp;"]"),MATCH($L173,Table3[[Company name]:[Company name]],0)),0)</f>
        <v>0</v>
      </c>
      <c r="AC173" s="1">
        <f ca="1">IFERROR(INDEX(INDIRECT("Table3[Column"&amp;AC$9&amp;"]"),MATCH($L173,Table3[[Company name]:[Company name]],0)),0)</f>
        <v>0</v>
      </c>
      <c r="AD173" s="1">
        <f ca="1">IFERROR(INDEX(INDIRECT("Table3[Column"&amp;AD$9&amp;"]"),MATCH($L173,Table3[[Company name]:[Company name]],0)),0)</f>
        <v>0</v>
      </c>
      <c r="AE173" s="1">
        <f ca="1">IFERROR(INDEX(INDIRECT("Table3[Column"&amp;AE$9&amp;"]"),MATCH($L173,Table3[[Company name]:[Company name]],0)),0)</f>
        <v>0</v>
      </c>
      <c r="AF173" s="1">
        <f ca="1">IFERROR(INDEX(INDIRECT("Table3[Column"&amp;AF$9&amp;"]"),MATCH($L173,Table3[[Company name]:[Company name]],0)),0)</f>
        <v>0</v>
      </c>
      <c r="AG173" s="1">
        <f ca="1">IFERROR(INDEX(INDIRECT("Table3[Column"&amp;AG$9&amp;"]"),MATCH($L173,Table3[[Company name]:[Company name]],0)),0)</f>
        <v>0</v>
      </c>
      <c r="AH173" s="1">
        <f ca="1">IFERROR(INDEX(INDIRECT("Table3[Column"&amp;AH$9&amp;"]"),MATCH($L173,Table3[[Company name]:[Company name]],0)),0)</f>
        <v>0</v>
      </c>
      <c r="AI173" s="1">
        <f t="shared" ca="1" si="16"/>
        <v>0</v>
      </c>
      <c r="AK173" s="1">
        <f>IF(COUNTIFS($J$7:$J$510,Table7[[#Headers],[Industry Essentials]],$C$7:$C$510,$L173)&gt;0,0,MROUND(R173,100))</f>
        <v>0</v>
      </c>
      <c r="AL173" s="1">
        <f ca="1">IF(COUNTIFS($J$7:$J$510,Table7[[#Headers],[Energy Supply Market Intelligence]],$C$7:$C$510,$L173)&gt;0,0,MROUND(IFERROR(S173*($P173/$AI173),0),100))</f>
        <v>0</v>
      </c>
      <c r="AM173" s="1">
        <f ca="1">IF(COUNTIFS($J$7:$J$510,Table7[[#Headers],[Energy Supply RTM Analysis]],$C$7:$C$510,$L173)&gt;0,0,MROUND(IFERROR(T173*($P173/$AI173),0),100))</f>
        <v>0</v>
      </c>
      <c r="AN173" s="1">
        <f>IF(COUNTIFS($J$7:$J$510,Table7[[#Headers],[Energy Supply Forecasts]],$C$7:$C$510,$L173)&gt;0,0,MROUND(IFERROR(U173*($P173/$AI173),0),100))</f>
        <v>0</v>
      </c>
      <c r="AO173" s="1">
        <f ca="1">IF(COUNTIFS($J$7:$J$510,Table7[[#Headers],[Energy Supply Regulation]],$C$7:$C$510,$L173)&gt;0,0,MROUND(IFERROR(V173*($P173/$AI173),0),100))</f>
        <v>0</v>
      </c>
      <c r="AP173" s="1">
        <f ca="1">IF(COUNTIFS($J$7:$J$510,Table7[[#Headers],[Renewables Market Intelligence]],$C$7:$C$510,$L173)&gt;0,0,MROUND(IFERROR(W173*($P173/$AI173),0),100))</f>
        <v>0</v>
      </c>
      <c r="AQ173" s="1">
        <f ca="1">IF(COUNTIFS($J$7:$J$510,Table7[[#Headers],[Renewables RTM Analysis]],$C$7:$C$510,$L173)&gt;0,0,MROUND(IFERROR(X173*($P173/$AI173),0),100))</f>
        <v>0</v>
      </c>
      <c r="AR173" s="1">
        <f ca="1">IF(COUNTIFS($J$7:$J$510,Table7[[#Headers],[Renewables Forecasts]],$C$7:$C$510,$L173)&gt;0,0,MROUND(IFERROR(Y173*($P173/$AI173),0),100))</f>
        <v>0</v>
      </c>
      <c r="AS173" s="1">
        <f ca="1">IF(COUNTIFS($J$7:$J$510,Table7[[#Headers],[Renewables Regulation]],$C$7:$C$510,$L173)&gt;0,0,MROUND(IFERROR(Z173*($P173/$AI173),0),100))</f>
        <v>0</v>
      </c>
      <c r="AT173" s="1">
        <f ca="1">IF(COUNTIFS($J$7:$J$510,Table7[[#Headers],[Flexibility Market Intelligence]],$C$7:$C$510,$L173)&gt;0,0,MROUND(IFERROR(AA173*($P173/$AI173),0),100))</f>
        <v>0</v>
      </c>
      <c r="AU173" s="1">
        <f ca="1">IF(COUNTIFS($J$7:$J$510,Table7[[#Headers],[Flexibility RTM Analysis]],$C$7:$C$510,$L173)&gt;0,0,MROUND(IFERROR(AB173*($P173/$AI173),0),100))</f>
        <v>0</v>
      </c>
      <c r="AV173" s="1">
        <f ca="1">IF(COUNTIFS($J$7:$J$510,Table7[[#Headers],[Flexibility Forecasts]],$C$7:$C$510,$L173)&gt;0,0,MROUND(IFERROR(AC173*($P173/$AI173),0),100))</f>
        <v>0</v>
      </c>
      <c r="AW173" s="1">
        <f ca="1">IF(COUNTIFS($J$7:$J$510,Table7[[#Headers],[Flexibility Regulation]],$C$7:$C$510,$L173)&gt;0,0,MROUND(IFERROR(AD173*($P173/$AI173),0),100))</f>
        <v>0</v>
      </c>
      <c r="AX173" s="1">
        <f ca="1">IF(COUNTIFS($J$7:$J$510,Table7[[#Headers],[Business Energy Essentials]],$C$7:$C$510,$L173)&gt;0,0,MROUND(IFERROR(AE173*($P173/$AI173),0),100))</f>
        <v>0</v>
      </c>
      <c r="AY173" s="1">
        <f ca="1">IF(COUNTIFS($J$7:$J$510,Table7[[#Headers],[Energy User RTM Analysis]],$C$7:$C$510,$L173)&gt;0,0,MROUND(IFERROR(AF173*($P173/$AI173),0),100))</f>
        <v>0</v>
      </c>
      <c r="AZ173" s="1">
        <f ca="1">IF(COUNTIFS($J$7:$J$510,Table7[[#Headers],[Energy User Forecasts]],$C$7:$C$510,$L173)&gt;0,0,MROUND(IFERROR(AG173*($P173/$AI173),0),100))</f>
        <v>0</v>
      </c>
      <c r="BA173" s="1">
        <f ca="1">IF(COUNTIFS($J$7:$J$510,Table7[[#Headers],[Energy User Regulation]],$C$7:$C$510,$L173)&gt;0,0,MROUND(IFERROR(AH173*($P173/$AI173),0),100))</f>
        <v>0</v>
      </c>
    </row>
    <row r="174" spans="2:53">
      <c r="B174" s="38" t="s">
        <v>2163</v>
      </c>
      <c r="C174" s="38" t="s">
        <v>1258</v>
      </c>
      <c r="D174" s="38" t="s">
        <v>2040</v>
      </c>
      <c r="E174" s="38" t="s">
        <v>1799</v>
      </c>
      <c r="F174" s="63">
        <v>6500</v>
      </c>
      <c r="G174" s="38"/>
      <c r="H174" s="38" t="s">
        <v>191</v>
      </c>
      <c r="I174" s="38" t="s">
        <v>2032</v>
      </c>
      <c r="J174" s="38" t="s">
        <v>20</v>
      </c>
      <c r="L174" s="1" t="str">
        <v>Slaughter and May Limited</v>
      </c>
      <c r="M174" s="1" t="str">
        <f t="shared" si="12"/>
        <v>Other</v>
      </c>
      <c r="N174" s="109">
        <f t="shared" si="13"/>
        <v>8325</v>
      </c>
      <c r="O174" s="1">
        <f>IFERROR(IF(INDEX(Table3[[Total Spend]:[Total Spend]],MATCH(L174,Table3[[Company name]:[Company name]],0))&gt;N174,INDEX(Table3[[Total Spend]:[Total Spend]],MATCH(L174,Table3[[Company name]:[Company name]])),N174),50000)</f>
        <v>8100</v>
      </c>
      <c r="P174" s="109">
        <f t="shared" si="14"/>
        <v>8325</v>
      </c>
      <c r="Q174" s="103">
        <f t="shared" si="15"/>
        <v>1</v>
      </c>
      <c r="R174" s="1">
        <f ca="1">IFERROR(INDEX(INDIRECT("Table3[Column"&amp;R$9&amp;"]"),MATCH($L174,Table3[[Company name]:[Company name]],0)),0)</f>
        <v>10800</v>
      </c>
      <c r="S174" s="1">
        <f ca="1">IFERROR(INDEX(INDIRECT("Table3[Column"&amp;S$9&amp;"]"),MATCH($L174,Table3[[Company name]:[Company name]],0)),0)</f>
        <v>0</v>
      </c>
      <c r="T174" s="1">
        <f ca="1">IFERROR(INDEX(INDIRECT("Table3[Column"&amp;T$9&amp;"]"),MATCH($L174,Table3[[Company name]:[Company name]],0)),0)</f>
        <v>0</v>
      </c>
      <c r="U174" s="1">
        <f ca="1">IFERROR(INDEX(INDIRECT("Table3[Column"&amp;U$9&amp;"]"),MATCH($L174,Table3[[Company name]:[Company name]],0)),0)</f>
        <v>0</v>
      </c>
      <c r="V174" s="1">
        <f ca="1">IFERROR(INDEX(INDIRECT("Table3[Column"&amp;V$9&amp;"]"),MATCH($L174,Table3[[Company name]:[Company name]],0)),0)</f>
        <v>0</v>
      </c>
      <c r="W174" s="1">
        <f ca="1">IFERROR(INDEX(INDIRECT("Table3[Column"&amp;W$9&amp;"]"),MATCH($L174,Table3[[Company name]:[Company name]],0)),0)</f>
        <v>0</v>
      </c>
      <c r="X174" s="1">
        <f ca="1">IFERROR(INDEX(INDIRECT("Table3[Column"&amp;X$9&amp;"]"),MATCH($L174,Table3[[Company name]:[Company name]],0)),0)</f>
        <v>0</v>
      </c>
      <c r="Y174" s="1">
        <f ca="1">IFERROR(INDEX(INDIRECT("Table3[Column"&amp;Y$9&amp;"]"),MATCH($L174,Table3[[Company name]:[Company name]],0)),0)</f>
        <v>0</v>
      </c>
      <c r="Z174" s="1">
        <f ca="1">IFERROR(INDEX(INDIRECT("Table3[Column"&amp;Z$9&amp;"]"),MATCH($L174,Table3[[Company name]:[Company name]],0)),0)</f>
        <v>0</v>
      </c>
      <c r="AA174" s="1">
        <f ca="1">IFERROR(INDEX(INDIRECT("Table3[Column"&amp;AA$9&amp;"]"),MATCH($L174,Table3[[Company name]:[Company name]],0)),0)</f>
        <v>0</v>
      </c>
      <c r="AB174" s="1">
        <f ca="1">IFERROR(INDEX(INDIRECT("Table3[Column"&amp;AB$9&amp;"]"),MATCH($L174,Table3[[Company name]:[Company name]],0)),0)</f>
        <v>0</v>
      </c>
      <c r="AC174" s="1">
        <f ca="1">IFERROR(INDEX(INDIRECT("Table3[Column"&amp;AC$9&amp;"]"),MATCH($L174,Table3[[Company name]:[Company name]],0)),0)</f>
        <v>0</v>
      </c>
      <c r="AD174" s="1">
        <f ca="1">IFERROR(INDEX(INDIRECT("Table3[Column"&amp;AD$9&amp;"]"),MATCH($L174,Table3[[Company name]:[Company name]],0)),0)</f>
        <v>0</v>
      </c>
      <c r="AE174" s="1">
        <f ca="1">IFERROR(INDEX(INDIRECT("Table3[Column"&amp;AE$9&amp;"]"),MATCH($L174,Table3[[Company name]:[Company name]],0)),0)</f>
        <v>0</v>
      </c>
      <c r="AF174" s="1">
        <f ca="1">IFERROR(INDEX(INDIRECT("Table3[Column"&amp;AF$9&amp;"]"),MATCH($L174,Table3[[Company name]:[Company name]],0)),0)</f>
        <v>0</v>
      </c>
      <c r="AG174" s="1">
        <f ca="1">IFERROR(INDEX(INDIRECT("Table3[Column"&amp;AG$9&amp;"]"),MATCH($L174,Table3[[Company name]:[Company name]],0)),0)</f>
        <v>0</v>
      </c>
      <c r="AH174" s="1">
        <f ca="1">IFERROR(INDEX(INDIRECT("Table3[Column"&amp;AH$9&amp;"]"),MATCH($L174,Table3[[Company name]:[Company name]],0)),0)</f>
        <v>0</v>
      </c>
      <c r="AI174" s="1">
        <f t="shared" ca="1" si="16"/>
        <v>10800</v>
      </c>
      <c r="AK174" s="1">
        <f>IF(COUNTIFS($J$7:$J$510,Table7[[#Headers],[Industry Essentials]],$C$7:$C$510,$L174)&gt;0,0,MROUND(R174,100))</f>
        <v>0</v>
      </c>
      <c r="AL174" s="1">
        <f ca="1">IF(COUNTIFS($J$7:$J$510,Table7[[#Headers],[Energy Supply Market Intelligence]],$C$7:$C$510,$L174)&gt;0,0,MROUND(IFERROR(S174*($P174/$AI174),0),100))</f>
        <v>0</v>
      </c>
      <c r="AM174" s="1">
        <f ca="1">IF(COUNTIFS($J$7:$J$510,Table7[[#Headers],[Energy Supply RTM Analysis]],$C$7:$C$510,$L174)&gt;0,0,MROUND(IFERROR(T174*($P174/$AI174),0),100))</f>
        <v>0</v>
      </c>
      <c r="AN174" s="1">
        <f ca="1">IF(COUNTIFS($J$7:$J$510,Table7[[#Headers],[Energy Supply Forecasts]],$C$7:$C$510,$L174)&gt;0,0,MROUND(IFERROR(U174*($P174/$AI174),0),100))</f>
        <v>0</v>
      </c>
      <c r="AO174" s="1">
        <f ca="1">IF(COUNTIFS($J$7:$J$510,Table7[[#Headers],[Energy Supply Regulation]],$C$7:$C$510,$L174)&gt;0,0,MROUND(IFERROR(V174*($P174/$AI174),0),100))</f>
        <v>0</v>
      </c>
      <c r="AP174" s="1">
        <f ca="1">IF(COUNTIFS($J$7:$J$510,Table7[[#Headers],[Renewables Market Intelligence]],$C$7:$C$510,$L174)&gt;0,0,MROUND(IFERROR(W174*($P174/$AI174),0),100))</f>
        <v>0</v>
      </c>
      <c r="AQ174" s="1">
        <f ca="1">IF(COUNTIFS($J$7:$J$510,Table7[[#Headers],[Renewables RTM Analysis]],$C$7:$C$510,$L174)&gt;0,0,MROUND(IFERROR(X174*($P174/$AI174),0),100))</f>
        <v>0</v>
      </c>
      <c r="AR174" s="1">
        <f ca="1">IF(COUNTIFS($J$7:$J$510,Table7[[#Headers],[Renewables Forecasts]],$C$7:$C$510,$L174)&gt;0,0,MROUND(IFERROR(Y174*($P174/$AI174),0),100))</f>
        <v>0</v>
      </c>
      <c r="AS174" s="1">
        <f ca="1">IF(COUNTIFS($J$7:$J$510,Table7[[#Headers],[Renewables Regulation]],$C$7:$C$510,$L174)&gt;0,0,MROUND(IFERROR(Z174*($P174/$AI174),0),100))</f>
        <v>0</v>
      </c>
      <c r="AT174" s="1">
        <f ca="1">IF(COUNTIFS($J$7:$J$510,Table7[[#Headers],[Flexibility Market Intelligence]],$C$7:$C$510,$L174)&gt;0,0,MROUND(IFERROR(AA174*($P174/$AI174),0),100))</f>
        <v>0</v>
      </c>
      <c r="AU174" s="1">
        <f ca="1">IF(COUNTIFS($J$7:$J$510,Table7[[#Headers],[Flexibility RTM Analysis]],$C$7:$C$510,$L174)&gt;0,0,MROUND(IFERROR(AB174*($P174/$AI174),0),100))</f>
        <v>0</v>
      </c>
      <c r="AV174" s="1">
        <f ca="1">IF(COUNTIFS($J$7:$J$510,Table7[[#Headers],[Flexibility Forecasts]],$C$7:$C$510,$L174)&gt;0,0,MROUND(IFERROR(AC174*($P174/$AI174),0),100))</f>
        <v>0</v>
      </c>
      <c r="AW174" s="1">
        <f ca="1">IF(COUNTIFS($J$7:$J$510,Table7[[#Headers],[Flexibility Regulation]],$C$7:$C$510,$L174)&gt;0,0,MROUND(IFERROR(AD174*($P174/$AI174),0),100))</f>
        <v>0</v>
      </c>
      <c r="AX174" s="1">
        <f ca="1">IF(COUNTIFS($J$7:$J$510,Table7[[#Headers],[Business Energy Essentials]],$C$7:$C$510,$L174)&gt;0,0,MROUND(IFERROR(AE174*($P174/$AI174),0),100))</f>
        <v>0</v>
      </c>
      <c r="AY174" s="1">
        <f ca="1">IF(COUNTIFS($J$7:$J$510,Table7[[#Headers],[Energy User RTM Analysis]],$C$7:$C$510,$L174)&gt;0,0,MROUND(IFERROR(AF174*($P174/$AI174),0),100))</f>
        <v>0</v>
      </c>
      <c r="AZ174" s="1">
        <f ca="1">IF(COUNTIFS($J$7:$J$510,Table7[[#Headers],[Energy User Forecasts]],$C$7:$C$510,$L174)&gt;0,0,MROUND(IFERROR(AG174*($P174/$AI174),0),100))</f>
        <v>0</v>
      </c>
      <c r="BA174" s="1">
        <f ca="1">IF(COUNTIFS($J$7:$J$510,Table7[[#Headers],[Energy User Regulation]],$C$7:$C$510,$L174)&gt;0,0,MROUND(IFERROR(AH174*($P174/$AI174),0),100))</f>
        <v>0</v>
      </c>
    </row>
    <row r="175" spans="2:53">
      <c r="B175" s="38" t="s">
        <v>2164</v>
      </c>
      <c r="C175" s="38" t="s">
        <v>161</v>
      </c>
      <c r="D175" s="38" t="s">
        <v>2083</v>
      </c>
      <c r="E175" s="38" t="s">
        <v>1829</v>
      </c>
      <c r="F175" s="63">
        <v>13850</v>
      </c>
      <c r="G175" s="38"/>
      <c r="H175" s="38" t="s">
        <v>2031</v>
      </c>
      <c r="I175" s="38" t="s">
        <v>2031</v>
      </c>
      <c r="J175" s="38" t="s">
        <v>23</v>
      </c>
      <c r="L175" s="1" t="str">
        <v>Smart DCC Limited</v>
      </c>
      <c r="M175" s="1" t="str">
        <f t="shared" si="12"/>
        <v>Other</v>
      </c>
      <c r="N175" s="109">
        <f t="shared" si="13"/>
        <v>5300</v>
      </c>
      <c r="O175" s="1">
        <f>IFERROR(IF(INDEX(Table3[[Total Spend]:[Total Spend]],MATCH(L175,Table3[[Company name]:[Company name]],0))&gt;N175,INDEX(Table3[[Total Spend]:[Total Spend]],MATCH(L175,Table3[[Company name]:[Company name]])),N175),50000)</f>
        <v>8100</v>
      </c>
      <c r="P175" s="109">
        <f t="shared" si="14"/>
        <v>2800</v>
      </c>
      <c r="Q175" s="103">
        <f t="shared" si="15"/>
        <v>0.65432098765432101</v>
      </c>
      <c r="R175" s="1">
        <f ca="1">IFERROR(INDEX(INDIRECT("Table3[Column"&amp;R$9&amp;"]"),MATCH($L175,Table3[[Company name]:[Company name]],0)),0)</f>
        <v>10800</v>
      </c>
      <c r="S175" s="1">
        <f ca="1">IFERROR(INDEX(INDIRECT("Table3[Column"&amp;S$9&amp;"]"),MATCH($L175,Table3[[Company name]:[Company name]],0)),0)</f>
        <v>0</v>
      </c>
      <c r="T175" s="1">
        <f ca="1">IFERROR(INDEX(INDIRECT("Table3[Column"&amp;T$9&amp;"]"),MATCH($L175,Table3[[Company name]:[Company name]],0)),0)</f>
        <v>0</v>
      </c>
      <c r="U175" s="1">
        <f ca="1">IFERROR(INDEX(INDIRECT("Table3[Column"&amp;U$9&amp;"]"),MATCH($L175,Table3[[Company name]:[Company name]],0)),0)</f>
        <v>0</v>
      </c>
      <c r="V175" s="1">
        <f ca="1">IFERROR(INDEX(INDIRECT("Table3[Column"&amp;V$9&amp;"]"),MATCH($L175,Table3[[Company name]:[Company name]],0)),0)</f>
        <v>55800</v>
      </c>
      <c r="W175" s="1">
        <f ca="1">IFERROR(INDEX(INDIRECT("Table3[Column"&amp;W$9&amp;"]"),MATCH($L175,Table3[[Company name]:[Company name]],0)),0)</f>
        <v>0</v>
      </c>
      <c r="X175" s="1">
        <f ca="1">IFERROR(INDEX(INDIRECT("Table3[Column"&amp;X$9&amp;"]"),MATCH($L175,Table3[[Company name]:[Company name]],0)),0)</f>
        <v>0</v>
      </c>
      <c r="Y175" s="1">
        <f ca="1">IFERROR(INDEX(INDIRECT("Table3[Column"&amp;Y$9&amp;"]"),MATCH($L175,Table3[[Company name]:[Company name]],0)),0)</f>
        <v>0</v>
      </c>
      <c r="Z175" s="1">
        <f ca="1">IFERROR(INDEX(INDIRECT("Table3[Column"&amp;Z$9&amp;"]"),MATCH($L175,Table3[[Company name]:[Company name]],0)),0)</f>
        <v>0</v>
      </c>
      <c r="AA175" s="1">
        <f ca="1">IFERROR(INDEX(INDIRECT("Table3[Column"&amp;AA$9&amp;"]"),MATCH($L175,Table3[[Company name]:[Company name]],0)),0)</f>
        <v>0</v>
      </c>
      <c r="AB175" s="1">
        <f ca="1">IFERROR(INDEX(INDIRECT("Table3[Column"&amp;AB$9&amp;"]"),MATCH($L175,Table3[[Company name]:[Company name]],0)),0)</f>
        <v>0</v>
      </c>
      <c r="AC175" s="1">
        <f ca="1">IFERROR(INDEX(INDIRECT("Table3[Column"&amp;AC$9&amp;"]"),MATCH($L175,Table3[[Company name]:[Company name]],0)),0)</f>
        <v>0</v>
      </c>
      <c r="AD175" s="1">
        <f ca="1">IFERROR(INDEX(INDIRECT("Table3[Column"&amp;AD$9&amp;"]"),MATCH($L175,Table3[[Company name]:[Company name]],0)),0)</f>
        <v>0</v>
      </c>
      <c r="AE175" s="1">
        <f ca="1">IFERROR(INDEX(INDIRECT("Table3[Column"&amp;AE$9&amp;"]"),MATCH($L175,Table3[[Company name]:[Company name]],0)),0)</f>
        <v>0</v>
      </c>
      <c r="AF175" s="1">
        <f ca="1">IFERROR(INDEX(INDIRECT("Table3[Column"&amp;AF$9&amp;"]"),MATCH($L175,Table3[[Company name]:[Company name]],0)),0)</f>
        <v>0</v>
      </c>
      <c r="AG175" s="1">
        <f ca="1">IFERROR(INDEX(INDIRECT("Table3[Column"&amp;AG$9&amp;"]"),MATCH($L175,Table3[[Company name]:[Company name]],0)),0)</f>
        <v>0</v>
      </c>
      <c r="AH175" s="1">
        <f ca="1">IFERROR(INDEX(INDIRECT("Table3[Column"&amp;AH$9&amp;"]"),MATCH($L175,Table3[[Company name]:[Company name]],0)),0)</f>
        <v>0</v>
      </c>
      <c r="AI175" s="1">
        <f t="shared" ca="1" si="16"/>
        <v>66600</v>
      </c>
      <c r="AK175" s="1">
        <f>IF(COUNTIFS($J$7:$J$510,Table7[[#Headers],[Industry Essentials]],$C$7:$C$510,$L175)&gt;0,0,MROUND(R175,100))</f>
        <v>0</v>
      </c>
      <c r="AL175" s="1">
        <f ca="1">IF(COUNTIFS($J$7:$J$510,Table7[[#Headers],[Energy Supply Market Intelligence]],$C$7:$C$510,$L175)&gt;0,0,MROUND(IFERROR(S175*($P175/$AI175),0),100))</f>
        <v>0</v>
      </c>
      <c r="AM175" s="1">
        <f ca="1">IF(COUNTIFS($J$7:$J$510,Table7[[#Headers],[Energy Supply RTM Analysis]],$C$7:$C$510,$L175)&gt;0,0,MROUND(IFERROR(T175*($P175/$AI175),0),100))</f>
        <v>0</v>
      </c>
      <c r="AN175" s="1">
        <f ca="1">IF(COUNTIFS($J$7:$J$510,Table7[[#Headers],[Energy Supply Forecasts]],$C$7:$C$510,$L175)&gt;0,0,MROUND(IFERROR(U175*($P175/$AI175),0),100))</f>
        <v>0</v>
      </c>
      <c r="AO175" s="1">
        <f ca="1">IF(COUNTIFS($J$7:$J$510,Table7[[#Headers],[Energy Supply Regulation]],$C$7:$C$510,$L175)&gt;0,0,MROUND(IFERROR(V175*($P175/$AI175),0),100))</f>
        <v>2300</v>
      </c>
      <c r="AP175" s="1">
        <f ca="1">IF(COUNTIFS($J$7:$J$510,Table7[[#Headers],[Renewables Market Intelligence]],$C$7:$C$510,$L175)&gt;0,0,MROUND(IFERROR(W175*($P175/$AI175),0),100))</f>
        <v>0</v>
      </c>
      <c r="AQ175" s="1">
        <f ca="1">IF(COUNTIFS($J$7:$J$510,Table7[[#Headers],[Renewables RTM Analysis]],$C$7:$C$510,$L175)&gt;0,0,MROUND(IFERROR(X175*($P175/$AI175),0),100))</f>
        <v>0</v>
      </c>
      <c r="AR175" s="1">
        <f ca="1">IF(COUNTIFS($J$7:$J$510,Table7[[#Headers],[Renewables Forecasts]],$C$7:$C$510,$L175)&gt;0,0,MROUND(IFERROR(Y175*($P175/$AI175),0),100))</f>
        <v>0</v>
      </c>
      <c r="AS175" s="1">
        <f ca="1">IF(COUNTIFS($J$7:$J$510,Table7[[#Headers],[Renewables Regulation]],$C$7:$C$510,$L175)&gt;0,0,MROUND(IFERROR(Z175*($P175/$AI175),0),100))</f>
        <v>0</v>
      </c>
      <c r="AT175" s="1">
        <f ca="1">IF(COUNTIFS($J$7:$J$510,Table7[[#Headers],[Flexibility Market Intelligence]],$C$7:$C$510,$L175)&gt;0,0,MROUND(IFERROR(AA175*($P175/$AI175),0),100))</f>
        <v>0</v>
      </c>
      <c r="AU175" s="1">
        <f ca="1">IF(COUNTIFS($J$7:$J$510,Table7[[#Headers],[Flexibility RTM Analysis]],$C$7:$C$510,$L175)&gt;0,0,MROUND(IFERROR(AB175*($P175/$AI175),0),100))</f>
        <v>0</v>
      </c>
      <c r="AV175" s="1">
        <f ca="1">IF(COUNTIFS($J$7:$J$510,Table7[[#Headers],[Flexibility Forecasts]],$C$7:$C$510,$L175)&gt;0,0,MROUND(IFERROR(AC175*($P175/$AI175),0),100))</f>
        <v>0</v>
      </c>
      <c r="AW175" s="1">
        <f ca="1">IF(COUNTIFS($J$7:$J$510,Table7[[#Headers],[Flexibility Regulation]],$C$7:$C$510,$L175)&gt;0,0,MROUND(IFERROR(AD175*($P175/$AI175),0),100))</f>
        <v>0</v>
      </c>
      <c r="AX175" s="1">
        <f ca="1">IF(COUNTIFS($J$7:$J$510,Table7[[#Headers],[Business Energy Essentials]],$C$7:$C$510,$L175)&gt;0,0,MROUND(IFERROR(AE175*($P175/$AI175),0),100))</f>
        <v>0</v>
      </c>
      <c r="AY175" s="1">
        <f ca="1">IF(COUNTIFS($J$7:$J$510,Table7[[#Headers],[Energy User RTM Analysis]],$C$7:$C$510,$L175)&gt;0,0,MROUND(IFERROR(AF175*($P175/$AI175),0),100))</f>
        <v>0</v>
      </c>
      <c r="AZ175" s="1">
        <f ca="1">IF(COUNTIFS($J$7:$J$510,Table7[[#Headers],[Energy User Forecasts]],$C$7:$C$510,$L175)&gt;0,0,MROUND(IFERROR(AG175*($P175/$AI175),0),100))</f>
        <v>0</v>
      </c>
      <c r="BA175" s="1">
        <f ca="1">IF(COUNTIFS($J$7:$J$510,Table7[[#Headers],[Energy User Regulation]],$C$7:$C$510,$L175)&gt;0,0,MROUND(IFERROR(AH175*($P175/$AI175),0),100))</f>
        <v>0</v>
      </c>
    </row>
    <row r="176" spans="2:53">
      <c r="B176" s="38" t="s">
        <v>2164</v>
      </c>
      <c r="C176" s="38" t="s">
        <v>161</v>
      </c>
      <c r="D176" s="38" t="s">
        <v>2040</v>
      </c>
      <c r="E176" s="38" t="s">
        <v>1799</v>
      </c>
      <c r="F176" s="63">
        <v>4850</v>
      </c>
      <c r="G176" s="38"/>
      <c r="H176" s="38" t="s">
        <v>2031</v>
      </c>
      <c r="I176" s="38" t="s">
        <v>2032</v>
      </c>
      <c r="J176" s="38" t="s">
        <v>20</v>
      </c>
      <c r="L176" s="1" t="str">
        <v>Smart Energy (GB) Ltd</v>
      </c>
      <c r="M176" s="1" t="str">
        <f t="shared" si="12"/>
        <v>Other</v>
      </c>
      <c r="N176" s="109">
        <f t="shared" si="13"/>
        <v>4050</v>
      </c>
      <c r="O176" s="1">
        <f>IFERROR(IF(INDEX(Table3[[Total Spend]:[Total Spend]],MATCH(L176,Table3[[Company name]:[Company name]],0))&gt;N176,INDEX(Table3[[Total Spend]:[Total Spend]],MATCH(L176,Table3[[Company name]:[Company name]])),N176),50000)</f>
        <v>8100</v>
      </c>
      <c r="P176" s="109">
        <f t="shared" si="14"/>
        <v>4050</v>
      </c>
      <c r="Q176" s="103">
        <f t="shared" si="15"/>
        <v>0.5</v>
      </c>
      <c r="R176" s="1">
        <f ca="1">IFERROR(INDEX(INDIRECT("Table3[Column"&amp;R$9&amp;"]"),MATCH($L176,Table3[[Company name]:[Company name]],0)),0)</f>
        <v>8100</v>
      </c>
      <c r="S176" s="1">
        <f ca="1">IFERROR(INDEX(INDIRECT("Table3[Column"&amp;S$9&amp;"]"),MATCH($L176,Table3[[Company name]:[Company name]],0)),0)</f>
        <v>0</v>
      </c>
      <c r="T176" s="1">
        <f ca="1">IFERROR(INDEX(INDIRECT("Table3[Column"&amp;T$9&amp;"]"),MATCH($L176,Table3[[Company name]:[Company name]],0)),0)</f>
        <v>0</v>
      </c>
      <c r="U176" s="1">
        <f ca="1">IFERROR(INDEX(INDIRECT("Table3[Column"&amp;U$9&amp;"]"),MATCH($L176,Table3[[Company name]:[Company name]],0)),0)</f>
        <v>0</v>
      </c>
      <c r="V176" s="1">
        <f ca="1">IFERROR(INDEX(INDIRECT("Table3[Column"&amp;V$9&amp;"]"),MATCH($L176,Table3[[Company name]:[Company name]],0)),0)</f>
        <v>39600</v>
      </c>
      <c r="W176" s="1">
        <f ca="1">IFERROR(INDEX(INDIRECT("Table3[Column"&amp;W$9&amp;"]"),MATCH($L176,Table3[[Company name]:[Company name]],0)),0)</f>
        <v>0</v>
      </c>
      <c r="X176" s="1">
        <f ca="1">IFERROR(INDEX(INDIRECT("Table3[Column"&amp;X$9&amp;"]"),MATCH($L176,Table3[[Company name]:[Company name]],0)),0)</f>
        <v>0</v>
      </c>
      <c r="Y176" s="1">
        <f ca="1">IFERROR(INDEX(INDIRECT("Table3[Column"&amp;Y$9&amp;"]"),MATCH($L176,Table3[[Company name]:[Company name]],0)),0)</f>
        <v>0</v>
      </c>
      <c r="Z176" s="1">
        <f ca="1">IFERROR(INDEX(INDIRECT("Table3[Column"&amp;Z$9&amp;"]"),MATCH($L176,Table3[[Company name]:[Company name]],0)),0)</f>
        <v>0</v>
      </c>
      <c r="AA176" s="1">
        <f ca="1">IFERROR(INDEX(INDIRECT("Table3[Column"&amp;AA$9&amp;"]"),MATCH($L176,Table3[[Company name]:[Company name]],0)),0)</f>
        <v>0</v>
      </c>
      <c r="AB176" s="1">
        <f ca="1">IFERROR(INDEX(INDIRECT("Table3[Column"&amp;AB$9&amp;"]"),MATCH($L176,Table3[[Company name]:[Company name]],0)),0)</f>
        <v>0</v>
      </c>
      <c r="AC176" s="1">
        <f ca="1">IFERROR(INDEX(INDIRECT("Table3[Column"&amp;AC$9&amp;"]"),MATCH($L176,Table3[[Company name]:[Company name]],0)),0)</f>
        <v>0</v>
      </c>
      <c r="AD176" s="1">
        <f ca="1">IFERROR(INDEX(INDIRECT("Table3[Column"&amp;AD$9&amp;"]"),MATCH($L176,Table3[[Company name]:[Company name]],0)),0)</f>
        <v>0</v>
      </c>
      <c r="AE176" s="1">
        <f ca="1">IFERROR(INDEX(INDIRECT("Table3[Column"&amp;AE$9&amp;"]"),MATCH($L176,Table3[[Company name]:[Company name]],0)),0)</f>
        <v>0</v>
      </c>
      <c r="AF176" s="1">
        <f ca="1">IFERROR(INDEX(INDIRECT("Table3[Column"&amp;AF$9&amp;"]"),MATCH($L176,Table3[[Company name]:[Company name]],0)),0)</f>
        <v>0</v>
      </c>
      <c r="AG176" s="1">
        <f ca="1">IFERROR(INDEX(INDIRECT("Table3[Column"&amp;AG$9&amp;"]"),MATCH($L176,Table3[[Company name]:[Company name]],0)),0)</f>
        <v>0</v>
      </c>
      <c r="AH176" s="1">
        <f ca="1">IFERROR(INDEX(INDIRECT("Table3[Column"&amp;AH$9&amp;"]"),MATCH($L176,Table3[[Company name]:[Company name]],0)),0)</f>
        <v>0</v>
      </c>
      <c r="AI176" s="1">
        <f t="shared" ca="1" si="16"/>
        <v>47700</v>
      </c>
      <c r="AK176" s="1">
        <f>IF(COUNTIFS($J$7:$J$510,Table7[[#Headers],[Industry Essentials]],$C$7:$C$510,$L176)&gt;0,0,MROUND(R176,100))</f>
        <v>0</v>
      </c>
      <c r="AL176" s="1">
        <f ca="1">IF(COUNTIFS($J$7:$J$510,Table7[[#Headers],[Energy Supply Market Intelligence]],$C$7:$C$510,$L176)&gt;0,0,MROUND(IFERROR(S176*($P176/$AI176),0),100))</f>
        <v>0</v>
      </c>
      <c r="AM176" s="1">
        <f ca="1">IF(COUNTIFS($J$7:$J$510,Table7[[#Headers],[Energy Supply RTM Analysis]],$C$7:$C$510,$L176)&gt;0,0,MROUND(IFERROR(T176*($P176/$AI176),0),100))</f>
        <v>0</v>
      </c>
      <c r="AN176" s="1">
        <f ca="1">IF(COUNTIFS($J$7:$J$510,Table7[[#Headers],[Energy Supply Forecasts]],$C$7:$C$510,$L176)&gt;0,0,MROUND(IFERROR(U176*($P176/$AI176),0),100))</f>
        <v>0</v>
      </c>
      <c r="AO176" s="1">
        <f ca="1">IF(COUNTIFS($J$7:$J$510,Table7[[#Headers],[Energy Supply Regulation]],$C$7:$C$510,$L176)&gt;0,0,MROUND(IFERROR(V176*($P176/$AI176),0),100))</f>
        <v>3400</v>
      </c>
      <c r="AP176" s="1">
        <f ca="1">IF(COUNTIFS($J$7:$J$510,Table7[[#Headers],[Renewables Market Intelligence]],$C$7:$C$510,$L176)&gt;0,0,MROUND(IFERROR(W176*($P176/$AI176),0),100))</f>
        <v>0</v>
      </c>
      <c r="AQ176" s="1">
        <f ca="1">IF(COUNTIFS($J$7:$J$510,Table7[[#Headers],[Renewables RTM Analysis]],$C$7:$C$510,$L176)&gt;0,0,MROUND(IFERROR(X176*($P176/$AI176),0),100))</f>
        <v>0</v>
      </c>
      <c r="AR176" s="1">
        <f ca="1">IF(COUNTIFS($J$7:$J$510,Table7[[#Headers],[Renewables Forecasts]],$C$7:$C$510,$L176)&gt;0,0,MROUND(IFERROR(Y176*($P176/$AI176),0),100))</f>
        <v>0</v>
      </c>
      <c r="AS176" s="1">
        <f ca="1">IF(COUNTIFS($J$7:$J$510,Table7[[#Headers],[Renewables Regulation]],$C$7:$C$510,$L176)&gt;0,0,MROUND(IFERROR(Z176*($P176/$AI176),0),100))</f>
        <v>0</v>
      </c>
      <c r="AT176" s="1">
        <f ca="1">IF(COUNTIFS($J$7:$J$510,Table7[[#Headers],[Flexibility Market Intelligence]],$C$7:$C$510,$L176)&gt;0,0,MROUND(IFERROR(AA176*($P176/$AI176),0),100))</f>
        <v>0</v>
      </c>
      <c r="AU176" s="1">
        <f ca="1">IF(COUNTIFS($J$7:$J$510,Table7[[#Headers],[Flexibility RTM Analysis]],$C$7:$C$510,$L176)&gt;0,0,MROUND(IFERROR(AB176*($P176/$AI176),0),100))</f>
        <v>0</v>
      </c>
      <c r="AV176" s="1">
        <f ca="1">IF(COUNTIFS($J$7:$J$510,Table7[[#Headers],[Flexibility Forecasts]],$C$7:$C$510,$L176)&gt;0,0,MROUND(IFERROR(AC176*($P176/$AI176),0),100))</f>
        <v>0</v>
      </c>
      <c r="AW176" s="1">
        <f ca="1">IF(COUNTIFS($J$7:$J$510,Table7[[#Headers],[Flexibility Regulation]],$C$7:$C$510,$L176)&gt;0,0,MROUND(IFERROR(AD176*($P176/$AI176),0),100))</f>
        <v>0</v>
      </c>
      <c r="AX176" s="1">
        <f ca="1">IF(COUNTIFS($J$7:$J$510,Table7[[#Headers],[Business Energy Essentials]],$C$7:$C$510,$L176)&gt;0,0,MROUND(IFERROR(AE176*($P176/$AI176),0),100))</f>
        <v>0</v>
      </c>
      <c r="AY176" s="1">
        <f ca="1">IF(COUNTIFS($J$7:$J$510,Table7[[#Headers],[Energy User RTM Analysis]],$C$7:$C$510,$L176)&gt;0,0,MROUND(IFERROR(AF176*($P176/$AI176),0),100))</f>
        <v>0</v>
      </c>
      <c r="AZ176" s="1">
        <f ca="1">IF(COUNTIFS($J$7:$J$510,Table7[[#Headers],[Energy User Forecasts]],$C$7:$C$510,$L176)&gt;0,0,MROUND(IFERROR(AG176*($P176/$AI176),0),100))</f>
        <v>0</v>
      </c>
      <c r="BA176" s="1">
        <f ca="1">IF(COUNTIFS($J$7:$J$510,Table7[[#Headers],[Energy User Regulation]],$C$7:$C$510,$L176)&gt;0,0,MROUND(IFERROR(AH176*($P176/$AI176),0),100))</f>
        <v>0</v>
      </c>
    </row>
    <row r="177" spans="2:53">
      <c r="B177" s="38" t="s">
        <v>2165</v>
      </c>
      <c r="C177" s="38" t="s">
        <v>127</v>
      </c>
      <c r="D177" s="38" t="s">
        <v>2040</v>
      </c>
      <c r="E177" s="38" t="s">
        <v>1799</v>
      </c>
      <c r="F177" s="63">
        <v>4800</v>
      </c>
      <c r="G177" s="38"/>
      <c r="H177" s="38" t="s">
        <v>2031</v>
      </c>
      <c r="I177" s="38" t="s">
        <v>2032</v>
      </c>
      <c r="J177" s="38" t="s">
        <v>20</v>
      </c>
      <c r="L177" s="1" t="str">
        <v>Smartest Energy Limited</v>
      </c>
      <c r="M177" s="1" t="str">
        <f t="shared" si="12"/>
        <v>Supply</v>
      </c>
      <c r="N177" s="109">
        <f t="shared" si="13"/>
        <v>84250</v>
      </c>
      <c r="O177" s="1">
        <f>IFERROR(IF(INDEX(Table3[[Total Spend]:[Total Spend]],MATCH(L177,Table3[[Company name]:[Company name]],0))&gt;N177,INDEX(Table3[[Total Spend]:[Total Spend]],MATCH(L177,Table3[[Company name]:[Company name]])),N177),50000)</f>
        <v>8100</v>
      </c>
      <c r="P177" s="109">
        <f t="shared" si="14"/>
        <v>84250</v>
      </c>
      <c r="Q177" s="103">
        <f t="shared" si="15"/>
        <v>1</v>
      </c>
      <c r="R177" s="1">
        <f ca="1">IFERROR(INDEX(INDIRECT("Table3[Column"&amp;R$9&amp;"]"),MATCH($L177,Table3[[Company name]:[Company name]],0)),0)</f>
        <v>10800</v>
      </c>
      <c r="S177" s="1">
        <f ca="1">IFERROR(INDEX(INDIRECT("Table3[Column"&amp;S$9&amp;"]"),MATCH($L177,Table3[[Company name]:[Company name]],0)),0)</f>
        <v>43200</v>
      </c>
      <c r="T177" s="1">
        <f ca="1">IFERROR(INDEX(INDIRECT("Table3[Column"&amp;T$9&amp;"]"),MATCH($L177,Table3[[Company name]:[Company name]],0)),0)</f>
        <v>73800</v>
      </c>
      <c r="U177" s="1">
        <f ca="1">IFERROR(INDEX(INDIRECT("Table3[Column"&amp;U$9&amp;"]"),MATCH($L177,Table3[[Company name]:[Company name]],0)),0)</f>
        <v>48600</v>
      </c>
      <c r="V177" s="1">
        <f ca="1">IFERROR(INDEX(INDIRECT("Table3[Column"&amp;V$9&amp;"]"),MATCH($L177,Table3[[Company name]:[Company name]],0)),0)</f>
        <v>55800</v>
      </c>
      <c r="W177" s="1">
        <f ca="1">IFERROR(INDEX(INDIRECT("Table3[Column"&amp;W$9&amp;"]"),MATCH($L177,Table3[[Company name]:[Company name]],0)),0)</f>
        <v>0</v>
      </c>
      <c r="X177" s="1">
        <f ca="1">IFERROR(INDEX(INDIRECT("Table3[Column"&amp;X$9&amp;"]"),MATCH($L177,Table3[[Company name]:[Company name]],0)),0)</f>
        <v>20700</v>
      </c>
      <c r="Y177" s="1">
        <f ca="1">IFERROR(INDEX(INDIRECT("Table3[Column"&amp;Y$9&amp;"]"),MATCH($L177,Table3[[Company name]:[Company name]],0)),0)</f>
        <v>0</v>
      </c>
      <c r="Z177" s="1">
        <f ca="1">IFERROR(INDEX(INDIRECT("Table3[Column"&amp;Z$9&amp;"]"),MATCH($L177,Table3[[Company name]:[Company name]],0)),0)</f>
        <v>0</v>
      </c>
      <c r="AA177" s="1">
        <f ca="1">IFERROR(INDEX(INDIRECT("Table3[Column"&amp;AA$9&amp;"]"),MATCH($L177,Table3[[Company name]:[Company name]],0)),0)</f>
        <v>29700</v>
      </c>
      <c r="AB177" s="1">
        <f ca="1">IFERROR(INDEX(INDIRECT("Table3[Column"&amp;AB$9&amp;"]"),MATCH($L177,Table3[[Company name]:[Company name]],0)),0)</f>
        <v>10800</v>
      </c>
      <c r="AC177" s="1">
        <f ca="1">IFERROR(INDEX(INDIRECT("Table3[Column"&amp;AC$9&amp;"]"),MATCH($L177,Table3[[Company name]:[Company name]],0)),0)</f>
        <v>44100</v>
      </c>
      <c r="AD177" s="1">
        <f ca="1">IFERROR(INDEX(INDIRECT("Table3[Column"&amp;AD$9&amp;"]"),MATCH($L177,Table3[[Company name]:[Company name]],0)),0)</f>
        <v>0</v>
      </c>
      <c r="AE177" s="1">
        <f ca="1">IFERROR(INDEX(INDIRECT("Table3[Column"&amp;AE$9&amp;"]"),MATCH($L177,Table3[[Company name]:[Company name]],0)),0)</f>
        <v>0</v>
      </c>
      <c r="AF177" s="1">
        <f ca="1">IFERROR(INDEX(INDIRECT("Table3[Column"&amp;AF$9&amp;"]"),MATCH($L177,Table3[[Company name]:[Company name]],0)),0)</f>
        <v>0</v>
      </c>
      <c r="AG177" s="1">
        <f ca="1">IFERROR(INDEX(INDIRECT("Table3[Column"&amp;AG$9&amp;"]"),MATCH($L177,Table3[[Company name]:[Company name]],0)),0)</f>
        <v>0</v>
      </c>
      <c r="AH177" s="1">
        <f ca="1">IFERROR(INDEX(INDIRECT("Table3[Column"&amp;AH$9&amp;"]"),MATCH($L177,Table3[[Company name]:[Company name]],0)),0)</f>
        <v>0</v>
      </c>
      <c r="AI177" s="1">
        <f t="shared" ca="1" si="16"/>
        <v>337500</v>
      </c>
      <c r="AK177" s="1">
        <f>IF(COUNTIFS($J$7:$J$510,Table7[[#Headers],[Industry Essentials]],$C$7:$C$510,$L177)&gt;0,0,MROUND(R177,100))</f>
        <v>0</v>
      </c>
      <c r="AL177" s="1">
        <f ca="1">IF(COUNTIFS($J$7:$J$510,Table7[[#Headers],[Energy Supply Market Intelligence]],$C$7:$C$510,$L177)&gt;0,0,MROUND(IFERROR(S177*($P177/$AI177),0),100))</f>
        <v>10800</v>
      </c>
      <c r="AM177" s="1">
        <f>IF(COUNTIFS($J$7:$J$510,Table7[[#Headers],[Energy Supply RTM Analysis]],$C$7:$C$510,$L177)&gt;0,0,MROUND(IFERROR(T177*($P177/$AI177),0),100))</f>
        <v>0</v>
      </c>
      <c r="AN177" s="1">
        <f>IF(COUNTIFS($J$7:$J$510,Table7[[#Headers],[Energy Supply Forecasts]],$C$7:$C$510,$L177)&gt;0,0,MROUND(IFERROR(U177*($P177/$AI177),0),100))</f>
        <v>0</v>
      </c>
      <c r="AO177" s="1">
        <f ca="1">IF(COUNTIFS($J$7:$J$510,Table7[[#Headers],[Energy Supply Regulation]],$C$7:$C$510,$L177)&gt;0,0,MROUND(IFERROR(V177*($P177/$AI177),0),100))</f>
        <v>13900</v>
      </c>
      <c r="AP177" s="1">
        <f>IF(COUNTIFS($J$7:$J$510,Table7[[#Headers],[Renewables Market Intelligence]],$C$7:$C$510,$L177)&gt;0,0,MROUND(IFERROR(W177*($P177/$AI177),0),100))</f>
        <v>0</v>
      </c>
      <c r="AQ177" s="1">
        <f>IF(COUNTIFS($J$7:$J$510,Table7[[#Headers],[Renewables RTM Analysis]],$C$7:$C$510,$L177)&gt;0,0,MROUND(IFERROR(X177*($P177/$AI177),0),100))</f>
        <v>0</v>
      </c>
      <c r="AR177" s="1">
        <f>IF(COUNTIFS($J$7:$J$510,Table7[[#Headers],[Renewables Forecasts]],$C$7:$C$510,$L177)&gt;0,0,MROUND(IFERROR(Y177*($P177/$AI177),0),100))</f>
        <v>0</v>
      </c>
      <c r="AS177" s="1">
        <f ca="1">IF(COUNTIFS($J$7:$J$510,Table7[[#Headers],[Renewables Regulation]],$C$7:$C$510,$L177)&gt;0,0,MROUND(IFERROR(Z177*($P177/$AI177),0),100))</f>
        <v>0</v>
      </c>
      <c r="AT177" s="1">
        <f ca="1">IF(COUNTIFS($J$7:$J$510,Table7[[#Headers],[Flexibility Market Intelligence]],$C$7:$C$510,$L177)&gt;0,0,MROUND(IFERROR(AA177*($P177/$AI177),0),100))</f>
        <v>7400</v>
      </c>
      <c r="AU177" s="1">
        <f ca="1">IF(COUNTIFS($J$7:$J$510,Table7[[#Headers],[Flexibility RTM Analysis]],$C$7:$C$510,$L177)&gt;0,0,MROUND(IFERROR(AB177*($P177/$AI177),0),100))</f>
        <v>2700</v>
      </c>
      <c r="AV177" s="1">
        <f ca="1">IF(COUNTIFS($J$7:$J$510,Table7[[#Headers],[Flexibility Forecasts]],$C$7:$C$510,$L177)&gt;0,0,MROUND(IFERROR(AC177*($P177/$AI177),0),100))</f>
        <v>11000</v>
      </c>
      <c r="AW177" s="1">
        <f ca="1">IF(COUNTIFS($J$7:$J$510,Table7[[#Headers],[Flexibility Regulation]],$C$7:$C$510,$L177)&gt;0,0,MROUND(IFERROR(AD177*($P177/$AI177),0),100))</f>
        <v>0</v>
      </c>
      <c r="AX177" s="1">
        <f ca="1">IF(COUNTIFS($J$7:$J$510,Table7[[#Headers],[Business Energy Essentials]],$C$7:$C$510,$L177)&gt;0,0,MROUND(IFERROR(AE177*($P177/$AI177),0),100))</f>
        <v>0</v>
      </c>
      <c r="AY177" s="1">
        <f ca="1">IF(COUNTIFS($J$7:$J$510,Table7[[#Headers],[Energy User RTM Analysis]],$C$7:$C$510,$L177)&gt;0,0,MROUND(IFERROR(AF177*($P177/$AI177),0),100))</f>
        <v>0</v>
      </c>
      <c r="AZ177" s="1">
        <f ca="1">IF(COUNTIFS($J$7:$J$510,Table7[[#Headers],[Energy User Forecasts]],$C$7:$C$510,$L177)&gt;0,0,MROUND(IFERROR(AG177*($P177/$AI177),0),100))</f>
        <v>0</v>
      </c>
      <c r="BA177" s="1">
        <f ca="1">IF(COUNTIFS($J$7:$J$510,Table7[[#Headers],[Energy User Regulation]],$C$7:$C$510,$L177)&gt;0,0,MROUND(IFERROR(AH177*($P177/$AI177),0),100))</f>
        <v>0</v>
      </c>
    </row>
    <row r="178" spans="2:53">
      <c r="B178" s="38" t="s">
        <v>2166</v>
      </c>
      <c r="C178" s="38" t="s">
        <v>1268</v>
      </c>
      <c r="D178" s="38" t="s">
        <v>2083</v>
      </c>
      <c r="E178" s="38" t="s">
        <v>1829</v>
      </c>
      <c r="F178" s="63">
        <v>14500</v>
      </c>
      <c r="G178" s="38"/>
      <c r="H178" s="38" t="s">
        <v>2031</v>
      </c>
      <c r="I178" s="38" t="s">
        <v>2031</v>
      </c>
      <c r="J178" s="38" t="s">
        <v>23</v>
      </c>
      <c r="L178" s="1" t="str">
        <v>SMS Corporate Services Ltd</v>
      </c>
      <c r="M178" s="1" t="str">
        <f t="shared" si="12"/>
        <v>Supply</v>
      </c>
      <c r="N178" s="109">
        <f t="shared" si="13"/>
        <v>76004</v>
      </c>
      <c r="O178" s="1">
        <f>IFERROR(IF(INDEX(Table3[[Total Spend]:[Total Spend]],MATCH(L178,Table3[[Company name]:[Company name]],0))&gt;N178,INDEX(Table3[[Total Spend]:[Total Spend]],MATCH(L178,Table3[[Company name]:[Company name]])),N178),50000)</f>
        <v>8100</v>
      </c>
      <c r="P178" s="109">
        <f t="shared" si="14"/>
        <v>76004</v>
      </c>
      <c r="Q178" s="103">
        <f t="shared" si="15"/>
        <v>1</v>
      </c>
      <c r="R178" s="1">
        <f ca="1">IFERROR(INDEX(INDIRECT("Table3[Column"&amp;R$9&amp;"]"),MATCH($L178,Table3[[Company name]:[Company name]],0)),0)</f>
        <v>10800</v>
      </c>
      <c r="S178" s="1">
        <f ca="1">IFERROR(INDEX(INDIRECT("Table3[Column"&amp;S$9&amp;"]"),MATCH($L178,Table3[[Company name]:[Company name]],0)),0)</f>
        <v>0</v>
      </c>
      <c r="T178" s="1">
        <f ca="1">IFERROR(INDEX(INDIRECT("Table3[Column"&amp;T$9&amp;"]"),MATCH($L178,Table3[[Company name]:[Company name]],0)),0)</f>
        <v>0</v>
      </c>
      <c r="U178" s="1">
        <f ca="1">IFERROR(INDEX(INDIRECT("Table3[Column"&amp;U$9&amp;"]"),MATCH($L178,Table3[[Company name]:[Company name]],0)),0)</f>
        <v>0</v>
      </c>
      <c r="V178" s="1">
        <f ca="1">IFERROR(INDEX(INDIRECT("Table3[Column"&amp;V$9&amp;"]"),MATCH($L178,Table3[[Company name]:[Company name]],0)),0)</f>
        <v>55800</v>
      </c>
      <c r="W178" s="1">
        <f ca="1">IFERROR(INDEX(INDIRECT("Table3[Column"&amp;W$9&amp;"]"),MATCH($L178,Table3[[Company name]:[Company name]],0)),0)</f>
        <v>0</v>
      </c>
      <c r="X178" s="1">
        <f ca="1">IFERROR(INDEX(INDIRECT("Table3[Column"&amp;X$9&amp;"]"),MATCH($L178,Table3[[Company name]:[Company name]],0)),0)</f>
        <v>0</v>
      </c>
      <c r="Y178" s="1">
        <f ca="1">IFERROR(INDEX(INDIRECT("Table3[Column"&amp;Y$9&amp;"]"),MATCH($L178,Table3[[Company name]:[Company name]],0)),0)</f>
        <v>0</v>
      </c>
      <c r="Z178" s="1">
        <f ca="1">IFERROR(INDEX(INDIRECT("Table3[Column"&amp;Z$9&amp;"]"),MATCH($L178,Table3[[Company name]:[Company name]],0)),0)</f>
        <v>0</v>
      </c>
      <c r="AA178" s="1">
        <f ca="1">IFERROR(INDEX(INDIRECT("Table3[Column"&amp;AA$9&amp;"]"),MATCH($L178,Table3[[Company name]:[Company name]],0)),0)</f>
        <v>29700</v>
      </c>
      <c r="AB178" s="1">
        <f ca="1">IFERROR(INDEX(INDIRECT("Table3[Column"&amp;AB$9&amp;"]"),MATCH($L178,Table3[[Company name]:[Company name]],0)),0)</f>
        <v>10800</v>
      </c>
      <c r="AC178" s="1">
        <f ca="1">IFERROR(INDEX(INDIRECT("Table3[Column"&amp;AC$9&amp;"]"),MATCH($L178,Table3[[Company name]:[Company name]],0)),0)</f>
        <v>44100</v>
      </c>
      <c r="AD178" s="1">
        <f ca="1">IFERROR(INDEX(INDIRECT("Table3[Column"&amp;AD$9&amp;"]"),MATCH($L178,Table3[[Company name]:[Company name]],0)),0)</f>
        <v>36000</v>
      </c>
      <c r="AE178" s="1">
        <f ca="1">IFERROR(INDEX(INDIRECT("Table3[Column"&amp;AE$9&amp;"]"),MATCH($L178,Table3[[Company name]:[Company name]],0)),0)</f>
        <v>15300</v>
      </c>
      <c r="AF178" s="1">
        <f ca="1">IFERROR(INDEX(INDIRECT("Table3[Column"&amp;AF$9&amp;"]"),MATCH($L178,Table3[[Company name]:[Company name]],0)),0)</f>
        <v>0</v>
      </c>
      <c r="AG178" s="1">
        <f ca="1">IFERROR(INDEX(INDIRECT("Table3[Column"&amp;AG$9&amp;"]"),MATCH($L178,Table3[[Company name]:[Company name]],0)),0)</f>
        <v>27000</v>
      </c>
      <c r="AH178" s="1">
        <f ca="1">IFERROR(INDEX(INDIRECT("Table3[Column"&amp;AH$9&amp;"]"),MATCH($L178,Table3[[Company name]:[Company name]],0)),0)</f>
        <v>0</v>
      </c>
      <c r="AI178" s="1">
        <f t="shared" ca="1" si="16"/>
        <v>229500</v>
      </c>
      <c r="AK178" s="1">
        <f ca="1">IF(COUNTIFS($J$7:$J$510,Table7[[#Headers],[Industry Essentials]],$C$7:$C$510,$L178)&gt;0,0,MROUND(R178,100))</f>
        <v>10800</v>
      </c>
      <c r="AL178" s="1">
        <f>IF(COUNTIFS($J$7:$J$510,Table7[[#Headers],[Energy Supply Market Intelligence]],$C$7:$C$510,$L178)&gt;0,0,MROUND(IFERROR(S178*($P178/$AI178),0),100))</f>
        <v>0</v>
      </c>
      <c r="AM178" s="1">
        <f>IF(COUNTIFS($J$7:$J$510,Table7[[#Headers],[Energy Supply RTM Analysis]],$C$7:$C$510,$L178)&gt;0,0,MROUND(IFERROR(T178*($P178/$AI178),0),100))</f>
        <v>0</v>
      </c>
      <c r="AN178" s="1">
        <f>IF(COUNTIFS($J$7:$J$510,Table7[[#Headers],[Energy Supply Forecasts]],$C$7:$C$510,$L178)&gt;0,0,MROUND(IFERROR(U178*($P178/$AI178),0),100))</f>
        <v>0</v>
      </c>
      <c r="AO178" s="1">
        <f ca="1">IF(COUNTIFS($J$7:$J$510,Table7[[#Headers],[Energy Supply Regulation]],$C$7:$C$510,$L178)&gt;0,0,MROUND(IFERROR(V178*($P178/$AI178),0),100))</f>
        <v>18500</v>
      </c>
      <c r="AP178" s="1">
        <f ca="1">IF(COUNTIFS($J$7:$J$510,Table7[[#Headers],[Renewables Market Intelligence]],$C$7:$C$510,$L178)&gt;0,0,MROUND(IFERROR(W178*($P178/$AI178),0),100))</f>
        <v>0</v>
      </c>
      <c r="AQ178" s="1">
        <f ca="1">IF(COUNTIFS($J$7:$J$510,Table7[[#Headers],[Renewables RTM Analysis]],$C$7:$C$510,$L178)&gt;0,0,MROUND(IFERROR(X178*($P178/$AI178),0),100))</f>
        <v>0</v>
      </c>
      <c r="AR178" s="1">
        <f ca="1">IF(COUNTIFS($J$7:$J$510,Table7[[#Headers],[Renewables Forecasts]],$C$7:$C$510,$L178)&gt;0,0,MROUND(IFERROR(Y178*($P178/$AI178),0),100))</f>
        <v>0</v>
      </c>
      <c r="AS178" s="1">
        <f ca="1">IF(COUNTIFS($J$7:$J$510,Table7[[#Headers],[Renewables Regulation]],$C$7:$C$510,$L178)&gt;0,0,MROUND(IFERROR(Z178*($P178/$AI178),0),100))</f>
        <v>0</v>
      </c>
      <c r="AT178" s="1">
        <f ca="1">IF(COUNTIFS($J$7:$J$510,Table7[[#Headers],[Flexibility Market Intelligence]],$C$7:$C$510,$L178)&gt;0,0,MROUND(IFERROR(AA178*($P178/$AI178),0),100))</f>
        <v>9800</v>
      </c>
      <c r="AU178" s="1">
        <f ca="1">IF(COUNTIFS($J$7:$J$510,Table7[[#Headers],[Flexibility RTM Analysis]],$C$7:$C$510,$L178)&gt;0,0,MROUND(IFERROR(AB178*($P178/$AI178),0),100))</f>
        <v>3600</v>
      </c>
      <c r="AV178" s="1">
        <f ca="1">IF(COUNTIFS($J$7:$J$510,Table7[[#Headers],[Flexibility Forecasts]],$C$7:$C$510,$L178)&gt;0,0,MROUND(IFERROR(AC178*($P178/$AI178),0),100))</f>
        <v>14600</v>
      </c>
      <c r="AW178" s="1">
        <f ca="1">IF(COUNTIFS($J$7:$J$510,Table7[[#Headers],[Flexibility Regulation]],$C$7:$C$510,$L178)&gt;0,0,MROUND(IFERROR(AD178*($P178/$AI178),0),100))</f>
        <v>11900</v>
      </c>
      <c r="AX178" s="1">
        <f ca="1">IF(COUNTIFS($J$7:$J$510,Table7[[#Headers],[Business Energy Essentials]],$C$7:$C$510,$L178)&gt;0,0,MROUND(IFERROR(AE178*($P178/$AI178),0),100))</f>
        <v>5100</v>
      </c>
      <c r="AY178" s="1">
        <f ca="1">IF(COUNTIFS($J$7:$J$510,Table7[[#Headers],[Energy User RTM Analysis]],$C$7:$C$510,$L178)&gt;0,0,MROUND(IFERROR(AF178*($P178/$AI178),0),100))</f>
        <v>0</v>
      </c>
      <c r="AZ178" s="1">
        <f ca="1">IF(COUNTIFS($J$7:$J$510,Table7[[#Headers],[Energy User Forecasts]],$C$7:$C$510,$L178)&gt;0,0,MROUND(IFERROR(AG178*($P178/$AI178),0),100))</f>
        <v>8900</v>
      </c>
      <c r="BA178" s="1">
        <f ca="1">IF(COUNTIFS($J$7:$J$510,Table7[[#Headers],[Energy User Regulation]],$C$7:$C$510,$L178)&gt;0,0,MROUND(IFERROR(AH178*($P178/$AI178),0),100))</f>
        <v>0</v>
      </c>
    </row>
    <row r="179" spans="2:53">
      <c r="B179" s="38" t="s">
        <v>2166</v>
      </c>
      <c r="C179" s="38" t="s">
        <v>1268</v>
      </c>
      <c r="D179" s="38" t="s">
        <v>2040</v>
      </c>
      <c r="E179" s="38" t="s">
        <v>1799</v>
      </c>
      <c r="F179" s="63">
        <v>7499.9999999999991</v>
      </c>
      <c r="G179" s="38"/>
      <c r="H179" s="38" t="s">
        <v>2031</v>
      </c>
      <c r="I179" s="38" t="s">
        <v>2032</v>
      </c>
      <c r="J179" s="38" t="s">
        <v>20</v>
      </c>
      <c r="L179" s="1" t="str">
        <v>SNRG Ltd</v>
      </c>
      <c r="M179" s="1" t="str">
        <f t="shared" si="12"/>
        <v>Energy User</v>
      </c>
      <c r="N179" s="109">
        <f t="shared" si="13"/>
        <v>21000</v>
      </c>
      <c r="O179" s="1">
        <f>IFERROR(IF(INDEX(Table3[[Total Spend]:[Total Spend]],MATCH(L179,Table3[[Company name]:[Company name]],0))&gt;N179,INDEX(Table3[[Total Spend]:[Total Spend]],MATCH(L179,Table3[[Company name]:[Company name]])),N179),50000)</f>
        <v>8100</v>
      </c>
      <c r="P179" s="109">
        <f t="shared" si="14"/>
        <v>21000</v>
      </c>
      <c r="Q179" s="103">
        <f t="shared" si="15"/>
        <v>1</v>
      </c>
      <c r="R179" s="1">
        <f ca="1">IFERROR(INDEX(INDIRECT("Table3[Column"&amp;R$9&amp;"]"),MATCH($L179,Table3[[Company name]:[Company name]],0)),0)</f>
        <v>8100</v>
      </c>
      <c r="S179" s="1">
        <f ca="1">IFERROR(INDEX(INDIRECT("Table3[Column"&amp;S$9&amp;"]"),MATCH($L179,Table3[[Company name]:[Company name]],0)),0)</f>
        <v>0</v>
      </c>
      <c r="T179" s="1">
        <f ca="1">IFERROR(INDEX(INDIRECT("Table3[Column"&amp;T$9&amp;"]"),MATCH($L179,Table3[[Company name]:[Company name]],0)),0)</f>
        <v>0</v>
      </c>
      <c r="U179" s="1">
        <f ca="1">IFERROR(INDEX(INDIRECT("Table3[Column"&amp;U$9&amp;"]"),MATCH($L179,Table3[[Company name]:[Company name]],0)),0)</f>
        <v>0</v>
      </c>
      <c r="V179" s="1">
        <f ca="1">IFERROR(INDEX(INDIRECT("Table3[Column"&amp;V$9&amp;"]"),MATCH($L179,Table3[[Company name]:[Company name]],0)),0)</f>
        <v>0</v>
      </c>
      <c r="W179" s="1">
        <f ca="1">IFERROR(INDEX(INDIRECT("Table3[Column"&amp;W$9&amp;"]"),MATCH($L179,Table3[[Company name]:[Company name]],0)),0)</f>
        <v>0</v>
      </c>
      <c r="X179" s="1">
        <f ca="1">IFERROR(INDEX(INDIRECT("Table3[Column"&amp;X$9&amp;"]"),MATCH($L179,Table3[[Company name]:[Company name]],0)),0)</f>
        <v>0</v>
      </c>
      <c r="Y179" s="1">
        <f ca="1">IFERROR(INDEX(INDIRECT("Table3[Column"&amp;Y$9&amp;"]"),MATCH($L179,Table3[[Company name]:[Company name]],0)),0)</f>
        <v>0</v>
      </c>
      <c r="Z179" s="1">
        <f ca="1">IFERROR(INDEX(INDIRECT("Table3[Column"&amp;Z$9&amp;"]"),MATCH($L179,Table3[[Company name]:[Company name]],0)),0)</f>
        <v>0</v>
      </c>
      <c r="AA179" s="1">
        <f ca="1">IFERROR(INDEX(INDIRECT("Table3[Column"&amp;AA$9&amp;"]"),MATCH($L179,Table3[[Company name]:[Company name]],0)),0)</f>
        <v>0</v>
      </c>
      <c r="AB179" s="1">
        <f ca="1">IFERROR(INDEX(INDIRECT("Table3[Column"&amp;AB$9&amp;"]"),MATCH($L179,Table3[[Company name]:[Company name]],0)),0)</f>
        <v>0</v>
      </c>
      <c r="AC179" s="1">
        <f ca="1">IFERROR(INDEX(INDIRECT("Table3[Column"&amp;AC$9&amp;"]"),MATCH($L179,Table3[[Company name]:[Company name]],0)),0)</f>
        <v>0</v>
      </c>
      <c r="AD179" s="1">
        <f ca="1">IFERROR(INDEX(INDIRECT("Table3[Column"&amp;AD$9&amp;"]"),MATCH($L179,Table3[[Company name]:[Company name]],0)),0)</f>
        <v>0</v>
      </c>
      <c r="AE179" s="1">
        <f ca="1">IFERROR(INDEX(INDIRECT("Table3[Column"&amp;AE$9&amp;"]"),MATCH($L179,Table3[[Company name]:[Company name]],0)),0)</f>
        <v>10800</v>
      </c>
      <c r="AF179" s="1">
        <f ca="1">IFERROR(INDEX(INDIRECT("Table3[Column"&amp;AF$9&amp;"]"),MATCH($L179,Table3[[Company name]:[Company name]],0)),0)</f>
        <v>11250</v>
      </c>
      <c r="AG179" s="1">
        <f ca="1">IFERROR(INDEX(INDIRECT("Table3[Column"&amp;AG$9&amp;"]"),MATCH($L179,Table3[[Company name]:[Company name]],0)),0)</f>
        <v>19800</v>
      </c>
      <c r="AH179" s="1">
        <f ca="1">IFERROR(INDEX(INDIRECT("Table3[Column"&amp;AH$9&amp;"]"),MATCH($L179,Table3[[Company name]:[Company name]],0)),0)</f>
        <v>4500</v>
      </c>
      <c r="AI179" s="1">
        <f t="shared" ca="1" si="16"/>
        <v>54450</v>
      </c>
      <c r="AK179" s="1">
        <f ca="1">IF(COUNTIFS($J$7:$J$510,Table7[[#Headers],[Industry Essentials]],$C$7:$C$510,$L179)&gt;0,0,MROUND(R179,100))</f>
        <v>8100</v>
      </c>
      <c r="AL179" s="1">
        <f ca="1">IF(COUNTIFS($J$7:$J$510,Table7[[#Headers],[Energy Supply Market Intelligence]],$C$7:$C$510,$L179)&gt;0,0,MROUND(IFERROR(S179*($P179/$AI179),0),100))</f>
        <v>0</v>
      </c>
      <c r="AM179" s="1">
        <f ca="1">IF(COUNTIFS($J$7:$J$510,Table7[[#Headers],[Energy Supply RTM Analysis]],$C$7:$C$510,$L179)&gt;0,0,MROUND(IFERROR(T179*($P179/$AI179),0),100))</f>
        <v>0</v>
      </c>
      <c r="AN179" s="1">
        <f ca="1">IF(COUNTIFS($J$7:$J$510,Table7[[#Headers],[Energy Supply Forecasts]],$C$7:$C$510,$L179)&gt;0,0,MROUND(IFERROR(U179*($P179/$AI179),0),100))</f>
        <v>0</v>
      </c>
      <c r="AO179" s="1">
        <f ca="1">IF(COUNTIFS($J$7:$J$510,Table7[[#Headers],[Energy Supply Regulation]],$C$7:$C$510,$L179)&gt;0,0,MROUND(IFERROR(V179*($P179/$AI179),0),100))</f>
        <v>0</v>
      </c>
      <c r="AP179" s="1">
        <f ca="1">IF(COUNTIFS($J$7:$J$510,Table7[[#Headers],[Renewables Market Intelligence]],$C$7:$C$510,$L179)&gt;0,0,MROUND(IFERROR(W179*($P179/$AI179),0),100))</f>
        <v>0</v>
      </c>
      <c r="AQ179" s="1">
        <f ca="1">IF(COUNTIFS($J$7:$J$510,Table7[[#Headers],[Renewables RTM Analysis]],$C$7:$C$510,$L179)&gt;0,0,MROUND(IFERROR(X179*($P179/$AI179),0),100))</f>
        <v>0</v>
      </c>
      <c r="AR179" s="1">
        <f>IF(COUNTIFS($J$7:$J$510,Table7[[#Headers],[Renewables Forecasts]],$C$7:$C$510,$L179)&gt;0,0,MROUND(IFERROR(Y179*($P179/$AI179),0),100))</f>
        <v>0</v>
      </c>
      <c r="AS179" s="1">
        <f ca="1">IF(COUNTIFS($J$7:$J$510,Table7[[#Headers],[Renewables Regulation]],$C$7:$C$510,$L179)&gt;0,0,MROUND(IFERROR(Z179*($P179/$AI179),0),100))</f>
        <v>0</v>
      </c>
      <c r="AT179" s="1">
        <f ca="1">IF(COUNTIFS($J$7:$J$510,Table7[[#Headers],[Flexibility Market Intelligence]],$C$7:$C$510,$L179)&gt;0,0,MROUND(IFERROR(AA179*($P179/$AI179),0),100))</f>
        <v>0</v>
      </c>
      <c r="AU179" s="1">
        <f ca="1">IF(COUNTIFS($J$7:$J$510,Table7[[#Headers],[Flexibility RTM Analysis]],$C$7:$C$510,$L179)&gt;0,0,MROUND(IFERROR(AB179*($P179/$AI179),0),100))</f>
        <v>0</v>
      </c>
      <c r="AV179" s="1">
        <f ca="1">IF(COUNTIFS($J$7:$J$510,Table7[[#Headers],[Flexibility Forecasts]],$C$7:$C$510,$L179)&gt;0,0,MROUND(IFERROR(AC179*($P179/$AI179),0),100))</f>
        <v>0</v>
      </c>
      <c r="AW179" s="1">
        <f ca="1">IF(COUNTIFS($J$7:$J$510,Table7[[#Headers],[Flexibility Regulation]],$C$7:$C$510,$L179)&gt;0,0,MROUND(IFERROR(AD179*($P179/$AI179),0),100))</f>
        <v>0</v>
      </c>
      <c r="AX179" s="1">
        <f ca="1">IF(COUNTIFS($J$7:$J$510,Table7[[#Headers],[Business Energy Essentials]],$C$7:$C$510,$L179)&gt;0,0,MROUND(IFERROR(AE179*($P179/$AI179),0),100))</f>
        <v>4200</v>
      </c>
      <c r="AY179" s="1">
        <f ca="1">IF(COUNTIFS($J$7:$J$510,Table7[[#Headers],[Energy User RTM Analysis]],$C$7:$C$510,$L179)&gt;0,0,MROUND(IFERROR(AF179*($P179/$AI179),0),100))</f>
        <v>4300</v>
      </c>
      <c r="AZ179" s="1">
        <f>IF(COUNTIFS($J$7:$J$510,Table7[[#Headers],[Energy User Forecasts]],$C$7:$C$510,$L179)&gt;0,0,MROUND(IFERROR(AG179*($P179/$AI179),0),100))</f>
        <v>0</v>
      </c>
      <c r="BA179" s="1">
        <f ca="1">IF(COUNTIFS($J$7:$J$510,Table7[[#Headers],[Energy User Regulation]],$C$7:$C$510,$L179)&gt;0,0,MROUND(IFERROR(AH179*($P179/$AI179),0),100))</f>
        <v>1700</v>
      </c>
    </row>
    <row r="180" spans="2:53">
      <c r="B180" s="38" t="s">
        <v>2167</v>
      </c>
      <c r="C180" s="38" t="s">
        <v>1272</v>
      </c>
      <c r="D180" s="38" t="s">
        <v>2035</v>
      </c>
      <c r="E180" s="38" t="s">
        <v>1855</v>
      </c>
      <c r="F180" s="63">
        <v>3099.9999999999995</v>
      </c>
      <c r="G180" s="38"/>
      <c r="H180" s="38" t="s">
        <v>2032</v>
      </c>
      <c r="I180" s="38" t="s">
        <v>2032</v>
      </c>
      <c r="J180" s="38" t="s">
        <v>20</v>
      </c>
      <c r="L180" s="1" t="str">
        <v>SO Energy Trading Limited</v>
      </c>
      <c r="M180" s="1" t="str">
        <f t="shared" si="12"/>
        <v>Supply</v>
      </c>
      <c r="N180" s="109">
        <f t="shared" si="13"/>
        <v>39909.96</v>
      </c>
      <c r="O180" s="1">
        <f>IFERROR(IF(INDEX(Table3[[Total Spend]:[Total Spend]],MATCH(L180,Table3[[Company name]:[Company name]],0))&gt;N180,INDEX(Table3[[Total Spend]:[Total Spend]],MATCH(L180,Table3[[Company name]:[Company name]])),N180),50000)</f>
        <v>8100</v>
      </c>
      <c r="P180" s="109">
        <f t="shared" si="14"/>
        <v>39909.96</v>
      </c>
      <c r="Q180" s="103">
        <f t="shared" si="15"/>
        <v>1</v>
      </c>
      <c r="R180" s="1">
        <f ca="1">IFERROR(INDEX(INDIRECT("Table3[Column"&amp;R$9&amp;"]"),MATCH($L180,Table3[[Company name]:[Company name]],0)),0)</f>
        <v>8100</v>
      </c>
      <c r="S180" s="1">
        <f ca="1">IFERROR(INDEX(INDIRECT("Table3[Column"&amp;S$9&amp;"]"),MATCH($L180,Table3[[Company name]:[Company name]],0)),0)</f>
        <v>30600</v>
      </c>
      <c r="T180" s="1">
        <f ca="1">IFERROR(INDEX(INDIRECT("Table3[Column"&amp;T$9&amp;"]"),MATCH($L180,Table3[[Company name]:[Company name]],0)),0)</f>
        <v>53100</v>
      </c>
      <c r="U180" s="1">
        <f ca="1">IFERROR(INDEX(INDIRECT("Table3[Column"&amp;U$9&amp;"]"),MATCH($L180,Table3[[Company name]:[Company name]],0)),0)</f>
        <v>34200</v>
      </c>
      <c r="V180" s="1">
        <f ca="1">IFERROR(INDEX(INDIRECT("Table3[Column"&amp;V$9&amp;"]"),MATCH($L180,Table3[[Company name]:[Company name]],0)),0)</f>
        <v>39600</v>
      </c>
      <c r="W180" s="1">
        <f ca="1">IFERROR(INDEX(INDIRECT("Table3[Column"&amp;W$9&amp;"]"),MATCH($L180,Table3[[Company name]:[Company name]],0)),0)</f>
        <v>0</v>
      </c>
      <c r="X180" s="1">
        <f ca="1">IFERROR(INDEX(INDIRECT("Table3[Column"&amp;X$9&amp;"]"),MATCH($L180,Table3[[Company name]:[Company name]],0)),0)</f>
        <v>0</v>
      </c>
      <c r="Y180" s="1">
        <f ca="1">IFERROR(INDEX(INDIRECT("Table3[Column"&amp;Y$9&amp;"]"),MATCH($L180,Table3[[Company name]:[Company name]],0)),0)</f>
        <v>0</v>
      </c>
      <c r="Z180" s="1">
        <f ca="1">IFERROR(INDEX(INDIRECT("Table3[Column"&amp;Z$9&amp;"]"),MATCH($L180,Table3[[Company name]:[Company name]],0)),0)</f>
        <v>0</v>
      </c>
      <c r="AA180" s="1">
        <f ca="1">IFERROR(INDEX(INDIRECT("Table3[Column"&amp;AA$9&amp;"]"),MATCH($L180,Table3[[Company name]:[Company name]],0)),0)</f>
        <v>21600</v>
      </c>
      <c r="AB180" s="1">
        <f ca="1">IFERROR(INDEX(INDIRECT("Table3[Column"&amp;AB$9&amp;"]"),MATCH($L180,Table3[[Company name]:[Company name]],0)),0)</f>
        <v>0</v>
      </c>
      <c r="AC180" s="1">
        <f ca="1">IFERROR(INDEX(INDIRECT("Table3[Column"&amp;AC$9&amp;"]"),MATCH($L180,Table3[[Company name]:[Company name]],0)),0)</f>
        <v>0</v>
      </c>
      <c r="AD180" s="1">
        <f ca="1">IFERROR(INDEX(INDIRECT("Table3[Column"&amp;AD$9&amp;"]"),MATCH($L180,Table3[[Company name]:[Company name]],0)),0)</f>
        <v>0</v>
      </c>
      <c r="AE180" s="1">
        <f ca="1">IFERROR(INDEX(INDIRECT("Table3[Column"&amp;AE$9&amp;"]"),MATCH($L180,Table3[[Company name]:[Company name]],0)),0)</f>
        <v>0</v>
      </c>
      <c r="AF180" s="1">
        <f ca="1">IFERROR(INDEX(INDIRECT("Table3[Column"&amp;AF$9&amp;"]"),MATCH($L180,Table3[[Company name]:[Company name]],0)),0)</f>
        <v>0</v>
      </c>
      <c r="AG180" s="1">
        <f ca="1">IFERROR(INDEX(INDIRECT("Table3[Column"&amp;AG$9&amp;"]"),MATCH($L180,Table3[[Company name]:[Company name]],0)),0)</f>
        <v>0</v>
      </c>
      <c r="AH180" s="1">
        <f ca="1">IFERROR(INDEX(INDIRECT("Table3[Column"&amp;AH$9&amp;"]"),MATCH($L180,Table3[[Company name]:[Company name]],0)),0)</f>
        <v>0</v>
      </c>
      <c r="AI180" s="1">
        <f t="shared" ca="1" si="16"/>
        <v>187200</v>
      </c>
      <c r="AK180" s="1">
        <f>IF(COUNTIFS($J$7:$J$510,Table7[[#Headers],[Industry Essentials]],$C$7:$C$510,$L180)&gt;0,0,MROUND(R180,100))</f>
        <v>0</v>
      </c>
      <c r="AL180" s="1">
        <f ca="1">IF(COUNTIFS($J$7:$J$510,Table7[[#Headers],[Energy Supply Market Intelligence]],$C$7:$C$510,$L180)&gt;0,0,MROUND(IFERROR(S180*($P180/$AI180),0),100))</f>
        <v>6500</v>
      </c>
      <c r="AM180" s="1">
        <f ca="1">IF(COUNTIFS($J$7:$J$510,Table7[[#Headers],[Energy Supply RTM Analysis]],$C$7:$C$510,$L180)&gt;0,0,MROUND(IFERROR(T180*($P180/$AI180),0),100))</f>
        <v>11300</v>
      </c>
      <c r="AN180" s="1">
        <f>IF(COUNTIFS($J$7:$J$510,Table7[[#Headers],[Energy Supply Forecasts]],$C$7:$C$510,$L180)&gt;0,0,MROUND(IFERROR(U180*($P180/$AI180),0),100))</f>
        <v>0</v>
      </c>
      <c r="AO180" s="1">
        <f>IF(COUNTIFS($J$7:$J$510,Table7[[#Headers],[Energy Supply Regulation]],$C$7:$C$510,$L180)&gt;0,0,MROUND(IFERROR(V180*($P180/$AI180),0),100))</f>
        <v>0</v>
      </c>
      <c r="AP180" s="1">
        <f ca="1">IF(COUNTIFS($J$7:$J$510,Table7[[#Headers],[Renewables Market Intelligence]],$C$7:$C$510,$L180)&gt;0,0,MROUND(IFERROR(W180*($P180/$AI180),0),100))</f>
        <v>0</v>
      </c>
      <c r="AQ180" s="1">
        <f ca="1">IF(COUNTIFS($J$7:$J$510,Table7[[#Headers],[Renewables RTM Analysis]],$C$7:$C$510,$L180)&gt;0,0,MROUND(IFERROR(X180*($P180/$AI180),0),100))</f>
        <v>0</v>
      </c>
      <c r="AR180" s="1">
        <f ca="1">IF(COUNTIFS($J$7:$J$510,Table7[[#Headers],[Renewables Forecasts]],$C$7:$C$510,$L180)&gt;0,0,MROUND(IFERROR(Y180*($P180/$AI180),0),100))</f>
        <v>0</v>
      </c>
      <c r="AS180" s="1">
        <f ca="1">IF(COUNTIFS($J$7:$J$510,Table7[[#Headers],[Renewables Regulation]],$C$7:$C$510,$L180)&gt;0,0,MROUND(IFERROR(Z180*($P180/$AI180),0),100))</f>
        <v>0</v>
      </c>
      <c r="AT180" s="1">
        <f ca="1">IF(COUNTIFS($J$7:$J$510,Table7[[#Headers],[Flexibility Market Intelligence]],$C$7:$C$510,$L180)&gt;0,0,MROUND(IFERROR(AA180*($P180/$AI180),0),100))</f>
        <v>4600</v>
      </c>
      <c r="AU180" s="1">
        <f ca="1">IF(COUNTIFS($J$7:$J$510,Table7[[#Headers],[Flexibility RTM Analysis]],$C$7:$C$510,$L180)&gt;0,0,MROUND(IFERROR(AB180*($P180/$AI180),0),100))</f>
        <v>0</v>
      </c>
      <c r="AV180" s="1">
        <f ca="1">IF(COUNTIFS($J$7:$J$510,Table7[[#Headers],[Flexibility Forecasts]],$C$7:$C$510,$L180)&gt;0,0,MROUND(IFERROR(AC180*($P180/$AI180),0),100))</f>
        <v>0</v>
      </c>
      <c r="AW180" s="1">
        <f ca="1">IF(COUNTIFS($J$7:$J$510,Table7[[#Headers],[Flexibility Regulation]],$C$7:$C$510,$L180)&gt;0,0,MROUND(IFERROR(AD180*($P180/$AI180),0),100))</f>
        <v>0</v>
      </c>
      <c r="AX180" s="1">
        <f ca="1">IF(COUNTIFS($J$7:$J$510,Table7[[#Headers],[Business Energy Essentials]],$C$7:$C$510,$L180)&gt;0,0,MROUND(IFERROR(AE180*($P180/$AI180),0),100))</f>
        <v>0</v>
      </c>
      <c r="AY180" s="1">
        <f ca="1">IF(COUNTIFS($J$7:$J$510,Table7[[#Headers],[Energy User RTM Analysis]],$C$7:$C$510,$L180)&gt;0,0,MROUND(IFERROR(AF180*($P180/$AI180),0),100))</f>
        <v>0</v>
      </c>
      <c r="AZ180" s="1">
        <f ca="1">IF(COUNTIFS($J$7:$J$510,Table7[[#Headers],[Energy User Forecasts]],$C$7:$C$510,$L180)&gt;0,0,MROUND(IFERROR(AG180*($P180/$AI180),0),100))</f>
        <v>0</v>
      </c>
      <c r="BA180" s="1">
        <f ca="1">IF(COUNTIFS($J$7:$J$510,Table7[[#Headers],[Energy User Regulation]],$C$7:$C$510,$L180)&gt;0,0,MROUND(IFERROR(AH180*($P180/$AI180),0),100))</f>
        <v>0</v>
      </c>
    </row>
    <row r="181" spans="2:53">
      <c r="B181" s="38" t="s">
        <v>2167</v>
      </c>
      <c r="C181" s="38" t="s">
        <v>1272</v>
      </c>
      <c r="D181" s="38" t="s">
        <v>2136</v>
      </c>
      <c r="E181" s="38" t="e">
        <v>#N/A</v>
      </c>
      <c r="F181" s="63">
        <v>2000</v>
      </c>
      <c r="G181" s="38"/>
      <c r="H181" s="38" t="s">
        <v>2032</v>
      </c>
      <c r="I181" s="38" t="s">
        <v>2032</v>
      </c>
      <c r="J181" s="38" t="s">
        <v>20</v>
      </c>
      <c r="L181" s="1" t="str">
        <v>Sonnedix UK Services Ltd</v>
      </c>
      <c r="M181" s="1" t="str">
        <f t="shared" si="12"/>
        <v>Renewables</v>
      </c>
      <c r="N181" s="109">
        <f t="shared" si="13"/>
        <v>20150</v>
      </c>
      <c r="O181" s="1">
        <f>IFERROR(IF(INDEX(Table3[[Total Spend]:[Total Spend]],MATCH(L181,Table3[[Company name]:[Company name]],0))&gt;N181,INDEX(Table3[[Total Spend]:[Total Spend]],MATCH(L181,Table3[[Company name]:[Company name]])),N181),50000)</f>
        <v>10000</v>
      </c>
      <c r="P181" s="109">
        <f t="shared" si="14"/>
        <v>20150</v>
      </c>
      <c r="Q181" s="103">
        <f t="shared" si="15"/>
        <v>1</v>
      </c>
      <c r="R181" s="1">
        <f ca="1">IFERROR(INDEX(INDIRECT("Table3[Column"&amp;R$9&amp;"]"),MATCH($L181,Table3[[Company name]:[Company name]],0)),0)</f>
        <v>8100</v>
      </c>
      <c r="S181" s="1">
        <f ca="1">IFERROR(INDEX(INDIRECT("Table3[Column"&amp;S$9&amp;"]"),MATCH($L181,Table3[[Company name]:[Company name]],0)),0)</f>
        <v>0</v>
      </c>
      <c r="T181" s="1">
        <f ca="1">IFERROR(INDEX(INDIRECT("Table3[Column"&amp;T$9&amp;"]"),MATCH($L181,Table3[[Company name]:[Company name]],0)),0)</f>
        <v>0</v>
      </c>
      <c r="U181" s="1">
        <f ca="1">IFERROR(INDEX(INDIRECT("Table3[Column"&amp;U$9&amp;"]"),MATCH($L181,Table3[[Company name]:[Company name]],0)),0)</f>
        <v>0</v>
      </c>
      <c r="V181" s="1">
        <f ca="1">IFERROR(INDEX(INDIRECT("Table3[Column"&amp;V$9&amp;"]"),MATCH($L181,Table3[[Company name]:[Company name]],0)),0)</f>
        <v>0</v>
      </c>
      <c r="W181" s="1">
        <f ca="1">IFERROR(INDEX(INDIRECT("Table3[Column"&amp;W$9&amp;"]"),MATCH($L181,Table3[[Company name]:[Company name]],0)),0)</f>
        <v>17100</v>
      </c>
      <c r="X181" s="1">
        <f ca="1">IFERROR(INDEX(INDIRECT("Table3[Column"&amp;X$9&amp;"]"),MATCH($L181,Table3[[Company name]:[Company name]],0)),0)</f>
        <v>15300</v>
      </c>
      <c r="Y181" s="1">
        <f ca="1">IFERROR(INDEX(INDIRECT("Table3[Column"&amp;Y$9&amp;"]"),MATCH($L181,Table3[[Company name]:[Company name]],0)),0)</f>
        <v>42300</v>
      </c>
      <c r="Z181" s="1">
        <f ca="1">IFERROR(INDEX(INDIRECT("Table3[Column"&amp;Z$9&amp;"]"),MATCH($L181,Table3[[Company name]:[Company name]],0)),0)</f>
        <v>18900</v>
      </c>
      <c r="AA181" s="1">
        <f ca="1">IFERROR(INDEX(INDIRECT("Table3[Column"&amp;AA$9&amp;"]"),MATCH($L181,Table3[[Company name]:[Company name]],0)),0)</f>
        <v>21600</v>
      </c>
      <c r="AB181" s="1">
        <f ca="1">IFERROR(INDEX(INDIRECT("Table3[Column"&amp;AB$9&amp;"]"),MATCH($L181,Table3[[Company name]:[Company name]],0)),0)</f>
        <v>7650</v>
      </c>
      <c r="AC181" s="1">
        <f ca="1">IFERROR(INDEX(INDIRECT("Table3[Column"&amp;AC$9&amp;"]"),MATCH($L181,Table3[[Company name]:[Company name]],0)),0)</f>
        <v>31500</v>
      </c>
      <c r="AD181" s="1">
        <f ca="1">IFERROR(INDEX(INDIRECT("Table3[Column"&amp;AD$9&amp;"]"),MATCH($L181,Table3[[Company name]:[Company name]],0)),0)</f>
        <v>25200</v>
      </c>
      <c r="AE181" s="1">
        <f ca="1">IFERROR(INDEX(INDIRECT("Table3[Column"&amp;AE$9&amp;"]"),MATCH($L181,Table3[[Company name]:[Company name]],0)),0)</f>
        <v>0</v>
      </c>
      <c r="AF181" s="1">
        <f ca="1">IFERROR(INDEX(INDIRECT("Table3[Column"&amp;AF$9&amp;"]"),MATCH($L181,Table3[[Company name]:[Company name]],0)),0)</f>
        <v>0</v>
      </c>
      <c r="AG181" s="1">
        <f ca="1">IFERROR(INDEX(INDIRECT("Table3[Column"&amp;AG$9&amp;"]"),MATCH($L181,Table3[[Company name]:[Company name]],0)),0)</f>
        <v>0</v>
      </c>
      <c r="AH181" s="1">
        <f ca="1">IFERROR(INDEX(INDIRECT("Table3[Column"&amp;AH$9&amp;"]"),MATCH($L181,Table3[[Company name]:[Company name]],0)),0)</f>
        <v>0</v>
      </c>
      <c r="AI181" s="1">
        <f t="shared" ca="1" si="16"/>
        <v>187650</v>
      </c>
      <c r="AK181" s="1">
        <f ca="1">IF(COUNTIFS($J$7:$J$510,Table7[[#Headers],[Industry Essentials]],$C$7:$C$510,$L181)&gt;0,0,MROUND(R181,100))</f>
        <v>8100</v>
      </c>
      <c r="AL181" s="1">
        <f ca="1">IF(COUNTIFS($J$7:$J$510,Table7[[#Headers],[Energy Supply Market Intelligence]],$C$7:$C$510,$L181)&gt;0,0,MROUND(IFERROR(S181*($P181/$AI181),0),100))</f>
        <v>0</v>
      </c>
      <c r="AM181" s="1">
        <f ca="1">IF(COUNTIFS($J$7:$J$510,Table7[[#Headers],[Energy Supply RTM Analysis]],$C$7:$C$510,$L181)&gt;0,0,MROUND(IFERROR(T181*($P181/$AI181),0),100))</f>
        <v>0</v>
      </c>
      <c r="AN181" s="1">
        <f ca="1">IF(COUNTIFS($J$7:$J$510,Table7[[#Headers],[Energy Supply Forecasts]],$C$7:$C$510,$L181)&gt;0,0,MROUND(IFERROR(U181*($P181/$AI181),0),100))</f>
        <v>0</v>
      </c>
      <c r="AO181" s="1">
        <f ca="1">IF(COUNTIFS($J$7:$J$510,Table7[[#Headers],[Energy Supply Regulation]],$C$7:$C$510,$L181)&gt;0,0,MROUND(IFERROR(V181*($P181/$AI181),0),100))</f>
        <v>0</v>
      </c>
      <c r="AP181" s="1">
        <f>IF(COUNTIFS($J$7:$J$510,Table7[[#Headers],[Renewables Market Intelligence]],$C$7:$C$510,$L181)&gt;0,0,MROUND(IFERROR(W181*($P181/$AI181),0),100))</f>
        <v>0</v>
      </c>
      <c r="AQ181" s="1">
        <f ca="1">IF(COUNTIFS($J$7:$J$510,Table7[[#Headers],[Renewables RTM Analysis]],$C$7:$C$510,$L181)&gt;0,0,MROUND(IFERROR(X181*($P181/$AI181),0),100))</f>
        <v>1600</v>
      </c>
      <c r="AR181" s="1">
        <f>IF(COUNTIFS($J$7:$J$510,Table7[[#Headers],[Renewables Forecasts]],$C$7:$C$510,$L181)&gt;0,0,MROUND(IFERROR(Y181*($P181/$AI181),0),100))</f>
        <v>0</v>
      </c>
      <c r="AS181" s="1">
        <f ca="1">IF(COUNTIFS($J$7:$J$510,Table7[[#Headers],[Renewables Regulation]],$C$7:$C$510,$L181)&gt;0,0,MROUND(IFERROR(Z181*($P181/$AI181),0),100))</f>
        <v>2000</v>
      </c>
      <c r="AT181" s="1">
        <f ca="1">IF(COUNTIFS($J$7:$J$510,Table7[[#Headers],[Flexibility Market Intelligence]],$C$7:$C$510,$L181)&gt;0,0,MROUND(IFERROR(AA181*($P181/$AI181),0),100))</f>
        <v>2300</v>
      </c>
      <c r="AU181" s="1">
        <f ca="1">IF(COUNTIFS($J$7:$J$510,Table7[[#Headers],[Flexibility RTM Analysis]],$C$7:$C$510,$L181)&gt;0,0,MROUND(IFERROR(AB181*($P181/$AI181),0),100))</f>
        <v>800</v>
      </c>
      <c r="AV181" s="1">
        <f ca="1">IF(COUNTIFS($J$7:$J$510,Table7[[#Headers],[Flexibility Forecasts]],$C$7:$C$510,$L181)&gt;0,0,MROUND(IFERROR(AC181*($P181/$AI181),0),100))</f>
        <v>3400</v>
      </c>
      <c r="AW181" s="1">
        <f ca="1">IF(COUNTIFS($J$7:$J$510,Table7[[#Headers],[Flexibility Regulation]],$C$7:$C$510,$L181)&gt;0,0,MROUND(IFERROR(AD181*($P181/$AI181),0),100))</f>
        <v>2700</v>
      </c>
      <c r="AX181" s="1">
        <f ca="1">IF(COUNTIFS($J$7:$J$510,Table7[[#Headers],[Business Energy Essentials]],$C$7:$C$510,$L181)&gt;0,0,MROUND(IFERROR(AE181*($P181/$AI181),0),100))</f>
        <v>0</v>
      </c>
      <c r="AY181" s="1">
        <f ca="1">IF(COUNTIFS($J$7:$J$510,Table7[[#Headers],[Energy User RTM Analysis]],$C$7:$C$510,$L181)&gt;0,0,MROUND(IFERROR(AF181*($P181/$AI181),0),100))</f>
        <v>0</v>
      </c>
      <c r="AZ181" s="1">
        <f ca="1">IF(COUNTIFS($J$7:$J$510,Table7[[#Headers],[Energy User Forecasts]],$C$7:$C$510,$L181)&gt;0,0,MROUND(IFERROR(AG181*($P181/$AI181),0),100))</f>
        <v>0</v>
      </c>
      <c r="BA181" s="1">
        <f ca="1">IF(COUNTIFS($J$7:$J$510,Table7[[#Headers],[Energy User Regulation]],$C$7:$C$510,$L181)&gt;0,0,MROUND(IFERROR(AH181*($P181/$AI181),0),100))</f>
        <v>0</v>
      </c>
    </row>
    <row r="182" spans="2:53">
      <c r="B182" s="38" t="s">
        <v>2168</v>
      </c>
      <c r="C182" s="38" t="s">
        <v>1006</v>
      </c>
      <c r="D182" s="38" t="s">
        <v>2040</v>
      </c>
      <c r="E182" s="38" t="s">
        <v>1799</v>
      </c>
      <c r="F182" s="63">
        <v>4000</v>
      </c>
      <c r="G182" s="38"/>
      <c r="H182" s="38" t="s">
        <v>2031</v>
      </c>
      <c r="I182" s="38" t="s">
        <v>2032</v>
      </c>
      <c r="J182" s="38" t="s">
        <v>20</v>
      </c>
      <c r="L182" s="1" t="str">
        <v>South Shields FC Ltd</v>
      </c>
      <c r="M182" s="1" t="str">
        <f t="shared" si="12"/>
        <v>Renewables</v>
      </c>
      <c r="N182" s="109">
        <f t="shared" si="13"/>
        <v>16500</v>
      </c>
      <c r="O182" s="1">
        <f>IFERROR(IF(INDEX(Table3[[Total Spend]:[Total Spend]],MATCH(L182,Table3[[Company name]:[Company name]],0))&gt;N182,INDEX(Table3[[Total Spend]:[Total Spend]],MATCH(L182,Table3[[Company name]:[Company name]])),N182),50000)</f>
        <v>10000</v>
      </c>
      <c r="P182" s="109">
        <f t="shared" si="14"/>
        <v>16500</v>
      </c>
      <c r="Q182" s="103">
        <f t="shared" si="15"/>
        <v>1</v>
      </c>
      <c r="R182" s="1">
        <f ca="1">IFERROR(INDEX(INDIRECT("Table3[Column"&amp;R$9&amp;"]"),MATCH($L182,Table3[[Company name]:[Company name]],0)),0)</f>
        <v>8100</v>
      </c>
      <c r="S182" s="1">
        <f ca="1">IFERROR(INDEX(INDIRECT("Table3[Column"&amp;S$9&amp;"]"),MATCH($L182,Table3[[Company name]:[Company name]],0)),0)</f>
        <v>30600</v>
      </c>
      <c r="T182" s="1">
        <f ca="1">IFERROR(INDEX(INDIRECT("Table3[Column"&amp;T$9&amp;"]"),MATCH($L182,Table3[[Company name]:[Company name]],0)),0)</f>
        <v>53100</v>
      </c>
      <c r="U182" s="1">
        <f ca="1">IFERROR(INDEX(INDIRECT("Table3[Column"&amp;U$9&amp;"]"),MATCH($L182,Table3[[Company name]:[Company name]],0)),0)</f>
        <v>34200</v>
      </c>
      <c r="V182" s="1">
        <f ca="1">IFERROR(INDEX(INDIRECT("Table3[Column"&amp;V$9&amp;"]"),MATCH($L182,Table3[[Company name]:[Company name]],0)),0)</f>
        <v>39600</v>
      </c>
      <c r="W182" s="1">
        <f ca="1">IFERROR(INDEX(INDIRECT("Table3[Column"&amp;W$9&amp;"]"),MATCH($L182,Table3[[Company name]:[Company name]],0)),0)</f>
        <v>0</v>
      </c>
      <c r="X182" s="1">
        <f ca="1">IFERROR(INDEX(INDIRECT("Table3[Column"&amp;X$9&amp;"]"),MATCH($L182,Table3[[Company name]:[Company name]],0)),0)</f>
        <v>0</v>
      </c>
      <c r="Y182" s="1">
        <f ca="1">IFERROR(INDEX(INDIRECT("Table3[Column"&amp;Y$9&amp;"]"),MATCH($L182,Table3[[Company name]:[Company name]],0)),0)</f>
        <v>0</v>
      </c>
      <c r="Z182" s="1">
        <f ca="1">IFERROR(INDEX(INDIRECT("Table3[Column"&amp;Z$9&amp;"]"),MATCH($L182,Table3[[Company name]:[Company name]],0)),0)</f>
        <v>0</v>
      </c>
      <c r="AA182" s="1">
        <f ca="1">IFERROR(INDEX(INDIRECT("Table3[Column"&amp;AA$9&amp;"]"),MATCH($L182,Table3[[Company name]:[Company name]],0)),0)</f>
        <v>21600</v>
      </c>
      <c r="AB182" s="1">
        <f ca="1">IFERROR(INDEX(INDIRECT("Table3[Column"&amp;AB$9&amp;"]"),MATCH($L182,Table3[[Company name]:[Company name]],0)),0)</f>
        <v>0</v>
      </c>
      <c r="AC182" s="1">
        <f ca="1">IFERROR(INDEX(INDIRECT("Table3[Column"&amp;AC$9&amp;"]"),MATCH($L182,Table3[[Company name]:[Company name]],0)),0)</f>
        <v>0</v>
      </c>
      <c r="AD182" s="1">
        <f ca="1">IFERROR(INDEX(INDIRECT("Table3[Column"&amp;AD$9&amp;"]"),MATCH($L182,Table3[[Company name]:[Company name]],0)),0)</f>
        <v>0</v>
      </c>
      <c r="AE182" s="1">
        <f ca="1">IFERROR(INDEX(INDIRECT("Table3[Column"&amp;AE$9&amp;"]"),MATCH($L182,Table3[[Company name]:[Company name]],0)),0)</f>
        <v>0</v>
      </c>
      <c r="AF182" s="1">
        <f ca="1">IFERROR(INDEX(INDIRECT("Table3[Column"&amp;AF$9&amp;"]"),MATCH($L182,Table3[[Company name]:[Company name]],0)),0)</f>
        <v>0</v>
      </c>
      <c r="AG182" s="1">
        <f ca="1">IFERROR(INDEX(INDIRECT("Table3[Column"&amp;AG$9&amp;"]"),MATCH($L182,Table3[[Company name]:[Company name]],0)),0)</f>
        <v>0</v>
      </c>
      <c r="AH182" s="1">
        <f ca="1">IFERROR(INDEX(INDIRECT("Table3[Column"&amp;AH$9&amp;"]"),MATCH($L182,Table3[[Company name]:[Company name]],0)),0)</f>
        <v>0</v>
      </c>
      <c r="AI182" s="1">
        <f t="shared" ca="1" si="16"/>
        <v>187200</v>
      </c>
      <c r="AK182" s="1">
        <f ca="1">IF(COUNTIFS($J$7:$J$510,Table7[[#Headers],[Industry Essentials]],$C$7:$C$510,$L182)&gt;0,0,MROUND(R182,100))</f>
        <v>8100</v>
      </c>
      <c r="AL182" s="1">
        <f ca="1">IF(COUNTIFS($J$7:$J$510,Table7[[#Headers],[Energy Supply Market Intelligence]],$C$7:$C$510,$L182)&gt;0,0,MROUND(IFERROR(S182*($P182/$AI182),0),100))</f>
        <v>2700</v>
      </c>
      <c r="AM182" s="1">
        <f>IF(COUNTIFS($J$7:$J$510,Table7[[#Headers],[Energy Supply RTM Analysis]],$C$7:$C$510,$L182)&gt;0,0,MROUND(IFERROR(T182*($P182/$AI182),0),100))</f>
        <v>0</v>
      </c>
      <c r="AN182" s="1">
        <f ca="1">IF(COUNTIFS($J$7:$J$510,Table7[[#Headers],[Energy Supply Forecasts]],$C$7:$C$510,$L182)&gt;0,0,MROUND(IFERROR(U182*($P182/$AI182),0),100))</f>
        <v>3000</v>
      </c>
      <c r="AO182" s="1">
        <f ca="1">IF(COUNTIFS($J$7:$J$510,Table7[[#Headers],[Energy Supply Regulation]],$C$7:$C$510,$L182)&gt;0,0,MROUND(IFERROR(V182*($P182/$AI182),0),100))</f>
        <v>3500</v>
      </c>
      <c r="AP182" s="1">
        <f ca="1">IF(COUNTIFS($J$7:$J$510,Table7[[#Headers],[Renewables Market Intelligence]],$C$7:$C$510,$L182)&gt;0,0,MROUND(IFERROR(W182*($P182/$AI182),0),100))</f>
        <v>0</v>
      </c>
      <c r="AQ182" s="1">
        <f ca="1">IF(COUNTIFS($J$7:$J$510,Table7[[#Headers],[Renewables RTM Analysis]],$C$7:$C$510,$L182)&gt;0,0,MROUND(IFERROR(X182*($P182/$AI182),0),100))</f>
        <v>0</v>
      </c>
      <c r="AR182" s="1">
        <f ca="1">IF(COUNTIFS($J$7:$J$510,Table7[[#Headers],[Renewables Forecasts]],$C$7:$C$510,$L182)&gt;0,0,MROUND(IFERROR(Y182*($P182/$AI182),0),100))</f>
        <v>0</v>
      </c>
      <c r="AS182" s="1">
        <f ca="1">IF(COUNTIFS($J$7:$J$510,Table7[[#Headers],[Renewables Regulation]],$C$7:$C$510,$L182)&gt;0,0,MROUND(IFERROR(Z182*($P182/$AI182),0),100))</f>
        <v>0</v>
      </c>
      <c r="AT182" s="1">
        <f ca="1">IF(COUNTIFS($J$7:$J$510,Table7[[#Headers],[Flexibility Market Intelligence]],$C$7:$C$510,$L182)&gt;0,0,MROUND(IFERROR(AA182*($P182/$AI182),0),100))</f>
        <v>1900</v>
      </c>
      <c r="AU182" s="1">
        <f ca="1">IF(COUNTIFS($J$7:$J$510,Table7[[#Headers],[Flexibility RTM Analysis]],$C$7:$C$510,$L182)&gt;0,0,MROUND(IFERROR(AB182*($P182/$AI182),0),100))</f>
        <v>0</v>
      </c>
      <c r="AV182" s="1">
        <f ca="1">IF(COUNTIFS($J$7:$J$510,Table7[[#Headers],[Flexibility Forecasts]],$C$7:$C$510,$L182)&gt;0,0,MROUND(IFERROR(AC182*($P182/$AI182),0),100))</f>
        <v>0</v>
      </c>
      <c r="AW182" s="1">
        <f ca="1">IF(COUNTIFS($J$7:$J$510,Table7[[#Headers],[Flexibility Regulation]],$C$7:$C$510,$L182)&gt;0,0,MROUND(IFERROR(AD182*($P182/$AI182),0),100))</f>
        <v>0</v>
      </c>
      <c r="AX182" s="1">
        <f ca="1">IF(COUNTIFS($J$7:$J$510,Table7[[#Headers],[Business Energy Essentials]],$C$7:$C$510,$L182)&gt;0,0,MROUND(IFERROR(AE182*($P182/$AI182),0),100))</f>
        <v>0</v>
      </c>
      <c r="AY182" s="1">
        <f ca="1">IF(COUNTIFS($J$7:$J$510,Table7[[#Headers],[Energy User RTM Analysis]],$C$7:$C$510,$L182)&gt;0,0,MROUND(IFERROR(AF182*($P182/$AI182),0),100))</f>
        <v>0</v>
      </c>
      <c r="AZ182" s="1">
        <f ca="1">IF(COUNTIFS($J$7:$J$510,Table7[[#Headers],[Energy User Forecasts]],$C$7:$C$510,$L182)&gt;0,0,MROUND(IFERROR(AG182*($P182/$AI182),0),100))</f>
        <v>0</v>
      </c>
      <c r="BA182" s="1">
        <f ca="1">IF(COUNTIFS($J$7:$J$510,Table7[[#Headers],[Energy User Regulation]],$C$7:$C$510,$L182)&gt;0,0,MROUND(IFERROR(AH182*($P182/$AI182),0),100))</f>
        <v>0</v>
      </c>
    </row>
    <row r="183" spans="2:53">
      <c r="B183" s="38" t="s">
        <v>2169</v>
      </c>
      <c r="C183" s="38" t="s">
        <v>861</v>
      </c>
      <c r="D183" s="38" t="s">
        <v>2040</v>
      </c>
      <c r="E183" s="38" t="s">
        <v>1799</v>
      </c>
      <c r="F183" s="63">
        <v>7880</v>
      </c>
      <c r="G183" s="38"/>
      <c r="H183" s="38" t="s">
        <v>2031</v>
      </c>
      <c r="I183" s="38" t="s">
        <v>2032</v>
      </c>
      <c r="J183" s="38" t="s">
        <v>20</v>
      </c>
      <c r="L183" s="1" t="str">
        <v>Squeaky Clean Energy Limited</v>
      </c>
      <c r="M183" s="1" t="str">
        <f t="shared" si="12"/>
        <v>Supply</v>
      </c>
      <c r="N183" s="109">
        <f t="shared" si="13"/>
        <v>11750</v>
      </c>
      <c r="O183" s="1">
        <f>IFERROR(IF(INDEX(Table3[[Total Spend]:[Total Spend]],MATCH(L183,Table3[[Company name]:[Company name]],0))&gt;N183,INDEX(Table3[[Total Spend]:[Total Spend]],MATCH(L183,Table3[[Company name]:[Company name]])),N183),50000)</f>
        <v>10000</v>
      </c>
      <c r="P183" s="109">
        <f t="shared" si="14"/>
        <v>11750</v>
      </c>
      <c r="Q183" s="103">
        <f t="shared" si="15"/>
        <v>1</v>
      </c>
      <c r="R183" s="1">
        <f ca="1">IFERROR(INDEX(INDIRECT("Table3[Column"&amp;R$9&amp;"]"),MATCH($L183,Table3[[Company name]:[Company name]],0)),0)</f>
        <v>8100</v>
      </c>
      <c r="S183" s="1">
        <f ca="1">IFERROR(INDEX(INDIRECT("Table3[Column"&amp;S$9&amp;"]"),MATCH($L183,Table3[[Company name]:[Company name]],0)),0)</f>
        <v>30600</v>
      </c>
      <c r="T183" s="1">
        <f ca="1">IFERROR(INDEX(INDIRECT("Table3[Column"&amp;T$9&amp;"]"),MATCH($L183,Table3[[Company name]:[Company name]],0)),0)</f>
        <v>53100</v>
      </c>
      <c r="U183" s="1">
        <f ca="1">IFERROR(INDEX(INDIRECT("Table3[Column"&amp;U$9&amp;"]"),MATCH($L183,Table3[[Company name]:[Company name]],0)),0)</f>
        <v>34200</v>
      </c>
      <c r="V183" s="1">
        <f ca="1">IFERROR(INDEX(INDIRECT("Table3[Column"&amp;V$9&amp;"]"),MATCH($L183,Table3[[Company name]:[Company name]],0)),0)</f>
        <v>39600</v>
      </c>
      <c r="W183" s="1">
        <f ca="1">IFERROR(INDEX(INDIRECT("Table3[Column"&amp;W$9&amp;"]"),MATCH($L183,Table3[[Company name]:[Company name]],0)),0)</f>
        <v>0</v>
      </c>
      <c r="X183" s="1">
        <f ca="1">IFERROR(INDEX(INDIRECT("Table3[Column"&amp;X$9&amp;"]"),MATCH($L183,Table3[[Company name]:[Company name]],0)),0)</f>
        <v>15300</v>
      </c>
      <c r="Y183" s="1">
        <f ca="1">IFERROR(INDEX(INDIRECT("Table3[Column"&amp;Y$9&amp;"]"),MATCH($L183,Table3[[Company name]:[Company name]],0)),0)</f>
        <v>0</v>
      </c>
      <c r="Z183" s="1">
        <f ca="1">IFERROR(INDEX(INDIRECT("Table3[Column"&amp;Z$9&amp;"]"),MATCH($L183,Table3[[Company name]:[Company name]],0)),0)</f>
        <v>0</v>
      </c>
      <c r="AA183" s="1">
        <f ca="1">IFERROR(INDEX(INDIRECT("Table3[Column"&amp;AA$9&amp;"]"),MATCH($L183,Table3[[Company name]:[Company name]],0)),0)</f>
        <v>21600</v>
      </c>
      <c r="AB183" s="1">
        <f ca="1">IFERROR(INDEX(INDIRECT("Table3[Column"&amp;AB$9&amp;"]"),MATCH($L183,Table3[[Company name]:[Company name]],0)),0)</f>
        <v>7650</v>
      </c>
      <c r="AC183" s="1">
        <f ca="1">IFERROR(INDEX(INDIRECT("Table3[Column"&amp;AC$9&amp;"]"),MATCH($L183,Table3[[Company name]:[Company name]],0)),0)</f>
        <v>31500</v>
      </c>
      <c r="AD183" s="1">
        <f ca="1">IFERROR(INDEX(INDIRECT("Table3[Column"&amp;AD$9&amp;"]"),MATCH($L183,Table3[[Company name]:[Company name]],0)),0)</f>
        <v>0</v>
      </c>
      <c r="AE183" s="1">
        <f ca="1">IFERROR(INDEX(INDIRECT("Table3[Column"&amp;AE$9&amp;"]"),MATCH($L183,Table3[[Company name]:[Company name]],0)),0)</f>
        <v>0</v>
      </c>
      <c r="AF183" s="1">
        <f ca="1">IFERROR(INDEX(INDIRECT("Table3[Column"&amp;AF$9&amp;"]"),MATCH($L183,Table3[[Company name]:[Company name]],0)),0)</f>
        <v>0</v>
      </c>
      <c r="AG183" s="1">
        <f ca="1">IFERROR(INDEX(INDIRECT("Table3[Column"&amp;AG$9&amp;"]"),MATCH($L183,Table3[[Company name]:[Company name]],0)),0)</f>
        <v>0</v>
      </c>
      <c r="AH183" s="1">
        <f ca="1">IFERROR(INDEX(INDIRECT("Table3[Column"&amp;AH$9&amp;"]"),MATCH($L183,Table3[[Company name]:[Company name]],0)),0)</f>
        <v>0</v>
      </c>
      <c r="AI183" s="1">
        <f t="shared" ca="1" si="16"/>
        <v>241650</v>
      </c>
      <c r="AK183" s="1">
        <f ca="1">IF(COUNTIFS($J$7:$J$510,Table7[[#Headers],[Industry Essentials]],$C$7:$C$510,$L183)&gt;0,0,MROUND(R183,100))</f>
        <v>8100</v>
      </c>
      <c r="AL183" s="1">
        <f ca="1">IF(COUNTIFS($J$7:$J$510,Table7[[#Headers],[Energy Supply Market Intelligence]],$C$7:$C$510,$L183)&gt;0,0,MROUND(IFERROR(S183*($P183/$AI183),0),100))</f>
        <v>1500</v>
      </c>
      <c r="AM183" s="1">
        <f ca="1">IF(COUNTIFS($J$7:$J$510,Table7[[#Headers],[Energy Supply RTM Analysis]],$C$7:$C$510,$L183)&gt;0,0,MROUND(IFERROR(T183*($P183/$AI183),0),100))</f>
        <v>2600</v>
      </c>
      <c r="AN183" s="1">
        <f>IF(COUNTIFS($J$7:$J$510,Table7[[#Headers],[Energy Supply Forecasts]],$C$7:$C$510,$L183)&gt;0,0,MROUND(IFERROR(U183*($P183/$AI183),0),100))</f>
        <v>0</v>
      </c>
      <c r="AO183" s="1">
        <f ca="1">IF(COUNTIFS($J$7:$J$510,Table7[[#Headers],[Energy Supply Regulation]],$C$7:$C$510,$L183)&gt;0,0,MROUND(IFERROR(V183*($P183/$AI183),0),100))</f>
        <v>1900</v>
      </c>
      <c r="AP183" s="1">
        <f ca="1">IF(COUNTIFS($J$7:$J$510,Table7[[#Headers],[Renewables Market Intelligence]],$C$7:$C$510,$L183)&gt;0,0,MROUND(IFERROR(W183*($P183/$AI183),0),100))</f>
        <v>0</v>
      </c>
      <c r="AQ183" s="1">
        <f ca="1">IF(COUNTIFS($J$7:$J$510,Table7[[#Headers],[Renewables RTM Analysis]],$C$7:$C$510,$L183)&gt;0,0,MROUND(IFERROR(X183*($P183/$AI183),0),100))</f>
        <v>700</v>
      </c>
      <c r="AR183" s="1">
        <f ca="1">IF(COUNTIFS($J$7:$J$510,Table7[[#Headers],[Renewables Forecasts]],$C$7:$C$510,$L183)&gt;0,0,MROUND(IFERROR(Y183*($P183/$AI183),0),100))</f>
        <v>0</v>
      </c>
      <c r="AS183" s="1">
        <f ca="1">IF(COUNTIFS($J$7:$J$510,Table7[[#Headers],[Renewables Regulation]],$C$7:$C$510,$L183)&gt;0,0,MROUND(IFERROR(Z183*($P183/$AI183),0),100))</f>
        <v>0</v>
      </c>
      <c r="AT183" s="1">
        <f ca="1">IF(COUNTIFS($J$7:$J$510,Table7[[#Headers],[Flexibility Market Intelligence]],$C$7:$C$510,$L183)&gt;0,0,MROUND(IFERROR(AA183*($P183/$AI183),0),100))</f>
        <v>1100</v>
      </c>
      <c r="AU183" s="1">
        <f ca="1">IF(COUNTIFS($J$7:$J$510,Table7[[#Headers],[Flexibility RTM Analysis]],$C$7:$C$510,$L183)&gt;0,0,MROUND(IFERROR(AB183*($P183/$AI183),0),100))</f>
        <v>400</v>
      </c>
      <c r="AV183" s="1">
        <f ca="1">IF(COUNTIFS($J$7:$J$510,Table7[[#Headers],[Flexibility Forecasts]],$C$7:$C$510,$L183)&gt;0,0,MROUND(IFERROR(AC183*($P183/$AI183),0),100))</f>
        <v>1500</v>
      </c>
      <c r="AW183" s="1">
        <f ca="1">IF(COUNTIFS($J$7:$J$510,Table7[[#Headers],[Flexibility Regulation]],$C$7:$C$510,$L183)&gt;0,0,MROUND(IFERROR(AD183*($P183/$AI183),0),100))</f>
        <v>0</v>
      </c>
      <c r="AX183" s="1">
        <f ca="1">IF(COUNTIFS($J$7:$J$510,Table7[[#Headers],[Business Energy Essentials]],$C$7:$C$510,$L183)&gt;0,0,MROUND(IFERROR(AE183*($P183/$AI183),0),100))</f>
        <v>0</v>
      </c>
      <c r="AY183" s="1">
        <f ca="1">IF(COUNTIFS($J$7:$J$510,Table7[[#Headers],[Energy User RTM Analysis]],$C$7:$C$510,$L183)&gt;0,0,MROUND(IFERROR(AF183*($P183/$AI183),0),100))</f>
        <v>0</v>
      </c>
      <c r="AZ183" s="1">
        <f ca="1">IF(COUNTIFS($J$7:$J$510,Table7[[#Headers],[Energy User Forecasts]],$C$7:$C$510,$L183)&gt;0,0,MROUND(IFERROR(AG183*($P183/$AI183),0),100))</f>
        <v>0</v>
      </c>
      <c r="BA183" s="1">
        <f ca="1">IF(COUNTIFS($J$7:$J$510,Table7[[#Headers],[Energy User Regulation]],$C$7:$C$510,$L183)&gt;0,0,MROUND(IFERROR(AH183*($P183/$AI183),0),100))</f>
        <v>0</v>
      </c>
    </row>
    <row r="184" spans="2:53">
      <c r="B184" s="38" t="s">
        <v>2169</v>
      </c>
      <c r="C184" s="38" t="s">
        <v>861</v>
      </c>
      <c r="D184" s="38" t="s">
        <v>2133</v>
      </c>
      <c r="E184" s="38" t="s">
        <v>1828</v>
      </c>
      <c r="F184" s="63">
        <v>8310</v>
      </c>
      <c r="G184" s="38"/>
      <c r="H184" s="38" t="s">
        <v>2031</v>
      </c>
      <c r="I184" s="38" t="s">
        <v>2031</v>
      </c>
      <c r="J184" s="38" t="s">
        <v>21</v>
      </c>
      <c r="L184" s="1" t="str">
        <v>Squire Patton Boggs (UK) LLP</v>
      </c>
      <c r="M184" s="1" t="str">
        <f t="shared" si="12"/>
        <v>Other</v>
      </c>
      <c r="N184" s="109">
        <f t="shared" si="13"/>
        <v>7500</v>
      </c>
      <c r="O184" s="1">
        <f>IFERROR(IF(INDEX(Table3[[Total Spend]:[Total Spend]],MATCH(L184,Table3[[Company name]:[Company name]],0))&gt;N184,INDEX(Table3[[Total Spend]:[Total Spend]],MATCH(L184,Table3[[Company name]:[Company name]])),N184),50000)</f>
        <v>10000</v>
      </c>
      <c r="P184" s="109">
        <f t="shared" si="14"/>
        <v>2500</v>
      </c>
      <c r="Q184" s="103">
        <f t="shared" si="15"/>
        <v>0.75</v>
      </c>
      <c r="R184" s="1">
        <f ca="1">IFERROR(INDEX(INDIRECT("Table3[Column"&amp;R$9&amp;"]"),MATCH($L184,Table3[[Company name]:[Company name]],0)),0)</f>
        <v>10800</v>
      </c>
      <c r="S184" s="1">
        <f ca="1">IFERROR(INDEX(INDIRECT("Table3[Column"&amp;S$9&amp;"]"),MATCH($L184,Table3[[Company name]:[Company name]],0)),0)</f>
        <v>0</v>
      </c>
      <c r="T184" s="1">
        <f ca="1">IFERROR(INDEX(INDIRECT("Table3[Column"&amp;T$9&amp;"]"),MATCH($L184,Table3[[Company name]:[Company name]],0)),0)</f>
        <v>0</v>
      </c>
      <c r="U184" s="1">
        <f ca="1">IFERROR(INDEX(INDIRECT("Table3[Column"&amp;U$9&amp;"]"),MATCH($L184,Table3[[Company name]:[Company name]],0)),0)</f>
        <v>0</v>
      </c>
      <c r="V184" s="1">
        <f ca="1">IFERROR(INDEX(INDIRECT("Table3[Column"&amp;V$9&amp;"]"),MATCH($L184,Table3[[Company name]:[Company name]],0)),0)</f>
        <v>0</v>
      </c>
      <c r="W184" s="1">
        <f ca="1">IFERROR(INDEX(INDIRECT("Table3[Column"&amp;W$9&amp;"]"),MATCH($L184,Table3[[Company name]:[Company name]],0)),0)</f>
        <v>0</v>
      </c>
      <c r="X184" s="1">
        <f ca="1">IFERROR(INDEX(INDIRECT("Table3[Column"&amp;X$9&amp;"]"),MATCH($L184,Table3[[Company name]:[Company name]],0)),0)</f>
        <v>0</v>
      </c>
      <c r="Y184" s="1">
        <f ca="1">IFERROR(INDEX(INDIRECT("Table3[Column"&amp;Y$9&amp;"]"),MATCH($L184,Table3[[Company name]:[Company name]],0)),0)</f>
        <v>0</v>
      </c>
      <c r="Z184" s="1">
        <f ca="1">IFERROR(INDEX(INDIRECT("Table3[Column"&amp;Z$9&amp;"]"),MATCH($L184,Table3[[Company name]:[Company name]],0)),0)</f>
        <v>0</v>
      </c>
      <c r="AA184" s="1">
        <f ca="1">IFERROR(INDEX(INDIRECT("Table3[Column"&amp;AA$9&amp;"]"),MATCH($L184,Table3[[Company name]:[Company name]],0)),0)</f>
        <v>0</v>
      </c>
      <c r="AB184" s="1">
        <f ca="1">IFERROR(INDEX(INDIRECT("Table3[Column"&amp;AB$9&amp;"]"),MATCH($L184,Table3[[Company name]:[Company name]],0)),0)</f>
        <v>0</v>
      </c>
      <c r="AC184" s="1">
        <f ca="1">IFERROR(INDEX(INDIRECT("Table3[Column"&amp;AC$9&amp;"]"),MATCH($L184,Table3[[Company name]:[Company name]],0)),0)</f>
        <v>0</v>
      </c>
      <c r="AD184" s="1">
        <f ca="1">IFERROR(INDEX(INDIRECT("Table3[Column"&amp;AD$9&amp;"]"),MATCH($L184,Table3[[Company name]:[Company name]],0)),0)</f>
        <v>0</v>
      </c>
      <c r="AE184" s="1">
        <f ca="1">IFERROR(INDEX(INDIRECT("Table3[Column"&amp;AE$9&amp;"]"),MATCH($L184,Table3[[Company name]:[Company name]],0)),0)</f>
        <v>0</v>
      </c>
      <c r="AF184" s="1">
        <f ca="1">IFERROR(INDEX(INDIRECT("Table3[Column"&amp;AF$9&amp;"]"),MATCH($L184,Table3[[Company name]:[Company name]],0)),0)</f>
        <v>0</v>
      </c>
      <c r="AG184" s="1">
        <f ca="1">IFERROR(INDEX(INDIRECT("Table3[Column"&amp;AG$9&amp;"]"),MATCH($L184,Table3[[Company name]:[Company name]],0)),0)</f>
        <v>0</v>
      </c>
      <c r="AH184" s="1">
        <f ca="1">IFERROR(INDEX(INDIRECT("Table3[Column"&amp;AH$9&amp;"]"),MATCH($L184,Table3[[Company name]:[Company name]],0)),0)</f>
        <v>0</v>
      </c>
      <c r="AI184" s="1">
        <f t="shared" ca="1" si="16"/>
        <v>10800</v>
      </c>
      <c r="AK184" s="1">
        <f>IF(COUNTIFS($J$7:$J$510,Table7[[#Headers],[Industry Essentials]],$C$7:$C$510,$L184)&gt;0,0,MROUND(R184,100))</f>
        <v>0</v>
      </c>
      <c r="AL184" s="1">
        <f ca="1">IF(COUNTIFS($J$7:$J$510,Table7[[#Headers],[Energy Supply Market Intelligence]],$C$7:$C$510,$L184)&gt;0,0,MROUND(IFERROR(S184*($P184/$AI184),0),100))</f>
        <v>0</v>
      </c>
      <c r="AM184" s="1">
        <f ca="1">IF(COUNTIFS($J$7:$J$510,Table7[[#Headers],[Energy Supply RTM Analysis]],$C$7:$C$510,$L184)&gt;0,0,MROUND(IFERROR(T184*($P184/$AI184),0),100))</f>
        <v>0</v>
      </c>
      <c r="AN184" s="1">
        <f ca="1">IF(COUNTIFS($J$7:$J$510,Table7[[#Headers],[Energy Supply Forecasts]],$C$7:$C$510,$L184)&gt;0,0,MROUND(IFERROR(U184*($P184/$AI184),0),100))</f>
        <v>0</v>
      </c>
      <c r="AO184" s="1">
        <f ca="1">IF(COUNTIFS($J$7:$J$510,Table7[[#Headers],[Energy Supply Regulation]],$C$7:$C$510,$L184)&gt;0,0,MROUND(IFERROR(V184*($P184/$AI184),0),100))</f>
        <v>0</v>
      </c>
      <c r="AP184" s="1">
        <f ca="1">IF(COUNTIFS($J$7:$J$510,Table7[[#Headers],[Renewables Market Intelligence]],$C$7:$C$510,$L184)&gt;0,0,MROUND(IFERROR(W184*($P184/$AI184),0),100))</f>
        <v>0</v>
      </c>
      <c r="AQ184" s="1">
        <f ca="1">IF(COUNTIFS($J$7:$J$510,Table7[[#Headers],[Renewables RTM Analysis]],$C$7:$C$510,$L184)&gt;0,0,MROUND(IFERROR(X184*($P184/$AI184),0),100))</f>
        <v>0</v>
      </c>
      <c r="AR184" s="1">
        <f ca="1">IF(COUNTIFS($J$7:$J$510,Table7[[#Headers],[Renewables Forecasts]],$C$7:$C$510,$L184)&gt;0,0,MROUND(IFERROR(Y184*($P184/$AI184),0),100))</f>
        <v>0</v>
      </c>
      <c r="AS184" s="1">
        <f ca="1">IF(COUNTIFS($J$7:$J$510,Table7[[#Headers],[Renewables Regulation]],$C$7:$C$510,$L184)&gt;0,0,MROUND(IFERROR(Z184*($P184/$AI184),0),100))</f>
        <v>0</v>
      </c>
      <c r="AT184" s="1">
        <f ca="1">IF(COUNTIFS($J$7:$J$510,Table7[[#Headers],[Flexibility Market Intelligence]],$C$7:$C$510,$L184)&gt;0,0,MROUND(IFERROR(AA184*($P184/$AI184),0),100))</f>
        <v>0</v>
      </c>
      <c r="AU184" s="1">
        <f ca="1">IF(COUNTIFS($J$7:$J$510,Table7[[#Headers],[Flexibility RTM Analysis]],$C$7:$C$510,$L184)&gt;0,0,MROUND(IFERROR(AB184*($P184/$AI184),0),100))</f>
        <v>0</v>
      </c>
      <c r="AV184" s="1">
        <f ca="1">IF(COUNTIFS($J$7:$J$510,Table7[[#Headers],[Flexibility Forecasts]],$C$7:$C$510,$L184)&gt;0,0,MROUND(IFERROR(AC184*($P184/$AI184),0),100))</f>
        <v>0</v>
      </c>
      <c r="AW184" s="1">
        <f ca="1">IF(COUNTIFS($J$7:$J$510,Table7[[#Headers],[Flexibility Regulation]],$C$7:$C$510,$L184)&gt;0,0,MROUND(IFERROR(AD184*($P184/$AI184),0),100))</f>
        <v>0</v>
      </c>
      <c r="AX184" s="1">
        <f ca="1">IF(COUNTIFS($J$7:$J$510,Table7[[#Headers],[Business Energy Essentials]],$C$7:$C$510,$L184)&gt;0,0,MROUND(IFERROR(AE184*($P184/$AI184),0),100))</f>
        <v>0</v>
      </c>
      <c r="AY184" s="1">
        <f ca="1">IF(COUNTIFS($J$7:$J$510,Table7[[#Headers],[Energy User RTM Analysis]],$C$7:$C$510,$L184)&gt;0,0,MROUND(IFERROR(AF184*($P184/$AI184),0),100))</f>
        <v>0</v>
      </c>
      <c r="AZ184" s="1">
        <f ca="1">IF(COUNTIFS($J$7:$J$510,Table7[[#Headers],[Energy User Forecasts]],$C$7:$C$510,$L184)&gt;0,0,MROUND(IFERROR(AG184*($P184/$AI184),0),100))</f>
        <v>0</v>
      </c>
      <c r="BA184" s="1">
        <f ca="1">IF(COUNTIFS($J$7:$J$510,Table7[[#Headers],[Energy User Regulation]],$C$7:$C$510,$L184)&gt;0,0,MROUND(IFERROR(AH184*($P184/$AI184),0),100))</f>
        <v>0</v>
      </c>
    </row>
    <row r="185" spans="2:53">
      <c r="B185" s="38" t="s">
        <v>2169</v>
      </c>
      <c r="C185" s="38" t="s">
        <v>861</v>
      </c>
      <c r="D185" s="38" t="s">
        <v>2044</v>
      </c>
      <c r="E185" s="38" t="s">
        <v>1912</v>
      </c>
      <c r="F185" s="63">
        <v>26250</v>
      </c>
      <c r="G185" s="38"/>
      <c r="H185" s="38" t="s">
        <v>2031</v>
      </c>
      <c r="I185" s="38" t="s">
        <v>2031</v>
      </c>
      <c r="J185" s="38" t="s">
        <v>24</v>
      </c>
      <c r="L185" s="1" t="str">
        <v>SSE Plc</v>
      </c>
      <c r="M185" s="1" t="str">
        <f t="shared" si="12"/>
        <v>Other</v>
      </c>
      <c r="N185" s="109">
        <f t="shared" si="13"/>
        <v>123491.19999999998</v>
      </c>
      <c r="O185" s="1">
        <f>IFERROR(IF(INDEX(Table3[[Total Spend]:[Total Spend]],MATCH(L185,Table3[[Company name]:[Company name]],0))&gt;N185,INDEX(Table3[[Total Spend]:[Total Spend]],MATCH(L185,Table3[[Company name]:[Company name]])),N185),50000)</f>
        <v>10000</v>
      </c>
      <c r="P185" s="109">
        <f t="shared" si="14"/>
        <v>123491.19999999998</v>
      </c>
      <c r="Q185" s="103">
        <f t="shared" si="15"/>
        <v>1</v>
      </c>
      <c r="R185" s="1">
        <f ca="1">IFERROR(INDEX(INDIRECT("Table3[Column"&amp;R$9&amp;"]"),MATCH($L185,Table3[[Company name]:[Company name]],0)),0)</f>
        <v>10800</v>
      </c>
      <c r="S185" s="1">
        <f ca="1">IFERROR(INDEX(INDIRECT("Table3[Column"&amp;S$9&amp;"]"),MATCH($L185,Table3[[Company name]:[Company name]],0)),0)</f>
        <v>0</v>
      </c>
      <c r="T185" s="1">
        <f ca="1">IFERROR(INDEX(INDIRECT("Table3[Column"&amp;T$9&amp;"]"),MATCH($L185,Table3[[Company name]:[Company name]],0)),0)</f>
        <v>0</v>
      </c>
      <c r="U185" s="1">
        <f ca="1">IFERROR(INDEX(INDIRECT("Table3[Column"&amp;U$9&amp;"]"),MATCH($L185,Table3[[Company name]:[Company name]],0)),0)</f>
        <v>0</v>
      </c>
      <c r="V185" s="1">
        <f ca="1">IFERROR(INDEX(INDIRECT("Table3[Column"&amp;V$9&amp;"]"),MATCH($L185,Table3[[Company name]:[Company name]],0)),0)</f>
        <v>0</v>
      </c>
      <c r="W185" s="1">
        <f ca="1">IFERROR(INDEX(INDIRECT("Table3[Column"&amp;W$9&amp;"]"),MATCH($L185,Table3[[Company name]:[Company name]],0)),0)</f>
        <v>23400</v>
      </c>
      <c r="X185" s="1">
        <f ca="1">IFERROR(INDEX(INDIRECT("Table3[Column"&amp;X$9&amp;"]"),MATCH($L185,Table3[[Company name]:[Company name]],0)),0)</f>
        <v>20700</v>
      </c>
      <c r="Y185" s="1">
        <f ca="1">IFERROR(INDEX(INDIRECT("Table3[Column"&amp;Y$9&amp;"]"),MATCH($L185,Table3[[Company name]:[Company name]],0)),0)</f>
        <v>59400</v>
      </c>
      <c r="Z185" s="1">
        <f ca="1">IFERROR(INDEX(INDIRECT("Table3[Column"&amp;Z$9&amp;"]"),MATCH($L185,Table3[[Company name]:[Company name]],0)),0)</f>
        <v>26100</v>
      </c>
      <c r="AA185" s="1">
        <f ca="1">IFERROR(INDEX(INDIRECT("Table3[Column"&amp;AA$9&amp;"]"),MATCH($L185,Table3[[Company name]:[Company name]],0)),0)</f>
        <v>0</v>
      </c>
      <c r="AB185" s="1">
        <f ca="1">IFERROR(INDEX(INDIRECT("Table3[Column"&amp;AB$9&amp;"]"),MATCH($L185,Table3[[Company name]:[Company name]],0)),0)</f>
        <v>0</v>
      </c>
      <c r="AC185" s="1">
        <f ca="1">IFERROR(INDEX(INDIRECT("Table3[Column"&amp;AC$9&amp;"]"),MATCH($L185,Table3[[Company name]:[Company name]],0)),0)</f>
        <v>0</v>
      </c>
      <c r="AD185" s="1">
        <f ca="1">IFERROR(INDEX(INDIRECT("Table3[Column"&amp;AD$9&amp;"]"),MATCH($L185,Table3[[Company name]:[Company name]],0)),0)</f>
        <v>0</v>
      </c>
      <c r="AE185" s="1">
        <f ca="1">IFERROR(INDEX(INDIRECT("Table3[Column"&amp;AE$9&amp;"]"),MATCH($L185,Table3[[Company name]:[Company name]],0)),0)</f>
        <v>0</v>
      </c>
      <c r="AF185" s="1">
        <f ca="1">IFERROR(INDEX(INDIRECT("Table3[Column"&amp;AF$9&amp;"]"),MATCH($L185,Table3[[Company name]:[Company name]],0)),0)</f>
        <v>0</v>
      </c>
      <c r="AG185" s="1">
        <f ca="1">IFERROR(INDEX(INDIRECT("Table3[Column"&amp;AG$9&amp;"]"),MATCH($L185,Table3[[Company name]:[Company name]],0)),0)</f>
        <v>0</v>
      </c>
      <c r="AH185" s="1">
        <f ca="1">IFERROR(INDEX(INDIRECT("Table3[Column"&amp;AH$9&amp;"]"),MATCH($L185,Table3[[Company name]:[Company name]],0)),0)</f>
        <v>0</v>
      </c>
      <c r="AI185" s="1">
        <f t="shared" ca="1" si="16"/>
        <v>140400</v>
      </c>
      <c r="AK185" s="1">
        <f>IF(COUNTIFS($J$7:$J$510,Table7[[#Headers],[Industry Essentials]],$C$7:$C$510,$L185)&gt;0,0,MROUND(R185,100))</f>
        <v>0</v>
      </c>
      <c r="AL185" s="1">
        <f>IF(COUNTIFS($J$7:$J$510,Table7[[#Headers],[Energy Supply Market Intelligence]],$C$7:$C$510,$L185)&gt;0,0,MROUND(IFERROR(S185*($P185/$AI185),0),100))</f>
        <v>0</v>
      </c>
      <c r="AM185" s="1">
        <f ca="1">IF(COUNTIFS($J$7:$J$510,Table7[[#Headers],[Energy Supply RTM Analysis]],$C$7:$C$510,$L185)&gt;0,0,MROUND(IFERROR(T185*($P185/$AI185),0),100))</f>
        <v>0</v>
      </c>
      <c r="AN185" s="1">
        <f ca="1">IF(COUNTIFS($J$7:$J$510,Table7[[#Headers],[Energy Supply Forecasts]],$C$7:$C$510,$L185)&gt;0,0,MROUND(IFERROR(U185*($P185/$AI185),0),100))</f>
        <v>0</v>
      </c>
      <c r="AO185" s="1">
        <f ca="1">IF(COUNTIFS($J$7:$J$510,Table7[[#Headers],[Energy Supply Regulation]],$C$7:$C$510,$L185)&gt;0,0,MROUND(IFERROR(V185*($P185/$AI185),0),100))</f>
        <v>0</v>
      </c>
      <c r="AP185" s="1">
        <f>IF(COUNTIFS($J$7:$J$510,Table7[[#Headers],[Renewables Market Intelligence]],$C$7:$C$510,$L185)&gt;0,0,MROUND(IFERROR(W185*($P185/$AI185),0),100))</f>
        <v>0</v>
      </c>
      <c r="AQ185" s="1">
        <f ca="1">IF(COUNTIFS($J$7:$J$510,Table7[[#Headers],[Renewables RTM Analysis]],$C$7:$C$510,$L185)&gt;0,0,MROUND(IFERROR(X185*($P185/$AI185),0),100))</f>
        <v>18200</v>
      </c>
      <c r="AR185" s="1">
        <f ca="1">IF(COUNTIFS($J$7:$J$510,Table7[[#Headers],[Renewables Forecasts]],$C$7:$C$510,$L185)&gt;0,0,MROUND(IFERROR(Y185*($P185/$AI185),0),100))</f>
        <v>52200</v>
      </c>
      <c r="AS185" s="1">
        <f ca="1">IF(COUNTIFS($J$7:$J$510,Table7[[#Headers],[Renewables Regulation]],$C$7:$C$510,$L185)&gt;0,0,MROUND(IFERROR(Z185*($P185/$AI185),0),100))</f>
        <v>23000</v>
      </c>
      <c r="AT185" s="1">
        <f ca="1">IF(COUNTIFS($J$7:$J$510,Table7[[#Headers],[Flexibility Market Intelligence]],$C$7:$C$510,$L185)&gt;0,0,MROUND(IFERROR(AA185*($P185/$AI185),0),100))</f>
        <v>0</v>
      </c>
      <c r="AU185" s="1">
        <f ca="1">IF(COUNTIFS($J$7:$J$510,Table7[[#Headers],[Flexibility RTM Analysis]],$C$7:$C$510,$L185)&gt;0,0,MROUND(IFERROR(AB185*($P185/$AI185),0),100))</f>
        <v>0</v>
      </c>
      <c r="AV185" s="1">
        <f ca="1">IF(COUNTIFS($J$7:$J$510,Table7[[#Headers],[Flexibility Forecasts]],$C$7:$C$510,$L185)&gt;0,0,MROUND(IFERROR(AC185*($P185/$AI185),0),100))</f>
        <v>0</v>
      </c>
      <c r="AW185" s="1">
        <f ca="1">IF(COUNTIFS($J$7:$J$510,Table7[[#Headers],[Flexibility Regulation]],$C$7:$C$510,$L185)&gt;0,0,MROUND(IFERROR(AD185*($P185/$AI185),0),100))</f>
        <v>0</v>
      </c>
      <c r="AX185" s="1">
        <f ca="1">IF(COUNTIFS($J$7:$J$510,Table7[[#Headers],[Business Energy Essentials]],$C$7:$C$510,$L185)&gt;0,0,MROUND(IFERROR(AE185*($P185/$AI185),0),100))</f>
        <v>0</v>
      </c>
      <c r="AY185" s="1">
        <f ca="1">IF(COUNTIFS($J$7:$J$510,Table7[[#Headers],[Energy User RTM Analysis]],$C$7:$C$510,$L185)&gt;0,0,MROUND(IFERROR(AF185*($P185/$AI185),0),100))</f>
        <v>0</v>
      </c>
      <c r="AZ185" s="1">
        <f ca="1">IF(COUNTIFS($J$7:$J$510,Table7[[#Headers],[Energy User Forecasts]],$C$7:$C$510,$L185)&gt;0,0,MROUND(IFERROR(AG185*($P185/$AI185),0),100))</f>
        <v>0</v>
      </c>
      <c r="BA185" s="1">
        <f ca="1">IF(COUNTIFS($J$7:$J$510,Table7[[#Headers],[Energy User Regulation]],$C$7:$C$510,$L185)&gt;0,0,MROUND(IFERROR(AH185*($P185/$AI185),0),100))</f>
        <v>0</v>
      </c>
    </row>
    <row r="186" spans="2:53">
      <c r="B186" s="38" t="s">
        <v>2169</v>
      </c>
      <c r="C186" s="38" t="s">
        <v>861</v>
      </c>
      <c r="D186" s="38" t="s">
        <v>2086</v>
      </c>
      <c r="E186" s="38" t="s">
        <v>1843</v>
      </c>
      <c r="F186" s="63">
        <v>10060</v>
      </c>
      <c r="G186" s="38"/>
      <c r="H186" s="38" t="s">
        <v>2031</v>
      </c>
      <c r="I186" s="38" t="s">
        <v>2031</v>
      </c>
      <c r="J186" s="38" t="s">
        <v>22</v>
      </c>
      <c r="L186" s="1" t="str">
        <v>Statera Energy Limited</v>
      </c>
      <c r="M186" s="1" t="str">
        <f t="shared" si="12"/>
        <v>Flexibility</v>
      </c>
      <c r="N186" s="109">
        <f t="shared" si="13"/>
        <v>11450</v>
      </c>
      <c r="O186" s="1">
        <f>IFERROR(IF(INDEX(Table3[[Total Spend]:[Total Spend]],MATCH(L186,Table3[[Company name]:[Company name]],0))&gt;N186,INDEX(Table3[[Total Spend]:[Total Spend]],MATCH(L186,Table3[[Company name]:[Company name]])),N186),50000)</f>
        <v>10000</v>
      </c>
      <c r="P186" s="109">
        <f t="shared" si="14"/>
        <v>11450</v>
      </c>
      <c r="Q186" s="103">
        <f t="shared" si="15"/>
        <v>1</v>
      </c>
      <c r="R186" s="1">
        <f ca="1">IFERROR(INDEX(INDIRECT("Table3[Column"&amp;R$9&amp;"]"),MATCH($L186,Table3[[Company name]:[Company name]],0)),0)</f>
        <v>10800</v>
      </c>
      <c r="S186" s="1">
        <f ca="1">IFERROR(INDEX(INDIRECT("Table3[Column"&amp;S$9&amp;"]"),MATCH($L186,Table3[[Company name]:[Company name]],0)),0)</f>
        <v>0</v>
      </c>
      <c r="T186" s="1">
        <f ca="1">IFERROR(INDEX(INDIRECT("Table3[Column"&amp;T$9&amp;"]"),MATCH($L186,Table3[[Company name]:[Company name]],0)),0)</f>
        <v>0</v>
      </c>
      <c r="U186" s="1">
        <f ca="1">IFERROR(INDEX(INDIRECT("Table3[Column"&amp;U$9&amp;"]"),MATCH($L186,Table3[[Company name]:[Company name]],0)),0)</f>
        <v>0</v>
      </c>
      <c r="V186" s="1">
        <f ca="1">IFERROR(INDEX(INDIRECT("Table3[Column"&amp;V$9&amp;"]"),MATCH($L186,Table3[[Company name]:[Company name]],0)),0)</f>
        <v>0</v>
      </c>
      <c r="W186" s="1">
        <f ca="1">IFERROR(INDEX(INDIRECT("Table3[Column"&amp;W$9&amp;"]"),MATCH($L186,Table3[[Company name]:[Company name]],0)),0)</f>
        <v>0</v>
      </c>
      <c r="X186" s="1">
        <f ca="1">IFERROR(INDEX(INDIRECT("Table3[Column"&amp;X$9&amp;"]"),MATCH($L186,Table3[[Company name]:[Company name]],0)),0)</f>
        <v>0</v>
      </c>
      <c r="Y186" s="1">
        <f ca="1">IFERROR(INDEX(INDIRECT("Table3[Column"&amp;Y$9&amp;"]"),MATCH($L186,Table3[[Company name]:[Company name]],0)),0)</f>
        <v>0</v>
      </c>
      <c r="Z186" s="1">
        <f ca="1">IFERROR(INDEX(INDIRECT("Table3[Column"&amp;Z$9&amp;"]"),MATCH($L186,Table3[[Company name]:[Company name]],0)),0)</f>
        <v>0</v>
      </c>
      <c r="AA186" s="1">
        <f ca="1">IFERROR(INDEX(INDIRECT("Table3[Column"&amp;AA$9&amp;"]"),MATCH($L186,Table3[[Company name]:[Company name]],0)),0)</f>
        <v>29700</v>
      </c>
      <c r="AB186" s="1">
        <f ca="1">IFERROR(INDEX(INDIRECT("Table3[Column"&amp;AB$9&amp;"]"),MATCH($L186,Table3[[Company name]:[Company name]],0)),0)</f>
        <v>10800</v>
      </c>
      <c r="AC186" s="1">
        <f ca="1">IFERROR(INDEX(INDIRECT("Table3[Column"&amp;AC$9&amp;"]"),MATCH($L186,Table3[[Company name]:[Company name]],0)),0)</f>
        <v>44100</v>
      </c>
      <c r="AD186" s="1">
        <f ca="1">IFERROR(INDEX(INDIRECT("Table3[Column"&amp;AD$9&amp;"]"),MATCH($L186,Table3[[Company name]:[Company name]],0)),0)</f>
        <v>36000</v>
      </c>
      <c r="AE186" s="1">
        <f ca="1">IFERROR(INDEX(INDIRECT("Table3[Column"&amp;AE$9&amp;"]"),MATCH($L186,Table3[[Company name]:[Company name]],0)),0)</f>
        <v>0</v>
      </c>
      <c r="AF186" s="1">
        <f ca="1">IFERROR(INDEX(INDIRECT("Table3[Column"&amp;AF$9&amp;"]"),MATCH($L186,Table3[[Company name]:[Company name]],0)),0)</f>
        <v>0</v>
      </c>
      <c r="AG186" s="1">
        <f ca="1">IFERROR(INDEX(INDIRECT("Table3[Column"&amp;AG$9&amp;"]"),MATCH($L186,Table3[[Company name]:[Company name]],0)),0)</f>
        <v>0</v>
      </c>
      <c r="AH186" s="1">
        <f ca="1">IFERROR(INDEX(INDIRECT("Table3[Column"&amp;AH$9&amp;"]"),MATCH($L186,Table3[[Company name]:[Company name]],0)),0)</f>
        <v>0</v>
      </c>
      <c r="AI186" s="1">
        <f t="shared" ca="1" si="16"/>
        <v>131400</v>
      </c>
      <c r="AK186" s="1">
        <f>IF(COUNTIFS($J$7:$J$510,Table7[[#Headers],[Industry Essentials]],$C$7:$C$510,$L186)&gt;0,0,MROUND(R186,100))</f>
        <v>0</v>
      </c>
      <c r="AL186" s="1">
        <f ca="1">IF(COUNTIFS($J$7:$J$510,Table7[[#Headers],[Energy Supply Market Intelligence]],$C$7:$C$510,$L186)&gt;0,0,MROUND(IFERROR(S186*($P186/$AI186),0),100))</f>
        <v>0</v>
      </c>
      <c r="AM186" s="1">
        <f ca="1">IF(COUNTIFS($J$7:$J$510,Table7[[#Headers],[Energy Supply RTM Analysis]],$C$7:$C$510,$L186)&gt;0,0,MROUND(IFERROR(T186*($P186/$AI186),0),100))</f>
        <v>0</v>
      </c>
      <c r="AN186" s="1">
        <f ca="1">IF(COUNTIFS($J$7:$J$510,Table7[[#Headers],[Energy Supply Forecasts]],$C$7:$C$510,$L186)&gt;0,0,MROUND(IFERROR(U186*($P186/$AI186),0),100))</f>
        <v>0</v>
      </c>
      <c r="AO186" s="1">
        <f ca="1">IF(COUNTIFS($J$7:$J$510,Table7[[#Headers],[Energy Supply Regulation]],$C$7:$C$510,$L186)&gt;0,0,MROUND(IFERROR(V186*($P186/$AI186),0),100))</f>
        <v>0</v>
      </c>
      <c r="AP186" s="1">
        <f ca="1">IF(COUNTIFS($J$7:$J$510,Table7[[#Headers],[Renewables Market Intelligence]],$C$7:$C$510,$L186)&gt;0,0,MROUND(IFERROR(W186*($P186/$AI186),0),100))</f>
        <v>0</v>
      </c>
      <c r="AQ186" s="1">
        <f ca="1">IF(COUNTIFS($J$7:$J$510,Table7[[#Headers],[Renewables RTM Analysis]],$C$7:$C$510,$L186)&gt;0,0,MROUND(IFERROR(X186*($P186/$AI186),0),100))</f>
        <v>0</v>
      </c>
      <c r="AR186" s="1">
        <f ca="1">IF(COUNTIFS($J$7:$J$510,Table7[[#Headers],[Renewables Forecasts]],$C$7:$C$510,$L186)&gt;0,0,MROUND(IFERROR(Y186*($P186/$AI186),0),100))</f>
        <v>0</v>
      </c>
      <c r="AS186" s="1">
        <f ca="1">IF(COUNTIFS($J$7:$J$510,Table7[[#Headers],[Renewables Regulation]],$C$7:$C$510,$L186)&gt;0,0,MROUND(IFERROR(Z186*($P186/$AI186),0),100))</f>
        <v>0</v>
      </c>
      <c r="AT186" s="1">
        <f>IF(COUNTIFS($J$7:$J$510,Table7[[#Headers],[Flexibility Market Intelligence]],$C$7:$C$510,$L186)&gt;0,0,MROUND(IFERROR(AA186*($P186/$AI186),0),100))</f>
        <v>0</v>
      </c>
      <c r="AU186" s="1">
        <f ca="1">IF(COUNTIFS($J$7:$J$510,Table7[[#Headers],[Flexibility RTM Analysis]],$C$7:$C$510,$L186)&gt;0,0,MROUND(IFERROR(AB186*($P186/$AI186),0),100))</f>
        <v>900</v>
      </c>
      <c r="AV186" s="1">
        <f ca="1">IF(COUNTIFS($J$7:$J$510,Table7[[#Headers],[Flexibility Forecasts]],$C$7:$C$510,$L186)&gt;0,0,MROUND(IFERROR(AC186*($P186/$AI186),0),100))</f>
        <v>3800</v>
      </c>
      <c r="AW186" s="1">
        <f ca="1">IF(COUNTIFS($J$7:$J$510,Table7[[#Headers],[Flexibility Regulation]],$C$7:$C$510,$L186)&gt;0,0,MROUND(IFERROR(AD186*($P186/$AI186),0),100))</f>
        <v>3100</v>
      </c>
      <c r="AX186" s="1">
        <f ca="1">IF(COUNTIFS($J$7:$J$510,Table7[[#Headers],[Business Energy Essentials]],$C$7:$C$510,$L186)&gt;0,0,MROUND(IFERROR(AE186*($P186/$AI186),0),100))</f>
        <v>0</v>
      </c>
      <c r="AY186" s="1">
        <f ca="1">IF(COUNTIFS($J$7:$J$510,Table7[[#Headers],[Energy User RTM Analysis]],$C$7:$C$510,$L186)&gt;0,0,MROUND(IFERROR(AF186*($P186/$AI186),0),100))</f>
        <v>0</v>
      </c>
      <c r="AZ186" s="1">
        <f ca="1">IF(COUNTIFS($J$7:$J$510,Table7[[#Headers],[Energy User Forecasts]],$C$7:$C$510,$L186)&gt;0,0,MROUND(IFERROR(AG186*($P186/$AI186),0),100))</f>
        <v>0</v>
      </c>
      <c r="BA186" s="1">
        <f ca="1">IF(COUNTIFS($J$7:$J$510,Table7[[#Headers],[Energy User Regulation]],$C$7:$C$510,$L186)&gt;0,0,MROUND(IFERROR(AH186*($P186/$AI186),0),100))</f>
        <v>0</v>
      </c>
    </row>
    <row r="187" spans="2:53">
      <c r="B187" s="38" t="s">
        <v>2170</v>
      </c>
      <c r="C187" s="38" t="s">
        <v>1009</v>
      </c>
      <c r="D187" s="38" t="s">
        <v>2035</v>
      </c>
      <c r="E187" s="38" t="s">
        <v>1855</v>
      </c>
      <c r="F187" s="63">
        <v>1000</v>
      </c>
      <c r="G187" s="38"/>
      <c r="H187" s="38" t="s">
        <v>2031</v>
      </c>
      <c r="I187" s="38" t="s">
        <v>2032</v>
      </c>
      <c r="J187" s="38" t="s">
        <v>20</v>
      </c>
      <c r="L187" s="1" t="str">
        <v>Statkraft UK Ltd</v>
      </c>
      <c r="M187" s="1" t="str">
        <f t="shared" si="12"/>
        <v>Renewables</v>
      </c>
      <c r="N187" s="109">
        <f t="shared" si="13"/>
        <v>82721.826666666675</v>
      </c>
      <c r="O187" s="1">
        <f>IFERROR(IF(INDEX(Table3[[Total Spend]:[Total Spend]],MATCH(L187,Table3[[Company name]:[Company name]],0))&gt;N187,INDEX(Table3[[Total Spend]:[Total Spend]],MATCH(L187,Table3[[Company name]:[Company name]])),N187),50000)</f>
        <v>10000</v>
      </c>
      <c r="P187" s="109">
        <f t="shared" si="14"/>
        <v>82721.826666666675</v>
      </c>
      <c r="Q187" s="103">
        <f t="shared" si="15"/>
        <v>1</v>
      </c>
      <c r="R187" s="1">
        <f ca="1">IFERROR(INDEX(INDIRECT("Table3[Column"&amp;R$9&amp;"]"),MATCH($L187,Table3[[Company name]:[Company name]],0)),0)</f>
        <v>10800</v>
      </c>
      <c r="S187" s="1">
        <f ca="1">IFERROR(INDEX(INDIRECT("Table3[Column"&amp;S$9&amp;"]"),MATCH($L187,Table3[[Company name]:[Company name]],0)),0)</f>
        <v>43200</v>
      </c>
      <c r="T187" s="1">
        <f ca="1">IFERROR(INDEX(INDIRECT("Table3[Column"&amp;T$9&amp;"]"),MATCH($L187,Table3[[Company name]:[Company name]],0)),0)</f>
        <v>73800</v>
      </c>
      <c r="U187" s="1">
        <f ca="1">IFERROR(INDEX(INDIRECT("Table3[Column"&amp;U$9&amp;"]"),MATCH($L187,Table3[[Company name]:[Company name]],0)),0)</f>
        <v>48600</v>
      </c>
      <c r="V187" s="1">
        <f ca="1">IFERROR(INDEX(INDIRECT("Table3[Column"&amp;V$9&amp;"]"),MATCH($L187,Table3[[Company name]:[Company name]],0)),0)</f>
        <v>55800</v>
      </c>
      <c r="W187" s="1">
        <f ca="1">IFERROR(INDEX(INDIRECT("Table3[Column"&amp;W$9&amp;"]"),MATCH($L187,Table3[[Company name]:[Company name]],0)),0)</f>
        <v>23400</v>
      </c>
      <c r="X187" s="1">
        <f ca="1">IFERROR(INDEX(INDIRECT("Table3[Column"&amp;X$9&amp;"]"),MATCH($L187,Table3[[Company name]:[Company name]],0)),0)</f>
        <v>20700</v>
      </c>
      <c r="Y187" s="1">
        <f ca="1">IFERROR(INDEX(INDIRECT("Table3[Column"&amp;Y$9&amp;"]"),MATCH($L187,Table3[[Company name]:[Company name]],0)),0)</f>
        <v>59400</v>
      </c>
      <c r="Z187" s="1">
        <f ca="1">IFERROR(INDEX(INDIRECT("Table3[Column"&amp;Z$9&amp;"]"),MATCH($L187,Table3[[Company name]:[Company name]],0)),0)</f>
        <v>26100</v>
      </c>
      <c r="AA187" s="1">
        <f ca="1">IFERROR(INDEX(INDIRECT("Table3[Column"&amp;AA$9&amp;"]"),MATCH($L187,Table3[[Company name]:[Company name]],0)),0)</f>
        <v>29700</v>
      </c>
      <c r="AB187" s="1">
        <f ca="1">IFERROR(INDEX(INDIRECT("Table3[Column"&amp;AB$9&amp;"]"),MATCH($L187,Table3[[Company name]:[Company name]],0)),0)</f>
        <v>10800</v>
      </c>
      <c r="AC187" s="1">
        <f ca="1">IFERROR(INDEX(INDIRECT("Table3[Column"&amp;AC$9&amp;"]"),MATCH($L187,Table3[[Company name]:[Company name]],0)),0)</f>
        <v>44100</v>
      </c>
      <c r="AD187" s="1">
        <f ca="1">IFERROR(INDEX(INDIRECT("Table3[Column"&amp;AD$9&amp;"]"),MATCH($L187,Table3[[Company name]:[Company name]],0)),0)</f>
        <v>36000</v>
      </c>
      <c r="AE187" s="1">
        <f ca="1">IFERROR(INDEX(INDIRECT("Table3[Column"&amp;AE$9&amp;"]"),MATCH($L187,Table3[[Company name]:[Company name]],0)),0)</f>
        <v>0</v>
      </c>
      <c r="AF187" s="1">
        <f ca="1">IFERROR(INDEX(INDIRECT("Table3[Column"&amp;AF$9&amp;"]"),MATCH($L187,Table3[[Company name]:[Company name]],0)),0)</f>
        <v>0</v>
      </c>
      <c r="AG187" s="1">
        <f ca="1">IFERROR(INDEX(INDIRECT("Table3[Column"&amp;AG$9&amp;"]"),MATCH($L187,Table3[[Company name]:[Company name]],0)),0)</f>
        <v>0</v>
      </c>
      <c r="AH187" s="1">
        <f ca="1">IFERROR(INDEX(INDIRECT("Table3[Column"&amp;AH$9&amp;"]"),MATCH($L187,Table3[[Company name]:[Company name]],0)),0)</f>
        <v>0</v>
      </c>
      <c r="AI187" s="1">
        <f t="shared" ca="1" si="16"/>
        <v>482400</v>
      </c>
      <c r="AK187" s="1">
        <f>IF(COUNTIFS($J$7:$J$510,Table7[[#Headers],[Industry Essentials]],$C$7:$C$510,$L187)&gt;0,0,MROUND(R187,100))</f>
        <v>0</v>
      </c>
      <c r="AL187" s="1">
        <f ca="1">IF(COUNTIFS($J$7:$J$510,Table7[[#Headers],[Energy Supply Market Intelligence]],$C$7:$C$510,$L187)&gt;0,0,MROUND(IFERROR(S187*($P187/$AI187),0),100))</f>
        <v>7400</v>
      </c>
      <c r="AM187" s="1">
        <f>IF(COUNTIFS($J$7:$J$510,Table7[[#Headers],[Energy Supply RTM Analysis]],$C$7:$C$510,$L187)&gt;0,0,MROUND(IFERROR(T187*($P187/$AI187),0),100))</f>
        <v>0</v>
      </c>
      <c r="AN187" s="1">
        <f>IF(COUNTIFS($J$7:$J$510,Table7[[#Headers],[Energy Supply Forecasts]],$C$7:$C$510,$L187)&gt;0,0,MROUND(IFERROR(U187*($P187/$AI187),0),100))</f>
        <v>0</v>
      </c>
      <c r="AO187" s="1">
        <f>IF(COUNTIFS($J$7:$J$510,Table7[[#Headers],[Energy Supply Regulation]],$C$7:$C$510,$L187)&gt;0,0,MROUND(IFERROR(V187*($P187/$AI187),0),100))</f>
        <v>0</v>
      </c>
      <c r="AP187" s="1">
        <f ca="1">IF(COUNTIFS($J$7:$J$510,Table7[[#Headers],[Renewables Market Intelligence]],$C$7:$C$510,$L187)&gt;0,0,MROUND(IFERROR(W187*($P187/$AI187),0),100))</f>
        <v>4000</v>
      </c>
      <c r="AQ187" s="1">
        <f ca="1">IF(COUNTIFS($J$7:$J$510,Table7[[#Headers],[Renewables RTM Analysis]],$C$7:$C$510,$L187)&gt;0,0,MROUND(IFERROR(X187*($P187/$AI187),0),100))</f>
        <v>3500</v>
      </c>
      <c r="AR187" s="1">
        <f>IF(COUNTIFS($J$7:$J$510,Table7[[#Headers],[Renewables Forecasts]],$C$7:$C$510,$L187)&gt;0,0,MROUND(IFERROR(Y187*($P187/$AI187),0),100))</f>
        <v>0</v>
      </c>
      <c r="AS187" s="1">
        <f ca="1">IF(COUNTIFS($J$7:$J$510,Table7[[#Headers],[Renewables Regulation]],$C$7:$C$510,$L187)&gt;0,0,MROUND(IFERROR(Z187*($P187/$AI187),0),100))</f>
        <v>4500</v>
      </c>
      <c r="AT187" s="1">
        <f>IF(COUNTIFS($J$7:$J$510,Table7[[#Headers],[Flexibility Market Intelligence]],$C$7:$C$510,$L187)&gt;0,0,MROUND(IFERROR(AA187*($P187/$AI187),0),100))</f>
        <v>0</v>
      </c>
      <c r="AU187" s="1">
        <f ca="1">IF(COUNTIFS($J$7:$J$510,Table7[[#Headers],[Flexibility RTM Analysis]],$C$7:$C$510,$L187)&gt;0,0,MROUND(IFERROR(AB187*($P187/$AI187),0),100))</f>
        <v>1900</v>
      </c>
      <c r="AV187" s="1">
        <f ca="1">IF(COUNTIFS($J$7:$J$510,Table7[[#Headers],[Flexibility Forecasts]],$C$7:$C$510,$L187)&gt;0,0,MROUND(IFERROR(AC187*($P187/$AI187),0),100))</f>
        <v>7600</v>
      </c>
      <c r="AW187" s="1">
        <f ca="1">IF(COUNTIFS($J$7:$J$510,Table7[[#Headers],[Flexibility Regulation]],$C$7:$C$510,$L187)&gt;0,0,MROUND(IFERROR(AD187*($P187/$AI187),0),100))</f>
        <v>6200</v>
      </c>
      <c r="AX187" s="1">
        <f ca="1">IF(COUNTIFS($J$7:$J$510,Table7[[#Headers],[Business Energy Essentials]],$C$7:$C$510,$L187)&gt;0,0,MROUND(IFERROR(AE187*($P187/$AI187),0),100))</f>
        <v>0</v>
      </c>
      <c r="AY187" s="1">
        <f ca="1">IF(COUNTIFS($J$7:$J$510,Table7[[#Headers],[Energy User RTM Analysis]],$C$7:$C$510,$L187)&gt;0,0,MROUND(IFERROR(AF187*($P187/$AI187),0),100))</f>
        <v>0</v>
      </c>
      <c r="AZ187" s="1">
        <f ca="1">IF(COUNTIFS($J$7:$J$510,Table7[[#Headers],[Energy User Forecasts]],$C$7:$C$510,$L187)&gt;0,0,MROUND(IFERROR(AG187*($P187/$AI187),0),100))</f>
        <v>0</v>
      </c>
      <c r="BA187" s="1">
        <f ca="1">IF(COUNTIFS($J$7:$J$510,Table7[[#Headers],[Energy User Regulation]],$C$7:$C$510,$L187)&gt;0,0,MROUND(IFERROR(AH187*($P187/$AI187),0),100))</f>
        <v>0</v>
      </c>
    </row>
    <row r="188" spans="2:53">
      <c r="B188" s="38" t="s">
        <v>2171</v>
      </c>
      <c r="C188" s="38" t="s">
        <v>553</v>
      </c>
      <c r="D188" s="38" t="s">
        <v>2081</v>
      </c>
      <c r="E188" s="38" t="s">
        <v>1890</v>
      </c>
      <c r="F188" s="63">
        <v>6500</v>
      </c>
      <c r="G188" s="38"/>
      <c r="H188" s="38" t="s">
        <v>1703</v>
      </c>
      <c r="I188" s="38" t="s">
        <v>1703</v>
      </c>
      <c r="J188" s="38" t="s">
        <v>31</v>
      </c>
      <c r="L188" s="1" t="str">
        <v>STX Commodities BV</v>
      </c>
      <c r="M188" s="1" t="str">
        <f t="shared" si="12"/>
        <v>Renewables</v>
      </c>
      <c r="N188" s="109">
        <f t="shared" si="13"/>
        <v>7150</v>
      </c>
      <c r="O188" s="1">
        <f>IFERROR(IF(INDEX(Table3[[Total Spend]:[Total Spend]],MATCH(L188,Table3[[Company name]:[Company name]],0))&gt;N188,INDEX(Table3[[Total Spend]:[Total Spend]],MATCH(L188,Table3[[Company name]:[Company name]])),N188),50000)</f>
        <v>10000</v>
      </c>
      <c r="P188" s="109">
        <f t="shared" si="14"/>
        <v>2850</v>
      </c>
      <c r="Q188" s="103">
        <f t="shared" si="15"/>
        <v>0.71499999999999997</v>
      </c>
      <c r="R188" s="1">
        <f ca="1">IFERROR(INDEX(INDIRECT("Table3[Column"&amp;R$9&amp;"]"),MATCH($L188,Table3[[Company name]:[Company name]],0)),0)</f>
        <v>8100</v>
      </c>
      <c r="S188" s="1">
        <f ca="1">IFERROR(INDEX(INDIRECT("Table3[Column"&amp;S$9&amp;"]"),MATCH($L188,Table3[[Company name]:[Company name]],0)),0)</f>
        <v>30600</v>
      </c>
      <c r="T188" s="1">
        <f ca="1">IFERROR(INDEX(INDIRECT("Table3[Column"&amp;T$9&amp;"]"),MATCH($L188,Table3[[Company name]:[Company name]],0)),0)</f>
        <v>53100</v>
      </c>
      <c r="U188" s="1">
        <f ca="1">IFERROR(INDEX(INDIRECT("Table3[Column"&amp;U$9&amp;"]"),MATCH($L188,Table3[[Company name]:[Company name]],0)),0)</f>
        <v>34200</v>
      </c>
      <c r="V188" s="1">
        <f ca="1">IFERROR(INDEX(INDIRECT("Table3[Column"&amp;V$9&amp;"]"),MATCH($L188,Table3[[Company name]:[Company name]],0)),0)</f>
        <v>0</v>
      </c>
      <c r="W188" s="1">
        <f ca="1">IFERROR(INDEX(INDIRECT("Table3[Column"&amp;W$9&amp;"]"),MATCH($L188,Table3[[Company name]:[Company name]],0)),0)</f>
        <v>0</v>
      </c>
      <c r="X188" s="1">
        <f ca="1">IFERROR(INDEX(INDIRECT("Table3[Column"&amp;X$9&amp;"]"),MATCH($L188,Table3[[Company name]:[Company name]],0)),0)</f>
        <v>0</v>
      </c>
      <c r="Y188" s="1">
        <f ca="1">IFERROR(INDEX(INDIRECT("Table3[Column"&amp;Y$9&amp;"]"),MATCH($L188,Table3[[Company name]:[Company name]],0)),0)</f>
        <v>0</v>
      </c>
      <c r="Z188" s="1">
        <f ca="1">IFERROR(INDEX(INDIRECT("Table3[Column"&amp;Z$9&amp;"]"),MATCH($L188,Table3[[Company name]:[Company name]],0)),0)</f>
        <v>0</v>
      </c>
      <c r="AA188" s="1">
        <f ca="1">IFERROR(INDEX(INDIRECT("Table3[Column"&amp;AA$9&amp;"]"),MATCH($L188,Table3[[Company name]:[Company name]],0)),0)</f>
        <v>0</v>
      </c>
      <c r="AB188" s="1">
        <f ca="1">IFERROR(INDEX(INDIRECT("Table3[Column"&amp;AB$9&amp;"]"),MATCH($L188,Table3[[Company name]:[Company name]],0)),0)</f>
        <v>0</v>
      </c>
      <c r="AC188" s="1">
        <f ca="1">IFERROR(INDEX(INDIRECT("Table3[Column"&amp;AC$9&amp;"]"),MATCH($L188,Table3[[Company name]:[Company name]],0)),0)</f>
        <v>0</v>
      </c>
      <c r="AD188" s="1">
        <f ca="1">IFERROR(INDEX(INDIRECT("Table3[Column"&amp;AD$9&amp;"]"),MATCH($L188,Table3[[Company name]:[Company name]],0)),0)</f>
        <v>0</v>
      </c>
      <c r="AE188" s="1">
        <f ca="1">IFERROR(INDEX(INDIRECT("Table3[Column"&amp;AE$9&amp;"]"),MATCH($L188,Table3[[Company name]:[Company name]],0)),0)</f>
        <v>0</v>
      </c>
      <c r="AF188" s="1">
        <f ca="1">IFERROR(INDEX(INDIRECT("Table3[Column"&amp;AF$9&amp;"]"),MATCH($L188,Table3[[Company name]:[Company name]],0)),0)</f>
        <v>11250</v>
      </c>
      <c r="AG188" s="1">
        <f ca="1">IFERROR(INDEX(INDIRECT("Table3[Column"&amp;AG$9&amp;"]"),MATCH($L188,Table3[[Company name]:[Company name]],0)),0)</f>
        <v>0</v>
      </c>
      <c r="AH188" s="1">
        <f ca="1">IFERROR(INDEX(INDIRECT("Table3[Column"&amp;AH$9&amp;"]"),MATCH($L188,Table3[[Company name]:[Company name]],0)),0)</f>
        <v>0</v>
      </c>
      <c r="AI188" s="1">
        <f t="shared" ca="1" si="16"/>
        <v>137250</v>
      </c>
      <c r="AK188" s="1">
        <f ca="1">IF(COUNTIFS($J$7:$J$510,Table7[[#Headers],[Industry Essentials]],$C$7:$C$510,$L188)&gt;0,0,MROUND(R188,100))</f>
        <v>8100</v>
      </c>
      <c r="AL188" s="1">
        <f ca="1">IF(COUNTIFS($J$7:$J$510,Table7[[#Headers],[Energy Supply Market Intelligence]],$C$7:$C$510,$L188)&gt;0,0,MROUND(IFERROR(S188*($P188/$AI188),0),100))</f>
        <v>600</v>
      </c>
      <c r="AM188" s="1">
        <f ca="1">IF(COUNTIFS($J$7:$J$510,Table7[[#Headers],[Energy Supply RTM Analysis]],$C$7:$C$510,$L188)&gt;0,0,MROUND(IFERROR(T188*($P188/$AI188),0),100))</f>
        <v>1100</v>
      </c>
      <c r="AN188" s="1">
        <f ca="1">IF(COUNTIFS($J$7:$J$510,Table7[[#Headers],[Energy Supply Forecasts]],$C$7:$C$510,$L188)&gt;0,0,MROUND(IFERROR(U188*($P188/$AI188),0),100))</f>
        <v>700</v>
      </c>
      <c r="AO188" s="1">
        <f ca="1">IF(COUNTIFS($J$7:$J$510,Table7[[#Headers],[Energy Supply Regulation]],$C$7:$C$510,$L188)&gt;0,0,MROUND(IFERROR(V188*($P188/$AI188),0),100))</f>
        <v>0</v>
      </c>
      <c r="AP188" s="1">
        <f ca="1">IF(COUNTIFS($J$7:$J$510,Table7[[#Headers],[Renewables Market Intelligence]],$C$7:$C$510,$L188)&gt;0,0,MROUND(IFERROR(W188*($P188/$AI188),0),100))</f>
        <v>0</v>
      </c>
      <c r="AQ188" s="1">
        <f ca="1">IF(COUNTIFS($J$7:$J$510,Table7[[#Headers],[Renewables RTM Analysis]],$C$7:$C$510,$L188)&gt;0,0,MROUND(IFERROR(X188*($P188/$AI188),0),100))</f>
        <v>0</v>
      </c>
      <c r="AR188" s="1">
        <f>IF(COUNTIFS($J$7:$J$510,Table7[[#Headers],[Renewables Forecasts]],$C$7:$C$510,$L188)&gt;0,0,MROUND(IFERROR(Y188*($P188/$AI188),0),100))</f>
        <v>0</v>
      </c>
      <c r="AS188" s="1">
        <f ca="1">IF(COUNTIFS($J$7:$J$510,Table7[[#Headers],[Renewables Regulation]],$C$7:$C$510,$L188)&gt;0,0,MROUND(IFERROR(Z188*($P188/$AI188),0),100))</f>
        <v>0</v>
      </c>
      <c r="AT188" s="1">
        <f ca="1">IF(COUNTIFS($J$7:$J$510,Table7[[#Headers],[Flexibility Market Intelligence]],$C$7:$C$510,$L188)&gt;0,0,MROUND(IFERROR(AA188*($P188/$AI188),0),100))</f>
        <v>0</v>
      </c>
      <c r="AU188" s="1">
        <f ca="1">IF(COUNTIFS($J$7:$J$510,Table7[[#Headers],[Flexibility RTM Analysis]],$C$7:$C$510,$L188)&gt;0,0,MROUND(IFERROR(AB188*($P188/$AI188),0),100))</f>
        <v>0</v>
      </c>
      <c r="AV188" s="1">
        <f ca="1">IF(COUNTIFS($J$7:$J$510,Table7[[#Headers],[Flexibility Forecasts]],$C$7:$C$510,$L188)&gt;0,0,MROUND(IFERROR(AC188*($P188/$AI188),0),100))</f>
        <v>0</v>
      </c>
      <c r="AW188" s="1">
        <f ca="1">IF(COUNTIFS($J$7:$J$510,Table7[[#Headers],[Flexibility Regulation]],$C$7:$C$510,$L188)&gt;0,0,MROUND(IFERROR(AD188*($P188/$AI188),0),100))</f>
        <v>0</v>
      </c>
      <c r="AX188" s="1">
        <f ca="1">IF(COUNTIFS($J$7:$J$510,Table7[[#Headers],[Business Energy Essentials]],$C$7:$C$510,$L188)&gt;0,0,MROUND(IFERROR(AE188*($P188/$AI188),0),100))</f>
        <v>0</v>
      </c>
      <c r="AY188" s="1">
        <f ca="1">IF(COUNTIFS($J$7:$J$510,Table7[[#Headers],[Energy User RTM Analysis]],$C$7:$C$510,$L188)&gt;0,0,MROUND(IFERROR(AF188*($P188/$AI188),0),100))</f>
        <v>200</v>
      </c>
      <c r="AZ188" s="1">
        <f ca="1">IF(COUNTIFS($J$7:$J$510,Table7[[#Headers],[Energy User Forecasts]],$C$7:$C$510,$L188)&gt;0,0,MROUND(IFERROR(AG188*($P188/$AI188),0),100))</f>
        <v>0</v>
      </c>
      <c r="BA188" s="1">
        <f ca="1">IF(COUNTIFS($J$7:$J$510,Table7[[#Headers],[Energy User Regulation]],$C$7:$C$510,$L188)&gt;0,0,MROUND(IFERROR(AH188*($P188/$AI188),0),100))</f>
        <v>0</v>
      </c>
    </row>
    <row r="189" spans="2:53">
      <c r="B189" s="38" t="s">
        <v>2171</v>
      </c>
      <c r="C189" s="38" t="s">
        <v>553</v>
      </c>
      <c r="D189" s="38" t="s">
        <v>2035</v>
      </c>
      <c r="E189" s="38" t="s">
        <v>1855</v>
      </c>
      <c r="F189" s="63">
        <v>5000</v>
      </c>
      <c r="G189" s="38"/>
      <c r="H189" s="38" t="s">
        <v>1703</v>
      </c>
      <c r="I189" s="38" t="s">
        <v>2032</v>
      </c>
      <c r="J189" s="38" t="s">
        <v>20</v>
      </c>
      <c r="L189" s="1" t="str">
        <v>SUEZ Recycling and Recovery UK Ltd</v>
      </c>
      <c r="M189" s="1" t="str">
        <f t="shared" si="12"/>
        <v>Renewables</v>
      </c>
      <c r="N189" s="109">
        <f t="shared" si="13"/>
        <v>12200</v>
      </c>
      <c r="O189" s="1">
        <f>IFERROR(IF(INDEX(Table3[[Total Spend]:[Total Spend]],MATCH(L189,Table3[[Company name]:[Company name]],0))&gt;N189,INDEX(Table3[[Total Spend]:[Total Spend]],MATCH(L189,Table3[[Company name]:[Company name]])),N189),50000)</f>
        <v>10000</v>
      </c>
      <c r="P189" s="109">
        <f t="shared" si="14"/>
        <v>12200</v>
      </c>
      <c r="Q189" s="103">
        <f t="shared" si="15"/>
        <v>1</v>
      </c>
      <c r="R189" s="1">
        <f ca="1">IFERROR(INDEX(INDIRECT("Table3[Column"&amp;R$9&amp;"]"),MATCH($L189,Table3[[Company name]:[Company name]],0)),0)</f>
        <v>8100</v>
      </c>
      <c r="S189" s="1">
        <f ca="1">IFERROR(INDEX(INDIRECT("Table3[Column"&amp;S$9&amp;"]"),MATCH($L189,Table3[[Company name]:[Company name]],0)),0)</f>
        <v>0</v>
      </c>
      <c r="T189" s="1">
        <f ca="1">IFERROR(INDEX(INDIRECT("Table3[Column"&amp;T$9&amp;"]"),MATCH($L189,Table3[[Company name]:[Company name]],0)),0)</f>
        <v>0</v>
      </c>
      <c r="U189" s="1">
        <f ca="1">IFERROR(INDEX(INDIRECT("Table3[Column"&amp;U$9&amp;"]"),MATCH($L189,Table3[[Company name]:[Company name]],0)),0)</f>
        <v>0</v>
      </c>
      <c r="V189" s="1">
        <f ca="1">IFERROR(INDEX(INDIRECT("Table3[Column"&amp;V$9&amp;"]"),MATCH($L189,Table3[[Company name]:[Company name]],0)),0)</f>
        <v>0</v>
      </c>
      <c r="W189" s="1">
        <f ca="1">IFERROR(INDEX(INDIRECT("Table3[Column"&amp;W$9&amp;"]"),MATCH($L189,Table3[[Company name]:[Company name]],0)),0)</f>
        <v>17100</v>
      </c>
      <c r="X189" s="1">
        <f ca="1">IFERROR(INDEX(INDIRECT("Table3[Column"&amp;X$9&amp;"]"),MATCH($L189,Table3[[Company name]:[Company name]],0)),0)</f>
        <v>15300</v>
      </c>
      <c r="Y189" s="1">
        <f ca="1">IFERROR(INDEX(INDIRECT("Table3[Column"&amp;Y$9&amp;"]"),MATCH($L189,Table3[[Company name]:[Company name]],0)),0)</f>
        <v>42300</v>
      </c>
      <c r="Z189" s="1">
        <f ca="1">IFERROR(INDEX(INDIRECT("Table3[Column"&amp;Z$9&amp;"]"),MATCH($L189,Table3[[Company name]:[Company name]],0)),0)</f>
        <v>18900</v>
      </c>
      <c r="AA189" s="1">
        <f ca="1">IFERROR(INDEX(INDIRECT("Table3[Column"&amp;AA$9&amp;"]"),MATCH($L189,Table3[[Company name]:[Company name]],0)),0)</f>
        <v>0</v>
      </c>
      <c r="AB189" s="1">
        <f ca="1">IFERROR(INDEX(INDIRECT("Table3[Column"&amp;AB$9&amp;"]"),MATCH($L189,Table3[[Company name]:[Company name]],0)),0)</f>
        <v>0</v>
      </c>
      <c r="AC189" s="1">
        <f ca="1">IFERROR(INDEX(INDIRECT("Table3[Column"&amp;AC$9&amp;"]"),MATCH($L189,Table3[[Company name]:[Company name]],0)),0)</f>
        <v>0</v>
      </c>
      <c r="AD189" s="1">
        <f ca="1">IFERROR(INDEX(INDIRECT("Table3[Column"&amp;AD$9&amp;"]"),MATCH($L189,Table3[[Company name]:[Company name]],0)),0)</f>
        <v>0</v>
      </c>
      <c r="AE189" s="1">
        <f ca="1">IFERROR(INDEX(INDIRECT("Table3[Column"&amp;AE$9&amp;"]"),MATCH($L189,Table3[[Company name]:[Company name]],0)),0)</f>
        <v>10800</v>
      </c>
      <c r="AF189" s="1">
        <f ca="1">IFERROR(INDEX(INDIRECT("Table3[Column"&amp;AF$9&amp;"]"),MATCH($L189,Table3[[Company name]:[Company name]],0)),0)</f>
        <v>11250</v>
      </c>
      <c r="AG189" s="1">
        <f ca="1">IFERROR(INDEX(INDIRECT("Table3[Column"&amp;AG$9&amp;"]"),MATCH($L189,Table3[[Company name]:[Company name]],0)),0)</f>
        <v>19800</v>
      </c>
      <c r="AH189" s="1">
        <f ca="1">IFERROR(INDEX(INDIRECT("Table3[Column"&amp;AH$9&amp;"]"),MATCH($L189,Table3[[Company name]:[Company name]],0)),0)</f>
        <v>4500</v>
      </c>
      <c r="AI189" s="1">
        <f t="shared" ca="1" si="16"/>
        <v>148050</v>
      </c>
      <c r="AK189" s="1">
        <f ca="1">IF(COUNTIFS($J$7:$J$510,Table7[[#Headers],[Industry Essentials]],$C$7:$C$510,$L189)&gt;0,0,MROUND(R189,100))</f>
        <v>8100</v>
      </c>
      <c r="AL189" s="1">
        <f ca="1">IF(COUNTIFS($J$7:$J$510,Table7[[#Headers],[Energy Supply Market Intelligence]],$C$7:$C$510,$L189)&gt;0,0,MROUND(IFERROR(S189*($P189/$AI189),0),100))</f>
        <v>0</v>
      </c>
      <c r="AM189" s="1">
        <f ca="1">IF(COUNTIFS($J$7:$J$510,Table7[[#Headers],[Energy Supply RTM Analysis]],$C$7:$C$510,$L189)&gt;0,0,MROUND(IFERROR(T189*($P189/$AI189),0),100))</f>
        <v>0</v>
      </c>
      <c r="AN189" s="1">
        <f ca="1">IF(COUNTIFS($J$7:$J$510,Table7[[#Headers],[Energy Supply Forecasts]],$C$7:$C$510,$L189)&gt;0,0,MROUND(IFERROR(U189*($P189/$AI189),0),100))</f>
        <v>0</v>
      </c>
      <c r="AO189" s="1">
        <f ca="1">IF(COUNTIFS($J$7:$J$510,Table7[[#Headers],[Energy Supply Regulation]],$C$7:$C$510,$L189)&gt;0,0,MROUND(IFERROR(V189*($P189/$AI189),0),100))</f>
        <v>0</v>
      </c>
      <c r="AP189" s="1">
        <f>IF(COUNTIFS($J$7:$J$510,Table7[[#Headers],[Renewables Market Intelligence]],$C$7:$C$510,$L189)&gt;0,0,MROUND(IFERROR(W189*($P189/$AI189),0),100))</f>
        <v>0</v>
      </c>
      <c r="AQ189" s="1">
        <f ca="1">IF(COUNTIFS($J$7:$J$510,Table7[[#Headers],[Renewables RTM Analysis]],$C$7:$C$510,$L189)&gt;0,0,MROUND(IFERROR(X189*($P189/$AI189),0),100))</f>
        <v>1300</v>
      </c>
      <c r="AR189" s="1">
        <f>IF(COUNTIFS($J$7:$J$510,Table7[[#Headers],[Renewables Forecasts]],$C$7:$C$510,$L189)&gt;0,0,MROUND(IFERROR(Y189*($P189/$AI189),0),100))</f>
        <v>0</v>
      </c>
      <c r="AS189" s="1">
        <f ca="1">IF(COUNTIFS($J$7:$J$510,Table7[[#Headers],[Renewables Regulation]],$C$7:$C$510,$L189)&gt;0,0,MROUND(IFERROR(Z189*($P189/$AI189),0),100))</f>
        <v>1600</v>
      </c>
      <c r="AT189" s="1">
        <f ca="1">IF(COUNTIFS($J$7:$J$510,Table7[[#Headers],[Flexibility Market Intelligence]],$C$7:$C$510,$L189)&gt;0,0,MROUND(IFERROR(AA189*($P189/$AI189),0),100))</f>
        <v>0</v>
      </c>
      <c r="AU189" s="1">
        <f ca="1">IF(COUNTIFS($J$7:$J$510,Table7[[#Headers],[Flexibility RTM Analysis]],$C$7:$C$510,$L189)&gt;0,0,MROUND(IFERROR(AB189*($P189/$AI189),0),100))</f>
        <v>0</v>
      </c>
      <c r="AV189" s="1">
        <f ca="1">IF(COUNTIFS($J$7:$J$510,Table7[[#Headers],[Flexibility Forecasts]],$C$7:$C$510,$L189)&gt;0,0,MROUND(IFERROR(AC189*($P189/$AI189),0),100))</f>
        <v>0</v>
      </c>
      <c r="AW189" s="1">
        <f ca="1">IF(COUNTIFS($J$7:$J$510,Table7[[#Headers],[Flexibility Regulation]],$C$7:$C$510,$L189)&gt;0,0,MROUND(IFERROR(AD189*($P189/$AI189),0),100))</f>
        <v>0</v>
      </c>
      <c r="AX189" s="1">
        <f ca="1">IF(COUNTIFS($J$7:$J$510,Table7[[#Headers],[Business Energy Essentials]],$C$7:$C$510,$L189)&gt;0,0,MROUND(IFERROR(AE189*($P189/$AI189),0),100))</f>
        <v>900</v>
      </c>
      <c r="AY189" s="1">
        <f ca="1">IF(COUNTIFS($J$7:$J$510,Table7[[#Headers],[Energy User RTM Analysis]],$C$7:$C$510,$L189)&gt;0,0,MROUND(IFERROR(AF189*($P189/$AI189),0),100))</f>
        <v>900</v>
      </c>
      <c r="AZ189" s="1">
        <f ca="1">IF(COUNTIFS($J$7:$J$510,Table7[[#Headers],[Energy User Forecasts]],$C$7:$C$510,$L189)&gt;0,0,MROUND(IFERROR(AG189*($P189/$AI189),0),100))</f>
        <v>1600</v>
      </c>
      <c r="BA189" s="1">
        <f ca="1">IF(COUNTIFS($J$7:$J$510,Table7[[#Headers],[Energy User Regulation]],$C$7:$C$510,$L189)&gt;0,0,MROUND(IFERROR(AH189*($P189/$AI189),0),100))</f>
        <v>400</v>
      </c>
    </row>
    <row r="190" spans="2:53">
      <c r="B190" s="38" t="s">
        <v>2171</v>
      </c>
      <c r="C190" s="38" t="s">
        <v>553</v>
      </c>
      <c r="D190" s="38" t="s">
        <v>2128</v>
      </c>
      <c r="E190" s="38" t="s">
        <v>1827</v>
      </c>
      <c r="F190" s="63">
        <v>8300</v>
      </c>
      <c r="G190" s="38"/>
      <c r="H190" s="38" t="s">
        <v>1703</v>
      </c>
      <c r="I190" s="38" t="s">
        <v>1703</v>
      </c>
      <c r="J190" s="38" t="s">
        <v>29</v>
      </c>
      <c r="L190" s="1" t="str">
        <v>Sustainability First</v>
      </c>
      <c r="M190" s="1" t="str">
        <f t="shared" si="12"/>
        <v>Other</v>
      </c>
      <c r="N190" s="109">
        <f t="shared" si="13"/>
        <v>5800</v>
      </c>
      <c r="O190" s="1">
        <f>IFERROR(IF(INDEX(Table3[[Total Spend]:[Total Spend]],MATCH(L190,Table3[[Company name]:[Company name]],0))&gt;N190,INDEX(Table3[[Total Spend]:[Total Spend]],MATCH(L190,Table3[[Company name]:[Company name]])),N190),50000)</f>
        <v>10000</v>
      </c>
      <c r="P190" s="109">
        <f t="shared" si="14"/>
        <v>4200</v>
      </c>
      <c r="Q190" s="103">
        <f t="shared" si="15"/>
        <v>0.57999999999999996</v>
      </c>
      <c r="R190" s="1">
        <f ca="1">IFERROR(INDEX(INDIRECT("Table3[Column"&amp;R$9&amp;"]"),MATCH($L190,Table3[[Company name]:[Company name]],0)),0)</f>
        <v>10800</v>
      </c>
      <c r="S190" s="1">
        <f ca="1">IFERROR(INDEX(INDIRECT("Table3[Column"&amp;S$9&amp;"]"),MATCH($L190,Table3[[Company name]:[Company name]],0)),0)</f>
        <v>43200</v>
      </c>
      <c r="T190" s="1">
        <f ca="1">IFERROR(INDEX(INDIRECT("Table3[Column"&amp;T$9&amp;"]"),MATCH($L190,Table3[[Company name]:[Company name]],0)),0)</f>
        <v>73800</v>
      </c>
      <c r="U190" s="1">
        <f ca="1">IFERROR(INDEX(INDIRECT("Table3[Column"&amp;U$9&amp;"]"),MATCH($L190,Table3[[Company name]:[Company name]],0)),0)</f>
        <v>48600</v>
      </c>
      <c r="V190" s="1">
        <f ca="1">IFERROR(INDEX(INDIRECT("Table3[Column"&amp;V$9&amp;"]"),MATCH($L190,Table3[[Company name]:[Company name]],0)),0)</f>
        <v>0</v>
      </c>
      <c r="W190" s="1">
        <f ca="1">IFERROR(INDEX(INDIRECT("Table3[Column"&amp;W$9&amp;"]"),MATCH($L190,Table3[[Company name]:[Company name]],0)),0)</f>
        <v>0</v>
      </c>
      <c r="X190" s="1">
        <f ca="1">IFERROR(INDEX(INDIRECT("Table3[Column"&amp;X$9&amp;"]"),MATCH($L190,Table3[[Company name]:[Company name]],0)),0)</f>
        <v>0</v>
      </c>
      <c r="Y190" s="1">
        <f ca="1">IFERROR(INDEX(INDIRECT("Table3[Column"&amp;Y$9&amp;"]"),MATCH($L190,Table3[[Company name]:[Company name]],0)),0)</f>
        <v>0</v>
      </c>
      <c r="Z190" s="1">
        <f ca="1">IFERROR(INDEX(INDIRECT("Table3[Column"&amp;Z$9&amp;"]"),MATCH($L190,Table3[[Company name]:[Company name]],0)),0)</f>
        <v>0</v>
      </c>
      <c r="AA190" s="1">
        <f ca="1">IFERROR(INDEX(INDIRECT("Table3[Column"&amp;AA$9&amp;"]"),MATCH($L190,Table3[[Company name]:[Company name]],0)),0)</f>
        <v>0</v>
      </c>
      <c r="AB190" s="1">
        <f ca="1">IFERROR(INDEX(INDIRECT("Table3[Column"&amp;AB$9&amp;"]"),MATCH($L190,Table3[[Company name]:[Company name]],0)),0)</f>
        <v>0</v>
      </c>
      <c r="AC190" s="1">
        <f ca="1">IFERROR(INDEX(INDIRECT("Table3[Column"&amp;AC$9&amp;"]"),MATCH($L190,Table3[[Company name]:[Company name]],0)),0)</f>
        <v>0</v>
      </c>
      <c r="AD190" s="1">
        <f ca="1">IFERROR(INDEX(INDIRECT("Table3[Column"&amp;AD$9&amp;"]"),MATCH($L190,Table3[[Company name]:[Company name]],0)),0)</f>
        <v>0</v>
      </c>
      <c r="AE190" s="1">
        <f ca="1">IFERROR(INDEX(INDIRECT("Table3[Column"&amp;AE$9&amp;"]"),MATCH($L190,Table3[[Company name]:[Company name]],0)),0)</f>
        <v>0</v>
      </c>
      <c r="AF190" s="1">
        <f ca="1">IFERROR(INDEX(INDIRECT("Table3[Column"&amp;AF$9&amp;"]"),MATCH($L190,Table3[[Company name]:[Company name]],0)),0)</f>
        <v>15750</v>
      </c>
      <c r="AG190" s="1">
        <f ca="1">IFERROR(INDEX(INDIRECT("Table3[Column"&amp;AG$9&amp;"]"),MATCH($L190,Table3[[Company name]:[Company name]],0)),0)</f>
        <v>0</v>
      </c>
      <c r="AH190" s="1">
        <f ca="1">IFERROR(INDEX(INDIRECT("Table3[Column"&amp;AH$9&amp;"]"),MATCH($L190,Table3[[Company name]:[Company name]],0)),0)</f>
        <v>0</v>
      </c>
      <c r="AI190" s="1">
        <f t="shared" ca="1" si="16"/>
        <v>192150</v>
      </c>
      <c r="AK190" s="1">
        <f>IF(COUNTIFS($J$7:$J$510,Table7[[#Headers],[Industry Essentials]],$C$7:$C$510,$L190)&gt;0,0,MROUND(R190,100))</f>
        <v>0</v>
      </c>
      <c r="AL190" s="1">
        <f ca="1">IF(COUNTIFS($J$7:$J$510,Table7[[#Headers],[Energy Supply Market Intelligence]],$C$7:$C$510,$L190)&gt;0,0,MROUND(IFERROR(S190*($P190/$AI190),0),100))</f>
        <v>900</v>
      </c>
      <c r="AM190" s="1">
        <f ca="1">IF(COUNTIFS($J$7:$J$510,Table7[[#Headers],[Energy Supply RTM Analysis]],$C$7:$C$510,$L190)&gt;0,0,MROUND(IFERROR(T190*($P190/$AI190),0),100))</f>
        <v>1600</v>
      </c>
      <c r="AN190" s="1">
        <f ca="1">IF(COUNTIFS($J$7:$J$510,Table7[[#Headers],[Energy Supply Forecasts]],$C$7:$C$510,$L190)&gt;0,0,MROUND(IFERROR(U190*($P190/$AI190),0),100))</f>
        <v>1100</v>
      </c>
      <c r="AO190" s="1">
        <f ca="1">IF(COUNTIFS($J$7:$J$510,Table7[[#Headers],[Energy Supply Regulation]],$C$7:$C$510,$L190)&gt;0,0,MROUND(IFERROR(V190*($P190/$AI190),0),100))</f>
        <v>0</v>
      </c>
      <c r="AP190" s="1">
        <f ca="1">IF(COUNTIFS($J$7:$J$510,Table7[[#Headers],[Renewables Market Intelligence]],$C$7:$C$510,$L190)&gt;0,0,MROUND(IFERROR(W190*($P190/$AI190),0),100))</f>
        <v>0</v>
      </c>
      <c r="AQ190" s="1">
        <f ca="1">IF(COUNTIFS($J$7:$J$510,Table7[[#Headers],[Renewables RTM Analysis]],$C$7:$C$510,$L190)&gt;0,0,MROUND(IFERROR(X190*($P190/$AI190),0),100))</f>
        <v>0</v>
      </c>
      <c r="AR190" s="1">
        <f ca="1">IF(COUNTIFS($J$7:$J$510,Table7[[#Headers],[Renewables Forecasts]],$C$7:$C$510,$L190)&gt;0,0,MROUND(IFERROR(Y190*($P190/$AI190),0),100))</f>
        <v>0</v>
      </c>
      <c r="AS190" s="1">
        <f ca="1">IF(COUNTIFS($J$7:$J$510,Table7[[#Headers],[Renewables Regulation]],$C$7:$C$510,$L190)&gt;0,0,MROUND(IFERROR(Z190*($P190/$AI190),0),100))</f>
        <v>0</v>
      </c>
      <c r="AT190" s="1">
        <f ca="1">IF(COUNTIFS($J$7:$J$510,Table7[[#Headers],[Flexibility Market Intelligence]],$C$7:$C$510,$L190)&gt;0,0,MROUND(IFERROR(AA190*($P190/$AI190),0),100))</f>
        <v>0</v>
      </c>
      <c r="AU190" s="1">
        <f ca="1">IF(COUNTIFS($J$7:$J$510,Table7[[#Headers],[Flexibility RTM Analysis]],$C$7:$C$510,$L190)&gt;0,0,MROUND(IFERROR(AB190*($P190/$AI190),0),100))</f>
        <v>0</v>
      </c>
      <c r="AV190" s="1">
        <f ca="1">IF(COUNTIFS($J$7:$J$510,Table7[[#Headers],[Flexibility Forecasts]],$C$7:$C$510,$L190)&gt;0,0,MROUND(IFERROR(AC190*($P190/$AI190),0),100))</f>
        <v>0</v>
      </c>
      <c r="AW190" s="1">
        <f ca="1">IF(COUNTIFS($J$7:$J$510,Table7[[#Headers],[Flexibility Regulation]],$C$7:$C$510,$L190)&gt;0,0,MROUND(IFERROR(AD190*($P190/$AI190),0),100))</f>
        <v>0</v>
      </c>
      <c r="AX190" s="1">
        <f ca="1">IF(COUNTIFS($J$7:$J$510,Table7[[#Headers],[Business Energy Essentials]],$C$7:$C$510,$L190)&gt;0,0,MROUND(IFERROR(AE190*($P190/$AI190),0),100))</f>
        <v>0</v>
      </c>
      <c r="AY190" s="1">
        <f ca="1">IF(COUNTIFS($J$7:$J$510,Table7[[#Headers],[Energy User RTM Analysis]],$C$7:$C$510,$L190)&gt;0,0,MROUND(IFERROR(AF190*($P190/$AI190),0),100))</f>
        <v>300</v>
      </c>
      <c r="AZ190" s="1">
        <f ca="1">IF(COUNTIFS($J$7:$J$510,Table7[[#Headers],[Energy User Forecasts]],$C$7:$C$510,$L190)&gt;0,0,MROUND(IFERROR(AG190*($P190/$AI190),0),100))</f>
        <v>0</v>
      </c>
      <c r="BA190" s="1">
        <f ca="1">IF(COUNTIFS($J$7:$J$510,Table7[[#Headers],[Energy User Regulation]],$C$7:$C$510,$L190)&gt;0,0,MROUND(IFERROR(AH190*($P190/$AI190),0),100))</f>
        <v>0</v>
      </c>
    </row>
    <row r="191" spans="2:53">
      <c r="B191" s="38" t="s">
        <v>2171</v>
      </c>
      <c r="C191" s="38" t="s">
        <v>553</v>
      </c>
      <c r="D191" s="38" t="s">
        <v>2038</v>
      </c>
      <c r="E191" s="38" t="s">
        <v>1838</v>
      </c>
      <c r="F191" s="63">
        <v>5200</v>
      </c>
      <c r="G191" s="38"/>
      <c r="H191" s="38" t="s">
        <v>1703</v>
      </c>
      <c r="I191" s="38" t="s">
        <v>1702</v>
      </c>
      <c r="J191" s="38" t="s">
        <v>27</v>
      </c>
      <c r="L191" s="1" t="str">
        <v>Switch Business Gas &amp; Power Ltd</v>
      </c>
      <c r="M191" s="1" t="str">
        <f t="shared" si="12"/>
        <v>Supply</v>
      </c>
      <c r="N191" s="109">
        <f t="shared" si="13"/>
        <v>6375</v>
      </c>
      <c r="O191" s="1">
        <f>IFERROR(IF(INDEX(Table3[[Total Spend]:[Total Spend]],MATCH(L191,Table3[[Company name]:[Company name]],0))&gt;N191,INDEX(Table3[[Total Spend]:[Total Spend]],MATCH(L191,Table3[[Company name]:[Company name]])),N191),50000)</f>
        <v>8100</v>
      </c>
      <c r="P191" s="109">
        <f t="shared" si="14"/>
        <v>1725</v>
      </c>
      <c r="Q191" s="103">
        <f t="shared" si="15"/>
        <v>0.78703703703703709</v>
      </c>
      <c r="R191" s="1">
        <f ca="1">IFERROR(INDEX(INDIRECT("Table3[Column"&amp;R$9&amp;"]"),MATCH($L191,Table3[[Company name]:[Company name]],0)),0)</f>
        <v>8100</v>
      </c>
      <c r="S191" s="1">
        <f ca="1">IFERROR(INDEX(INDIRECT("Table3[Column"&amp;S$9&amp;"]"),MATCH($L191,Table3[[Company name]:[Company name]],0)),0)</f>
        <v>30600</v>
      </c>
      <c r="T191" s="1">
        <f ca="1">IFERROR(INDEX(INDIRECT("Table3[Column"&amp;T$9&amp;"]"),MATCH($L191,Table3[[Company name]:[Company name]],0)),0)</f>
        <v>53100</v>
      </c>
      <c r="U191" s="1">
        <f ca="1">IFERROR(INDEX(INDIRECT("Table3[Column"&amp;U$9&amp;"]"),MATCH($L191,Table3[[Company name]:[Company name]],0)),0)</f>
        <v>34200</v>
      </c>
      <c r="V191" s="1">
        <f ca="1">IFERROR(INDEX(INDIRECT("Table3[Column"&amp;V$9&amp;"]"),MATCH($L191,Table3[[Company name]:[Company name]],0)),0)</f>
        <v>0</v>
      </c>
      <c r="W191" s="1">
        <f ca="1">IFERROR(INDEX(INDIRECT("Table3[Column"&amp;W$9&amp;"]"),MATCH($L191,Table3[[Company name]:[Company name]],0)),0)</f>
        <v>0</v>
      </c>
      <c r="X191" s="1">
        <f ca="1">IFERROR(INDEX(INDIRECT("Table3[Column"&amp;X$9&amp;"]"),MATCH($L191,Table3[[Company name]:[Company name]],0)),0)</f>
        <v>0</v>
      </c>
      <c r="Y191" s="1">
        <f ca="1">IFERROR(INDEX(INDIRECT("Table3[Column"&amp;Y$9&amp;"]"),MATCH($L191,Table3[[Company name]:[Company name]],0)),0)</f>
        <v>0</v>
      </c>
      <c r="Z191" s="1">
        <f ca="1">IFERROR(INDEX(INDIRECT("Table3[Column"&amp;Z$9&amp;"]"),MATCH($L191,Table3[[Company name]:[Company name]],0)),0)</f>
        <v>0</v>
      </c>
      <c r="AA191" s="1">
        <f ca="1">IFERROR(INDEX(INDIRECT("Table3[Column"&amp;AA$9&amp;"]"),MATCH($L191,Table3[[Company name]:[Company name]],0)),0)</f>
        <v>0</v>
      </c>
      <c r="AB191" s="1">
        <f ca="1">IFERROR(INDEX(INDIRECT("Table3[Column"&amp;AB$9&amp;"]"),MATCH($L191,Table3[[Company name]:[Company name]],0)),0)</f>
        <v>0</v>
      </c>
      <c r="AC191" s="1">
        <f ca="1">IFERROR(INDEX(INDIRECT("Table3[Column"&amp;AC$9&amp;"]"),MATCH($L191,Table3[[Company name]:[Company name]],0)),0)</f>
        <v>0</v>
      </c>
      <c r="AD191" s="1">
        <f ca="1">IFERROR(INDEX(INDIRECT("Table3[Column"&amp;AD$9&amp;"]"),MATCH($L191,Table3[[Company name]:[Company name]],0)),0)</f>
        <v>0</v>
      </c>
      <c r="AE191" s="1">
        <f ca="1">IFERROR(INDEX(INDIRECT("Table3[Column"&amp;AE$9&amp;"]"),MATCH($L191,Table3[[Company name]:[Company name]],0)),0)</f>
        <v>0</v>
      </c>
      <c r="AF191" s="1">
        <f ca="1">IFERROR(INDEX(INDIRECT("Table3[Column"&amp;AF$9&amp;"]"),MATCH($L191,Table3[[Company name]:[Company name]],0)),0)</f>
        <v>11250</v>
      </c>
      <c r="AG191" s="1">
        <f ca="1">IFERROR(INDEX(INDIRECT("Table3[Column"&amp;AG$9&amp;"]"),MATCH($L191,Table3[[Company name]:[Company name]],0)),0)</f>
        <v>0</v>
      </c>
      <c r="AH191" s="1">
        <f ca="1">IFERROR(INDEX(INDIRECT("Table3[Column"&amp;AH$9&amp;"]"),MATCH($L191,Table3[[Company name]:[Company name]],0)),0)</f>
        <v>0</v>
      </c>
      <c r="AI191" s="1">
        <f t="shared" ca="1" si="16"/>
        <v>137250</v>
      </c>
      <c r="AK191" s="1">
        <f ca="1">IF(COUNTIFS($J$7:$J$510,Table7[[#Headers],[Industry Essentials]],$C$7:$C$510,$L191)&gt;0,0,MROUND(R191,100))</f>
        <v>8100</v>
      </c>
      <c r="AL191" s="1">
        <f ca="1">IF(COUNTIFS($J$7:$J$510,Table7[[#Headers],[Energy Supply Market Intelligence]],$C$7:$C$510,$L191)&gt;0,0,MROUND(IFERROR(S191*($P191/$AI191),0),100))</f>
        <v>400</v>
      </c>
      <c r="AM191" s="1">
        <f ca="1">IF(COUNTIFS($J$7:$J$510,Table7[[#Headers],[Energy Supply RTM Analysis]],$C$7:$C$510,$L191)&gt;0,0,MROUND(IFERROR(T191*($P191/$AI191),0),100))</f>
        <v>700</v>
      </c>
      <c r="AN191" s="1">
        <f ca="1">IF(COUNTIFS($J$7:$J$510,Table7[[#Headers],[Energy Supply Forecasts]],$C$7:$C$510,$L191)&gt;0,0,MROUND(IFERROR(U191*($P191/$AI191),0),100))</f>
        <v>400</v>
      </c>
      <c r="AO191" s="1">
        <f ca="1">IF(COUNTIFS($J$7:$J$510,Table7[[#Headers],[Energy Supply Regulation]],$C$7:$C$510,$L191)&gt;0,0,MROUND(IFERROR(V191*($P191/$AI191),0),100))</f>
        <v>0</v>
      </c>
      <c r="AP191" s="1">
        <f ca="1">IF(COUNTIFS($J$7:$J$510,Table7[[#Headers],[Renewables Market Intelligence]],$C$7:$C$510,$L191)&gt;0,0,MROUND(IFERROR(W191*($P191/$AI191),0),100))</f>
        <v>0</v>
      </c>
      <c r="AQ191" s="1">
        <f ca="1">IF(COUNTIFS($J$7:$J$510,Table7[[#Headers],[Renewables RTM Analysis]],$C$7:$C$510,$L191)&gt;0,0,MROUND(IFERROR(X191*($P191/$AI191),0),100))</f>
        <v>0</v>
      </c>
      <c r="AR191" s="1">
        <f>IF(COUNTIFS($J$7:$J$510,Table7[[#Headers],[Renewables Forecasts]],$C$7:$C$510,$L191)&gt;0,0,MROUND(IFERROR(Y191*($P191/$AI191),0),100))</f>
        <v>0</v>
      </c>
      <c r="AS191" s="1">
        <f ca="1">IF(COUNTIFS($J$7:$J$510,Table7[[#Headers],[Renewables Regulation]],$C$7:$C$510,$L191)&gt;0,0,MROUND(IFERROR(Z191*($P191/$AI191),0),100))</f>
        <v>0</v>
      </c>
      <c r="AT191" s="1">
        <f ca="1">IF(COUNTIFS($J$7:$J$510,Table7[[#Headers],[Flexibility Market Intelligence]],$C$7:$C$510,$L191)&gt;0,0,MROUND(IFERROR(AA191*($P191/$AI191),0),100))</f>
        <v>0</v>
      </c>
      <c r="AU191" s="1">
        <f ca="1">IF(COUNTIFS($J$7:$J$510,Table7[[#Headers],[Flexibility RTM Analysis]],$C$7:$C$510,$L191)&gt;0,0,MROUND(IFERROR(AB191*($P191/$AI191),0),100))</f>
        <v>0</v>
      </c>
      <c r="AV191" s="1">
        <f ca="1">IF(COUNTIFS($J$7:$J$510,Table7[[#Headers],[Flexibility Forecasts]],$C$7:$C$510,$L191)&gt;0,0,MROUND(IFERROR(AC191*($P191/$AI191),0),100))</f>
        <v>0</v>
      </c>
      <c r="AW191" s="1">
        <f ca="1">IF(COUNTIFS($J$7:$J$510,Table7[[#Headers],[Flexibility Regulation]],$C$7:$C$510,$L191)&gt;0,0,MROUND(IFERROR(AD191*($P191/$AI191),0),100))</f>
        <v>0</v>
      </c>
      <c r="AX191" s="1">
        <f ca="1">IF(COUNTIFS($J$7:$J$510,Table7[[#Headers],[Business Energy Essentials]],$C$7:$C$510,$L191)&gt;0,0,MROUND(IFERROR(AE191*($P191/$AI191),0),100))</f>
        <v>0</v>
      </c>
      <c r="AY191" s="1">
        <f ca="1">IF(COUNTIFS($J$7:$J$510,Table7[[#Headers],[Energy User RTM Analysis]],$C$7:$C$510,$L191)&gt;0,0,MROUND(IFERROR(AF191*($P191/$AI191),0),100))</f>
        <v>100</v>
      </c>
      <c r="AZ191" s="1">
        <f ca="1">IF(COUNTIFS($J$7:$J$510,Table7[[#Headers],[Energy User Forecasts]],$C$7:$C$510,$L191)&gt;0,0,MROUND(IFERROR(AG191*($P191/$AI191),0),100))</f>
        <v>0</v>
      </c>
      <c r="BA191" s="1">
        <f ca="1">IF(COUNTIFS($J$7:$J$510,Table7[[#Headers],[Energy User Regulation]],$C$7:$C$510,$L191)&gt;0,0,MROUND(IFERROR(AH191*($P191/$AI191),0),100))</f>
        <v>0</v>
      </c>
    </row>
    <row r="192" spans="2:53">
      <c r="B192" s="38" t="s">
        <v>2172</v>
      </c>
      <c r="C192" s="38" t="s">
        <v>162</v>
      </c>
      <c r="D192" s="38" t="s">
        <v>2081</v>
      </c>
      <c r="E192" s="38" t="s">
        <v>1890</v>
      </c>
      <c r="F192" s="63">
        <v>7200</v>
      </c>
      <c r="G192" s="38"/>
      <c r="H192" s="38" t="s">
        <v>1702</v>
      </c>
      <c r="I192" s="38" t="s">
        <v>1703</v>
      </c>
      <c r="J192" s="38" t="s">
        <v>31</v>
      </c>
      <c r="L192" s="1" t="str">
        <v>Tesla Motors Netherlands B.V.</v>
      </c>
      <c r="M192" s="1" t="str">
        <f t="shared" si="12"/>
        <v>Flexibility</v>
      </c>
      <c r="N192" s="109">
        <f t="shared" si="13"/>
        <v>59225</v>
      </c>
      <c r="O192" s="1">
        <f>IFERROR(IF(INDEX(Table3[[Total Spend]:[Total Spend]],MATCH(L192,Table3[[Company name]:[Company name]],0))&gt;N192,INDEX(Table3[[Total Spend]:[Total Spend]],MATCH(L192,Table3[[Company name]:[Company name]])),N192),50000)</f>
        <v>8100</v>
      </c>
      <c r="P192" s="109">
        <f t="shared" si="14"/>
        <v>59225</v>
      </c>
      <c r="Q192" s="103">
        <f t="shared" si="15"/>
        <v>1</v>
      </c>
      <c r="R192" s="1">
        <f ca="1">IFERROR(INDEX(INDIRECT("Table3[Column"&amp;R$9&amp;"]"),MATCH($L192,Table3[[Company name]:[Company name]],0)),0)</f>
        <v>10800</v>
      </c>
      <c r="S192" s="1">
        <f ca="1">IFERROR(INDEX(INDIRECT("Table3[Column"&amp;S$9&amp;"]"),MATCH($L192,Table3[[Company name]:[Company name]],0)),0)</f>
        <v>43200</v>
      </c>
      <c r="T192" s="1">
        <f ca="1">IFERROR(INDEX(INDIRECT("Table3[Column"&amp;T$9&amp;"]"),MATCH($L192,Table3[[Company name]:[Company name]],0)),0)</f>
        <v>73800</v>
      </c>
      <c r="U192" s="1">
        <f ca="1">IFERROR(INDEX(INDIRECT("Table3[Column"&amp;U$9&amp;"]"),MATCH($L192,Table3[[Company name]:[Company name]],0)),0)</f>
        <v>48600</v>
      </c>
      <c r="V192" s="1">
        <f ca="1">IFERROR(INDEX(INDIRECT("Table3[Column"&amp;V$9&amp;"]"),MATCH($L192,Table3[[Company name]:[Company name]],0)),0)</f>
        <v>55800</v>
      </c>
      <c r="W192" s="1">
        <f ca="1">IFERROR(INDEX(INDIRECT("Table3[Column"&amp;W$9&amp;"]"),MATCH($L192,Table3[[Company name]:[Company name]],0)),0)</f>
        <v>0</v>
      </c>
      <c r="X192" s="1">
        <f ca="1">IFERROR(INDEX(INDIRECT("Table3[Column"&amp;X$9&amp;"]"),MATCH($L192,Table3[[Company name]:[Company name]],0)),0)</f>
        <v>0</v>
      </c>
      <c r="Y192" s="1">
        <f ca="1">IFERROR(INDEX(INDIRECT("Table3[Column"&amp;Y$9&amp;"]"),MATCH($L192,Table3[[Company name]:[Company name]],0)),0)</f>
        <v>0</v>
      </c>
      <c r="Z192" s="1">
        <f ca="1">IFERROR(INDEX(INDIRECT("Table3[Column"&amp;Z$9&amp;"]"),MATCH($L192,Table3[[Company name]:[Company name]],0)),0)</f>
        <v>0</v>
      </c>
      <c r="AA192" s="1">
        <f ca="1">IFERROR(INDEX(INDIRECT("Table3[Column"&amp;AA$9&amp;"]"),MATCH($L192,Table3[[Company name]:[Company name]],0)),0)</f>
        <v>29700</v>
      </c>
      <c r="AB192" s="1">
        <f ca="1">IFERROR(INDEX(INDIRECT("Table3[Column"&amp;AB$9&amp;"]"),MATCH($L192,Table3[[Company name]:[Company name]],0)),0)</f>
        <v>10800</v>
      </c>
      <c r="AC192" s="1">
        <f ca="1">IFERROR(INDEX(INDIRECT("Table3[Column"&amp;AC$9&amp;"]"),MATCH($L192,Table3[[Company name]:[Company name]],0)),0)</f>
        <v>44100</v>
      </c>
      <c r="AD192" s="1">
        <f ca="1">IFERROR(INDEX(INDIRECT("Table3[Column"&amp;AD$9&amp;"]"),MATCH($L192,Table3[[Company name]:[Company name]],0)),0)</f>
        <v>36000</v>
      </c>
      <c r="AE192" s="1">
        <f ca="1">IFERROR(INDEX(INDIRECT("Table3[Column"&amp;AE$9&amp;"]"),MATCH($L192,Table3[[Company name]:[Company name]],0)),0)</f>
        <v>15300</v>
      </c>
      <c r="AF192" s="1">
        <f ca="1">IFERROR(INDEX(INDIRECT("Table3[Column"&amp;AF$9&amp;"]"),MATCH($L192,Table3[[Company name]:[Company name]],0)),0)</f>
        <v>0</v>
      </c>
      <c r="AG192" s="1">
        <f ca="1">IFERROR(INDEX(INDIRECT("Table3[Column"&amp;AG$9&amp;"]"),MATCH($L192,Table3[[Company name]:[Company name]],0)),0)</f>
        <v>27000</v>
      </c>
      <c r="AH192" s="1">
        <f ca="1">IFERROR(INDEX(INDIRECT("Table3[Column"&amp;AH$9&amp;"]"),MATCH($L192,Table3[[Company name]:[Company name]],0)),0)</f>
        <v>0</v>
      </c>
      <c r="AI192" s="1">
        <f t="shared" ca="1" si="16"/>
        <v>395100</v>
      </c>
      <c r="AK192" s="1">
        <f>IF(COUNTIFS($J$7:$J$510,Table7[[#Headers],[Industry Essentials]],$C$7:$C$510,$L192)&gt;0,0,MROUND(R192,100))</f>
        <v>0</v>
      </c>
      <c r="AL192" s="1">
        <f ca="1">IF(COUNTIFS($J$7:$J$510,Table7[[#Headers],[Energy Supply Market Intelligence]],$C$7:$C$510,$L192)&gt;0,0,MROUND(IFERROR(S192*($P192/$AI192),0),100))</f>
        <v>6500</v>
      </c>
      <c r="AM192" s="1">
        <f ca="1">IF(COUNTIFS($J$7:$J$510,Table7[[#Headers],[Energy Supply RTM Analysis]],$C$7:$C$510,$L192)&gt;0,0,MROUND(IFERROR(T192*($P192/$AI192),0),100))</f>
        <v>11100</v>
      </c>
      <c r="AN192" s="1">
        <f ca="1">IF(COUNTIFS($J$7:$J$510,Table7[[#Headers],[Energy Supply Forecasts]],$C$7:$C$510,$L192)&gt;0,0,MROUND(IFERROR(U192*($P192/$AI192),0),100))</f>
        <v>7300</v>
      </c>
      <c r="AO192" s="1">
        <f ca="1">IF(COUNTIFS($J$7:$J$510,Table7[[#Headers],[Energy Supply Regulation]],$C$7:$C$510,$L192)&gt;0,0,MROUND(IFERROR(V192*($P192/$AI192),0),100))</f>
        <v>8400</v>
      </c>
      <c r="AP192" s="1">
        <f ca="1">IF(COUNTIFS($J$7:$J$510,Table7[[#Headers],[Renewables Market Intelligence]],$C$7:$C$510,$L192)&gt;0,0,MROUND(IFERROR(W192*($P192/$AI192),0),100))</f>
        <v>0</v>
      </c>
      <c r="AQ192" s="1">
        <f ca="1">IF(COUNTIFS($J$7:$J$510,Table7[[#Headers],[Renewables RTM Analysis]],$C$7:$C$510,$L192)&gt;0,0,MROUND(IFERROR(X192*($P192/$AI192),0),100))</f>
        <v>0</v>
      </c>
      <c r="AR192" s="1">
        <f ca="1">IF(COUNTIFS($J$7:$J$510,Table7[[#Headers],[Renewables Forecasts]],$C$7:$C$510,$L192)&gt;0,0,MROUND(IFERROR(Y192*($P192/$AI192),0),100))</f>
        <v>0</v>
      </c>
      <c r="AS192" s="1">
        <f ca="1">IF(COUNTIFS($J$7:$J$510,Table7[[#Headers],[Renewables Regulation]],$C$7:$C$510,$L192)&gt;0,0,MROUND(IFERROR(Z192*($P192/$AI192),0),100))</f>
        <v>0</v>
      </c>
      <c r="AT192" s="1">
        <f>IF(COUNTIFS($J$7:$J$510,Table7[[#Headers],[Flexibility Market Intelligence]],$C$7:$C$510,$L192)&gt;0,0,MROUND(IFERROR(AA192*($P192/$AI192),0),100))</f>
        <v>0</v>
      </c>
      <c r="AU192" s="1">
        <f ca="1">IF(COUNTIFS($J$7:$J$510,Table7[[#Headers],[Flexibility RTM Analysis]],$C$7:$C$510,$L192)&gt;0,0,MROUND(IFERROR(AB192*($P192/$AI192),0),100))</f>
        <v>1600</v>
      </c>
      <c r="AV192" s="1">
        <f ca="1">IF(COUNTIFS($J$7:$J$510,Table7[[#Headers],[Flexibility Forecasts]],$C$7:$C$510,$L192)&gt;0,0,MROUND(IFERROR(AC192*($P192/$AI192),0),100))</f>
        <v>6600</v>
      </c>
      <c r="AW192" s="1">
        <f>IF(COUNTIFS($J$7:$J$510,Table7[[#Headers],[Flexibility Regulation]],$C$7:$C$510,$L192)&gt;0,0,MROUND(IFERROR(AD192*($P192/$AI192),0),100))</f>
        <v>0</v>
      </c>
      <c r="AX192" s="1">
        <f ca="1">IF(COUNTIFS($J$7:$J$510,Table7[[#Headers],[Business Energy Essentials]],$C$7:$C$510,$L192)&gt;0,0,MROUND(IFERROR(AE192*($P192/$AI192),0),100))</f>
        <v>2300</v>
      </c>
      <c r="AY192" s="1">
        <f ca="1">IF(COUNTIFS($J$7:$J$510,Table7[[#Headers],[Energy User RTM Analysis]],$C$7:$C$510,$L192)&gt;0,0,MROUND(IFERROR(AF192*($P192/$AI192),0),100))</f>
        <v>0</v>
      </c>
      <c r="AZ192" s="1">
        <f ca="1">IF(COUNTIFS($J$7:$J$510,Table7[[#Headers],[Energy User Forecasts]],$C$7:$C$510,$L192)&gt;0,0,MROUND(IFERROR(AG192*($P192/$AI192),0),100))</f>
        <v>4000</v>
      </c>
      <c r="BA192" s="1">
        <f ca="1">IF(COUNTIFS($J$7:$J$510,Table7[[#Headers],[Energy User Regulation]],$C$7:$C$510,$L192)&gt;0,0,MROUND(IFERROR(AH192*($P192/$AI192),0),100))</f>
        <v>0</v>
      </c>
    </row>
    <row r="193" spans="2:53">
      <c r="B193" s="38" t="s">
        <v>2172</v>
      </c>
      <c r="C193" s="38" t="s">
        <v>162</v>
      </c>
      <c r="D193" s="38" t="s">
        <v>2082</v>
      </c>
      <c r="E193" s="38" t="s">
        <v>1811</v>
      </c>
      <c r="F193" s="63">
        <v>11000</v>
      </c>
      <c r="G193" s="38"/>
      <c r="H193" s="38" t="s">
        <v>1702</v>
      </c>
      <c r="I193" s="38" t="s">
        <v>1702</v>
      </c>
      <c r="J193" s="38" t="s">
        <v>23</v>
      </c>
      <c r="L193" s="1" t="str">
        <v>Thames Water Utilities Limited</v>
      </c>
      <c r="M193" s="1" t="str">
        <f t="shared" si="12"/>
        <v>Energy User</v>
      </c>
      <c r="N193" s="109">
        <f t="shared" si="13"/>
        <v>64550</v>
      </c>
      <c r="O193" s="1">
        <f>IFERROR(IF(INDEX(Table3[[Total Spend]:[Total Spend]],MATCH(L193,Table3[[Company name]:[Company name]],0))&gt;N193,INDEX(Table3[[Total Spend]:[Total Spend]],MATCH(L193,Table3[[Company name]:[Company name]])),N193),50000)</f>
        <v>8100</v>
      </c>
      <c r="P193" s="109">
        <f t="shared" si="14"/>
        <v>64550</v>
      </c>
      <c r="Q193" s="103">
        <f t="shared" si="15"/>
        <v>1</v>
      </c>
      <c r="R193" s="1">
        <f ca="1">IFERROR(INDEX(INDIRECT("Table3[Column"&amp;R$9&amp;"]"),MATCH($L193,Table3[[Company name]:[Company name]],0)),0)</f>
        <v>10800</v>
      </c>
      <c r="S193" s="1">
        <f ca="1">IFERROR(INDEX(INDIRECT("Table3[Column"&amp;S$9&amp;"]"),MATCH($L193,Table3[[Company name]:[Company name]],0)),0)</f>
        <v>0</v>
      </c>
      <c r="T193" s="1">
        <f ca="1">IFERROR(INDEX(INDIRECT("Table3[Column"&amp;T$9&amp;"]"),MATCH($L193,Table3[[Company name]:[Company name]],0)),0)</f>
        <v>0</v>
      </c>
      <c r="U193" s="1">
        <f ca="1">IFERROR(INDEX(INDIRECT("Table3[Column"&amp;U$9&amp;"]"),MATCH($L193,Table3[[Company name]:[Company name]],0)),0)</f>
        <v>0</v>
      </c>
      <c r="V193" s="1">
        <f ca="1">IFERROR(INDEX(INDIRECT("Table3[Column"&amp;V$9&amp;"]"),MATCH($L193,Table3[[Company name]:[Company name]],0)),0)</f>
        <v>0</v>
      </c>
      <c r="W193" s="1">
        <f ca="1">IFERROR(INDEX(INDIRECT("Table3[Column"&amp;W$9&amp;"]"),MATCH($L193,Table3[[Company name]:[Company name]],0)),0)</f>
        <v>23400</v>
      </c>
      <c r="X193" s="1">
        <f ca="1">IFERROR(INDEX(INDIRECT("Table3[Column"&amp;X$9&amp;"]"),MATCH($L193,Table3[[Company name]:[Company name]],0)),0)</f>
        <v>20700</v>
      </c>
      <c r="Y193" s="1">
        <f ca="1">IFERROR(INDEX(INDIRECT("Table3[Column"&amp;Y$9&amp;"]"),MATCH($L193,Table3[[Company name]:[Company name]],0)),0)</f>
        <v>59400</v>
      </c>
      <c r="Z193" s="1">
        <f ca="1">IFERROR(INDEX(INDIRECT("Table3[Column"&amp;Z$9&amp;"]"),MATCH($L193,Table3[[Company name]:[Company name]],0)),0)</f>
        <v>26100</v>
      </c>
      <c r="AA193" s="1">
        <f ca="1">IFERROR(INDEX(INDIRECT("Table3[Column"&amp;AA$9&amp;"]"),MATCH($L193,Table3[[Company name]:[Company name]],0)),0)</f>
        <v>0</v>
      </c>
      <c r="AB193" s="1">
        <f ca="1">IFERROR(INDEX(INDIRECT("Table3[Column"&amp;AB$9&amp;"]"),MATCH($L193,Table3[[Company name]:[Company name]],0)),0)</f>
        <v>0</v>
      </c>
      <c r="AC193" s="1">
        <f ca="1">IFERROR(INDEX(INDIRECT("Table3[Column"&amp;AC$9&amp;"]"),MATCH($L193,Table3[[Company name]:[Company name]],0)),0)</f>
        <v>0</v>
      </c>
      <c r="AD193" s="1">
        <f ca="1">IFERROR(INDEX(INDIRECT("Table3[Column"&amp;AD$9&amp;"]"),MATCH($L193,Table3[[Company name]:[Company name]],0)),0)</f>
        <v>0</v>
      </c>
      <c r="AE193" s="1">
        <f ca="1">IFERROR(INDEX(INDIRECT("Table3[Column"&amp;AE$9&amp;"]"),MATCH($L193,Table3[[Company name]:[Company name]],0)),0)</f>
        <v>15300</v>
      </c>
      <c r="AF193" s="1">
        <f ca="1">IFERROR(INDEX(INDIRECT("Table3[Column"&amp;AF$9&amp;"]"),MATCH($L193,Table3[[Company name]:[Company name]],0)),0)</f>
        <v>15750</v>
      </c>
      <c r="AG193" s="1">
        <f ca="1">IFERROR(INDEX(INDIRECT("Table3[Column"&amp;AG$9&amp;"]"),MATCH($L193,Table3[[Company name]:[Company name]],0)),0)</f>
        <v>27000</v>
      </c>
      <c r="AH193" s="1">
        <f ca="1">IFERROR(INDEX(INDIRECT("Table3[Column"&amp;AH$9&amp;"]"),MATCH($L193,Table3[[Company name]:[Company name]],0)),0)</f>
        <v>6300</v>
      </c>
      <c r="AI193" s="1">
        <f t="shared" ca="1" si="16"/>
        <v>204750</v>
      </c>
      <c r="AK193" s="1">
        <f>IF(COUNTIFS($J$7:$J$510,Table7[[#Headers],[Industry Essentials]],$C$7:$C$510,$L193)&gt;0,0,MROUND(R193,100))</f>
        <v>0</v>
      </c>
      <c r="AL193" s="1">
        <f ca="1">IF(COUNTIFS($J$7:$J$510,Table7[[#Headers],[Energy Supply Market Intelligence]],$C$7:$C$510,$L193)&gt;0,0,MROUND(IFERROR(S193*($P193/$AI193),0),100))</f>
        <v>0</v>
      </c>
      <c r="AM193" s="1">
        <f ca="1">IF(COUNTIFS($J$7:$J$510,Table7[[#Headers],[Energy Supply RTM Analysis]],$C$7:$C$510,$L193)&gt;0,0,MROUND(IFERROR(T193*($P193/$AI193),0),100))</f>
        <v>0</v>
      </c>
      <c r="AN193" s="1">
        <f ca="1">IF(COUNTIFS($J$7:$J$510,Table7[[#Headers],[Energy Supply Forecasts]],$C$7:$C$510,$L193)&gt;0,0,MROUND(IFERROR(U193*($P193/$AI193),0),100))</f>
        <v>0</v>
      </c>
      <c r="AO193" s="1">
        <f ca="1">IF(COUNTIFS($J$7:$J$510,Table7[[#Headers],[Energy Supply Regulation]],$C$7:$C$510,$L193)&gt;0,0,MROUND(IFERROR(V193*($P193/$AI193),0),100))</f>
        <v>0</v>
      </c>
      <c r="AP193" s="1">
        <f ca="1">IF(COUNTIFS($J$7:$J$510,Table7[[#Headers],[Renewables Market Intelligence]],$C$7:$C$510,$L193)&gt;0,0,MROUND(IFERROR(W193*($P193/$AI193),0),100))</f>
        <v>7400</v>
      </c>
      <c r="AQ193" s="1">
        <f ca="1">IF(COUNTIFS($J$7:$J$510,Table7[[#Headers],[Renewables RTM Analysis]],$C$7:$C$510,$L193)&gt;0,0,MROUND(IFERROR(X193*($P193/$AI193),0),100))</f>
        <v>6500</v>
      </c>
      <c r="AR193" s="1">
        <f>IF(COUNTIFS($J$7:$J$510,Table7[[#Headers],[Renewables Forecasts]],$C$7:$C$510,$L193)&gt;0,0,MROUND(IFERROR(Y193*($P193/$AI193),0),100))</f>
        <v>0</v>
      </c>
      <c r="AS193" s="1">
        <f ca="1">IF(COUNTIFS($J$7:$J$510,Table7[[#Headers],[Renewables Regulation]],$C$7:$C$510,$L193)&gt;0,0,MROUND(IFERROR(Z193*($P193/$AI193),0),100))</f>
        <v>8200</v>
      </c>
      <c r="AT193" s="1">
        <f ca="1">IF(COUNTIFS($J$7:$J$510,Table7[[#Headers],[Flexibility Market Intelligence]],$C$7:$C$510,$L193)&gt;0,0,MROUND(IFERROR(AA193*($P193/$AI193),0),100))</f>
        <v>0</v>
      </c>
      <c r="AU193" s="1">
        <f ca="1">IF(COUNTIFS($J$7:$J$510,Table7[[#Headers],[Flexibility RTM Analysis]],$C$7:$C$510,$L193)&gt;0,0,MROUND(IFERROR(AB193*($P193/$AI193),0),100))</f>
        <v>0</v>
      </c>
      <c r="AV193" s="1">
        <f ca="1">IF(COUNTIFS($J$7:$J$510,Table7[[#Headers],[Flexibility Forecasts]],$C$7:$C$510,$L193)&gt;0,0,MROUND(IFERROR(AC193*($P193/$AI193),0),100))</f>
        <v>0</v>
      </c>
      <c r="AW193" s="1">
        <f ca="1">IF(COUNTIFS($J$7:$J$510,Table7[[#Headers],[Flexibility Regulation]],$C$7:$C$510,$L193)&gt;0,0,MROUND(IFERROR(AD193*($P193/$AI193),0),100))</f>
        <v>0</v>
      </c>
      <c r="AX193" s="1">
        <f ca="1">IF(COUNTIFS($J$7:$J$510,Table7[[#Headers],[Business Energy Essentials]],$C$7:$C$510,$L193)&gt;0,0,MROUND(IFERROR(AE193*($P193/$AI193),0),100))</f>
        <v>4800</v>
      </c>
      <c r="AY193" s="1">
        <f ca="1">IF(COUNTIFS($J$7:$J$510,Table7[[#Headers],[Energy User RTM Analysis]],$C$7:$C$510,$L193)&gt;0,0,MROUND(IFERROR(AF193*($P193/$AI193),0),100))</f>
        <v>5000</v>
      </c>
      <c r="AZ193" s="1">
        <f>IF(COUNTIFS($J$7:$J$510,Table7[[#Headers],[Energy User Forecasts]],$C$7:$C$510,$L193)&gt;0,0,MROUND(IFERROR(AG193*($P193/$AI193),0),100))</f>
        <v>0</v>
      </c>
      <c r="BA193" s="1">
        <f ca="1">IF(COUNTIFS($J$7:$J$510,Table7[[#Headers],[Energy User Regulation]],$C$7:$C$510,$L193)&gt;0,0,MROUND(IFERROR(AH193*($P193/$AI193),0),100))</f>
        <v>2000</v>
      </c>
    </row>
    <row r="194" spans="2:53">
      <c r="B194" s="38" t="s">
        <v>2172</v>
      </c>
      <c r="C194" s="38" t="s">
        <v>162</v>
      </c>
      <c r="D194" s="38" t="s">
        <v>2040</v>
      </c>
      <c r="E194" s="38" t="s">
        <v>1799</v>
      </c>
      <c r="F194" s="63">
        <v>7500</v>
      </c>
      <c r="G194" s="38"/>
      <c r="H194" s="38" t="s">
        <v>1702</v>
      </c>
      <c r="I194" s="38" t="s">
        <v>2032</v>
      </c>
      <c r="J194" s="38" t="s">
        <v>20</v>
      </c>
      <c r="L194" s="1" t="str">
        <v>The Association for Decentralised Energy (ADE)</v>
      </c>
      <c r="M194" s="1" t="str">
        <f t="shared" si="12"/>
        <v>Flexibility</v>
      </c>
      <c r="N194" s="109">
        <f t="shared" si="13"/>
        <v>5000</v>
      </c>
      <c r="O194" s="1">
        <f>IFERROR(IF(INDEX(Table3[[Total Spend]:[Total Spend]],MATCH(L194,Table3[[Company name]:[Company name]],0))&gt;N194,INDEX(Table3[[Total Spend]:[Total Spend]],MATCH(L194,Table3[[Company name]:[Company name]])),N194),50000)</f>
        <v>8100</v>
      </c>
      <c r="P194" s="109">
        <f t="shared" si="14"/>
        <v>3100</v>
      </c>
      <c r="Q194" s="103">
        <f t="shared" si="15"/>
        <v>0.61728395061728392</v>
      </c>
      <c r="R194" s="1">
        <f ca="1">IFERROR(INDEX(INDIRECT("Table3[Column"&amp;R$9&amp;"]"),MATCH($L194,Table3[[Company name]:[Company name]],0)),0)</f>
        <v>8100</v>
      </c>
      <c r="S194" s="1">
        <f ca="1">IFERROR(INDEX(INDIRECT("Table3[Column"&amp;S$9&amp;"]"),MATCH($L194,Table3[[Company name]:[Company name]],0)),0)</f>
        <v>0</v>
      </c>
      <c r="T194" s="1">
        <f ca="1">IFERROR(INDEX(INDIRECT("Table3[Column"&amp;T$9&amp;"]"),MATCH($L194,Table3[[Company name]:[Company name]],0)),0)</f>
        <v>0</v>
      </c>
      <c r="U194" s="1">
        <f ca="1">IFERROR(INDEX(INDIRECT("Table3[Column"&amp;U$9&amp;"]"),MATCH($L194,Table3[[Company name]:[Company name]],0)),0)</f>
        <v>0</v>
      </c>
      <c r="V194" s="1">
        <f ca="1">IFERROR(INDEX(INDIRECT("Table3[Column"&amp;V$9&amp;"]"),MATCH($L194,Table3[[Company name]:[Company name]],0)),0)</f>
        <v>0</v>
      </c>
      <c r="W194" s="1">
        <f ca="1">IFERROR(INDEX(INDIRECT("Table3[Column"&amp;W$9&amp;"]"),MATCH($L194,Table3[[Company name]:[Company name]],0)),0)</f>
        <v>0</v>
      </c>
      <c r="X194" s="1">
        <f ca="1">IFERROR(INDEX(INDIRECT("Table3[Column"&amp;X$9&amp;"]"),MATCH($L194,Table3[[Company name]:[Company name]],0)),0)</f>
        <v>0</v>
      </c>
      <c r="Y194" s="1">
        <f ca="1">IFERROR(INDEX(INDIRECT("Table3[Column"&amp;Y$9&amp;"]"),MATCH($L194,Table3[[Company name]:[Company name]],0)),0)</f>
        <v>0</v>
      </c>
      <c r="Z194" s="1">
        <f ca="1">IFERROR(INDEX(INDIRECT("Table3[Column"&amp;Z$9&amp;"]"),MATCH($L194,Table3[[Company name]:[Company name]],0)),0)</f>
        <v>0</v>
      </c>
      <c r="AA194" s="1">
        <f ca="1">IFERROR(INDEX(INDIRECT("Table3[Column"&amp;AA$9&amp;"]"),MATCH($L194,Table3[[Company name]:[Company name]],0)),0)</f>
        <v>0</v>
      </c>
      <c r="AB194" s="1">
        <f ca="1">IFERROR(INDEX(INDIRECT("Table3[Column"&amp;AB$9&amp;"]"),MATCH($L194,Table3[[Company name]:[Company name]],0)),0)</f>
        <v>0</v>
      </c>
      <c r="AC194" s="1">
        <f ca="1">IFERROR(INDEX(INDIRECT("Table3[Column"&amp;AC$9&amp;"]"),MATCH($L194,Table3[[Company name]:[Company name]],0)),0)</f>
        <v>0</v>
      </c>
      <c r="AD194" s="1">
        <f ca="1">IFERROR(INDEX(INDIRECT("Table3[Column"&amp;AD$9&amp;"]"),MATCH($L194,Table3[[Company name]:[Company name]],0)),0)</f>
        <v>0</v>
      </c>
      <c r="AE194" s="1">
        <f ca="1">IFERROR(INDEX(INDIRECT("Table3[Column"&amp;AE$9&amp;"]"),MATCH($L194,Table3[[Company name]:[Company name]],0)),0)</f>
        <v>0</v>
      </c>
      <c r="AF194" s="1">
        <f ca="1">IFERROR(INDEX(INDIRECT("Table3[Column"&amp;AF$9&amp;"]"),MATCH($L194,Table3[[Company name]:[Company name]],0)),0)</f>
        <v>0</v>
      </c>
      <c r="AG194" s="1">
        <f ca="1">IFERROR(INDEX(INDIRECT("Table3[Column"&amp;AG$9&amp;"]"),MATCH($L194,Table3[[Company name]:[Company name]],0)),0)</f>
        <v>0</v>
      </c>
      <c r="AH194" s="1">
        <f ca="1">IFERROR(INDEX(INDIRECT("Table3[Column"&amp;AH$9&amp;"]"),MATCH($L194,Table3[[Company name]:[Company name]],0)),0)</f>
        <v>0</v>
      </c>
      <c r="AI194" s="1">
        <f t="shared" ca="1" si="16"/>
        <v>8100</v>
      </c>
      <c r="AK194" s="1">
        <f>IF(COUNTIFS($J$7:$J$510,Table7[[#Headers],[Industry Essentials]],$C$7:$C$510,$L194)&gt;0,0,MROUND(R194,100))</f>
        <v>0</v>
      </c>
      <c r="AL194" s="1">
        <f ca="1">IF(COUNTIFS($J$7:$J$510,Table7[[#Headers],[Energy Supply Market Intelligence]],$C$7:$C$510,$L194)&gt;0,0,MROUND(IFERROR(S194*($P194/$AI194),0),100))</f>
        <v>0</v>
      </c>
      <c r="AM194" s="1">
        <f ca="1">IF(COUNTIFS($J$7:$J$510,Table7[[#Headers],[Energy Supply RTM Analysis]],$C$7:$C$510,$L194)&gt;0,0,MROUND(IFERROR(T194*($P194/$AI194),0),100))</f>
        <v>0</v>
      </c>
      <c r="AN194" s="1">
        <f ca="1">IF(COUNTIFS($J$7:$J$510,Table7[[#Headers],[Energy Supply Forecasts]],$C$7:$C$510,$L194)&gt;0,0,MROUND(IFERROR(U194*($P194/$AI194),0),100))</f>
        <v>0</v>
      </c>
      <c r="AO194" s="1">
        <f ca="1">IF(COUNTIFS($J$7:$J$510,Table7[[#Headers],[Energy Supply Regulation]],$C$7:$C$510,$L194)&gt;0,0,MROUND(IFERROR(V194*($P194/$AI194),0),100))</f>
        <v>0</v>
      </c>
      <c r="AP194" s="1">
        <f ca="1">IF(COUNTIFS($J$7:$J$510,Table7[[#Headers],[Renewables Market Intelligence]],$C$7:$C$510,$L194)&gt;0,0,MROUND(IFERROR(W194*($P194/$AI194),0),100))</f>
        <v>0</v>
      </c>
      <c r="AQ194" s="1">
        <f ca="1">IF(COUNTIFS($J$7:$J$510,Table7[[#Headers],[Renewables RTM Analysis]],$C$7:$C$510,$L194)&gt;0,0,MROUND(IFERROR(X194*($P194/$AI194),0),100))</f>
        <v>0</v>
      </c>
      <c r="AR194" s="1">
        <f ca="1">IF(COUNTIFS($J$7:$J$510,Table7[[#Headers],[Renewables Forecasts]],$C$7:$C$510,$L194)&gt;0,0,MROUND(IFERROR(Y194*($P194/$AI194),0),100))</f>
        <v>0</v>
      </c>
      <c r="AS194" s="1">
        <f ca="1">IF(COUNTIFS($J$7:$J$510,Table7[[#Headers],[Renewables Regulation]],$C$7:$C$510,$L194)&gt;0,0,MROUND(IFERROR(Z194*($P194/$AI194),0),100))</f>
        <v>0</v>
      </c>
      <c r="AT194" s="1">
        <f ca="1">IF(COUNTIFS($J$7:$J$510,Table7[[#Headers],[Flexibility Market Intelligence]],$C$7:$C$510,$L194)&gt;0,0,MROUND(IFERROR(AA194*($P194/$AI194),0),100))</f>
        <v>0</v>
      </c>
      <c r="AU194" s="1">
        <f ca="1">IF(COUNTIFS($J$7:$J$510,Table7[[#Headers],[Flexibility RTM Analysis]],$C$7:$C$510,$L194)&gt;0,0,MROUND(IFERROR(AB194*($P194/$AI194),0),100))</f>
        <v>0</v>
      </c>
      <c r="AV194" s="1">
        <f ca="1">IF(COUNTIFS($J$7:$J$510,Table7[[#Headers],[Flexibility Forecasts]],$C$7:$C$510,$L194)&gt;0,0,MROUND(IFERROR(AC194*($P194/$AI194),0),100))</f>
        <v>0</v>
      </c>
      <c r="AW194" s="1">
        <f ca="1">IF(COUNTIFS($J$7:$J$510,Table7[[#Headers],[Flexibility Regulation]],$C$7:$C$510,$L194)&gt;0,0,MROUND(IFERROR(AD194*($P194/$AI194),0),100))</f>
        <v>0</v>
      </c>
      <c r="AX194" s="1">
        <f ca="1">IF(COUNTIFS($J$7:$J$510,Table7[[#Headers],[Business Energy Essentials]],$C$7:$C$510,$L194)&gt;0,0,MROUND(IFERROR(AE194*($P194/$AI194),0),100))</f>
        <v>0</v>
      </c>
      <c r="AY194" s="1">
        <f ca="1">IF(COUNTIFS($J$7:$J$510,Table7[[#Headers],[Energy User RTM Analysis]],$C$7:$C$510,$L194)&gt;0,0,MROUND(IFERROR(AF194*($P194/$AI194),0),100))</f>
        <v>0</v>
      </c>
      <c r="AZ194" s="1">
        <f ca="1">IF(COUNTIFS($J$7:$J$510,Table7[[#Headers],[Energy User Forecasts]],$C$7:$C$510,$L194)&gt;0,0,MROUND(IFERROR(AG194*($P194/$AI194),0),100))</f>
        <v>0</v>
      </c>
      <c r="BA194" s="1">
        <f ca="1">IF(COUNTIFS($J$7:$J$510,Table7[[#Headers],[Energy User Regulation]],$C$7:$C$510,$L194)&gt;0,0,MROUND(IFERROR(AH194*($P194/$AI194),0),100))</f>
        <v>0</v>
      </c>
    </row>
    <row r="195" spans="2:53">
      <c r="B195" s="38" t="s">
        <v>2173</v>
      </c>
      <c r="C195" s="38" t="s">
        <v>862</v>
      </c>
      <c r="D195" s="38" t="s">
        <v>2073</v>
      </c>
      <c r="E195" s="38" t="s">
        <v>2074</v>
      </c>
      <c r="F195" s="63">
        <v>24937.5</v>
      </c>
      <c r="G195" s="38"/>
      <c r="H195" s="38" t="s">
        <v>2031</v>
      </c>
      <c r="I195" s="38" t="s">
        <v>2031</v>
      </c>
      <c r="J195" s="38" t="s">
        <v>23</v>
      </c>
      <c r="L195" s="1" t="str">
        <v>The Crown Estate</v>
      </c>
      <c r="M195" s="1" t="str">
        <f t="shared" si="12"/>
        <v>Renewables</v>
      </c>
      <c r="N195" s="109">
        <f t="shared" si="13"/>
        <v>18400</v>
      </c>
      <c r="O195" s="1">
        <f>IFERROR(IF(INDEX(Table3[[Total Spend]:[Total Spend]],MATCH(L195,Table3[[Company name]:[Company name]],0))&gt;N195,INDEX(Table3[[Total Spend]:[Total Spend]],MATCH(L195,Table3[[Company name]:[Company name]])),N195),50000)</f>
        <v>18400</v>
      </c>
      <c r="P195" s="109">
        <f t="shared" si="14"/>
        <v>18400</v>
      </c>
      <c r="Q195" s="103">
        <f t="shared" si="15"/>
        <v>1</v>
      </c>
      <c r="R195" s="1">
        <f ca="1">IFERROR(INDEX(INDIRECT("Table3[Column"&amp;R$9&amp;"]"),MATCH($L195,Table3[[Company name]:[Company name]],0)),0)</f>
        <v>10800</v>
      </c>
      <c r="S195" s="1">
        <f ca="1">IFERROR(INDEX(INDIRECT("Table3[Column"&amp;S$9&amp;"]"),MATCH($L195,Table3[[Company name]:[Company name]],0)),0)</f>
        <v>0</v>
      </c>
      <c r="T195" s="1">
        <f ca="1">IFERROR(INDEX(INDIRECT("Table3[Column"&amp;T$9&amp;"]"),MATCH($L195,Table3[[Company name]:[Company name]],0)),0)</f>
        <v>0</v>
      </c>
      <c r="U195" s="1">
        <f ca="1">IFERROR(INDEX(INDIRECT("Table3[Column"&amp;U$9&amp;"]"),MATCH($L195,Table3[[Company name]:[Company name]],0)),0)</f>
        <v>0</v>
      </c>
      <c r="V195" s="1">
        <f ca="1">IFERROR(INDEX(INDIRECT("Table3[Column"&amp;V$9&amp;"]"),MATCH($L195,Table3[[Company name]:[Company name]],0)),0)</f>
        <v>0</v>
      </c>
      <c r="W195" s="1">
        <f ca="1">IFERROR(INDEX(INDIRECT("Table3[Column"&amp;W$9&amp;"]"),MATCH($L195,Table3[[Company name]:[Company name]],0)),0)</f>
        <v>0</v>
      </c>
      <c r="X195" s="1">
        <f ca="1">IFERROR(INDEX(INDIRECT("Table3[Column"&amp;X$9&amp;"]"),MATCH($L195,Table3[[Company name]:[Company name]],0)),0)</f>
        <v>0</v>
      </c>
      <c r="Y195" s="1">
        <f ca="1">IFERROR(INDEX(INDIRECT("Table3[Column"&amp;Y$9&amp;"]"),MATCH($L195,Table3[[Company name]:[Company name]],0)),0)</f>
        <v>0</v>
      </c>
      <c r="Z195" s="1">
        <f ca="1">IFERROR(INDEX(INDIRECT("Table3[Column"&amp;Z$9&amp;"]"),MATCH($L195,Table3[[Company name]:[Company name]],0)),0)</f>
        <v>0</v>
      </c>
      <c r="AA195" s="1">
        <f ca="1">IFERROR(INDEX(INDIRECT("Table3[Column"&amp;AA$9&amp;"]"),MATCH($L195,Table3[[Company name]:[Company name]],0)),0)</f>
        <v>0</v>
      </c>
      <c r="AB195" s="1">
        <f ca="1">IFERROR(INDEX(INDIRECT("Table3[Column"&amp;AB$9&amp;"]"),MATCH($L195,Table3[[Company name]:[Company name]],0)),0)</f>
        <v>0</v>
      </c>
      <c r="AC195" s="1">
        <f ca="1">IFERROR(INDEX(INDIRECT("Table3[Column"&amp;AC$9&amp;"]"),MATCH($L195,Table3[[Company name]:[Company name]],0)),0)</f>
        <v>0</v>
      </c>
      <c r="AD195" s="1">
        <f ca="1">IFERROR(INDEX(INDIRECT("Table3[Column"&amp;AD$9&amp;"]"),MATCH($L195,Table3[[Company name]:[Company name]],0)),0)</f>
        <v>0</v>
      </c>
      <c r="AE195" s="1">
        <f ca="1">IFERROR(INDEX(INDIRECT("Table3[Column"&amp;AE$9&amp;"]"),MATCH($L195,Table3[[Company name]:[Company name]],0)),0)</f>
        <v>0</v>
      </c>
      <c r="AF195" s="1">
        <f ca="1">IFERROR(INDEX(INDIRECT("Table3[Column"&amp;AF$9&amp;"]"),MATCH($L195,Table3[[Company name]:[Company name]],0)),0)</f>
        <v>0</v>
      </c>
      <c r="AG195" s="1">
        <f ca="1">IFERROR(INDEX(INDIRECT("Table3[Column"&amp;AG$9&amp;"]"),MATCH($L195,Table3[[Company name]:[Company name]],0)),0)</f>
        <v>0</v>
      </c>
      <c r="AH195" s="1">
        <f ca="1">IFERROR(INDEX(INDIRECT("Table3[Column"&amp;AH$9&amp;"]"),MATCH($L195,Table3[[Company name]:[Company name]],0)),0)</f>
        <v>0</v>
      </c>
      <c r="AI195" s="1">
        <f t="shared" ca="1" si="16"/>
        <v>10800</v>
      </c>
      <c r="AK195" s="1">
        <f>IF(COUNTIFS($J$7:$J$510,Table7[[#Headers],[Industry Essentials]],$C$7:$C$510,$L195)&gt;0,0,MROUND(R195,100))</f>
        <v>0</v>
      </c>
      <c r="AL195" s="1">
        <f ca="1">IF(COUNTIFS($J$7:$J$510,Table7[[#Headers],[Energy Supply Market Intelligence]],$C$7:$C$510,$L195)&gt;0,0,MROUND(IFERROR(S195*($P195/$AI195),0),100))</f>
        <v>0</v>
      </c>
      <c r="AM195" s="1">
        <f ca="1">IF(COUNTIFS($J$7:$J$510,Table7[[#Headers],[Energy Supply RTM Analysis]],$C$7:$C$510,$L195)&gt;0,0,MROUND(IFERROR(T195*($P195/$AI195),0),100))</f>
        <v>0</v>
      </c>
      <c r="AN195" s="1">
        <f ca="1">IF(COUNTIFS($J$7:$J$510,Table7[[#Headers],[Energy Supply Forecasts]],$C$7:$C$510,$L195)&gt;0,0,MROUND(IFERROR(U195*($P195/$AI195),0),100))</f>
        <v>0</v>
      </c>
      <c r="AO195" s="1">
        <f ca="1">IF(COUNTIFS($J$7:$J$510,Table7[[#Headers],[Energy Supply Regulation]],$C$7:$C$510,$L195)&gt;0,0,MROUND(IFERROR(V195*($P195/$AI195),0),100))</f>
        <v>0</v>
      </c>
      <c r="AP195" s="1">
        <f ca="1">IF(COUNTIFS($J$7:$J$510,Table7[[#Headers],[Renewables Market Intelligence]],$C$7:$C$510,$L195)&gt;0,0,MROUND(IFERROR(W195*($P195/$AI195),0),100))</f>
        <v>0</v>
      </c>
      <c r="AQ195" s="1">
        <f ca="1">IF(COUNTIFS($J$7:$J$510,Table7[[#Headers],[Renewables RTM Analysis]],$C$7:$C$510,$L195)&gt;0,0,MROUND(IFERROR(X195*($P195/$AI195),0),100))</f>
        <v>0</v>
      </c>
      <c r="AR195" s="1">
        <f ca="1">IF(COUNTIFS($J$7:$J$510,Table7[[#Headers],[Renewables Forecasts]],$C$7:$C$510,$L195)&gt;0,0,MROUND(IFERROR(Y195*($P195/$AI195),0),100))</f>
        <v>0</v>
      </c>
      <c r="AS195" s="1">
        <f>IF(COUNTIFS($J$7:$J$510,Table7[[#Headers],[Renewables Regulation]],$C$7:$C$510,$L195)&gt;0,0,MROUND(IFERROR(Z195*($P195/$AI195),0),100))</f>
        <v>0</v>
      </c>
      <c r="AT195" s="1">
        <f ca="1">IF(COUNTIFS($J$7:$J$510,Table7[[#Headers],[Flexibility Market Intelligence]],$C$7:$C$510,$L195)&gt;0,0,MROUND(IFERROR(AA195*($P195/$AI195),0),100))</f>
        <v>0</v>
      </c>
      <c r="AU195" s="1">
        <f ca="1">IF(COUNTIFS($J$7:$J$510,Table7[[#Headers],[Flexibility RTM Analysis]],$C$7:$C$510,$L195)&gt;0,0,MROUND(IFERROR(AB195*($P195/$AI195),0),100))</f>
        <v>0</v>
      </c>
      <c r="AV195" s="1">
        <f ca="1">IF(COUNTIFS($J$7:$J$510,Table7[[#Headers],[Flexibility Forecasts]],$C$7:$C$510,$L195)&gt;0,0,MROUND(IFERROR(AC195*($P195/$AI195),0),100))</f>
        <v>0</v>
      </c>
      <c r="AW195" s="1">
        <f ca="1">IF(COUNTIFS($J$7:$J$510,Table7[[#Headers],[Flexibility Regulation]],$C$7:$C$510,$L195)&gt;0,0,MROUND(IFERROR(AD195*($P195/$AI195),0),100))</f>
        <v>0</v>
      </c>
      <c r="AX195" s="1">
        <f ca="1">IF(COUNTIFS($J$7:$J$510,Table7[[#Headers],[Business Energy Essentials]],$C$7:$C$510,$L195)&gt;0,0,MROUND(IFERROR(AE195*($P195/$AI195),0),100))</f>
        <v>0</v>
      </c>
      <c r="AY195" s="1">
        <f ca="1">IF(COUNTIFS($J$7:$J$510,Table7[[#Headers],[Energy User RTM Analysis]],$C$7:$C$510,$L195)&gt;0,0,MROUND(IFERROR(AF195*($P195/$AI195),0),100))</f>
        <v>0</v>
      </c>
      <c r="AZ195" s="1">
        <f ca="1">IF(COUNTIFS($J$7:$J$510,Table7[[#Headers],[Energy User Forecasts]],$C$7:$C$510,$L195)&gt;0,0,MROUND(IFERROR(AG195*($P195/$AI195),0),100))</f>
        <v>0</v>
      </c>
      <c r="BA195" s="1">
        <f ca="1">IF(COUNTIFS($J$7:$J$510,Table7[[#Headers],[Energy User Regulation]],$C$7:$C$510,$L195)&gt;0,0,MROUND(IFERROR(AH195*($P195/$AI195),0),100))</f>
        <v>0</v>
      </c>
    </row>
    <row r="196" spans="2:53">
      <c r="B196" s="38" t="s">
        <v>2173</v>
      </c>
      <c r="C196" s="38" t="s">
        <v>862</v>
      </c>
      <c r="D196" s="38" t="s">
        <v>2086</v>
      </c>
      <c r="E196" s="38" t="s">
        <v>1843</v>
      </c>
      <c r="F196" s="63">
        <v>13062.5</v>
      </c>
      <c r="G196" s="38"/>
      <c r="H196" s="38" t="s">
        <v>2031</v>
      </c>
      <c r="I196" s="38" t="s">
        <v>2031</v>
      </c>
      <c r="J196" s="38" t="s">
        <v>22</v>
      </c>
      <c r="L196" s="1" t="str">
        <v>The Energy Consortium</v>
      </c>
      <c r="M196" s="1" t="str">
        <f t="shared" si="12"/>
        <v>Supply</v>
      </c>
      <c r="N196" s="109">
        <f t="shared" si="13"/>
        <v>5000</v>
      </c>
      <c r="O196" s="1">
        <f>IFERROR(IF(INDEX(Table3[[Total Spend]:[Total Spend]],MATCH(L196,Table3[[Company name]:[Company name]],0))&gt;N196,INDEX(Table3[[Total Spend]:[Total Spend]],MATCH(L196,Table3[[Company name]:[Company name]])),N196),50000)</f>
        <v>10000</v>
      </c>
      <c r="P196" s="109">
        <f t="shared" si="14"/>
        <v>5000</v>
      </c>
      <c r="Q196" s="103">
        <f t="shared" si="15"/>
        <v>0.5</v>
      </c>
      <c r="R196" s="1">
        <f ca="1">IFERROR(INDEX(INDIRECT("Table3[Column"&amp;R$9&amp;"]"),MATCH($L196,Table3[[Company name]:[Company name]],0)),0)</f>
        <v>8100</v>
      </c>
      <c r="S196" s="1">
        <f ca="1">IFERROR(INDEX(INDIRECT("Table3[Column"&amp;S$9&amp;"]"),MATCH($L196,Table3[[Company name]:[Company name]],0)),0)</f>
        <v>30600</v>
      </c>
      <c r="T196" s="1">
        <f ca="1">IFERROR(INDEX(INDIRECT("Table3[Column"&amp;T$9&amp;"]"),MATCH($L196,Table3[[Company name]:[Company name]],0)),0)</f>
        <v>53100</v>
      </c>
      <c r="U196" s="1">
        <f ca="1">IFERROR(INDEX(INDIRECT("Table3[Column"&amp;U$9&amp;"]"),MATCH($L196,Table3[[Company name]:[Company name]],0)),0)</f>
        <v>34200</v>
      </c>
      <c r="V196" s="1">
        <f ca="1">IFERROR(INDEX(INDIRECT("Table3[Column"&amp;V$9&amp;"]"),MATCH($L196,Table3[[Company name]:[Company name]],0)),0)</f>
        <v>0</v>
      </c>
      <c r="W196" s="1">
        <f ca="1">IFERROR(INDEX(INDIRECT("Table3[Column"&amp;W$9&amp;"]"),MATCH($L196,Table3[[Company name]:[Company name]],0)),0)</f>
        <v>0</v>
      </c>
      <c r="X196" s="1">
        <f ca="1">IFERROR(INDEX(INDIRECT("Table3[Column"&amp;X$9&amp;"]"),MATCH($L196,Table3[[Company name]:[Company name]],0)),0)</f>
        <v>0</v>
      </c>
      <c r="Y196" s="1">
        <f ca="1">IFERROR(INDEX(INDIRECT("Table3[Column"&amp;Y$9&amp;"]"),MATCH($L196,Table3[[Company name]:[Company name]],0)),0)</f>
        <v>0</v>
      </c>
      <c r="Z196" s="1">
        <f ca="1">IFERROR(INDEX(INDIRECT("Table3[Column"&amp;Z$9&amp;"]"),MATCH($L196,Table3[[Company name]:[Company name]],0)),0)</f>
        <v>0</v>
      </c>
      <c r="AA196" s="1">
        <f ca="1">IFERROR(INDEX(INDIRECT("Table3[Column"&amp;AA$9&amp;"]"),MATCH($L196,Table3[[Company name]:[Company name]],0)),0)</f>
        <v>0</v>
      </c>
      <c r="AB196" s="1">
        <f ca="1">IFERROR(INDEX(INDIRECT("Table3[Column"&amp;AB$9&amp;"]"),MATCH($L196,Table3[[Company name]:[Company name]],0)),0)</f>
        <v>0</v>
      </c>
      <c r="AC196" s="1">
        <f ca="1">IFERROR(INDEX(INDIRECT("Table3[Column"&amp;AC$9&amp;"]"),MATCH($L196,Table3[[Company name]:[Company name]],0)),0)</f>
        <v>0</v>
      </c>
      <c r="AD196" s="1">
        <f ca="1">IFERROR(INDEX(INDIRECT("Table3[Column"&amp;AD$9&amp;"]"),MATCH($L196,Table3[[Company name]:[Company name]],0)),0)</f>
        <v>0</v>
      </c>
      <c r="AE196" s="1">
        <f ca="1">IFERROR(INDEX(INDIRECT("Table3[Column"&amp;AE$9&amp;"]"),MATCH($L196,Table3[[Company name]:[Company name]],0)),0)</f>
        <v>0</v>
      </c>
      <c r="AF196" s="1">
        <f ca="1">IFERROR(INDEX(INDIRECT("Table3[Column"&amp;AF$9&amp;"]"),MATCH($L196,Table3[[Company name]:[Company name]],0)),0)</f>
        <v>11250</v>
      </c>
      <c r="AG196" s="1">
        <f ca="1">IFERROR(INDEX(INDIRECT("Table3[Column"&amp;AG$9&amp;"]"),MATCH($L196,Table3[[Company name]:[Company name]],0)),0)</f>
        <v>0</v>
      </c>
      <c r="AH196" s="1">
        <f ca="1">IFERROR(INDEX(INDIRECT("Table3[Column"&amp;AH$9&amp;"]"),MATCH($L196,Table3[[Company name]:[Company name]],0)),0)</f>
        <v>0</v>
      </c>
      <c r="AI196" s="1">
        <f t="shared" ca="1" si="16"/>
        <v>137250</v>
      </c>
      <c r="AK196" s="1">
        <f>IF(COUNTIFS($J$7:$J$510,Table7[[#Headers],[Industry Essentials]],$C$7:$C$510,$L196)&gt;0,0,MROUND(R196,100))</f>
        <v>0</v>
      </c>
      <c r="AL196" s="1">
        <f ca="1">IF(COUNTIFS($J$7:$J$510,Table7[[#Headers],[Energy Supply Market Intelligence]],$C$7:$C$510,$L196)&gt;0,0,MROUND(IFERROR(S196*($P196/$AI196),0),100))</f>
        <v>1100</v>
      </c>
      <c r="AM196" s="1">
        <f ca="1">IF(COUNTIFS($J$7:$J$510,Table7[[#Headers],[Energy Supply RTM Analysis]],$C$7:$C$510,$L196)&gt;0,0,MROUND(IFERROR(T196*($P196/$AI196),0),100))</f>
        <v>1900</v>
      </c>
      <c r="AN196" s="1">
        <f ca="1">IF(COUNTIFS($J$7:$J$510,Table7[[#Headers],[Energy Supply Forecasts]],$C$7:$C$510,$L196)&gt;0,0,MROUND(IFERROR(U196*($P196/$AI196),0),100))</f>
        <v>1200</v>
      </c>
      <c r="AO196" s="1">
        <f ca="1">IF(COUNTIFS($J$7:$J$510,Table7[[#Headers],[Energy Supply Regulation]],$C$7:$C$510,$L196)&gt;0,0,MROUND(IFERROR(V196*($P196/$AI196),0),100))</f>
        <v>0</v>
      </c>
      <c r="AP196" s="1">
        <f ca="1">IF(COUNTIFS($J$7:$J$510,Table7[[#Headers],[Renewables Market Intelligence]],$C$7:$C$510,$L196)&gt;0,0,MROUND(IFERROR(W196*($P196/$AI196),0),100))</f>
        <v>0</v>
      </c>
      <c r="AQ196" s="1">
        <f ca="1">IF(COUNTIFS($J$7:$J$510,Table7[[#Headers],[Renewables RTM Analysis]],$C$7:$C$510,$L196)&gt;0,0,MROUND(IFERROR(X196*($P196/$AI196),0),100))</f>
        <v>0</v>
      </c>
      <c r="AR196" s="1">
        <f ca="1">IF(COUNTIFS($J$7:$J$510,Table7[[#Headers],[Renewables Forecasts]],$C$7:$C$510,$L196)&gt;0,0,MROUND(IFERROR(Y196*($P196/$AI196),0),100))</f>
        <v>0</v>
      </c>
      <c r="AS196" s="1">
        <f ca="1">IF(COUNTIFS($J$7:$J$510,Table7[[#Headers],[Renewables Regulation]],$C$7:$C$510,$L196)&gt;0,0,MROUND(IFERROR(Z196*($P196/$AI196),0),100))</f>
        <v>0</v>
      </c>
      <c r="AT196" s="1">
        <f ca="1">IF(COUNTIFS($J$7:$J$510,Table7[[#Headers],[Flexibility Market Intelligence]],$C$7:$C$510,$L196)&gt;0,0,MROUND(IFERROR(AA196*($P196/$AI196),0),100))</f>
        <v>0</v>
      </c>
      <c r="AU196" s="1">
        <f ca="1">IF(COUNTIFS($J$7:$J$510,Table7[[#Headers],[Flexibility RTM Analysis]],$C$7:$C$510,$L196)&gt;0,0,MROUND(IFERROR(AB196*($P196/$AI196),0),100))</f>
        <v>0</v>
      </c>
      <c r="AV196" s="1">
        <f ca="1">IF(COUNTIFS($J$7:$J$510,Table7[[#Headers],[Flexibility Forecasts]],$C$7:$C$510,$L196)&gt;0,0,MROUND(IFERROR(AC196*($P196/$AI196),0),100))</f>
        <v>0</v>
      </c>
      <c r="AW196" s="1">
        <f ca="1">IF(COUNTIFS($J$7:$J$510,Table7[[#Headers],[Flexibility Regulation]],$C$7:$C$510,$L196)&gt;0,0,MROUND(IFERROR(AD196*($P196/$AI196),0),100))</f>
        <v>0</v>
      </c>
      <c r="AX196" s="1">
        <f ca="1">IF(COUNTIFS($J$7:$J$510,Table7[[#Headers],[Business Energy Essentials]],$C$7:$C$510,$L196)&gt;0,0,MROUND(IFERROR(AE196*($P196/$AI196),0),100))</f>
        <v>0</v>
      </c>
      <c r="AY196" s="1">
        <f ca="1">IF(COUNTIFS($J$7:$J$510,Table7[[#Headers],[Energy User RTM Analysis]],$C$7:$C$510,$L196)&gt;0,0,MROUND(IFERROR(AF196*($P196/$AI196),0),100))</f>
        <v>400</v>
      </c>
      <c r="AZ196" s="1">
        <f ca="1">IF(COUNTIFS($J$7:$J$510,Table7[[#Headers],[Energy User Forecasts]],$C$7:$C$510,$L196)&gt;0,0,MROUND(IFERROR(AG196*($P196/$AI196),0),100))</f>
        <v>0</v>
      </c>
      <c r="BA196" s="1">
        <f ca="1">IF(COUNTIFS($J$7:$J$510,Table7[[#Headers],[Energy User Regulation]],$C$7:$C$510,$L196)&gt;0,0,MROUND(IFERROR(AH196*($P196/$AI196),0),100))</f>
        <v>0</v>
      </c>
    </row>
    <row r="197" spans="2:53">
      <c r="B197" s="38" t="s">
        <v>2174</v>
      </c>
      <c r="C197" s="38" t="s">
        <v>1011</v>
      </c>
      <c r="D197" s="38" t="s">
        <v>2035</v>
      </c>
      <c r="E197" s="38" t="s">
        <v>1855</v>
      </c>
      <c r="F197" s="63">
        <v>3375</v>
      </c>
      <c r="G197" s="38"/>
      <c r="H197" s="38" t="s">
        <v>2031</v>
      </c>
      <c r="I197" s="38" t="s">
        <v>2032</v>
      </c>
      <c r="J197" s="38" t="s">
        <v>20</v>
      </c>
      <c r="L197" s="1" t="str">
        <v>The Energy Intensive Users Group (EIUG)</v>
      </c>
      <c r="M197" s="1" t="str">
        <f t="shared" si="12"/>
        <v>Supply</v>
      </c>
      <c r="N197" s="109">
        <f t="shared" si="13"/>
        <v>1650</v>
      </c>
      <c r="O197" s="1">
        <f>IFERROR(IF(INDEX(Table3[[Total Spend]:[Total Spend]],MATCH(L197,Table3[[Company name]:[Company name]],0))&gt;N197,INDEX(Table3[[Total Spend]:[Total Spend]],MATCH(L197,Table3[[Company name]:[Company name]])),N197),50000)</f>
        <v>10000</v>
      </c>
      <c r="P197" s="109">
        <f t="shared" si="14"/>
        <v>8350</v>
      </c>
      <c r="Q197" s="103">
        <f t="shared" si="15"/>
        <v>0.16500000000000001</v>
      </c>
      <c r="R197" s="1">
        <f ca="1">IFERROR(INDEX(INDIRECT("Table3[Column"&amp;R$9&amp;"]"),MATCH($L197,Table3[[Company name]:[Company name]],0)),0)</f>
        <v>0</v>
      </c>
      <c r="S197" s="1">
        <f ca="1">IFERROR(INDEX(INDIRECT("Table3[Column"&amp;S$9&amp;"]"),MATCH($L197,Table3[[Company name]:[Company name]],0)),0)</f>
        <v>0</v>
      </c>
      <c r="T197" s="1">
        <f ca="1">IFERROR(INDEX(INDIRECT("Table3[Column"&amp;T$9&amp;"]"),MATCH($L197,Table3[[Company name]:[Company name]],0)),0)</f>
        <v>0</v>
      </c>
      <c r="U197" s="1">
        <f ca="1">IFERROR(INDEX(INDIRECT("Table3[Column"&amp;U$9&amp;"]"),MATCH($L197,Table3[[Company name]:[Company name]],0)),0)</f>
        <v>0</v>
      </c>
      <c r="V197" s="1">
        <f ca="1">IFERROR(INDEX(INDIRECT("Table3[Column"&amp;V$9&amp;"]"),MATCH($L197,Table3[[Company name]:[Company name]],0)),0)</f>
        <v>0</v>
      </c>
      <c r="W197" s="1">
        <f ca="1">IFERROR(INDEX(INDIRECT("Table3[Column"&amp;W$9&amp;"]"),MATCH($L197,Table3[[Company name]:[Company name]],0)),0)</f>
        <v>0</v>
      </c>
      <c r="X197" s="1">
        <f ca="1">IFERROR(INDEX(INDIRECT("Table3[Column"&amp;X$9&amp;"]"),MATCH($L197,Table3[[Company name]:[Company name]],0)),0)</f>
        <v>0</v>
      </c>
      <c r="Y197" s="1">
        <f ca="1">IFERROR(INDEX(INDIRECT("Table3[Column"&amp;Y$9&amp;"]"),MATCH($L197,Table3[[Company name]:[Company name]],0)),0)</f>
        <v>0</v>
      </c>
      <c r="Z197" s="1">
        <f ca="1">IFERROR(INDEX(INDIRECT("Table3[Column"&amp;Z$9&amp;"]"),MATCH($L197,Table3[[Company name]:[Company name]],0)),0)</f>
        <v>0</v>
      </c>
      <c r="AA197" s="1">
        <f ca="1">IFERROR(INDEX(INDIRECT("Table3[Column"&amp;AA$9&amp;"]"),MATCH($L197,Table3[[Company name]:[Company name]],0)),0)</f>
        <v>0</v>
      </c>
      <c r="AB197" s="1">
        <f ca="1">IFERROR(INDEX(INDIRECT("Table3[Column"&amp;AB$9&amp;"]"),MATCH($L197,Table3[[Company name]:[Company name]],0)),0)</f>
        <v>0</v>
      </c>
      <c r="AC197" s="1">
        <f ca="1">IFERROR(INDEX(INDIRECT("Table3[Column"&amp;AC$9&amp;"]"),MATCH($L197,Table3[[Company name]:[Company name]],0)),0)</f>
        <v>0</v>
      </c>
      <c r="AD197" s="1">
        <f ca="1">IFERROR(INDEX(INDIRECT("Table3[Column"&amp;AD$9&amp;"]"),MATCH($L197,Table3[[Company name]:[Company name]],0)),0)</f>
        <v>0</v>
      </c>
      <c r="AE197" s="1">
        <f ca="1">IFERROR(INDEX(INDIRECT("Table3[Column"&amp;AE$9&amp;"]"),MATCH($L197,Table3[[Company name]:[Company name]],0)),0)</f>
        <v>10800</v>
      </c>
      <c r="AF197" s="1">
        <f ca="1">IFERROR(INDEX(INDIRECT("Table3[Column"&amp;AF$9&amp;"]"),MATCH($L197,Table3[[Company name]:[Company name]],0)),0)</f>
        <v>11250</v>
      </c>
      <c r="AG197" s="1">
        <f ca="1">IFERROR(INDEX(INDIRECT("Table3[Column"&amp;AG$9&amp;"]"),MATCH($L197,Table3[[Company name]:[Company name]],0)),0)</f>
        <v>19800</v>
      </c>
      <c r="AH197" s="1">
        <f ca="1">IFERROR(INDEX(INDIRECT("Table3[Column"&amp;AH$9&amp;"]"),MATCH($L197,Table3[[Company name]:[Company name]],0)),0)</f>
        <v>4500</v>
      </c>
      <c r="AI197" s="1">
        <f t="shared" ca="1" si="16"/>
        <v>46350</v>
      </c>
      <c r="AK197" s="1">
        <f>IF(COUNTIFS($J$7:$J$510,Table7[[#Headers],[Industry Essentials]],$C$7:$C$510,$L197)&gt;0,0,MROUND(R197,100))</f>
        <v>0</v>
      </c>
      <c r="AL197" s="1">
        <f ca="1">IF(COUNTIFS($J$7:$J$510,Table7[[#Headers],[Energy Supply Market Intelligence]],$C$7:$C$510,$L197)&gt;0,0,MROUND(IFERROR(S197*($P197/$AI197),0),100))</f>
        <v>0</v>
      </c>
      <c r="AM197" s="1">
        <f ca="1">IF(COUNTIFS($J$7:$J$510,Table7[[#Headers],[Energy Supply RTM Analysis]],$C$7:$C$510,$L197)&gt;0,0,MROUND(IFERROR(T197*($P197/$AI197),0),100))</f>
        <v>0</v>
      </c>
      <c r="AN197" s="1">
        <f ca="1">IF(COUNTIFS($J$7:$J$510,Table7[[#Headers],[Energy Supply Forecasts]],$C$7:$C$510,$L197)&gt;0,0,MROUND(IFERROR(U197*($P197/$AI197),0),100))</f>
        <v>0</v>
      </c>
      <c r="AO197" s="1">
        <f ca="1">IF(COUNTIFS($J$7:$J$510,Table7[[#Headers],[Energy Supply Regulation]],$C$7:$C$510,$L197)&gt;0,0,MROUND(IFERROR(V197*($P197/$AI197),0),100))</f>
        <v>0</v>
      </c>
      <c r="AP197" s="1">
        <f ca="1">IF(COUNTIFS($J$7:$J$510,Table7[[#Headers],[Renewables Market Intelligence]],$C$7:$C$510,$L197)&gt;0,0,MROUND(IFERROR(W197*($P197/$AI197),0),100))</f>
        <v>0</v>
      </c>
      <c r="AQ197" s="1">
        <f ca="1">IF(COUNTIFS($J$7:$J$510,Table7[[#Headers],[Renewables RTM Analysis]],$C$7:$C$510,$L197)&gt;0,0,MROUND(IFERROR(X197*($P197/$AI197),0),100))</f>
        <v>0</v>
      </c>
      <c r="AR197" s="1">
        <f ca="1">IF(COUNTIFS($J$7:$J$510,Table7[[#Headers],[Renewables Forecasts]],$C$7:$C$510,$L197)&gt;0,0,MROUND(IFERROR(Y197*($P197/$AI197),0),100))</f>
        <v>0</v>
      </c>
      <c r="AS197" s="1">
        <f ca="1">IF(COUNTIFS($J$7:$J$510,Table7[[#Headers],[Renewables Regulation]],$C$7:$C$510,$L197)&gt;0,0,MROUND(IFERROR(Z197*($P197/$AI197),0),100))</f>
        <v>0</v>
      </c>
      <c r="AT197" s="1">
        <f ca="1">IF(COUNTIFS($J$7:$J$510,Table7[[#Headers],[Flexibility Market Intelligence]],$C$7:$C$510,$L197)&gt;0,0,MROUND(IFERROR(AA197*($P197/$AI197),0),100))</f>
        <v>0</v>
      </c>
      <c r="AU197" s="1">
        <f ca="1">IF(COUNTIFS($J$7:$J$510,Table7[[#Headers],[Flexibility RTM Analysis]],$C$7:$C$510,$L197)&gt;0,0,MROUND(IFERROR(AB197*($P197/$AI197),0),100))</f>
        <v>0</v>
      </c>
      <c r="AV197" s="1">
        <f ca="1">IF(COUNTIFS($J$7:$J$510,Table7[[#Headers],[Flexibility Forecasts]],$C$7:$C$510,$L197)&gt;0,0,MROUND(IFERROR(AC197*($P197/$AI197),0),100))</f>
        <v>0</v>
      </c>
      <c r="AW197" s="1">
        <f ca="1">IF(COUNTIFS($J$7:$J$510,Table7[[#Headers],[Flexibility Regulation]],$C$7:$C$510,$L197)&gt;0,0,MROUND(IFERROR(AD197*($P197/$AI197),0),100))</f>
        <v>0</v>
      </c>
      <c r="AX197" s="1">
        <f ca="1">IF(COUNTIFS($J$7:$J$510,Table7[[#Headers],[Business Energy Essentials]],$C$7:$C$510,$L197)&gt;0,0,MROUND(IFERROR(AE197*($P197/$AI197),0),100))</f>
        <v>1900</v>
      </c>
      <c r="AY197" s="1">
        <f ca="1">IF(COUNTIFS($J$7:$J$510,Table7[[#Headers],[Energy User RTM Analysis]],$C$7:$C$510,$L197)&gt;0,0,MROUND(IFERROR(AF197*($P197/$AI197),0),100))</f>
        <v>2000</v>
      </c>
      <c r="AZ197" s="1">
        <f ca="1">IF(COUNTIFS($J$7:$J$510,Table7[[#Headers],[Energy User Forecasts]],$C$7:$C$510,$L197)&gt;0,0,MROUND(IFERROR(AG197*($P197/$AI197),0),100))</f>
        <v>3600</v>
      </c>
      <c r="BA197" s="1">
        <f ca="1">IF(COUNTIFS($J$7:$J$510,Table7[[#Headers],[Energy User Regulation]],$C$7:$C$510,$L197)&gt;0,0,MROUND(IFERROR(AH197*($P197/$AI197),0),100))</f>
        <v>800</v>
      </c>
    </row>
    <row r="198" spans="2:53">
      <c r="B198" s="38" t="s">
        <v>2175</v>
      </c>
      <c r="C198" s="38" t="s">
        <v>2176</v>
      </c>
      <c r="D198" s="38" t="s">
        <v>2177</v>
      </c>
      <c r="E198" s="38" t="s">
        <v>1881</v>
      </c>
      <c r="F198" s="63">
        <v>11999.97</v>
      </c>
      <c r="G198" s="38"/>
      <c r="H198" s="38" t="s">
        <v>2031</v>
      </c>
      <c r="I198" s="38" t="s">
        <v>2031</v>
      </c>
      <c r="J198" s="38" t="s">
        <v>24</v>
      </c>
      <c r="L198" s="1" t="str">
        <v>The Green Energy Advice Bureau</v>
      </c>
      <c r="M198" s="1" t="str">
        <f t="shared" si="12"/>
        <v>Supply</v>
      </c>
      <c r="N198" s="109">
        <f t="shared" si="13"/>
        <v>9500</v>
      </c>
      <c r="O198" s="1">
        <f>IFERROR(IF(INDEX(Table3[[Total Spend]:[Total Spend]],MATCH(L198,Table3[[Company name]:[Company name]],0))&gt;N198,INDEX(Table3[[Total Spend]:[Total Spend]],MATCH(L198,Table3[[Company name]:[Company name]])),N198),50000)</f>
        <v>10000</v>
      </c>
      <c r="P198" s="109">
        <f t="shared" si="14"/>
        <v>500</v>
      </c>
      <c r="Q198" s="103">
        <f t="shared" si="15"/>
        <v>0.95</v>
      </c>
      <c r="R198" s="1">
        <f ca="1">IFERROR(INDEX(INDIRECT("Table3[Column"&amp;R$9&amp;"]"),MATCH($L198,Table3[[Company name]:[Company name]],0)),0)</f>
        <v>8100</v>
      </c>
      <c r="S198" s="1">
        <f ca="1">IFERROR(INDEX(INDIRECT("Table3[Column"&amp;S$9&amp;"]"),MATCH($L198,Table3[[Company name]:[Company name]],0)),0)</f>
        <v>30600</v>
      </c>
      <c r="T198" s="1">
        <f ca="1">IFERROR(INDEX(INDIRECT("Table3[Column"&amp;T$9&amp;"]"),MATCH($L198,Table3[[Company name]:[Company name]],0)),0)</f>
        <v>53100</v>
      </c>
      <c r="U198" s="1">
        <f ca="1">IFERROR(INDEX(INDIRECT("Table3[Column"&amp;U$9&amp;"]"),MATCH($L198,Table3[[Company name]:[Company name]],0)),0)</f>
        <v>34200</v>
      </c>
      <c r="V198" s="1">
        <f ca="1">IFERROR(INDEX(INDIRECT("Table3[Column"&amp;V$9&amp;"]"),MATCH($L198,Table3[[Company name]:[Company name]],0)),0)</f>
        <v>0</v>
      </c>
      <c r="W198" s="1">
        <f ca="1">IFERROR(INDEX(INDIRECT("Table3[Column"&amp;W$9&amp;"]"),MATCH($L198,Table3[[Company name]:[Company name]],0)),0)</f>
        <v>0</v>
      </c>
      <c r="X198" s="1">
        <f ca="1">IFERROR(INDEX(INDIRECT("Table3[Column"&amp;X$9&amp;"]"),MATCH($L198,Table3[[Company name]:[Company name]],0)),0)</f>
        <v>0</v>
      </c>
      <c r="Y198" s="1">
        <f ca="1">IFERROR(INDEX(INDIRECT("Table3[Column"&amp;Y$9&amp;"]"),MATCH($L198,Table3[[Company name]:[Company name]],0)),0)</f>
        <v>0</v>
      </c>
      <c r="Z198" s="1">
        <f ca="1">IFERROR(INDEX(INDIRECT("Table3[Column"&amp;Z$9&amp;"]"),MATCH($L198,Table3[[Company name]:[Company name]],0)),0)</f>
        <v>0</v>
      </c>
      <c r="AA198" s="1">
        <f ca="1">IFERROR(INDEX(INDIRECT("Table3[Column"&amp;AA$9&amp;"]"),MATCH($L198,Table3[[Company name]:[Company name]],0)),0)</f>
        <v>0</v>
      </c>
      <c r="AB198" s="1">
        <f ca="1">IFERROR(INDEX(INDIRECT("Table3[Column"&amp;AB$9&amp;"]"),MATCH($L198,Table3[[Company name]:[Company name]],0)),0)</f>
        <v>0</v>
      </c>
      <c r="AC198" s="1">
        <f ca="1">IFERROR(INDEX(INDIRECT("Table3[Column"&amp;AC$9&amp;"]"),MATCH($L198,Table3[[Company name]:[Company name]],0)),0)</f>
        <v>0</v>
      </c>
      <c r="AD198" s="1">
        <f ca="1">IFERROR(INDEX(INDIRECT("Table3[Column"&amp;AD$9&amp;"]"),MATCH($L198,Table3[[Company name]:[Company name]],0)),0)</f>
        <v>0</v>
      </c>
      <c r="AE198" s="1">
        <f ca="1">IFERROR(INDEX(INDIRECT("Table3[Column"&amp;AE$9&amp;"]"),MATCH($L198,Table3[[Company name]:[Company name]],0)),0)</f>
        <v>0</v>
      </c>
      <c r="AF198" s="1">
        <f ca="1">IFERROR(INDEX(INDIRECT("Table3[Column"&amp;AF$9&amp;"]"),MATCH($L198,Table3[[Company name]:[Company name]],0)),0)</f>
        <v>11250</v>
      </c>
      <c r="AG198" s="1">
        <f ca="1">IFERROR(INDEX(INDIRECT("Table3[Column"&amp;AG$9&amp;"]"),MATCH($L198,Table3[[Company name]:[Company name]],0)),0)</f>
        <v>0</v>
      </c>
      <c r="AH198" s="1">
        <f ca="1">IFERROR(INDEX(INDIRECT("Table3[Column"&amp;AH$9&amp;"]"),MATCH($L198,Table3[[Company name]:[Company name]],0)),0)</f>
        <v>0</v>
      </c>
      <c r="AI198" s="1">
        <f t="shared" ca="1" si="16"/>
        <v>137250</v>
      </c>
      <c r="AK198" s="1">
        <f ca="1">IF(COUNTIFS($J$7:$J$510,Table7[[#Headers],[Industry Essentials]],$C$7:$C$510,$L198)&gt;0,0,MROUND(R198,100))</f>
        <v>8100</v>
      </c>
      <c r="AL198" s="1">
        <f ca="1">IF(COUNTIFS($J$7:$J$510,Table7[[#Headers],[Energy Supply Market Intelligence]],$C$7:$C$510,$L198)&gt;0,0,MROUND(IFERROR(S198*($P198/$AI198),0),100))</f>
        <v>100</v>
      </c>
      <c r="AM198" s="1">
        <f>IF(COUNTIFS($J$7:$J$510,Table7[[#Headers],[Energy Supply RTM Analysis]],$C$7:$C$510,$L198)&gt;0,0,MROUND(IFERROR(T198*($P198/$AI198),0),100))</f>
        <v>0</v>
      </c>
      <c r="AN198" s="1">
        <f ca="1">IF(COUNTIFS($J$7:$J$510,Table7[[#Headers],[Energy Supply Forecasts]],$C$7:$C$510,$L198)&gt;0,0,MROUND(IFERROR(U198*($P198/$AI198),0),100))</f>
        <v>100</v>
      </c>
      <c r="AO198" s="1">
        <f ca="1">IF(COUNTIFS($J$7:$J$510,Table7[[#Headers],[Energy Supply Regulation]],$C$7:$C$510,$L198)&gt;0,0,MROUND(IFERROR(V198*($P198/$AI198),0),100))</f>
        <v>0</v>
      </c>
      <c r="AP198" s="1">
        <f ca="1">IF(COUNTIFS($J$7:$J$510,Table7[[#Headers],[Renewables Market Intelligence]],$C$7:$C$510,$L198)&gt;0,0,MROUND(IFERROR(W198*($P198/$AI198),0),100))</f>
        <v>0</v>
      </c>
      <c r="AQ198" s="1">
        <f ca="1">IF(COUNTIFS($J$7:$J$510,Table7[[#Headers],[Renewables RTM Analysis]],$C$7:$C$510,$L198)&gt;0,0,MROUND(IFERROR(X198*($P198/$AI198),0),100))</f>
        <v>0</v>
      </c>
      <c r="AR198" s="1">
        <f ca="1">IF(COUNTIFS($J$7:$J$510,Table7[[#Headers],[Renewables Forecasts]],$C$7:$C$510,$L198)&gt;0,0,MROUND(IFERROR(Y198*($P198/$AI198),0),100))</f>
        <v>0</v>
      </c>
      <c r="AS198" s="1">
        <f ca="1">IF(COUNTIFS($J$7:$J$510,Table7[[#Headers],[Renewables Regulation]],$C$7:$C$510,$L198)&gt;0,0,MROUND(IFERROR(Z198*($P198/$AI198),0),100))</f>
        <v>0</v>
      </c>
      <c r="AT198" s="1">
        <f ca="1">IF(COUNTIFS($J$7:$J$510,Table7[[#Headers],[Flexibility Market Intelligence]],$C$7:$C$510,$L198)&gt;0,0,MROUND(IFERROR(AA198*($P198/$AI198),0),100))</f>
        <v>0</v>
      </c>
      <c r="AU198" s="1">
        <f ca="1">IF(COUNTIFS($J$7:$J$510,Table7[[#Headers],[Flexibility RTM Analysis]],$C$7:$C$510,$L198)&gt;0,0,MROUND(IFERROR(AB198*($P198/$AI198),0),100))</f>
        <v>0</v>
      </c>
      <c r="AV198" s="1">
        <f ca="1">IF(COUNTIFS($J$7:$J$510,Table7[[#Headers],[Flexibility Forecasts]],$C$7:$C$510,$L198)&gt;0,0,MROUND(IFERROR(AC198*($P198/$AI198),0),100))</f>
        <v>0</v>
      </c>
      <c r="AW198" s="1">
        <f ca="1">IF(COUNTIFS($J$7:$J$510,Table7[[#Headers],[Flexibility Regulation]],$C$7:$C$510,$L198)&gt;0,0,MROUND(IFERROR(AD198*($P198/$AI198),0),100))</f>
        <v>0</v>
      </c>
      <c r="AX198" s="1">
        <f ca="1">IF(COUNTIFS($J$7:$J$510,Table7[[#Headers],[Business Energy Essentials]],$C$7:$C$510,$L198)&gt;0,0,MROUND(IFERROR(AE198*($P198/$AI198),0),100))</f>
        <v>0</v>
      </c>
      <c r="AY198" s="1">
        <f ca="1">IF(COUNTIFS($J$7:$J$510,Table7[[#Headers],[Energy User RTM Analysis]],$C$7:$C$510,$L198)&gt;0,0,MROUND(IFERROR(AF198*($P198/$AI198),0),100))</f>
        <v>0</v>
      </c>
      <c r="AZ198" s="1">
        <f ca="1">IF(COUNTIFS($J$7:$J$510,Table7[[#Headers],[Energy User Forecasts]],$C$7:$C$510,$L198)&gt;0,0,MROUND(IFERROR(AG198*($P198/$AI198),0),100))</f>
        <v>0</v>
      </c>
      <c r="BA198" s="1">
        <f ca="1">IF(COUNTIFS($J$7:$J$510,Table7[[#Headers],[Energy User Regulation]],$C$7:$C$510,$L198)&gt;0,0,MROUND(IFERROR(AH198*($P198/$AI198),0),100))</f>
        <v>0</v>
      </c>
    </row>
    <row r="199" spans="2:53">
      <c r="B199" s="38" t="s">
        <v>2178</v>
      </c>
      <c r="C199" s="38" t="s">
        <v>388</v>
      </c>
      <c r="D199" s="38" t="s">
        <v>2034</v>
      </c>
      <c r="E199" s="38" t="s">
        <v>1864</v>
      </c>
      <c r="F199" s="63">
        <v>16164</v>
      </c>
      <c r="G199" s="38"/>
      <c r="H199" s="38" t="s">
        <v>1702</v>
      </c>
      <c r="I199" s="38" t="s">
        <v>1702</v>
      </c>
      <c r="J199" s="38" t="s">
        <v>27</v>
      </c>
      <c r="L199" s="1" t="str">
        <v>Thermal Storage UK Ltd</v>
      </c>
      <c r="M199" s="1" t="str">
        <f t="shared" si="12"/>
        <v>Flexibility</v>
      </c>
      <c r="N199" s="109">
        <f t="shared" si="13"/>
        <v>950</v>
      </c>
      <c r="O199" s="1">
        <f>IFERROR(IF(INDEX(Table3[[Total Spend]:[Total Spend]],MATCH(L199,Table3[[Company name]:[Company name]],0))&gt;N199,INDEX(Table3[[Total Spend]:[Total Spend]],MATCH(L199,Table3[[Company name]:[Company name]])),N199),50000)</f>
        <v>10000</v>
      </c>
      <c r="P199" s="109">
        <f t="shared" si="14"/>
        <v>9050</v>
      </c>
      <c r="Q199" s="103">
        <f t="shared" si="15"/>
        <v>9.5000000000000001E-2</v>
      </c>
      <c r="R199" s="1">
        <f ca="1">IFERROR(INDEX(INDIRECT("Table3[Column"&amp;R$9&amp;"]"),MATCH($L199,Table3[[Company name]:[Company name]],0)),0)</f>
        <v>8100</v>
      </c>
      <c r="S199" s="1">
        <f ca="1">IFERROR(INDEX(INDIRECT("Table3[Column"&amp;S$9&amp;"]"),MATCH($L199,Table3[[Company name]:[Company name]],0)),0)</f>
        <v>0</v>
      </c>
      <c r="T199" s="1">
        <f ca="1">IFERROR(INDEX(INDIRECT("Table3[Column"&amp;T$9&amp;"]"),MATCH($L199,Table3[[Company name]:[Company name]],0)),0)</f>
        <v>0</v>
      </c>
      <c r="U199" s="1">
        <f ca="1">IFERROR(INDEX(INDIRECT("Table3[Column"&amp;U$9&amp;"]"),MATCH($L199,Table3[[Company name]:[Company name]],0)),0)</f>
        <v>0</v>
      </c>
      <c r="V199" s="1">
        <f ca="1">IFERROR(INDEX(INDIRECT("Table3[Column"&amp;V$9&amp;"]"),MATCH($L199,Table3[[Company name]:[Company name]],0)),0)</f>
        <v>0</v>
      </c>
      <c r="W199" s="1">
        <f ca="1">IFERROR(INDEX(INDIRECT("Table3[Column"&amp;W$9&amp;"]"),MATCH($L199,Table3[[Company name]:[Company name]],0)),0)</f>
        <v>0</v>
      </c>
      <c r="X199" s="1">
        <f ca="1">IFERROR(INDEX(INDIRECT("Table3[Column"&amp;X$9&amp;"]"),MATCH($L199,Table3[[Company name]:[Company name]],0)),0)</f>
        <v>0</v>
      </c>
      <c r="Y199" s="1">
        <f ca="1">IFERROR(INDEX(INDIRECT("Table3[Column"&amp;Y$9&amp;"]"),MATCH($L199,Table3[[Company name]:[Company name]],0)),0)</f>
        <v>0</v>
      </c>
      <c r="Z199" s="1">
        <f ca="1">IFERROR(INDEX(INDIRECT("Table3[Column"&amp;Z$9&amp;"]"),MATCH($L199,Table3[[Company name]:[Company name]],0)),0)</f>
        <v>0</v>
      </c>
      <c r="AA199" s="1">
        <f ca="1">IFERROR(INDEX(INDIRECT("Table3[Column"&amp;AA$9&amp;"]"),MATCH($L199,Table3[[Company name]:[Company name]],0)),0)</f>
        <v>0</v>
      </c>
      <c r="AB199" s="1">
        <f ca="1">IFERROR(INDEX(INDIRECT("Table3[Column"&amp;AB$9&amp;"]"),MATCH($L199,Table3[[Company name]:[Company name]],0)),0)</f>
        <v>0</v>
      </c>
      <c r="AC199" s="1">
        <f ca="1">IFERROR(INDEX(INDIRECT("Table3[Column"&amp;AC$9&amp;"]"),MATCH($L199,Table3[[Company name]:[Company name]],0)),0)</f>
        <v>0</v>
      </c>
      <c r="AD199" s="1">
        <f ca="1">IFERROR(INDEX(INDIRECT("Table3[Column"&amp;AD$9&amp;"]"),MATCH($L199,Table3[[Company name]:[Company name]],0)),0)</f>
        <v>0</v>
      </c>
      <c r="AE199" s="1">
        <f ca="1">IFERROR(INDEX(INDIRECT("Table3[Column"&amp;AE$9&amp;"]"),MATCH($L199,Table3[[Company name]:[Company name]],0)),0)</f>
        <v>0</v>
      </c>
      <c r="AF199" s="1">
        <f ca="1">IFERROR(INDEX(INDIRECT("Table3[Column"&amp;AF$9&amp;"]"),MATCH($L199,Table3[[Company name]:[Company name]],0)),0)</f>
        <v>0</v>
      </c>
      <c r="AG199" s="1">
        <f ca="1">IFERROR(INDEX(INDIRECT("Table3[Column"&amp;AG$9&amp;"]"),MATCH($L199,Table3[[Company name]:[Company name]],0)),0)</f>
        <v>0</v>
      </c>
      <c r="AH199" s="1">
        <f ca="1">IFERROR(INDEX(INDIRECT("Table3[Column"&amp;AH$9&amp;"]"),MATCH($L199,Table3[[Company name]:[Company name]],0)),0)</f>
        <v>0</v>
      </c>
      <c r="AI199" s="1">
        <f t="shared" ca="1" si="16"/>
        <v>8100</v>
      </c>
      <c r="AK199" s="1">
        <f>IF(COUNTIFS($J$7:$J$510,Table7[[#Headers],[Industry Essentials]],$C$7:$C$510,$L199)&gt;0,0,MROUND(R199,100))</f>
        <v>0</v>
      </c>
      <c r="AL199" s="1">
        <f ca="1">IF(COUNTIFS($J$7:$J$510,Table7[[#Headers],[Energy Supply Market Intelligence]],$C$7:$C$510,$L199)&gt;0,0,MROUND(IFERROR(S199*($P199/$AI199),0),100))</f>
        <v>0</v>
      </c>
      <c r="AM199" s="1">
        <f ca="1">IF(COUNTIFS($J$7:$J$510,Table7[[#Headers],[Energy Supply RTM Analysis]],$C$7:$C$510,$L199)&gt;0,0,MROUND(IFERROR(T199*($P199/$AI199),0),100))</f>
        <v>0</v>
      </c>
      <c r="AN199" s="1">
        <f ca="1">IF(COUNTIFS($J$7:$J$510,Table7[[#Headers],[Energy Supply Forecasts]],$C$7:$C$510,$L199)&gt;0,0,MROUND(IFERROR(U199*($P199/$AI199),0),100))</f>
        <v>0</v>
      </c>
      <c r="AO199" s="1">
        <f ca="1">IF(COUNTIFS($J$7:$J$510,Table7[[#Headers],[Energy Supply Regulation]],$C$7:$C$510,$L199)&gt;0,0,MROUND(IFERROR(V199*($P199/$AI199),0),100))</f>
        <v>0</v>
      </c>
      <c r="AP199" s="1">
        <f ca="1">IF(COUNTIFS($J$7:$J$510,Table7[[#Headers],[Renewables Market Intelligence]],$C$7:$C$510,$L199)&gt;0,0,MROUND(IFERROR(W199*($P199/$AI199),0),100))</f>
        <v>0</v>
      </c>
      <c r="AQ199" s="1">
        <f ca="1">IF(COUNTIFS($J$7:$J$510,Table7[[#Headers],[Renewables RTM Analysis]],$C$7:$C$510,$L199)&gt;0,0,MROUND(IFERROR(X199*($P199/$AI199),0),100))</f>
        <v>0</v>
      </c>
      <c r="AR199" s="1">
        <f ca="1">IF(COUNTIFS($J$7:$J$510,Table7[[#Headers],[Renewables Forecasts]],$C$7:$C$510,$L199)&gt;0,0,MROUND(IFERROR(Y199*($P199/$AI199),0),100))</f>
        <v>0</v>
      </c>
      <c r="AS199" s="1">
        <f ca="1">IF(COUNTIFS($J$7:$J$510,Table7[[#Headers],[Renewables Regulation]],$C$7:$C$510,$L199)&gt;0,0,MROUND(IFERROR(Z199*($P199/$AI199),0),100))</f>
        <v>0</v>
      </c>
      <c r="AT199" s="1">
        <f ca="1">IF(COUNTIFS($J$7:$J$510,Table7[[#Headers],[Flexibility Market Intelligence]],$C$7:$C$510,$L199)&gt;0,0,MROUND(IFERROR(AA199*($P199/$AI199),0),100))</f>
        <v>0</v>
      </c>
      <c r="AU199" s="1">
        <f ca="1">IF(COUNTIFS($J$7:$J$510,Table7[[#Headers],[Flexibility RTM Analysis]],$C$7:$C$510,$L199)&gt;0,0,MROUND(IFERROR(AB199*($P199/$AI199),0),100))</f>
        <v>0</v>
      </c>
      <c r="AV199" s="1">
        <f ca="1">IF(COUNTIFS($J$7:$J$510,Table7[[#Headers],[Flexibility Forecasts]],$C$7:$C$510,$L199)&gt;0,0,MROUND(IFERROR(AC199*($P199/$AI199),0),100))</f>
        <v>0</v>
      </c>
      <c r="AW199" s="1">
        <f ca="1">IF(COUNTIFS($J$7:$J$510,Table7[[#Headers],[Flexibility Regulation]],$C$7:$C$510,$L199)&gt;0,0,MROUND(IFERROR(AD199*($P199/$AI199),0),100))</f>
        <v>0</v>
      </c>
      <c r="AX199" s="1">
        <f ca="1">IF(COUNTIFS($J$7:$J$510,Table7[[#Headers],[Business Energy Essentials]],$C$7:$C$510,$L199)&gt;0,0,MROUND(IFERROR(AE199*($P199/$AI199),0),100))</f>
        <v>0</v>
      </c>
      <c r="AY199" s="1">
        <f ca="1">IF(COUNTIFS($J$7:$J$510,Table7[[#Headers],[Energy User RTM Analysis]],$C$7:$C$510,$L199)&gt;0,0,MROUND(IFERROR(AF199*($P199/$AI199),0),100))</f>
        <v>0</v>
      </c>
      <c r="AZ199" s="1">
        <f ca="1">IF(COUNTIFS($J$7:$J$510,Table7[[#Headers],[Energy User Forecasts]],$C$7:$C$510,$L199)&gt;0,0,MROUND(IFERROR(AG199*($P199/$AI199),0),100))</f>
        <v>0</v>
      </c>
      <c r="BA199" s="1">
        <f ca="1">IF(COUNTIFS($J$7:$J$510,Table7[[#Headers],[Energy User Regulation]],$C$7:$C$510,$L199)&gt;0,0,MROUND(IFERROR(AH199*($P199/$AI199),0),100))</f>
        <v>0</v>
      </c>
    </row>
    <row r="200" spans="2:53">
      <c r="B200" s="38" t="s">
        <v>2179</v>
      </c>
      <c r="C200" s="38" t="s">
        <v>1013</v>
      </c>
      <c r="D200" s="38" t="s">
        <v>2034</v>
      </c>
      <c r="E200" s="38" t="s">
        <v>1864</v>
      </c>
      <c r="F200" s="63">
        <v>9999.9999999999982</v>
      </c>
      <c r="G200" s="38"/>
      <c r="H200" s="38" t="s">
        <v>1703</v>
      </c>
      <c r="I200" s="38" t="s">
        <v>1703</v>
      </c>
      <c r="J200" s="38" t="s">
        <v>27</v>
      </c>
      <c r="L200" s="1" t="str">
        <v>Thrive Renewables PLC</v>
      </c>
      <c r="M200" s="1" t="str">
        <f t="shared" si="12"/>
        <v>Renewables</v>
      </c>
      <c r="N200" s="109">
        <f t="shared" si="13"/>
        <v>9500</v>
      </c>
      <c r="O200" s="1">
        <f>IFERROR(IF(INDEX(Table3[[Total Spend]:[Total Spend]],MATCH(L200,Table3[[Company name]:[Company name]],0))&gt;N200,INDEX(Table3[[Total Spend]:[Total Spend]],MATCH(L200,Table3[[Company name]:[Company name]])),N200),50000)</f>
        <v>10000</v>
      </c>
      <c r="P200" s="109">
        <f t="shared" si="14"/>
        <v>500</v>
      </c>
      <c r="Q200" s="103">
        <f t="shared" si="15"/>
        <v>0.95</v>
      </c>
      <c r="R200" s="1">
        <f ca="1">IFERROR(INDEX(INDIRECT("Table3[Column"&amp;R$9&amp;"]"),MATCH($L200,Table3[[Company name]:[Company name]],0)),0)</f>
        <v>8100</v>
      </c>
      <c r="S200" s="1">
        <f ca="1">IFERROR(INDEX(INDIRECT("Table3[Column"&amp;S$9&amp;"]"),MATCH($L200,Table3[[Company name]:[Company name]],0)),0)</f>
        <v>0</v>
      </c>
      <c r="T200" s="1">
        <f ca="1">IFERROR(INDEX(INDIRECT("Table3[Column"&amp;T$9&amp;"]"),MATCH($L200,Table3[[Company name]:[Company name]],0)),0)</f>
        <v>0</v>
      </c>
      <c r="U200" s="1">
        <f ca="1">IFERROR(INDEX(INDIRECT("Table3[Column"&amp;U$9&amp;"]"),MATCH($L200,Table3[[Company name]:[Company name]],0)),0)</f>
        <v>0</v>
      </c>
      <c r="V200" s="1">
        <f ca="1">IFERROR(INDEX(INDIRECT("Table3[Column"&amp;V$9&amp;"]"),MATCH($L200,Table3[[Company name]:[Company name]],0)),0)</f>
        <v>0</v>
      </c>
      <c r="W200" s="1">
        <f ca="1">IFERROR(INDEX(INDIRECT("Table3[Column"&amp;W$9&amp;"]"),MATCH($L200,Table3[[Company name]:[Company name]],0)),0)</f>
        <v>17100</v>
      </c>
      <c r="X200" s="1">
        <f ca="1">IFERROR(INDEX(INDIRECT("Table3[Column"&amp;X$9&amp;"]"),MATCH($L200,Table3[[Company name]:[Company name]],0)),0)</f>
        <v>15300</v>
      </c>
      <c r="Y200" s="1">
        <f ca="1">IFERROR(INDEX(INDIRECT("Table3[Column"&amp;Y$9&amp;"]"),MATCH($L200,Table3[[Company name]:[Company name]],0)),0)</f>
        <v>42300</v>
      </c>
      <c r="Z200" s="1">
        <f ca="1">IFERROR(INDEX(INDIRECT("Table3[Column"&amp;Z$9&amp;"]"),MATCH($L200,Table3[[Company name]:[Company name]],0)),0)</f>
        <v>18900</v>
      </c>
      <c r="AA200" s="1">
        <f ca="1">IFERROR(INDEX(INDIRECT("Table3[Column"&amp;AA$9&amp;"]"),MATCH($L200,Table3[[Company name]:[Company name]],0)),0)</f>
        <v>0</v>
      </c>
      <c r="AB200" s="1">
        <f ca="1">IFERROR(INDEX(INDIRECT("Table3[Column"&amp;AB$9&amp;"]"),MATCH($L200,Table3[[Company name]:[Company name]],0)),0)</f>
        <v>0</v>
      </c>
      <c r="AC200" s="1">
        <f ca="1">IFERROR(INDEX(INDIRECT("Table3[Column"&amp;AC$9&amp;"]"),MATCH($L200,Table3[[Company name]:[Company name]],0)),0)</f>
        <v>0</v>
      </c>
      <c r="AD200" s="1">
        <f ca="1">IFERROR(INDEX(INDIRECT("Table3[Column"&amp;AD$9&amp;"]"),MATCH($L200,Table3[[Company name]:[Company name]],0)),0)</f>
        <v>0</v>
      </c>
      <c r="AE200" s="1">
        <f ca="1">IFERROR(INDEX(INDIRECT("Table3[Column"&amp;AE$9&amp;"]"),MATCH($L200,Table3[[Company name]:[Company name]],0)),0)</f>
        <v>0</v>
      </c>
      <c r="AF200" s="1">
        <f ca="1">IFERROR(INDEX(INDIRECT("Table3[Column"&amp;AF$9&amp;"]"),MATCH($L200,Table3[[Company name]:[Company name]],0)),0)</f>
        <v>0</v>
      </c>
      <c r="AG200" s="1">
        <f ca="1">IFERROR(INDEX(INDIRECT("Table3[Column"&amp;AG$9&amp;"]"),MATCH($L200,Table3[[Company name]:[Company name]],0)),0)</f>
        <v>0</v>
      </c>
      <c r="AH200" s="1">
        <f ca="1">IFERROR(INDEX(INDIRECT("Table3[Column"&amp;AH$9&amp;"]"),MATCH($L200,Table3[[Company name]:[Company name]],0)),0)</f>
        <v>0</v>
      </c>
      <c r="AI200" s="1">
        <f t="shared" ca="1" si="16"/>
        <v>101700</v>
      </c>
      <c r="AK200" s="1">
        <f ca="1">IF(COUNTIFS($J$7:$J$510,Table7[[#Headers],[Industry Essentials]],$C$7:$C$510,$L200)&gt;0,0,MROUND(R200,100))</f>
        <v>8100</v>
      </c>
      <c r="AL200" s="1">
        <f ca="1">IF(COUNTIFS($J$7:$J$510,Table7[[#Headers],[Energy Supply Market Intelligence]],$C$7:$C$510,$L200)&gt;0,0,MROUND(IFERROR(S200*($P200/$AI200),0),100))</f>
        <v>0</v>
      </c>
      <c r="AM200" s="1">
        <f ca="1">IF(COUNTIFS($J$7:$J$510,Table7[[#Headers],[Energy Supply RTM Analysis]],$C$7:$C$510,$L200)&gt;0,0,MROUND(IFERROR(T200*($P200/$AI200),0),100))</f>
        <v>0</v>
      </c>
      <c r="AN200" s="1">
        <f ca="1">IF(COUNTIFS($J$7:$J$510,Table7[[#Headers],[Energy Supply Forecasts]],$C$7:$C$510,$L200)&gt;0,0,MROUND(IFERROR(U200*($P200/$AI200),0),100))</f>
        <v>0</v>
      </c>
      <c r="AO200" s="1">
        <f ca="1">IF(COUNTIFS($J$7:$J$510,Table7[[#Headers],[Energy Supply Regulation]],$C$7:$C$510,$L200)&gt;0,0,MROUND(IFERROR(V200*($P200/$AI200),0),100))</f>
        <v>0</v>
      </c>
      <c r="AP200" s="1">
        <f>IF(COUNTIFS($J$7:$J$510,Table7[[#Headers],[Renewables Market Intelligence]],$C$7:$C$510,$L200)&gt;0,0,MROUND(IFERROR(W200*($P200/$AI200),0),100))</f>
        <v>0</v>
      </c>
      <c r="AQ200" s="1">
        <f ca="1">IF(COUNTIFS($J$7:$J$510,Table7[[#Headers],[Renewables RTM Analysis]],$C$7:$C$510,$L200)&gt;0,0,MROUND(IFERROR(X200*($P200/$AI200),0),100))</f>
        <v>100</v>
      </c>
      <c r="AR200" s="1">
        <f ca="1">IF(COUNTIFS($J$7:$J$510,Table7[[#Headers],[Renewables Forecasts]],$C$7:$C$510,$L200)&gt;0,0,MROUND(IFERROR(Y200*($P200/$AI200),0),100))</f>
        <v>200</v>
      </c>
      <c r="AS200" s="1">
        <f ca="1">IF(COUNTIFS($J$7:$J$510,Table7[[#Headers],[Renewables Regulation]],$C$7:$C$510,$L200)&gt;0,0,MROUND(IFERROR(Z200*($P200/$AI200),0),100))</f>
        <v>100</v>
      </c>
      <c r="AT200" s="1">
        <f ca="1">IF(COUNTIFS($J$7:$J$510,Table7[[#Headers],[Flexibility Market Intelligence]],$C$7:$C$510,$L200)&gt;0,0,MROUND(IFERROR(AA200*($P200/$AI200),0),100))</f>
        <v>0</v>
      </c>
      <c r="AU200" s="1">
        <f ca="1">IF(COUNTIFS($J$7:$J$510,Table7[[#Headers],[Flexibility RTM Analysis]],$C$7:$C$510,$L200)&gt;0,0,MROUND(IFERROR(AB200*($P200/$AI200),0),100))</f>
        <v>0</v>
      </c>
      <c r="AV200" s="1">
        <f ca="1">IF(COUNTIFS($J$7:$J$510,Table7[[#Headers],[Flexibility Forecasts]],$C$7:$C$510,$L200)&gt;0,0,MROUND(IFERROR(AC200*($P200/$AI200),0),100))</f>
        <v>0</v>
      </c>
      <c r="AW200" s="1">
        <f ca="1">IF(COUNTIFS($J$7:$J$510,Table7[[#Headers],[Flexibility Regulation]],$C$7:$C$510,$L200)&gt;0,0,MROUND(IFERROR(AD200*($P200/$AI200),0),100))</f>
        <v>0</v>
      </c>
      <c r="AX200" s="1">
        <f ca="1">IF(COUNTIFS($J$7:$J$510,Table7[[#Headers],[Business Energy Essentials]],$C$7:$C$510,$L200)&gt;0,0,MROUND(IFERROR(AE200*($P200/$AI200),0),100))</f>
        <v>0</v>
      </c>
      <c r="AY200" s="1">
        <f ca="1">IF(COUNTIFS($J$7:$J$510,Table7[[#Headers],[Energy User RTM Analysis]],$C$7:$C$510,$L200)&gt;0,0,MROUND(IFERROR(AF200*($P200/$AI200),0),100))</f>
        <v>0</v>
      </c>
      <c r="AZ200" s="1">
        <f ca="1">IF(COUNTIFS($J$7:$J$510,Table7[[#Headers],[Energy User Forecasts]],$C$7:$C$510,$L200)&gt;0,0,MROUND(IFERROR(AG200*($P200/$AI200),0),100))</f>
        <v>0</v>
      </c>
      <c r="BA200" s="1">
        <f ca="1">IF(COUNTIFS($J$7:$J$510,Table7[[#Headers],[Energy User Regulation]],$C$7:$C$510,$L200)&gt;0,0,MROUND(IFERROR(AH200*($P200/$AI200),0),100))</f>
        <v>0</v>
      </c>
    </row>
    <row r="201" spans="2:53">
      <c r="B201" s="38" t="s">
        <v>2179</v>
      </c>
      <c r="C201" s="38" t="s">
        <v>1013</v>
      </c>
      <c r="D201" s="38" t="s">
        <v>2125</v>
      </c>
      <c r="E201" s="38" t="s">
        <v>1895</v>
      </c>
      <c r="F201" s="63">
        <v>9250</v>
      </c>
      <c r="G201" s="38"/>
      <c r="H201" s="38" t="s">
        <v>1703</v>
      </c>
      <c r="I201" s="38" t="s">
        <v>1703</v>
      </c>
      <c r="J201" s="38" t="s">
        <v>29</v>
      </c>
      <c r="L201" s="1" t="str">
        <v>TMA Data Management Limited</v>
      </c>
      <c r="M201" s="1" t="str">
        <f t="shared" si="12"/>
        <v>Supply</v>
      </c>
      <c r="N201" s="109">
        <f t="shared" si="13"/>
        <v>4622</v>
      </c>
      <c r="O201" s="1">
        <f>IFERROR(IF(INDEX(Table3[[Total Spend]:[Total Spend]],MATCH(L201,Table3[[Company name]:[Company name]],0))&gt;N201,INDEX(Table3[[Total Spend]:[Total Spend]],MATCH(L201,Table3[[Company name]:[Company name]])),N201),50000)</f>
        <v>10000</v>
      </c>
      <c r="P201" s="109">
        <f t="shared" si="14"/>
        <v>5378</v>
      </c>
      <c r="Q201" s="103">
        <f t="shared" si="15"/>
        <v>0.4622</v>
      </c>
      <c r="R201" s="1">
        <f ca="1">IFERROR(INDEX(INDIRECT("Table3[Column"&amp;R$9&amp;"]"),MATCH($L201,Table3[[Company name]:[Company name]],0)),0)</f>
        <v>8100</v>
      </c>
      <c r="S201" s="1">
        <f ca="1">IFERROR(INDEX(INDIRECT("Table3[Column"&amp;S$9&amp;"]"),MATCH($L201,Table3[[Company name]:[Company name]],0)),0)</f>
        <v>0</v>
      </c>
      <c r="T201" s="1">
        <f ca="1">IFERROR(INDEX(INDIRECT("Table3[Column"&amp;T$9&amp;"]"),MATCH($L201,Table3[[Company name]:[Company name]],0)),0)</f>
        <v>0</v>
      </c>
      <c r="U201" s="1">
        <f ca="1">IFERROR(INDEX(INDIRECT("Table3[Column"&amp;U$9&amp;"]"),MATCH($L201,Table3[[Company name]:[Company name]],0)),0)</f>
        <v>0</v>
      </c>
      <c r="V201" s="1">
        <f ca="1">IFERROR(INDEX(INDIRECT("Table3[Column"&amp;V$9&amp;"]"),MATCH($L201,Table3[[Company name]:[Company name]],0)),0)</f>
        <v>39600</v>
      </c>
      <c r="W201" s="1">
        <f ca="1">IFERROR(INDEX(INDIRECT("Table3[Column"&amp;W$9&amp;"]"),MATCH($L201,Table3[[Company name]:[Company name]],0)),0)</f>
        <v>0</v>
      </c>
      <c r="X201" s="1">
        <f ca="1">IFERROR(INDEX(INDIRECT("Table3[Column"&amp;X$9&amp;"]"),MATCH($L201,Table3[[Company name]:[Company name]],0)),0)</f>
        <v>0</v>
      </c>
      <c r="Y201" s="1">
        <f ca="1">IFERROR(INDEX(INDIRECT("Table3[Column"&amp;Y$9&amp;"]"),MATCH($L201,Table3[[Company name]:[Company name]],0)),0)</f>
        <v>0</v>
      </c>
      <c r="Z201" s="1">
        <f ca="1">IFERROR(INDEX(INDIRECT("Table3[Column"&amp;Z$9&amp;"]"),MATCH($L201,Table3[[Company name]:[Company name]],0)),0)</f>
        <v>0</v>
      </c>
      <c r="AA201" s="1">
        <f ca="1">IFERROR(INDEX(INDIRECT("Table3[Column"&amp;AA$9&amp;"]"),MATCH($L201,Table3[[Company name]:[Company name]],0)),0)</f>
        <v>0</v>
      </c>
      <c r="AB201" s="1">
        <f ca="1">IFERROR(INDEX(INDIRECT("Table3[Column"&amp;AB$9&amp;"]"),MATCH($L201,Table3[[Company name]:[Company name]],0)),0)</f>
        <v>0</v>
      </c>
      <c r="AC201" s="1">
        <f ca="1">IFERROR(INDEX(INDIRECT("Table3[Column"&amp;AC$9&amp;"]"),MATCH($L201,Table3[[Company name]:[Company name]],0)),0)</f>
        <v>0</v>
      </c>
      <c r="AD201" s="1">
        <f ca="1">IFERROR(INDEX(INDIRECT("Table3[Column"&amp;AD$9&amp;"]"),MATCH($L201,Table3[[Company name]:[Company name]],0)),0)</f>
        <v>0</v>
      </c>
      <c r="AE201" s="1">
        <f ca="1">IFERROR(INDEX(INDIRECT("Table3[Column"&amp;AE$9&amp;"]"),MATCH($L201,Table3[[Company name]:[Company name]],0)),0)</f>
        <v>0</v>
      </c>
      <c r="AF201" s="1">
        <f ca="1">IFERROR(INDEX(INDIRECT("Table3[Column"&amp;AF$9&amp;"]"),MATCH($L201,Table3[[Company name]:[Company name]],0)),0)</f>
        <v>0</v>
      </c>
      <c r="AG201" s="1">
        <f ca="1">IFERROR(INDEX(INDIRECT("Table3[Column"&amp;AG$9&amp;"]"),MATCH($L201,Table3[[Company name]:[Company name]],0)),0)</f>
        <v>0</v>
      </c>
      <c r="AH201" s="1">
        <f ca="1">IFERROR(INDEX(INDIRECT("Table3[Column"&amp;AH$9&amp;"]"),MATCH($L201,Table3[[Company name]:[Company name]],0)),0)</f>
        <v>0</v>
      </c>
      <c r="AI201" s="1">
        <f t="shared" ca="1" si="16"/>
        <v>47700</v>
      </c>
      <c r="AK201" s="1">
        <f>IF(COUNTIFS($J$7:$J$510,Table7[[#Headers],[Industry Essentials]],$C$7:$C$510,$L201)&gt;0,0,MROUND(R201,100))</f>
        <v>0</v>
      </c>
      <c r="AL201" s="1">
        <f ca="1">IF(COUNTIFS($J$7:$J$510,Table7[[#Headers],[Energy Supply Market Intelligence]],$C$7:$C$510,$L201)&gt;0,0,MROUND(IFERROR(S201*($P201/$AI201),0),100))</f>
        <v>0</v>
      </c>
      <c r="AM201" s="1">
        <f ca="1">IF(COUNTIFS($J$7:$J$510,Table7[[#Headers],[Energy Supply RTM Analysis]],$C$7:$C$510,$L201)&gt;0,0,MROUND(IFERROR(T201*($P201/$AI201),0),100))</f>
        <v>0</v>
      </c>
      <c r="AN201" s="1">
        <f ca="1">IF(COUNTIFS($J$7:$J$510,Table7[[#Headers],[Energy Supply Forecasts]],$C$7:$C$510,$L201)&gt;0,0,MROUND(IFERROR(U201*($P201/$AI201),0),100))</f>
        <v>0</v>
      </c>
      <c r="AO201" s="1">
        <f ca="1">IF(COUNTIFS($J$7:$J$510,Table7[[#Headers],[Energy Supply Regulation]],$C$7:$C$510,$L201)&gt;0,0,MROUND(IFERROR(V201*($P201/$AI201),0),100))</f>
        <v>4500</v>
      </c>
      <c r="AP201" s="1">
        <f ca="1">IF(COUNTIFS($J$7:$J$510,Table7[[#Headers],[Renewables Market Intelligence]],$C$7:$C$510,$L201)&gt;0,0,MROUND(IFERROR(W201*($P201/$AI201),0),100))</f>
        <v>0</v>
      </c>
      <c r="AQ201" s="1">
        <f ca="1">IF(COUNTIFS($J$7:$J$510,Table7[[#Headers],[Renewables RTM Analysis]],$C$7:$C$510,$L201)&gt;0,0,MROUND(IFERROR(X201*($P201/$AI201),0),100))</f>
        <v>0</v>
      </c>
      <c r="AR201" s="1">
        <f ca="1">IF(COUNTIFS($J$7:$J$510,Table7[[#Headers],[Renewables Forecasts]],$C$7:$C$510,$L201)&gt;0,0,MROUND(IFERROR(Y201*($P201/$AI201),0),100))</f>
        <v>0</v>
      </c>
      <c r="AS201" s="1">
        <f ca="1">IF(COUNTIFS($J$7:$J$510,Table7[[#Headers],[Renewables Regulation]],$C$7:$C$510,$L201)&gt;0,0,MROUND(IFERROR(Z201*($P201/$AI201),0),100))</f>
        <v>0</v>
      </c>
      <c r="AT201" s="1">
        <f ca="1">IF(COUNTIFS($J$7:$J$510,Table7[[#Headers],[Flexibility Market Intelligence]],$C$7:$C$510,$L201)&gt;0,0,MROUND(IFERROR(AA201*($P201/$AI201),0),100))</f>
        <v>0</v>
      </c>
      <c r="AU201" s="1">
        <f ca="1">IF(COUNTIFS($J$7:$J$510,Table7[[#Headers],[Flexibility RTM Analysis]],$C$7:$C$510,$L201)&gt;0,0,MROUND(IFERROR(AB201*($P201/$AI201),0),100))</f>
        <v>0</v>
      </c>
      <c r="AV201" s="1">
        <f ca="1">IF(COUNTIFS($J$7:$J$510,Table7[[#Headers],[Flexibility Forecasts]],$C$7:$C$510,$L201)&gt;0,0,MROUND(IFERROR(AC201*($P201/$AI201),0),100))</f>
        <v>0</v>
      </c>
      <c r="AW201" s="1">
        <f ca="1">IF(COUNTIFS($J$7:$J$510,Table7[[#Headers],[Flexibility Regulation]],$C$7:$C$510,$L201)&gt;0,0,MROUND(IFERROR(AD201*($P201/$AI201),0),100))</f>
        <v>0</v>
      </c>
      <c r="AX201" s="1">
        <f ca="1">IF(COUNTIFS($J$7:$J$510,Table7[[#Headers],[Business Energy Essentials]],$C$7:$C$510,$L201)&gt;0,0,MROUND(IFERROR(AE201*($P201/$AI201),0),100))</f>
        <v>0</v>
      </c>
      <c r="AY201" s="1">
        <f ca="1">IF(COUNTIFS($J$7:$J$510,Table7[[#Headers],[Energy User RTM Analysis]],$C$7:$C$510,$L201)&gt;0,0,MROUND(IFERROR(AF201*($P201/$AI201),0),100))</f>
        <v>0</v>
      </c>
      <c r="AZ201" s="1">
        <f ca="1">IF(COUNTIFS($J$7:$J$510,Table7[[#Headers],[Energy User Forecasts]],$C$7:$C$510,$L201)&gt;0,0,MROUND(IFERROR(AG201*($P201/$AI201),0),100))</f>
        <v>0</v>
      </c>
      <c r="BA201" s="1">
        <f ca="1">IF(COUNTIFS($J$7:$J$510,Table7[[#Headers],[Energy User Regulation]],$C$7:$C$510,$L201)&gt;0,0,MROUND(IFERROR(AH201*($P201/$AI201),0),100))</f>
        <v>0</v>
      </c>
    </row>
    <row r="202" spans="2:53">
      <c r="B202" s="38" t="s">
        <v>2180</v>
      </c>
      <c r="C202" s="38" t="s">
        <v>1014</v>
      </c>
      <c r="D202" s="38" t="s">
        <v>2061</v>
      </c>
      <c r="E202" s="38" t="s">
        <v>1820</v>
      </c>
      <c r="F202" s="63">
        <v>7060.0000000000009</v>
      </c>
      <c r="G202" s="38"/>
      <c r="H202" s="38" t="s">
        <v>1702</v>
      </c>
      <c r="I202" s="38" t="s">
        <v>1702</v>
      </c>
      <c r="J202" s="38" t="s">
        <v>25</v>
      </c>
      <c r="L202" s="1" t="str">
        <v>TotalEnergies Gas &amp; Power Ltd</v>
      </c>
      <c r="M202" s="1" t="str">
        <f t="shared" si="12"/>
        <v>Supply</v>
      </c>
      <c r="N202" s="109">
        <f t="shared" si="13"/>
        <v>96995</v>
      </c>
      <c r="O202" s="1">
        <f>IFERROR(IF(INDEX(Table3[[Total Spend]:[Total Spend]],MATCH(L202,Table3[[Company name]:[Company name]],0))&gt;N202,INDEX(Table3[[Total Spend]:[Total Spend]],MATCH(L202,Table3[[Company name]:[Company name]])),N202),50000)</f>
        <v>10000</v>
      </c>
      <c r="P202" s="109">
        <f t="shared" si="14"/>
        <v>96995</v>
      </c>
      <c r="Q202" s="103">
        <f t="shared" si="15"/>
        <v>1</v>
      </c>
      <c r="R202" s="1">
        <f ca="1">IFERROR(INDEX(INDIRECT("Table3[Column"&amp;R$9&amp;"]"),MATCH($L202,Table3[[Company name]:[Company name]],0)),0)</f>
        <v>10800</v>
      </c>
      <c r="S202" s="1">
        <f ca="1">IFERROR(INDEX(INDIRECT("Table3[Column"&amp;S$9&amp;"]"),MATCH($L202,Table3[[Company name]:[Company name]],0)),0)</f>
        <v>43200</v>
      </c>
      <c r="T202" s="1">
        <f ca="1">IFERROR(INDEX(INDIRECT("Table3[Column"&amp;T$9&amp;"]"),MATCH($L202,Table3[[Company name]:[Company name]],0)),0)</f>
        <v>73800</v>
      </c>
      <c r="U202" s="1">
        <f ca="1">IFERROR(INDEX(INDIRECT("Table3[Column"&amp;U$9&amp;"]"),MATCH($L202,Table3[[Company name]:[Company name]],0)),0)</f>
        <v>48600</v>
      </c>
      <c r="V202" s="1">
        <f ca="1">IFERROR(INDEX(INDIRECT("Table3[Column"&amp;V$9&amp;"]"),MATCH($L202,Table3[[Company name]:[Company name]],0)),0)</f>
        <v>55800</v>
      </c>
      <c r="W202" s="1">
        <f ca="1">IFERROR(INDEX(INDIRECT("Table3[Column"&amp;W$9&amp;"]"),MATCH($L202,Table3[[Company name]:[Company name]],0)),0)</f>
        <v>23400</v>
      </c>
      <c r="X202" s="1">
        <f ca="1">IFERROR(INDEX(INDIRECT("Table3[Column"&amp;X$9&amp;"]"),MATCH($L202,Table3[[Company name]:[Company name]],0)),0)</f>
        <v>20700</v>
      </c>
      <c r="Y202" s="1">
        <f ca="1">IFERROR(INDEX(INDIRECT("Table3[Column"&amp;Y$9&amp;"]"),MATCH($L202,Table3[[Company name]:[Company name]],0)),0)</f>
        <v>59400</v>
      </c>
      <c r="Z202" s="1">
        <f ca="1">IFERROR(INDEX(INDIRECT("Table3[Column"&amp;Z$9&amp;"]"),MATCH($L202,Table3[[Company name]:[Company name]],0)),0)</f>
        <v>26100</v>
      </c>
      <c r="AA202" s="1">
        <f ca="1">IFERROR(INDEX(INDIRECT("Table3[Column"&amp;AA$9&amp;"]"),MATCH($L202,Table3[[Company name]:[Company name]],0)),0)</f>
        <v>29700</v>
      </c>
      <c r="AB202" s="1">
        <f ca="1">IFERROR(INDEX(INDIRECT("Table3[Column"&amp;AB$9&amp;"]"),MATCH($L202,Table3[[Company name]:[Company name]],0)),0)</f>
        <v>10800</v>
      </c>
      <c r="AC202" s="1">
        <f ca="1">IFERROR(INDEX(INDIRECT("Table3[Column"&amp;AC$9&amp;"]"),MATCH($L202,Table3[[Company name]:[Company name]],0)),0)</f>
        <v>44100</v>
      </c>
      <c r="AD202" s="1">
        <f ca="1">IFERROR(INDEX(INDIRECT("Table3[Column"&amp;AD$9&amp;"]"),MATCH($L202,Table3[[Company name]:[Company name]],0)),0)</f>
        <v>0</v>
      </c>
      <c r="AE202" s="1">
        <f ca="1">IFERROR(INDEX(INDIRECT("Table3[Column"&amp;AE$9&amp;"]"),MATCH($L202,Table3[[Company name]:[Company name]],0)),0)</f>
        <v>0</v>
      </c>
      <c r="AF202" s="1">
        <f ca="1">IFERROR(INDEX(INDIRECT("Table3[Column"&amp;AF$9&amp;"]"),MATCH($L202,Table3[[Company name]:[Company name]],0)),0)</f>
        <v>0</v>
      </c>
      <c r="AG202" s="1">
        <f ca="1">IFERROR(INDEX(INDIRECT("Table3[Column"&amp;AG$9&amp;"]"),MATCH($L202,Table3[[Company name]:[Company name]],0)),0)</f>
        <v>0</v>
      </c>
      <c r="AH202" s="1">
        <f ca="1">IFERROR(INDEX(INDIRECT("Table3[Column"&amp;AH$9&amp;"]"),MATCH($L202,Table3[[Company name]:[Company name]],0)),0)</f>
        <v>0</v>
      </c>
      <c r="AI202" s="1">
        <f t="shared" ca="1" si="16"/>
        <v>446400</v>
      </c>
      <c r="AK202" s="1">
        <f>IF(COUNTIFS($J$7:$J$510,Table7[[#Headers],[Industry Essentials]],$C$7:$C$510,$L202)&gt;0,0,MROUND(R202,100))</f>
        <v>0</v>
      </c>
      <c r="AL202" s="1">
        <f>IF(COUNTIFS($J$7:$J$510,Table7[[#Headers],[Energy Supply Market Intelligence]],$C$7:$C$510,$L202)&gt;0,0,MROUND(IFERROR(S202*($P202/$AI202),0),100))</f>
        <v>0</v>
      </c>
      <c r="AM202" s="1">
        <f>IF(COUNTIFS($J$7:$J$510,Table7[[#Headers],[Energy Supply RTM Analysis]],$C$7:$C$510,$L202)&gt;0,0,MROUND(IFERROR(T202*($P202/$AI202),0),100))</f>
        <v>0</v>
      </c>
      <c r="AN202" s="1">
        <f>IF(COUNTIFS($J$7:$J$510,Table7[[#Headers],[Energy Supply Forecasts]],$C$7:$C$510,$L202)&gt;0,0,MROUND(IFERROR(U202*($P202/$AI202),0),100))</f>
        <v>0</v>
      </c>
      <c r="AO202" s="1">
        <f ca="1">IF(COUNTIFS($J$7:$J$510,Table7[[#Headers],[Energy Supply Regulation]],$C$7:$C$510,$L202)&gt;0,0,MROUND(IFERROR(V202*($P202/$AI202),0),100))</f>
        <v>12100</v>
      </c>
      <c r="AP202" s="1">
        <f ca="1">IF(COUNTIFS($J$7:$J$510,Table7[[#Headers],[Renewables Market Intelligence]],$C$7:$C$510,$L202)&gt;0,0,MROUND(IFERROR(W202*($P202/$AI202),0),100))</f>
        <v>5100</v>
      </c>
      <c r="AQ202" s="1">
        <f>IF(COUNTIFS($J$7:$J$510,Table7[[#Headers],[Renewables RTM Analysis]],$C$7:$C$510,$L202)&gt;0,0,MROUND(IFERROR(X202*($P202/$AI202),0),100))</f>
        <v>0</v>
      </c>
      <c r="AR202" s="1">
        <f ca="1">IF(COUNTIFS($J$7:$J$510,Table7[[#Headers],[Renewables Forecasts]],$C$7:$C$510,$L202)&gt;0,0,MROUND(IFERROR(Y202*($P202/$AI202),0),100))</f>
        <v>12900</v>
      </c>
      <c r="AS202" s="1">
        <f ca="1">IF(COUNTIFS($J$7:$J$510,Table7[[#Headers],[Renewables Regulation]],$C$7:$C$510,$L202)&gt;0,0,MROUND(IFERROR(Z202*($P202/$AI202),0),100))</f>
        <v>5700</v>
      </c>
      <c r="AT202" s="1">
        <f ca="1">IF(COUNTIFS($J$7:$J$510,Table7[[#Headers],[Flexibility Market Intelligence]],$C$7:$C$510,$L202)&gt;0,0,MROUND(IFERROR(AA202*($P202/$AI202),0),100))</f>
        <v>6500</v>
      </c>
      <c r="AU202" s="1">
        <f ca="1">IF(COUNTIFS($J$7:$J$510,Table7[[#Headers],[Flexibility RTM Analysis]],$C$7:$C$510,$L202)&gt;0,0,MROUND(IFERROR(AB202*($P202/$AI202),0),100))</f>
        <v>2300</v>
      </c>
      <c r="AV202" s="1">
        <f ca="1">IF(COUNTIFS($J$7:$J$510,Table7[[#Headers],[Flexibility Forecasts]],$C$7:$C$510,$L202)&gt;0,0,MROUND(IFERROR(AC202*($P202/$AI202),0),100))</f>
        <v>9600</v>
      </c>
      <c r="AW202" s="1">
        <f ca="1">IF(COUNTIFS($J$7:$J$510,Table7[[#Headers],[Flexibility Regulation]],$C$7:$C$510,$L202)&gt;0,0,MROUND(IFERROR(AD202*($P202/$AI202),0),100))</f>
        <v>0</v>
      </c>
      <c r="AX202" s="1">
        <f ca="1">IF(COUNTIFS($J$7:$J$510,Table7[[#Headers],[Business Energy Essentials]],$C$7:$C$510,$L202)&gt;0,0,MROUND(IFERROR(AE202*($P202/$AI202),0),100))</f>
        <v>0</v>
      </c>
      <c r="AY202" s="1">
        <f ca="1">IF(COUNTIFS($J$7:$J$510,Table7[[#Headers],[Energy User RTM Analysis]],$C$7:$C$510,$L202)&gt;0,0,MROUND(IFERROR(AF202*($P202/$AI202),0),100))</f>
        <v>0</v>
      </c>
      <c r="AZ202" s="1">
        <f ca="1">IF(COUNTIFS($J$7:$J$510,Table7[[#Headers],[Energy User Forecasts]],$C$7:$C$510,$L202)&gt;0,0,MROUND(IFERROR(AG202*($P202/$AI202),0),100))</f>
        <v>0</v>
      </c>
      <c r="BA202" s="1">
        <f ca="1">IF(COUNTIFS($J$7:$J$510,Table7[[#Headers],[Energy User Regulation]],$C$7:$C$510,$L202)&gt;0,0,MROUND(IFERROR(AH202*($P202/$AI202),0),100))</f>
        <v>0</v>
      </c>
    </row>
    <row r="203" spans="2:53">
      <c r="B203" s="38" t="s">
        <v>2180</v>
      </c>
      <c r="C203" s="38" t="s">
        <v>1014</v>
      </c>
      <c r="D203" s="38" t="s">
        <v>2042</v>
      </c>
      <c r="E203" s="38" t="s">
        <v>1819</v>
      </c>
      <c r="F203" s="63">
        <v>5940</v>
      </c>
      <c r="G203" s="38"/>
      <c r="H203" s="38" t="s">
        <v>1702</v>
      </c>
      <c r="I203" s="38" t="s">
        <v>1702</v>
      </c>
      <c r="J203" s="38" t="s">
        <v>26</v>
      </c>
      <c r="L203" s="1" t="str">
        <v>Tradelink Solutions Ltd</v>
      </c>
      <c r="M203" s="1" t="str">
        <f t="shared" si="12"/>
        <v>Renewables</v>
      </c>
      <c r="N203" s="109">
        <f t="shared" si="13"/>
        <v>12750</v>
      </c>
      <c r="O203" s="1">
        <f>IFERROR(IF(INDEX(Table3[[Total Spend]:[Total Spend]],MATCH(L203,Table3[[Company name]:[Company name]],0))&gt;N203,INDEX(Table3[[Total Spend]:[Total Spend]],MATCH(L203,Table3[[Company name]:[Company name]])),N203),50000)</f>
        <v>10000</v>
      </c>
      <c r="P203" s="109">
        <f t="shared" si="14"/>
        <v>12750</v>
      </c>
      <c r="Q203" s="103">
        <f t="shared" si="15"/>
        <v>1</v>
      </c>
      <c r="R203" s="1">
        <f ca="1">IFERROR(INDEX(INDIRECT("Table3[Column"&amp;R$9&amp;"]"),MATCH($L203,Table3[[Company name]:[Company name]],0)),0)</f>
        <v>8100</v>
      </c>
      <c r="S203" s="1">
        <f ca="1">IFERROR(INDEX(INDIRECT("Table3[Column"&amp;S$9&amp;"]"),MATCH($L203,Table3[[Company name]:[Company name]],0)),0)</f>
        <v>30600</v>
      </c>
      <c r="T203" s="1">
        <f ca="1">IFERROR(INDEX(INDIRECT("Table3[Column"&amp;T$9&amp;"]"),MATCH($L203,Table3[[Company name]:[Company name]],0)),0)</f>
        <v>53100</v>
      </c>
      <c r="U203" s="1">
        <f ca="1">IFERROR(INDEX(INDIRECT("Table3[Column"&amp;U$9&amp;"]"),MATCH($L203,Table3[[Company name]:[Company name]],0)),0)</f>
        <v>34200</v>
      </c>
      <c r="V203" s="1">
        <f ca="1">IFERROR(INDEX(INDIRECT("Table3[Column"&amp;V$9&amp;"]"),MATCH($L203,Table3[[Company name]:[Company name]],0)),0)</f>
        <v>39600</v>
      </c>
      <c r="W203" s="1">
        <f ca="1">IFERROR(INDEX(INDIRECT("Table3[Column"&amp;W$9&amp;"]"),MATCH($L203,Table3[[Company name]:[Company name]],0)),0)</f>
        <v>0</v>
      </c>
      <c r="X203" s="1">
        <f ca="1">IFERROR(INDEX(INDIRECT("Table3[Column"&amp;X$9&amp;"]"),MATCH($L203,Table3[[Company name]:[Company name]],0)),0)</f>
        <v>0</v>
      </c>
      <c r="Y203" s="1">
        <f ca="1">IFERROR(INDEX(INDIRECT("Table3[Column"&amp;Y$9&amp;"]"),MATCH($L203,Table3[[Company name]:[Company name]],0)),0)</f>
        <v>0</v>
      </c>
      <c r="Z203" s="1">
        <f ca="1">IFERROR(INDEX(INDIRECT("Table3[Column"&amp;Z$9&amp;"]"),MATCH($L203,Table3[[Company name]:[Company name]],0)),0)</f>
        <v>0</v>
      </c>
      <c r="AA203" s="1">
        <f ca="1">IFERROR(INDEX(INDIRECT("Table3[Column"&amp;AA$9&amp;"]"),MATCH($L203,Table3[[Company name]:[Company name]],0)),0)</f>
        <v>21600</v>
      </c>
      <c r="AB203" s="1">
        <f ca="1">IFERROR(INDEX(INDIRECT("Table3[Column"&amp;AB$9&amp;"]"),MATCH($L203,Table3[[Company name]:[Company name]],0)),0)</f>
        <v>0</v>
      </c>
      <c r="AC203" s="1">
        <f ca="1">IFERROR(INDEX(INDIRECT("Table3[Column"&amp;AC$9&amp;"]"),MATCH($L203,Table3[[Company name]:[Company name]],0)),0)</f>
        <v>0</v>
      </c>
      <c r="AD203" s="1">
        <f ca="1">IFERROR(INDEX(INDIRECT("Table3[Column"&amp;AD$9&amp;"]"),MATCH($L203,Table3[[Company name]:[Company name]],0)),0)</f>
        <v>0</v>
      </c>
      <c r="AE203" s="1">
        <f ca="1">IFERROR(INDEX(INDIRECT("Table3[Column"&amp;AE$9&amp;"]"),MATCH($L203,Table3[[Company name]:[Company name]],0)),0)</f>
        <v>0</v>
      </c>
      <c r="AF203" s="1">
        <f ca="1">IFERROR(INDEX(INDIRECT("Table3[Column"&amp;AF$9&amp;"]"),MATCH($L203,Table3[[Company name]:[Company name]],0)),0)</f>
        <v>0</v>
      </c>
      <c r="AG203" s="1">
        <f ca="1">IFERROR(INDEX(INDIRECT("Table3[Column"&amp;AG$9&amp;"]"),MATCH($L203,Table3[[Company name]:[Company name]],0)),0)</f>
        <v>0</v>
      </c>
      <c r="AH203" s="1">
        <f ca="1">IFERROR(INDEX(INDIRECT("Table3[Column"&amp;AH$9&amp;"]"),MATCH($L203,Table3[[Company name]:[Company name]],0)),0)</f>
        <v>0</v>
      </c>
      <c r="AI203" s="1">
        <f t="shared" ca="1" si="16"/>
        <v>187200</v>
      </c>
      <c r="AK203" s="1">
        <f>IF(COUNTIFS($J$7:$J$510,Table7[[#Headers],[Industry Essentials]],$C$7:$C$510,$L203)&gt;0,0,MROUND(R203,100))</f>
        <v>0</v>
      </c>
      <c r="AL203" s="1">
        <f ca="1">IF(COUNTIFS($J$7:$J$510,Table7[[#Headers],[Energy Supply Market Intelligence]],$C$7:$C$510,$L203)&gt;0,0,MROUND(IFERROR(S203*($P203/$AI203),0),100))</f>
        <v>2100</v>
      </c>
      <c r="AM203" s="1">
        <f ca="1">IF(COUNTIFS($J$7:$J$510,Table7[[#Headers],[Energy Supply RTM Analysis]],$C$7:$C$510,$L203)&gt;0,0,MROUND(IFERROR(T203*($P203/$AI203),0),100))</f>
        <v>3600</v>
      </c>
      <c r="AN203" s="1">
        <f ca="1">IF(COUNTIFS($J$7:$J$510,Table7[[#Headers],[Energy Supply Forecasts]],$C$7:$C$510,$L203)&gt;0,0,MROUND(IFERROR(U203*($P203/$AI203),0),100))</f>
        <v>2300</v>
      </c>
      <c r="AO203" s="1">
        <f ca="1">IF(COUNTIFS($J$7:$J$510,Table7[[#Headers],[Energy Supply Regulation]],$C$7:$C$510,$L203)&gt;0,0,MROUND(IFERROR(V203*($P203/$AI203),0),100))</f>
        <v>2700</v>
      </c>
      <c r="AP203" s="1">
        <f>IF(COUNTIFS($J$7:$J$510,Table7[[#Headers],[Renewables Market Intelligence]],$C$7:$C$510,$L203)&gt;0,0,MROUND(IFERROR(W203*($P203/$AI203),0),100))</f>
        <v>0</v>
      </c>
      <c r="AQ203" s="1">
        <f ca="1">IF(COUNTIFS($J$7:$J$510,Table7[[#Headers],[Renewables RTM Analysis]],$C$7:$C$510,$L203)&gt;0,0,MROUND(IFERROR(X203*($P203/$AI203),0),100))</f>
        <v>0</v>
      </c>
      <c r="AR203" s="1">
        <f ca="1">IF(COUNTIFS($J$7:$J$510,Table7[[#Headers],[Renewables Forecasts]],$C$7:$C$510,$L203)&gt;0,0,MROUND(IFERROR(Y203*($P203/$AI203),0),100))</f>
        <v>0</v>
      </c>
      <c r="AS203" s="1">
        <f ca="1">IF(COUNTIFS($J$7:$J$510,Table7[[#Headers],[Renewables Regulation]],$C$7:$C$510,$L203)&gt;0,0,MROUND(IFERROR(Z203*($P203/$AI203),0),100))</f>
        <v>0</v>
      </c>
      <c r="AT203" s="1">
        <f ca="1">IF(COUNTIFS($J$7:$J$510,Table7[[#Headers],[Flexibility Market Intelligence]],$C$7:$C$510,$L203)&gt;0,0,MROUND(IFERROR(AA203*($P203/$AI203),0),100))</f>
        <v>1500</v>
      </c>
      <c r="AU203" s="1">
        <f ca="1">IF(COUNTIFS($J$7:$J$510,Table7[[#Headers],[Flexibility RTM Analysis]],$C$7:$C$510,$L203)&gt;0,0,MROUND(IFERROR(AB203*($P203/$AI203),0),100))</f>
        <v>0</v>
      </c>
      <c r="AV203" s="1">
        <f ca="1">IF(COUNTIFS($J$7:$J$510,Table7[[#Headers],[Flexibility Forecasts]],$C$7:$C$510,$L203)&gt;0,0,MROUND(IFERROR(AC203*($P203/$AI203),0),100))</f>
        <v>0</v>
      </c>
      <c r="AW203" s="1">
        <f ca="1">IF(COUNTIFS($J$7:$J$510,Table7[[#Headers],[Flexibility Regulation]],$C$7:$C$510,$L203)&gt;0,0,MROUND(IFERROR(AD203*($P203/$AI203),0),100))</f>
        <v>0</v>
      </c>
      <c r="AX203" s="1">
        <f ca="1">IF(COUNTIFS($J$7:$J$510,Table7[[#Headers],[Business Energy Essentials]],$C$7:$C$510,$L203)&gt;0,0,MROUND(IFERROR(AE203*($P203/$AI203),0),100))</f>
        <v>0</v>
      </c>
      <c r="AY203" s="1">
        <f ca="1">IF(COUNTIFS($J$7:$J$510,Table7[[#Headers],[Energy User RTM Analysis]],$C$7:$C$510,$L203)&gt;0,0,MROUND(IFERROR(AF203*($P203/$AI203),0),100))</f>
        <v>0</v>
      </c>
      <c r="AZ203" s="1">
        <f ca="1">IF(COUNTIFS($J$7:$J$510,Table7[[#Headers],[Energy User Forecasts]],$C$7:$C$510,$L203)&gt;0,0,MROUND(IFERROR(AG203*($P203/$AI203),0),100))</f>
        <v>0</v>
      </c>
      <c r="BA203" s="1">
        <f ca="1">IF(COUNTIFS($J$7:$J$510,Table7[[#Headers],[Energy User Regulation]],$C$7:$C$510,$L203)&gt;0,0,MROUND(IFERROR(AH203*($P203/$AI203),0),100))</f>
        <v>0</v>
      </c>
    </row>
    <row r="204" spans="2:53">
      <c r="B204" s="38" t="s">
        <v>2181</v>
      </c>
      <c r="C204" s="38" t="s">
        <v>256</v>
      </c>
      <c r="D204" s="38" t="s">
        <v>2083</v>
      </c>
      <c r="E204" s="38" t="s">
        <v>1829</v>
      </c>
      <c r="F204" s="63">
        <v>14571.4275</v>
      </c>
      <c r="G204" s="38"/>
      <c r="H204" s="38" t="s">
        <v>1702</v>
      </c>
      <c r="I204" s="38" t="s">
        <v>1702</v>
      </c>
      <c r="J204" s="38" t="s">
        <v>23</v>
      </c>
      <c r="L204" s="1" t="str">
        <v>Trailstone UK Limited</v>
      </c>
      <c r="M204" s="1" t="str">
        <f t="shared" ref="M204:M234" si="17">INDEX($H$7:$H$510,MATCH(L204,$C$7:$C$510))</f>
        <v>Renewables</v>
      </c>
      <c r="N204" s="109">
        <f t="shared" ref="N204:N234" si="18">SUMIF(C200:C703,L204,F200:F703)</f>
        <v>16160</v>
      </c>
      <c r="O204" s="1">
        <f>IFERROR(IF(INDEX(Table3[[Total Spend]:[Total Spend]],MATCH(L204,Table3[[Company name]:[Company name]],0))&gt;N204,INDEX(Table3[[Total Spend]:[Total Spend]],MATCH(L204,Table3[[Company name]:[Company name]])),N204),50000)</f>
        <v>10000</v>
      </c>
      <c r="P204" s="109">
        <f t="shared" ref="P204:P234" si="19">IF(O204&gt;N204,O204-N204,N204)</f>
        <v>16160</v>
      </c>
      <c r="Q204" s="103">
        <f t="shared" ref="Q204:Q234" si="20">IF(IFERROR(N204/O204,0)&gt;1,1,IFERROR(N204/O204,0))</f>
        <v>1</v>
      </c>
      <c r="R204" s="1">
        <f ca="1">IFERROR(INDEX(INDIRECT("Table3[Column"&amp;R$9&amp;"]"),MATCH($L204,Table3[[Company name]:[Company name]],0)),0)</f>
        <v>10800</v>
      </c>
      <c r="S204" s="1">
        <f ca="1">IFERROR(INDEX(INDIRECT("Table3[Column"&amp;S$9&amp;"]"),MATCH($L204,Table3[[Company name]:[Company name]],0)),0)</f>
        <v>0</v>
      </c>
      <c r="T204" s="1">
        <f ca="1">IFERROR(INDEX(INDIRECT("Table3[Column"&amp;T$9&amp;"]"),MATCH($L204,Table3[[Company name]:[Company name]],0)),0)</f>
        <v>73800</v>
      </c>
      <c r="U204" s="1">
        <f ca="1">IFERROR(INDEX(INDIRECT("Table3[Column"&amp;U$9&amp;"]"),MATCH($L204,Table3[[Company name]:[Company name]],0)),0)</f>
        <v>0</v>
      </c>
      <c r="V204" s="1">
        <f ca="1">IFERROR(INDEX(INDIRECT("Table3[Column"&amp;V$9&amp;"]"),MATCH($L204,Table3[[Company name]:[Company name]],0)),0)</f>
        <v>0</v>
      </c>
      <c r="W204" s="1">
        <f ca="1">IFERROR(INDEX(INDIRECT("Table3[Column"&amp;W$9&amp;"]"),MATCH($L204,Table3[[Company name]:[Company name]],0)),0)</f>
        <v>0</v>
      </c>
      <c r="X204" s="1">
        <f ca="1">IFERROR(INDEX(INDIRECT("Table3[Column"&amp;X$9&amp;"]"),MATCH($L204,Table3[[Company name]:[Company name]],0)),0)</f>
        <v>20700</v>
      </c>
      <c r="Y204" s="1">
        <f ca="1">IFERROR(INDEX(INDIRECT("Table3[Column"&amp;Y$9&amp;"]"),MATCH($L204,Table3[[Company name]:[Company name]],0)),0)</f>
        <v>0</v>
      </c>
      <c r="Z204" s="1">
        <f ca="1">IFERROR(INDEX(INDIRECT("Table3[Column"&amp;Z$9&amp;"]"),MATCH($L204,Table3[[Company name]:[Company name]],0)),0)</f>
        <v>0</v>
      </c>
      <c r="AA204" s="1">
        <f ca="1">IFERROR(INDEX(INDIRECT("Table3[Column"&amp;AA$9&amp;"]"),MATCH($L204,Table3[[Company name]:[Company name]],0)),0)</f>
        <v>29700</v>
      </c>
      <c r="AB204" s="1">
        <f ca="1">IFERROR(INDEX(INDIRECT("Table3[Column"&amp;AB$9&amp;"]"),MATCH($L204,Table3[[Company name]:[Company name]],0)),0)</f>
        <v>10800</v>
      </c>
      <c r="AC204" s="1">
        <f ca="1">IFERROR(INDEX(INDIRECT("Table3[Column"&amp;AC$9&amp;"]"),MATCH($L204,Table3[[Company name]:[Company name]],0)),0)</f>
        <v>44100</v>
      </c>
      <c r="AD204" s="1">
        <f ca="1">IFERROR(INDEX(INDIRECT("Table3[Column"&amp;AD$9&amp;"]"),MATCH($L204,Table3[[Company name]:[Company name]],0)),0)</f>
        <v>0</v>
      </c>
      <c r="AE204" s="1">
        <f ca="1">IFERROR(INDEX(INDIRECT("Table3[Column"&amp;AE$9&amp;"]"),MATCH($L204,Table3[[Company name]:[Company name]],0)),0)</f>
        <v>0</v>
      </c>
      <c r="AF204" s="1">
        <f ca="1">IFERROR(INDEX(INDIRECT("Table3[Column"&amp;AF$9&amp;"]"),MATCH($L204,Table3[[Company name]:[Company name]],0)),0)</f>
        <v>0</v>
      </c>
      <c r="AG204" s="1">
        <f ca="1">IFERROR(INDEX(INDIRECT("Table3[Column"&amp;AG$9&amp;"]"),MATCH($L204,Table3[[Company name]:[Company name]],0)),0)</f>
        <v>0</v>
      </c>
      <c r="AH204" s="1">
        <f ca="1">IFERROR(INDEX(INDIRECT("Table3[Column"&amp;AH$9&amp;"]"),MATCH($L204,Table3[[Company name]:[Company name]],0)),0)</f>
        <v>0</v>
      </c>
      <c r="AI204" s="1">
        <f t="shared" ref="AI204:AI234" ca="1" si="21">SUM(R204:AH204)</f>
        <v>189900</v>
      </c>
      <c r="AK204" s="1">
        <f ca="1">IF(COUNTIFS($J$7:$J$510,Table7[[#Headers],[Industry Essentials]],$C$7:$C$510,$L204)&gt;0,0,MROUND(R204,100))</f>
        <v>10800</v>
      </c>
      <c r="AL204" s="1">
        <f ca="1">IF(COUNTIFS($J$7:$J$510,Table7[[#Headers],[Energy Supply Market Intelligence]],$C$7:$C$510,$L204)&gt;0,0,MROUND(IFERROR(S204*($P204/$AI204),0),100))</f>
        <v>0</v>
      </c>
      <c r="AM204" s="1">
        <f ca="1">IF(COUNTIFS($J$7:$J$510,Table7[[#Headers],[Energy Supply RTM Analysis]],$C$7:$C$510,$L204)&gt;0,0,MROUND(IFERROR(T204*($P204/$AI204),0),100))</f>
        <v>6300</v>
      </c>
      <c r="AN204" s="1">
        <f ca="1">IF(COUNTIFS($J$7:$J$510,Table7[[#Headers],[Energy Supply Forecasts]],$C$7:$C$510,$L204)&gt;0,0,MROUND(IFERROR(U204*($P204/$AI204),0),100))</f>
        <v>0</v>
      </c>
      <c r="AO204" s="1">
        <f ca="1">IF(COUNTIFS($J$7:$J$510,Table7[[#Headers],[Energy Supply Regulation]],$C$7:$C$510,$L204)&gt;0,0,MROUND(IFERROR(V204*($P204/$AI204),0),100))</f>
        <v>0</v>
      </c>
      <c r="AP204" s="1">
        <f>IF(COUNTIFS($J$7:$J$510,Table7[[#Headers],[Renewables Market Intelligence]],$C$7:$C$510,$L204)&gt;0,0,MROUND(IFERROR(W204*($P204/$AI204),0),100))</f>
        <v>0</v>
      </c>
      <c r="AQ204" s="1">
        <f>IF(COUNTIFS($J$7:$J$510,Table7[[#Headers],[Renewables RTM Analysis]],$C$7:$C$510,$L204)&gt;0,0,MROUND(IFERROR(X204*($P204/$AI204),0),100))</f>
        <v>0</v>
      </c>
      <c r="AR204" s="1">
        <f ca="1">IF(COUNTIFS($J$7:$J$510,Table7[[#Headers],[Renewables Forecasts]],$C$7:$C$510,$L204)&gt;0,0,MROUND(IFERROR(Y204*($P204/$AI204),0),100))</f>
        <v>0</v>
      </c>
      <c r="AS204" s="1">
        <f ca="1">IF(COUNTIFS($J$7:$J$510,Table7[[#Headers],[Renewables Regulation]],$C$7:$C$510,$L204)&gt;0,0,MROUND(IFERROR(Z204*($P204/$AI204),0),100))</f>
        <v>0</v>
      </c>
      <c r="AT204" s="1">
        <f ca="1">IF(COUNTIFS($J$7:$J$510,Table7[[#Headers],[Flexibility Market Intelligence]],$C$7:$C$510,$L204)&gt;0,0,MROUND(IFERROR(AA204*($P204/$AI204),0),100))</f>
        <v>2500</v>
      </c>
      <c r="AU204" s="1">
        <f ca="1">IF(COUNTIFS($J$7:$J$510,Table7[[#Headers],[Flexibility RTM Analysis]],$C$7:$C$510,$L204)&gt;0,0,MROUND(IFERROR(AB204*($P204/$AI204),0),100))</f>
        <v>900</v>
      </c>
      <c r="AV204" s="1">
        <f ca="1">IF(COUNTIFS($J$7:$J$510,Table7[[#Headers],[Flexibility Forecasts]],$C$7:$C$510,$L204)&gt;0,0,MROUND(IFERROR(AC204*($P204/$AI204),0),100))</f>
        <v>3800</v>
      </c>
      <c r="AW204" s="1">
        <f ca="1">IF(COUNTIFS($J$7:$J$510,Table7[[#Headers],[Flexibility Regulation]],$C$7:$C$510,$L204)&gt;0,0,MROUND(IFERROR(AD204*($P204/$AI204),0),100))</f>
        <v>0</v>
      </c>
      <c r="AX204" s="1">
        <f ca="1">IF(COUNTIFS($J$7:$J$510,Table7[[#Headers],[Business Energy Essentials]],$C$7:$C$510,$L204)&gt;0,0,MROUND(IFERROR(AE204*($P204/$AI204),0),100))</f>
        <v>0</v>
      </c>
      <c r="AY204" s="1">
        <f ca="1">IF(COUNTIFS($J$7:$J$510,Table7[[#Headers],[Energy User RTM Analysis]],$C$7:$C$510,$L204)&gt;0,0,MROUND(IFERROR(AF204*($P204/$AI204),0),100))</f>
        <v>0</v>
      </c>
      <c r="AZ204" s="1">
        <f ca="1">IF(COUNTIFS($J$7:$J$510,Table7[[#Headers],[Energy User Forecasts]],$C$7:$C$510,$L204)&gt;0,0,MROUND(IFERROR(AG204*($P204/$AI204),0),100))</f>
        <v>0</v>
      </c>
      <c r="BA204" s="1">
        <f ca="1">IF(COUNTIFS($J$7:$J$510,Table7[[#Headers],[Energy User Regulation]],$C$7:$C$510,$L204)&gt;0,0,MROUND(IFERROR(AH204*($P204/$AI204),0),100))</f>
        <v>0</v>
      </c>
    </row>
    <row r="205" spans="2:53">
      <c r="B205" s="38" t="s">
        <v>2182</v>
      </c>
      <c r="C205" s="38" t="s">
        <v>1018</v>
      </c>
      <c r="D205" s="38" t="s">
        <v>2040</v>
      </c>
      <c r="E205" s="38" t="s">
        <v>1799</v>
      </c>
      <c r="F205" s="63">
        <v>8000</v>
      </c>
      <c r="G205" s="38"/>
      <c r="H205" s="38" t="s">
        <v>2031</v>
      </c>
      <c r="I205" s="38" t="s">
        <v>2032</v>
      </c>
      <c r="J205" s="38" t="s">
        <v>20</v>
      </c>
      <c r="L205" s="1" t="str">
        <v>U4LUK Renewables Ltd</v>
      </c>
      <c r="M205" s="1" t="str">
        <f t="shared" si="17"/>
        <v>Renewables</v>
      </c>
      <c r="N205" s="109">
        <f t="shared" si="18"/>
        <v>5400</v>
      </c>
      <c r="O205" s="1">
        <f>IFERROR(IF(INDEX(Table3[[Total Spend]:[Total Spend]],MATCH(L205,Table3[[Company name]:[Company name]],0))&gt;N205,INDEX(Table3[[Total Spend]:[Total Spend]],MATCH(L205,Table3[[Company name]:[Company name]])),N205),50000)</f>
        <v>50000</v>
      </c>
      <c r="P205" s="109">
        <f t="shared" si="19"/>
        <v>44600</v>
      </c>
      <c r="Q205" s="103">
        <f t="shared" si="20"/>
        <v>0.108</v>
      </c>
      <c r="R205" s="1">
        <f ca="1">IFERROR(INDEX(INDIRECT("Table3[Column"&amp;R$9&amp;"]"),MATCH($L205,Table3[[Company name]:[Company name]],0)),0)</f>
        <v>0</v>
      </c>
      <c r="S205" s="1">
        <f ca="1">IFERROR(INDEX(INDIRECT("Table3[Column"&amp;S$9&amp;"]"),MATCH($L205,Table3[[Company name]:[Company name]],0)),0)</f>
        <v>0</v>
      </c>
      <c r="T205" s="1">
        <f ca="1">IFERROR(INDEX(INDIRECT("Table3[Column"&amp;T$9&amp;"]"),MATCH($L205,Table3[[Company name]:[Company name]],0)),0)</f>
        <v>0</v>
      </c>
      <c r="U205" s="1">
        <f ca="1">IFERROR(INDEX(INDIRECT("Table3[Column"&amp;U$9&amp;"]"),MATCH($L205,Table3[[Company name]:[Company name]],0)),0)</f>
        <v>0</v>
      </c>
      <c r="V205" s="1">
        <f ca="1">IFERROR(INDEX(INDIRECT("Table3[Column"&amp;V$9&amp;"]"),MATCH($L205,Table3[[Company name]:[Company name]],0)),0)</f>
        <v>0</v>
      </c>
      <c r="W205" s="1">
        <f ca="1">IFERROR(INDEX(INDIRECT("Table3[Column"&amp;W$9&amp;"]"),MATCH($L205,Table3[[Company name]:[Company name]],0)),0)</f>
        <v>0</v>
      </c>
      <c r="X205" s="1">
        <f ca="1">IFERROR(INDEX(INDIRECT("Table3[Column"&amp;X$9&amp;"]"),MATCH($L205,Table3[[Company name]:[Company name]],0)),0)</f>
        <v>0</v>
      </c>
      <c r="Y205" s="1">
        <f ca="1">IFERROR(INDEX(INDIRECT("Table3[Column"&amp;Y$9&amp;"]"),MATCH($L205,Table3[[Company name]:[Company name]],0)),0)</f>
        <v>0</v>
      </c>
      <c r="Z205" s="1">
        <f ca="1">IFERROR(INDEX(INDIRECT("Table3[Column"&amp;Z$9&amp;"]"),MATCH($L205,Table3[[Company name]:[Company name]],0)),0)</f>
        <v>0</v>
      </c>
      <c r="AA205" s="1">
        <f ca="1">IFERROR(INDEX(INDIRECT("Table3[Column"&amp;AA$9&amp;"]"),MATCH($L205,Table3[[Company name]:[Company name]],0)),0)</f>
        <v>0</v>
      </c>
      <c r="AB205" s="1">
        <f ca="1">IFERROR(INDEX(INDIRECT("Table3[Column"&amp;AB$9&amp;"]"),MATCH($L205,Table3[[Company name]:[Company name]],0)),0)</f>
        <v>0</v>
      </c>
      <c r="AC205" s="1">
        <f ca="1">IFERROR(INDEX(INDIRECT("Table3[Column"&amp;AC$9&amp;"]"),MATCH($L205,Table3[[Company name]:[Company name]],0)),0)</f>
        <v>0</v>
      </c>
      <c r="AD205" s="1">
        <f ca="1">IFERROR(INDEX(INDIRECT("Table3[Column"&amp;AD$9&amp;"]"),MATCH($L205,Table3[[Company name]:[Company name]],0)),0)</f>
        <v>0</v>
      </c>
      <c r="AE205" s="1">
        <f ca="1">IFERROR(INDEX(INDIRECT("Table3[Column"&amp;AE$9&amp;"]"),MATCH($L205,Table3[[Company name]:[Company name]],0)),0)</f>
        <v>0</v>
      </c>
      <c r="AF205" s="1">
        <f ca="1">IFERROR(INDEX(INDIRECT("Table3[Column"&amp;AF$9&amp;"]"),MATCH($L205,Table3[[Company name]:[Company name]],0)),0)</f>
        <v>0</v>
      </c>
      <c r="AG205" s="1">
        <f ca="1">IFERROR(INDEX(INDIRECT("Table3[Column"&amp;AG$9&amp;"]"),MATCH($L205,Table3[[Company name]:[Company name]],0)),0)</f>
        <v>0</v>
      </c>
      <c r="AH205" s="1">
        <f ca="1">IFERROR(INDEX(INDIRECT("Table3[Column"&amp;AH$9&amp;"]"),MATCH($L205,Table3[[Company name]:[Company name]],0)),0)</f>
        <v>0</v>
      </c>
      <c r="AI205" s="1">
        <f t="shared" ca="1" si="21"/>
        <v>0</v>
      </c>
      <c r="AK205" s="1">
        <f>IF(COUNTIFS($J$7:$J$510,Table7[[#Headers],[Industry Essentials]],$C$7:$C$510,$L205)&gt;0,0,MROUND(R205,100))</f>
        <v>0</v>
      </c>
      <c r="AL205" s="1">
        <f ca="1">IF(COUNTIFS($J$7:$J$510,Table7[[#Headers],[Energy Supply Market Intelligence]],$C$7:$C$510,$L205)&gt;0,0,MROUND(IFERROR(S205*($P205/$AI205),0),100))</f>
        <v>0</v>
      </c>
      <c r="AM205" s="1">
        <f ca="1">IF(COUNTIFS($J$7:$J$510,Table7[[#Headers],[Energy Supply RTM Analysis]],$C$7:$C$510,$L205)&gt;0,0,MROUND(IFERROR(T205*($P205/$AI205),0),100))</f>
        <v>0</v>
      </c>
      <c r="AN205" s="1">
        <f ca="1">IF(COUNTIFS($J$7:$J$510,Table7[[#Headers],[Energy Supply Forecasts]],$C$7:$C$510,$L205)&gt;0,0,MROUND(IFERROR(U205*($P205/$AI205),0),100))</f>
        <v>0</v>
      </c>
      <c r="AO205" s="1">
        <f ca="1">IF(COUNTIFS($J$7:$J$510,Table7[[#Headers],[Energy Supply Regulation]],$C$7:$C$510,$L205)&gt;0,0,MROUND(IFERROR(V205*($P205/$AI205),0),100))</f>
        <v>0</v>
      </c>
      <c r="AP205" s="1">
        <f ca="1">IF(COUNTIFS($J$7:$J$510,Table7[[#Headers],[Renewables Market Intelligence]],$C$7:$C$510,$L205)&gt;0,0,MROUND(IFERROR(W205*($P205/$AI205),0),100))</f>
        <v>0</v>
      </c>
      <c r="AQ205" s="1">
        <f ca="1">IF(COUNTIFS($J$7:$J$510,Table7[[#Headers],[Renewables RTM Analysis]],$C$7:$C$510,$L205)&gt;0,0,MROUND(IFERROR(X205*($P205/$AI205),0),100))</f>
        <v>0</v>
      </c>
      <c r="AR205" s="1">
        <f>IF(COUNTIFS($J$7:$J$510,Table7[[#Headers],[Renewables Forecasts]],$C$7:$C$510,$L205)&gt;0,0,MROUND(IFERROR(Y205*($P205/$AI205),0),100))</f>
        <v>0</v>
      </c>
      <c r="AS205" s="1">
        <f ca="1">IF(COUNTIFS($J$7:$J$510,Table7[[#Headers],[Renewables Regulation]],$C$7:$C$510,$L205)&gt;0,0,MROUND(IFERROR(Z205*($P205/$AI205),0),100))</f>
        <v>0</v>
      </c>
      <c r="AT205" s="1">
        <f ca="1">IF(COUNTIFS($J$7:$J$510,Table7[[#Headers],[Flexibility Market Intelligence]],$C$7:$C$510,$L205)&gt;0,0,MROUND(IFERROR(AA205*($P205/$AI205),0),100))</f>
        <v>0</v>
      </c>
      <c r="AU205" s="1">
        <f ca="1">IF(COUNTIFS($J$7:$J$510,Table7[[#Headers],[Flexibility RTM Analysis]],$C$7:$C$510,$L205)&gt;0,0,MROUND(IFERROR(AB205*($P205/$AI205),0),100))</f>
        <v>0</v>
      </c>
      <c r="AV205" s="1">
        <f ca="1">IF(COUNTIFS($J$7:$J$510,Table7[[#Headers],[Flexibility Forecasts]],$C$7:$C$510,$L205)&gt;0,0,MROUND(IFERROR(AC205*($P205/$AI205),0),100))</f>
        <v>0</v>
      </c>
      <c r="AW205" s="1">
        <f ca="1">IF(COUNTIFS($J$7:$J$510,Table7[[#Headers],[Flexibility Regulation]],$C$7:$C$510,$L205)&gt;0,0,MROUND(IFERROR(AD205*($P205/$AI205),0),100))</f>
        <v>0</v>
      </c>
      <c r="AX205" s="1">
        <f ca="1">IF(COUNTIFS($J$7:$J$510,Table7[[#Headers],[Business Energy Essentials]],$C$7:$C$510,$L205)&gt;0,0,MROUND(IFERROR(AE205*($P205/$AI205),0),100))</f>
        <v>0</v>
      </c>
      <c r="AY205" s="1">
        <f ca="1">IF(COUNTIFS($J$7:$J$510,Table7[[#Headers],[Energy User RTM Analysis]],$C$7:$C$510,$L205)&gt;0,0,MROUND(IFERROR(AF205*($P205/$AI205),0),100))</f>
        <v>0</v>
      </c>
      <c r="AZ205" s="1">
        <f ca="1">IF(COUNTIFS($J$7:$J$510,Table7[[#Headers],[Energy User Forecasts]],$C$7:$C$510,$L205)&gt;0,0,MROUND(IFERROR(AG205*($P205/$AI205),0),100))</f>
        <v>0</v>
      </c>
      <c r="BA205" s="1">
        <f ca="1">IF(COUNTIFS($J$7:$J$510,Table7[[#Headers],[Energy User Regulation]],$C$7:$C$510,$L205)&gt;0,0,MROUND(IFERROR(AH205*($P205/$AI205),0),100))</f>
        <v>0</v>
      </c>
    </row>
    <row r="206" spans="2:53">
      <c r="B206" s="38" t="s">
        <v>2182</v>
      </c>
      <c r="C206" s="38" t="s">
        <v>1018</v>
      </c>
      <c r="D206" s="38" t="s">
        <v>2141</v>
      </c>
      <c r="E206" s="38" t="s">
        <v>2142</v>
      </c>
      <c r="F206" s="63">
        <v>15659.999999999998</v>
      </c>
      <c r="G206" s="38"/>
      <c r="H206" s="38" t="s">
        <v>2031</v>
      </c>
      <c r="I206" s="38" t="s">
        <v>2031</v>
      </c>
      <c r="J206" s="38" t="s">
        <v>23</v>
      </c>
      <c r="L206" s="1" t="str">
        <v>Unify Energy Ltd</v>
      </c>
      <c r="M206" s="1" t="str">
        <f t="shared" si="17"/>
        <v>Supply</v>
      </c>
      <c r="N206" s="109">
        <f t="shared" si="18"/>
        <v>39150</v>
      </c>
      <c r="O206" s="1">
        <f>IFERROR(IF(INDEX(Table3[[Total Spend]:[Total Spend]],MATCH(L206,Table3[[Company name]:[Company name]],0))&gt;N206,INDEX(Table3[[Total Spend]:[Total Spend]],MATCH(L206,Table3[[Company name]:[Company name]])),N206),50000)</f>
        <v>10000</v>
      </c>
      <c r="P206" s="109">
        <f t="shared" si="19"/>
        <v>39150</v>
      </c>
      <c r="Q206" s="103">
        <f t="shared" si="20"/>
        <v>1</v>
      </c>
      <c r="R206" s="1">
        <f ca="1">IFERROR(INDEX(INDIRECT("Table3[Column"&amp;R$9&amp;"]"),MATCH($L206,Table3[[Company name]:[Company name]],0)),0)</f>
        <v>8100</v>
      </c>
      <c r="S206" s="1">
        <f ca="1">IFERROR(INDEX(INDIRECT("Table3[Column"&amp;S$9&amp;"]"),MATCH($L206,Table3[[Company name]:[Company name]],0)),0)</f>
        <v>30600</v>
      </c>
      <c r="T206" s="1">
        <f ca="1">IFERROR(INDEX(INDIRECT("Table3[Column"&amp;T$9&amp;"]"),MATCH($L206,Table3[[Company name]:[Company name]],0)),0)</f>
        <v>53100</v>
      </c>
      <c r="U206" s="1">
        <f ca="1">IFERROR(INDEX(INDIRECT("Table3[Column"&amp;U$9&amp;"]"),MATCH($L206,Table3[[Company name]:[Company name]],0)),0)</f>
        <v>34200</v>
      </c>
      <c r="V206" s="1">
        <f ca="1">IFERROR(INDEX(INDIRECT("Table3[Column"&amp;V$9&amp;"]"),MATCH($L206,Table3[[Company name]:[Company name]],0)),0)</f>
        <v>39600</v>
      </c>
      <c r="W206" s="1">
        <f ca="1">IFERROR(INDEX(INDIRECT("Table3[Column"&amp;W$9&amp;"]"),MATCH($L206,Table3[[Company name]:[Company name]],0)),0)</f>
        <v>0</v>
      </c>
      <c r="X206" s="1">
        <f ca="1">IFERROR(INDEX(INDIRECT("Table3[Column"&amp;X$9&amp;"]"),MATCH($L206,Table3[[Company name]:[Company name]],0)),0)</f>
        <v>0</v>
      </c>
      <c r="Y206" s="1">
        <f ca="1">IFERROR(INDEX(INDIRECT("Table3[Column"&amp;Y$9&amp;"]"),MATCH($L206,Table3[[Company name]:[Company name]],0)),0)</f>
        <v>0</v>
      </c>
      <c r="Z206" s="1">
        <f ca="1">IFERROR(INDEX(INDIRECT("Table3[Column"&amp;Z$9&amp;"]"),MATCH($L206,Table3[[Company name]:[Company name]],0)),0)</f>
        <v>0</v>
      </c>
      <c r="AA206" s="1">
        <f ca="1">IFERROR(INDEX(INDIRECT("Table3[Column"&amp;AA$9&amp;"]"),MATCH($L206,Table3[[Company name]:[Company name]],0)),0)</f>
        <v>21600</v>
      </c>
      <c r="AB206" s="1">
        <f ca="1">IFERROR(INDEX(INDIRECT("Table3[Column"&amp;AB$9&amp;"]"),MATCH($L206,Table3[[Company name]:[Company name]],0)),0)</f>
        <v>0</v>
      </c>
      <c r="AC206" s="1">
        <f ca="1">IFERROR(INDEX(INDIRECT("Table3[Column"&amp;AC$9&amp;"]"),MATCH($L206,Table3[[Company name]:[Company name]],0)),0)</f>
        <v>0</v>
      </c>
      <c r="AD206" s="1">
        <f ca="1">IFERROR(INDEX(INDIRECT("Table3[Column"&amp;AD$9&amp;"]"),MATCH($L206,Table3[[Company name]:[Company name]],0)),0)</f>
        <v>0</v>
      </c>
      <c r="AE206" s="1">
        <f ca="1">IFERROR(INDEX(INDIRECT("Table3[Column"&amp;AE$9&amp;"]"),MATCH($L206,Table3[[Company name]:[Company name]],0)),0)</f>
        <v>0</v>
      </c>
      <c r="AF206" s="1">
        <f ca="1">IFERROR(INDEX(INDIRECT("Table3[Column"&amp;AF$9&amp;"]"),MATCH($L206,Table3[[Company name]:[Company name]],0)),0)</f>
        <v>0</v>
      </c>
      <c r="AG206" s="1">
        <f ca="1">IFERROR(INDEX(INDIRECT("Table3[Column"&amp;AG$9&amp;"]"),MATCH($L206,Table3[[Company name]:[Company name]],0)),0)</f>
        <v>0</v>
      </c>
      <c r="AH206" s="1">
        <f ca="1">IFERROR(INDEX(INDIRECT("Table3[Column"&amp;AH$9&amp;"]"),MATCH($L206,Table3[[Company name]:[Company name]],0)),0)</f>
        <v>0</v>
      </c>
      <c r="AI206" s="1">
        <f t="shared" ca="1" si="21"/>
        <v>187200</v>
      </c>
      <c r="AK206" s="1">
        <f>IF(COUNTIFS($J$7:$J$510,Table7[[#Headers],[Industry Essentials]],$C$7:$C$510,$L206)&gt;0,0,MROUND(R206,100))</f>
        <v>0</v>
      </c>
      <c r="AL206" s="1">
        <f ca="1">IF(COUNTIFS($J$7:$J$510,Table7[[#Headers],[Energy Supply Market Intelligence]],$C$7:$C$510,$L206)&gt;0,0,MROUND(IFERROR(S206*($P206/$AI206),0),100))</f>
        <v>6400</v>
      </c>
      <c r="AM206" s="1">
        <f ca="1">IF(COUNTIFS($J$7:$J$510,Table7[[#Headers],[Energy Supply RTM Analysis]],$C$7:$C$510,$L206)&gt;0,0,MROUND(IFERROR(T206*($P206/$AI206),0),100))</f>
        <v>11100</v>
      </c>
      <c r="AN206" s="1">
        <f>IF(COUNTIFS($J$7:$J$510,Table7[[#Headers],[Energy Supply Forecasts]],$C$7:$C$510,$L206)&gt;0,0,MROUND(IFERROR(U206*($P206/$AI206),0),100))</f>
        <v>0</v>
      </c>
      <c r="AO206" s="1">
        <f ca="1">IF(COUNTIFS($J$7:$J$510,Table7[[#Headers],[Energy Supply Regulation]],$C$7:$C$510,$L206)&gt;0,0,MROUND(IFERROR(V206*($P206/$AI206),0),100))</f>
        <v>8300</v>
      </c>
      <c r="AP206" s="1">
        <f ca="1">IF(COUNTIFS($J$7:$J$510,Table7[[#Headers],[Renewables Market Intelligence]],$C$7:$C$510,$L206)&gt;0,0,MROUND(IFERROR(W206*($P206/$AI206),0),100))</f>
        <v>0</v>
      </c>
      <c r="AQ206" s="1">
        <f>IF(COUNTIFS($J$7:$J$510,Table7[[#Headers],[Renewables RTM Analysis]],$C$7:$C$510,$L206)&gt;0,0,MROUND(IFERROR(X206*($P206/$AI206),0),100))</f>
        <v>0</v>
      </c>
      <c r="AR206" s="1">
        <f ca="1">IF(COUNTIFS($J$7:$J$510,Table7[[#Headers],[Renewables Forecasts]],$C$7:$C$510,$L206)&gt;0,0,MROUND(IFERROR(Y206*($P206/$AI206),0),100))</f>
        <v>0</v>
      </c>
      <c r="AS206" s="1">
        <f ca="1">IF(COUNTIFS($J$7:$J$510,Table7[[#Headers],[Renewables Regulation]],$C$7:$C$510,$L206)&gt;0,0,MROUND(IFERROR(Z206*($P206/$AI206),0),100))</f>
        <v>0</v>
      </c>
      <c r="AT206" s="1">
        <f ca="1">IF(COUNTIFS($J$7:$J$510,Table7[[#Headers],[Flexibility Market Intelligence]],$C$7:$C$510,$L206)&gt;0,0,MROUND(IFERROR(AA206*($P206/$AI206),0),100))</f>
        <v>4500</v>
      </c>
      <c r="AU206" s="1">
        <f ca="1">IF(COUNTIFS($J$7:$J$510,Table7[[#Headers],[Flexibility RTM Analysis]],$C$7:$C$510,$L206)&gt;0,0,MROUND(IFERROR(AB206*($P206/$AI206),0),100))</f>
        <v>0</v>
      </c>
      <c r="AV206" s="1">
        <f ca="1">IF(COUNTIFS($J$7:$J$510,Table7[[#Headers],[Flexibility Forecasts]],$C$7:$C$510,$L206)&gt;0,0,MROUND(IFERROR(AC206*($P206/$AI206),0),100))</f>
        <v>0</v>
      </c>
      <c r="AW206" s="1">
        <f ca="1">IF(COUNTIFS($J$7:$J$510,Table7[[#Headers],[Flexibility Regulation]],$C$7:$C$510,$L206)&gt;0,0,MROUND(IFERROR(AD206*($P206/$AI206),0),100))</f>
        <v>0</v>
      </c>
      <c r="AX206" s="1">
        <f ca="1">IF(COUNTIFS($J$7:$J$510,Table7[[#Headers],[Business Energy Essentials]],$C$7:$C$510,$L206)&gt;0,0,MROUND(IFERROR(AE206*($P206/$AI206),0),100))</f>
        <v>0</v>
      </c>
      <c r="AY206" s="1">
        <f ca="1">IF(COUNTIFS($J$7:$J$510,Table7[[#Headers],[Energy User RTM Analysis]],$C$7:$C$510,$L206)&gt;0,0,MROUND(IFERROR(AF206*($P206/$AI206),0),100))</f>
        <v>0</v>
      </c>
      <c r="AZ206" s="1">
        <f ca="1">IF(COUNTIFS($J$7:$J$510,Table7[[#Headers],[Energy User Forecasts]],$C$7:$C$510,$L206)&gt;0,0,MROUND(IFERROR(AG206*($P206/$AI206),0),100))</f>
        <v>0</v>
      </c>
      <c r="BA206" s="1">
        <f ca="1">IF(COUNTIFS($J$7:$J$510,Table7[[#Headers],[Energy User Regulation]],$C$7:$C$510,$L206)&gt;0,0,MROUND(IFERROR(AH206*($P206/$AI206),0),100))</f>
        <v>0</v>
      </c>
    </row>
    <row r="207" spans="2:53">
      <c r="B207" s="38" t="s">
        <v>2183</v>
      </c>
      <c r="C207" s="38" t="s">
        <v>392</v>
      </c>
      <c r="D207" s="38" t="s">
        <v>2034</v>
      </c>
      <c r="E207" s="38" t="s">
        <v>1864</v>
      </c>
      <c r="F207" s="63">
        <v>19500</v>
      </c>
      <c r="G207" s="38"/>
      <c r="H207" s="38" t="s">
        <v>1703</v>
      </c>
      <c r="I207" s="38" t="s">
        <v>1703</v>
      </c>
      <c r="J207" s="38" t="s">
        <v>27</v>
      </c>
      <c r="L207" s="1" t="str">
        <v>Uniper Global Commodities SE</v>
      </c>
      <c r="M207" s="1" t="str">
        <f t="shared" si="17"/>
        <v>Supply</v>
      </c>
      <c r="N207" s="109">
        <f t="shared" si="18"/>
        <v>20345.87995930824</v>
      </c>
      <c r="O207" s="1">
        <f>IFERROR(IF(INDEX(Table3[[Total Spend]:[Total Spend]],MATCH(L207,Table3[[Company name]:[Company name]],0))&gt;N207,INDEX(Table3[[Total Spend]:[Total Spend]],MATCH(L207,Table3[[Company name]:[Company name]])),N207),50000)</f>
        <v>10000</v>
      </c>
      <c r="P207" s="109">
        <f t="shared" si="19"/>
        <v>20345.87995930824</v>
      </c>
      <c r="Q207" s="103">
        <f t="shared" si="20"/>
        <v>1</v>
      </c>
      <c r="R207" s="1">
        <f ca="1">IFERROR(INDEX(INDIRECT("Table3[Column"&amp;R$9&amp;"]"),MATCH($L207,Table3[[Company name]:[Company name]],0)),0)</f>
        <v>10800</v>
      </c>
      <c r="S207" s="1">
        <f ca="1">IFERROR(INDEX(INDIRECT("Table3[Column"&amp;S$9&amp;"]"),MATCH($L207,Table3[[Company name]:[Company name]],0)),0)</f>
        <v>0</v>
      </c>
      <c r="T207" s="1">
        <f ca="1">IFERROR(INDEX(INDIRECT("Table3[Column"&amp;T$9&amp;"]"),MATCH($L207,Table3[[Company name]:[Company name]],0)),0)</f>
        <v>0</v>
      </c>
      <c r="U207" s="1">
        <f ca="1">IFERROR(INDEX(INDIRECT("Table3[Column"&amp;U$9&amp;"]"),MATCH($L207,Table3[[Company name]:[Company name]],0)),0)</f>
        <v>0</v>
      </c>
      <c r="V207" s="1">
        <f ca="1">IFERROR(INDEX(INDIRECT("Table3[Column"&amp;V$9&amp;"]"),MATCH($L207,Table3[[Company name]:[Company name]],0)),0)</f>
        <v>0</v>
      </c>
      <c r="W207" s="1">
        <f ca="1">IFERROR(INDEX(INDIRECT("Table3[Column"&amp;W$9&amp;"]"),MATCH($L207,Table3[[Company name]:[Company name]],0)),0)</f>
        <v>23400</v>
      </c>
      <c r="X207" s="1">
        <f ca="1">IFERROR(INDEX(INDIRECT("Table3[Column"&amp;X$9&amp;"]"),MATCH($L207,Table3[[Company name]:[Company name]],0)),0)</f>
        <v>20700</v>
      </c>
      <c r="Y207" s="1">
        <f ca="1">IFERROR(INDEX(INDIRECT("Table3[Column"&amp;Y$9&amp;"]"),MATCH($L207,Table3[[Company name]:[Company name]],0)),0)</f>
        <v>59400</v>
      </c>
      <c r="Z207" s="1">
        <f ca="1">IFERROR(INDEX(INDIRECT("Table3[Column"&amp;Z$9&amp;"]"),MATCH($L207,Table3[[Company name]:[Company name]],0)),0)</f>
        <v>26100</v>
      </c>
      <c r="AA207" s="1">
        <f ca="1">IFERROR(INDEX(INDIRECT("Table3[Column"&amp;AA$9&amp;"]"),MATCH($L207,Table3[[Company name]:[Company name]],0)),0)</f>
        <v>29700</v>
      </c>
      <c r="AB207" s="1">
        <f ca="1">IFERROR(INDEX(INDIRECT("Table3[Column"&amp;AB$9&amp;"]"),MATCH($L207,Table3[[Company name]:[Company name]],0)),0)</f>
        <v>10800</v>
      </c>
      <c r="AC207" s="1">
        <f ca="1">IFERROR(INDEX(INDIRECT("Table3[Column"&amp;AC$9&amp;"]"),MATCH($L207,Table3[[Company name]:[Company name]],0)),0)</f>
        <v>44100</v>
      </c>
      <c r="AD207" s="1">
        <f ca="1">IFERROR(INDEX(INDIRECT("Table3[Column"&amp;AD$9&amp;"]"),MATCH($L207,Table3[[Company name]:[Company name]],0)),0)</f>
        <v>36000</v>
      </c>
      <c r="AE207" s="1">
        <f ca="1">IFERROR(INDEX(INDIRECT("Table3[Column"&amp;AE$9&amp;"]"),MATCH($L207,Table3[[Company name]:[Company name]],0)),0)</f>
        <v>0</v>
      </c>
      <c r="AF207" s="1">
        <f ca="1">IFERROR(INDEX(INDIRECT("Table3[Column"&amp;AF$9&amp;"]"),MATCH($L207,Table3[[Company name]:[Company name]],0)),0)</f>
        <v>0</v>
      </c>
      <c r="AG207" s="1">
        <f ca="1">IFERROR(INDEX(INDIRECT("Table3[Column"&amp;AG$9&amp;"]"),MATCH($L207,Table3[[Company name]:[Company name]],0)),0)</f>
        <v>0</v>
      </c>
      <c r="AH207" s="1">
        <f ca="1">IFERROR(INDEX(INDIRECT("Table3[Column"&amp;AH$9&amp;"]"),MATCH($L207,Table3[[Company name]:[Company name]],0)),0)</f>
        <v>0</v>
      </c>
      <c r="AI207" s="1">
        <f t="shared" ca="1" si="21"/>
        <v>261000</v>
      </c>
      <c r="AK207" s="1">
        <f ca="1">IF(COUNTIFS($J$7:$J$510,Table7[[#Headers],[Industry Essentials]],$C$7:$C$510,$L207)&gt;0,0,MROUND(R207,100))</f>
        <v>10800</v>
      </c>
      <c r="AL207" s="1">
        <f ca="1">IF(COUNTIFS($J$7:$J$510,Table7[[#Headers],[Energy Supply Market Intelligence]],$C$7:$C$510,$L207)&gt;0,0,MROUND(IFERROR(S207*($P207/$AI207),0),100))</f>
        <v>0</v>
      </c>
      <c r="AM207" s="1">
        <f ca="1">IF(COUNTIFS($J$7:$J$510,Table7[[#Headers],[Energy Supply RTM Analysis]],$C$7:$C$510,$L207)&gt;0,0,MROUND(IFERROR(T207*($P207/$AI207),0),100))</f>
        <v>0</v>
      </c>
      <c r="AN207" s="1">
        <f ca="1">IF(COUNTIFS($J$7:$J$510,Table7[[#Headers],[Energy Supply Forecasts]],$C$7:$C$510,$L207)&gt;0,0,MROUND(IFERROR(U207*($P207/$AI207),0),100))</f>
        <v>0</v>
      </c>
      <c r="AO207" s="1">
        <f ca="1">IF(COUNTIFS($J$7:$J$510,Table7[[#Headers],[Energy Supply Regulation]],$C$7:$C$510,$L207)&gt;0,0,MROUND(IFERROR(V207*($P207/$AI207),0),100))</f>
        <v>0</v>
      </c>
      <c r="AP207" s="1">
        <f ca="1">IF(COUNTIFS($J$7:$J$510,Table7[[#Headers],[Renewables Market Intelligence]],$C$7:$C$510,$L207)&gt;0,0,MROUND(IFERROR(W207*($P207/$AI207),0),100))</f>
        <v>1800</v>
      </c>
      <c r="AQ207" s="1">
        <f>IF(COUNTIFS($J$7:$J$510,Table7[[#Headers],[Renewables RTM Analysis]],$C$7:$C$510,$L207)&gt;0,0,MROUND(IFERROR(X207*($P207/$AI207),0),100))</f>
        <v>0</v>
      </c>
      <c r="AR207" s="1">
        <f>IF(COUNTIFS($J$7:$J$510,Table7[[#Headers],[Renewables Forecasts]],$C$7:$C$510,$L207)&gt;0,0,MROUND(IFERROR(Y207*($P207/$AI207),0),100))</f>
        <v>0</v>
      </c>
      <c r="AS207" s="1">
        <f ca="1">IF(COUNTIFS($J$7:$J$510,Table7[[#Headers],[Renewables Regulation]],$C$7:$C$510,$L207)&gt;0,0,MROUND(IFERROR(Z207*($P207/$AI207),0),100))</f>
        <v>2000</v>
      </c>
      <c r="AT207" s="1">
        <f ca="1">IF(COUNTIFS($J$7:$J$510,Table7[[#Headers],[Flexibility Market Intelligence]],$C$7:$C$510,$L207)&gt;0,0,MROUND(IFERROR(AA207*($P207/$AI207),0),100))</f>
        <v>2300</v>
      </c>
      <c r="AU207" s="1">
        <f ca="1">IF(COUNTIFS($J$7:$J$510,Table7[[#Headers],[Flexibility RTM Analysis]],$C$7:$C$510,$L207)&gt;0,0,MROUND(IFERROR(AB207*($P207/$AI207),0),100))</f>
        <v>800</v>
      </c>
      <c r="AV207" s="1">
        <f ca="1">IF(COUNTIFS($J$7:$J$510,Table7[[#Headers],[Flexibility Forecasts]],$C$7:$C$510,$L207)&gt;0,0,MROUND(IFERROR(AC207*($P207/$AI207),0),100))</f>
        <v>3400</v>
      </c>
      <c r="AW207" s="1">
        <f ca="1">IF(COUNTIFS($J$7:$J$510,Table7[[#Headers],[Flexibility Regulation]],$C$7:$C$510,$L207)&gt;0,0,MROUND(IFERROR(AD207*($P207/$AI207),0),100))</f>
        <v>2800</v>
      </c>
      <c r="AX207" s="1">
        <f ca="1">IF(COUNTIFS($J$7:$J$510,Table7[[#Headers],[Business Energy Essentials]],$C$7:$C$510,$L207)&gt;0,0,MROUND(IFERROR(AE207*($P207/$AI207),0),100))</f>
        <v>0</v>
      </c>
      <c r="AY207" s="1">
        <f ca="1">IF(COUNTIFS($J$7:$J$510,Table7[[#Headers],[Energy User RTM Analysis]],$C$7:$C$510,$L207)&gt;0,0,MROUND(IFERROR(AF207*($P207/$AI207),0),100))</f>
        <v>0</v>
      </c>
      <c r="AZ207" s="1">
        <f ca="1">IF(COUNTIFS($J$7:$J$510,Table7[[#Headers],[Energy User Forecasts]],$C$7:$C$510,$L207)&gt;0,0,MROUND(IFERROR(AG207*($P207/$AI207),0),100))</f>
        <v>0</v>
      </c>
      <c r="BA207" s="1">
        <f ca="1">IF(COUNTIFS($J$7:$J$510,Table7[[#Headers],[Energy User Regulation]],$C$7:$C$510,$L207)&gt;0,0,MROUND(IFERROR(AH207*($P207/$AI207),0),100))</f>
        <v>0</v>
      </c>
    </row>
    <row r="208" spans="2:53">
      <c r="B208" s="38" t="s">
        <v>2183</v>
      </c>
      <c r="C208" s="38" t="s">
        <v>392</v>
      </c>
      <c r="D208" s="38" t="s">
        <v>2051</v>
      </c>
      <c r="E208" s="38" t="s">
        <v>1817</v>
      </c>
      <c r="F208" s="63">
        <v>13500</v>
      </c>
      <c r="G208" s="38"/>
      <c r="H208" s="38" t="s">
        <v>1703</v>
      </c>
      <c r="I208" s="38" t="s">
        <v>191</v>
      </c>
      <c r="J208" s="38" t="s">
        <v>35</v>
      </c>
      <c r="L208" s="1" t="str">
        <v>United Gas &amp; Power Ltd</v>
      </c>
      <c r="M208" s="1" t="str">
        <f t="shared" si="17"/>
        <v>Supply</v>
      </c>
      <c r="N208" s="109">
        <f t="shared" si="18"/>
        <v>27400</v>
      </c>
      <c r="O208" s="1">
        <f>IFERROR(IF(INDEX(Table3[[Total Spend]:[Total Spend]],MATCH(L208,Table3[[Company name]:[Company name]],0))&gt;N208,INDEX(Table3[[Total Spend]:[Total Spend]],MATCH(L208,Table3[[Company name]:[Company name]])),N208),50000)</f>
        <v>10000</v>
      </c>
      <c r="P208" s="109">
        <f t="shared" si="19"/>
        <v>27400</v>
      </c>
      <c r="Q208" s="103">
        <f t="shared" si="20"/>
        <v>1</v>
      </c>
      <c r="R208" s="1">
        <f ca="1">IFERROR(INDEX(INDIRECT("Table3[Column"&amp;R$9&amp;"]"),MATCH($L208,Table3[[Company name]:[Company name]],0)),0)</f>
        <v>8100</v>
      </c>
      <c r="S208" s="1">
        <f ca="1">IFERROR(INDEX(INDIRECT("Table3[Column"&amp;S$9&amp;"]"),MATCH($L208,Table3[[Company name]:[Company name]],0)),0)</f>
        <v>30600</v>
      </c>
      <c r="T208" s="1">
        <f ca="1">IFERROR(INDEX(INDIRECT("Table3[Column"&amp;T$9&amp;"]"),MATCH($L208,Table3[[Company name]:[Company name]],0)),0)</f>
        <v>53100</v>
      </c>
      <c r="U208" s="1">
        <f ca="1">IFERROR(INDEX(INDIRECT("Table3[Column"&amp;U$9&amp;"]"),MATCH($L208,Table3[[Company name]:[Company name]],0)),0)</f>
        <v>34200</v>
      </c>
      <c r="V208" s="1">
        <f ca="1">IFERROR(INDEX(INDIRECT("Table3[Column"&amp;V$9&amp;"]"),MATCH($L208,Table3[[Company name]:[Company name]],0)),0)</f>
        <v>39600</v>
      </c>
      <c r="W208" s="1">
        <f ca="1">IFERROR(INDEX(INDIRECT("Table3[Column"&amp;W$9&amp;"]"),MATCH($L208,Table3[[Company name]:[Company name]],0)),0)</f>
        <v>0</v>
      </c>
      <c r="X208" s="1">
        <f ca="1">IFERROR(INDEX(INDIRECT("Table3[Column"&amp;X$9&amp;"]"),MATCH($L208,Table3[[Company name]:[Company name]],0)),0)</f>
        <v>0</v>
      </c>
      <c r="Y208" s="1">
        <f ca="1">IFERROR(INDEX(INDIRECT("Table3[Column"&amp;Y$9&amp;"]"),MATCH($L208,Table3[[Company name]:[Company name]],0)),0)</f>
        <v>0</v>
      </c>
      <c r="Z208" s="1">
        <f ca="1">IFERROR(INDEX(INDIRECT("Table3[Column"&amp;Z$9&amp;"]"),MATCH($L208,Table3[[Company name]:[Company name]],0)),0)</f>
        <v>0</v>
      </c>
      <c r="AA208" s="1">
        <f ca="1">IFERROR(INDEX(INDIRECT("Table3[Column"&amp;AA$9&amp;"]"),MATCH($L208,Table3[[Company name]:[Company name]],0)),0)</f>
        <v>21600</v>
      </c>
      <c r="AB208" s="1">
        <f ca="1">IFERROR(INDEX(INDIRECT("Table3[Column"&amp;AB$9&amp;"]"),MATCH($L208,Table3[[Company name]:[Company name]],0)),0)</f>
        <v>0</v>
      </c>
      <c r="AC208" s="1">
        <f ca="1">IFERROR(INDEX(INDIRECT("Table3[Column"&amp;AC$9&amp;"]"),MATCH($L208,Table3[[Company name]:[Company name]],0)),0)</f>
        <v>0</v>
      </c>
      <c r="AD208" s="1">
        <f ca="1">IFERROR(INDEX(INDIRECT("Table3[Column"&amp;AD$9&amp;"]"),MATCH($L208,Table3[[Company name]:[Company name]],0)),0)</f>
        <v>0</v>
      </c>
      <c r="AE208" s="1">
        <f ca="1">IFERROR(INDEX(INDIRECT("Table3[Column"&amp;AE$9&amp;"]"),MATCH($L208,Table3[[Company name]:[Company name]],0)),0)</f>
        <v>0</v>
      </c>
      <c r="AF208" s="1">
        <f ca="1">IFERROR(INDEX(INDIRECT("Table3[Column"&amp;AF$9&amp;"]"),MATCH($L208,Table3[[Company name]:[Company name]],0)),0)</f>
        <v>0</v>
      </c>
      <c r="AG208" s="1">
        <f ca="1">IFERROR(INDEX(INDIRECT("Table3[Column"&amp;AG$9&amp;"]"),MATCH($L208,Table3[[Company name]:[Company name]],0)),0)</f>
        <v>0</v>
      </c>
      <c r="AH208" s="1">
        <f ca="1">IFERROR(INDEX(INDIRECT("Table3[Column"&amp;AH$9&amp;"]"),MATCH($L208,Table3[[Company name]:[Company name]],0)),0)</f>
        <v>0</v>
      </c>
      <c r="AI208" s="1">
        <f t="shared" ca="1" si="21"/>
        <v>187200</v>
      </c>
      <c r="AK208" s="1">
        <f>IF(COUNTIFS($J$7:$J$510,Table7[[#Headers],[Industry Essentials]],$C$7:$C$510,$L208)&gt;0,0,MROUND(R208,100))</f>
        <v>0</v>
      </c>
      <c r="AL208" s="1">
        <f ca="1">IF(COUNTIFS($J$7:$J$510,Table7[[#Headers],[Energy Supply Market Intelligence]],$C$7:$C$510,$L208)&gt;0,0,MROUND(IFERROR(S208*($P208/$AI208),0),100))</f>
        <v>4500</v>
      </c>
      <c r="AM208" s="1">
        <f ca="1">IF(COUNTIFS($J$7:$J$510,Table7[[#Headers],[Energy Supply RTM Analysis]],$C$7:$C$510,$L208)&gt;0,0,MROUND(IFERROR(T208*($P208/$AI208),0),100))</f>
        <v>7800</v>
      </c>
      <c r="AN208" s="1">
        <f>IF(COUNTIFS($J$7:$J$510,Table7[[#Headers],[Energy Supply Forecasts]],$C$7:$C$510,$L208)&gt;0,0,MROUND(IFERROR(U208*($P208/$AI208),0),100))</f>
        <v>0</v>
      </c>
      <c r="AO208" s="1">
        <f>IF(COUNTIFS($J$7:$J$510,Table7[[#Headers],[Energy Supply Regulation]],$C$7:$C$510,$L208)&gt;0,0,MROUND(IFERROR(V208*($P208/$AI208),0),100))</f>
        <v>0</v>
      </c>
      <c r="AP208" s="1">
        <f ca="1">IF(COUNTIFS($J$7:$J$510,Table7[[#Headers],[Renewables Market Intelligence]],$C$7:$C$510,$L208)&gt;0,0,MROUND(IFERROR(W208*($P208/$AI208),0),100))</f>
        <v>0</v>
      </c>
      <c r="AQ208" s="1">
        <f ca="1">IF(COUNTIFS($J$7:$J$510,Table7[[#Headers],[Renewables RTM Analysis]],$C$7:$C$510,$L208)&gt;0,0,MROUND(IFERROR(X208*($P208/$AI208),0),100))</f>
        <v>0</v>
      </c>
      <c r="AR208" s="1">
        <f ca="1">IF(COUNTIFS($J$7:$J$510,Table7[[#Headers],[Renewables Forecasts]],$C$7:$C$510,$L208)&gt;0,0,MROUND(IFERROR(Y208*($P208/$AI208),0),100))</f>
        <v>0</v>
      </c>
      <c r="AS208" s="1">
        <f ca="1">IF(COUNTIFS($J$7:$J$510,Table7[[#Headers],[Renewables Regulation]],$C$7:$C$510,$L208)&gt;0,0,MROUND(IFERROR(Z208*($P208/$AI208),0),100))</f>
        <v>0</v>
      </c>
      <c r="AT208" s="1">
        <f ca="1">IF(COUNTIFS($J$7:$J$510,Table7[[#Headers],[Flexibility Market Intelligence]],$C$7:$C$510,$L208)&gt;0,0,MROUND(IFERROR(AA208*($P208/$AI208),0),100))</f>
        <v>3200</v>
      </c>
      <c r="AU208" s="1">
        <f ca="1">IF(COUNTIFS($J$7:$J$510,Table7[[#Headers],[Flexibility RTM Analysis]],$C$7:$C$510,$L208)&gt;0,0,MROUND(IFERROR(AB208*($P208/$AI208),0),100))</f>
        <v>0</v>
      </c>
      <c r="AV208" s="1">
        <f ca="1">IF(COUNTIFS($J$7:$J$510,Table7[[#Headers],[Flexibility Forecasts]],$C$7:$C$510,$L208)&gt;0,0,MROUND(IFERROR(AC208*($P208/$AI208),0),100))</f>
        <v>0</v>
      </c>
      <c r="AW208" s="1">
        <f ca="1">IF(COUNTIFS($J$7:$J$510,Table7[[#Headers],[Flexibility Regulation]],$C$7:$C$510,$L208)&gt;0,0,MROUND(IFERROR(AD208*($P208/$AI208),0),100))</f>
        <v>0</v>
      </c>
      <c r="AX208" s="1">
        <f ca="1">IF(COUNTIFS($J$7:$J$510,Table7[[#Headers],[Business Energy Essentials]],$C$7:$C$510,$L208)&gt;0,0,MROUND(IFERROR(AE208*($P208/$AI208),0),100))</f>
        <v>0</v>
      </c>
      <c r="AY208" s="1">
        <f ca="1">IF(COUNTIFS($J$7:$J$510,Table7[[#Headers],[Energy User RTM Analysis]],$C$7:$C$510,$L208)&gt;0,0,MROUND(IFERROR(AF208*($P208/$AI208),0),100))</f>
        <v>0</v>
      </c>
      <c r="AZ208" s="1">
        <f ca="1">IF(COUNTIFS($J$7:$J$510,Table7[[#Headers],[Energy User Forecasts]],$C$7:$C$510,$L208)&gt;0,0,MROUND(IFERROR(AG208*($P208/$AI208),0),100))</f>
        <v>0</v>
      </c>
      <c r="BA208" s="1">
        <f ca="1">IF(COUNTIFS($J$7:$J$510,Table7[[#Headers],[Energy User Regulation]],$C$7:$C$510,$L208)&gt;0,0,MROUND(IFERROR(AH208*($P208/$AI208),0),100))</f>
        <v>0</v>
      </c>
    </row>
    <row r="209" spans="2:53">
      <c r="B209" s="38" t="s">
        <v>2184</v>
      </c>
      <c r="C209" s="38" t="s">
        <v>1019</v>
      </c>
      <c r="D209" s="38" t="s">
        <v>2077</v>
      </c>
      <c r="E209" s="38" t="e">
        <v>#N/A</v>
      </c>
      <c r="F209" s="63">
        <v>8800</v>
      </c>
      <c r="G209" s="38"/>
      <c r="H209" s="38" t="s">
        <v>2031</v>
      </c>
      <c r="I209" s="38" t="s">
        <v>2031</v>
      </c>
      <c r="J209" s="38" t="s">
        <v>20</v>
      </c>
      <c r="L209" s="1" t="str">
        <v>United Utilities Water Limited</v>
      </c>
      <c r="M209" s="1" t="str">
        <f t="shared" si="17"/>
        <v>Supply</v>
      </c>
      <c r="N209" s="109">
        <f t="shared" si="18"/>
        <v>21375</v>
      </c>
      <c r="O209" s="1">
        <f>IFERROR(IF(INDEX(Table3[[Total Spend]:[Total Spend]],MATCH(L209,Table3[[Company name]:[Company name]],0))&gt;N209,INDEX(Table3[[Total Spend]:[Total Spend]],MATCH(L209,Table3[[Company name]:[Company name]])),N209),50000)</f>
        <v>10000</v>
      </c>
      <c r="P209" s="109">
        <f t="shared" si="19"/>
        <v>21375</v>
      </c>
      <c r="Q209" s="103">
        <f t="shared" si="20"/>
        <v>1</v>
      </c>
      <c r="R209" s="1">
        <f ca="1">IFERROR(INDEX(INDIRECT("Table3[Column"&amp;R$9&amp;"]"),MATCH($L209,Table3[[Company name]:[Company name]],0)),0)</f>
        <v>10800</v>
      </c>
      <c r="S209" s="1">
        <f ca="1">IFERROR(INDEX(INDIRECT("Table3[Column"&amp;S$9&amp;"]"),MATCH($L209,Table3[[Company name]:[Company name]],0)),0)</f>
        <v>0</v>
      </c>
      <c r="T209" s="1">
        <f ca="1">IFERROR(INDEX(INDIRECT("Table3[Column"&amp;T$9&amp;"]"),MATCH($L209,Table3[[Company name]:[Company name]],0)),0)</f>
        <v>0</v>
      </c>
      <c r="U209" s="1">
        <f ca="1">IFERROR(INDEX(INDIRECT("Table3[Column"&amp;U$9&amp;"]"),MATCH($L209,Table3[[Company name]:[Company name]],0)),0)</f>
        <v>0</v>
      </c>
      <c r="V209" s="1">
        <f ca="1">IFERROR(INDEX(INDIRECT("Table3[Column"&amp;V$9&amp;"]"),MATCH($L209,Table3[[Company name]:[Company name]],0)),0)</f>
        <v>0</v>
      </c>
      <c r="W209" s="1">
        <f ca="1">IFERROR(INDEX(INDIRECT("Table3[Column"&amp;W$9&amp;"]"),MATCH($L209,Table3[[Company name]:[Company name]],0)),0)</f>
        <v>23400</v>
      </c>
      <c r="X209" s="1">
        <f ca="1">IFERROR(INDEX(INDIRECT("Table3[Column"&amp;X$9&amp;"]"),MATCH($L209,Table3[[Company name]:[Company name]],0)),0)</f>
        <v>20700</v>
      </c>
      <c r="Y209" s="1">
        <f ca="1">IFERROR(INDEX(INDIRECT("Table3[Column"&amp;Y$9&amp;"]"),MATCH($L209,Table3[[Company name]:[Company name]],0)),0)</f>
        <v>59400</v>
      </c>
      <c r="Z209" s="1">
        <f ca="1">IFERROR(INDEX(INDIRECT("Table3[Column"&amp;Z$9&amp;"]"),MATCH($L209,Table3[[Company name]:[Company name]],0)),0)</f>
        <v>26100</v>
      </c>
      <c r="AA209" s="1">
        <f ca="1">IFERROR(INDEX(INDIRECT("Table3[Column"&amp;AA$9&amp;"]"),MATCH($L209,Table3[[Company name]:[Company name]],0)),0)</f>
        <v>0</v>
      </c>
      <c r="AB209" s="1">
        <f ca="1">IFERROR(INDEX(INDIRECT("Table3[Column"&amp;AB$9&amp;"]"),MATCH($L209,Table3[[Company name]:[Company name]],0)),0)</f>
        <v>0</v>
      </c>
      <c r="AC209" s="1">
        <f ca="1">IFERROR(INDEX(INDIRECT("Table3[Column"&amp;AC$9&amp;"]"),MATCH($L209,Table3[[Company name]:[Company name]],0)),0)</f>
        <v>0</v>
      </c>
      <c r="AD209" s="1">
        <f ca="1">IFERROR(INDEX(INDIRECT("Table3[Column"&amp;AD$9&amp;"]"),MATCH($L209,Table3[[Company name]:[Company name]],0)),0)</f>
        <v>0</v>
      </c>
      <c r="AE209" s="1">
        <f ca="1">IFERROR(INDEX(INDIRECT("Table3[Column"&amp;AE$9&amp;"]"),MATCH($L209,Table3[[Company name]:[Company name]],0)),0)</f>
        <v>15300</v>
      </c>
      <c r="AF209" s="1">
        <f ca="1">IFERROR(INDEX(INDIRECT("Table3[Column"&amp;AF$9&amp;"]"),MATCH($L209,Table3[[Company name]:[Company name]],0)),0)</f>
        <v>15750</v>
      </c>
      <c r="AG209" s="1">
        <f ca="1">IFERROR(INDEX(INDIRECT("Table3[Column"&amp;AG$9&amp;"]"),MATCH($L209,Table3[[Company name]:[Company name]],0)),0)</f>
        <v>27000</v>
      </c>
      <c r="AH209" s="1">
        <f ca="1">IFERROR(INDEX(INDIRECT("Table3[Column"&amp;AH$9&amp;"]"),MATCH($L209,Table3[[Company name]:[Company name]],0)),0)</f>
        <v>6300</v>
      </c>
      <c r="AI209" s="1">
        <f t="shared" ca="1" si="21"/>
        <v>204750</v>
      </c>
      <c r="AK209" s="1">
        <f ca="1">IF(COUNTIFS($J$7:$J$510,Table7[[#Headers],[Industry Essentials]],$C$7:$C$510,$L209)&gt;0,0,MROUND(R209,100))</f>
        <v>10800</v>
      </c>
      <c r="AL209" s="1">
        <f ca="1">IF(COUNTIFS($J$7:$J$510,Table7[[#Headers],[Energy Supply Market Intelligence]],$C$7:$C$510,$L209)&gt;0,0,MROUND(IFERROR(S209*($P209/$AI209),0),100))</f>
        <v>0</v>
      </c>
      <c r="AM209" s="1">
        <f ca="1">IF(COUNTIFS($J$7:$J$510,Table7[[#Headers],[Energy Supply RTM Analysis]],$C$7:$C$510,$L209)&gt;0,0,MROUND(IFERROR(T209*($P209/$AI209),0),100))</f>
        <v>0</v>
      </c>
      <c r="AN209" s="1">
        <f ca="1">IF(COUNTIFS($J$7:$J$510,Table7[[#Headers],[Energy Supply Forecasts]],$C$7:$C$510,$L209)&gt;0,0,MROUND(IFERROR(U209*($P209/$AI209),0),100))</f>
        <v>0</v>
      </c>
      <c r="AO209" s="1">
        <f ca="1">IF(COUNTIFS($J$7:$J$510,Table7[[#Headers],[Energy Supply Regulation]],$C$7:$C$510,$L209)&gt;0,0,MROUND(IFERROR(V209*($P209/$AI209),0),100))</f>
        <v>0</v>
      </c>
      <c r="AP209" s="1">
        <f ca="1">IF(COUNTIFS($J$7:$J$510,Table7[[#Headers],[Renewables Market Intelligence]],$C$7:$C$510,$L209)&gt;0,0,MROUND(IFERROR(W209*($P209/$AI209),0),100))</f>
        <v>2400</v>
      </c>
      <c r="AQ209" s="1">
        <f ca="1">IF(COUNTIFS($J$7:$J$510,Table7[[#Headers],[Renewables RTM Analysis]],$C$7:$C$510,$L209)&gt;0,0,MROUND(IFERROR(X209*($P209/$AI209),0),100))</f>
        <v>2200</v>
      </c>
      <c r="AR209" s="1">
        <f ca="1">IF(COUNTIFS($J$7:$J$510,Table7[[#Headers],[Renewables Forecasts]],$C$7:$C$510,$L209)&gt;0,0,MROUND(IFERROR(Y209*($P209/$AI209),0),100))</f>
        <v>6200</v>
      </c>
      <c r="AS209" s="1">
        <f ca="1">IF(COUNTIFS($J$7:$J$510,Table7[[#Headers],[Renewables Regulation]],$C$7:$C$510,$L209)&gt;0,0,MROUND(IFERROR(Z209*($P209/$AI209),0),100))</f>
        <v>2700</v>
      </c>
      <c r="AT209" s="1">
        <f ca="1">IF(COUNTIFS($J$7:$J$510,Table7[[#Headers],[Flexibility Market Intelligence]],$C$7:$C$510,$L209)&gt;0,0,MROUND(IFERROR(AA209*($P209/$AI209),0),100))</f>
        <v>0</v>
      </c>
      <c r="AU209" s="1">
        <f ca="1">IF(COUNTIFS($J$7:$J$510,Table7[[#Headers],[Flexibility RTM Analysis]],$C$7:$C$510,$L209)&gt;0,0,MROUND(IFERROR(AB209*($P209/$AI209),0),100))</f>
        <v>0</v>
      </c>
      <c r="AV209" s="1">
        <f ca="1">IF(COUNTIFS($J$7:$J$510,Table7[[#Headers],[Flexibility Forecasts]],$C$7:$C$510,$L209)&gt;0,0,MROUND(IFERROR(AC209*($P209/$AI209),0),100))</f>
        <v>0</v>
      </c>
      <c r="AW209" s="1">
        <f ca="1">IF(COUNTIFS($J$7:$J$510,Table7[[#Headers],[Flexibility Regulation]],$C$7:$C$510,$L209)&gt;0,0,MROUND(IFERROR(AD209*($P209/$AI209),0),100))</f>
        <v>0</v>
      </c>
      <c r="AX209" s="1">
        <f ca="1">IF(COUNTIFS($J$7:$J$510,Table7[[#Headers],[Business Energy Essentials]],$C$7:$C$510,$L209)&gt;0,0,MROUND(IFERROR(AE209*($P209/$AI209),0),100))</f>
        <v>1600</v>
      </c>
      <c r="AY209" s="1">
        <f ca="1">IF(COUNTIFS($J$7:$J$510,Table7[[#Headers],[Energy User RTM Analysis]],$C$7:$C$510,$L209)&gt;0,0,MROUND(IFERROR(AF209*($P209/$AI209),0),100))</f>
        <v>1600</v>
      </c>
      <c r="AZ209" s="1">
        <f>IF(COUNTIFS($J$7:$J$510,Table7[[#Headers],[Energy User Forecasts]],$C$7:$C$510,$L209)&gt;0,0,MROUND(IFERROR(AG209*($P209/$AI209),0),100))</f>
        <v>0</v>
      </c>
      <c r="BA209" s="1">
        <f ca="1">IF(COUNTIFS($J$7:$J$510,Table7[[#Headers],[Energy User Regulation]],$C$7:$C$510,$L209)&gt;0,0,MROUND(IFERROR(AH209*($P209/$AI209),0),100))</f>
        <v>700</v>
      </c>
    </row>
    <row r="210" spans="2:53">
      <c r="B210" s="38" t="s">
        <v>2184</v>
      </c>
      <c r="C210" s="38" t="s">
        <v>1019</v>
      </c>
      <c r="D210" s="38" t="s">
        <v>2040</v>
      </c>
      <c r="E210" s="38" t="s">
        <v>1799</v>
      </c>
      <c r="F210" s="63">
        <v>7199.9999999999991</v>
      </c>
      <c r="G210" s="38"/>
      <c r="H210" s="38" t="s">
        <v>2031</v>
      </c>
      <c r="I210" s="38" t="s">
        <v>2032</v>
      </c>
      <c r="J210" s="38" t="s">
        <v>20</v>
      </c>
      <c r="L210" s="1" t="str">
        <v>UPM-Kymmene (UK) Ltd</v>
      </c>
      <c r="M210" s="1" t="str">
        <f t="shared" si="17"/>
        <v>Renewables</v>
      </c>
      <c r="N210" s="109">
        <f t="shared" si="18"/>
        <v>15000</v>
      </c>
      <c r="O210" s="1">
        <f>IFERROR(IF(INDEX(Table3[[Total Spend]:[Total Spend]],MATCH(L210,Table3[[Company name]:[Company name]],0))&gt;N210,INDEX(Table3[[Total Spend]:[Total Spend]],MATCH(L210,Table3[[Company name]:[Company name]])),N210),50000)</f>
        <v>10000</v>
      </c>
      <c r="P210" s="109">
        <f t="shared" si="19"/>
        <v>15000</v>
      </c>
      <c r="Q210" s="103">
        <f t="shared" si="20"/>
        <v>1</v>
      </c>
      <c r="R210" s="1">
        <f ca="1">IFERROR(INDEX(INDIRECT("Table3[Column"&amp;R$9&amp;"]"),MATCH($L210,Table3[[Company name]:[Company name]],0)),0)</f>
        <v>8100</v>
      </c>
      <c r="S210" s="1">
        <f ca="1">IFERROR(INDEX(INDIRECT("Table3[Column"&amp;S$9&amp;"]"),MATCH($L210,Table3[[Company name]:[Company name]],0)),0)</f>
        <v>0</v>
      </c>
      <c r="T210" s="1">
        <f ca="1">IFERROR(INDEX(INDIRECT("Table3[Column"&amp;T$9&amp;"]"),MATCH($L210,Table3[[Company name]:[Company name]],0)),0)</f>
        <v>0</v>
      </c>
      <c r="U210" s="1">
        <f ca="1">IFERROR(INDEX(INDIRECT("Table3[Column"&amp;U$9&amp;"]"),MATCH($L210,Table3[[Company name]:[Company name]],0)),0)</f>
        <v>0</v>
      </c>
      <c r="V210" s="1">
        <f ca="1">IFERROR(INDEX(INDIRECT("Table3[Column"&amp;V$9&amp;"]"),MATCH($L210,Table3[[Company name]:[Company name]],0)),0)</f>
        <v>0</v>
      </c>
      <c r="W210" s="1">
        <f ca="1">IFERROR(INDEX(INDIRECT("Table3[Column"&amp;W$9&amp;"]"),MATCH($L210,Table3[[Company name]:[Company name]],0)),0)</f>
        <v>17100</v>
      </c>
      <c r="X210" s="1">
        <f ca="1">IFERROR(INDEX(INDIRECT("Table3[Column"&amp;X$9&amp;"]"),MATCH($L210,Table3[[Company name]:[Company name]],0)),0)</f>
        <v>15300</v>
      </c>
      <c r="Y210" s="1">
        <f ca="1">IFERROR(INDEX(INDIRECT("Table3[Column"&amp;Y$9&amp;"]"),MATCH($L210,Table3[[Company name]:[Company name]],0)),0)</f>
        <v>42300</v>
      </c>
      <c r="Z210" s="1">
        <f ca="1">IFERROR(INDEX(INDIRECT("Table3[Column"&amp;Z$9&amp;"]"),MATCH($L210,Table3[[Company name]:[Company name]],0)),0)</f>
        <v>18900</v>
      </c>
      <c r="AA210" s="1">
        <f ca="1">IFERROR(INDEX(INDIRECT("Table3[Column"&amp;AA$9&amp;"]"),MATCH($L210,Table3[[Company name]:[Company name]],0)),0)</f>
        <v>0</v>
      </c>
      <c r="AB210" s="1">
        <f ca="1">IFERROR(INDEX(INDIRECT("Table3[Column"&amp;AB$9&amp;"]"),MATCH($L210,Table3[[Company name]:[Company name]],0)),0)</f>
        <v>0</v>
      </c>
      <c r="AC210" s="1">
        <f ca="1">IFERROR(INDEX(INDIRECT("Table3[Column"&amp;AC$9&amp;"]"),MATCH($L210,Table3[[Company name]:[Company name]],0)),0)</f>
        <v>0</v>
      </c>
      <c r="AD210" s="1">
        <f ca="1">IFERROR(INDEX(INDIRECT("Table3[Column"&amp;AD$9&amp;"]"),MATCH($L210,Table3[[Company name]:[Company name]],0)),0)</f>
        <v>0</v>
      </c>
      <c r="AE210" s="1">
        <f ca="1">IFERROR(INDEX(INDIRECT("Table3[Column"&amp;AE$9&amp;"]"),MATCH($L210,Table3[[Company name]:[Company name]],0)),0)</f>
        <v>10800</v>
      </c>
      <c r="AF210" s="1">
        <f ca="1">IFERROR(INDEX(INDIRECT("Table3[Column"&amp;AF$9&amp;"]"),MATCH($L210,Table3[[Company name]:[Company name]],0)),0)</f>
        <v>11250</v>
      </c>
      <c r="AG210" s="1">
        <f ca="1">IFERROR(INDEX(INDIRECT("Table3[Column"&amp;AG$9&amp;"]"),MATCH($L210,Table3[[Company name]:[Company name]],0)),0)</f>
        <v>19800</v>
      </c>
      <c r="AH210" s="1">
        <f ca="1">IFERROR(INDEX(INDIRECT("Table3[Column"&amp;AH$9&amp;"]"),MATCH($L210,Table3[[Company name]:[Company name]],0)),0)</f>
        <v>4500</v>
      </c>
      <c r="AI210" s="1">
        <f t="shared" ca="1" si="21"/>
        <v>148050</v>
      </c>
      <c r="AK210" s="1">
        <f ca="1">IF(COUNTIFS($J$7:$J$510,Table7[[#Headers],[Industry Essentials]],$C$7:$C$510,$L210)&gt;0,0,MROUND(R210,100))</f>
        <v>8100</v>
      </c>
      <c r="AL210" s="1">
        <f ca="1">IF(COUNTIFS($J$7:$J$510,Table7[[#Headers],[Energy Supply Market Intelligence]],$C$7:$C$510,$L210)&gt;0,0,MROUND(IFERROR(S210*($P210/$AI210),0),100))</f>
        <v>0</v>
      </c>
      <c r="AM210" s="1">
        <f ca="1">IF(COUNTIFS($J$7:$J$510,Table7[[#Headers],[Energy Supply RTM Analysis]],$C$7:$C$510,$L210)&gt;0,0,MROUND(IFERROR(T210*($P210/$AI210),0),100))</f>
        <v>0</v>
      </c>
      <c r="AN210" s="1">
        <f ca="1">IF(COUNTIFS($J$7:$J$510,Table7[[#Headers],[Energy Supply Forecasts]],$C$7:$C$510,$L210)&gt;0,0,MROUND(IFERROR(U210*($P210/$AI210),0),100))</f>
        <v>0</v>
      </c>
      <c r="AO210" s="1">
        <f ca="1">IF(COUNTIFS($J$7:$J$510,Table7[[#Headers],[Energy Supply Regulation]],$C$7:$C$510,$L210)&gt;0,0,MROUND(IFERROR(V210*($P210/$AI210),0),100))</f>
        <v>0</v>
      </c>
      <c r="AP210" s="1">
        <f ca="1">IF(COUNTIFS($J$7:$J$510,Table7[[#Headers],[Renewables Market Intelligence]],$C$7:$C$510,$L210)&gt;0,0,MROUND(IFERROR(W210*($P210/$AI210),0),100))</f>
        <v>1700</v>
      </c>
      <c r="AQ210" s="1">
        <f ca="1">IF(COUNTIFS($J$7:$J$510,Table7[[#Headers],[Renewables RTM Analysis]],$C$7:$C$510,$L210)&gt;0,0,MROUND(IFERROR(X210*($P210/$AI210),0),100))</f>
        <v>1600</v>
      </c>
      <c r="AR210" s="1">
        <f>IF(COUNTIFS($J$7:$J$510,Table7[[#Headers],[Renewables Forecasts]],$C$7:$C$510,$L210)&gt;0,0,MROUND(IFERROR(Y210*($P210/$AI210),0),100))</f>
        <v>0</v>
      </c>
      <c r="AS210" s="1">
        <f ca="1">IF(COUNTIFS($J$7:$J$510,Table7[[#Headers],[Renewables Regulation]],$C$7:$C$510,$L210)&gt;0,0,MROUND(IFERROR(Z210*($P210/$AI210),0),100))</f>
        <v>1900</v>
      </c>
      <c r="AT210" s="1">
        <f ca="1">IF(COUNTIFS($J$7:$J$510,Table7[[#Headers],[Flexibility Market Intelligence]],$C$7:$C$510,$L210)&gt;0,0,MROUND(IFERROR(AA210*($P210/$AI210),0),100))</f>
        <v>0</v>
      </c>
      <c r="AU210" s="1">
        <f ca="1">IF(COUNTIFS($J$7:$J$510,Table7[[#Headers],[Flexibility RTM Analysis]],$C$7:$C$510,$L210)&gt;0,0,MROUND(IFERROR(AB210*($P210/$AI210),0),100))</f>
        <v>0</v>
      </c>
      <c r="AV210" s="1">
        <f ca="1">IF(COUNTIFS($J$7:$J$510,Table7[[#Headers],[Flexibility Forecasts]],$C$7:$C$510,$L210)&gt;0,0,MROUND(IFERROR(AC210*($P210/$AI210),0),100))</f>
        <v>0</v>
      </c>
      <c r="AW210" s="1">
        <f ca="1">IF(COUNTIFS($J$7:$J$510,Table7[[#Headers],[Flexibility Regulation]],$C$7:$C$510,$L210)&gt;0,0,MROUND(IFERROR(AD210*($P210/$AI210),0),100))</f>
        <v>0</v>
      </c>
      <c r="AX210" s="1">
        <f ca="1">IF(COUNTIFS($J$7:$J$510,Table7[[#Headers],[Business Energy Essentials]],$C$7:$C$510,$L210)&gt;0,0,MROUND(IFERROR(AE210*($P210/$AI210),0),100))</f>
        <v>1100</v>
      </c>
      <c r="AY210" s="1">
        <f ca="1">IF(COUNTIFS($J$7:$J$510,Table7[[#Headers],[Energy User RTM Analysis]],$C$7:$C$510,$L210)&gt;0,0,MROUND(IFERROR(AF210*($P210/$AI210),0),100))</f>
        <v>1100</v>
      </c>
      <c r="AZ210" s="1">
        <f ca="1">IF(COUNTIFS($J$7:$J$510,Table7[[#Headers],[Energy User Forecasts]],$C$7:$C$510,$L210)&gt;0,0,MROUND(IFERROR(AG210*($P210/$AI210),0),100))</f>
        <v>2000</v>
      </c>
      <c r="BA210" s="1">
        <f ca="1">IF(COUNTIFS($J$7:$J$510,Table7[[#Headers],[Energy User Regulation]],$C$7:$C$510,$L210)&gt;0,0,MROUND(IFERROR(AH210*($P210/$AI210),0),100))</f>
        <v>500</v>
      </c>
    </row>
    <row r="211" spans="2:53">
      <c r="B211" s="38" t="s">
        <v>2184</v>
      </c>
      <c r="C211" s="38" t="s">
        <v>1019</v>
      </c>
      <c r="D211" s="38" t="s">
        <v>2141</v>
      </c>
      <c r="E211" s="38" t="s">
        <v>2142</v>
      </c>
      <c r="F211" s="63">
        <v>13600.000000000002</v>
      </c>
      <c r="G211" s="38"/>
      <c r="H211" s="38" t="s">
        <v>2031</v>
      </c>
      <c r="I211" s="38" t="s">
        <v>2031</v>
      </c>
      <c r="J211" s="38" t="s">
        <v>23</v>
      </c>
      <c r="L211" s="1" t="str">
        <v>UrbanChain Ltd</v>
      </c>
      <c r="M211" s="1" t="str">
        <f t="shared" si="17"/>
        <v>Renewables</v>
      </c>
      <c r="N211" s="109">
        <f t="shared" si="18"/>
        <v>39853</v>
      </c>
      <c r="O211" s="1">
        <f>IFERROR(IF(INDEX(Table3[[Total Spend]:[Total Spend]],MATCH(L211,Table3[[Company name]:[Company name]],0))&gt;N211,INDEX(Table3[[Total Spend]:[Total Spend]],MATCH(L211,Table3[[Company name]:[Company name]])),N211),50000)</f>
        <v>10000</v>
      </c>
      <c r="P211" s="109">
        <f t="shared" si="19"/>
        <v>39853</v>
      </c>
      <c r="Q211" s="103">
        <f t="shared" si="20"/>
        <v>1</v>
      </c>
      <c r="R211" s="1">
        <f ca="1">IFERROR(INDEX(INDIRECT("Table3[Column"&amp;R$9&amp;"]"),MATCH($L211,Table3[[Company name]:[Company name]],0)),0)</f>
        <v>8100</v>
      </c>
      <c r="S211" s="1">
        <f ca="1">IFERROR(INDEX(INDIRECT("Table3[Column"&amp;S$9&amp;"]"),MATCH($L211,Table3[[Company name]:[Company name]],0)),0)</f>
        <v>30600</v>
      </c>
      <c r="T211" s="1">
        <f ca="1">IFERROR(INDEX(INDIRECT("Table3[Column"&amp;T$9&amp;"]"),MATCH($L211,Table3[[Company name]:[Company name]],0)),0)</f>
        <v>53100</v>
      </c>
      <c r="U211" s="1">
        <f ca="1">IFERROR(INDEX(INDIRECT("Table3[Column"&amp;U$9&amp;"]"),MATCH($L211,Table3[[Company name]:[Company name]],0)),0)</f>
        <v>34200</v>
      </c>
      <c r="V211" s="1">
        <f ca="1">IFERROR(INDEX(INDIRECT("Table3[Column"&amp;V$9&amp;"]"),MATCH($L211,Table3[[Company name]:[Company name]],0)),0)</f>
        <v>39600</v>
      </c>
      <c r="W211" s="1">
        <f ca="1">IFERROR(INDEX(INDIRECT("Table3[Column"&amp;W$9&amp;"]"),MATCH($L211,Table3[[Company name]:[Company name]],0)),0)</f>
        <v>0</v>
      </c>
      <c r="X211" s="1">
        <f ca="1">IFERROR(INDEX(INDIRECT("Table3[Column"&amp;X$9&amp;"]"),MATCH($L211,Table3[[Company name]:[Company name]],0)),0)</f>
        <v>0</v>
      </c>
      <c r="Y211" s="1">
        <f ca="1">IFERROR(INDEX(INDIRECT("Table3[Column"&amp;Y$9&amp;"]"),MATCH($L211,Table3[[Company name]:[Company name]],0)),0)</f>
        <v>0</v>
      </c>
      <c r="Z211" s="1">
        <f ca="1">IFERROR(INDEX(INDIRECT("Table3[Column"&amp;Z$9&amp;"]"),MATCH($L211,Table3[[Company name]:[Company name]],0)),0)</f>
        <v>0</v>
      </c>
      <c r="AA211" s="1">
        <f ca="1">IFERROR(INDEX(INDIRECT("Table3[Column"&amp;AA$9&amp;"]"),MATCH($L211,Table3[[Company name]:[Company name]],0)),0)</f>
        <v>21600</v>
      </c>
      <c r="AB211" s="1">
        <f ca="1">IFERROR(INDEX(INDIRECT("Table3[Column"&amp;AB$9&amp;"]"),MATCH($L211,Table3[[Company name]:[Company name]],0)),0)</f>
        <v>0</v>
      </c>
      <c r="AC211" s="1">
        <f ca="1">IFERROR(INDEX(INDIRECT("Table3[Column"&amp;AC$9&amp;"]"),MATCH($L211,Table3[[Company name]:[Company name]],0)),0)</f>
        <v>0</v>
      </c>
      <c r="AD211" s="1">
        <f ca="1">IFERROR(INDEX(INDIRECT("Table3[Column"&amp;AD$9&amp;"]"),MATCH($L211,Table3[[Company name]:[Company name]],0)),0)</f>
        <v>0</v>
      </c>
      <c r="AE211" s="1">
        <f ca="1">IFERROR(INDEX(INDIRECT("Table3[Column"&amp;AE$9&amp;"]"),MATCH($L211,Table3[[Company name]:[Company name]],0)),0)</f>
        <v>0</v>
      </c>
      <c r="AF211" s="1">
        <f ca="1">IFERROR(INDEX(INDIRECT("Table3[Column"&amp;AF$9&amp;"]"),MATCH($L211,Table3[[Company name]:[Company name]],0)),0)</f>
        <v>0</v>
      </c>
      <c r="AG211" s="1">
        <f ca="1">IFERROR(INDEX(INDIRECT("Table3[Column"&amp;AG$9&amp;"]"),MATCH($L211,Table3[[Company name]:[Company name]],0)),0)</f>
        <v>0</v>
      </c>
      <c r="AH211" s="1">
        <f ca="1">IFERROR(INDEX(INDIRECT("Table3[Column"&amp;AH$9&amp;"]"),MATCH($L211,Table3[[Company name]:[Company name]],0)),0)</f>
        <v>0</v>
      </c>
      <c r="AI211" s="1">
        <f t="shared" ca="1" si="21"/>
        <v>187200</v>
      </c>
      <c r="AK211" s="1">
        <f ca="1">IF(COUNTIFS($J$7:$J$510,Table7[[#Headers],[Industry Essentials]],$C$7:$C$510,$L211)&gt;0,0,MROUND(R211,100))</f>
        <v>8100</v>
      </c>
      <c r="AL211" s="1">
        <f ca="1">IF(COUNTIFS($J$7:$J$510,Table7[[#Headers],[Energy Supply Market Intelligence]],$C$7:$C$510,$L211)&gt;0,0,MROUND(IFERROR(S211*($P211/$AI211),0),100))</f>
        <v>6500</v>
      </c>
      <c r="AM211" s="1">
        <f ca="1">IF(COUNTIFS($J$7:$J$510,Table7[[#Headers],[Energy Supply RTM Analysis]],$C$7:$C$510,$L211)&gt;0,0,MROUND(IFERROR(T211*($P211/$AI211),0),100))</f>
        <v>11300</v>
      </c>
      <c r="AN211" s="1">
        <f>IF(COUNTIFS($J$7:$J$510,Table7[[#Headers],[Energy Supply Forecasts]],$C$7:$C$510,$L211)&gt;0,0,MROUND(IFERROR(U211*($P211/$AI211),0),100))</f>
        <v>0</v>
      </c>
      <c r="AO211" s="1">
        <f ca="1">IF(COUNTIFS($J$7:$J$510,Table7[[#Headers],[Energy Supply Regulation]],$C$7:$C$510,$L211)&gt;0,0,MROUND(IFERROR(V211*($P211/$AI211),0),100))</f>
        <v>8400</v>
      </c>
      <c r="AP211" s="1">
        <f ca="1">IF(COUNTIFS($J$7:$J$510,Table7[[#Headers],[Renewables Market Intelligence]],$C$7:$C$510,$L211)&gt;0,0,MROUND(IFERROR(W211*($P211/$AI211),0),100))</f>
        <v>0</v>
      </c>
      <c r="AQ211" s="1">
        <f ca="1">IF(COUNTIFS($J$7:$J$510,Table7[[#Headers],[Renewables RTM Analysis]],$C$7:$C$510,$L211)&gt;0,0,MROUND(IFERROR(X211*($P211/$AI211),0),100))</f>
        <v>0</v>
      </c>
      <c r="AR211" s="1">
        <f ca="1">IF(COUNTIFS($J$7:$J$510,Table7[[#Headers],[Renewables Forecasts]],$C$7:$C$510,$L211)&gt;0,0,MROUND(IFERROR(Y211*($P211/$AI211),0),100))</f>
        <v>0</v>
      </c>
      <c r="AS211" s="1">
        <f ca="1">IF(COUNTIFS($J$7:$J$510,Table7[[#Headers],[Renewables Regulation]],$C$7:$C$510,$L211)&gt;0,0,MROUND(IFERROR(Z211*($P211/$AI211),0),100))</f>
        <v>0</v>
      </c>
      <c r="AT211" s="1">
        <f ca="1">IF(COUNTIFS($J$7:$J$510,Table7[[#Headers],[Flexibility Market Intelligence]],$C$7:$C$510,$L211)&gt;0,0,MROUND(IFERROR(AA211*($P211/$AI211),0),100))</f>
        <v>4600</v>
      </c>
      <c r="AU211" s="1">
        <f ca="1">IF(COUNTIFS($J$7:$J$510,Table7[[#Headers],[Flexibility RTM Analysis]],$C$7:$C$510,$L211)&gt;0,0,MROUND(IFERROR(AB211*($P211/$AI211),0),100))</f>
        <v>0</v>
      </c>
      <c r="AV211" s="1">
        <f>IF(COUNTIFS($J$7:$J$510,Table7[[#Headers],[Flexibility Forecasts]],$C$7:$C$510,$L211)&gt;0,0,MROUND(IFERROR(AC211*($P211/$AI211),0),100))</f>
        <v>0</v>
      </c>
      <c r="AW211" s="1">
        <f ca="1">IF(COUNTIFS($J$7:$J$510,Table7[[#Headers],[Flexibility Regulation]],$C$7:$C$510,$L211)&gt;0,0,MROUND(IFERROR(AD211*($P211/$AI211),0),100))</f>
        <v>0</v>
      </c>
      <c r="AX211" s="1">
        <f ca="1">IF(COUNTIFS($J$7:$J$510,Table7[[#Headers],[Business Energy Essentials]],$C$7:$C$510,$L211)&gt;0,0,MROUND(IFERROR(AE211*($P211/$AI211),0),100))</f>
        <v>0</v>
      </c>
      <c r="AY211" s="1">
        <f ca="1">IF(COUNTIFS($J$7:$J$510,Table7[[#Headers],[Energy User RTM Analysis]],$C$7:$C$510,$L211)&gt;0,0,MROUND(IFERROR(AF211*($P211/$AI211),0),100))</f>
        <v>0</v>
      </c>
      <c r="AZ211" s="1">
        <f ca="1">IF(COUNTIFS($J$7:$J$510,Table7[[#Headers],[Energy User Forecasts]],$C$7:$C$510,$L211)&gt;0,0,MROUND(IFERROR(AG211*($P211/$AI211),0),100))</f>
        <v>0</v>
      </c>
      <c r="BA211" s="1">
        <f ca="1">IF(COUNTIFS($J$7:$J$510,Table7[[#Headers],[Energy User Regulation]],$C$7:$C$510,$L211)&gt;0,0,MROUND(IFERROR(AH211*($P211/$AI211),0),100))</f>
        <v>0</v>
      </c>
    </row>
    <row r="212" spans="2:53">
      <c r="B212" s="38" t="s">
        <v>2184</v>
      </c>
      <c r="C212" s="38" t="s">
        <v>1019</v>
      </c>
      <c r="D212" s="38" t="s">
        <v>2072</v>
      </c>
      <c r="E212" s="38" t="s">
        <v>1918</v>
      </c>
      <c r="F212" s="63">
        <v>20400</v>
      </c>
      <c r="G212" s="38"/>
      <c r="H212" s="38" t="s">
        <v>2031</v>
      </c>
      <c r="I212" s="38" t="s">
        <v>1702</v>
      </c>
      <c r="J212" s="38" t="s">
        <v>26</v>
      </c>
      <c r="L212" s="1" t="str">
        <v>Uswitch Limited</v>
      </c>
      <c r="M212" s="1" t="str">
        <f t="shared" si="17"/>
        <v>Supply</v>
      </c>
      <c r="N212" s="109">
        <f t="shared" si="18"/>
        <v>33600</v>
      </c>
      <c r="O212" s="1">
        <f>IFERROR(IF(INDEX(Table3[[Total Spend]:[Total Spend]],MATCH(L212,Table3[[Company name]:[Company name]],0))&gt;N212,INDEX(Table3[[Total Spend]:[Total Spend]],MATCH(L212,Table3[[Company name]:[Company name]])),N212),50000)</f>
        <v>33600</v>
      </c>
      <c r="P212" s="109">
        <f t="shared" si="19"/>
        <v>33600</v>
      </c>
      <c r="Q212" s="103">
        <f t="shared" si="20"/>
        <v>1</v>
      </c>
      <c r="R212" s="1">
        <f ca="1">IFERROR(INDEX(INDIRECT("Table3[Column"&amp;R$9&amp;"]"),MATCH($L212,Table3[[Company name]:[Company name]],0)),0)</f>
        <v>8100</v>
      </c>
      <c r="S212" s="1">
        <f ca="1">IFERROR(INDEX(INDIRECT("Table3[Column"&amp;S$9&amp;"]"),MATCH($L212,Table3[[Company name]:[Company name]],0)),0)</f>
        <v>30600</v>
      </c>
      <c r="T212" s="1">
        <f ca="1">IFERROR(INDEX(INDIRECT("Table3[Column"&amp;T$9&amp;"]"),MATCH($L212,Table3[[Company name]:[Company name]],0)),0)</f>
        <v>53100</v>
      </c>
      <c r="U212" s="1">
        <f ca="1">IFERROR(INDEX(INDIRECT("Table3[Column"&amp;U$9&amp;"]"),MATCH($L212,Table3[[Company name]:[Company name]],0)),0)</f>
        <v>34200</v>
      </c>
      <c r="V212" s="1">
        <f ca="1">IFERROR(INDEX(INDIRECT("Table3[Column"&amp;V$9&amp;"]"),MATCH($L212,Table3[[Company name]:[Company name]],0)),0)</f>
        <v>0</v>
      </c>
      <c r="W212" s="1">
        <f ca="1">IFERROR(INDEX(INDIRECT("Table3[Column"&amp;W$9&amp;"]"),MATCH($L212,Table3[[Company name]:[Company name]],0)),0)</f>
        <v>0</v>
      </c>
      <c r="X212" s="1">
        <f ca="1">IFERROR(INDEX(INDIRECT("Table3[Column"&amp;X$9&amp;"]"),MATCH($L212,Table3[[Company name]:[Company name]],0)),0)</f>
        <v>0</v>
      </c>
      <c r="Y212" s="1">
        <f ca="1">IFERROR(INDEX(INDIRECT("Table3[Column"&amp;Y$9&amp;"]"),MATCH($L212,Table3[[Company name]:[Company name]],0)),0)</f>
        <v>0</v>
      </c>
      <c r="Z212" s="1">
        <f ca="1">IFERROR(INDEX(INDIRECT("Table3[Column"&amp;Z$9&amp;"]"),MATCH($L212,Table3[[Company name]:[Company name]],0)),0)</f>
        <v>0</v>
      </c>
      <c r="AA212" s="1">
        <f ca="1">IFERROR(INDEX(INDIRECT("Table3[Column"&amp;AA$9&amp;"]"),MATCH($L212,Table3[[Company name]:[Company name]],0)),0)</f>
        <v>0</v>
      </c>
      <c r="AB212" s="1">
        <f ca="1">IFERROR(INDEX(INDIRECT("Table3[Column"&amp;AB$9&amp;"]"),MATCH($L212,Table3[[Company name]:[Company name]],0)),0)</f>
        <v>0</v>
      </c>
      <c r="AC212" s="1">
        <f ca="1">IFERROR(INDEX(INDIRECT("Table3[Column"&amp;AC$9&amp;"]"),MATCH($L212,Table3[[Company name]:[Company name]],0)),0)</f>
        <v>0</v>
      </c>
      <c r="AD212" s="1">
        <f ca="1">IFERROR(INDEX(INDIRECT("Table3[Column"&amp;AD$9&amp;"]"),MATCH($L212,Table3[[Company name]:[Company name]],0)),0)</f>
        <v>0</v>
      </c>
      <c r="AE212" s="1">
        <f ca="1">IFERROR(INDEX(INDIRECT("Table3[Column"&amp;AE$9&amp;"]"),MATCH($L212,Table3[[Company name]:[Company name]],0)),0)</f>
        <v>0</v>
      </c>
      <c r="AF212" s="1">
        <f ca="1">IFERROR(INDEX(INDIRECT("Table3[Column"&amp;AF$9&amp;"]"),MATCH($L212,Table3[[Company name]:[Company name]],0)),0)</f>
        <v>11250</v>
      </c>
      <c r="AG212" s="1">
        <f ca="1">IFERROR(INDEX(INDIRECT("Table3[Column"&amp;AG$9&amp;"]"),MATCH($L212,Table3[[Company name]:[Company name]],0)),0)</f>
        <v>0</v>
      </c>
      <c r="AH212" s="1">
        <f ca="1">IFERROR(INDEX(INDIRECT("Table3[Column"&amp;AH$9&amp;"]"),MATCH($L212,Table3[[Company name]:[Company name]],0)),0)</f>
        <v>0</v>
      </c>
      <c r="AI212" s="1">
        <f t="shared" ca="1" si="21"/>
        <v>137250</v>
      </c>
      <c r="AK212" s="1">
        <f>IF(COUNTIFS($J$7:$J$510,Table7[[#Headers],[Industry Essentials]],$C$7:$C$510,$L212)&gt;0,0,MROUND(R212,100))</f>
        <v>0</v>
      </c>
      <c r="AL212" s="1">
        <f>IF(COUNTIFS($J$7:$J$510,Table7[[#Headers],[Energy Supply Market Intelligence]],$C$7:$C$510,$L212)&gt;0,0,MROUND(IFERROR(S212*($P212/$AI212),0),100))</f>
        <v>0</v>
      </c>
      <c r="AM212" s="1">
        <f ca="1">IF(COUNTIFS($J$7:$J$510,Table7[[#Headers],[Energy Supply RTM Analysis]],$C$7:$C$510,$L212)&gt;0,0,MROUND(IFERROR(T212*($P212/$AI212),0),100))</f>
        <v>13000</v>
      </c>
      <c r="AN212" s="1">
        <f ca="1">IF(COUNTIFS($J$7:$J$510,Table7[[#Headers],[Energy Supply Forecasts]],$C$7:$C$510,$L212)&gt;0,0,MROUND(IFERROR(U212*($P212/$AI212),0),100))</f>
        <v>8400</v>
      </c>
      <c r="AO212" s="1">
        <f ca="1">IF(COUNTIFS($J$7:$J$510,Table7[[#Headers],[Energy Supply Regulation]],$C$7:$C$510,$L212)&gt;0,0,MROUND(IFERROR(V212*($P212/$AI212),0),100))</f>
        <v>0</v>
      </c>
      <c r="AP212" s="1">
        <f ca="1">IF(COUNTIFS($J$7:$J$510,Table7[[#Headers],[Renewables Market Intelligence]],$C$7:$C$510,$L212)&gt;0,0,MROUND(IFERROR(W212*($P212/$AI212),0),100))</f>
        <v>0</v>
      </c>
      <c r="AQ212" s="1">
        <f ca="1">IF(COUNTIFS($J$7:$J$510,Table7[[#Headers],[Renewables RTM Analysis]],$C$7:$C$510,$L212)&gt;0,0,MROUND(IFERROR(X212*($P212/$AI212),0),100))</f>
        <v>0</v>
      </c>
      <c r="AR212" s="1">
        <f ca="1">IF(COUNTIFS($J$7:$J$510,Table7[[#Headers],[Renewables Forecasts]],$C$7:$C$510,$L212)&gt;0,0,MROUND(IFERROR(Y212*($P212/$AI212),0),100))</f>
        <v>0</v>
      </c>
      <c r="AS212" s="1">
        <f ca="1">IF(COUNTIFS($J$7:$J$510,Table7[[#Headers],[Renewables Regulation]],$C$7:$C$510,$L212)&gt;0,0,MROUND(IFERROR(Z212*($P212/$AI212),0),100))</f>
        <v>0</v>
      </c>
      <c r="AT212" s="1">
        <f ca="1">IF(COUNTIFS($J$7:$J$510,Table7[[#Headers],[Flexibility Market Intelligence]],$C$7:$C$510,$L212)&gt;0,0,MROUND(IFERROR(AA212*($P212/$AI212),0),100))</f>
        <v>0</v>
      </c>
      <c r="AU212" s="1">
        <f ca="1">IF(COUNTIFS($J$7:$J$510,Table7[[#Headers],[Flexibility RTM Analysis]],$C$7:$C$510,$L212)&gt;0,0,MROUND(IFERROR(AB212*($P212/$AI212),0),100))</f>
        <v>0</v>
      </c>
      <c r="AV212" s="1">
        <f ca="1">IF(COUNTIFS($J$7:$J$510,Table7[[#Headers],[Flexibility Forecasts]],$C$7:$C$510,$L212)&gt;0,0,MROUND(IFERROR(AC212*($P212/$AI212),0),100))</f>
        <v>0</v>
      </c>
      <c r="AW212" s="1">
        <f ca="1">IF(COUNTIFS($J$7:$J$510,Table7[[#Headers],[Flexibility Regulation]],$C$7:$C$510,$L212)&gt;0,0,MROUND(IFERROR(AD212*($P212/$AI212),0),100))</f>
        <v>0</v>
      </c>
      <c r="AX212" s="1">
        <f ca="1">IF(COUNTIFS($J$7:$J$510,Table7[[#Headers],[Business Energy Essentials]],$C$7:$C$510,$L212)&gt;0,0,MROUND(IFERROR(AE212*($P212/$AI212),0),100))</f>
        <v>0</v>
      </c>
      <c r="AY212" s="1">
        <f ca="1">IF(COUNTIFS($J$7:$J$510,Table7[[#Headers],[Energy User RTM Analysis]],$C$7:$C$510,$L212)&gt;0,0,MROUND(IFERROR(AF212*($P212/$AI212),0),100))</f>
        <v>2800</v>
      </c>
      <c r="AZ212" s="1">
        <f ca="1">IF(COUNTIFS($J$7:$J$510,Table7[[#Headers],[Energy User Forecasts]],$C$7:$C$510,$L212)&gt;0,0,MROUND(IFERROR(AG212*($P212/$AI212),0),100))</f>
        <v>0</v>
      </c>
      <c r="BA212" s="1">
        <f ca="1">IF(COUNTIFS($J$7:$J$510,Table7[[#Headers],[Energy User Regulation]],$C$7:$C$510,$L212)&gt;0,0,MROUND(IFERROR(AH212*($P212/$AI212),0),100))</f>
        <v>0</v>
      </c>
    </row>
    <row r="213" spans="2:53">
      <c r="B213" s="38" t="s">
        <v>2185</v>
      </c>
      <c r="C213" s="38" t="s">
        <v>1020</v>
      </c>
      <c r="D213" s="38" t="s">
        <v>2040</v>
      </c>
      <c r="E213" s="38" t="s">
        <v>1799</v>
      </c>
      <c r="F213" s="63">
        <v>7650</v>
      </c>
      <c r="G213" s="38"/>
      <c r="H213" s="38" t="s">
        <v>2031</v>
      </c>
      <c r="I213" s="38" t="s">
        <v>2032</v>
      </c>
      <c r="J213" s="38" t="s">
        <v>20</v>
      </c>
      <c r="L213" s="1" t="str">
        <v>Utilita Energy Limited</v>
      </c>
      <c r="M213" s="1" t="str">
        <f t="shared" si="17"/>
        <v>Supply</v>
      </c>
      <c r="N213" s="109">
        <f t="shared" si="18"/>
        <v>115865.01999999999</v>
      </c>
      <c r="O213" s="1">
        <f>IFERROR(IF(INDEX(Table3[[Total Spend]:[Total Spend]],MATCH(L213,Table3[[Company name]:[Company name]],0))&gt;N213,INDEX(Table3[[Total Spend]:[Total Spend]],MATCH(L213,Table3[[Company name]:[Company name]])),N213),50000)</f>
        <v>10000</v>
      </c>
      <c r="P213" s="109">
        <f t="shared" si="19"/>
        <v>115865.01999999999</v>
      </c>
      <c r="Q213" s="103">
        <f t="shared" si="20"/>
        <v>1</v>
      </c>
      <c r="R213" s="1">
        <f ca="1">IFERROR(INDEX(INDIRECT("Table3[Column"&amp;R$9&amp;"]"),MATCH($L213,Table3[[Company name]:[Company name]],0)),0)</f>
        <v>10800</v>
      </c>
      <c r="S213" s="1">
        <f ca="1">IFERROR(INDEX(INDIRECT("Table3[Column"&amp;S$9&amp;"]"),MATCH($L213,Table3[[Company name]:[Company name]],0)),0)</f>
        <v>43200</v>
      </c>
      <c r="T213" s="1">
        <f ca="1">IFERROR(INDEX(INDIRECT("Table3[Column"&amp;T$9&amp;"]"),MATCH($L213,Table3[[Company name]:[Company name]],0)),0)</f>
        <v>73800</v>
      </c>
      <c r="U213" s="1">
        <f ca="1">IFERROR(INDEX(INDIRECT("Table3[Column"&amp;U$9&amp;"]"),MATCH($L213,Table3[[Company name]:[Company name]],0)),0)</f>
        <v>48600</v>
      </c>
      <c r="V213" s="1">
        <f ca="1">IFERROR(INDEX(INDIRECT("Table3[Column"&amp;V$9&amp;"]"),MATCH($L213,Table3[[Company name]:[Company name]],0)),0)</f>
        <v>55800</v>
      </c>
      <c r="W213" s="1">
        <f ca="1">IFERROR(INDEX(INDIRECT("Table3[Column"&amp;W$9&amp;"]"),MATCH($L213,Table3[[Company name]:[Company name]],0)),0)</f>
        <v>0</v>
      </c>
      <c r="X213" s="1">
        <f ca="1">IFERROR(INDEX(INDIRECT("Table3[Column"&amp;X$9&amp;"]"),MATCH($L213,Table3[[Company name]:[Company name]],0)),0)</f>
        <v>0</v>
      </c>
      <c r="Y213" s="1">
        <f ca="1">IFERROR(INDEX(INDIRECT("Table3[Column"&amp;Y$9&amp;"]"),MATCH($L213,Table3[[Company name]:[Company name]],0)),0)</f>
        <v>0</v>
      </c>
      <c r="Z213" s="1">
        <f ca="1">IFERROR(INDEX(INDIRECT("Table3[Column"&amp;Z$9&amp;"]"),MATCH($L213,Table3[[Company name]:[Company name]],0)),0)</f>
        <v>0</v>
      </c>
      <c r="AA213" s="1">
        <f ca="1">IFERROR(INDEX(INDIRECT("Table3[Column"&amp;AA$9&amp;"]"),MATCH($L213,Table3[[Company name]:[Company name]],0)),0)</f>
        <v>29700</v>
      </c>
      <c r="AB213" s="1">
        <f ca="1">IFERROR(INDEX(INDIRECT("Table3[Column"&amp;AB$9&amp;"]"),MATCH($L213,Table3[[Company name]:[Company name]],0)),0)</f>
        <v>0</v>
      </c>
      <c r="AC213" s="1">
        <f ca="1">IFERROR(INDEX(INDIRECT("Table3[Column"&amp;AC$9&amp;"]"),MATCH($L213,Table3[[Company name]:[Company name]],0)),0)</f>
        <v>0</v>
      </c>
      <c r="AD213" s="1">
        <f ca="1">IFERROR(INDEX(INDIRECT("Table3[Column"&amp;AD$9&amp;"]"),MATCH($L213,Table3[[Company name]:[Company name]],0)),0)</f>
        <v>0</v>
      </c>
      <c r="AE213" s="1">
        <f ca="1">IFERROR(INDEX(INDIRECT("Table3[Column"&amp;AE$9&amp;"]"),MATCH($L213,Table3[[Company name]:[Company name]],0)),0)</f>
        <v>0</v>
      </c>
      <c r="AF213" s="1">
        <f ca="1">IFERROR(INDEX(INDIRECT("Table3[Column"&amp;AF$9&amp;"]"),MATCH($L213,Table3[[Company name]:[Company name]],0)),0)</f>
        <v>0</v>
      </c>
      <c r="AG213" s="1">
        <f ca="1">IFERROR(INDEX(INDIRECT("Table3[Column"&amp;AG$9&amp;"]"),MATCH($L213,Table3[[Company name]:[Company name]],0)),0)</f>
        <v>0</v>
      </c>
      <c r="AH213" s="1">
        <f ca="1">IFERROR(INDEX(INDIRECT("Table3[Column"&amp;AH$9&amp;"]"),MATCH($L213,Table3[[Company name]:[Company name]],0)),0)</f>
        <v>0</v>
      </c>
      <c r="AI213" s="1">
        <f t="shared" ca="1" si="21"/>
        <v>261900</v>
      </c>
      <c r="AK213" s="1">
        <f>IF(COUNTIFS($J$7:$J$510,Table7[[#Headers],[Industry Essentials]],$C$7:$C$510,$L213)&gt;0,0,MROUND(R213,100))</f>
        <v>0</v>
      </c>
      <c r="AL213" s="1">
        <f>IF(COUNTIFS($J$7:$J$510,Table7[[#Headers],[Energy Supply Market Intelligence]],$C$7:$C$510,$L213)&gt;0,0,MROUND(IFERROR(S213*($P213/$AI213),0),100))</f>
        <v>0</v>
      </c>
      <c r="AM213" s="1">
        <f ca="1">IF(COUNTIFS($J$7:$J$510,Table7[[#Headers],[Energy Supply RTM Analysis]],$C$7:$C$510,$L213)&gt;0,0,MROUND(IFERROR(T213*($P213/$AI213),0),100))</f>
        <v>32600</v>
      </c>
      <c r="AN213" s="1">
        <f>IF(COUNTIFS($J$7:$J$510,Table7[[#Headers],[Energy Supply Forecasts]],$C$7:$C$510,$L213)&gt;0,0,MROUND(IFERROR(U213*($P213/$AI213),0),100))</f>
        <v>0</v>
      </c>
      <c r="AO213" s="1">
        <f>IF(COUNTIFS($J$7:$J$510,Table7[[#Headers],[Energy Supply Regulation]],$C$7:$C$510,$L213)&gt;0,0,MROUND(IFERROR(V213*($P213/$AI213),0),100))</f>
        <v>0</v>
      </c>
      <c r="AP213" s="1">
        <f ca="1">IF(COUNTIFS($J$7:$J$510,Table7[[#Headers],[Renewables Market Intelligence]],$C$7:$C$510,$L213)&gt;0,0,MROUND(IFERROR(W213*($P213/$AI213),0),100))</f>
        <v>0</v>
      </c>
      <c r="AQ213" s="1">
        <f ca="1">IF(COUNTIFS($J$7:$J$510,Table7[[#Headers],[Renewables RTM Analysis]],$C$7:$C$510,$L213)&gt;0,0,MROUND(IFERROR(X213*($P213/$AI213),0),100))</f>
        <v>0</v>
      </c>
      <c r="AR213" s="1">
        <f ca="1">IF(COUNTIFS($J$7:$J$510,Table7[[#Headers],[Renewables Forecasts]],$C$7:$C$510,$L213)&gt;0,0,MROUND(IFERROR(Y213*($P213/$AI213),0),100))</f>
        <v>0</v>
      </c>
      <c r="AS213" s="1">
        <f ca="1">IF(COUNTIFS($J$7:$J$510,Table7[[#Headers],[Renewables Regulation]],$C$7:$C$510,$L213)&gt;0,0,MROUND(IFERROR(Z213*($P213/$AI213),0),100))</f>
        <v>0</v>
      </c>
      <c r="AT213" s="1">
        <f ca="1">IF(COUNTIFS($J$7:$J$510,Table7[[#Headers],[Flexibility Market Intelligence]],$C$7:$C$510,$L213)&gt;0,0,MROUND(IFERROR(AA213*($P213/$AI213),0),100))</f>
        <v>13100</v>
      </c>
      <c r="AU213" s="1">
        <f ca="1">IF(COUNTIFS($J$7:$J$510,Table7[[#Headers],[Flexibility RTM Analysis]],$C$7:$C$510,$L213)&gt;0,0,MROUND(IFERROR(AB213*($P213/$AI213),0),100))</f>
        <v>0</v>
      </c>
      <c r="AV213" s="1">
        <f ca="1">IF(COUNTIFS($J$7:$J$510,Table7[[#Headers],[Flexibility Forecasts]],$C$7:$C$510,$L213)&gt;0,0,MROUND(IFERROR(AC213*($P213/$AI213),0),100))</f>
        <v>0</v>
      </c>
      <c r="AW213" s="1">
        <f ca="1">IF(COUNTIFS($J$7:$J$510,Table7[[#Headers],[Flexibility Regulation]],$C$7:$C$510,$L213)&gt;0,0,MROUND(IFERROR(AD213*($P213/$AI213),0),100))</f>
        <v>0</v>
      </c>
      <c r="AX213" s="1">
        <f ca="1">IF(COUNTIFS($J$7:$J$510,Table7[[#Headers],[Business Energy Essentials]],$C$7:$C$510,$L213)&gt;0,0,MROUND(IFERROR(AE213*($P213/$AI213),0),100))</f>
        <v>0</v>
      </c>
      <c r="AY213" s="1">
        <f ca="1">IF(COUNTIFS($J$7:$J$510,Table7[[#Headers],[Energy User RTM Analysis]],$C$7:$C$510,$L213)&gt;0,0,MROUND(IFERROR(AF213*($P213/$AI213),0),100))</f>
        <v>0</v>
      </c>
      <c r="AZ213" s="1">
        <f ca="1">IF(COUNTIFS($J$7:$J$510,Table7[[#Headers],[Energy User Forecasts]],$C$7:$C$510,$L213)&gt;0,0,MROUND(IFERROR(AG213*($P213/$AI213),0),100))</f>
        <v>0</v>
      </c>
      <c r="BA213" s="1">
        <f ca="1">IF(COUNTIFS($J$7:$J$510,Table7[[#Headers],[Energy User Regulation]],$C$7:$C$510,$L213)&gt;0,0,MROUND(IFERROR(AH213*($P213/$AI213),0),100))</f>
        <v>0</v>
      </c>
    </row>
    <row r="214" spans="2:53">
      <c r="B214" s="38" t="s">
        <v>2185</v>
      </c>
      <c r="C214" s="38" t="s">
        <v>1020</v>
      </c>
      <c r="D214" s="38" t="s">
        <v>2111</v>
      </c>
      <c r="E214" s="38" t="s">
        <v>2112</v>
      </c>
      <c r="F214" s="63">
        <v>11050</v>
      </c>
      <c r="G214" s="38"/>
      <c r="H214" s="38" t="s">
        <v>2031</v>
      </c>
      <c r="I214" s="38" t="s">
        <v>2031</v>
      </c>
      <c r="J214" s="38" t="s">
        <v>34</v>
      </c>
      <c r="L214" s="1" t="str">
        <v>Utility Regulator</v>
      </c>
      <c r="M214" s="1" t="str">
        <f t="shared" si="17"/>
        <v>Supply</v>
      </c>
      <c r="N214" s="109">
        <f t="shared" si="18"/>
        <v>13381.84</v>
      </c>
      <c r="O214" s="1">
        <f>IFERROR(IF(INDEX(Table3[[Total Spend]:[Total Spend]],MATCH(L214,Table3[[Company name]:[Company name]],0))&gt;N214,INDEX(Table3[[Total Spend]:[Total Spend]],MATCH(L214,Table3[[Company name]:[Company name]])),N214),50000)</f>
        <v>50000</v>
      </c>
      <c r="P214" s="109">
        <f t="shared" si="19"/>
        <v>36618.160000000003</v>
      </c>
      <c r="Q214" s="103">
        <f t="shared" si="20"/>
        <v>0.26763680000000001</v>
      </c>
      <c r="R214" s="1">
        <f ca="1">IFERROR(INDEX(INDIRECT("Table3[Column"&amp;R$9&amp;"]"),MATCH($L214,Table3[[Company name]:[Company name]],0)),0)</f>
        <v>0</v>
      </c>
      <c r="S214" s="1">
        <f ca="1">IFERROR(INDEX(INDIRECT("Table3[Column"&amp;S$9&amp;"]"),MATCH($L214,Table3[[Company name]:[Company name]],0)),0)</f>
        <v>0</v>
      </c>
      <c r="T214" s="1">
        <f ca="1">IFERROR(INDEX(INDIRECT("Table3[Column"&amp;T$9&amp;"]"),MATCH($L214,Table3[[Company name]:[Company name]],0)),0)</f>
        <v>0</v>
      </c>
      <c r="U214" s="1">
        <f ca="1">IFERROR(INDEX(INDIRECT("Table3[Column"&amp;U$9&amp;"]"),MATCH($L214,Table3[[Company name]:[Company name]],0)),0)</f>
        <v>0</v>
      </c>
      <c r="V214" s="1">
        <f ca="1">IFERROR(INDEX(INDIRECT("Table3[Column"&amp;V$9&amp;"]"),MATCH($L214,Table3[[Company name]:[Company name]],0)),0)</f>
        <v>0</v>
      </c>
      <c r="W214" s="1">
        <f ca="1">IFERROR(INDEX(INDIRECT("Table3[Column"&amp;W$9&amp;"]"),MATCH($L214,Table3[[Company name]:[Company name]],0)),0)</f>
        <v>0</v>
      </c>
      <c r="X214" s="1">
        <f ca="1">IFERROR(INDEX(INDIRECT("Table3[Column"&amp;X$9&amp;"]"),MATCH($L214,Table3[[Company name]:[Company name]],0)),0)</f>
        <v>0</v>
      </c>
      <c r="Y214" s="1">
        <f ca="1">IFERROR(INDEX(INDIRECT("Table3[Column"&amp;Y$9&amp;"]"),MATCH($L214,Table3[[Company name]:[Company name]],0)),0)</f>
        <v>0</v>
      </c>
      <c r="Z214" s="1">
        <f ca="1">IFERROR(INDEX(INDIRECT("Table3[Column"&amp;Z$9&amp;"]"),MATCH($L214,Table3[[Company name]:[Company name]],0)),0)</f>
        <v>0</v>
      </c>
      <c r="AA214" s="1">
        <f ca="1">IFERROR(INDEX(INDIRECT("Table3[Column"&amp;AA$9&amp;"]"),MATCH($L214,Table3[[Company name]:[Company name]],0)),0)</f>
        <v>0</v>
      </c>
      <c r="AB214" s="1">
        <f ca="1">IFERROR(INDEX(INDIRECT("Table3[Column"&amp;AB$9&amp;"]"),MATCH($L214,Table3[[Company name]:[Company name]],0)),0)</f>
        <v>0</v>
      </c>
      <c r="AC214" s="1">
        <f ca="1">IFERROR(INDEX(INDIRECT("Table3[Column"&amp;AC$9&amp;"]"),MATCH($L214,Table3[[Company name]:[Company name]],0)),0)</f>
        <v>0</v>
      </c>
      <c r="AD214" s="1">
        <f ca="1">IFERROR(INDEX(INDIRECT("Table3[Column"&amp;AD$9&amp;"]"),MATCH($L214,Table3[[Company name]:[Company name]],0)),0)</f>
        <v>0</v>
      </c>
      <c r="AE214" s="1">
        <f ca="1">IFERROR(INDEX(INDIRECT("Table3[Column"&amp;AE$9&amp;"]"),MATCH($L214,Table3[[Company name]:[Company name]],0)),0)</f>
        <v>0</v>
      </c>
      <c r="AF214" s="1">
        <f ca="1">IFERROR(INDEX(INDIRECT("Table3[Column"&amp;AF$9&amp;"]"),MATCH($L214,Table3[[Company name]:[Company name]],0)),0)</f>
        <v>0</v>
      </c>
      <c r="AG214" s="1">
        <f ca="1">IFERROR(INDEX(INDIRECT("Table3[Column"&amp;AG$9&amp;"]"),MATCH($L214,Table3[[Company name]:[Company name]],0)),0)</f>
        <v>0</v>
      </c>
      <c r="AH214" s="1">
        <f ca="1">IFERROR(INDEX(INDIRECT("Table3[Column"&amp;AH$9&amp;"]"),MATCH($L214,Table3[[Company name]:[Company name]],0)),0)</f>
        <v>0</v>
      </c>
      <c r="AI214" s="1">
        <f t="shared" ca="1" si="21"/>
        <v>0</v>
      </c>
      <c r="AK214" s="1">
        <f>IF(COUNTIFS($J$7:$J$510,Table7[[#Headers],[Industry Essentials]],$C$7:$C$510,$L214)&gt;0,0,MROUND(R214,100))</f>
        <v>0</v>
      </c>
      <c r="AL214" s="1">
        <f ca="1">IF(COUNTIFS($J$7:$J$510,Table7[[#Headers],[Energy Supply Market Intelligence]],$C$7:$C$510,$L214)&gt;0,0,MROUND(IFERROR(S214*($P214/$AI214),0),100))</f>
        <v>0</v>
      </c>
      <c r="AM214" s="1">
        <f ca="1">IF(COUNTIFS($J$7:$J$510,Table7[[#Headers],[Energy Supply RTM Analysis]],$C$7:$C$510,$L214)&gt;0,0,MROUND(IFERROR(T214*($P214/$AI214),0),100))</f>
        <v>0</v>
      </c>
      <c r="AN214" s="1">
        <f ca="1">IF(COUNTIFS($J$7:$J$510,Table7[[#Headers],[Energy Supply Forecasts]],$C$7:$C$510,$L214)&gt;0,0,MROUND(IFERROR(U214*($P214/$AI214),0),100))</f>
        <v>0</v>
      </c>
      <c r="AO214" s="1">
        <f ca="1">IF(COUNTIFS($J$7:$J$510,Table7[[#Headers],[Energy Supply Regulation]],$C$7:$C$510,$L214)&gt;0,0,MROUND(IFERROR(V214*($P214/$AI214),0),100))</f>
        <v>0</v>
      </c>
      <c r="AP214" s="1">
        <f ca="1">IF(COUNTIFS($J$7:$J$510,Table7[[#Headers],[Renewables Market Intelligence]],$C$7:$C$510,$L214)&gt;0,0,MROUND(IFERROR(W214*($P214/$AI214),0),100))</f>
        <v>0</v>
      </c>
      <c r="AQ214" s="1">
        <f ca="1">IF(COUNTIFS($J$7:$J$510,Table7[[#Headers],[Renewables RTM Analysis]],$C$7:$C$510,$L214)&gt;0,0,MROUND(IFERROR(X214*($P214/$AI214),0),100))</f>
        <v>0</v>
      </c>
      <c r="AR214" s="1">
        <f ca="1">IF(COUNTIFS($J$7:$J$510,Table7[[#Headers],[Renewables Forecasts]],$C$7:$C$510,$L214)&gt;0,0,MROUND(IFERROR(Y214*($P214/$AI214),0),100))</f>
        <v>0</v>
      </c>
      <c r="AS214" s="1">
        <f ca="1">IF(COUNTIFS($J$7:$J$510,Table7[[#Headers],[Renewables Regulation]],$C$7:$C$510,$L214)&gt;0,0,MROUND(IFERROR(Z214*($P214/$AI214),0),100))</f>
        <v>0</v>
      </c>
      <c r="AT214" s="1">
        <f ca="1">IF(COUNTIFS($J$7:$J$510,Table7[[#Headers],[Flexibility Market Intelligence]],$C$7:$C$510,$L214)&gt;0,0,MROUND(IFERROR(AA214*($P214/$AI214),0),100))</f>
        <v>0</v>
      </c>
      <c r="AU214" s="1">
        <f ca="1">IF(COUNTIFS($J$7:$J$510,Table7[[#Headers],[Flexibility RTM Analysis]],$C$7:$C$510,$L214)&gt;0,0,MROUND(IFERROR(AB214*($P214/$AI214),0),100))</f>
        <v>0</v>
      </c>
      <c r="AV214" s="1">
        <f ca="1">IF(COUNTIFS($J$7:$J$510,Table7[[#Headers],[Flexibility Forecasts]],$C$7:$C$510,$L214)&gt;0,0,MROUND(IFERROR(AC214*($P214/$AI214),0),100))</f>
        <v>0</v>
      </c>
      <c r="AW214" s="1">
        <f ca="1">IF(COUNTIFS($J$7:$J$510,Table7[[#Headers],[Flexibility Regulation]],$C$7:$C$510,$L214)&gt;0,0,MROUND(IFERROR(AD214*($P214/$AI214),0),100))</f>
        <v>0</v>
      </c>
      <c r="AX214" s="1">
        <f ca="1">IF(COUNTIFS($J$7:$J$510,Table7[[#Headers],[Business Energy Essentials]],$C$7:$C$510,$L214)&gt;0,0,MROUND(IFERROR(AE214*($P214/$AI214),0),100))</f>
        <v>0</v>
      </c>
      <c r="AY214" s="1">
        <f ca="1">IF(COUNTIFS($J$7:$J$510,Table7[[#Headers],[Energy User RTM Analysis]],$C$7:$C$510,$L214)&gt;0,0,MROUND(IFERROR(AF214*($P214/$AI214),0),100))</f>
        <v>0</v>
      </c>
      <c r="AZ214" s="1">
        <f ca="1">IF(COUNTIFS($J$7:$J$510,Table7[[#Headers],[Energy User Forecasts]],$C$7:$C$510,$L214)&gt;0,0,MROUND(IFERROR(AG214*($P214/$AI214),0),100))</f>
        <v>0</v>
      </c>
      <c r="BA214" s="1">
        <f ca="1">IF(COUNTIFS($J$7:$J$510,Table7[[#Headers],[Energy User Regulation]],$C$7:$C$510,$L214)&gt;0,0,MROUND(IFERROR(AH214*($P214/$AI214),0),100))</f>
        <v>0</v>
      </c>
    </row>
    <row r="215" spans="2:53">
      <c r="B215" s="38" t="s">
        <v>2185</v>
      </c>
      <c r="C215" s="38" t="s">
        <v>1020</v>
      </c>
      <c r="D215" s="38" t="s">
        <v>2044</v>
      </c>
      <c r="E215" s="38" t="s">
        <v>1912</v>
      </c>
      <c r="F215" s="63">
        <v>25499.999999999996</v>
      </c>
      <c r="G215" s="38"/>
      <c r="H215" s="38" t="s">
        <v>2031</v>
      </c>
      <c r="I215" s="38" t="s">
        <v>2031</v>
      </c>
      <c r="J215" s="38" t="s">
        <v>24</v>
      </c>
      <c r="L215" s="1" t="str">
        <v>Utility Warehouse Limited</v>
      </c>
      <c r="M215" s="1" t="str">
        <f t="shared" si="17"/>
        <v>Supply</v>
      </c>
      <c r="N215" s="109">
        <f t="shared" si="18"/>
        <v>114120</v>
      </c>
      <c r="O215" s="1">
        <f>IFERROR(IF(INDEX(Table3[[Total Spend]:[Total Spend]],MATCH(L215,Table3[[Company name]:[Company name]],0))&gt;N215,INDEX(Table3[[Total Spend]:[Total Spend]],MATCH(L215,Table3[[Company name]:[Company name]])),N215),50000)</f>
        <v>10000</v>
      </c>
      <c r="P215" s="109">
        <f t="shared" si="19"/>
        <v>114120</v>
      </c>
      <c r="Q215" s="103">
        <f t="shared" si="20"/>
        <v>1</v>
      </c>
      <c r="R215" s="1">
        <f ca="1">IFERROR(INDEX(INDIRECT("Table3[Column"&amp;R$9&amp;"]"),MATCH($L215,Table3[[Company name]:[Company name]],0)),0)</f>
        <v>10800</v>
      </c>
      <c r="S215" s="1">
        <f ca="1">IFERROR(INDEX(INDIRECT("Table3[Column"&amp;S$9&amp;"]"),MATCH($L215,Table3[[Company name]:[Company name]],0)),0)</f>
        <v>43200</v>
      </c>
      <c r="T215" s="1">
        <f ca="1">IFERROR(INDEX(INDIRECT("Table3[Column"&amp;T$9&amp;"]"),MATCH($L215,Table3[[Company name]:[Company name]],0)),0)</f>
        <v>73800</v>
      </c>
      <c r="U215" s="1">
        <f ca="1">IFERROR(INDEX(INDIRECT("Table3[Column"&amp;U$9&amp;"]"),MATCH($L215,Table3[[Company name]:[Company name]],0)),0)</f>
        <v>48600</v>
      </c>
      <c r="V215" s="1">
        <f ca="1">IFERROR(INDEX(INDIRECT("Table3[Column"&amp;V$9&amp;"]"),MATCH($L215,Table3[[Company name]:[Company name]],0)),0)</f>
        <v>55800</v>
      </c>
      <c r="W215" s="1">
        <f ca="1">IFERROR(INDEX(INDIRECT("Table3[Column"&amp;W$9&amp;"]"),MATCH($L215,Table3[[Company name]:[Company name]],0)),0)</f>
        <v>0</v>
      </c>
      <c r="X215" s="1">
        <f ca="1">IFERROR(INDEX(INDIRECT("Table3[Column"&amp;X$9&amp;"]"),MATCH($L215,Table3[[Company name]:[Company name]],0)),0)</f>
        <v>0</v>
      </c>
      <c r="Y215" s="1">
        <f ca="1">IFERROR(INDEX(INDIRECT("Table3[Column"&amp;Y$9&amp;"]"),MATCH($L215,Table3[[Company name]:[Company name]],0)),0)</f>
        <v>0</v>
      </c>
      <c r="Z215" s="1">
        <f ca="1">IFERROR(INDEX(INDIRECT("Table3[Column"&amp;Z$9&amp;"]"),MATCH($L215,Table3[[Company name]:[Company name]],0)),0)</f>
        <v>0</v>
      </c>
      <c r="AA215" s="1">
        <f ca="1">IFERROR(INDEX(INDIRECT("Table3[Column"&amp;AA$9&amp;"]"),MATCH($L215,Table3[[Company name]:[Company name]],0)),0)</f>
        <v>29700</v>
      </c>
      <c r="AB215" s="1">
        <f ca="1">IFERROR(INDEX(INDIRECT("Table3[Column"&amp;AB$9&amp;"]"),MATCH($L215,Table3[[Company name]:[Company name]],0)),0)</f>
        <v>0</v>
      </c>
      <c r="AC215" s="1">
        <f ca="1">IFERROR(INDEX(INDIRECT("Table3[Column"&amp;AC$9&amp;"]"),MATCH($L215,Table3[[Company name]:[Company name]],0)),0)</f>
        <v>0</v>
      </c>
      <c r="AD215" s="1">
        <f ca="1">IFERROR(INDEX(INDIRECT("Table3[Column"&amp;AD$9&amp;"]"),MATCH($L215,Table3[[Company name]:[Company name]],0)),0)</f>
        <v>0</v>
      </c>
      <c r="AE215" s="1">
        <f ca="1">IFERROR(INDEX(INDIRECT("Table3[Column"&amp;AE$9&amp;"]"),MATCH($L215,Table3[[Company name]:[Company name]],0)),0)</f>
        <v>0</v>
      </c>
      <c r="AF215" s="1">
        <f ca="1">IFERROR(INDEX(INDIRECT("Table3[Column"&amp;AF$9&amp;"]"),MATCH($L215,Table3[[Company name]:[Company name]],0)),0)</f>
        <v>0</v>
      </c>
      <c r="AG215" s="1">
        <f ca="1">IFERROR(INDEX(INDIRECT("Table3[Column"&amp;AG$9&amp;"]"),MATCH($L215,Table3[[Company name]:[Company name]],0)),0)</f>
        <v>0</v>
      </c>
      <c r="AH215" s="1">
        <f ca="1">IFERROR(INDEX(INDIRECT("Table3[Column"&amp;AH$9&amp;"]"),MATCH($L215,Table3[[Company name]:[Company name]],0)),0)</f>
        <v>0</v>
      </c>
      <c r="AI215" s="1">
        <f t="shared" ca="1" si="21"/>
        <v>261900</v>
      </c>
      <c r="AK215" s="1">
        <f>IF(COUNTIFS($J$7:$J$510,Table7[[#Headers],[Industry Essentials]],$C$7:$C$510,$L215)&gt;0,0,MROUND(R215,100))</f>
        <v>0</v>
      </c>
      <c r="AL215" s="1">
        <f>IF(COUNTIFS($J$7:$J$510,Table7[[#Headers],[Energy Supply Market Intelligence]],$C$7:$C$510,$L215)&gt;0,0,MROUND(IFERROR(S215*($P215/$AI215),0),100))</f>
        <v>0</v>
      </c>
      <c r="AM215" s="1">
        <f>IF(COUNTIFS($J$7:$J$510,Table7[[#Headers],[Energy Supply RTM Analysis]],$C$7:$C$510,$L215)&gt;0,0,MROUND(IFERROR(T215*($P215/$AI215),0),100))</f>
        <v>0</v>
      </c>
      <c r="AN215" s="1">
        <f>IF(COUNTIFS($J$7:$J$510,Table7[[#Headers],[Energy Supply Forecasts]],$C$7:$C$510,$L215)&gt;0,0,MROUND(IFERROR(U215*($P215/$AI215),0),100))</f>
        <v>0</v>
      </c>
      <c r="AO215" s="1">
        <f>IF(COUNTIFS($J$7:$J$510,Table7[[#Headers],[Energy Supply Regulation]],$C$7:$C$510,$L215)&gt;0,0,MROUND(IFERROR(V215*($P215/$AI215),0),100))</f>
        <v>0</v>
      </c>
      <c r="AP215" s="1">
        <f ca="1">IF(COUNTIFS($J$7:$J$510,Table7[[#Headers],[Renewables Market Intelligence]],$C$7:$C$510,$L215)&gt;0,0,MROUND(IFERROR(W215*($P215/$AI215),0),100))</f>
        <v>0</v>
      </c>
      <c r="AQ215" s="1">
        <f ca="1">IF(COUNTIFS($J$7:$J$510,Table7[[#Headers],[Renewables RTM Analysis]],$C$7:$C$510,$L215)&gt;0,0,MROUND(IFERROR(X215*($P215/$AI215),0),100))</f>
        <v>0</v>
      </c>
      <c r="AR215" s="1">
        <f ca="1">IF(COUNTIFS($J$7:$J$510,Table7[[#Headers],[Renewables Forecasts]],$C$7:$C$510,$L215)&gt;0,0,MROUND(IFERROR(Y215*($P215/$AI215),0),100))</f>
        <v>0</v>
      </c>
      <c r="AS215" s="1">
        <f ca="1">IF(COUNTIFS($J$7:$J$510,Table7[[#Headers],[Renewables Regulation]],$C$7:$C$510,$L215)&gt;0,0,MROUND(IFERROR(Z215*($P215/$AI215),0),100))</f>
        <v>0</v>
      </c>
      <c r="AT215" s="1">
        <f ca="1">IF(COUNTIFS($J$7:$J$510,Table7[[#Headers],[Flexibility Market Intelligence]],$C$7:$C$510,$L215)&gt;0,0,MROUND(IFERROR(AA215*($P215/$AI215),0),100))</f>
        <v>12900</v>
      </c>
      <c r="AU215" s="1">
        <f ca="1">IF(COUNTIFS($J$7:$J$510,Table7[[#Headers],[Flexibility RTM Analysis]],$C$7:$C$510,$L215)&gt;0,0,MROUND(IFERROR(AB215*($P215/$AI215),0),100))</f>
        <v>0</v>
      </c>
      <c r="AV215" s="1">
        <f ca="1">IF(COUNTIFS($J$7:$J$510,Table7[[#Headers],[Flexibility Forecasts]],$C$7:$C$510,$L215)&gt;0,0,MROUND(IFERROR(AC215*($P215/$AI215),0),100))</f>
        <v>0</v>
      </c>
      <c r="AW215" s="1">
        <f ca="1">IF(COUNTIFS($J$7:$J$510,Table7[[#Headers],[Flexibility Regulation]],$C$7:$C$510,$L215)&gt;0,0,MROUND(IFERROR(AD215*($P215/$AI215),0),100))</f>
        <v>0</v>
      </c>
      <c r="AX215" s="1">
        <f ca="1">IF(COUNTIFS($J$7:$J$510,Table7[[#Headers],[Business Energy Essentials]],$C$7:$C$510,$L215)&gt;0,0,MROUND(IFERROR(AE215*($P215/$AI215),0),100))</f>
        <v>0</v>
      </c>
      <c r="AY215" s="1">
        <f ca="1">IF(COUNTIFS($J$7:$J$510,Table7[[#Headers],[Energy User RTM Analysis]],$C$7:$C$510,$L215)&gt;0,0,MROUND(IFERROR(AF215*($P215/$AI215),0),100))</f>
        <v>0</v>
      </c>
      <c r="AZ215" s="1">
        <f ca="1">IF(COUNTIFS($J$7:$J$510,Table7[[#Headers],[Energy User Forecasts]],$C$7:$C$510,$L215)&gt;0,0,MROUND(IFERROR(AG215*($P215/$AI215),0),100))</f>
        <v>0</v>
      </c>
      <c r="BA215" s="1">
        <f ca="1">IF(COUNTIFS($J$7:$J$510,Table7[[#Headers],[Energy User Regulation]],$C$7:$C$510,$L215)&gt;0,0,MROUND(IFERROR(AH215*($P215/$AI215),0),100))</f>
        <v>0</v>
      </c>
    </row>
    <row r="216" spans="2:53">
      <c r="B216" s="38" t="s">
        <v>2186</v>
      </c>
      <c r="C216" s="38" t="s">
        <v>393</v>
      </c>
      <c r="D216" s="38" t="s">
        <v>2051</v>
      </c>
      <c r="E216" s="38" t="s">
        <v>1817</v>
      </c>
      <c r="F216" s="63">
        <v>18000</v>
      </c>
      <c r="G216" s="38"/>
      <c r="H216" s="38" t="s">
        <v>191</v>
      </c>
      <c r="I216" s="38" t="s">
        <v>191</v>
      </c>
      <c r="J216" s="38" t="s">
        <v>35</v>
      </c>
      <c r="L216" s="1" t="str">
        <v>Valda Energy Limited</v>
      </c>
      <c r="M216" s="1" t="str">
        <f t="shared" si="17"/>
        <v>Supply</v>
      </c>
      <c r="N216" s="109">
        <f t="shared" si="18"/>
        <v>16275</v>
      </c>
      <c r="O216" s="1">
        <f>IFERROR(IF(INDEX(Table3[[Total Spend]:[Total Spend]],MATCH(L216,Table3[[Company name]:[Company name]],0))&gt;N216,INDEX(Table3[[Total Spend]:[Total Spend]],MATCH(L216,Table3[[Company name]:[Company name]])),N216),50000)</f>
        <v>10000</v>
      </c>
      <c r="P216" s="109">
        <f t="shared" si="19"/>
        <v>16275</v>
      </c>
      <c r="Q216" s="103">
        <f t="shared" si="20"/>
        <v>1</v>
      </c>
      <c r="R216" s="1">
        <f ca="1">IFERROR(INDEX(INDIRECT("Table3[Column"&amp;R$9&amp;"]"),MATCH($L216,Table3[[Company name]:[Company name]],0)),0)</f>
        <v>8100</v>
      </c>
      <c r="S216" s="1">
        <f ca="1">IFERROR(INDEX(INDIRECT("Table3[Column"&amp;S$9&amp;"]"),MATCH($L216,Table3[[Company name]:[Company name]],0)),0)</f>
        <v>30600</v>
      </c>
      <c r="T216" s="1">
        <f ca="1">IFERROR(INDEX(INDIRECT("Table3[Column"&amp;T$9&amp;"]"),MATCH($L216,Table3[[Company name]:[Company name]],0)),0)</f>
        <v>53100</v>
      </c>
      <c r="U216" s="1">
        <f ca="1">IFERROR(INDEX(INDIRECT("Table3[Column"&amp;U$9&amp;"]"),MATCH($L216,Table3[[Company name]:[Company name]],0)),0)</f>
        <v>34200</v>
      </c>
      <c r="V216" s="1">
        <f ca="1">IFERROR(INDEX(INDIRECT("Table3[Column"&amp;V$9&amp;"]"),MATCH($L216,Table3[[Company name]:[Company name]],0)),0)</f>
        <v>39600</v>
      </c>
      <c r="W216" s="1">
        <f ca="1">IFERROR(INDEX(INDIRECT("Table3[Column"&amp;W$9&amp;"]"),MATCH($L216,Table3[[Company name]:[Company name]],0)),0)</f>
        <v>0</v>
      </c>
      <c r="X216" s="1">
        <f ca="1">IFERROR(INDEX(INDIRECT("Table3[Column"&amp;X$9&amp;"]"),MATCH($L216,Table3[[Company name]:[Company name]],0)),0)</f>
        <v>0</v>
      </c>
      <c r="Y216" s="1">
        <f ca="1">IFERROR(INDEX(INDIRECT("Table3[Column"&amp;Y$9&amp;"]"),MATCH($L216,Table3[[Company name]:[Company name]],0)),0)</f>
        <v>0</v>
      </c>
      <c r="Z216" s="1">
        <f ca="1">IFERROR(INDEX(INDIRECT("Table3[Column"&amp;Z$9&amp;"]"),MATCH($L216,Table3[[Company name]:[Company name]],0)),0)</f>
        <v>0</v>
      </c>
      <c r="AA216" s="1">
        <f ca="1">IFERROR(INDEX(INDIRECT("Table3[Column"&amp;AA$9&amp;"]"),MATCH($L216,Table3[[Company name]:[Company name]],0)),0)</f>
        <v>21600</v>
      </c>
      <c r="AB216" s="1">
        <f ca="1">IFERROR(INDEX(INDIRECT("Table3[Column"&amp;AB$9&amp;"]"),MATCH($L216,Table3[[Company name]:[Company name]],0)),0)</f>
        <v>0</v>
      </c>
      <c r="AC216" s="1">
        <f ca="1">IFERROR(INDEX(INDIRECT("Table3[Column"&amp;AC$9&amp;"]"),MATCH($L216,Table3[[Company name]:[Company name]],0)),0)</f>
        <v>0</v>
      </c>
      <c r="AD216" s="1">
        <f ca="1">IFERROR(INDEX(INDIRECT("Table3[Column"&amp;AD$9&amp;"]"),MATCH($L216,Table3[[Company name]:[Company name]],0)),0)</f>
        <v>0</v>
      </c>
      <c r="AE216" s="1">
        <f ca="1">IFERROR(INDEX(INDIRECT("Table3[Column"&amp;AE$9&amp;"]"),MATCH($L216,Table3[[Company name]:[Company name]],0)),0)</f>
        <v>0</v>
      </c>
      <c r="AF216" s="1">
        <f ca="1">IFERROR(INDEX(INDIRECT("Table3[Column"&amp;AF$9&amp;"]"),MATCH($L216,Table3[[Company name]:[Company name]],0)),0)</f>
        <v>0</v>
      </c>
      <c r="AG216" s="1">
        <f ca="1">IFERROR(INDEX(INDIRECT("Table3[Column"&amp;AG$9&amp;"]"),MATCH($L216,Table3[[Company name]:[Company name]],0)),0)</f>
        <v>0</v>
      </c>
      <c r="AH216" s="1">
        <f ca="1">IFERROR(INDEX(INDIRECT("Table3[Column"&amp;AH$9&amp;"]"),MATCH($L216,Table3[[Company name]:[Company name]],0)),0)</f>
        <v>0</v>
      </c>
      <c r="AI216" s="1">
        <f t="shared" ca="1" si="21"/>
        <v>187200</v>
      </c>
      <c r="AK216" s="1">
        <f ca="1">IF(COUNTIFS($J$7:$J$510,Table7[[#Headers],[Industry Essentials]],$C$7:$C$510,$L216)&gt;0,0,MROUND(R216,100))</f>
        <v>8100</v>
      </c>
      <c r="AL216" s="1">
        <f ca="1">IF(COUNTIFS($J$7:$J$510,Table7[[#Headers],[Energy Supply Market Intelligence]],$C$7:$C$510,$L216)&gt;0,0,MROUND(IFERROR(S216*($P216/$AI216),0),100))</f>
        <v>2700</v>
      </c>
      <c r="AM216" s="1">
        <f ca="1">IF(COUNTIFS($J$7:$J$510,Table7[[#Headers],[Energy Supply RTM Analysis]],$C$7:$C$510,$L216)&gt;0,0,MROUND(IFERROR(T216*($P216/$AI216),0),100))</f>
        <v>4600</v>
      </c>
      <c r="AN216" s="1">
        <f>IF(COUNTIFS($J$7:$J$510,Table7[[#Headers],[Energy Supply Forecasts]],$C$7:$C$510,$L216)&gt;0,0,MROUND(IFERROR(U216*($P216/$AI216),0),100))</f>
        <v>0</v>
      </c>
      <c r="AO216" s="1">
        <f ca="1">IF(COUNTIFS($J$7:$J$510,Table7[[#Headers],[Energy Supply Regulation]],$C$7:$C$510,$L216)&gt;0,0,MROUND(IFERROR(V216*($P216/$AI216),0),100))</f>
        <v>3400</v>
      </c>
      <c r="AP216" s="1">
        <f ca="1">IF(COUNTIFS($J$7:$J$510,Table7[[#Headers],[Renewables Market Intelligence]],$C$7:$C$510,$L216)&gt;0,0,MROUND(IFERROR(W216*($P216/$AI216),0),100))</f>
        <v>0</v>
      </c>
      <c r="AQ216" s="1">
        <f ca="1">IF(COUNTIFS($J$7:$J$510,Table7[[#Headers],[Renewables RTM Analysis]],$C$7:$C$510,$L216)&gt;0,0,MROUND(IFERROR(X216*($P216/$AI216),0),100))</f>
        <v>0</v>
      </c>
      <c r="AR216" s="1">
        <f ca="1">IF(COUNTIFS($J$7:$J$510,Table7[[#Headers],[Renewables Forecasts]],$C$7:$C$510,$L216)&gt;0,0,MROUND(IFERROR(Y216*($P216/$AI216),0),100))</f>
        <v>0</v>
      </c>
      <c r="AS216" s="1">
        <f ca="1">IF(COUNTIFS($J$7:$J$510,Table7[[#Headers],[Renewables Regulation]],$C$7:$C$510,$L216)&gt;0,0,MROUND(IFERROR(Z216*($P216/$AI216),0),100))</f>
        <v>0</v>
      </c>
      <c r="AT216" s="1">
        <f ca="1">IF(COUNTIFS($J$7:$J$510,Table7[[#Headers],[Flexibility Market Intelligence]],$C$7:$C$510,$L216)&gt;0,0,MROUND(IFERROR(AA216*($P216/$AI216),0),100))</f>
        <v>1900</v>
      </c>
      <c r="AU216" s="1">
        <f ca="1">IF(COUNTIFS($J$7:$J$510,Table7[[#Headers],[Flexibility RTM Analysis]],$C$7:$C$510,$L216)&gt;0,0,MROUND(IFERROR(AB216*($P216/$AI216),0),100))</f>
        <v>0</v>
      </c>
      <c r="AV216" s="1">
        <f ca="1">IF(COUNTIFS($J$7:$J$510,Table7[[#Headers],[Flexibility Forecasts]],$C$7:$C$510,$L216)&gt;0,0,MROUND(IFERROR(AC216*($P216/$AI216),0),100))</f>
        <v>0</v>
      </c>
      <c r="AW216" s="1">
        <f ca="1">IF(COUNTIFS($J$7:$J$510,Table7[[#Headers],[Flexibility Regulation]],$C$7:$C$510,$L216)&gt;0,0,MROUND(IFERROR(AD216*($P216/$AI216),0),100))</f>
        <v>0</v>
      </c>
      <c r="AX216" s="1">
        <f ca="1">IF(COUNTIFS($J$7:$J$510,Table7[[#Headers],[Business Energy Essentials]],$C$7:$C$510,$L216)&gt;0,0,MROUND(IFERROR(AE216*($P216/$AI216),0),100))</f>
        <v>0</v>
      </c>
      <c r="AY216" s="1">
        <f ca="1">IF(COUNTIFS($J$7:$J$510,Table7[[#Headers],[Energy User RTM Analysis]],$C$7:$C$510,$L216)&gt;0,0,MROUND(IFERROR(AF216*($P216/$AI216),0),100))</f>
        <v>0</v>
      </c>
      <c r="AZ216" s="1">
        <f ca="1">IF(COUNTIFS($J$7:$J$510,Table7[[#Headers],[Energy User Forecasts]],$C$7:$C$510,$L216)&gt;0,0,MROUND(IFERROR(AG216*($P216/$AI216),0),100))</f>
        <v>0</v>
      </c>
      <c r="BA216" s="1">
        <f ca="1">IF(COUNTIFS($J$7:$J$510,Table7[[#Headers],[Energy User Regulation]],$C$7:$C$510,$L216)&gt;0,0,MROUND(IFERROR(AH216*($P216/$AI216),0),100))</f>
        <v>0</v>
      </c>
    </row>
    <row r="217" spans="2:53">
      <c r="B217" s="38" t="s">
        <v>2186</v>
      </c>
      <c r="C217" s="38" t="s">
        <v>393</v>
      </c>
      <c r="D217" s="38" t="s">
        <v>2040</v>
      </c>
      <c r="E217" s="38" t="s">
        <v>1799</v>
      </c>
      <c r="F217" s="63">
        <v>4875</v>
      </c>
      <c r="G217" s="38"/>
      <c r="H217" s="38" t="s">
        <v>191</v>
      </c>
      <c r="I217" s="38" t="s">
        <v>2032</v>
      </c>
      <c r="J217" s="38" t="s">
        <v>20</v>
      </c>
      <c r="L217" s="1" t="str">
        <v>Vattenfall Energy Trading GmbH</v>
      </c>
      <c r="M217" s="1" t="str">
        <f t="shared" si="17"/>
        <v>Renewables</v>
      </c>
      <c r="N217" s="109">
        <f t="shared" si="18"/>
        <v>28815.384615384617</v>
      </c>
      <c r="O217" s="1">
        <f>IFERROR(IF(INDEX(Table3[[Total Spend]:[Total Spend]],MATCH(L217,Table3[[Company name]:[Company name]],0))&gt;N217,INDEX(Table3[[Total Spend]:[Total Spend]],MATCH(L217,Table3[[Company name]:[Company name]])),N217),50000)</f>
        <v>10000</v>
      </c>
      <c r="P217" s="109">
        <f t="shared" si="19"/>
        <v>28815.384615384617</v>
      </c>
      <c r="Q217" s="103">
        <f t="shared" si="20"/>
        <v>1</v>
      </c>
      <c r="R217" s="1">
        <f ca="1">IFERROR(INDEX(INDIRECT("Table3[Column"&amp;R$9&amp;"]"),MATCH($L217,Table3[[Company name]:[Company name]],0)),0)</f>
        <v>10800</v>
      </c>
      <c r="S217" s="1">
        <f ca="1">IFERROR(INDEX(INDIRECT("Table3[Column"&amp;S$9&amp;"]"),MATCH($L217,Table3[[Company name]:[Company name]],0)),0)</f>
        <v>43200</v>
      </c>
      <c r="T217" s="1">
        <f ca="1">IFERROR(INDEX(INDIRECT("Table3[Column"&amp;T$9&amp;"]"),MATCH($L217,Table3[[Company name]:[Company name]],0)),0)</f>
        <v>73800</v>
      </c>
      <c r="U217" s="1">
        <f ca="1">IFERROR(INDEX(INDIRECT("Table3[Column"&amp;U$9&amp;"]"),MATCH($L217,Table3[[Company name]:[Company name]],0)),0)</f>
        <v>48600</v>
      </c>
      <c r="V217" s="1">
        <f ca="1">IFERROR(INDEX(INDIRECT("Table3[Column"&amp;V$9&amp;"]"),MATCH($L217,Table3[[Company name]:[Company name]],0)),0)</f>
        <v>55800</v>
      </c>
      <c r="W217" s="1">
        <f ca="1">IFERROR(INDEX(INDIRECT("Table3[Column"&amp;W$9&amp;"]"),MATCH($L217,Table3[[Company name]:[Company name]],0)),0)</f>
        <v>0</v>
      </c>
      <c r="X217" s="1">
        <f ca="1">IFERROR(INDEX(INDIRECT("Table3[Column"&amp;X$9&amp;"]"),MATCH($L217,Table3[[Company name]:[Company name]],0)),0)</f>
        <v>20700</v>
      </c>
      <c r="Y217" s="1">
        <f ca="1">IFERROR(INDEX(INDIRECT("Table3[Column"&amp;Y$9&amp;"]"),MATCH($L217,Table3[[Company name]:[Company name]],0)),0)</f>
        <v>0</v>
      </c>
      <c r="Z217" s="1">
        <f ca="1">IFERROR(INDEX(INDIRECT("Table3[Column"&amp;Z$9&amp;"]"),MATCH($L217,Table3[[Company name]:[Company name]],0)),0)</f>
        <v>0</v>
      </c>
      <c r="AA217" s="1">
        <f ca="1">IFERROR(INDEX(INDIRECT("Table3[Column"&amp;AA$9&amp;"]"),MATCH($L217,Table3[[Company name]:[Company name]],0)),0)</f>
        <v>29700</v>
      </c>
      <c r="AB217" s="1">
        <f ca="1">IFERROR(INDEX(INDIRECT("Table3[Column"&amp;AB$9&amp;"]"),MATCH($L217,Table3[[Company name]:[Company name]],0)),0)</f>
        <v>10800</v>
      </c>
      <c r="AC217" s="1">
        <f ca="1">IFERROR(INDEX(INDIRECT("Table3[Column"&amp;AC$9&amp;"]"),MATCH($L217,Table3[[Company name]:[Company name]],0)),0)</f>
        <v>44100</v>
      </c>
      <c r="AD217" s="1">
        <f ca="1">IFERROR(INDEX(INDIRECT("Table3[Column"&amp;AD$9&amp;"]"),MATCH($L217,Table3[[Company name]:[Company name]],0)),0)</f>
        <v>36000</v>
      </c>
      <c r="AE217" s="1">
        <f ca="1">IFERROR(INDEX(INDIRECT("Table3[Column"&amp;AE$9&amp;"]"),MATCH($L217,Table3[[Company name]:[Company name]],0)),0)</f>
        <v>0</v>
      </c>
      <c r="AF217" s="1">
        <f ca="1">IFERROR(INDEX(INDIRECT("Table3[Column"&amp;AF$9&amp;"]"),MATCH($L217,Table3[[Company name]:[Company name]],0)),0)</f>
        <v>0</v>
      </c>
      <c r="AG217" s="1">
        <f ca="1">IFERROR(INDEX(INDIRECT("Table3[Column"&amp;AG$9&amp;"]"),MATCH($L217,Table3[[Company name]:[Company name]],0)),0)</f>
        <v>0</v>
      </c>
      <c r="AH217" s="1">
        <f ca="1">IFERROR(INDEX(INDIRECT("Table3[Column"&amp;AH$9&amp;"]"),MATCH($L217,Table3[[Company name]:[Company name]],0)),0)</f>
        <v>0</v>
      </c>
      <c r="AI217" s="1">
        <f t="shared" ca="1" si="21"/>
        <v>373500</v>
      </c>
      <c r="AK217" s="1">
        <f ca="1">IF(COUNTIFS($J$7:$J$510,Table7[[#Headers],[Industry Essentials]],$C$7:$C$510,$L217)&gt;0,0,MROUND(R217,100))</f>
        <v>10800</v>
      </c>
      <c r="AL217" s="1">
        <f ca="1">IF(COUNTIFS($J$7:$J$510,Table7[[#Headers],[Energy Supply Market Intelligence]],$C$7:$C$510,$L217)&gt;0,0,MROUND(IFERROR(S217*($P217/$AI217),0),100))</f>
        <v>3300</v>
      </c>
      <c r="AM217" s="1">
        <f ca="1">IF(COUNTIFS($J$7:$J$510,Table7[[#Headers],[Energy Supply RTM Analysis]],$C$7:$C$510,$L217)&gt;0,0,MROUND(IFERROR(T217*($P217/$AI217),0),100))</f>
        <v>5700</v>
      </c>
      <c r="AN217" s="1">
        <f ca="1">IF(COUNTIFS($J$7:$J$510,Table7[[#Headers],[Energy Supply Forecasts]],$C$7:$C$510,$L217)&gt;0,0,MROUND(IFERROR(U217*($P217/$AI217),0),100))</f>
        <v>3700</v>
      </c>
      <c r="AO217" s="1">
        <f ca="1">IF(COUNTIFS($J$7:$J$510,Table7[[#Headers],[Energy Supply Regulation]],$C$7:$C$510,$L217)&gt;0,0,MROUND(IFERROR(V217*($P217/$AI217),0),100))</f>
        <v>4300</v>
      </c>
      <c r="AP217" s="1">
        <f>IF(COUNTIFS($J$7:$J$510,Table7[[#Headers],[Renewables Market Intelligence]],$C$7:$C$510,$L217)&gt;0,0,MROUND(IFERROR(W217*($P217/$AI217),0),100))</f>
        <v>0</v>
      </c>
      <c r="AQ217" s="1">
        <f ca="1">IF(COUNTIFS($J$7:$J$510,Table7[[#Headers],[Renewables RTM Analysis]],$C$7:$C$510,$L217)&gt;0,0,MROUND(IFERROR(X217*($P217/$AI217),0),100))</f>
        <v>1600</v>
      </c>
      <c r="AR217" s="1">
        <f ca="1">IF(COUNTIFS($J$7:$J$510,Table7[[#Headers],[Renewables Forecasts]],$C$7:$C$510,$L217)&gt;0,0,MROUND(IFERROR(Y217*($P217/$AI217),0),100))</f>
        <v>0</v>
      </c>
      <c r="AS217" s="1">
        <f>IF(COUNTIFS($J$7:$J$510,Table7[[#Headers],[Renewables Regulation]],$C$7:$C$510,$L217)&gt;0,0,MROUND(IFERROR(Z217*($P217/$AI217),0),100))</f>
        <v>0</v>
      </c>
      <c r="AT217" s="1">
        <f ca="1">IF(COUNTIFS($J$7:$J$510,Table7[[#Headers],[Flexibility Market Intelligence]],$C$7:$C$510,$L217)&gt;0,0,MROUND(IFERROR(AA217*($P217/$AI217),0),100))</f>
        <v>2300</v>
      </c>
      <c r="AU217" s="1">
        <f ca="1">IF(COUNTIFS($J$7:$J$510,Table7[[#Headers],[Flexibility RTM Analysis]],$C$7:$C$510,$L217)&gt;0,0,MROUND(IFERROR(AB217*($P217/$AI217),0),100))</f>
        <v>800</v>
      </c>
      <c r="AV217" s="1">
        <f ca="1">IF(COUNTIFS($J$7:$J$510,Table7[[#Headers],[Flexibility Forecasts]],$C$7:$C$510,$L217)&gt;0,0,MROUND(IFERROR(AC217*($P217/$AI217),0),100))</f>
        <v>3400</v>
      </c>
      <c r="AW217" s="1">
        <f ca="1">IF(COUNTIFS($J$7:$J$510,Table7[[#Headers],[Flexibility Regulation]],$C$7:$C$510,$L217)&gt;0,0,MROUND(IFERROR(AD217*($P217/$AI217),0),100))</f>
        <v>2800</v>
      </c>
      <c r="AX217" s="1">
        <f ca="1">IF(COUNTIFS($J$7:$J$510,Table7[[#Headers],[Business Energy Essentials]],$C$7:$C$510,$L217)&gt;0,0,MROUND(IFERROR(AE217*($P217/$AI217),0),100))</f>
        <v>0</v>
      </c>
      <c r="AY217" s="1">
        <f ca="1">IF(COUNTIFS($J$7:$J$510,Table7[[#Headers],[Energy User RTM Analysis]],$C$7:$C$510,$L217)&gt;0,0,MROUND(IFERROR(AF217*($P217/$AI217),0),100))</f>
        <v>0</v>
      </c>
      <c r="AZ217" s="1">
        <f ca="1">IF(COUNTIFS($J$7:$J$510,Table7[[#Headers],[Energy User Forecasts]],$C$7:$C$510,$L217)&gt;0,0,MROUND(IFERROR(AG217*($P217/$AI217),0),100))</f>
        <v>0</v>
      </c>
      <c r="BA217" s="1">
        <f ca="1">IF(COUNTIFS($J$7:$J$510,Table7[[#Headers],[Energy User Regulation]],$C$7:$C$510,$L217)&gt;0,0,MROUND(IFERROR(AH217*($P217/$AI217),0),100))</f>
        <v>0</v>
      </c>
    </row>
    <row r="218" spans="2:53">
      <c r="B218" s="38" t="s">
        <v>2187</v>
      </c>
      <c r="C218" s="38" t="s">
        <v>563</v>
      </c>
      <c r="D218" s="38" t="s">
        <v>2040</v>
      </c>
      <c r="E218" s="38" t="s">
        <v>1799</v>
      </c>
      <c r="F218" s="63">
        <v>12000</v>
      </c>
      <c r="G218" s="38"/>
      <c r="H218" s="38" t="s">
        <v>1702</v>
      </c>
      <c r="I218" s="38" t="s">
        <v>2032</v>
      </c>
      <c r="J218" s="38" t="s">
        <v>20</v>
      </c>
      <c r="L218" s="1" t="str">
        <v>Vestas Northern Europe</v>
      </c>
      <c r="M218" s="1" t="str">
        <f t="shared" si="17"/>
        <v>Renewables</v>
      </c>
      <c r="N218" s="109">
        <f t="shared" si="18"/>
        <v>11899.98</v>
      </c>
      <c r="O218" s="1">
        <f>IFERROR(IF(INDEX(Table3[[Total Spend]:[Total Spend]],MATCH(L218,Table3[[Company name]:[Company name]],0))&gt;N218,INDEX(Table3[[Total Spend]:[Total Spend]],MATCH(L218,Table3[[Company name]:[Company name]])),N218),50000)</f>
        <v>10000</v>
      </c>
      <c r="P218" s="109">
        <f t="shared" si="19"/>
        <v>11899.98</v>
      </c>
      <c r="Q218" s="103">
        <f t="shared" si="20"/>
        <v>1</v>
      </c>
      <c r="R218" s="1">
        <f ca="1">IFERROR(INDEX(INDIRECT("Table3[Column"&amp;R$9&amp;"]"),MATCH($L218,Table3[[Company name]:[Company name]],0)),0)</f>
        <v>8100</v>
      </c>
      <c r="S218" s="1">
        <f ca="1">IFERROR(INDEX(INDIRECT("Table3[Column"&amp;S$9&amp;"]"),MATCH($L218,Table3[[Company name]:[Company name]],0)),0)</f>
        <v>0</v>
      </c>
      <c r="T218" s="1">
        <f ca="1">IFERROR(INDEX(INDIRECT("Table3[Column"&amp;T$9&amp;"]"),MATCH($L218,Table3[[Company name]:[Company name]],0)),0)</f>
        <v>0</v>
      </c>
      <c r="U218" s="1">
        <f ca="1">IFERROR(INDEX(INDIRECT("Table3[Column"&amp;U$9&amp;"]"),MATCH($L218,Table3[[Company name]:[Company name]],0)),0)</f>
        <v>0</v>
      </c>
      <c r="V218" s="1">
        <f ca="1">IFERROR(INDEX(INDIRECT("Table3[Column"&amp;V$9&amp;"]"),MATCH($L218,Table3[[Company name]:[Company name]],0)),0)</f>
        <v>0</v>
      </c>
      <c r="W218" s="1">
        <f ca="1">IFERROR(INDEX(INDIRECT("Table3[Column"&amp;W$9&amp;"]"),MATCH($L218,Table3[[Company name]:[Company name]],0)),0)</f>
        <v>17100</v>
      </c>
      <c r="X218" s="1">
        <f ca="1">IFERROR(INDEX(INDIRECT("Table3[Column"&amp;X$9&amp;"]"),MATCH($L218,Table3[[Company name]:[Company name]],0)),0)</f>
        <v>15300</v>
      </c>
      <c r="Y218" s="1">
        <f ca="1">IFERROR(INDEX(INDIRECT("Table3[Column"&amp;Y$9&amp;"]"),MATCH($L218,Table3[[Company name]:[Company name]],0)),0)</f>
        <v>42300</v>
      </c>
      <c r="Z218" s="1">
        <f ca="1">IFERROR(INDEX(INDIRECT("Table3[Column"&amp;Z$9&amp;"]"),MATCH($L218,Table3[[Company name]:[Company name]],0)),0)</f>
        <v>18900</v>
      </c>
      <c r="AA218" s="1">
        <f ca="1">IFERROR(INDEX(INDIRECT("Table3[Column"&amp;AA$9&amp;"]"),MATCH($L218,Table3[[Company name]:[Company name]],0)),0)</f>
        <v>0</v>
      </c>
      <c r="AB218" s="1">
        <f ca="1">IFERROR(INDEX(INDIRECT("Table3[Column"&amp;AB$9&amp;"]"),MATCH($L218,Table3[[Company name]:[Company name]],0)),0)</f>
        <v>0</v>
      </c>
      <c r="AC218" s="1">
        <f ca="1">IFERROR(INDEX(INDIRECT("Table3[Column"&amp;AC$9&amp;"]"),MATCH($L218,Table3[[Company name]:[Company name]],0)),0)</f>
        <v>0</v>
      </c>
      <c r="AD218" s="1">
        <f ca="1">IFERROR(INDEX(INDIRECT("Table3[Column"&amp;AD$9&amp;"]"),MATCH($L218,Table3[[Company name]:[Company name]],0)),0)</f>
        <v>0</v>
      </c>
      <c r="AE218" s="1">
        <f ca="1">IFERROR(INDEX(INDIRECT("Table3[Column"&amp;AE$9&amp;"]"),MATCH($L218,Table3[[Company name]:[Company name]],0)),0)</f>
        <v>10800</v>
      </c>
      <c r="AF218" s="1">
        <f ca="1">IFERROR(INDEX(INDIRECT("Table3[Column"&amp;AF$9&amp;"]"),MATCH($L218,Table3[[Company name]:[Company name]],0)),0)</f>
        <v>11250</v>
      </c>
      <c r="AG218" s="1">
        <f ca="1">IFERROR(INDEX(INDIRECT("Table3[Column"&amp;AG$9&amp;"]"),MATCH($L218,Table3[[Company name]:[Company name]],0)),0)</f>
        <v>19800</v>
      </c>
      <c r="AH218" s="1">
        <f ca="1">IFERROR(INDEX(INDIRECT("Table3[Column"&amp;AH$9&amp;"]"),MATCH($L218,Table3[[Company name]:[Company name]],0)),0)</f>
        <v>4500</v>
      </c>
      <c r="AI218" s="1">
        <f t="shared" ca="1" si="21"/>
        <v>148050</v>
      </c>
      <c r="AK218" s="1">
        <f ca="1">IF(COUNTIFS($J$7:$J$510,Table7[[#Headers],[Industry Essentials]],$C$7:$C$510,$L218)&gt;0,0,MROUND(R218,100))</f>
        <v>8100</v>
      </c>
      <c r="AL218" s="1">
        <f ca="1">IF(COUNTIFS($J$7:$J$510,Table7[[#Headers],[Energy Supply Market Intelligence]],$C$7:$C$510,$L218)&gt;0,0,MROUND(IFERROR(S218*($P218/$AI218),0),100))</f>
        <v>0</v>
      </c>
      <c r="AM218" s="1">
        <f ca="1">IF(COUNTIFS($J$7:$J$510,Table7[[#Headers],[Energy Supply RTM Analysis]],$C$7:$C$510,$L218)&gt;0,0,MROUND(IFERROR(T218*($P218/$AI218),0),100))</f>
        <v>0</v>
      </c>
      <c r="AN218" s="1">
        <f ca="1">IF(COUNTIFS($J$7:$J$510,Table7[[#Headers],[Energy Supply Forecasts]],$C$7:$C$510,$L218)&gt;0,0,MROUND(IFERROR(U218*($P218/$AI218),0),100))</f>
        <v>0</v>
      </c>
      <c r="AO218" s="1">
        <f ca="1">IF(COUNTIFS($J$7:$J$510,Table7[[#Headers],[Energy Supply Regulation]],$C$7:$C$510,$L218)&gt;0,0,MROUND(IFERROR(V218*($P218/$AI218),0),100))</f>
        <v>0</v>
      </c>
      <c r="AP218" s="1">
        <f ca="1">IF(COUNTIFS($J$7:$J$510,Table7[[#Headers],[Renewables Market Intelligence]],$C$7:$C$510,$L218)&gt;0,0,MROUND(IFERROR(W218*($P218/$AI218),0),100))</f>
        <v>1400</v>
      </c>
      <c r="AQ218" s="1">
        <f ca="1">IF(COUNTIFS($J$7:$J$510,Table7[[#Headers],[Renewables RTM Analysis]],$C$7:$C$510,$L218)&gt;0,0,MROUND(IFERROR(X218*($P218/$AI218),0),100))</f>
        <v>1200</v>
      </c>
      <c r="AR218" s="1">
        <f>IF(COUNTIFS($J$7:$J$510,Table7[[#Headers],[Renewables Forecasts]],$C$7:$C$510,$L218)&gt;0,0,MROUND(IFERROR(Y218*($P218/$AI218),0),100))</f>
        <v>0</v>
      </c>
      <c r="AS218" s="1">
        <f ca="1">IF(COUNTIFS($J$7:$J$510,Table7[[#Headers],[Renewables Regulation]],$C$7:$C$510,$L218)&gt;0,0,MROUND(IFERROR(Z218*($P218/$AI218),0),100))</f>
        <v>1500</v>
      </c>
      <c r="AT218" s="1">
        <f ca="1">IF(COUNTIFS($J$7:$J$510,Table7[[#Headers],[Flexibility Market Intelligence]],$C$7:$C$510,$L218)&gt;0,0,MROUND(IFERROR(AA218*($P218/$AI218),0),100))</f>
        <v>0</v>
      </c>
      <c r="AU218" s="1">
        <f ca="1">IF(COUNTIFS($J$7:$J$510,Table7[[#Headers],[Flexibility RTM Analysis]],$C$7:$C$510,$L218)&gt;0,0,MROUND(IFERROR(AB218*($P218/$AI218),0),100))</f>
        <v>0</v>
      </c>
      <c r="AV218" s="1">
        <f ca="1">IF(COUNTIFS($J$7:$J$510,Table7[[#Headers],[Flexibility Forecasts]],$C$7:$C$510,$L218)&gt;0,0,MROUND(IFERROR(AC218*($P218/$AI218),0),100))</f>
        <v>0</v>
      </c>
      <c r="AW218" s="1">
        <f ca="1">IF(COUNTIFS($J$7:$J$510,Table7[[#Headers],[Flexibility Regulation]],$C$7:$C$510,$L218)&gt;0,0,MROUND(IFERROR(AD218*($P218/$AI218),0),100))</f>
        <v>0</v>
      </c>
      <c r="AX218" s="1">
        <f ca="1">IF(COUNTIFS($J$7:$J$510,Table7[[#Headers],[Business Energy Essentials]],$C$7:$C$510,$L218)&gt;0,0,MROUND(IFERROR(AE218*($P218/$AI218),0),100))</f>
        <v>900</v>
      </c>
      <c r="AY218" s="1">
        <f ca="1">IF(COUNTIFS($J$7:$J$510,Table7[[#Headers],[Energy User RTM Analysis]],$C$7:$C$510,$L218)&gt;0,0,MROUND(IFERROR(AF218*($P218/$AI218),0),100))</f>
        <v>900</v>
      </c>
      <c r="AZ218" s="1">
        <f ca="1">IF(COUNTIFS($J$7:$J$510,Table7[[#Headers],[Energy User Forecasts]],$C$7:$C$510,$L218)&gt;0,0,MROUND(IFERROR(AG218*($P218/$AI218),0),100))</f>
        <v>1600</v>
      </c>
      <c r="BA218" s="1">
        <f ca="1">IF(COUNTIFS($J$7:$J$510,Table7[[#Headers],[Energy User Regulation]],$C$7:$C$510,$L218)&gt;0,0,MROUND(IFERROR(AH218*($P218/$AI218),0),100))</f>
        <v>400</v>
      </c>
    </row>
    <row r="219" spans="2:53">
      <c r="B219" s="38" t="s">
        <v>2188</v>
      </c>
      <c r="C219" s="38" t="s">
        <v>166</v>
      </c>
      <c r="D219" s="38" t="s">
        <v>2040</v>
      </c>
      <c r="E219" s="38" t="s">
        <v>1799</v>
      </c>
      <c r="F219" s="63">
        <v>9975</v>
      </c>
      <c r="G219" s="38"/>
      <c r="H219" s="38" t="s">
        <v>1702</v>
      </c>
      <c r="I219" s="38" t="s">
        <v>2032</v>
      </c>
      <c r="J219" s="38" t="s">
        <v>20</v>
      </c>
      <c r="L219" s="1" t="str">
        <v>Vodafone Ltd</v>
      </c>
      <c r="M219" s="1" t="str">
        <f t="shared" si="17"/>
        <v>Energy User</v>
      </c>
      <c r="N219" s="109">
        <f t="shared" si="18"/>
        <v>37900</v>
      </c>
      <c r="O219" s="1">
        <f>IFERROR(IF(INDEX(Table3[[Total Spend]:[Total Spend]],MATCH(L219,Table3[[Company name]:[Company name]],0))&gt;N219,INDEX(Table3[[Total Spend]:[Total Spend]],MATCH(L219,Table3[[Company name]:[Company name]])),N219),50000)</f>
        <v>8100</v>
      </c>
      <c r="P219" s="109">
        <f t="shared" si="19"/>
        <v>37900</v>
      </c>
      <c r="Q219" s="103">
        <f t="shared" si="20"/>
        <v>1</v>
      </c>
      <c r="R219" s="1">
        <f ca="1">IFERROR(INDEX(INDIRECT("Table3[Column"&amp;R$9&amp;"]"),MATCH($L219,Table3[[Company name]:[Company name]],0)),0)</f>
        <v>0</v>
      </c>
      <c r="S219" s="1">
        <f ca="1">IFERROR(INDEX(INDIRECT("Table3[Column"&amp;S$9&amp;"]"),MATCH($L219,Table3[[Company name]:[Company name]],0)),0)</f>
        <v>0</v>
      </c>
      <c r="T219" s="1">
        <f ca="1">IFERROR(INDEX(INDIRECT("Table3[Column"&amp;T$9&amp;"]"),MATCH($L219,Table3[[Company name]:[Company name]],0)),0)</f>
        <v>0</v>
      </c>
      <c r="U219" s="1">
        <f ca="1">IFERROR(INDEX(INDIRECT("Table3[Column"&amp;U$9&amp;"]"),MATCH($L219,Table3[[Company name]:[Company name]],0)),0)</f>
        <v>0</v>
      </c>
      <c r="V219" s="1">
        <f ca="1">IFERROR(INDEX(INDIRECT("Table3[Column"&amp;V$9&amp;"]"),MATCH($L219,Table3[[Company name]:[Company name]],0)),0)</f>
        <v>0</v>
      </c>
      <c r="W219" s="1">
        <f ca="1">IFERROR(INDEX(INDIRECT("Table3[Column"&amp;W$9&amp;"]"),MATCH($L219,Table3[[Company name]:[Company name]],0)),0)</f>
        <v>0</v>
      </c>
      <c r="X219" s="1">
        <f ca="1">IFERROR(INDEX(INDIRECT("Table3[Column"&amp;X$9&amp;"]"),MATCH($L219,Table3[[Company name]:[Company name]],0)),0)</f>
        <v>0</v>
      </c>
      <c r="Y219" s="1">
        <f ca="1">IFERROR(INDEX(INDIRECT("Table3[Column"&amp;Y$9&amp;"]"),MATCH($L219,Table3[[Company name]:[Company name]],0)),0)</f>
        <v>0</v>
      </c>
      <c r="Z219" s="1">
        <f ca="1">IFERROR(INDEX(INDIRECT("Table3[Column"&amp;Z$9&amp;"]"),MATCH($L219,Table3[[Company name]:[Company name]],0)),0)</f>
        <v>0</v>
      </c>
      <c r="AA219" s="1">
        <f ca="1">IFERROR(INDEX(INDIRECT("Table3[Column"&amp;AA$9&amp;"]"),MATCH($L219,Table3[[Company name]:[Company name]],0)),0)</f>
        <v>0</v>
      </c>
      <c r="AB219" s="1">
        <f ca="1">IFERROR(INDEX(INDIRECT("Table3[Column"&amp;AB$9&amp;"]"),MATCH($L219,Table3[[Company name]:[Company name]],0)),0)</f>
        <v>0</v>
      </c>
      <c r="AC219" s="1">
        <f ca="1">IFERROR(INDEX(INDIRECT("Table3[Column"&amp;AC$9&amp;"]"),MATCH($L219,Table3[[Company name]:[Company name]],0)),0)</f>
        <v>0</v>
      </c>
      <c r="AD219" s="1">
        <f ca="1">IFERROR(INDEX(INDIRECT("Table3[Column"&amp;AD$9&amp;"]"),MATCH($L219,Table3[[Company name]:[Company name]],0)),0)</f>
        <v>0</v>
      </c>
      <c r="AE219" s="1">
        <f ca="1">IFERROR(INDEX(INDIRECT("Table3[Column"&amp;AE$9&amp;"]"),MATCH($L219,Table3[[Company name]:[Company name]],0)),0)</f>
        <v>15300</v>
      </c>
      <c r="AF219" s="1">
        <f ca="1">IFERROR(INDEX(INDIRECT("Table3[Column"&amp;AF$9&amp;"]"),MATCH($L219,Table3[[Company name]:[Company name]],0)),0)</f>
        <v>15750</v>
      </c>
      <c r="AG219" s="1">
        <f ca="1">IFERROR(INDEX(INDIRECT("Table3[Column"&amp;AG$9&amp;"]"),MATCH($L219,Table3[[Company name]:[Company name]],0)),0)</f>
        <v>27000</v>
      </c>
      <c r="AH219" s="1">
        <f ca="1">IFERROR(INDEX(INDIRECT("Table3[Column"&amp;AH$9&amp;"]"),MATCH($L219,Table3[[Company name]:[Company name]],0)),0)</f>
        <v>6300</v>
      </c>
      <c r="AI219" s="1">
        <f t="shared" ca="1" si="21"/>
        <v>64350</v>
      </c>
      <c r="AK219" s="1">
        <f ca="1">IF(COUNTIFS($J$7:$J$510,Table7[[#Headers],[Industry Essentials]],$C$7:$C$510,$L219)&gt;0,0,MROUND(R219,100))</f>
        <v>0</v>
      </c>
      <c r="AL219" s="1">
        <f ca="1">IF(COUNTIFS($J$7:$J$510,Table7[[#Headers],[Energy Supply Market Intelligence]],$C$7:$C$510,$L219)&gt;0,0,MROUND(IFERROR(S219*($P219/$AI219),0),100))</f>
        <v>0</v>
      </c>
      <c r="AM219" s="1">
        <f ca="1">IF(COUNTIFS($J$7:$J$510,Table7[[#Headers],[Energy Supply RTM Analysis]],$C$7:$C$510,$L219)&gt;0,0,MROUND(IFERROR(T219*($P219/$AI219),0),100))</f>
        <v>0</v>
      </c>
      <c r="AN219" s="1">
        <f>IF(COUNTIFS($J$7:$J$510,Table7[[#Headers],[Energy Supply Forecasts]],$C$7:$C$510,$L219)&gt;0,0,MROUND(IFERROR(U219*($P219/$AI219),0),100))</f>
        <v>0</v>
      </c>
      <c r="AO219" s="1">
        <f ca="1">IF(COUNTIFS($J$7:$J$510,Table7[[#Headers],[Energy Supply Regulation]],$C$7:$C$510,$L219)&gt;0,0,MROUND(IFERROR(V219*($P219/$AI219),0),100))</f>
        <v>0</v>
      </c>
      <c r="AP219" s="1">
        <f ca="1">IF(COUNTIFS($J$7:$J$510,Table7[[#Headers],[Renewables Market Intelligence]],$C$7:$C$510,$L219)&gt;0,0,MROUND(IFERROR(W219*($P219/$AI219),0),100))</f>
        <v>0</v>
      </c>
      <c r="AQ219" s="1">
        <f ca="1">IF(COUNTIFS($J$7:$J$510,Table7[[#Headers],[Renewables RTM Analysis]],$C$7:$C$510,$L219)&gt;0,0,MROUND(IFERROR(X219*($P219/$AI219),0),100))</f>
        <v>0</v>
      </c>
      <c r="AR219" s="1">
        <f>IF(COUNTIFS($J$7:$J$510,Table7[[#Headers],[Renewables Forecasts]],$C$7:$C$510,$L219)&gt;0,0,MROUND(IFERROR(Y219*($P219/$AI219),0),100))</f>
        <v>0</v>
      </c>
      <c r="AS219" s="1">
        <f ca="1">IF(COUNTIFS($J$7:$J$510,Table7[[#Headers],[Renewables Regulation]],$C$7:$C$510,$L219)&gt;0,0,MROUND(IFERROR(Z219*($P219/$AI219),0),100))</f>
        <v>0</v>
      </c>
      <c r="AT219" s="1">
        <f ca="1">IF(COUNTIFS($J$7:$J$510,Table7[[#Headers],[Flexibility Market Intelligence]],$C$7:$C$510,$L219)&gt;0,0,MROUND(IFERROR(AA219*($P219/$AI219),0),100))</f>
        <v>0</v>
      </c>
      <c r="AU219" s="1">
        <f ca="1">IF(COUNTIFS($J$7:$J$510,Table7[[#Headers],[Flexibility RTM Analysis]],$C$7:$C$510,$L219)&gt;0,0,MROUND(IFERROR(AB219*($P219/$AI219),0),100))</f>
        <v>0</v>
      </c>
      <c r="AV219" s="1">
        <f ca="1">IF(COUNTIFS($J$7:$J$510,Table7[[#Headers],[Flexibility Forecasts]],$C$7:$C$510,$L219)&gt;0,0,MROUND(IFERROR(AC219*($P219/$AI219),0),100))</f>
        <v>0</v>
      </c>
      <c r="AW219" s="1">
        <f ca="1">IF(COUNTIFS($J$7:$J$510,Table7[[#Headers],[Flexibility Regulation]],$C$7:$C$510,$L219)&gt;0,0,MROUND(IFERROR(AD219*($P219/$AI219),0),100))</f>
        <v>0</v>
      </c>
      <c r="AX219" s="1">
        <f>IF(COUNTIFS($J$7:$J$510,Table7[[#Headers],[Business Energy Essentials]],$C$7:$C$510,$L219)&gt;0,0,MROUND(IFERROR(AE219*($P219/$AI219),0),100))</f>
        <v>0</v>
      </c>
      <c r="AY219" s="1">
        <f ca="1">IF(COUNTIFS($J$7:$J$510,Table7[[#Headers],[Energy User RTM Analysis]],$C$7:$C$510,$L219)&gt;0,0,MROUND(IFERROR(AF219*($P219/$AI219),0),100))</f>
        <v>9300</v>
      </c>
      <c r="AZ219" s="1">
        <f>IF(COUNTIFS($J$7:$J$510,Table7[[#Headers],[Energy User Forecasts]],$C$7:$C$510,$L219)&gt;0,0,MROUND(IFERROR(AG219*($P219/$AI219),0),100))</f>
        <v>0</v>
      </c>
      <c r="BA219" s="1">
        <f ca="1">IF(COUNTIFS($J$7:$J$510,Table7[[#Headers],[Energy User Regulation]],$C$7:$C$510,$L219)&gt;0,0,MROUND(IFERROR(AH219*($P219/$AI219),0),100))</f>
        <v>3700</v>
      </c>
    </row>
    <row r="220" spans="2:53">
      <c r="B220" s="38" t="s">
        <v>2189</v>
      </c>
      <c r="C220" s="38" t="s">
        <v>167</v>
      </c>
      <c r="D220" s="38" t="s">
        <v>2190</v>
      </c>
      <c r="E220" s="38" t="s">
        <v>1830</v>
      </c>
      <c r="F220" s="63">
        <v>18150</v>
      </c>
      <c r="G220" s="38"/>
      <c r="H220" s="38" t="s">
        <v>2031</v>
      </c>
      <c r="I220" s="38" t="s">
        <v>2031</v>
      </c>
      <c r="J220" s="38" t="s">
        <v>22</v>
      </c>
      <c r="L220" s="1" t="str">
        <v>VPI Immingham LLP</v>
      </c>
      <c r="M220" s="1" t="str">
        <f t="shared" si="17"/>
        <v>Flexibility</v>
      </c>
      <c r="N220" s="109">
        <f t="shared" si="18"/>
        <v>8100</v>
      </c>
      <c r="O220" s="1">
        <f>IFERROR(IF(INDEX(Table3[[Total Spend]:[Total Spend]],MATCH(L220,Table3[[Company name]:[Company name]],0))&gt;N220,INDEX(Table3[[Total Spend]:[Total Spend]],MATCH(L220,Table3[[Company name]:[Company name]])),N220),50000)</f>
        <v>8100</v>
      </c>
      <c r="P220" s="109">
        <f t="shared" si="19"/>
        <v>8100</v>
      </c>
      <c r="Q220" s="103">
        <f t="shared" si="20"/>
        <v>1</v>
      </c>
      <c r="R220" s="1">
        <f ca="1">IFERROR(INDEX(INDIRECT("Table3[Column"&amp;R$9&amp;"]"),MATCH($L220,Table3[[Company name]:[Company name]],0)),0)</f>
        <v>10800</v>
      </c>
      <c r="S220" s="1">
        <f ca="1">IFERROR(INDEX(INDIRECT("Table3[Column"&amp;S$9&amp;"]"),MATCH($L220,Table3[[Company name]:[Company name]],0)),0)</f>
        <v>0</v>
      </c>
      <c r="T220" s="1">
        <f ca="1">IFERROR(INDEX(INDIRECT("Table3[Column"&amp;T$9&amp;"]"),MATCH($L220,Table3[[Company name]:[Company name]],0)),0)</f>
        <v>0</v>
      </c>
      <c r="U220" s="1">
        <f ca="1">IFERROR(INDEX(INDIRECT("Table3[Column"&amp;U$9&amp;"]"),MATCH($L220,Table3[[Company name]:[Company name]],0)),0)</f>
        <v>0</v>
      </c>
      <c r="V220" s="1">
        <f ca="1">IFERROR(INDEX(INDIRECT("Table3[Column"&amp;V$9&amp;"]"),MATCH($L220,Table3[[Company name]:[Company name]],0)),0)</f>
        <v>0</v>
      </c>
      <c r="W220" s="1">
        <f ca="1">IFERROR(INDEX(INDIRECT("Table3[Column"&amp;W$9&amp;"]"),MATCH($L220,Table3[[Company name]:[Company name]],0)),0)</f>
        <v>0</v>
      </c>
      <c r="X220" s="1">
        <f ca="1">IFERROR(INDEX(INDIRECT("Table3[Column"&amp;X$9&amp;"]"),MATCH($L220,Table3[[Company name]:[Company name]],0)),0)</f>
        <v>0</v>
      </c>
      <c r="Y220" s="1">
        <f ca="1">IFERROR(INDEX(INDIRECT("Table3[Column"&amp;Y$9&amp;"]"),MATCH($L220,Table3[[Company name]:[Company name]],0)),0)</f>
        <v>0</v>
      </c>
      <c r="Z220" s="1">
        <f ca="1">IFERROR(INDEX(INDIRECT("Table3[Column"&amp;Z$9&amp;"]"),MATCH($L220,Table3[[Company name]:[Company name]],0)),0)</f>
        <v>0</v>
      </c>
      <c r="AA220" s="1">
        <f ca="1">IFERROR(INDEX(INDIRECT("Table3[Column"&amp;AA$9&amp;"]"),MATCH($L220,Table3[[Company name]:[Company name]],0)),0)</f>
        <v>29700</v>
      </c>
      <c r="AB220" s="1">
        <f ca="1">IFERROR(INDEX(INDIRECT("Table3[Column"&amp;AB$9&amp;"]"),MATCH($L220,Table3[[Company name]:[Company name]],0)),0)</f>
        <v>10800</v>
      </c>
      <c r="AC220" s="1">
        <f ca="1">IFERROR(INDEX(INDIRECT("Table3[Column"&amp;AC$9&amp;"]"),MATCH($L220,Table3[[Company name]:[Company name]],0)),0)</f>
        <v>44100</v>
      </c>
      <c r="AD220" s="1">
        <f ca="1">IFERROR(INDEX(INDIRECT("Table3[Column"&amp;AD$9&amp;"]"),MATCH($L220,Table3[[Company name]:[Company name]],0)),0)</f>
        <v>36000</v>
      </c>
      <c r="AE220" s="1">
        <f ca="1">IFERROR(INDEX(INDIRECT("Table3[Column"&amp;AE$9&amp;"]"),MATCH($L220,Table3[[Company name]:[Company name]],0)),0)</f>
        <v>0</v>
      </c>
      <c r="AF220" s="1">
        <f ca="1">IFERROR(INDEX(INDIRECT("Table3[Column"&amp;AF$9&amp;"]"),MATCH($L220,Table3[[Company name]:[Company name]],0)),0)</f>
        <v>0</v>
      </c>
      <c r="AG220" s="1">
        <f ca="1">IFERROR(INDEX(INDIRECT("Table3[Column"&amp;AG$9&amp;"]"),MATCH($L220,Table3[[Company name]:[Company name]],0)),0)</f>
        <v>0</v>
      </c>
      <c r="AH220" s="1">
        <f ca="1">IFERROR(INDEX(INDIRECT("Table3[Column"&amp;AH$9&amp;"]"),MATCH($L220,Table3[[Company name]:[Company name]],0)),0)</f>
        <v>0</v>
      </c>
      <c r="AI220" s="1">
        <f t="shared" ca="1" si="21"/>
        <v>131400</v>
      </c>
      <c r="AK220" s="1">
        <f>IF(COUNTIFS($J$7:$J$510,Table7[[#Headers],[Industry Essentials]],$C$7:$C$510,$L220)&gt;0,0,MROUND(R220,100))</f>
        <v>0</v>
      </c>
      <c r="AL220" s="1">
        <f ca="1">IF(COUNTIFS($J$7:$J$510,Table7[[#Headers],[Energy Supply Market Intelligence]],$C$7:$C$510,$L220)&gt;0,0,MROUND(IFERROR(S220*($P220/$AI220),0),100))</f>
        <v>0</v>
      </c>
      <c r="AM220" s="1">
        <f ca="1">IF(COUNTIFS($J$7:$J$510,Table7[[#Headers],[Energy Supply RTM Analysis]],$C$7:$C$510,$L220)&gt;0,0,MROUND(IFERROR(T220*($P220/$AI220),0),100))</f>
        <v>0</v>
      </c>
      <c r="AN220" s="1">
        <f ca="1">IF(COUNTIFS($J$7:$J$510,Table7[[#Headers],[Energy Supply Forecasts]],$C$7:$C$510,$L220)&gt;0,0,MROUND(IFERROR(U220*($P220/$AI220),0),100))</f>
        <v>0</v>
      </c>
      <c r="AO220" s="1">
        <f ca="1">IF(COUNTIFS($J$7:$J$510,Table7[[#Headers],[Energy Supply Regulation]],$C$7:$C$510,$L220)&gt;0,0,MROUND(IFERROR(V220*($P220/$AI220),0),100))</f>
        <v>0</v>
      </c>
      <c r="AP220" s="1">
        <f ca="1">IF(COUNTIFS($J$7:$J$510,Table7[[#Headers],[Renewables Market Intelligence]],$C$7:$C$510,$L220)&gt;0,0,MROUND(IFERROR(W220*($P220/$AI220),0),100))</f>
        <v>0</v>
      </c>
      <c r="AQ220" s="1">
        <f ca="1">IF(COUNTIFS($J$7:$J$510,Table7[[#Headers],[Renewables RTM Analysis]],$C$7:$C$510,$L220)&gt;0,0,MROUND(IFERROR(X220*($P220/$AI220),0),100))</f>
        <v>0</v>
      </c>
      <c r="AR220" s="1">
        <f ca="1">IF(COUNTIFS($J$7:$J$510,Table7[[#Headers],[Renewables Forecasts]],$C$7:$C$510,$L220)&gt;0,0,MROUND(IFERROR(Y220*($P220/$AI220),0),100))</f>
        <v>0</v>
      </c>
      <c r="AS220" s="1">
        <f ca="1">IF(COUNTIFS($J$7:$J$510,Table7[[#Headers],[Renewables Regulation]],$C$7:$C$510,$L220)&gt;0,0,MROUND(IFERROR(Z220*($P220/$AI220),0),100))</f>
        <v>0</v>
      </c>
      <c r="AT220" s="1">
        <f ca="1">IF(COUNTIFS($J$7:$J$510,Table7[[#Headers],[Flexibility Market Intelligence]],$C$7:$C$510,$L220)&gt;0,0,MROUND(IFERROR(AA220*($P220/$AI220),0),100))</f>
        <v>1800</v>
      </c>
      <c r="AU220" s="1">
        <f ca="1">IF(COUNTIFS($J$7:$J$510,Table7[[#Headers],[Flexibility RTM Analysis]],$C$7:$C$510,$L220)&gt;0,0,MROUND(IFERROR(AB220*($P220/$AI220),0),100))</f>
        <v>700</v>
      </c>
      <c r="AV220" s="1">
        <f ca="1">IF(COUNTIFS($J$7:$J$510,Table7[[#Headers],[Flexibility Forecasts]],$C$7:$C$510,$L220)&gt;0,0,MROUND(IFERROR(AC220*($P220/$AI220),0),100))</f>
        <v>2700</v>
      </c>
      <c r="AW220" s="1">
        <f ca="1">IF(COUNTIFS($J$7:$J$510,Table7[[#Headers],[Flexibility Regulation]],$C$7:$C$510,$L220)&gt;0,0,MROUND(IFERROR(AD220*($P220/$AI220),0),100))</f>
        <v>2200</v>
      </c>
      <c r="AX220" s="1">
        <f ca="1">IF(COUNTIFS($J$7:$J$510,Table7[[#Headers],[Business Energy Essentials]],$C$7:$C$510,$L220)&gt;0,0,MROUND(IFERROR(AE220*($P220/$AI220),0),100))</f>
        <v>0</v>
      </c>
      <c r="AY220" s="1">
        <f ca="1">IF(COUNTIFS($J$7:$J$510,Table7[[#Headers],[Energy User RTM Analysis]],$C$7:$C$510,$L220)&gt;0,0,MROUND(IFERROR(AF220*($P220/$AI220),0),100))</f>
        <v>0</v>
      </c>
      <c r="AZ220" s="1">
        <f ca="1">IF(COUNTIFS($J$7:$J$510,Table7[[#Headers],[Energy User Forecasts]],$C$7:$C$510,$L220)&gt;0,0,MROUND(IFERROR(AG220*($P220/$AI220),0),100))</f>
        <v>0</v>
      </c>
      <c r="BA220" s="1">
        <f ca="1">IF(COUNTIFS($J$7:$J$510,Table7[[#Headers],[Energy User Regulation]],$C$7:$C$510,$L220)&gt;0,0,MROUND(IFERROR(AH220*($P220/$AI220),0),100))</f>
        <v>0</v>
      </c>
    </row>
    <row r="221" spans="2:53">
      <c r="B221" s="38" t="s">
        <v>2191</v>
      </c>
      <c r="C221" s="38" t="s">
        <v>260</v>
      </c>
      <c r="D221" s="38" t="s">
        <v>2034</v>
      </c>
      <c r="E221" s="38" t="s">
        <v>1864</v>
      </c>
      <c r="F221" s="63">
        <v>15067</v>
      </c>
      <c r="G221" s="38"/>
      <c r="H221" s="38" t="s">
        <v>191</v>
      </c>
      <c r="I221" s="38" t="s">
        <v>191</v>
      </c>
      <c r="J221" s="38" t="s">
        <v>27</v>
      </c>
      <c r="L221" s="1" t="str">
        <v>Wales and West Utilities Ltd</v>
      </c>
      <c r="M221" s="1" t="str">
        <f t="shared" si="17"/>
        <v>Energy User</v>
      </c>
      <c r="N221" s="109">
        <f t="shared" si="18"/>
        <v>19200</v>
      </c>
      <c r="O221" s="1">
        <f>IFERROR(IF(INDEX(Table3[[Total Spend]:[Total Spend]],MATCH(L221,Table3[[Company name]:[Company name]],0))&gt;N221,INDEX(Table3[[Total Spend]:[Total Spend]],MATCH(L221,Table3[[Company name]:[Company name]])),N221),50000)</f>
        <v>19200</v>
      </c>
      <c r="P221" s="109">
        <f t="shared" si="19"/>
        <v>19200</v>
      </c>
      <c r="Q221" s="103">
        <f t="shared" si="20"/>
        <v>1</v>
      </c>
      <c r="R221" s="1">
        <f ca="1">IFERROR(INDEX(INDIRECT("Table3[Column"&amp;R$9&amp;"]"),MATCH($L221,Table3[[Company name]:[Company name]],0)),0)</f>
        <v>10800</v>
      </c>
      <c r="S221" s="1">
        <f ca="1">IFERROR(INDEX(INDIRECT("Table3[Column"&amp;S$9&amp;"]"),MATCH($L221,Table3[[Company name]:[Company name]],0)),0)</f>
        <v>0</v>
      </c>
      <c r="T221" s="1">
        <f ca="1">IFERROR(INDEX(INDIRECT("Table3[Column"&amp;T$9&amp;"]"),MATCH($L221,Table3[[Company name]:[Company name]],0)),0)</f>
        <v>0</v>
      </c>
      <c r="U221" s="1">
        <f ca="1">IFERROR(INDEX(INDIRECT("Table3[Column"&amp;U$9&amp;"]"),MATCH($L221,Table3[[Company name]:[Company name]],0)),0)</f>
        <v>0</v>
      </c>
      <c r="V221" s="1">
        <f ca="1">IFERROR(INDEX(INDIRECT("Table3[Column"&amp;V$9&amp;"]"),MATCH($L221,Table3[[Company name]:[Company name]],0)),0)</f>
        <v>0</v>
      </c>
      <c r="W221" s="1">
        <f ca="1">IFERROR(INDEX(INDIRECT("Table3[Column"&amp;W$9&amp;"]"),MATCH($L221,Table3[[Company name]:[Company name]],0)),0)</f>
        <v>0</v>
      </c>
      <c r="X221" s="1">
        <f ca="1">IFERROR(INDEX(INDIRECT("Table3[Column"&amp;X$9&amp;"]"),MATCH($L221,Table3[[Company name]:[Company name]],0)),0)</f>
        <v>0</v>
      </c>
      <c r="Y221" s="1">
        <f ca="1">IFERROR(INDEX(INDIRECT("Table3[Column"&amp;Y$9&amp;"]"),MATCH($L221,Table3[[Company name]:[Company name]],0)),0)</f>
        <v>0</v>
      </c>
      <c r="Z221" s="1">
        <f ca="1">IFERROR(INDEX(INDIRECT("Table3[Column"&amp;Z$9&amp;"]"),MATCH($L221,Table3[[Company name]:[Company name]],0)),0)</f>
        <v>0</v>
      </c>
      <c r="AA221" s="1">
        <f ca="1">IFERROR(INDEX(INDIRECT("Table3[Column"&amp;AA$9&amp;"]"),MATCH($L221,Table3[[Company name]:[Company name]],0)),0)</f>
        <v>0</v>
      </c>
      <c r="AB221" s="1">
        <f ca="1">IFERROR(INDEX(INDIRECT("Table3[Column"&amp;AB$9&amp;"]"),MATCH($L221,Table3[[Company name]:[Company name]],0)),0)</f>
        <v>0</v>
      </c>
      <c r="AC221" s="1">
        <f ca="1">IFERROR(INDEX(INDIRECT("Table3[Column"&amp;AC$9&amp;"]"),MATCH($L221,Table3[[Company name]:[Company name]],0)),0)</f>
        <v>0</v>
      </c>
      <c r="AD221" s="1">
        <f ca="1">IFERROR(INDEX(INDIRECT("Table3[Column"&amp;AD$9&amp;"]"),MATCH($L221,Table3[[Company name]:[Company name]],0)),0)</f>
        <v>0</v>
      </c>
      <c r="AE221" s="1">
        <f ca="1">IFERROR(INDEX(INDIRECT("Table3[Column"&amp;AE$9&amp;"]"),MATCH($L221,Table3[[Company name]:[Company name]],0)),0)</f>
        <v>0</v>
      </c>
      <c r="AF221" s="1">
        <f ca="1">IFERROR(INDEX(INDIRECT("Table3[Column"&amp;AF$9&amp;"]"),MATCH($L221,Table3[[Company name]:[Company name]],0)),0)</f>
        <v>0</v>
      </c>
      <c r="AG221" s="1">
        <f ca="1">IFERROR(INDEX(INDIRECT("Table3[Column"&amp;AG$9&amp;"]"),MATCH($L221,Table3[[Company name]:[Company name]],0)),0)</f>
        <v>0</v>
      </c>
      <c r="AH221" s="1">
        <f ca="1">IFERROR(INDEX(INDIRECT("Table3[Column"&amp;AH$9&amp;"]"),MATCH($L221,Table3[[Company name]:[Company name]],0)),0)</f>
        <v>0</v>
      </c>
      <c r="AI221" s="1">
        <f t="shared" ca="1" si="21"/>
        <v>10800</v>
      </c>
      <c r="AK221" s="1">
        <f>IF(COUNTIFS($J$7:$J$510,Table7[[#Headers],[Industry Essentials]],$C$7:$C$510,$L221)&gt;0,0,MROUND(R221,100))</f>
        <v>0</v>
      </c>
      <c r="AL221" s="1">
        <f ca="1">IF(COUNTIFS($J$7:$J$510,Table7[[#Headers],[Energy Supply Market Intelligence]],$C$7:$C$510,$L221)&gt;0,0,MROUND(IFERROR(S221*($P221/$AI221),0),100))</f>
        <v>0</v>
      </c>
      <c r="AM221" s="1">
        <f ca="1">IF(COUNTIFS($J$7:$J$510,Table7[[#Headers],[Energy Supply RTM Analysis]],$C$7:$C$510,$L221)&gt;0,0,MROUND(IFERROR(T221*($P221/$AI221),0),100))</f>
        <v>0</v>
      </c>
      <c r="AN221" s="1">
        <f ca="1">IF(COUNTIFS($J$7:$J$510,Table7[[#Headers],[Energy Supply Forecasts]],$C$7:$C$510,$L221)&gt;0,0,MROUND(IFERROR(U221*($P221/$AI221),0),100))</f>
        <v>0</v>
      </c>
      <c r="AO221" s="1">
        <f ca="1">IF(COUNTIFS($J$7:$J$510,Table7[[#Headers],[Energy Supply Regulation]],$C$7:$C$510,$L221)&gt;0,0,MROUND(IFERROR(V221*($P221/$AI221),0),100))</f>
        <v>0</v>
      </c>
      <c r="AP221" s="1">
        <f ca="1">IF(COUNTIFS($J$7:$J$510,Table7[[#Headers],[Renewables Market Intelligence]],$C$7:$C$510,$L221)&gt;0,0,MROUND(IFERROR(W221*($P221/$AI221),0),100))</f>
        <v>0</v>
      </c>
      <c r="AQ221" s="1">
        <f ca="1">IF(COUNTIFS($J$7:$J$510,Table7[[#Headers],[Renewables RTM Analysis]],$C$7:$C$510,$L221)&gt;0,0,MROUND(IFERROR(X221*($P221/$AI221),0),100))</f>
        <v>0</v>
      </c>
      <c r="AR221" s="1">
        <f ca="1">IF(COUNTIFS($J$7:$J$510,Table7[[#Headers],[Renewables Forecasts]],$C$7:$C$510,$L221)&gt;0,0,MROUND(IFERROR(Y221*($P221/$AI221),0),100))</f>
        <v>0</v>
      </c>
      <c r="AS221" s="1">
        <f ca="1">IF(COUNTIFS($J$7:$J$510,Table7[[#Headers],[Renewables Regulation]],$C$7:$C$510,$L221)&gt;0,0,MROUND(IFERROR(Z221*($P221/$AI221),0),100))</f>
        <v>0</v>
      </c>
      <c r="AT221" s="1">
        <f ca="1">IF(COUNTIFS($J$7:$J$510,Table7[[#Headers],[Flexibility Market Intelligence]],$C$7:$C$510,$L221)&gt;0,0,MROUND(IFERROR(AA221*($P221/$AI221),0),100))</f>
        <v>0</v>
      </c>
      <c r="AU221" s="1">
        <f ca="1">IF(COUNTIFS($J$7:$J$510,Table7[[#Headers],[Flexibility RTM Analysis]],$C$7:$C$510,$L221)&gt;0,0,MROUND(IFERROR(AB221*($P221/$AI221),0),100))</f>
        <v>0</v>
      </c>
      <c r="AV221" s="1">
        <f ca="1">IF(COUNTIFS($J$7:$J$510,Table7[[#Headers],[Flexibility Forecasts]],$C$7:$C$510,$L221)&gt;0,0,MROUND(IFERROR(AC221*($P221/$AI221),0),100))</f>
        <v>0</v>
      </c>
      <c r="AW221" s="1">
        <f ca="1">IF(COUNTIFS($J$7:$J$510,Table7[[#Headers],[Flexibility Regulation]],$C$7:$C$510,$L221)&gt;0,0,MROUND(IFERROR(AD221*($P221/$AI221),0),100))</f>
        <v>0</v>
      </c>
      <c r="AX221" s="1">
        <f ca="1">IF(COUNTIFS($J$7:$J$510,Table7[[#Headers],[Business Energy Essentials]],$C$7:$C$510,$L221)&gt;0,0,MROUND(IFERROR(AE221*($P221/$AI221),0),100))</f>
        <v>0</v>
      </c>
      <c r="AY221" s="1">
        <f ca="1">IF(COUNTIFS($J$7:$J$510,Table7[[#Headers],[Energy User RTM Analysis]],$C$7:$C$510,$L221)&gt;0,0,MROUND(IFERROR(AF221*($P221/$AI221),0),100))</f>
        <v>0</v>
      </c>
      <c r="AZ221" s="1">
        <f ca="1">IF(COUNTIFS($J$7:$J$510,Table7[[#Headers],[Energy User Forecasts]],$C$7:$C$510,$L221)&gt;0,0,MROUND(IFERROR(AG221*($P221/$AI221),0),100))</f>
        <v>0</v>
      </c>
      <c r="BA221" s="1">
        <f>IF(COUNTIFS($J$7:$J$510,Table7[[#Headers],[Energy User Regulation]],$C$7:$C$510,$L221)&gt;0,0,MROUND(IFERROR(AH221*($P221/$AI221),0),100))</f>
        <v>0</v>
      </c>
    </row>
    <row r="222" spans="2:53">
      <c r="B222" s="38" t="s">
        <v>2191</v>
      </c>
      <c r="C222" s="38" t="s">
        <v>260</v>
      </c>
      <c r="D222" s="38" t="s">
        <v>2083</v>
      </c>
      <c r="E222" s="38" t="s">
        <v>1829</v>
      </c>
      <c r="F222" s="63">
        <v>15067</v>
      </c>
      <c r="G222" s="38"/>
      <c r="H222" s="38" t="s">
        <v>191</v>
      </c>
      <c r="I222" s="38" t="s">
        <v>191</v>
      </c>
      <c r="J222" s="38" t="s">
        <v>35</v>
      </c>
      <c r="L222" s="1" t="str">
        <v>Warwick Energy</v>
      </c>
      <c r="M222" s="1" t="str">
        <f t="shared" si="17"/>
        <v>Renewables</v>
      </c>
      <c r="N222" s="109">
        <f t="shared" si="18"/>
        <v>2000</v>
      </c>
      <c r="O222" s="1">
        <f>IFERROR(IF(INDEX(Table3[[Total Spend]:[Total Spend]],MATCH(L222,Table3[[Company name]:[Company name]],0))&gt;N222,INDEX(Table3[[Total Spend]:[Total Spend]],MATCH(L222,Table3[[Company name]:[Company name]])),N222),50000)</f>
        <v>10000</v>
      </c>
      <c r="P222" s="109">
        <f t="shared" si="19"/>
        <v>8000</v>
      </c>
      <c r="Q222" s="103">
        <f t="shared" si="20"/>
        <v>0.2</v>
      </c>
      <c r="R222" s="1">
        <f ca="1">IFERROR(INDEX(INDIRECT("Table3[Column"&amp;R$9&amp;"]"),MATCH($L222,Table3[[Company name]:[Company name]],0)),0)</f>
        <v>8100</v>
      </c>
      <c r="S222" s="1">
        <f ca="1">IFERROR(INDEX(INDIRECT("Table3[Column"&amp;S$9&amp;"]"),MATCH($L222,Table3[[Company name]:[Company name]],0)),0)</f>
        <v>0</v>
      </c>
      <c r="T222" s="1">
        <f ca="1">IFERROR(INDEX(INDIRECT("Table3[Column"&amp;T$9&amp;"]"),MATCH($L222,Table3[[Company name]:[Company name]],0)),0)</f>
        <v>0</v>
      </c>
      <c r="U222" s="1">
        <f ca="1">IFERROR(INDEX(INDIRECT("Table3[Column"&amp;U$9&amp;"]"),MATCH($L222,Table3[[Company name]:[Company name]],0)),0)</f>
        <v>0</v>
      </c>
      <c r="V222" s="1">
        <f ca="1">IFERROR(INDEX(INDIRECT("Table3[Column"&amp;V$9&amp;"]"),MATCH($L222,Table3[[Company name]:[Company name]],0)),0)</f>
        <v>0</v>
      </c>
      <c r="W222" s="1">
        <f ca="1">IFERROR(INDEX(INDIRECT("Table3[Column"&amp;W$9&amp;"]"),MATCH($L222,Table3[[Company name]:[Company name]],0)),0)</f>
        <v>17100</v>
      </c>
      <c r="X222" s="1">
        <f ca="1">IFERROR(INDEX(INDIRECT("Table3[Column"&amp;X$9&amp;"]"),MATCH($L222,Table3[[Company name]:[Company name]],0)),0)</f>
        <v>15300</v>
      </c>
      <c r="Y222" s="1">
        <f ca="1">IFERROR(INDEX(INDIRECT("Table3[Column"&amp;Y$9&amp;"]"),MATCH($L222,Table3[[Company name]:[Company name]],0)),0)</f>
        <v>42300</v>
      </c>
      <c r="Z222" s="1">
        <f ca="1">IFERROR(INDEX(INDIRECT("Table3[Column"&amp;Z$9&amp;"]"),MATCH($L222,Table3[[Company name]:[Company name]],0)),0)</f>
        <v>18900</v>
      </c>
      <c r="AA222" s="1">
        <f ca="1">IFERROR(INDEX(INDIRECT("Table3[Column"&amp;AA$9&amp;"]"),MATCH($L222,Table3[[Company name]:[Company name]],0)),0)</f>
        <v>21600</v>
      </c>
      <c r="AB222" s="1">
        <f ca="1">IFERROR(INDEX(INDIRECT("Table3[Column"&amp;AB$9&amp;"]"),MATCH($L222,Table3[[Company name]:[Company name]],0)),0)</f>
        <v>7650</v>
      </c>
      <c r="AC222" s="1">
        <f ca="1">IFERROR(INDEX(INDIRECT("Table3[Column"&amp;AC$9&amp;"]"),MATCH($L222,Table3[[Company name]:[Company name]],0)),0)</f>
        <v>31500</v>
      </c>
      <c r="AD222" s="1">
        <f ca="1">IFERROR(INDEX(INDIRECT("Table3[Column"&amp;AD$9&amp;"]"),MATCH($L222,Table3[[Company name]:[Company name]],0)),0)</f>
        <v>25200</v>
      </c>
      <c r="AE222" s="1">
        <f ca="1">IFERROR(INDEX(INDIRECT("Table3[Column"&amp;AE$9&amp;"]"),MATCH($L222,Table3[[Company name]:[Company name]],0)),0)</f>
        <v>0</v>
      </c>
      <c r="AF222" s="1">
        <f ca="1">IFERROR(INDEX(INDIRECT("Table3[Column"&amp;AF$9&amp;"]"),MATCH($L222,Table3[[Company name]:[Company name]],0)),0)</f>
        <v>0</v>
      </c>
      <c r="AG222" s="1">
        <f ca="1">IFERROR(INDEX(INDIRECT("Table3[Column"&amp;AG$9&amp;"]"),MATCH($L222,Table3[[Company name]:[Company name]],0)),0)</f>
        <v>0</v>
      </c>
      <c r="AH222" s="1">
        <f ca="1">IFERROR(INDEX(INDIRECT("Table3[Column"&amp;AH$9&amp;"]"),MATCH($L222,Table3[[Company name]:[Company name]],0)),0)</f>
        <v>0</v>
      </c>
      <c r="AI222" s="1">
        <f t="shared" ca="1" si="21"/>
        <v>187650</v>
      </c>
      <c r="AK222" s="1">
        <f>IF(COUNTIFS($J$7:$J$510,Table7[[#Headers],[Industry Essentials]],$C$7:$C$510,$L222)&gt;0,0,MROUND(R222,100))</f>
        <v>0</v>
      </c>
      <c r="AL222" s="1">
        <f ca="1">IF(COUNTIFS($J$7:$J$510,Table7[[#Headers],[Energy Supply Market Intelligence]],$C$7:$C$510,$L222)&gt;0,0,MROUND(IFERROR(S222*($P222/$AI222),0),100))</f>
        <v>0</v>
      </c>
      <c r="AM222" s="1">
        <f ca="1">IF(COUNTIFS($J$7:$J$510,Table7[[#Headers],[Energy Supply RTM Analysis]],$C$7:$C$510,$L222)&gt;0,0,MROUND(IFERROR(T222*($P222/$AI222),0),100))</f>
        <v>0</v>
      </c>
      <c r="AN222" s="1">
        <f ca="1">IF(COUNTIFS($J$7:$J$510,Table7[[#Headers],[Energy Supply Forecasts]],$C$7:$C$510,$L222)&gt;0,0,MROUND(IFERROR(U222*($P222/$AI222),0),100))</f>
        <v>0</v>
      </c>
      <c r="AO222" s="1">
        <f ca="1">IF(COUNTIFS($J$7:$J$510,Table7[[#Headers],[Energy Supply Regulation]],$C$7:$C$510,$L222)&gt;0,0,MROUND(IFERROR(V222*($P222/$AI222),0),100))</f>
        <v>0</v>
      </c>
      <c r="AP222" s="1">
        <f ca="1">IF(COUNTIFS($J$7:$J$510,Table7[[#Headers],[Renewables Market Intelligence]],$C$7:$C$510,$L222)&gt;0,0,MROUND(IFERROR(W222*($P222/$AI222),0),100))</f>
        <v>700</v>
      </c>
      <c r="AQ222" s="1">
        <f ca="1">IF(COUNTIFS($J$7:$J$510,Table7[[#Headers],[Renewables RTM Analysis]],$C$7:$C$510,$L222)&gt;0,0,MROUND(IFERROR(X222*($P222/$AI222),0),100))</f>
        <v>700</v>
      </c>
      <c r="AR222" s="1">
        <f ca="1">IF(COUNTIFS($J$7:$J$510,Table7[[#Headers],[Renewables Forecasts]],$C$7:$C$510,$L222)&gt;0,0,MROUND(IFERROR(Y222*($P222/$AI222),0),100))</f>
        <v>1800</v>
      </c>
      <c r="AS222" s="1">
        <f ca="1">IF(COUNTIFS($J$7:$J$510,Table7[[#Headers],[Renewables Regulation]],$C$7:$C$510,$L222)&gt;0,0,MROUND(IFERROR(Z222*($P222/$AI222),0),100))</f>
        <v>800</v>
      </c>
      <c r="AT222" s="1">
        <f ca="1">IF(COUNTIFS($J$7:$J$510,Table7[[#Headers],[Flexibility Market Intelligence]],$C$7:$C$510,$L222)&gt;0,0,MROUND(IFERROR(AA222*($P222/$AI222),0),100))</f>
        <v>900</v>
      </c>
      <c r="AU222" s="1">
        <f ca="1">IF(COUNTIFS($J$7:$J$510,Table7[[#Headers],[Flexibility RTM Analysis]],$C$7:$C$510,$L222)&gt;0,0,MROUND(IFERROR(AB222*($P222/$AI222),0),100))</f>
        <v>300</v>
      </c>
      <c r="AV222" s="1">
        <f ca="1">IF(COUNTIFS($J$7:$J$510,Table7[[#Headers],[Flexibility Forecasts]],$C$7:$C$510,$L222)&gt;0,0,MROUND(IFERROR(AC222*($P222/$AI222),0),100))</f>
        <v>1300</v>
      </c>
      <c r="AW222" s="1">
        <f ca="1">IF(COUNTIFS($J$7:$J$510,Table7[[#Headers],[Flexibility Regulation]],$C$7:$C$510,$L222)&gt;0,0,MROUND(IFERROR(AD222*($P222/$AI222),0),100))</f>
        <v>1100</v>
      </c>
      <c r="AX222" s="1">
        <f ca="1">IF(COUNTIFS($J$7:$J$510,Table7[[#Headers],[Business Energy Essentials]],$C$7:$C$510,$L222)&gt;0,0,MROUND(IFERROR(AE222*($P222/$AI222),0),100))</f>
        <v>0</v>
      </c>
      <c r="AY222" s="1">
        <f ca="1">IF(COUNTIFS($J$7:$J$510,Table7[[#Headers],[Energy User RTM Analysis]],$C$7:$C$510,$L222)&gt;0,0,MROUND(IFERROR(AF222*($P222/$AI222),0),100))</f>
        <v>0</v>
      </c>
      <c r="AZ222" s="1">
        <f ca="1">IF(COUNTIFS($J$7:$J$510,Table7[[#Headers],[Energy User Forecasts]],$C$7:$C$510,$L222)&gt;0,0,MROUND(IFERROR(AG222*($P222/$AI222),0),100))</f>
        <v>0</v>
      </c>
      <c r="BA222" s="1">
        <f ca="1">IF(COUNTIFS($J$7:$J$510,Table7[[#Headers],[Energy User Regulation]],$C$7:$C$510,$L222)&gt;0,0,MROUND(IFERROR(AH222*($P222/$AI222),0),100))</f>
        <v>0</v>
      </c>
    </row>
    <row r="223" spans="2:53">
      <c r="B223" s="38" t="s">
        <v>2192</v>
      </c>
      <c r="C223" s="38" t="s">
        <v>129</v>
      </c>
      <c r="D223" s="38" t="s">
        <v>2034</v>
      </c>
      <c r="E223" s="38" t="s">
        <v>1864</v>
      </c>
      <c r="F223" s="63">
        <v>17550</v>
      </c>
      <c r="G223" s="38"/>
      <c r="H223" s="38" t="s">
        <v>2031</v>
      </c>
      <c r="I223" s="38" t="s">
        <v>2031</v>
      </c>
      <c r="J223" s="38" t="s">
        <v>27</v>
      </c>
      <c r="L223" s="1" t="str">
        <v>West Mercia Energy</v>
      </c>
      <c r="M223" s="1" t="str">
        <f t="shared" si="17"/>
        <v>Supply</v>
      </c>
      <c r="N223" s="109">
        <f t="shared" si="18"/>
        <v>11900</v>
      </c>
      <c r="O223" s="1">
        <f>IFERROR(IF(INDEX(Table3[[Total Spend]:[Total Spend]],MATCH(L223,Table3[[Company name]:[Company name]],0))&gt;N223,INDEX(Table3[[Total Spend]:[Total Spend]],MATCH(L223,Table3[[Company name]:[Company name]])),N223),50000)</f>
        <v>11900</v>
      </c>
      <c r="P223" s="109">
        <f t="shared" si="19"/>
        <v>11900</v>
      </c>
      <c r="Q223" s="103">
        <f t="shared" si="20"/>
        <v>1</v>
      </c>
      <c r="R223" s="1">
        <f ca="1">IFERROR(INDEX(INDIRECT("Table3[Column"&amp;R$9&amp;"]"),MATCH($L223,Table3[[Company name]:[Company name]],0)),0)</f>
        <v>8100</v>
      </c>
      <c r="S223" s="1">
        <f ca="1">IFERROR(INDEX(INDIRECT("Table3[Column"&amp;S$9&amp;"]"),MATCH($L223,Table3[[Company name]:[Company name]],0)),0)</f>
        <v>30600</v>
      </c>
      <c r="T223" s="1">
        <f ca="1">IFERROR(INDEX(INDIRECT("Table3[Column"&amp;T$9&amp;"]"),MATCH($L223,Table3[[Company name]:[Company name]],0)),0)</f>
        <v>53100</v>
      </c>
      <c r="U223" s="1">
        <f ca="1">IFERROR(INDEX(INDIRECT("Table3[Column"&amp;U$9&amp;"]"),MATCH($L223,Table3[[Company name]:[Company name]],0)),0)</f>
        <v>34200</v>
      </c>
      <c r="V223" s="1">
        <f ca="1">IFERROR(INDEX(INDIRECT("Table3[Column"&amp;V$9&amp;"]"),MATCH($L223,Table3[[Company name]:[Company name]],0)),0)</f>
        <v>0</v>
      </c>
      <c r="W223" s="1">
        <f ca="1">IFERROR(INDEX(INDIRECT("Table3[Column"&amp;W$9&amp;"]"),MATCH($L223,Table3[[Company name]:[Company name]],0)),0)</f>
        <v>0</v>
      </c>
      <c r="X223" s="1">
        <f ca="1">IFERROR(INDEX(INDIRECT("Table3[Column"&amp;X$9&amp;"]"),MATCH($L223,Table3[[Company name]:[Company name]],0)),0)</f>
        <v>0</v>
      </c>
      <c r="Y223" s="1">
        <f ca="1">IFERROR(INDEX(INDIRECT("Table3[Column"&amp;Y$9&amp;"]"),MATCH($L223,Table3[[Company name]:[Company name]],0)),0)</f>
        <v>0</v>
      </c>
      <c r="Z223" s="1">
        <f ca="1">IFERROR(INDEX(INDIRECT("Table3[Column"&amp;Z$9&amp;"]"),MATCH($L223,Table3[[Company name]:[Company name]],0)),0)</f>
        <v>0</v>
      </c>
      <c r="AA223" s="1">
        <f ca="1">IFERROR(INDEX(INDIRECT("Table3[Column"&amp;AA$9&amp;"]"),MATCH($L223,Table3[[Company name]:[Company name]],0)),0)</f>
        <v>0</v>
      </c>
      <c r="AB223" s="1">
        <f ca="1">IFERROR(INDEX(INDIRECT("Table3[Column"&amp;AB$9&amp;"]"),MATCH($L223,Table3[[Company name]:[Company name]],0)),0)</f>
        <v>0</v>
      </c>
      <c r="AC223" s="1">
        <f ca="1">IFERROR(INDEX(INDIRECT("Table3[Column"&amp;AC$9&amp;"]"),MATCH($L223,Table3[[Company name]:[Company name]],0)),0)</f>
        <v>0</v>
      </c>
      <c r="AD223" s="1">
        <f ca="1">IFERROR(INDEX(INDIRECT("Table3[Column"&amp;AD$9&amp;"]"),MATCH($L223,Table3[[Company name]:[Company name]],0)),0)</f>
        <v>0</v>
      </c>
      <c r="AE223" s="1">
        <f ca="1">IFERROR(INDEX(INDIRECT("Table3[Column"&amp;AE$9&amp;"]"),MATCH($L223,Table3[[Company name]:[Company name]],0)),0)</f>
        <v>0</v>
      </c>
      <c r="AF223" s="1">
        <f ca="1">IFERROR(INDEX(INDIRECT("Table3[Column"&amp;AF$9&amp;"]"),MATCH($L223,Table3[[Company name]:[Company name]],0)),0)</f>
        <v>11250</v>
      </c>
      <c r="AG223" s="1">
        <f ca="1">IFERROR(INDEX(INDIRECT("Table3[Column"&amp;AG$9&amp;"]"),MATCH($L223,Table3[[Company name]:[Company name]],0)),0)</f>
        <v>0</v>
      </c>
      <c r="AH223" s="1">
        <f ca="1">IFERROR(INDEX(INDIRECT("Table3[Column"&amp;AH$9&amp;"]"),MATCH($L223,Table3[[Company name]:[Company name]],0)),0)</f>
        <v>0</v>
      </c>
      <c r="AI223" s="1">
        <f t="shared" ca="1" si="21"/>
        <v>137250</v>
      </c>
      <c r="AK223" s="1">
        <f ca="1">IF(COUNTIFS($J$7:$J$510,Table7[[#Headers],[Industry Essentials]],$C$7:$C$510,$L223)&gt;0,0,MROUND(R223,100))</f>
        <v>8100</v>
      </c>
      <c r="AL223" s="1">
        <f ca="1">IF(COUNTIFS($J$7:$J$510,Table7[[#Headers],[Energy Supply Market Intelligence]],$C$7:$C$510,$L223)&gt;0,0,MROUND(IFERROR(S223*($P223/$AI223),0),100))</f>
        <v>2700</v>
      </c>
      <c r="AM223" s="1">
        <f ca="1">IF(COUNTIFS($J$7:$J$510,Table7[[#Headers],[Energy Supply RTM Analysis]],$C$7:$C$510,$L223)&gt;0,0,MROUND(IFERROR(T223*($P223/$AI223),0),100))</f>
        <v>4600</v>
      </c>
      <c r="AN223" s="1">
        <f>IF(COUNTIFS($J$7:$J$510,Table7[[#Headers],[Energy Supply Forecasts]],$C$7:$C$510,$L223)&gt;0,0,MROUND(IFERROR(U223*($P223/$AI223),0),100))</f>
        <v>0</v>
      </c>
      <c r="AO223" s="1">
        <f ca="1">IF(COUNTIFS($J$7:$J$510,Table7[[#Headers],[Energy Supply Regulation]],$C$7:$C$510,$L223)&gt;0,0,MROUND(IFERROR(V223*($P223/$AI223),0),100))</f>
        <v>0</v>
      </c>
      <c r="AP223" s="1">
        <f ca="1">IF(COUNTIFS($J$7:$J$510,Table7[[#Headers],[Renewables Market Intelligence]],$C$7:$C$510,$L223)&gt;0,0,MROUND(IFERROR(W223*($P223/$AI223),0),100))</f>
        <v>0</v>
      </c>
      <c r="AQ223" s="1">
        <f ca="1">IF(COUNTIFS($J$7:$J$510,Table7[[#Headers],[Renewables RTM Analysis]],$C$7:$C$510,$L223)&gt;0,0,MROUND(IFERROR(X223*($P223/$AI223),0),100))</f>
        <v>0</v>
      </c>
      <c r="AR223" s="1">
        <f ca="1">IF(COUNTIFS($J$7:$J$510,Table7[[#Headers],[Renewables Forecasts]],$C$7:$C$510,$L223)&gt;0,0,MROUND(IFERROR(Y223*($P223/$AI223),0),100))</f>
        <v>0</v>
      </c>
      <c r="AS223" s="1">
        <f ca="1">IF(COUNTIFS($J$7:$J$510,Table7[[#Headers],[Renewables Regulation]],$C$7:$C$510,$L223)&gt;0,0,MROUND(IFERROR(Z223*($P223/$AI223),0),100))</f>
        <v>0</v>
      </c>
      <c r="AT223" s="1">
        <f ca="1">IF(COUNTIFS($J$7:$J$510,Table7[[#Headers],[Flexibility Market Intelligence]],$C$7:$C$510,$L223)&gt;0,0,MROUND(IFERROR(AA223*($P223/$AI223),0),100))</f>
        <v>0</v>
      </c>
      <c r="AU223" s="1">
        <f ca="1">IF(COUNTIFS($J$7:$J$510,Table7[[#Headers],[Flexibility RTM Analysis]],$C$7:$C$510,$L223)&gt;0,0,MROUND(IFERROR(AB223*($P223/$AI223),0),100))</f>
        <v>0</v>
      </c>
      <c r="AV223" s="1">
        <f ca="1">IF(COUNTIFS($J$7:$J$510,Table7[[#Headers],[Flexibility Forecasts]],$C$7:$C$510,$L223)&gt;0,0,MROUND(IFERROR(AC223*($P223/$AI223),0),100))</f>
        <v>0</v>
      </c>
      <c r="AW223" s="1">
        <f ca="1">IF(COUNTIFS($J$7:$J$510,Table7[[#Headers],[Flexibility Regulation]],$C$7:$C$510,$L223)&gt;0,0,MROUND(IFERROR(AD223*($P223/$AI223),0),100))</f>
        <v>0</v>
      </c>
      <c r="AX223" s="1">
        <f ca="1">IF(COUNTIFS($J$7:$J$510,Table7[[#Headers],[Business Energy Essentials]],$C$7:$C$510,$L223)&gt;0,0,MROUND(IFERROR(AE223*($P223/$AI223),0),100))</f>
        <v>0</v>
      </c>
      <c r="AY223" s="1">
        <f ca="1">IF(COUNTIFS($J$7:$J$510,Table7[[#Headers],[Energy User RTM Analysis]],$C$7:$C$510,$L223)&gt;0,0,MROUND(IFERROR(AF223*($P223/$AI223),0),100))</f>
        <v>1000</v>
      </c>
      <c r="AZ223" s="1">
        <f ca="1">IF(COUNTIFS($J$7:$J$510,Table7[[#Headers],[Energy User Forecasts]],$C$7:$C$510,$L223)&gt;0,0,MROUND(IFERROR(AG223*($P223/$AI223),0),100))</f>
        <v>0</v>
      </c>
      <c r="BA223" s="1">
        <f ca="1">IF(COUNTIFS($J$7:$J$510,Table7[[#Headers],[Energy User Regulation]],$C$7:$C$510,$L223)&gt;0,0,MROUND(IFERROR(AH223*($P223/$AI223),0),100))</f>
        <v>0</v>
      </c>
    </row>
    <row r="224" spans="2:53">
      <c r="B224" s="38" t="s">
        <v>2192</v>
      </c>
      <c r="C224" s="38" t="s">
        <v>129</v>
      </c>
      <c r="D224" s="38" t="s">
        <v>2059</v>
      </c>
      <c r="E224" s="38" t="s">
        <v>1808</v>
      </c>
      <c r="F224" s="63">
        <v>4315</v>
      </c>
      <c r="G224" s="38"/>
      <c r="H224" s="38" t="s">
        <v>2031</v>
      </c>
      <c r="I224" s="38" t="s">
        <v>1702</v>
      </c>
      <c r="J224" s="38" t="s">
        <v>25</v>
      </c>
      <c r="L224" s="1" t="str">
        <v>West of England Combined Authority</v>
      </c>
      <c r="M224" s="1" t="str">
        <f t="shared" si="17"/>
        <v>Energy User</v>
      </c>
      <c r="N224" s="109">
        <f t="shared" si="18"/>
        <v>18487</v>
      </c>
      <c r="O224" s="1">
        <f>IFERROR(IF(INDEX(Table3[[Total Spend]:[Total Spend]],MATCH(L224,Table3[[Company name]:[Company name]],0))&gt;N224,INDEX(Table3[[Total Spend]:[Total Spend]],MATCH(L224,Table3[[Company name]:[Company name]])),N224),50000)</f>
        <v>18487</v>
      </c>
      <c r="P224" s="109">
        <f t="shared" si="19"/>
        <v>18487</v>
      </c>
      <c r="Q224" s="103">
        <f t="shared" si="20"/>
        <v>1</v>
      </c>
      <c r="R224" s="1">
        <f ca="1">IFERROR(INDEX(INDIRECT("Table3[Column"&amp;R$9&amp;"]"),MATCH($L224,Table3[[Company name]:[Company name]],0)),0)</f>
        <v>0</v>
      </c>
      <c r="S224" s="1">
        <f ca="1">IFERROR(INDEX(INDIRECT("Table3[Column"&amp;S$9&amp;"]"),MATCH($L224,Table3[[Company name]:[Company name]],0)),0)</f>
        <v>0</v>
      </c>
      <c r="T224" s="1">
        <f ca="1">IFERROR(INDEX(INDIRECT("Table3[Column"&amp;T$9&amp;"]"),MATCH($L224,Table3[[Company name]:[Company name]],0)),0)</f>
        <v>0</v>
      </c>
      <c r="U224" s="1">
        <f ca="1">IFERROR(INDEX(INDIRECT("Table3[Column"&amp;U$9&amp;"]"),MATCH($L224,Table3[[Company name]:[Company name]],0)),0)</f>
        <v>0</v>
      </c>
      <c r="V224" s="1">
        <f ca="1">IFERROR(INDEX(INDIRECT("Table3[Column"&amp;V$9&amp;"]"),MATCH($L224,Table3[[Company name]:[Company name]],0)),0)</f>
        <v>0</v>
      </c>
      <c r="W224" s="1">
        <f ca="1">IFERROR(INDEX(INDIRECT("Table3[Column"&amp;W$9&amp;"]"),MATCH($L224,Table3[[Company name]:[Company name]],0)),0)</f>
        <v>0</v>
      </c>
      <c r="X224" s="1">
        <f ca="1">IFERROR(INDEX(INDIRECT("Table3[Column"&amp;X$9&amp;"]"),MATCH($L224,Table3[[Company name]:[Company name]],0)),0)</f>
        <v>0</v>
      </c>
      <c r="Y224" s="1">
        <f ca="1">IFERROR(INDEX(INDIRECT("Table3[Column"&amp;Y$9&amp;"]"),MATCH($L224,Table3[[Company name]:[Company name]],0)),0)</f>
        <v>0</v>
      </c>
      <c r="Z224" s="1">
        <f ca="1">IFERROR(INDEX(INDIRECT("Table3[Column"&amp;Z$9&amp;"]"),MATCH($L224,Table3[[Company name]:[Company name]],0)),0)</f>
        <v>0</v>
      </c>
      <c r="AA224" s="1">
        <f ca="1">IFERROR(INDEX(INDIRECT("Table3[Column"&amp;AA$9&amp;"]"),MATCH($L224,Table3[[Company name]:[Company name]],0)),0)</f>
        <v>0</v>
      </c>
      <c r="AB224" s="1">
        <f ca="1">IFERROR(INDEX(INDIRECT("Table3[Column"&amp;AB$9&amp;"]"),MATCH($L224,Table3[[Company name]:[Company name]],0)),0)</f>
        <v>0</v>
      </c>
      <c r="AC224" s="1">
        <f ca="1">IFERROR(INDEX(INDIRECT("Table3[Column"&amp;AC$9&amp;"]"),MATCH($L224,Table3[[Company name]:[Company name]],0)),0)</f>
        <v>0</v>
      </c>
      <c r="AD224" s="1">
        <f ca="1">IFERROR(INDEX(INDIRECT("Table3[Column"&amp;AD$9&amp;"]"),MATCH($L224,Table3[[Company name]:[Company name]],0)),0)</f>
        <v>0</v>
      </c>
      <c r="AE224" s="1">
        <f ca="1">IFERROR(INDEX(INDIRECT("Table3[Column"&amp;AE$9&amp;"]"),MATCH($L224,Table3[[Company name]:[Company name]],0)),0)</f>
        <v>10800</v>
      </c>
      <c r="AF224" s="1">
        <f ca="1">IFERROR(INDEX(INDIRECT("Table3[Column"&amp;AF$9&amp;"]"),MATCH($L224,Table3[[Company name]:[Company name]],0)),0)</f>
        <v>11250</v>
      </c>
      <c r="AG224" s="1">
        <f ca="1">IFERROR(INDEX(INDIRECT("Table3[Column"&amp;AG$9&amp;"]"),MATCH($L224,Table3[[Company name]:[Company name]],0)),0)</f>
        <v>19800</v>
      </c>
      <c r="AH224" s="1">
        <f ca="1">IFERROR(INDEX(INDIRECT("Table3[Column"&amp;AH$9&amp;"]"),MATCH($L224,Table3[[Company name]:[Company name]],0)),0)</f>
        <v>4500</v>
      </c>
      <c r="AI224" s="1">
        <f t="shared" ca="1" si="21"/>
        <v>46350</v>
      </c>
      <c r="AK224" s="1">
        <f ca="1">IF(COUNTIFS($J$7:$J$510,Table7[[#Headers],[Industry Essentials]],$C$7:$C$510,$L224)&gt;0,0,MROUND(R224,100))</f>
        <v>0</v>
      </c>
      <c r="AL224" s="1">
        <f ca="1">IF(COUNTIFS($J$7:$J$510,Table7[[#Headers],[Energy Supply Market Intelligence]],$C$7:$C$510,$L224)&gt;0,0,MROUND(IFERROR(S224*($P224/$AI224),0),100))</f>
        <v>0</v>
      </c>
      <c r="AM224" s="1">
        <f ca="1">IF(COUNTIFS($J$7:$J$510,Table7[[#Headers],[Energy Supply RTM Analysis]],$C$7:$C$510,$L224)&gt;0,0,MROUND(IFERROR(T224*($P224/$AI224),0),100))</f>
        <v>0</v>
      </c>
      <c r="AN224" s="1">
        <f ca="1">IF(COUNTIFS($J$7:$J$510,Table7[[#Headers],[Energy Supply Forecasts]],$C$7:$C$510,$L224)&gt;0,0,MROUND(IFERROR(U224*($P224/$AI224),0),100))</f>
        <v>0</v>
      </c>
      <c r="AO224" s="1">
        <f ca="1">IF(COUNTIFS($J$7:$J$510,Table7[[#Headers],[Energy Supply Regulation]],$C$7:$C$510,$L224)&gt;0,0,MROUND(IFERROR(V224*($P224/$AI224),0),100))</f>
        <v>0</v>
      </c>
      <c r="AP224" s="1">
        <f ca="1">IF(COUNTIFS($J$7:$J$510,Table7[[#Headers],[Renewables Market Intelligence]],$C$7:$C$510,$L224)&gt;0,0,MROUND(IFERROR(W224*($P224/$AI224),0),100))</f>
        <v>0</v>
      </c>
      <c r="AQ224" s="1">
        <f>IF(COUNTIFS($J$7:$J$510,Table7[[#Headers],[Renewables RTM Analysis]],$C$7:$C$510,$L224)&gt;0,0,MROUND(IFERROR(X224*($P224/$AI224),0),100))</f>
        <v>0</v>
      </c>
      <c r="AR224" s="1">
        <f>IF(COUNTIFS($J$7:$J$510,Table7[[#Headers],[Renewables Forecasts]],$C$7:$C$510,$L224)&gt;0,0,MROUND(IFERROR(Y224*($P224/$AI224),0),100))</f>
        <v>0</v>
      </c>
      <c r="AS224" s="1">
        <f ca="1">IF(COUNTIFS($J$7:$J$510,Table7[[#Headers],[Renewables Regulation]],$C$7:$C$510,$L224)&gt;0,0,MROUND(IFERROR(Z224*($P224/$AI224),0),100))</f>
        <v>0</v>
      </c>
      <c r="AT224" s="1">
        <f ca="1">IF(COUNTIFS($J$7:$J$510,Table7[[#Headers],[Flexibility Market Intelligence]],$C$7:$C$510,$L224)&gt;0,0,MROUND(IFERROR(AA224*($P224/$AI224),0),100))</f>
        <v>0</v>
      </c>
      <c r="AU224" s="1">
        <f ca="1">IF(COUNTIFS($J$7:$J$510,Table7[[#Headers],[Flexibility RTM Analysis]],$C$7:$C$510,$L224)&gt;0,0,MROUND(IFERROR(AB224*($P224/$AI224),0),100))</f>
        <v>0</v>
      </c>
      <c r="AV224" s="1">
        <f ca="1">IF(COUNTIFS($J$7:$J$510,Table7[[#Headers],[Flexibility Forecasts]],$C$7:$C$510,$L224)&gt;0,0,MROUND(IFERROR(AC224*($P224/$AI224),0),100))</f>
        <v>0</v>
      </c>
      <c r="AW224" s="1">
        <f ca="1">IF(COUNTIFS($J$7:$J$510,Table7[[#Headers],[Flexibility Regulation]],$C$7:$C$510,$L224)&gt;0,0,MROUND(IFERROR(AD224*($P224/$AI224),0),100))</f>
        <v>0</v>
      </c>
      <c r="AX224" s="1">
        <f ca="1">IF(COUNTIFS($J$7:$J$510,Table7[[#Headers],[Business Energy Essentials]],$C$7:$C$510,$L224)&gt;0,0,MROUND(IFERROR(AE224*($P224/$AI224),0),100))</f>
        <v>4300</v>
      </c>
      <c r="AY224" s="1">
        <f ca="1">IF(COUNTIFS($J$7:$J$510,Table7[[#Headers],[Energy User RTM Analysis]],$C$7:$C$510,$L224)&gt;0,0,MROUND(IFERROR(AF224*($P224/$AI224),0),100))</f>
        <v>4500</v>
      </c>
      <c r="AZ224" s="1">
        <f ca="1">IF(COUNTIFS($J$7:$J$510,Table7[[#Headers],[Energy User Forecasts]],$C$7:$C$510,$L224)&gt;0,0,MROUND(IFERROR(AG224*($P224/$AI224),0),100))</f>
        <v>7900</v>
      </c>
      <c r="BA224" s="1">
        <f ca="1">IF(COUNTIFS($J$7:$J$510,Table7[[#Headers],[Energy User Regulation]],$C$7:$C$510,$L224)&gt;0,0,MROUND(IFERROR(AH224*($P224/$AI224),0),100))</f>
        <v>1800</v>
      </c>
    </row>
    <row r="225" spans="2:53">
      <c r="B225" s="38" t="s">
        <v>2192</v>
      </c>
      <c r="C225" s="38" t="s">
        <v>129</v>
      </c>
      <c r="D225" s="38" t="s">
        <v>2040</v>
      </c>
      <c r="E225" s="38" t="s">
        <v>1799</v>
      </c>
      <c r="F225" s="63">
        <v>7000</v>
      </c>
      <c r="G225" s="38"/>
      <c r="H225" s="38" t="s">
        <v>2031</v>
      </c>
      <c r="I225" s="38" t="s">
        <v>2032</v>
      </c>
      <c r="J225" s="38" t="s">
        <v>20</v>
      </c>
      <c r="L225" s="1" t="str">
        <v>West Suffolk Council</v>
      </c>
      <c r="M225" s="1" t="str">
        <f t="shared" si="17"/>
        <v>Energy User</v>
      </c>
      <c r="N225" s="109">
        <f t="shared" si="18"/>
        <v>11000</v>
      </c>
      <c r="O225" s="1">
        <f>IFERROR(IF(INDEX(Table3[[Total Spend]:[Total Spend]],MATCH(L225,Table3[[Company name]:[Company name]],0))&gt;N225,INDEX(Table3[[Total Spend]:[Total Spend]],MATCH(L225,Table3[[Company name]:[Company name]])),N225),50000)</f>
        <v>11000</v>
      </c>
      <c r="P225" s="109">
        <f t="shared" si="19"/>
        <v>11000</v>
      </c>
      <c r="Q225" s="103">
        <f t="shared" si="20"/>
        <v>1</v>
      </c>
      <c r="R225" s="1">
        <f ca="1">IFERROR(INDEX(INDIRECT("Table3[Column"&amp;R$9&amp;"]"),MATCH($L225,Table3[[Company name]:[Company name]],0)),0)</f>
        <v>8100</v>
      </c>
      <c r="S225" s="1">
        <f ca="1">IFERROR(INDEX(INDIRECT("Table3[Column"&amp;S$9&amp;"]"),MATCH($L225,Table3[[Company name]:[Company name]],0)),0)</f>
        <v>0</v>
      </c>
      <c r="T225" s="1">
        <f ca="1">IFERROR(INDEX(INDIRECT("Table3[Column"&amp;T$9&amp;"]"),MATCH($L225,Table3[[Company name]:[Company name]],0)),0)</f>
        <v>0</v>
      </c>
      <c r="U225" s="1">
        <f ca="1">IFERROR(INDEX(INDIRECT("Table3[Column"&amp;U$9&amp;"]"),MATCH($L225,Table3[[Company name]:[Company name]],0)),0)</f>
        <v>0</v>
      </c>
      <c r="V225" s="1">
        <f ca="1">IFERROR(INDEX(INDIRECT("Table3[Column"&amp;V$9&amp;"]"),MATCH($L225,Table3[[Company name]:[Company name]],0)),0)</f>
        <v>0</v>
      </c>
      <c r="W225" s="1">
        <f ca="1">IFERROR(INDEX(INDIRECT("Table3[Column"&amp;W$9&amp;"]"),MATCH($L225,Table3[[Company name]:[Company name]],0)),0)</f>
        <v>0</v>
      </c>
      <c r="X225" s="1">
        <f ca="1">IFERROR(INDEX(INDIRECT("Table3[Column"&amp;X$9&amp;"]"),MATCH($L225,Table3[[Company name]:[Company name]],0)),0)</f>
        <v>0</v>
      </c>
      <c r="Y225" s="1">
        <f ca="1">IFERROR(INDEX(INDIRECT("Table3[Column"&amp;Y$9&amp;"]"),MATCH($L225,Table3[[Company name]:[Company name]],0)),0)</f>
        <v>0</v>
      </c>
      <c r="Z225" s="1">
        <f ca="1">IFERROR(INDEX(INDIRECT("Table3[Column"&amp;Z$9&amp;"]"),MATCH($L225,Table3[[Company name]:[Company name]],0)),0)</f>
        <v>0</v>
      </c>
      <c r="AA225" s="1">
        <f ca="1">IFERROR(INDEX(INDIRECT("Table3[Column"&amp;AA$9&amp;"]"),MATCH($L225,Table3[[Company name]:[Company name]],0)),0)</f>
        <v>0</v>
      </c>
      <c r="AB225" s="1">
        <f ca="1">IFERROR(INDEX(INDIRECT("Table3[Column"&amp;AB$9&amp;"]"),MATCH($L225,Table3[[Company name]:[Company name]],0)),0)</f>
        <v>0</v>
      </c>
      <c r="AC225" s="1">
        <f ca="1">IFERROR(INDEX(INDIRECT("Table3[Column"&amp;AC$9&amp;"]"),MATCH($L225,Table3[[Company name]:[Company name]],0)),0)</f>
        <v>0</v>
      </c>
      <c r="AD225" s="1">
        <f ca="1">IFERROR(INDEX(INDIRECT("Table3[Column"&amp;AD$9&amp;"]"),MATCH($L225,Table3[[Company name]:[Company name]],0)),0)</f>
        <v>0</v>
      </c>
      <c r="AE225" s="1">
        <f ca="1">IFERROR(INDEX(INDIRECT("Table3[Column"&amp;AE$9&amp;"]"),MATCH($L225,Table3[[Company name]:[Company name]],0)),0)</f>
        <v>10800</v>
      </c>
      <c r="AF225" s="1">
        <f ca="1">IFERROR(INDEX(INDIRECT("Table3[Column"&amp;AF$9&amp;"]"),MATCH($L225,Table3[[Company name]:[Company name]],0)),0)</f>
        <v>11250</v>
      </c>
      <c r="AG225" s="1">
        <f ca="1">IFERROR(INDEX(INDIRECT("Table3[Column"&amp;AG$9&amp;"]"),MATCH($L225,Table3[[Company name]:[Company name]],0)),0)</f>
        <v>19800</v>
      </c>
      <c r="AH225" s="1">
        <f ca="1">IFERROR(INDEX(INDIRECT("Table3[Column"&amp;AH$9&amp;"]"),MATCH($L225,Table3[[Company name]:[Company name]],0)),0)</f>
        <v>4500</v>
      </c>
      <c r="AI225" s="1">
        <f t="shared" ca="1" si="21"/>
        <v>54450</v>
      </c>
      <c r="AK225" s="1">
        <f ca="1">IF(COUNTIFS($J$7:$J$510,Table7[[#Headers],[Industry Essentials]],$C$7:$C$510,$L225)&gt;0,0,MROUND(R225,100))</f>
        <v>8100</v>
      </c>
      <c r="AL225" s="1">
        <f ca="1">IF(COUNTIFS($J$7:$J$510,Table7[[#Headers],[Energy Supply Market Intelligence]],$C$7:$C$510,$L225)&gt;0,0,MROUND(IFERROR(S225*($P225/$AI225),0),100))</f>
        <v>0</v>
      </c>
      <c r="AM225" s="1">
        <f ca="1">IF(COUNTIFS($J$7:$J$510,Table7[[#Headers],[Energy Supply RTM Analysis]],$C$7:$C$510,$L225)&gt;0,0,MROUND(IFERROR(T225*($P225/$AI225),0),100))</f>
        <v>0</v>
      </c>
      <c r="AN225" s="1">
        <f ca="1">IF(COUNTIFS($J$7:$J$510,Table7[[#Headers],[Energy Supply Forecasts]],$C$7:$C$510,$L225)&gt;0,0,MROUND(IFERROR(U225*($P225/$AI225),0),100))</f>
        <v>0</v>
      </c>
      <c r="AO225" s="1">
        <f ca="1">IF(COUNTIFS($J$7:$J$510,Table7[[#Headers],[Energy Supply Regulation]],$C$7:$C$510,$L225)&gt;0,0,MROUND(IFERROR(V225*($P225/$AI225),0),100))</f>
        <v>0</v>
      </c>
      <c r="AP225" s="1">
        <f ca="1">IF(COUNTIFS($J$7:$J$510,Table7[[#Headers],[Renewables Market Intelligence]],$C$7:$C$510,$L225)&gt;0,0,MROUND(IFERROR(W225*($P225/$AI225),0),100))</f>
        <v>0</v>
      </c>
      <c r="AQ225" s="1">
        <f ca="1">IF(COUNTIFS($J$7:$J$510,Table7[[#Headers],[Renewables RTM Analysis]],$C$7:$C$510,$L225)&gt;0,0,MROUND(IFERROR(X225*($P225/$AI225),0),100))</f>
        <v>0</v>
      </c>
      <c r="AR225" s="1">
        <f>IF(COUNTIFS($J$7:$J$510,Table7[[#Headers],[Renewables Forecasts]],$C$7:$C$510,$L225)&gt;0,0,MROUND(IFERROR(Y225*($P225/$AI225),0),100))</f>
        <v>0</v>
      </c>
      <c r="AS225" s="1">
        <f ca="1">IF(COUNTIFS($J$7:$J$510,Table7[[#Headers],[Renewables Regulation]],$C$7:$C$510,$L225)&gt;0,0,MROUND(IFERROR(Z225*($P225/$AI225),0),100))</f>
        <v>0</v>
      </c>
      <c r="AT225" s="1">
        <f ca="1">IF(COUNTIFS($J$7:$J$510,Table7[[#Headers],[Flexibility Market Intelligence]],$C$7:$C$510,$L225)&gt;0,0,MROUND(IFERROR(AA225*($P225/$AI225),0),100))</f>
        <v>0</v>
      </c>
      <c r="AU225" s="1">
        <f ca="1">IF(COUNTIFS($J$7:$J$510,Table7[[#Headers],[Flexibility RTM Analysis]],$C$7:$C$510,$L225)&gt;0,0,MROUND(IFERROR(AB225*($P225/$AI225),0),100))</f>
        <v>0</v>
      </c>
      <c r="AV225" s="1">
        <f ca="1">IF(COUNTIFS($J$7:$J$510,Table7[[#Headers],[Flexibility Forecasts]],$C$7:$C$510,$L225)&gt;0,0,MROUND(IFERROR(AC225*($P225/$AI225),0),100))</f>
        <v>0</v>
      </c>
      <c r="AW225" s="1">
        <f ca="1">IF(COUNTIFS($J$7:$J$510,Table7[[#Headers],[Flexibility Regulation]],$C$7:$C$510,$L225)&gt;0,0,MROUND(IFERROR(AD225*($P225/$AI225),0),100))</f>
        <v>0</v>
      </c>
      <c r="AX225" s="1">
        <f ca="1">IF(COUNTIFS($J$7:$J$510,Table7[[#Headers],[Business Energy Essentials]],$C$7:$C$510,$L225)&gt;0,0,MROUND(IFERROR(AE225*($P225/$AI225),0),100))</f>
        <v>2200</v>
      </c>
      <c r="AY225" s="1">
        <f ca="1">IF(COUNTIFS($J$7:$J$510,Table7[[#Headers],[Energy User RTM Analysis]],$C$7:$C$510,$L225)&gt;0,0,MROUND(IFERROR(AF225*($P225/$AI225),0),100))</f>
        <v>2300</v>
      </c>
      <c r="AZ225" s="1">
        <f ca="1">IF(COUNTIFS($J$7:$J$510,Table7[[#Headers],[Energy User Forecasts]],$C$7:$C$510,$L225)&gt;0,0,MROUND(IFERROR(AG225*($P225/$AI225),0),100))</f>
        <v>4000</v>
      </c>
      <c r="BA225" s="1">
        <f ca="1">IF(COUNTIFS($J$7:$J$510,Table7[[#Headers],[Energy User Regulation]],$C$7:$C$510,$L225)&gt;0,0,MROUND(IFERROR(AH225*($P225/$AI225),0),100))</f>
        <v>900</v>
      </c>
    </row>
    <row r="226" spans="2:53">
      <c r="B226" s="38" t="s">
        <v>2192</v>
      </c>
      <c r="C226" s="38" t="s">
        <v>129</v>
      </c>
      <c r="D226" s="38" t="s">
        <v>2044</v>
      </c>
      <c r="E226" s="38" t="s">
        <v>1912</v>
      </c>
      <c r="F226" s="63">
        <v>16000</v>
      </c>
      <c r="G226" s="38"/>
      <c r="H226" s="38" t="s">
        <v>2031</v>
      </c>
      <c r="I226" s="38" t="s">
        <v>2031</v>
      </c>
      <c r="J226" s="38" t="s">
        <v>24</v>
      </c>
      <c r="L226" s="1" t="str">
        <v>White &amp; Case LLP</v>
      </c>
      <c r="M226" s="1" t="str">
        <f t="shared" si="17"/>
        <v>Other</v>
      </c>
      <c r="N226" s="109">
        <f t="shared" si="18"/>
        <v>5000</v>
      </c>
      <c r="O226" s="1">
        <f>IFERROR(IF(INDEX(Table3[[Total Spend]:[Total Spend]],MATCH(L226,Table3[[Company name]:[Company name]],0))&gt;N226,INDEX(Table3[[Total Spend]:[Total Spend]],MATCH(L226,Table3[[Company name]:[Company name]])),N226),50000)</f>
        <v>8100</v>
      </c>
      <c r="P226" s="109">
        <f t="shared" si="19"/>
        <v>3100</v>
      </c>
      <c r="Q226" s="103">
        <f t="shared" si="20"/>
        <v>0.61728395061728392</v>
      </c>
      <c r="R226" s="1">
        <f ca="1">IFERROR(INDEX(INDIRECT("Table3[Column"&amp;R$9&amp;"]"),MATCH($L226,Table3[[Company name]:[Company name]],0)),0)</f>
        <v>8100</v>
      </c>
      <c r="S226" s="1">
        <f ca="1">IFERROR(INDEX(INDIRECT("Table3[Column"&amp;S$9&amp;"]"),MATCH($L226,Table3[[Company name]:[Company name]],0)),0)</f>
        <v>0</v>
      </c>
      <c r="T226" s="1">
        <f ca="1">IFERROR(INDEX(INDIRECT("Table3[Column"&amp;T$9&amp;"]"),MATCH($L226,Table3[[Company name]:[Company name]],0)),0)</f>
        <v>0</v>
      </c>
      <c r="U226" s="1">
        <f ca="1">IFERROR(INDEX(INDIRECT("Table3[Column"&amp;U$9&amp;"]"),MATCH($L226,Table3[[Company name]:[Company name]],0)),0)</f>
        <v>0</v>
      </c>
      <c r="V226" s="1">
        <f ca="1">IFERROR(INDEX(INDIRECT("Table3[Column"&amp;V$9&amp;"]"),MATCH($L226,Table3[[Company name]:[Company name]],0)),0)</f>
        <v>0</v>
      </c>
      <c r="W226" s="1">
        <f ca="1">IFERROR(INDEX(INDIRECT("Table3[Column"&amp;W$9&amp;"]"),MATCH($L226,Table3[[Company name]:[Company name]],0)),0)</f>
        <v>0</v>
      </c>
      <c r="X226" s="1">
        <f ca="1">IFERROR(INDEX(INDIRECT("Table3[Column"&amp;X$9&amp;"]"),MATCH($L226,Table3[[Company name]:[Company name]],0)),0)</f>
        <v>0</v>
      </c>
      <c r="Y226" s="1">
        <f ca="1">IFERROR(INDEX(INDIRECT("Table3[Column"&amp;Y$9&amp;"]"),MATCH($L226,Table3[[Company name]:[Company name]],0)),0)</f>
        <v>0</v>
      </c>
      <c r="Z226" s="1">
        <f ca="1">IFERROR(INDEX(INDIRECT("Table3[Column"&amp;Z$9&amp;"]"),MATCH($L226,Table3[[Company name]:[Company name]],0)),0)</f>
        <v>0</v>
      </c>
      <c r="AA226" s="1">
        <f ca="1">IFERROR(INDEX(INDIRECT("Table3[Column"&amp;AA$9&amp;"]"),MATCH($L226,Table3[[Company name]:[Company name]],0)),0)</f>
        <v>0</v>
      </c>
      <c r="AB226" s="1">
        <f ca="1">IFERROR(INDEX(INDIRECT("Table3[Column"&amp;AB$9&amp;"]"),MATCH($L226,Table3[[Company name]:[Company name]],0)),0)</f>
        <v>0</v>
      </c>
      <c r="AC226" s="1">
        <f ca="1">IFERROR(INDEX(INDIRECT("Table3[Column"&amp;AC$9&amp;"]"),MATCH($L226,Table3[[Company name]:[Company name]],0)),0)</f>
        <v>0</v>
      </c>
      <c r="AD226" s="1">
        <f ca="1">IFERROR(INDEX(INDIRECT("Table3[Column"&amp;AD$9&amp;"]"),MATCH($L226,Table3[[Company name]:[Company name]],0)),0)</f>
        <v>0</v>
      </c>
      <c r="AE226" s="1">
        <f ca="1">IFERROR(INDEX(INDIRECT("Table3[Column"&amp;AE$9&amp;"]"),MATCH($L226,Table3[[Company name]:[Company name]],0)),0)</f>
        <v>0</v>
      </c>
      <c r="AF226" s="1">
        <f ca="1">IFERROR(INDEX(INDIRECT("Table3[Column"&amp;AF$9&amp;"]"),MATCH($L226,Table3[[Company name]:[Company name]],0)),0)</f>
        <v>0</v>
      </c>
      <c r="AG226" s="1">
        <f ca="1">IFERROR(INDEX(INDIRECT("Table3[Column"&amp;AG$9&amp;"]"),MATCH($L226,Table3[[Company name]:[Company name]],0)),0)</f>
        <v>0</v>
      </c>
      <c r="AH226" s="1">
        <f ca="1">IFERROR(INDEX(INDIRECT("Table3[Column"&amp;AH$9&amp;"]"),MATCH($L226,Table3[[Company name]:[Company name]],0)),0)</f>
        <v>0</v>
      </c>
      <c r="AI226" s="1">
        <f t="shared" ca="1" si="21"/>
        <v>8100</v>
      </c>
      <c r="AK226" s="1">
        <f>IF(COUNTIFS($J$7:$J$510,Table7[[#Headers],[Industry Essentials]],$C$7:$C$510,$L226)&gt;0,0,MROUND(R226,100))</f>
        <v>0</v>
      </c>
      <c r="AL226" s="1">
        <f ca="1">IF(COUNTIFS($J$7:$J$510,Table7[[#Headers],[Energy Supply Market Intelligence]],$C$7:$C$510,$L226)&gt;0,0,MROUND(IFERROR(S226*($P226/$AI226),0),100))</f>
        <v>0</v>
      </c>
      <c r="AM226" s="1">
        <f ca="1">IF(COUNTIFS($J$7:$J$510,Table7[[#Headers],[Energy Supply RTM Analysis]],$C$7:$C$510,$L226)&gt;0,0,MROUND(IFERROR(T226*($P226/$AI226),0),100))</f>
        <v>0</v>
      </c>
      <c r="AN226" s="1">
        <f ca="1">IF(COUNTIFS($J$7:$J$510,Table7[[#Headers],[Energy Supply Forecasts]],$C$7:$C$510,$L226)&gt;0,0,MROUND(IFERROR(U226*($P226/$AI226),0),100))</f>
        <v>0</v>
      </c>
      <c r="AO226" s="1">
        <f ca="1">IF(COUNTIFS($J$7:$J$510,Table7[[#Headers],[Energy Supply Regulation]],$C$7:$C$510,$L226)&gt;0,0,MROUND(IFERROR(V226*($P226/$AI226),0),100))</f>
        <v>0</v>
      </c>
      <c r="AP226" s="1">
        <f ca="1">IF(COUNTIFS($J$7:$J$510,Table7[[#Headers],[Renewables Market Intelligence]],$C$7:$C$510,$L226)&gt;0,0,MROUND(IFERROR(W226*($P226/$AI226),0),100))</f>
        <v>0</v>
      </c>
      <c r="AQ226" s="1">
        <f ca="1">IF(COUNTIFS($J$7:$J$510,Table7[[#Headers],[Renewables RTM Analysis]],$C$7:$C$510,$L226)&gt;0,0,MROUND(IFERROR(X226*($P226/$AI226),0),100))</f>
        <v>0</v>
      </c>
      <c r="AR226" s="1">
        <f ca="1">IF(COUNTIFS($J$7:$J$510,Table7[[#Headers],[Renewables Forecasts]],$C$7:$C$510,$L226)&gt;0,0,MROUND(IFERROR(Y226*($P226/$AI226),0),100))</f>
        <v>0</v>
      </c>
      <c r="AS226" s="1">
        <f ca="1">IF(COUNTIFS($J$7:$J$510,Table7[[#Headers],[Renewables Regulation]],$C$7:$C$510,$L226)&gt;0,0,MROUND(IFERROR(Z226*($P226/$AI226),0),100))</f>
        <v>0</v>
      </c>
      <c r="AT226" s="1">
        <f ca="1">IF(COUNTIFS($J$7:$J$510,Table7[[#Headers],[Flexibility Market Intelligence]],$C$7:$C$510,$L226)&gt;0,0,MROUND(IFERROR(AA226*($P226/$AI226),0),100))</f>
        <v>0</v>
      </c>
      <c r="AU226" s="1">
        <f ca="1">IF(COUNTIFS($J$7:$J$510,Table7[[#Headers],[Flexibility RTM Analysis]],$C$7:$C$510,$L226)&gt;0,0,MROUND(IFERROR(AB226*($P226/$AI226),0),100))</f>
        <v>0</v>
      </c>
      <c r="AV226" s="1">
        <f ca="1">IF(COUNTIFS($J$7:$J$510,Table7[[#Headers],[Flexibility Forecasts]],$C$7:$C$510,$L226)&gt;0,0,MROUND(IFERROR(AC226*($P226/$AI226),0),100))</f>
        <v>0</v>
      </c>
      <c r="AW226" s="1">
        <f ca="1">IF(COUNTIFS($J$7:$J$510,Table7[[#Headers],[Flexibility Regulation]],$C$7:$C$510,$L226)&gt;0,0,MROUND(IFERROR(AD226*($P226/$AI226),0),100))</f>
        <v>0</v>
      </c>
      <c r="AX226" s="1">
        <f ca="1">IF(COUNTIFS($J$7:$J$510,Table7[[#Headers],[Business Energy Essentials]],$C$7:$C$510,$L226)&gt;0,0,MROUND(IFERROR(AE226*($P226/$AI226),0),100))</f>
        <v>0</v>
      </c>
      <c r="AY226" s="1">
        <f ca="1">IF(COUNTIFS($J$7:$J$510,Table7[[#Headers],[Energy User RTM Analysis]],$C$7:$C$510,$L226)&gt;0,0,MROUND(IFERROR(AF226*($P226/$AI226),0),100))</f>
        <v>0</v>
      </c>
      <c r="AZ226" s="1">
        <f ca="1">IF(COUNTIFS($J$7:$J$510,Table7[[#Headers],[Energy User Forecasts]],$C$7:$C$510,$L226)&gt;0,0,MROUND(IFERROR(AG226*($P226/$AI226),0),100))</f>
        <v>0</v>
      </c>
      <c r="BA226" s="1">
        <f ca="1">IF(COUNTIFS($J$7:$J$510,Table7[[#Headers],[Energy User Regulation]],$C$7:$C$510,$L226)&gt;0,0,MROUND(IFERROR(AH226*($P226/$AI226),0),100))</f>
        <v>0</v>
      </c>
    </row>
    <row r="227" spans="2:53">
      <c r="B227" s="38" t="s">
        <v>2193</v>
      </c>
      <c r="C227" s="38" t="s">
        <v>168</v>
      </c>
      <c r="D227" s="38" t="s">
        <v>2069</v>
      </c>
      <c r="E227" s="38" t="s">
        <v>1889</v>
      </c>
      <c r="F227" s="63">
        <v>32000.000000000004</v>
      </c>
      <c r="G227" s="38"/>
      <c r="H227" s="38" t="s">
        <v>2031</v>
      </c>
      <c r="I227" s="38" t="s">
        <v>2031</v>
      </c>
      <c r="J227" s="38" t="s">
        <v>21</v>
      </c>
      <c r="L227" s="1" t="str">
        <v>Windcluster 2000 Ltd</v>
      </c>
      <c r="M227" s="1" t="str">
        <f t="shared" si="17"/>
        <v>Energy User</v>
      </c>
      <c r="N227" s="109">
        <f t="shared" si="18"/>
        <v>6500</v>
      </c>
      <c r="O227" s="1">
        <f>IFERROR(IF(INDEX(Table3[[Total Spend]:[Total Spend]],MATCH(L227,Table3[[Company name]:[Company name]],0))&gt;N227,INDEX(Table3[[Total Spend]:[Total Spend]],MATCH(L227,Table3[[Company name]:[Company name]])),N227),50000)</f>
        <v>10000</v>
      </c>
      <c r="P227" s="109">
        <f t="shared" si="19"/>
        <v>3500</v>
      </c>
      <c r="Q227" s="103">
        <f t="shared" si="20"/>
        <v>0.65</v>
      </c>
      <c r="R227" s="1">
        <f ca="1">IFERROR(INDEX(INDIRECT("Table3[Column"&amp;R$9&amp;"]"),MATCH($L227,Table3[[Company name]:[Company name]],0)),0)</f>
        <v>8100</v>
      </c>
      <c r="S227" s="1">
        <f ca="1">IFERROR(INDEX(INDIRECT("Table3[Column"&amp;S$9&amp;"]"),MATCH($L227,Table3[[Company name]:[Company name]],0)),0)</f>
        <v>0</v>
      </c>
      <c r="T227" s="1">
        <f ca="1">IFERROR(INDEX(INDIRECT("Table3[Column"&amp;T$9&amp;"]"),MATCH($L227,Table3[[Company name]:[Company name]],0)),0)</f>
        <v>0</v>
      </c>
      <c r="U227" s="1">
        <f ca="1">IFERROR(INDEX(INDIRECT("Table3[Column"&amp;U$9&amp;"]"),MATCH($L227,Table3[[Company name]:[Company name]],0)),0)</f>
        <v>0</v>
      </c>
      <c r="V227" s="1">
        <f ca="1">IFERROR(INDEX(INDIRECT("Table3[Column"&amp;V$9&amp;"]"),MATCH($L227,Table3[[Company name]:[Company name]],0)),0)</f>
        <v>0</v>
      </c>
      <c r="W227" s="1">
        <f ca="1">IFERROR(INDEX(INDIRECT("Table3[Column"&amp;W$9&amp;"]"),MATCH($L227,Table3[[Company name]:[Company name]],0)),0)</f>
        <v>17100</v>
      </c>
      <c r="X227" s="1">
        <f ca="1">IFERROR(INDEX(INDIRECT("Table3[Column"&amp;X$9&amp;"]"),MATCH($L227,Table3[[Company name]:[Company name]],0)),0)</f>
        <v>15300</v>
      </c>
      <c r="Y227" s="1">
        <f ca="1">IFERROR(INDEX(INDIRECT("Table3[Column"&amp;Y$9&amp;"]"),MATCH($L227,Table3[[Company name]:[Company name]],0)),0)</f>
        <v>42300</v>
      </c>
      <c r="Z227" s="1">
        <f ca="1">IFERROR(INDEX(INDIRECT("Table3[Column"&amp;Z$9&amp;"]"),MATCH($L227,Table3[[Company name]:[Company name]],0)),0)</f>
        <v>18900</v>
      </c>
      <c r="AA227" s="1">
        <f ca="1">IFERROR(INDEX(INDIRECT("Table3[Column"&amp;AA$9&amp;"]"),MATCH($L227,Table3[[Company name]:[Company name]],0)),0)</f>
        <v>0</v>
      </c>
      <c r="AB227" s="1">
        <f ca="1">IFERROR(INDEX(INDIRECT("Table3[Column"&amp;AB$9&amp;"]"),MATCH($L227,Table3[[Company name]:[Company name]],0)),0)</f>
        <v>0</v>
      </c>
      <c r="AC227" s="1">
        <f ca="1">IFERROR(INDEX(INDIRECT("Table3[Column"&amp;AC$9&amp;"]"),MATCH($L227,Table3[[Company name]:[Company name]],0)),0)</f>
        <v>0</v>
      </c>
      <c r="AD227" s="1">
        <f ca="1">IFERROR(INDEX(INDIRECT("Table3[Column"&amp;AD$9&amp;"]"),MATCH($L227,Table3[[Company name]:[Company name]],0)),0)</f>
        <v>0</v>
      </c>
      <c r="AE227" s="1">
        <f ca="1">IFERROR(INDEX(INDIRECT("Table3[Column"&amp;AE$9&amp;"]"),MATCH($L227,Table3[[Company name]:[Company name]],0)),0)</f>
        <v>0</v>
      </c>
      <c r="AF227" s="1">
        <f ca="1">IFERROR(INDEX(INDIRECT("Table3[Column"&amp;AF$9&amp;"]"),MATCH($L227,Table3[[Company name]:[Company name]],0)),0)</f>
        <v>0</v>
      </c>
      <c r="AG227" s="1">
        <f ca="1">IFERROR(INDEX(INDIRECT("Table3[Column"&amp;AG$9&amp;"]"),MATCH($L227,Table3[[Company name]:[Company name]],0)),0)</f>
        <v>0</v>
      </c>
      <c r="AH227" s="1">
        <f ca="1">IFERROR(INDEX(INDIRECT("Table3[Column"&amp;AH$9&amp;"]"),MATCH($L227,Table3[[Company name]:[Company name]],0)),0)</f>
        <v>0</v>
      </c>
      <c r="AI227" s="1">
        <f t="shared" ca="1" si="21"/>
        <v>101700</v>
      </c>
      <c r="AK227" s="1">
        <f ca="1">IF(COUNTIFS($J$7:$J$510,Table7[[#Headers],[Industry Essentials]],$C$7:$C$510,$L227)&gt;0,0,MROUND(R227,100))</f>
        <v>8100</v>
      </c>
      <c r="AL227" s="1">
        <f ca="1">IF(COUNTIFS($J$7:$J$510,Table7[[#Headers],[Energy Supply Market Intelligence]],$C$7:$C$510,$L227)&gt;0,0,MROUND(IFERROR(S227*($P227/$AI227),0),100))</f>
        <v>0</v>
      </c>
      <c r="AM227" s="1">
        <f ca="1">IF(COUNTIFS($J$7:$J$510,Table7[[#Headers],[Energy Supply RTM Analysis]],$C$7:$C$510,$L227)&gt;0,0,MROUND(IFERROR(T227*($P227/$AI227),0),100))</f>
        <v>0</v>
      </c>
      <c r="AN227" s="1">
        <f ca="1">IF(COUNTIFS($J$7:$J$510,Table7[[#Headers],[Energy Supply Forecasts]],$C$7:$C$510,$L227)&gt;0,0,MROUND(IFERROR(U227*($P227/$AI227),0),100))</f>
        <v>0</v>
      </c>
      <c r="AO227" s="1">
        <f ca="1">IF(COUNTIFS($J$7:$J$510,Table7[[#Headers],[Energy Supply Regulation]],$C$7:$C$510,$L227)&gt;0,0,MROUND(IFERROR(V227*($P227/$AI227),0),100))</f>
        <v>0</v>
      </c>
      <c r="AP227" s="1">
        <f ca="1">IF(COUNTIFS($J$7:$J$510,Table7[[#Headers],[Renewables Market Intelligence]],$C$7:$C$510,$L227)&gt;0,0,MROUND(IFERROR(W227*($P227/$AI227),0),100))</f>
        <v>600</v>
      </c>
      <c r="AQ227" s="1">
        <f>IF(COUNTIFS($J$7:$J$510,Table7[[#Headers],[Renewables RTM Analysis]],$C$7:$C$510,$L227)&gt;0,0,MROUND(IFERROR(X227*($P227/$AI227),0),100))</f>
        <v>0</v>
      </c>
      <c r="AR227" s="1">
        <f ca="1">IF(COUNTIFS($J$7:$J$510,Table7[[#Headers],[Renewables Forecasts]],$C$7:$C$510,$L227)&gt;0,0,MROUND(IFERROR(Y227*($P227/$AI227),0),100))</f>
        <v>1500</v>
      </c>
      <c r="AS227" s="1">
        <f ca="1">IF(COUNTIFS($J$7:$J$510,Table7[[#Headers],[Renewables Regulation]],$C$7:$C$510,$L227)&gt;0,0,MROUND(IFERROR(Z227*($P227/$AI227),0),100))</f>
        <v>700</v>
      </c>
      <c r="AT227" s="1">
        <f ca="1">IF(COUNTIFS($J$7:$J$510,Table7[[#Headers],[Flexibility Market Intelligence]],$C$7:$C$510,$L227)&gt;0,0,MROUND(IFERROR(AA227*($P227/$AI227),0),100))</f>
        <v>0</v>
      </c>
      <c r="AU227" s="1">
        <f ca="1">IF(COUNTIFS($J$7:$J$510,Table7[[#Headers],[Flexibility RTM Analysis]],$C$7:$C$510,$L227)&gt;0,0,MROUND(IFERROR(AB227*($P227/$AI227),0),100))</f>
        <v>0</v>
      </c>
      <c r="AV227" s="1">
        <f ca="1">IF(COUNTIFS($J$7:$J$510,Table7[[#Headers],[Flexibility Forecasts]],$C$7:$C$510,$L227)&gt;0,0,MROUND(IFERROR(AC227*($P227/$AI227),0),100))</f>
        <v>0</v>
      </c>
      <c r="AW227" s="1">
        <f ca="1">IF(COUNTIFS($J$7:$J$510,Table7[[#Headers],[Flexibility Regulation]],$C$7:$C$510,$L227)&gt;0,0,MROUND(IFERROR(AD227*($P227/$AI227),0),100))</f>
        <v>0</v>
      </c>
      <c r="AX227" s="1">
        <f ca="1">IF(COUNTIFS($J$7:$J$510,Table7[[#Headers],[Business Energy Essentials]],$C$7:$C$510,$L227)&gt;0,0,MROUND(IFERROR(AE227*($P227/$AI227),0),100))</f>
        <v>0</v>
      </c>
      <c r="AY227" s="1">
        <f ca="1">IF(COUNTIFS($J$7:$J$510,Table7[[#Headers],[Energy User RTM Analysis]],$C$7:$C$510,$L227)&gt;0,0,MROUND(IFERROR(AF227*($P227/$AI227),0),100))</f>
        <v>0</v>
      </c>
      <c r="AZ227" s="1">
        <f ca="1">IF(COUNTIFS($J$7:$J$510,Table7[[#Headers],[Energy User Forecasts]],$C$7:$C$510,$L227)&gt;0,0,MROUND(IFERROR(AG227*($P227/$AI227),0),100))</f>
        <v>0</v>
      </c>
      <c r="BA227" s="1">
        <f ca="1">IF(COUNTIFS($J$7:$J$510,Table7[[#Headers],[Energy User Regulation]],$C$7:$C$510,$L227)&gt;0,0,MROUND(IFERROR(AH227*($P227/$AI227),0),100))</f>
        <v>0</v>
      </c>
    </row>
    <row r="228" spans="2:53">
      <c r="B228" s="38" t="s">
        <v>2193</v>
      </c>
      <c r="C228" s="38" t="s">
        <v>168</v>
      </c>
      <c r="D228" s="38" t="s">
        <v>2040</v>
      </c>
      <c r="E228" s="38" t="s">
        <v>1799</v>
      </c>
      <c r="F228" s="63">
        <v>4000.0000000000005</v>
      </c>
      <c r="G228" s="38"/>
      <c r="H228" s="38" t="s">
        <v>2031</v>
      </c>
      <c r="I228" s="38" t="s">
        <v>2032</v>
      </c>
      <c r="J228" s="38" t="s">
        <v>20</v>
      </c>
      <c r="L228" s="1" t="str">
        <v>Xceco Ltd</v>
      </c>
      <c r="M228" s="1" t="str">
        <f t="shared" si="17"/>
        <v>Energy User</v>
      </c>
      <c r="N228" s="109">
        <f t="shared" si="18"/>
        <v>14000</v>
      </c>
      <c r="O228" s="1">
        <f>IFERROR(IF(INDEX(Table3[[Total Spend]:[Total Spend]],MATCH(L228,Table3[[Company name]:[Company name]],0))&gt;N228,INDEX(Table3[[Total Spend]:[Total Spend]],MATCH(L228,Table3[[Company name]:[Company name]])),N228),50000)</f>
        <v>8100</v>
      </c>
      <c r="P228" s="109">
        <f t="shared" si="19"/>
        <v>14000</v>
      </c>
      <c r="Q228" s="103">
        <f t="shared" si="20"/>
        <v>1</v>
      </c>
      <c r="R228" s="1">
        <f ca="1">IFERROR(INDEX(INDIRECT("Table3[Column"&amp;R$9&amp;"]"),MATCH($L228,Table3[[Company name]:[Company name]],0)),0)</f>
        <v>8100</v>
      </c>
      <c r="S228" s="1">
        <f ca="1">IFERROR(INDEX(INDIRECT("Table3[Column"&amp;S$9&amp;"]"),MATCH($L228,Table3[[Company name]:[Company name]],0)),0)</f>
        <v>0</v>
      </c>
      <c r="T228" s="1">
        <f ca="1">IFERROR(INDEX(INDIRECT("Table3[Column"&amp;T$9&amp;"]"),MATCH($L228,Table3[[Company name]:[Company name]],0)),0)</f>
        <v>0</v>
      </c>
      <c r="U228" s="1">
        <f ca="1">IFERROR(INDEX(INDIRECT("Table3[Column"&amp;U$9&amp;"]"),MATCH($L228,Table3[[Company name]:[Company name]],0)),0)</f>
        <v>0</v>
      </c>
      <c r="V228" s="1">
        <f ca="1">IFERROR(INDEX(INDIRECT("Table3[Column"&amp;V$9&amp;"]"),MATCH($L228,Table3[[Company name]:[Company name]],0)),0)</f>
        <v>0</v>
      </c>
      <c r="W228" s="1">
        <f ca="1">IFERROR(INDEX(INDIRECT("Table3[Column"&amp;W$9&amp;"]"),MATCH($L228,Table3[[Company name]:[Company name]],0)),0)</f>
        <v>17100</v>
      </c>
      <c r="X228" s="1">
        <f ca="1">IFERROR(INDEX(INDIRECT("Table3[Column"&amp;X$9&amp;"]"),MATCH($L228,Table3[[Company name]:[Company name]],0)),0)</f>
        <v>15300</v>
      </c>
      <c r="Y228" s="1">
        <f ca="1">IFERROR(INDEX(INDIRECT("Table3[Column"&amp;Y$9&amp;"]"),MATCH($L228,Table3[[Company name]:[Company name]],0)),0)</f>
        <v>42300</v>
      </c>
      <c r="Z228" s="1">
        <f ca="1">IFERROR(INDEX(INDIRECT("Table3[Column"&amp;Z$9&amp;"]"),MATCH($L228,Table3[[Company name]:[Company name]],0)),0)</f>
        <v>18900</v>
      </c>
      <c r="AA228" s="1">
        <f ca="1">IFERROR(INDEX(INDIRECT("Table3[Column"&amp;AA$9&amp;"]"),MATCH($L228,Table3[[Company name]:[Company name]],0)),0)</f>
        <v>0</v>
      </c>
      <c r="AB228" s="1">
        <f ca="1">IFERROR(INDEX(INDIRECT("Table3[Column"&amp;AB$9&amp;"]"),MATCH($L228,Table3[[Company name]:[Company name]],0)),0)</f>
        <v>0</v>
      </c>
      <c r="AC228" s="1">
        <f ca="1">IFERROR(INDEX(INDIRECT("Table3[Column"&amp;AC$9&amp;"]"),MATCH($L228,Table3[[Company name]:[Company name]],0)),0)</f>
        <v>0</v>
      </c>
      <c r="AD228" s="1">
        <f ca="1">IFERROR(INDEX(INDIRECT("Table3[Column"&amp;AD$9&amp;"]"),MATCH($L228,Table3[[Company name]:[Company name]],0)),0)</f>
        <v>0</v>
      </c>
      <c r="AE228" s="1">
        <f ca="1">IFERROR(INDEX(INDIRECT("Table3[Column"&amp;AE$9&amp;"]"),MATCH($L228,Table3[[Company name]:[Company name]],0)),0)</f>
        <v>0</v>
      </c>
      <c r="AF228" s="1">
        <f ca="1">IFERROR(INDEX(INDIRECT("Table3[Column"&amp;AF$9&amp;"]"),MATCH($L228,Table3[[Company name]:[Company name]],0)),0)</f>
        <v>0</v>
      </c>
      <c r="AG228" s="1">
        <f ca="1">IFERROR(INDEX(INDIRECT("Table3[Column"&amp;AG$9&amp;"]"),MATCH($L228,Table3[[Company name]:[Company name]],0)),0)</f>
        <v>0</v>
      </c>
      <c r="AH228" s="1">
        <f ca="1">IFERROR(INDEX(INDIRECT("Table3[Column"&amp;AH$9&amp;"]"),MATCH($L228,Table3[[Company name]:[Company name]],0)),0)</f>
        <v>0</v>
      </c>
      <c r="AI228" s="1">
        <f t="shared" ca="1" si="21"/>
        <v>101700</v>
      </c>
      <c r="AK228" s="1">
        <f ca="1">IF(COUNTIFS($J$7:$J$510,Table7[[#Headers],[Industry Essentials]],$C$7:$C$510,$L228)&gt;0,0,MROUND(R228,100))</f>
        <v>8100</v>
      </c>
      <c r="AL228" s="1">
        <f ca="1">IF(COUNTIFS($J$7:$J$510,Table7[[#Headers],[Energy Supply Market Intelligence]],$C$7:$C$510,$L228)&gt;0,0,MROUND(IFERROR(S228*($P228/$AI228),0),100))</f>
        <v>0</v>
      </c>
      <c r="AM228" s="1">
        <f ca="1">IF(COUNTIFS($J$7:$J$510,Table7[[#Headers],[Energy Supply RTM Analysis]],$C$7:$C$510,$L228)&gt;0,0,MROUND(IFERROR(T228*($P228/$AI228),0),100))</f>
        <v>0</v>
      </c>
      <c r="AN228" s="1">
        <f ca="1">IF(COUNTIFS($J$7:$J$510,Table7[[#Headers],[Energy Supply Forecasts]],$C$7:$C$510,$L228)&gt;0,0,MROUND(IFERROR(U228*($P228/$AI228),0),100))</f>
        <v>0</v>
      </c>
      <c r="AO228" s="1">
        <f ca="1">IF(COUNTIFS($J$7:$J$510,Table7[[#Headers],[Energy Supply Regulation]],$C$7:$C$510,$L228)&gt;0,0,MROUND(IFERROR(V228*($P228/$AI228),0),100))</f>
        <v>0</v>
      </c>
      <c r="AP228" s="1">
        <f ca="1">IF(COUNTIFS($J$7:$J$510,Table7[[#Headers],[Renewables Market Intelligence]],$C$7:$C$510,$L228)&gt;0,0,MROUND(IFERROR(W228*($P228/$AI228),0),100))</f>
        <v>2400</v>
      </c>
      <c r="AQ228" s="1">
        <f>IF(COUNTIFS($J$7:$J$510,Table7[[#Headers],[Renewables RTM Analysis]],$C$7:$C$510,$L228)&gt;0,0,MROUND(IFERROR(X228*($P228/$AI228),0),100))</f>
        <v>0</v>
      </c>
      <c r="AR228" s="1">
        <f ca="1">IF(COUNTIFS($J$7:$J$510,Table7[[#Headers],[Renewables Forecasts]],$C$7:$C$510,$L228)&gt;0,0,MROUND(IFERROR(Y228*($P228/$AI228),0),100))</f>
        <v>5800</v>
      </c>
      <c r="AS228" s="1">
        <f ca="1">IF(COUNTIFS($J$7:$J$510,Table7[[#Headers],[Renewables Regulation]],$C$7:$C$510,$L228)&gt;0,0,MROUND(IFERROR(Z228*($P228/$AI228),0),100))</f>
        <v>2600</v>
      </c>
      <c r="AT228" s="1">
        <f ca="1">IF(COUNTIFS($J$7:$J$510,Table7[[#Headers],[Flexibility Market Intelligence]],$C$7:$C$510,$L228)&gt;0,0,MROUND(IFERROR(AA228*($P228/$AI228),0),100))</f>
        <v>0</v>
      </c>
      <c r="AU228" s="1">
        <f ca="1">IF(COUNTIFS($J$7:$J$510,Table7[[#Headers],[Flexibility RTM Analysis]],$C$7:$C$510,$L228)&gt;0,0,MROUND(IFERROR(AB228*($P228/$AI228),0),100))</f>
        <v>0</v>
      </c>
      <c r="AV228" s="1">
        <f ca="1">IF(COUNTIFS($J$7:$J$510,Table7[[#Headers],[Flexibility Forecasts]],$C$7:$C$510,$L228)&gt;0,0,MROUND(IFERROR(AC228*($P228/$AI228),0),100))</f>
        <v>0</v>
      </c>
      <c r="AW228" s="1">
        <f ca="1">IF(COUNTIFS($J$7:$J$510,Table7[[#Headers],[Flexibility Regulation]],$C$7:$C$510,$L228)&gt;0,0,MROUND(IFERROR(AD228*($P228/$AI228),0),100))</f>
        <v>0</v>
      </c>
      <c r="AX228" s="1">
        <f ca="1">IF(COUNTIFS($J$7:$J$510,Table7[[#Headers],[Business Energy Essentials]],$C$7:$C$510,$L228)&gt;0,0,MROUND(IFERROR(AE228*($P228/$AI228),0),100))</f>
        <v>0</v>
      </c>
      <c r="AY228" s="1">
        <f ca="1">IF(COUNTIFS($J$7:$J$510,Table7[[#Headers],[Energy User RTM Analysis]],$C$7:$C$510,$L228)&gt;0,0,MROUND(IFERROR(AF228*($P228/$AI228),0),100))</f>
        <v>0</v>
      </c>
      <c r="AZ228" s="1">
        <f ca="1">IF(COUNTIFS($J$7:$J$510,Table7[[#Headers],[Energy User Forecasts]],$C$7:$C$510,$L228)&gt;0,0,MROUND(IFERROR(AG228*($P228/$AI228),0),100))</f>
        <v>0</v>
      </c>
      <c r="BA228" s="1">
        <f ca="1">IF(COUNTIFS($J$7:$J$510,Table7[[#Headers],[Energy User Regulation]],$C$7:$C$510,$L228)&gt;0,0,MROUND(IFERROR(AH228*($P228/$AI228),0),100))</f>
        <v>0</v>
      </c>
    </row>
    <row r="229" spans="2:53">
      <c r="B229" s="38" t="s">
        <v>2193</v>
      </c>
      <c r="C229" s="38" t="s">
        <v>168</v>
      </c>
      <c r="D229" s="38" t="s">
        <v>2141</v>
      </c>
      <c r="E229" s="38" t="s">
        <v>2142</v>
      </c>
      <c r="F229" s="63">
        <v>12000</v>
      </c>
      <c r="G229" s="38"/>
      <c r="H229" s="38" t="s">
        <v>2031</v>
      </c>
      <c r="I229" s="38" t="s">
        <v>2031</v>
      </c>
      <c r="J229" s="38" t="s">
        <v>23</v>
      </c>
      <c r="L229" s="1" t="str">
        <v>Xoserve Limited</v>
      </c>
      <c r="M229" s="1" t="str">
        <f t="shared" si="17"/>
        <v>Energy User</v>
      </c>
      <c r="N229" s="109">
        <f t="shared" si="18"/>
        <v>6150</v>
      </c>
      <c r="O229" s="1">
        <f>IFERROR(IF(INDEX(Table3[[Total Spend]:[Total Spend]],MATCH(L229,Table3[[Company name]:[Company name]],0))&gt;N229,INDEX(Table3[[Total Spend]:[Total Spend]],MATCH(L229,Table3[[Company name]:[Company name]])),N229),50000)</f>
        <v>8100</v>
      </c>
      <c r="P229" s="109">
        <f t="shared" si="19"/>
        <v>1950</v>
      </c>
      <c r="Q229" s="103">
        <f t="shared" si="20"/>
        <v>0.7592592592592593</v>
      </c>
      <c r="R229" s="1">
        <f ca="1">IFERROR(INDEX(INDIRECT("Table3[Column"&amp;R$9&amp;"]"),MATCH($L229,Table3[[Company name]:[Company name]],0)),0)</f>
        <v>8100</v>
      </c>
      <c r="S229" s="1">
        <f ca="1">IFERROR(INDEX(INDIRECT("Table3[Column"&amp;S$9&amp;"]"),MATCH($L229,Table3[[Company name]:[Company name]],0)),0)</f>
        <v>0</v>
      </c>
      <c r="T229" s="1">
        <f ca="1">IFERROR(INDEX(INDIRECT("Table3[Column"&amp;T$9&amp;"]"),MATCH($L229,Table3[[Company name]:[Company name]],0)),0)</f>
        <v>0</v>
      </c>
      <c r="U229" s="1">
        <f ca="1">IFERROR(INDEX(INDIRECT("Table3[Column"&amp;U$9&amp;"]"),MATCH($L229,Table3[[Company name]:[Company name]],0)),0)</f>
        <v>0</v>
      </c>
      <c r="V229" s="1">
        <f ca="1">IFERROR(INDEX(INDIRECT("Table3[Column"&amp;V$9&amp;"]"),MATCH($L229,Table3[[Company name]:[Company name]],0)),0)</f>
        <v>0</v>
      </c>
      <c r="W229" s="1">
        <f ca="1">IFERROR(INDEX(INDIRECT("Table3[Column"&amp;W$9&amp;"]"),MATCH($L229,Table3[[Company name]:[Company name]],0)),0)</f>
        <v>0</v>
      </c>
      <c r="X229" s="1">
        <f ca="1">IFERROR(INDEX(INDIRECT("Table3[Column"&amp;X$9&amp;"]"),MATCH($L229,Table3[[Company name]:[Company name]],0)),0)</f>
        <v>0</v>
      </c>
      <c r="Y229" s="1">
        <f ca="1">IFERROR(INDEX(INDIRECT("Table3[Column"&amp;Y$9&amp;"]"),MATCH($L229,Table3[[Company name]:[Company name]],0)),0)</f>
        <v>0</v>
      </c>
      <c r="Z229" s="1">
        <f ca="1">IFERROR(INDEX(INDIRECT("Table3[Column"&amp;Z$9&amp;"]"),MATCH($L229,Table3[[Company name]:[Company name]],0)),0)</f>
        <v>0</v>
      </c>
      <c r="AA229" s="1">
        <f ca="1">IFERROR(INDEX(INDIRECT("Table3[Column"&amp;AA$9&amp;"]"),MATCH($L229,Table3[[Company name]:[Company name]],0)),0)</f>
        <v>0</v>
      </c>
      <c r="AB229" s="1">
        <f ca="1">IFERROR(INDEX(INDIRECT("Table3[Column"&amp;AB$9&amp;"]"),MATCH($L229,Table3[[Company name]:[Company name]],0)),0)</f>
        <v>0</v>
      </c>
      <c r="AC229" s="1">
        <f ca="1">IFERROR(INDEX(INDIRECT("Table3[Column"&amp;AC$9&amp;"]"),MATCH($L229,Table3[[Company name]:[Company name]],0)),0)</f>
        <v>0</v>
      </c>
      <c r="AD229" s="1">
        <f ca="1">IFERROR(INDEX(INDIRECT("Table3[Column"&amp;AD$9&amp;"]"),MATCH($L229,Table3[[Company name]:[Company name]],0)),0)</f>
        <v>0</v>
      </c>
      <c r="AE229" s="1">
        <f ca="1">IFERROR(INDEX(INDIRECT("Table3[Column"&amp;AE$9&amp;"]"),MATCH($L229,Table3[[Company name]:[Company name]],0)),0)</f>
        <v>0</v>
      </c>
      <c r="AF229" s="1">
        <f ca="1">IFERROR(INDEX(INDIRECT("Table3[Column"&amp;AF$9&amp;"]"),MATCH($L229,Table3[[Company name]:[Company name]],0)),0)</f>
        <v>0</v>
      </c>
      <c r="AG229" s="1">
        <f ca="1">IFERROR(INDEX(INDIRECT("Table3[Column"&amp;AG$9&amp;"]"),MATCH($L229,Table3[[Company name]:[Company name]],0)),0)</f>
        <v>0</v>
      </c>
      <c r="AH229" s="1">
        <f ca="1">IFERROR(INDEX(INDIRECT("Table3[Column"&amp;AH$9&amp;"]"),MATCH($L229,Table3[[Company name]:[Company name]],0)),0)</f>
        <v>0</v>
      </c>
      <c r="AI229" s="1">
        <f t="shared" ca="1" si="21"/>
        <v>8100</v>
      </c>
      <c r="AK229" s="1">
        <f>IF(COUNTIFS($J$7:$J$510,Table7[[#Headers],[Industry Essentials]],$C$7:$C$510,$L229)&gt;0,0,MROUND(R229,100))</f>
        <v>0</v>
      </c>
      <c r="AL229" s="1">
        <f ca="1">IF(COUNTIFS($J$7:$J$510,Table7[[#Headers],[Energy Supply Market Intelligence]],$C$7:$C$510,$L229)&gt;0,0,MROUND(IFERROR(S229*($P229/$AI229),0),100))</f>
        <v>0</v>
      </c>
      <c r="AM229" s="1">
        <f ca="1">IF(COUNTIFS($J$7:$J$510,Table7[[#Headers],[Energy Supply RTM Analysis]],$C$7:$C$510,$L229)&gt;0,0,MROUND(IFERROR(T229*($P229/$AI229),0),100))</f>
        <v>0</v>
      </c>
      <c r="AN229" s="1">
        <f ca="1">IF(COUNTIFS($J$7:$J$510,Table7[[#Headers],[Energy Supply Forecasts]],$C$7:$C$510,$L229)&gt;0,0,MROUND(IFERROR(U229*($P229/$AI229),0),100))</f>
        <v>0</v>
      </c>
      <c r="AO229" s="1">
        <f ca="1">IF(COUNTIFS($J$7:$J$510,Table7[[#Headers],[Energy Supply Regulation]],$C$7:$C$510,$L229)&gt;0,0,MROUND(IFERROR(V229*($P229/$AI229),0),100))</f>
        <v>0</v>
      </c>
      <c r="AP229" s="1">
        <f ca="1">IF(COUNTIFS($J$7:$J$510,Table7[[#Headers],[Renewables Market Intelligence]],$C$7:$C$510,$L229)&gt;0,0,MROUND(IFERROR(W229*($P229/$AI229),0),100))</f>
        <v>0</v>
      </c>
      <c r="AQ229" s="1">
        <f ca="1">IF(COUNTIFS($J$7:$J$510,Table7[[#Headers],[Renewables RTM Analysis]],$C$7:$C$510,$L229)&gt;0,0,MROUND(IFERROR(X229*($P229/$AI229),0),100))</f>
        <v>0</v>
      </c>
      <c r="AR229" s="1">
        <f ca="1">IF(COUNTIFS($J$7:$J$510,Table7[[#Headers],[Renewables Forecasts]],$C$7:$C$510,$L229)&gt;0,0,MROUND(IFERROR(Y229*($P229/$AI229),0),100))</f>
        <v>0</v>
      </c>
      <c r="AS229" s="1">
        <f ca="1">IF(COUNTIFS($J$7:$J$510,Table7[[#Headers],[Renewables Regulation]],$C$7:$C$510,$L229)&gt;0,0,MROUND(IFERROR(Z229*($P229/$AI229),0),100))</f>
        <v>0</v>
      </c>
      <c r="AT229" s="1">
        <f ca="1">IF(COUNTIFS($J$7:$J$510,Table7[[#Headers],[Flexibility Market Intelligence]],$C$7:$C$510,$L229)&gt;0,0,MROUND(IFERROR(AA229*($P229/$AI229),0),100))</f>
        <v>0</v>
      </c>
      <c r="AU229" s="1">
        <f ca="1">IF(COUNTIFS($J$7:$J$510,Table7[[#Headers],[Flexibility RTM Analysis]],$C$7:$C$510,$L229)&gt;0,0,MROUND(IFERROR(AB229*($P229/$AI229),0),100))</f>
        <v>0</v>
      </c>
      <c r="AV229" s="1">
        <f ca="1">IF(COUNTIFS($J$7:$J$510,Table7[[#Headers],[Flexibility Forecasts]],$C$7:$C$510,$L229)&gt;0,0,MROUND(IFERROR(AC229*($P229/$AI229),0),100))</f>
        <v>0</v>
      </c>
      <c r="AW229" s="1">
        <f ca="1">IF(COUNTIFS($J$7:$J$510,Table7[[#Headers],[Flexibility Regulation]],$C$7:$C$510,$L229)&gt;0,0,MROUND(IFERROR(AD229*($P229/$AI229),0),100))</f>
        <v>0</v>
      </c>
      <c r="AX229" s="1">
        <f ca="1">IF(COUNTIFS($J$7:$J$510,Table7[[#Headers],[Business Energy Essentials]],$C$7:$C$510,$L229)&gt;0,0,MROUND(IFERROR(AE229*($P229/$AI229),0),100))</f>
        <v>0</v>
      </c>
      <c r="AY229" s="1">
        <f ca="1">IF(COUNTIFS($J$7:$J$510,Table7[[#Headers],[Energy User RTM Analysis]],$C$7:$C$510,$L229)&gt;0,0,MROUND(IFERROR(AF229*($P229/$AI229),0),100))</f>
        <v>0</v>
      </c>
      <c r="AZ229" s="1">
        <f ca="1">IF(COUNTIFS($J$7:$J$510,Table7[[#Headers],[Energy User Forecasts]],$C$7:$C$510,$L229)&gt;0,0,MROUND(IFERROR(AG229*($P229/$AI229),0),100))</f>
        <v>0</v>
      </c>
      <c r="BA229" s="1">
        <f ca="1">IF(COUNTIFS($J$7:$J$510,Table7[[#Headers],[Energy User Regulation]],$C$7:$C$510,$L229)&gt;0,0,MROUND(IFERROR(AH229*($P229/$AI229),0),100))</f>
        <v>0</v>
      </c>
    </row>
    <row r="230" spans="2:53">
      <c r="B230" s="38" t="s">
        <v>2193</v>
      </c>
      <c r="C230" s="38" t="s">
        <v>168</v>
      </c>
      <c r="D230" s="38" t="s">
        <v>2044</v>
      </c>
      <c r="E230" s="38" t="s">
        <v>1912</v>
      </c>
      <c r="F230" s="63">
        <v>20850</v>
      </c>
      <c r="G230" s="38"/>
      <c r="H230" s="38" t="s">
        <v>2031</v>
      </c>
      <c r="I230" s="38" t="s">
        <v>2031</v>
      </c>
      <c r="J230" s="38" t="s">
        <v>24</v>
      </c>
      <c r="L230" s="1" t="str">
        <v>Ynni Teg</v>
      </c>
      <c r="M230" s="1" t="str">
        <f t="shared" si="17"/>
        <v>Energy User</v>
      </c>
      <c r="N230" s="109">
        <f t="shared" si="18"/>
        <v>11000</v>
      </c>
      <c r="O230" s="1">
        <f>IFERROR(IF(INDEX(Table3[[Total Spend]:[Total Spend]],MATCH(L230,Table3[[Company name]:[Company name]],0))&gt;N230,INDEX(Table3[[Total Spend]:[Total Spend]],MATCH(L230,Table3[[Company name]:[Company name]])),N230),50000)</f>
        <v>8100</v>
      </c>
      <c r="P230" s="109">
        <f t="shared" si="19"/>
        <v>11000</v>
      </c>
      <c r="Q230" s="103">
        <f t="shared" si="20"/>
        <v>1</v>
      </c>
      <c r="R230" s="1">
        <f ca="1">IFERROR(INDEX(INDIRECT("Table3[Column"&amp;R$9&amp;"]"),MATCH($L230,Table3[[Company name]:[Company name]],0)),0)</f>
        <v>8100</v>
      </c>
      <c r="S230" s="1">
        <f ca="1">IFERROR(INDEX(INDIRECT("Table3[Column"&amp;S$9&amp;"]"),MATCH($L230,Table3[[Company name]:[Company name]],0)),0)</f>
        <v>0</v>
      </c>
      <c r="T230" s="1">
        <f ca="1">IFERROR(INDEX(INDIRECT("Table3[Column"&amp;T$9&amp;"]"),MATCH($L230,Table3[[Company name]:[Company name]],0)),0)</f>
        <v>0</v>
      </c>
      <c r="U230" s="1">
        <f ca="1">IFERROR(INDEX(INDIRECT("Table3[Column"&amp;U$9&amp;"]"),MATCH($L230,Table3[[Company name]:[Company name]],0)),0)</f>
        <v>0</v>
      </c>
      <c r="V230" s="1">
        <f ca="1">IFERROR(INDEX(INDIRECT("Table3[Column"&amp;V$9&amp;"]"),MATCH($L230,Table3[[Company name]:[Company name]],0)),0)</f>
        <v>0</v>
      </c>
      <c r="W230" s="1">
        <f ca="1">IFERROR(INDEX(INDIRECT("Table3[Column"&amp;W$9&amp;"]"),MATCH($L230,Table3[[Company name]:[Company name]],0)),0)</f>
        <v>17100</v>
      </c>
      <c r="X230" s="1">
        <f ca="1">IFERROR(INDEX(INDIRECT("Table3[Column"&amp;X$9&amp;"]"),MATCH($L230,Table3[[Company name]:[Company name]],0)),0)</f>
        <v>15300</v>
      </c>
      <c r="Y230" s="1">
        <f ca="1">IFERROR(INDEX(INDIRECT("Table3[Column"&amp;Y$9&amp;"]"),MATCH($L230,Table3[[Company name]:[Company name]],0)),0)</f>
        <v>42300</v>
      </c>
      <c r="Z230" s="1">
        <f ca="1">IFERROR(INDEX(INDIRECT("Table3[Column"&amp;Z$9&amp;"]"),MATCH($L230,Table3[[Company name]:[Company name]],0)),0)</f>
        <v>18900</v>
      </c>
      <c r="AA230" s="1">
        <f ca="1">IFERROR(INDEX(INDIRECT("Table3[Column"&amp;AA$9&amp;"]"),MATCH($L230,Table3[[Company name]:[Company name]],0)),0)</f>
        <v>0</v>
      </c>
      <c r="AB230" s="1">
        <f ca="1">IFERROR(INDEX(INDIRECT("Table3[Column"&amp;AB$9&amp;"]"),MATCH($L230,Table3[[Company name]:[Company name]],0)),0)</f>
        <v>0</v>
      </c>
      <c r="AC230" s="1">
        <f ca="1">IFERROR(INDEX(INDIRECT("Table3[Column"&amp;AC$9&amp;"]"),MATCH($L230,Table3[[Company name]:[Company name]],0)),0)</f>
        <v>0</v>
      </c>
      <c r="AD230" s="1">
        <f ca="1">IFERROR(INDEX(INDIRECT("Table3[Column"&amp;AD$9&amp;"]"),MATCH($L230,Table3[[Company name]:[Company name]],0)),0)</f>
        <v>0</v>
      </c>
      <c r="AE230" s="1">
        <f ca="1">IFERROR(INDEX(INDIRECT("Table3[Column"&amp;AE$9&amp;"]"),MATCH($L230,Table3[[Company name]:[Company name]],0)),0)</f>
        <v>0</v>
      </c>
      <c r="AF230" s="1">
        <f ca="1">IFERROR(INDEX(INDIRECT("Table3[Column"&amp;AF$9&amp;"]"),MATCH($L230,Table3[[Company name]:[Company name]],0)),0)</f>
        <v>0</v>
      </c>
      <c r="AG230" s="1">
        <f ca="1">IFERROR(INDEX(INDIRECT("Table3[Column"&amp;AG$9&amp;"]"),MATCH($L230,Table3[[Company name]:[Company name]],0)),0)</f>
        <v>0</v>
      </c>
      <c r="AH230" s="1">
        <f ca="1">IFERROR(INDEX(INDIRECT("Table3[Column"&amp;AH$9&amp;"]"),MATCH($L230,Table3[[Company name]:[Company name]],0)),0)</f>
        <v>0</v>
      </c>
      <c r="AI230" s="1">
        <f t="shared" ca="1" si="21"/>
        <v>101700</v>
      </c>
      <c r="AK230" s="1">
        <f ca="1">IF(COUNTIFS($J$7:$J$510,Table7[[#Headers],[Industry Essentials]],$C$7:$C$510,$L230)&gt;0,0,MROUND(R230,100))</f>
        <v>8100</v>
      </c>
      <c r="AL230" s="1">
        <f ca="1">IF(COUNTIFS($J$7:$J$510,Table7[[#Headers],[Energy Supply Market Intelligence]],$C$7:$C$510,$L230)&gt;0,0,MROUND(IFERROR(S230*($P230/$AI230),0),100))</f>
        <v>0</v>
      </c>
      <c r="AM230" s="1">
        <f ca="1">IF(COUNTIFS($J$7:$J$510,Table7[[#Headers],[Energy Supply RTM Analysis]],$C$7:$C$510,$L230)&gt;0,0,MROUND(IFERROR(T230*($P230/$AI230),0),100))</f>
        <v>0</v>
      </c>
      <c r="AN230" s="1">
        <f ca="1">IF(COUNTIFS($J$7:$J$510,Table7[[#Headers],[Energy Supply Forecasts]],$C$7:$C$510,$L230)&gt;0,0,MROUND(IFERROR(U230*($P230/$AI230),0),100))</f>
        <v>0</v>
      </c>
      <c r="AO230" s="1">
        <f ca="1">IF(COUNTIFS($J$7:$J$510,Table7[[#Headers],[Energy Supply Regulation]],$C$7:$C$510,$L230)&gt;0,0,MROUND(IFERROR(V230*($P230/$AI230),0),100))</f>
        <v>0</v>
      </c>
      <c r="AP230" s="1">
        <f ca="1">IF(COUNTIFS($J$7:$J$510,Table7[[#Headers],[Renewables Market Intelligence]],$C$7:$C$510,$L230)&gt;0,0,MROUND(IFERROR(W230*($P230/$AI230),0),100))</f>
        <v>1800</v>
      </c>
      <c r="AQ230" s="1">
        <f ca="1">IF(COUNTIFS($J$7:$J$510,Table7[[#Headers],[Renewables RTM Analysis]],$C$7:$C$510,$L230)&gt;0,0,MROUND(IFERROR(X230*($P230/$AI230),0),100))</f>
        <v>1700</v>
      </c>
      <c r="AR230" s="1">
        <f>IF(COUNTIFS($J$7:$J$510,Table7[[#Headers],[Renewables Forecasts]],$C$7:$C$510,$L230)&gt;0,0,MROUND(IFERROR(Y230*($P230/$AI230),0),100))</f>
        <v>0</v>
      </c>
      <c r="AS230" s="1">
        <f ca="1">IF(COUNTIFS($J$7:$J$510,Table7[[#Headers],[Renewables Regulation]],$C$7:$C$510,$L230)&gt;0,0,MROUND(IFERROR(Z230*($P230/$AI230),0),100))</f>
        <v>2000</v>
      </c>
      <c r="AT230" s="1">
        <f ca="1">IF(COUNTIFS($J$7:$J$510,Table7[[#Headers],[Flexibility Market Intelligence]],$C$7:$C$510,$L230)&gt;0,0,MROUND(IFERROR(AA230*($P230/$AI230),0),100))</f>
        <v>0</v>
      </c>
      <c r="AU230" s="1">
        <f ca="1">IF(COUNTIFS($J$7:$J$510,Table7[[#Headers],[Flexibility RTM Analysis]],$C$7:$C$510,$L230)&gt;0,0,MROUND(IFERROR(AB230*($P230/$AI230),0),100))</f>
        <v>0</v>
      </c>
      <c r="AV230" s="1">
        <f ca="1">IF(COUNTIFS($J$7:$J$510,Table7[[#Headers],[Flexibility Forecasts]],$C$7:$C$510,$L230)&gt;0,0,MROUND(IFERROR(AC230*($P230/$AI230),0),100))</f>
        <v>0</v>
      </c>
      <c r="AW230" s="1">
        <f ca="1">IF(COUNTIFS($J$7:$J$510,Table7[[#Headers],[Flexibility Regulation]],$C$7:$C$510,$L230)&gt;0,0,MROUND(IFERROR(AD230*($P230/$AI230),0),100))</f>
        <v>0</v>
      </c>
      <c r="AX230" s="1">
        <f ca="1">IF(COUNTIFS($J$7:$J$510,Table7[[#Headers],[Business Energy Essentials]],$C$7:$C$510,$L230)&gt;0,0,MROUND(IFERROR(AE230*($P230/$AI230),0),100))</f>
        <v>0</v>
      </c>
      <c r="AY230" s="1">
        <f ca="1">IF(COUNTIFS($J$7:$J$510,Table7[[#Headers],[Energy User RTM Analysis]],$C$7:$C$510,$L230)&gt;0,0,MROUND(IFERROR(AF230*($P230/$AI230),0),100))</f>
        <v>0</v>
      </c>
      <c r="AZ230" s="1">
        <f ca="1">IF(COUNTIFS($J$7:$J$510,Table7[[#Headers],[Energy User Forecasts]],$C$7:$C$510,$L230)&gt;0,0,MROUND(IFERROR(AG230*($P230/$AI230),0),100))</f>
        <v>0</v>
      </c>
      <c r="BA230" s="1">
        <f ca="1">IF(COUNTIFS($J$7:$J$510,Table7[[#Headers],[Energy User Regulation]],$C$7:$C$510,$L230)&gt;0,0,MROUND(IFERROR(AH230*($P230/$AI230),0),100))</f>
        <v>0</v>
      </c>
    </row>
    <row r="231" spans="2:53">
      <c r="B231" s="38" t="s">
        <v>2194</v>
      </c>
      <c r="C231" s="38" t="s">
        <v>262</v>
      </c>
      <c r="D231" s="38" t="s">
        <v>2048</v>
      </c>
      <c r="E231" s="38" t="s">
        <v>2049</v>
      </c>
      <c r="F231" s="63">
        <v>4000</v>
      </c>
      <c r="G231" s="38"/>
      <c r="H231" s="38" t="s">
        <v>1702</v>
      </c>
      <c r="I231" s="38" t="s">
        <v>2032</v>
      </c>
      <c r="J231" s="38" t="s">
        <v>20</v>
      </c>
      <c r="L231" s="1" t="str">
        <v>Yorkshire Water Services Limited</v>
      </c>
      <c r="M231" s="1" t="str">
        <f t="shared" si="17"/>
        <v>Energy User</v>
      </c>
      <c r="N231" s="109">
        <f t="shared" si="18"/>
        <v>4761</v>
      </c>
      <c r="O231" s="1">
        <f>IFERROR(IF(INDEX(Table3[[Total Spend]:[Total Spend]],MATCH(L231,Table3[[Company name]:[Company name]],0))&gt;N231,INDEX(Table3[[Total Spend]:[Total Spend]],MATCH(L231,Table3[[Company name]:[Company name]])),N231),50000)</f>
        <v>8100</v>
      </c>
      <c r="P231" s="109">
        <f t="shared" si="19"/>
        <v>3339</v>
      </c>
      <c r="Q231" s="103">
        <f t="shared" si="20"/>
        <v>0.58777777777777773</v>
      </c>
      <c r="R231" s="1">
        <f ca="1">IFERROR(INDEX(INDIRECT("Table3[Column"&amp;R$9&amp;"]"),MATCH($L231,Table3[[Company name]:[Company name]],0)),0)</f>
        <v>0</v>
      </c>
      <c r="S231" s="1">
        <f ca="1">IFERROR(INDEX(INDIRECT("Table3[Column"&amp;S$9&amp;"]"),MATCH($L231,Table3[[Company name]:[Company name]],0)),0)</f>
        <v>0</v>
      </c>
      <c r="T231" s="1">
        <f ca="1">IFERROR(INDEX(INDIRECT("Table3[Column"&amp;T$9&amp;"]"),MATCH($L231,Table3[[Company name]:[Company name]],0)),0)</f>
        <v>0</v>
      </c>
      <c r="U231" s="1">
        <f ca="1">IFERROR(INDEX(INDIRECT("Table3[Column"&amp;U$9&amp;"]"),MATCH($L231,Table3[[Company name]:[Company name]],0)),0)</f>
        <v>0</v>
      </c>
      <c r="V231" s="1">
        <f ca="1">IFERROR(INDEX(INDIRECT("Table3[Column"&amp;V$9&amp;"]"),MATCH($L231,Table3[[Company name]:[Company name]],0)),0)</f>
        <v>0</v>
      </c>
      <c r="W231" s="1">
        <f ca="1">IFERROR(INDEX(INDIRECT("Table3[Column"&amp;W$9&amp;"]"),MATCH($L231,Table3[[Company name]:[Company name]],0)),0)</f>
        <v>0</v>
      </c>
      <c r="X231" s="1">
        <f ca="1">IFERROR(INDEX(INDIRECT("Table3[Column"&amp;X$9&amp;"]"),MATCH($L231,Table3[[Company name]:[Company name]],0)),0)</f>
        <v>0</v>
      </c>
      <c r="Y231" s="1">
        <f ca="1">IFERROR(INDEX(INDIRECT("Table3[Column"&amp;Y$9&amp;"]"),MATCH($L231,Table3[[Company name]:[Company name]],0)),0)</f>
        <v>0</v>
      </c>
      <c r="Z231" s="1">
        <f ca="1">IFERROR(INDEX(INDIRECT("Table3[Column"&amp;Z$9&amp;"]"),MATCH($L231,Table3[[Company name]:[Company name]],0)),0)</f>
        <v>0</v>
      </c>
      <c r="AA231" s="1">
        <f ca="1">IFERROR(INDEX(INDIRECT("Table3[Column"&amp;AA$9&amp;"]"),MATCH($L231,Table3[[Company name]:[Company name]],0)),0)</f>
        <v>0</v>
      </c>
      <c r="AB231" s="1">
        <f ca="1">IFERROR(INDEX(INDIRECT("Table3[Column"&amp;AB$9&amp;"]"),MATCH($L231,Table3[[Company name]:[Company name]],0)),0)</f>
        <v>0</v>
      </c>
      <c r="AC231" s="1">
        <f ca="1">IFERROR(INDEX(INDIRECT("Table3[Column"&amp;AC$9&amp;"]"),MATCH($L231,Table3[[Company name]:[Company name]],0)),0)</f>
        <v>0</v>
      </c>
      <c r="AD231" s="1">
        <f ca="1">IFERROR(INDEX(INDIRECT("Table3[Column"&amp;AD$9&amp;"]"),MATCH($L231,Table3[[Company name]:[Company name]],0)),0)</f>
        <v>0</v>
      </c>
      <c r="AE231" s="1">
        <f ca="1">IFERROR(INDEX(INDIRECT("Table3[Column"&amp;AE$9&amp;"]"),MATCH($L231,Table3[[Company name]:[Company name]],0)),0)</f>
        <v>15300</v>
      </c>
      <c r="AF231" s="1">
        <f ca="1">IFERROR(INDEX(INDIRECT("Table3[Column"&amp;AF$9&amp;"]"),MATCH($L231,Table3[[Company name]:[Company name]],0)),0)</f>
        <v>15750</v>
      </c>
      <c r="AG231" s="1">
        <f ca="1">IFERROR(INDEX(INDIRECT("Table3[Column"&amp;AG$9&amp;"]"),MATCH($L231,Table3[[Company name]:[Company name]],0)),0)</f>
        <v>27000</v>
      </c>
      <c r="AH231" s="1">
        <f ca="1">IFERROR(INDEX(INDIRECT("Table3[Column"&amp;AH$9&amp;"]"),MATCH($L231,Table3[[Company name]:[Company name]],0)),0)</f>
        <v>6300</v>
      </c>
      <c r="AI231" s="1">
        <f t="shared" ca="1" si="21"/>
        <v>64350</v>
      </c>
      <c r="AK231" s="1">
        <f ca="1">IF(COUNTIFS($J$7:$J$510,Table7[[#Headers],[Industry Essentials]],$C$7:$C$510,$L231)&gt;0,0,MROUND(R231,100))</f>
        <v>0</v>
      </c>
      <c r="AL231" s="1">
        <f ca="1">IF(COUNTIFS($J$7:$J$510,Table7[[#Headers],[Energy Supply Market Intelligence]],$C$7:$C$510,$L231)&gt;0,0,MROUND(IFERROR(S231*($P231/$AI231),0),100))</f>
        <v>0</v>
      </c>
      <c r="AM231" s="1">
        <f ca="1">IF(COUNTIFS($J$7:$J$510,Table7[[#Headers],[Energy Supply RTM Analysis]],$C$7:$C$510,$L231)&gt;0,0,MROUND(IFERROR(T231*($P231/$AI231),0),100))</f>
        <v>0</v>
      </c>
      <c r="AN231" s="1">
        <f ca="1">IF(COUNTIFS($J$7:$J$510,Table7[[#Headers],[Energy Supply Forecasts]],$C$7:$C$510,$L231)&gt;0,0,MROUND(IFERROR(U231*($P231/$AI231),0),100))</f>
        <v>0</v>
      </c>
      <c r="AO231" s="1">
        <f ca="1">IF(COUNTIFS($J$7:$J$510,Table7[[#Headers],[Energy Supply Regulation]],$C$7:$C$510,$L231)&gt;0,0,MROUND(IFERROR(V231*($P231/$AI231),0),100))</f>
        <v>0</v>
      </c>
      <c r="AP231" s="1">
        <f ca="1">IF(COUNTIFS($J$7:$J$510,Table7[[#Headers],[Renewables Market Intelligence]],$C$7:$C$510,$L231)&gt;0,0,MROUND(IFERROR(W231*($P231/$AI231),0),100))</f>
        <v>0</v>
      </c>
      <c r="AQ231" s="1">
        <f ca="1">IF(COUNTIFS($J$7:$J$510,Table7[[#Headers],[Renewables RTM Analysis]],$C$7:$C$510,$L231)&gt;0,0,MROUND(IFERROR(X231*($P231/$AI231),0),100))</f>
        <v>0</v>
      </c>
      <c r="AR231" s="1">
        <f ca="1">IF(COUNTIFS($J$7:$J$510,Table7[[#Headers],[Renewables Forecasts]],$C$7:$C$510,$L231)&gt;0,0,MROUND(IFERROR(Y231*($P231/$AI231),0),100))</f>
        <v>0</v>
      </c>
      <c r="AS231" s="1">
        <f ca="1">IF(COUNTIFS($J$7:$J$510,Table7[[#Headers],[Renewables Regulation]],$C$7:$C$510,$L231)&gt;0,0,MROUND(IFERROR(Z231*($P231/$AI231),0),100))</f>
        <v>0</v>
      </c>
      <c r="AT231" s="1">
        <f ca="1">IF(COUNTIFS($J$7:$J$510,Table7[[#Headers],[Flexibility Market Intelligence]],$C$7:$C$510,$L231)&gt;0,0,MROUND(IFERROR(AA231*($P231/$AI231),0),100))</f>
        <v>0</v>
      </c>
      <c r="AU231" s="1">
        <f ca="1">IF(COUNTIFS($J$7:$J$510,Table7[[#Headers],[Flexibility RTM Analysis]],$C$7:$C$510,$L231)&gt;0,0,MROUND(IFERROR(AB231*($P231/$AI231),0),100))</f>
        <v>0</v>
      </c>
      <c r="AV231" s="1">
        <f ca="1">IF(COUNTIFS($J$7:$J$510,Table7[[#Headers],[Flexibility Forecasts]],$C$7:$C$510,$L231)&gt;0,0,MROUND(IFERROR(AC231*($P231/$AI231),0),100))</f>
        <v>0</v>
      </c>
      <c r="AW231" s="1">
        <f ca="1">IF(COUNTIFS($J$7:$J$510,Table7[[#Headers],[Flexibility Regulation]],$C$7:$C$510,$L231)&gt;0,0,MROUND(IFERROR(AD231*($P231/$AI231),0),100))</f>
        <v>0</v>
      </c>
      <c r="AX231" s="1">
        <f ca="1">IF(COUNTIFS($J$7:$J$510,Table7[[#Headers],[Business Energy Essentials]],$C$7:$C$510,$L231)&gt;0,0,MROUND(IFERROR(AE231*($P231/$AI231),0),100))</f>
        <v>800</v>
      </c>
      <c r="AY231" s="1">
        <f ca="1">IF(COUNTIFS($J$7:$J$510,Table7[[#Headers],[Energy User RTM Analysis]],$C$7:$C$510,$L231)&gt;0,0,MROUND(IFERROR(AF231*($P231/$AI231),0),100))</f>
        <v>800</v>
      </c>
      <c r="AZ231" s="1">
        <f>IF(COUNTIFS($J$7:$J$510,Table7[[#Headers],[Energy User Forecasts]],$C$7:$C$510,$L231)&gt;0,0,MROUND(IFERROR(AG231*($P231/$AI231),0),100))</f>
        <v>0</v>
      </c>
      <c r="BA231" s="1">
        <f ca="1">IF(COUNTIFS($J$7:$J$510,Table7[[#Headers],[Energy User Regulation]],$C$7:$C$510,$L231)&gt;0,0,MROUND(IFERROR(AH231*($P231/$AI231),0),100))</f>
        <v>300</v>
      </c>
    </row>
    <row r="232" spans="2:53">
      <c r="B232" s="38" t="s">
        <v>2194</v>
      </c>
      <c r="C232" s="38" t="s">
        <v>262</v>
      </c>
      <c r="D232" s="38" t="s">
        <v>2054</v>
      </c>
      <c r="E232" s="38" t="s">
        <v>2055</v>
      </c>
      <c r="F232" s="63">
        <v>10500</v>
      </c>
      <c r="G232" s="38"/>
      <c r="H232" s="38" t="s">
        <v>1702</v>
      </c>
      <c r="I232" s="38" t="s">
        <v>1702</v>
      </c>
      <c r="J232" s="38" t="s">
        <v>27</v>
      </c>
      <c r="L232" s="1" t="str">
        <v>Yü Energy Retail Ltd</v>
      </c>
      <c r="M232" s="1" t="str">
        <f t="shared" si="17"/>
        <v>Energy User</v>
      </c>
      <c r="N232" s="109">
        <f t="shared" si="18"/>
        <v>24500</v>
      </c>
      <c r="O232" s="1">
        <f>IFERROR(IF(INDEX(Table3[[Total Spend]:[Total Spend]],MATCH(L232,Table3[[Company name]:[Company name]],0))&gt;N232,INDEX(Table3[[Total Spend]:[Total Spend]],MATCH(L232,Table3[[Company name]:[Company name]])),N232),50000)</f>
        <v>8100</v>
      </c>
      <c r="P232" s="109">
        <f t="shared" si="19"/>
        <v>24500</v>
      </c>
      <c r="Q232" s="103">
        <f t="shared" si="20"/>
        <v>1</v>
      </c>
      <c r="R232" s="1">
        <f ca="1">IFERROR(INDEX(INDIRECT("Table3[Column"&amp;R$9&amp;"]"),MATCH($L232,Table3[[Company name]:[Company name]],0)),0)</f>
        <v>8100</v>
      </c>
      <c r="S232" s="1">
        <f ca="1">IFERROR(INDEX(INDIRECT("Table3[Column"&amp;S$9&amp;"]"),MATCH($L232,Table3[[Company name]:[Company name]],0)),0)</f>
        <v>30600</v>
      </c>
      <c r="T232" s="1">
        <f ca="1">IFERROR(INDEX(INDIRECT("Table3[Column"&amp;T$9&amp;"]"),MATCH($L232,Table3[[Company name]:[Company name]],0)),0)</f>
        <v>53100</v>
      </c>
      <c r="U232" s="1">
        <f ca="1">IFERROR(INDEX(INDIRECT("Table3[Column"&amp;U$9&amp;"]"),MATCH($L232,Table3[[Company name]:[Company name]],0)),0)</f>
        <v>34200</v>
      </c>
      <c r="V232" s="1">
        <f ca="1">IFERROR(INDEX(INDIRECT("Table3[Column"&amp;V$9&amp;"]"),MATCH($L232,Table3[[Company name]:[Company name]],0)),0)</f>
        <v>39600</v>
      </c>
      <c r="W232" s="1">
        <f ca="1">IFERROR(INDEX(INDIRECT("Table3[Column"&amp;W$9&amp;"]"),MATCH($L232,Table3[[Company name]:[Company name]],0)),0)</f>
        <v>0</v>
      </c>
      <c r="X232" s="1">
        <f ca="1">IFERROR(INDEX(INDIRECT("Table3[Column"&amp;X$9&amp;"]"),MATCH($L232,Table3[[Company name]:[Company name]],0)),0)</f>
        <v>0</v>
      </c>
      <c r="Y232" s="1">
        <f ca="1">IFERROR(INDEX(INDIRECT("Table3[Column"&amp;Y$9&amp;"]"),MATCH($L232,Table3[[Company name]:[Company name]],0)),0)</f>
        <v>0</v>
      </c>
      <c r="Z232" s="1">
        <f ca="1">IFERROR(INDEX(INDIRECT("Table3[Column"&amp;Z$9&amp;"]"),MATCH($L232,Table3[[Company name]:[Company name]],0)),0)</f>
        <v>0</v>
      </c>
      <c r="AA232" s="1">
        <f ca="1">IFERROR(INDEX(INDIRECT("Table3[Column"&amp;AA$9&amp;"]"),MATCH($L232,Table3[[Company name]:[Company name]],0)),0)</f>
        <v>21600</v>
      </c>
      <c r="AB232" s="1">
        <f ca="1">IFERROR(INDEX(INDIRECT("Table3[Column"&amp;AB$9&amp;"]"),MATCH($L232,Table3[[Company name]:[Company name]],0)),0)</f>
        <v>0</v>
      </c>
      <c r="AC232" s="1">
        <f ca="1">IFERROR(INDEX(INDIRECT("Table3[Column"&amp;AC$9&amp;"]"),MATCH($L232,Table3[[Company name]:[Company name]],0)),0)</f>
        <v>0</v>
      </c>
      <c r="AD232" s="1">
        <f ca="1">IFERROR(INDEX(INDIRECT("Table3[Column"&amp;AD$9&amp;"]"),MATCH($L232,Table3[[Company name]:[Company name]],0)),0)</f>
        <v>0</v>
      </c>
      <c r="AE232" s="1">
        <f ca="1">IFERROR(INDEX(INDIRECT("Table3[Column"&amp;AE$9&amp;"]"),MATCH($L232,Table3[[Company name]:[Company name]],0)),0)</f>
        <v>0</v>
      </c>
      <c r="AF232" s="1">
        <f ca="1">IFERROR(INDEX(INDIRECT("Table3[Column"&amp;AF$9&amp;"]"),MATCH($L232,Table3[[Company name]:[Company name]],0)),0)</f>
        <v>0</v>
      </c>
      <c r="AG232" s="1">
        <f ca="1">IFERROR(INDEX(INDIRECT("Table3[Column"&amp;AG$9&amp;"]"),MATCH($L232,Table3[[Company name]:[Company name]],0)),0)</f>
        <v>0</v>
      </c>
      <c r="AH232" s="1">
        <f ca="1">IFERROR(INDEX(INDIRECT("Table3[Column"&amp;AH$9&amp;"]"),MATCH($L232,Table3[[Company name]:[Company name]],0)),0)</f>
        <v>0</v>
      </c>
      <c r="AI232" s="1">
        <f t="shared" ca="1" si="21"/>
        <v>187200</v>
      </c>
      <c r="AK232" s="1">
        <f ca="1">IF(COUNTIFS($J$7:$J$510,Table7[[#Headers],[Industry Essentials]],$C$7:$C$510,$L232)&gt;0,0,MROUND(R232,100))</f>
        <v>8100</v>
      </c>
      <c r="AL232" s="1">
        <f ca="1">IF(COUNTIFS($J$7:$J$510,Table7[[#Headers],[Energy Supply Market Intelligence]],$C$7:$C$510,$L232)&gt;0,0,MROUND(IFERROR(S232*($P232/$AI232),0),100))</f>
        <v>4000</v>
      </c>
      <c r="AM232" s="1">
        <f ca="1">IF(COUNTIFS($J$7:$J$510,Table7[[#Headers],[Energy Supply RTM Analysis]],$C$7:$C$510,$L232)&gt;0,0,MROUND(IFERROR(T232*($P232/$AI232),0),100))</f>
        <v>6900</v>
      </c>
      <c r="AN232" s="1">
        <f>IF(COUNTIFS($J$7:$J$510,Table7[[#Headers],[Energy Supply Forecasts]],$C$7:$C$510,$L232)&gt;0,0,MROUND(IFERROR(U232*($P232/$AI232),0),100))</f>
        <v>0</v>
      </c>
      <c r="AO232" s="1">
        <f ca="1">IF(COUNTIFS($J$7:$J$510,Table7[[#Headers],[Energy Supply Regulation]],$C$7:$C$510,$L232)&gt;0,0,MROUND(IFERROR(V232*($P232/$AI232),0),100))</f>
        <v>5200</v>
      </c>
      <c r="AP232" s="1">
        <f ca="1">IF(COUNTIFS($J$7:$J$510,Table7[[#Headers],[Renewables Market Intelligence]],$C$7:$C$510,$L232)&gt;0,0,MROUND(IFERROR(W232*($P232/$AI232),0),100))</f>
        <v>0</v>
      </c>
      <c r="AQ232" s="1">
        <f ca="1">IF(COUNTIFS($J$7:$J$510,Table7[[#Headers],[Renewables RTM Analysis]],$C$7:$C$510,$L232)&gt;0,0,MROUND(IFERROR(X232*($P232/$AI232),0),100))</f>
        <v>0</v>
      </c>
      <c r="AR232" s="1">
        <f ca="1">IF(COUNTIFS($J$7:$J$510,Table7[[#Headers],[Renewables Forecasts]],$C$7:$C$510,$L232)&gt;0,0,MROUND(IFERROR(Y232*($P232/$AI232),0),100))</f>
        <v>0</v>
      </c>
      <c r="AS232" s="1">
        <f ca="1">IF(COUNTIFS($J$7:$J$510,Table7[[#Headers],[Renewables Regulation]],$C$7:$C$510,$L232)&gt;0,0,MROUND(IFERROR(Z232*($P232/$AI232),0),100))</f>
        <v>0</v>
      </c>
      <c r="AT232" s="1">
        <f ca="1">IF(COUNTIFS($J$7:$J$510,Table7[[#Headers],[Flexibility Market Intelligence]],$C$7:$C$510,$L232)&gt;0,0,MROUND(IFERROR(AA232*($P232/$AI232),0),100))</f>
        <v>2800</v>
      </c>
      <c r="AU232" s="1">
        <f ca="1">IF(COUNTIFS($J$7:$J$510,Table7[[#Headers],[Flexibility RTM Analysis]],$C$7:$C$510,$L232)&gt;0,0,MROUND(IFERROR(AB232*($P232/$AI232),0),100))</f>
        <v>0</v>
      </c>
      <c r="AV232" s="1">
        <f ca="1">IF(COUNTIFS($J$7:$J$510,Table7[[#Headers],[Flexibility Forecasts]],$C$7:$C$510,$L232)&gt;0,0,MROUND(IFERROR(AC232*($P232/$AI232),0),100))</f>
        <v>0</v>
      </c>
      <c r="AW232" s="1">
        <f ca="1">IF(COUNTIFS($J$7:$J$510,Table7[[#Headers],[Flexibility Regulation]],$C$7:$C$510,$L232)&gt;0,0,MROUND(IFERROR(AD232*($P232/$AI232),0),100))</f>
        <v>0</v>
      </c>
      <c r="AX232" s="1">
        <f ca="1">IF(COUNTIFS($J$7:$J$510,Table7[[#Headers],[Business Energy Essentials]],$C$7:$C$510,$L232)&gt;0,0,MROUND(IFERROR(AE232*($P232/$AI232),0),100))</f>
        <v>0</v>
      </c>
      <c r="AY232" s="1">
        <f ca="1">IF(COUNTIFS($J$7:$J$510,Table7[[#Headers],[Energy User RTM Analysis]],$C$7:$C$510,$L232)&gt;0,0,MROUND(IFERROR(AF232*($P232/$AI232),0),100))</f>
        <v>0</v>
      </c>
      <c r="AZ232" s="1">
        <f ca="1">IF(COUNTIFS($J$7:$J$510,Table7[[#Headers],[Energy User Forecasts]],$C$7:$C$510,$L232)&gt;0,0,MROUND(IFERROR(AG232*($P232/$AI232),0),100))</f>
        <v>0</v>
      </c>
      <c r="BA232" s="1">
        <f ca="1">IF(COUNTIFS($J$7:$J$510,Table7[[#Headers],[Energy User Regulation]],$C$7:$C$510,$L232)&gt;0,0,MROUND(IFERROR(AH232*($P232/$AI232),0),100))</f>
        <v>0</v>
      </c>
    </row>
    <row r="233" spans="2:53">
      <c r="B233" s="38" t="s">
        <v>2195</v>
      </c>
      <c r="C233" s="38" t="s">
        <v>2196</v>
      </c>
      <c r="D233" s="38" t="s">
        <v>2197</v>
      </c>
      <c r="E233" s="38" t="s">
        <v>2198</v>
      </c>
      <c r="F233" s="63">
        <v>9493.67</v>
      </c>
      <c r="G233" s="38"/>
      <c r="H233" s="38" t="s">
        <v>2031</v>
      </c>
      <c r="I233" s="38" t="s">
        <v>2031</v>
      </c>
      <c r="J233" s="38" t="s">
        <v>21</v>
      </c>
      <c r="L233" s="1" t="str">
        <v>Zenergi Limited</v>
      </c>
      <c r="M233" s="1" t="str">
        <f t="shared" si="17"/>
        <v>Energy User</v>
      </c>
      <c r="N233" s="109">
        <f t="shared" si="18"/>
        <v>17625</v>
      </c>
      <c r="O233" s="1">
        <f>IFERROR(IF(INDEX(Table3[[Total Spend]:[Total Spend]],MATCH(L233,Table3[[Company name]:[Company name]],0))&gt;N233,INDEX(Table3[[Total Spend]:[Total Spend]],MATCH(L233,Table3[[Company name]:[Company name]])),N233),50000)</f>
        <v>8100</v>
      </c>
      <c r="P233" s="109">
        <f t="shared" si="19"/>
        <v>17625</v>
      </c>
      <c r="Q233" s="103">
        <f t="shared" si="20"/>
        <v>1</v>
      </c>
      <c r="R233" s="1">
        <f ca="1">IFERROR(INDEX(INDIRECT("Table3[Column"&amp;R$9&amp;"]"),MATCH($L233,Table3[[Company name]:[Company name]],0)),0)</f>
        <v>10800</v>
      </c>
      <c r="S233" s="1">
        <f ca="1">IFERROR(INDEX(INDIRECT("Table3[Column"&amp;S$9&amp;"]"),MATCH($L233,Table3[[Company name]:[Company name]],0)),0)</f>
        <v>43200</v>
      </c>
      <c r="T233" s="1">
        <f ca="1">IFERROR(INDEX(INDIRECT("Table3[Column"&amp;T$9&amp;"]"),MATCH($L233,Table3[[Company name]:[Company name]],0)),0)</f>
        <v>73800</v>
      </c>
      <c r="U233" s="1">
        <f ca="1">IFERROR(INDEX(INDIRECT("Table3[Column"&amp;U$9&amp;"]"),MATCH($L233,Table3[[Company name]:[Company name]],0)),0)</f>
        <v>48600</v>
      </c>
      <c r="V233" s="1">
        <f ca="1">IFERROR(INDEX(INDIRECT("Table3[Column"&amp;V$9&amp;"]"),MATCH($L233,Table3[[Company name]:[Company name]],0)),0)</f>
        <v>0</v>
      </c>
      <c r="W233" s="1">
        <f ca="1">IFERROR(INDEX(INDIRECT("Table3[Column"&amp;W$9&amp;"]"),MATCH($L233,Table3[[Company name]:[Company name]],0)),0)</f>
        <v>0</v>
      </c>
      <c r="X233" s="1">
        <f ca="1">IFERROR(INDEX(INDIRECT("Table3[Column"&amp;X$9&amp;"]"),MATCH($L233,Table3[[Company name]:[Company name]],0)),0)</f>
        <v>0</v>
      </c>
      <c r="Y233" s="1">
        <f ca="1">IFERROR(INDEX(INDIRECT("Table3[Column"&amp;Y$9&amp;"]"),MATCH($L233,Table3[[Company name]:[Company name]],0)),0)</f>
        <v>0</v>
      </c>
      <c r="Z233" s="1">
        <f ca="1">IFERROR(INDEX(INDIRECT("Table3[Column"&amp;Z$9&amp;"]"),MATCH($L233,Table3[[Company name]:[Company name]],0)),0)</f>
        <v>0</v>
      </c>
      <c r="AA233" s="1">
        <f ca="1">IFERROR(INDEX(INDIRECT("Table3[Column"&amp;AA$9&amp;"]"),MATCH($L233,Table3[[Company name]:[Company name]],0)),0)</f>
        <v>0</v>
      </c>
      <c r="AB233" s="1">
        <f ca="1">IFERROR(INDEX(INDIRECT("Table3[Column"&amp;AB$9&amp;"]"),MATCH($L233,Table3[[Company name]:[Company name]],0)),0)</f>
        <v>0</v>
      </c>
      <c r="AC233" s="1">
        <f ca="1">IFERROR(INDEX(INDIRECT("Table3[Column"&amp;AC$9&amp;"]"),MATCH($L233,Table3[[Company name]:[Company name]],0)),0)</f>
        <v>0</v>
      </c>
      <c r="AD233" s="1">
        <f ca="1">IFERROR(INDEX(INDIRECT("Table3[Column"&amp;AD$9&amp;"]"),MATCH($L233,Table3[[Company name]:[Company name]],0)),0)</f>
        <v>0</v>
      </c>
      <c r="AE233" s="1">
        <f ca="1">IFERROR(INDEX(INDIRECT("Table3[Column"&amp;AE$9&amp;"]"),MATCH($L233,Table3[[Company name]:[Company name]],0)),0)</f>
        <v>0</v>
      </c>
      <c r="AF233" s="1">
        <f ca="1">IFERROR(INDEX(INDIRECT("Table3[Column"&amp;AF$9&amp;"]"),MATCH($L233,Table3[[Company name]:[Company name]],0)),0)</f>
        <v>15750</v>
      </c>
      <c r="AG233" s="1">
        <f ca="1">IFERROR(INDEX(INDIRECT("Table3[Column"&amp;AG$9&amp;"]"),MATCH($L233,Table3[[Company name]:[Company name]],0)),0)</f>
        <v>0</v>
      </c>
      <c r="AH233" s="1">
        <f ca="1">IFERROR(INDEX(INDIRECT("Table3[Column"&amp;AH$9&amp;"]"),MATCH($L233,Table3[[Company name]:[Company name]],0)),0)</f>
        <v>0</v>
      </c>
      <c r="AI233" s="1">
        <f t="shared" ca="1" si="21"/>
        <v>192150</v>
      </c>
      <c r="AK233" s="1">
        <f ca="1">IF(COUNTIFS($J$7:$J$510,Table7[[#Headers],[Industry Essentials]],$C$7:$C$510,$L233)&gt;0,0,MROUND(R233,100))</f>
        <v>10800</v>
      </c>
      <c r="AL233" s="1">
        <f ca="1">IF(COUNTIFS($J$7:$J$510,Table7[[#Headers],[Energy Supply Market Intelligence]],$C$7:$C$510,$L233)&gt;0,0,MROUND(IFERROR(S233*($P233/$AI233),0),100))</f>
        <v>4000</v>
      </c>
      <c r="AM233" s="1">
        <f>IF(COUNTIFS($J$7:$J$510,Table7[[#Headers],[Energy Supply RTM Analysis]],$C$7:$C$510,$L233)&gt;0,0,MROUND(IFERROR(T233*($P233/$AI233),0),100))</f>
        <v>0</v>
      </c>
      <c r="AN233" s="1">
        <f>IF(COUNTIFS($J$7:$J$510,Table7[[#Headers],[Energy Supply Forecasts]],$C$7:$C$510,$L233)&gt;0,0,MROUND(IFERROR(U233*($P233/$AI233),0),100))</f>
        <v>0</v>
      </c>
      <c r="AO233" s="1">
        <f ca="1">IF(COUNTIFS($J$7:$J$510,Table7[[#Headers],[Energy Supply Regulation]],$C$7:$C$510,$L233)&gt;0,0,MROUND(IFERROR(V233*($P233/$AI233),0),100))</f>
        <v>0</v>
      </c>
      <c r="AP233" s="1">
        <f ca="1">IF(COUNTIFS($J$7:$J$510,Table7[[#Headers],[Renewables Market Intelligence]],$C$7:$C$510,$L233)&gt;0,0,MROUND(IFERROR(W233*($P233/$AI233),0),100))</f>
        <v>0</v>
      </c>
      <c r="AQ233" s="1">
        <f ca="1">IF(COUNTIFS($J$7:$J$510,Table7[[#Headers],[Renewables RTM Analysis]],$C$7:$C$510,$L233)&gt;0,0,MROUND(IFERROR(X233*($P233/$AI233),0),100))</f>
        <v>0</v>
      </c>
      <c r="AR233" s="1">
        <f ca="1">IF(COUNTIFS($J$7:$J$510,Table7[[#Headers],[Renewables Forecasts]],$C$7:$C$510,$L233)&gt;0,0,MROUND(IFERROR(Y233*($P233/$AI233),0),100))</f>
        <v>0</v>
      </c>
      <c r="AS233" s="1">
        <f ca="1">IF(COUNTIFS($J$7:$J$510,Table7[[#Headers],[Renewables Regulation]],$C$7:$C$510,$L233)&gt;0,0,MROUND(IFERROR(Z233*($P233/$AI233),0),100))</f>
        <v>0</v>
      </c>
      <c r="AT233" s="1">
        <f ca="1">IF(COUNTIFS($J$7:$J$510,Table7[[#Headers],[Flexibility Market Intelligence]],$C$7:$C$510,$L233)&gt;0,0,MROUND(IFERROR(AA233*($P233/$AI233),0),100))</f>
        <v>0</v>
      </c>
      <c r="AU233" s="1">
        <f ca="1">IF(COUNTIFS($J$7:$J$510,Table7[[#Headers],[Flexibility RTM Analysis]],$C$7:$C$510,$L233)&gt;0,0,MROUND(IFERROR(AB233*($P233/$AI233),0),100))</f>
        <v>0</v>
      </c>
      <c r="AV233" s="1">
        <f ca="1">IF(COUNTIFS($J$7:$J$510,Table7[[#Headers],[Flexibility Forecasts]],$C$7:$C$510,$L233)&gt;0,0,MROUND(IFERROR(AC233*($P233/$AI233),0),100))</f>
        <v>0</v>
      </c>
      <c r="AW233" s="1">
        <f ca="1">IF(COUNTIFS($J$7:$J$510,Table7[[#Headers],[Flexibility Regulation]],$C$7:$C$510,$L233)&gt;0,0,MROUND(IFERROR(AD233*($P233/$AI233),0),100))</f>
        <v>0</v>
      </c>
      <c r="AX233" s="1">
        <f ca="1">IF(COUNTIFS($J$7:$J$510,Table7[[#Headers],[Business Energy Essentials]],$C$7:$C$510,$L233)&gt;0,0,MROUND(IFERROR(AE233*($P233/$AI233),0),100))</f>
        <v>0</v>
      </c>
      <c r="AY233" s="1">
        <f ca="1">IF(COUNTIFS($J$7:$J$510,Table7[[#Headers],[Energy User RTM Analysis]],$C$7:$C$510,$L233)&gt;0,0,MROUND(IFERROR(AF233*($P233/$AI233),0),100))</f>
        <v>1400</v>
      </c>
      <c r="AZ233" s="1">
        <f ca="1">IF(COUNTIFS($J$7:$J$510,Table7[[#Headers],[Energy User Forecasts]],$C$7:$C$510,$L233)&gt;0,0,MROUND(IFERROR(AG233*($P233/$AI233),0),100))</f>
        <v>0</v>
      </c>
      <c r="BA233" s="1">
        <f ca="1">IF(COUNTIFS($J$7:$J$510,Table7[[#Headers],[Energy User Regulation]],$C$7:$C$510,$L233)&gt;0,0,MROUND(IFERROR(AH233*($P233/$AI233),0),100))</f>
        <v>0</v>
      </c>
    </row>
    <row r="234" spans="2:53">
      <c r="B234" s="38" t="s">
        <v>2195</v>
      </c>
      <c r="C234" s="38" t="s">
        <v>2196</v>
      </c>
      <c r="D234" s="38" t="s">
        <v>2040</v>
      </c>
      <c r="E234" s="38" t="s">
        <v>1799</v>
      </c>
      <c r="F234" s="63">
        <v>4746.8400000000011</v>
      </c>
      <c r="G234" s="38"/>
      <c r="H234" s="38" t="s">
        <v>2031</v>
      </c>
      <c r="I234" s="38" t="s">
        <v>2032</v>
      </c>
      <c r="J234" s="38" t="s">
        <v>20</v>
      </c>
      <c r="L234" s="1" t="str">
        <v>Zero Trace Procurement Limited</v>
      </c>
      <c r="M234" s="1" t="str">
        <f t="shared" si="17"/>
        <v>Energy User</v>
      </c>
      <c r="N234" s="109">
        <f t="shared" si="18"/>
        <v>20000</v>
      </c>
      <c r="O234" s="1">
        <f>IFERROR(IF(INDEX(Table3[[Total Spend]:[Total Spend]],MATCH(L234,Table3[[Company name]:[Company name]],0))&gt;N234,INDEX(Table3[[Total Spend]:[Total Spend]],MATCH(L234,Table3[[Company name]:[Company name]])),N234),50000)</f>
        <v>20000</v>
      </c>
      <c r="P234" s="109">
        <f t="shared" si="19"/>
        <v>20000</v>
      </c>
      <c r="Q234" s="103">
        <f t="shared" si="20"/>
        <v>1</v>
      </c>
      <c r="R234" s="1">
        <f ca="1">IFERROR(INDEX(INDIRECT("Table3[Column"&amp;R$9&amp;"]"),MATCH($L234,Table3[[Company name]:[Company name]],0)),0)</f>
        <v>8100</v>
      </c>
      <c r="S234" s="1">
        <f ca="1">IFERROR(INDEX(INDIRECT("Table3[Column"&amp;S$9&amp;"]"),MATCH($L234,Table3[[Company name]:[Company name]],0)),0)</f>
        <v>30600</v>
      </c>
      <c r="T234" s="1">
        <f ca="1">IFERROR(INDEX(INDIRECT("Table3[Column"&amp;T$9&amp;"]"),MATCH($L234,Table3[[Company name]:[Company name]],0)),0)</f>
        <v>53100</v>
      </c>
      <c r="U234" s="1">
        <f ca="1">IFERROR(INDEX(INDIRECT("Table3[Column"&amp;U$9&amp;"]"),MATCH($L234,Table3[[Company name]:[Company name]],0)),0)</f>
        <v>34200</v>
      </c>
      <c r="V234" s="1">
        <f ca="1">IFERROR(INDEX(INDIRECT("Table3[Column"&amp;V$9&amp;"]"),MATCH($L234,Table3[[Company name]:[Company name]],0)),0)</f>
        <v>0</v>
      </c>
      <c r="W234" s="1">
        <f ca="1">IFERROR(INDEX(INDIRECT("Table3[Column"&amp;W$9&amp;"]"),MATCH($L234,Table3[[Company name]:[Company name]],0)),0)</f>
        <v>0</v>
      </c>
      <c r="X234" s="1">
        <f ca="1">IFERROR(INDEX(INDIRECT("Table3[Column"&amp;X$9&amp;"]"),MATCH($L234,Table3[[Company name]:[Company name]],0)),0)</f>
        <v>0</v>
      </c>
      <c r="Y234" s="1">
        <f ca="1">IFERROR(INDEX(INDIRECT("Table3[Column"&amp;Y$9&amp;"]"),MATCH($L234,Table3[[Company name]:[Company name]],0)),0)</f>
        <v>0</v>
      </c>
      <c r="Z234" s="1">
        <f ca="1">IFERROR(INDEX(INDIRECT("Table3[Column"&amp;Z$9&amp;"]"),MATCH($L234,Table3[[Company name]:[Company name]],0)),0)</f>
        <v>0</v>
      </c>
      <c r="AA234" s="1">
        <f ca="1">IFERROR(INDEX(INDIRECT("Table3[Column"&amp;AA$9&amp;"]"),MATCH($L234,Table3[[Company name]:[Company name]],0)),0)</f>
        <v>0</v>
      </c>
      <c r="AB234" s="1">
        <f ca="1">IFERROR(INDEX(INDIRECT("Table3[Column"&amp;AB$9&amp;"]"),MATCH($L234,Table3[[Company name]:[Company name]],0)),0)</f>
        <v>0</v>
      </c>
      <c r="AC234" s="1">
        <f ca="1">IFERROR(INDEX(INDIRECT("Table3[Column"&amp;AC$9&amp;"]"),MATCH($L234,Table3[[Company name]:[Company name]],0)),0)</f>
        <v>0</v>
      </c>
      <c r="AD234" s="1">
        <f ca="1">IFERROR(INDEX(INDIRECT("Table3[Column"&amp;AD$9&amp;"]"),MATCH($L234,Table3[[Company name]:[Company name]],0)),0)</f>
        <v>0</v>
      </c>
      <c r="AE234" s="1">
        <f ca="1">IFERROR(INDEX(INDIRECT("Table3[Column"&amp;AE$9&amp;"]"),MATCH($L234,Table3[[Company name]:[Company name]],0)),0)</f>
        <v>0</v>
      </c>
      <c r="AF234" s="1">
        <f ca="1">IFERROR(INDEX(INDIRECT("Table3[Column"&amp;AF$9&amp;"]"),MATCH($L234,Table3[[Company name]:[Company name]],0)),0)</f>
        <v>11250</v>
      </c>
      <c r="AG234" s="1">
        <f ca="1">IFERROR(INDEX(INDIRECT("Table3[Column"&amp;AG$9&amp;"]"),MATCH($L234,Table3[[Company name]:[Company name]],0)),0)</f>
        <v>0</v>
      </c>
      <c r="AH234" s="1">
        <f ca="1">IFERROR(INDEX(INDIRECT("Table3[Column"&amp;AH$9&amp;"]"),MATCH($L234,Table3[[Company name]:[Company name]],0)),0)</f>
        <v>0</v>
      </c>
      <c r="AI234" s="1">
        <f t="shared" ca="1" si="21"/>
        <v>137250</v>
      </c>
      <c r="AK234" s="1">
        <f>IF(COUNTIFS($J$7:$J$510,Table7[[#Headers],[Industry Essentials]],$C$7:$C$510,$L234)&gt;0,0,MROUND(R234,100))</f>
        <v>0</v>
      </c>
      <c r="AL234" s="1">
        <f ca="1">IF(COUNTIFS($J$7:$J$510,Table7[[#Headers],[Energy Supply Market Intelligence]],$C$7:$C$510,$L234)&gt;0,0,MROUND(IFERROR(S234*($P234/$AI234),0),100))</f>
        <v>4500</v>
      </c>
      <c r="AM234" s="1">
        <f ca="1">IF(COUNTIFS($J$7:$J$510,Table7[[#Headers],[Energy Supply RTM Analysis]],$C$7:$C$510,$L234)&gt;0,0,MROUND(IFERROR(T234*($P234/$AI234),0),100))</f>
        <v>7700</v>
      </c>
      <c r="AN234" s="1">
        <f>IF(COUNTIFS($J$7:$J$510,Table7[[#Headers],[Energy Supply Forecasts]],$C$7:$C$510,$L234)&gt;0,0,MROUND(IFERROR(U234*($P234/$AI234),0),100))</f>
        <v>0</v>
      </c>
      <c r="AO234" s="1">
        <f ca="1">IF(COUNTIFS($J$7:$J$510,Table7[[#Headers],[Energy Supply Regulation]],$C$7:$C$510,$L234)&gt;0,0,MROUND(IFERROR(V234*($P234/$AI234),0),100))</f>
        <v>0</v>
      </c>
      <c r="AP234" s="1">
        <f ca="1">IF(COUNTIFS($J$7:$J$510,Table7[[#Headers],[Renewables Market Intelligence]],$C$7:$C$510,$L234)&gt;0,0,MROUND(IFERROR(W234*($P234/$AI234),0),100))</f>
        <v>0</v>
      </c>
      <c r="AQ234" s="1">
        <f ca="1">IF(COUNTIFS($J$7:$J$510,Table7[[#Headers],[Renewables RTM Analysis]],$C$7:$C$510,$L234)&gt;0,0,MROUND(IFERROR(X234*($P234/$AI234),0),100))</f>
        <v>0</v>
      </c>
      <c r="AR234" s="1">
        <f ca="1">IF(COUNTIFS($J$7:$J$510,Table7[[#Headers],[Renewables Forecasts]],$C$7:$C$510,$L234)&gt;0,0,MROUND(IFERROR(Y234*($P234/$AI234),0),100))</f>
        <v>0</v>
      </c>
      <c r="AS234" s="1">
        <f ca="1">IF(COUNTIFS($J$7:$J$510,Table7[[#Headers],[Renewables Regulation]],$C$7:$C$510,$L234)&gt;0,0,MROUND(IFERROR(Z234*($P234/$AI234),0),100))</f>
        <v>0</v>
      </c>
      <c r="AT234" s="1">
        <f ca="1">IF(COUNTIFS($J$7:$J$510,Table7[[#Headers],[Flexibility Market Intelligence]],$C$7:$C$510,$L234)&gt;0,0,MROUND(IFERROR(AA234*($P234/$AI234),0),100))</f>
        <v>0</v>
      </c>
      <c r="AU234" s="1">
        <f ca="1">IF(COUNTIFS($J$7:$J$510,Table7[[#Headers],[Flexibility RTM Analysis]],$C$7:$C$510,$L234)&gt;0,0,MROUND(IFERROR(AB234*($P234/$AI234),0),100))</f>
        <v>0</v>
      </c>
      <c r="AV234" s="1">
        <f ca="1">IF(COUNTIFS($J$7:$J$510,Table7[[#Headers],[Flexibility Forecasts]],$C$7:$C$510,$L234)&gt;0,0,MROUND(IFERROR(AC234*($P234/$AI234),0),100))</f>
        <v>0</v>
      </c>
      <c r="AW234" s="1">
        <f ca="1">IF(COUNTIFS($J$7:$J$510,Table7[[#Headers],[Flexibility Regulation]],$C$7:$C$510,$L234)&gt;0,0,MROUND(IFERROR(AD234*($P234/$AI234),0),100))</f>
        <v>0</v>
      </c>
      <c r="AX234" s="1">
        <f ca="1">IF(COUNTIFS($J$7:$J$510,Table7[[#Headers],[Business Energy Essentials]],$C$7:$C$510,$L234)&gt;0,0,MROUND(IFERROR(AE234*($P234/$AI234),0),100))</f>
        <v>0</v>
      </c>
      <c r="AY234" s="1">
        <f ca="1">IF(COUNTIFS($J$7:$J$510,Table7[[#Headers],[Energy User RTM Analysis]],$C$7:$C$510,$L234)&gt;0,0,MROUND(IFERROR(AF234*($P234/$AI234),0),100))</f>
        <v>1600</v>
      </c>
      <c r="AZ234" s="1">
        <f ca="1">IF(COUNTIFS($J$7:$J$510,Table7[[#Headers],[Energy User Forecasts]],$C$7:$C$510,$L234)&gt;0,0,MROUND(IFERROR(AG234*($P234/$AI234),0),100))</f>
        <v>0</v>
      </c>
      <c r="BA234" s="1">
        <f ca="1">IF(COUNTIFS($J$7:$J$510,Table7[[#Headers],[Energy User Regulation]],$C$7:$C$510,$L234)&gt;0,0,MROUND(IFERROR(AH234*($P234/$AI234),0),100))</f>
        <v>0</v>
      </c>
    </row>
    <row r="235" spans="2:53">
      <c r="B235" s="38" t="s">
        <v>2199</v>
      </c>
      <c r="C235" s="38" t="s">
        <v>399</v>
      </c>
      <c r="D235" s="38" t="s">
        <v>2040</v>
      </c>
      <c r="E235" s="38" t="s">
        <v>1799</v>
      </c>
      <c r="F235" s="63">
        <v>5365</v>
      </c>
      <c r="G235" s="38"/>
      <c r="H235" s="38" t="s">
        <v>2031</v>
      </c>
      <c r="I235" s="38" t="s">
        <v>2032</v>
      </c>
      <c r="J235" s="38" t="s">
        <v>20</v>
      </c>
      <c r="N235" s="21">
        <f>MROUND(SUM(N11:N234),50000)</f>
        <v>5750000</v>
      </c>
      <c r="O235" s="21">
        <f>MROUND(SUM(O11:O234),50000)</f>
        <v>19000000</v>
      </c>
      <c r="P235" s="21">
        <f>MROUND(SUM(P11:P234),50000)</f>
        <v>18350000</v>
      </c>
    </row>
    <row r="236" spans="2:53">
      <c r="B236" s="38" t="s">
        <v>2199</v>
      </c>
      <c r="C236" s="38" t="s">
        <v>399</v>
      </c>
      <c r="D236" s="38" t="s">
        <v>2111</v>
      </c>
      <c r="E236" s="38" t="s">
        <v>2112</v>
      </c>
      <c r="F236" s="63">
        <v>10500</v>
      </c>
      <c r="G236" s="38"/>
      <c r="H236" s="38" t="s">
        <v>2031</v>
      </c>
      <c r="I236" s="38" t="s">
        <v>2031</v>
      </c>
      <c r="J236" s="38" t="s">
        <v>34</v>
      </c>
    </row>
    <row r="237" spans="2:53">
      <c r="B237" s="38" t="s">
        <v>2200</v>
      </c>
      <c r="C237" s="38" t="s">
        <v>400</v>
      </c>
      <c r="D237" s="38" t="s">
        <v>2034</v>
      </c>
      <c r="E237" s="38" t="s">
        <v>1864</v>
      </c>
      <c r="F237" s="63">
        <v>15600</v>
      </c>
      <c r="G237" s="38"/>
      <c r="H237" s="38" t="s">
        <v>191</v>
      </c>
      <c r="I237" s="38" t="s">
        <v>191</v>
      </c>
      <c r="J237" s="38" t="s">
        <v>27</v>
      </c>
      <c r="N237" s="1">
        <f>N235/O235</f>
        <v>0.30263157894736842</v>
      </c>
    </row>
    <row r="238" spans="2:53">
      <c r="B238" s="38" t="s">
        <v>2200</v>
      </c>
      <c r="C238" s="38" t="s">
        <v>400</v>
      </c>
      <c r="D238" s="38" t="s">
        <v>2040</v>
      </c>
      <c r="E238" s="38" t="s">
        <v>1799</v>
      </c>
      <c r="F238" s="63">
        <v>7200</v>
      </c>
      <c r="G238" s="38"/>
      <c r="H238" s="38" t="s">
        <v>191</v>
      </c>
      <c r="I238" s="38" t="s">
        <v>2032</v>
      </c>
      <c r="J238" s="38" t="s">
        <v>20</v>
      </c>
      <c r="Q238" s="36">
        <f>AVERAGE(Q11:Q234)</f>
        <v>0.55943570290523248</v>
      </c>
    </row>
    <row r="239" spans="2:53">
      <c r="B239" s="38" t="s">
        <v>2201</v>
      </c>
      <c r="C239" s="38" t="s">
        <v>1028</v>
      </c>
      <c r="D239" s="38" t="s">
        <v>2040</v>
      </c>
      <c r="E239" s="38" t="s">
        <v>1799</v>
      </c>
      <c r="F239" s="63">
        <v>7500</v>
      </c>
      <c r="G239" s="38"/>
      <c r="H239" s="38" t="s">
        <v>2032</v>
      </c>
      <c r="I239" s="38" t="s">
        <v>2032</v>
      </c>
      <c r="J239" s="38" t="s">
        <v>20</v>
      </c>
      <c r="Q239" s="36">
        <f>MEDIAN(Q11:Q234)</f>
        <v>0.5838888888888889</v>
      </c>
    </row>
    <row r="240" spans="2:53">
      <c r="B240" s="38" t="s">
        <v>2202</v>
      </c>
      <c r="C240" s="38" t="s">
        <v>2005</v>
      </c>
      <c r="D240" s="38" t="s">
        <v>2040</v>
      </c>
      <c r="E240" s="38" t="s">
        <v>1799</v>
      </c>
      <c r="F240" s="63">
        <v>4250</v>
      </c>
      <c r="G240" s="38"/>
      <c r="H240" s="38" t="s">
        <v>2031</v>
      </c>
      <c r="I240" s="38" t="s">
        <v>2032</v>
      </c>
      <c r="J240" s="38" t="s">
        <v>20</v>
      </c>
      <c r="Q240" s="36"/>
    </row>
    <row r="241" spans="2:10">
      <c r="B241" s="38" t="s">
        <v>2203</v>
      </c>
      <c r="C241" s="38" t="s">
        <v>169</v>
      </c>
      <c r="D241" s="38" t="s">
        <v>2040</v>
      </c>
      <c r="E241" s="38" t="s">
        <v>1799</v>
      </c>
      <c r="F241" s="63">
        <v>6300</v>
      </c>
      <c r="G241" s="38"/>
      <c r="H241" s="38" t="s">
        <v>1702</v>
      </c>
      <c r="I241" s="38" t="s">
        <v>2032</v>
      </c>
      <c r="J241" s="38" t="s">
        <v>20</v>
      </c>
    </row>
    <row r="242" spans="2:10">
      <c r="B242" s="38" t="s">
        <v>2203</v>
      </c>
      <c r="C242" s="38" t="s">
        <v>169</v>
      </c>
      <c r="D242" s="38" t="s">
        <v>2100</v>
      </c>
      <c r="E242" s="38" t="s">
        <v>1904</v>
      </c>
      <c r="F242" s="63">
        <v>21000</v>
      </c>
      <c r="G242" s="38"/>
      <c r="H242" s="38" t="s">
        <v>1702</v>
      </c>
      <c r="I242" s="38" t="s">
        <v>1702</v>
      </c>
      <c r="J242" s="38" t="s">
        <v>25</v>
      </c>
    </row>
    <row r="243" spans="2:10">
      <c r="B243" s="38" t="s">
        <v>2204</v>
      </c>
      <c r="C243" s="38" t="s">
        <v>1442</v>
      </c>
      <c r="D243" s="38" t="s">
        <v>2048</v>
      </c>
      <c r="E243" s="38" t="s">
        <v>2049</v>
      </c>
      <c r="F243" s="63">
        <v>750</v>
      </c>
      <c r="G243" s="38"/>
      <c r="H243" s="38" t="s">
        <v>2032</v>
      </c>
      <c r="I243" s="38" t="s">
        <v>2032</v>
      </c>
      <c r="J243" s="38" t="s">
        <v>20</v>
      </c>
    </row>
    <row r="244" spans="2:10">
      <c r="B244" s="38" t="s">
        <v>2205</v>
      </c>
      <c r="C244" s="38" t="s">
        <v>871</v>
      </c>
      <c r="D244" s="38" t="s">
        <v>2035</v>
      </c>
      <c r="E244" s="38" t="s">
        <v>1855</v>
      </c>
      <c r="F244" s="63">
        <v>6150</v>
      </c>
      <c r="G244" s="38"/>
      <c r="H244" s="38" t="s">
        <v>2032</v>
      </c>
      <c r="I244" s="38" t="s">
        <v>2032</v>
      </c>
      <c r="J244" s="38" t="s">
        <v>20</v>
      </c>
    </row>
    <row r="245" spans="2:10">
      <c r="B245" s="38" t="s">
        <v>2206</v>
      </c>
      <c r="C245" s="38" t="s">
        <v>1031</v>
      </c>
      <c r="D245" s="38" t="s">
        <v>2040</v>
      </c>
      <c r="E245" s="38" t="s">
        <v>1799</v>
      </c>
      <c r="F245" s="63">
        <v>9900</v>
      </c>
      <c r="G245" s="38"/>
      <c r="H245" s="38" t="s">
        <v>2032</v>
      </c>
      <c r="I245" s="38" t="s">
        <v>2032</v>
      </c>
      <c r="J245" s="38" t="s">
        <v>20</v>
      </c>
    </row>
    <row r="246" spans="2:10">
      <c r="B246" s="38" t="s">
        <v>2207</v>
      </c>
      <c r="C246" s="38" t="s">
        <v>872</v>
      </c>
      <c r="D246" s="38" t="s">
        <v>2035</v>
      </c>
      <c r="E246" s="38" t="s">
        <v>1855</v>
      </c>
      <c r="F246" s="63">
        <v>2950</v>
      </c>
      <c r="G246" s="38"/>
      <c r="H246" s="38" t="s">
        <v>2032</v>
      </c>
      <c r="I246" s="38" t="s">
        <v>2032</v>
      </c>
      <c r="J246" s="38" t="s">
        <v>20</v>
      </c>
    </row>
    <row r="247" spans="2:10">
      <c r="B247" s="38" t="s">
        <v>2208</v>
      </c>
      <c r="C247" s="38" t="s">
        <v>170</v>
      </c>
      <c r="D247" s="38" t="s">
        <v>2034</v>
      </c>
      <c r="E247" s="38" t="s">
        <v>1864</v>
      </c>
      <c r="F247" s="63">
        <v>16000</v>
      </c>
      <c r="G247" s="38"/>
      <c r="H247" s="38" t="s">
        <v>1702</v>
      </c>
      <c r="I247" s="38" t="s">
        <v>1702</v>
      </c>
      <c r="J247" s="38" t="s">
        <v>27</v>
      </c>
    </row>
    <row r="248" spans="2:10">
      <c r="B248" s="38" t="s">
        <v>2208</v>
      </c>
      <c r="C248" s="38" t="s">
        <v>170</v>
      </c>
      <c r="D248" s="38" t="s">
        <v>2040</v>
      </c>
      <c r="E248" s="38" t="s">
        <v>1799</v>
      </c>
      <c r="F248" s="63">
        <v>9000</v>
      </c>
      <c r="G248" s="38"/>
      <c r="H248" s="38" t="s">
        <v>1702</v>
      </c>
      <c r="I248" s="38" t="s">
        <v>2032</v>
      </c>
      <c r="J248" s="38" t="s">
        <v>20</v>
      </c>
    </row>
    <row r="249" spans="2:10">
      <c r="B249" s="38" t="s">
        <v>2209</v>
      </c>
      <c r="C249" s="38" t="s">
        <v>1034</v>
      </c>
      <c r="D249" s="38" t="s">
        <v>2067</v>
      </c>
      <c r="E249" s="38" t="s">
        <v>2068</v>
      </c>
      <c r="F249" s="63">
        <v>3823.5199999999995</v>
      </c>
      <c r="G249" s="38"/>
      <c r="H249" s="38" t="s">
        <v>1702</v>
      </c>
      <c r="I249" s="38" t="s">
        <v>1702</v>
      </c>
      <c r="J249" s="38" t="s">
        <v>25</v>
      </c>
    </row>
    <row r="250" spans="2:10">
      <c r="B250" s="38" t="s">
        <v>2209</v>
      </c>
      <c r="C250" s="38" t="s">
        <v>1034</v>
      </c>
      <c r="D250" s="38" t="s">
        <v>2040</v>
      </c>
      <c r="E250" s="38" t="s">
        <v>1799</v>
      </c>
      <c r="F250" s="63">
        <v>3823.5199999999995</v>
      </c>
      <c r="G250" s="38"/>
      <c r="H250" s="38" t="s">
        <v>1702</v>
      </c>
      <c r="I250" s="38" t="s">
        <v>2032</v>
      </c>
      <c r="J250" s="38" t="s">
        <v>20</v>
      </c>
    </row>
    <row r="251" spans="2:10">
      <c r="B251" s="38" t="s">
        <v>2209</v>
      </c>
      <c r="C251" s="38" t="s">
        <v>1034</v>
      </c>
      <c r="D251" s="38" t="s">
        <v>2100</v>
      </c>
      <c r="E251" s="38" t="s">
        <v>1904</v>
      </c>
      <c r="F251" s="63">
        <v>18352.96</v>
      </c>
      <c r="G251" s="38"/>
      <c r="H251" s="38" t="s">
        <v>1702</v>
      </c>
      <c r="I251" s="38" t="s">
        <v>1702</v>
      </c>
      <c r="J251" s="38" t="s">
        <v>25</v>
      </c>
    </row>
    <row r="252" spans="2:10">
      <c r="B252" s="38" t="s">
        <v>2210</v>
      </c>
      <c r="C252" s="38" t="s">
        <v>1035</v>
      </c>
      <c r="D252" s="38" t="s">
        <v>2048</v>
      </c>
      <c r="E252" s="38" t="s">
        <v>2049</v>
      </c>
      <c r="F252" s="63">
        <v>4750</v>
      </c>
      <c r="G252" s="38"/>
      <c r="H252" s="38" t="s">
        <v>2031</v>
      </c>
      <c r="I252" s="38" t="s">
        <v>2032</v>
      </c>
      <c r="J252" s="38" t="s">
        <v>20</v>
      </c>
    </row>
    <row r="253" spans="2:10">
      <c r="B253" s="38" t="s">
        <v>2211</v>
      </c>
      <c r="C253" s="38" t="s">
        <v>1039</v>
      </c>
      <c r="D253" s="38" t="s">
        <v>2035</v>
      </c>
      <c r="E253" s="38" t="s">
        <v>1855</v>
      </c>
      <c r="F253" s="63">
        <v>3750</v>
      </c>
      <c r="G253" s="38"/>
      <c r="H253" s="38" t="s">
        <v>2032</v>
      </c>
      <c r="I253" s="38" t="s">
        <v>2032</v>
      </c>
      <c r="J253" s="38" t="s">
        <v>20</v>
      </c>
    </row>
    <row r="254" spans="2:10">
      <c r="B254" s="38" t="s">
        <v>2211</v>
      </c>
      <c r="C254" s="38" t="s">
        <v>1039</v>
      </c>
      <c r="D254" s="38" t="s">
        <v>2212</v>
      </c>
      <c r="E254" s="38" t="s">
        <v>1837</v>
      </c>
      <c r="F254" s="63">
        <v>3750</v>
      </c>
      <c r="G254" s="38"/>
      <c r="H254" s="38" t="s">
        <v>2032</v>
      </c>
      <c r="I254" s="38" t="s">
        <v>2032</v>
      </c>
      <c r="J254" s="38" t="s">
        <v>24</v>
      </c>
    </row>
    <row r="255" spans="2:10">
      <c r="B255" s="38" t="s">
        <v>2213</v>
      </c>
      <c r="C255" s="38" t="s">
        <v>171</v>
      </c>
      <c r="D255" s="38" t="s">
        <v>2214</v>
      </c>
      <c r="E255" s="38" t="s">
        <v>1882</v>
      </c>
      <c r="F255" s="63">
        <v>7425</v>
      </c>
      <c r="G255" s="38"/>
      <c r="H255" s="38" t="s">
        <v>1702</v>
      </c>
      <c r="I255" s="38" t="s">
        <v>1702</v>
      </c>
      <c r="J255" s="38" t="s">
        <v>28</v>
      </c>
    </row>
    <row r="256" spans="2:10">
      <c r="B256" s="38" t="s">
        <v>2213</v>
      </c>
      <c r="C256" s="38" t="s">
        <v>171</v>
      </c>
      <c r="D256" s="38" t="s">
        <v>2035</v>
      </c>
      <c r="E256" s="38" t="s">
        <v>1855</v>
      </c>
      <c r="F256" s="63">
        <v>6885</v>
      </c>
      <c r="G256" s="38"/>
      <c r="H256" s="38" t="s">
        <v>1702</v>
      </c>
      <c r="I256" s="38" t="s">
        <v>2032</v>
      </c>
      <c r="J256" s="38" t="s">
        <v>20</v>
      </c>
    </row>
    <row r="257" spans="2:10">
      <c r="B257" s="38" t="s">
        <v>2213</v>
      </c>
      <c r="C257" s="38" t="s">
        <v>171</v>
      </c>
      <c r="D257" s="38" t="s">
        <v>2061</v>
      </c>
      <c r="E257" s="38" t="s">
        <v>1820</v>
      </c>
      <c r="F257" s="63">
        <v>10215</v>
      </c>
      <c r="G257" s="38"/>
      <c r="H257" s="38" t="s">
        <v>1702</v>
      </c>
      <c r="I257" s="38" t="s">
        <v>1702</v>
      </c>
      <c r="J257" s="38" t="s">
        <v>25</v>
      </c>
    </row>
    <row r="258" spans="2:10">
      <c r="B258" s="38" t="s">
        <v>2215</v>
      </c>
      <c r="C258" s="38" t="s">
        <v>75</v>
      </c>
      <c r="D258" s="38" t="s">
        <v>2216</v>
      </c>
      <c r="E258" s="38" t="s">
        <v>2217</v>
      </c>
      <c r="F258" s="63">
        <v>10061.33</v>
      </c>
      <c r="G258" s="38"/>
      <c r="H258" s="38" t="s">
        <v>2031</v>
      </c>
      <c r="I258" s="38" t="s">
        <v>2031</v>
      </c>
      <c r="J258" s="38" t="s">
        <v>21</v>
      </c>
    </row>
    <row r="259" spans="2:10">
      <c r="B259" s="38" t="s">
        <v>2215</v>
      </c>
      <c r="C259" s="38" t="s">
        <v>75</v>
      </c>
      <c r="D259" s="38" t="s">
        <v>2083</v>
      </c>
      <c r="E259" s="38" t="s">
        <v>1829</v>
      </c>
      <c r="F259" s="63">
        <v>18000</v>
      </c>
      <c r="G259" s="38"/>
      <c r="H259" s="38" t="s">
        <v>2031</v>
      </c>
      <c r="I259" s="38" t="s">
        <v>2031</v>
      </c>
      <c r="J259" s="38" t="s">
        <v>23</v>
      </c>
    </row>
    <row r="260" spans="2:10">
      <c r="B260" s="38" t="s">
        <v>2215</v>
      </c>
      <c r="C260" s="38" t="s">
        <v>75</v>
      </c>
      <c r="D260" s="38" t="s">
        <v>2071</v>
      </c>
      <c r="E260" s="38" t="s">
        <v>1900</v>
      </c>
      <c r="F260" s="63">
        <v>28693.420000000002</v>
      </c>
      <c r="G260" s="38"/>
      <c r="H260" s="38" t="s">
        <v>2031</v>
      </c>
      <c r="I260" s="38" t="s">
        <v>2031</v>
      </c>
      <c r="J260" s="38" t="s">
        <v>21</v>
      </c>
    </row>
    <row r="261" spans="2:10">
      <c r="B261" s="38" t="s">
        <v>2215</v>
      </c>
      <c r="C261" s="38" t="s">
        <v>75</v>
      </c>
      <c r="D261" s="38" t="s">
        <v>2040</v>
      </c>
      <c r="E261" s="38" t="s">
        <v>1799</v>
      </c>
      <c r="F261" s="63">
        <v>13042.47</v>
      </c>
      <c r="G261" s="38"/>
      <c r="H261" s="38" t="s">
        <v>2031</v>
      </c>
      <c r="I261" s="38" t="s">
        <v>2032</v>
      </c>
      <c r="J261" s="38" t="s">
        <v>20</v>
      </c>
    </row>
    <row r="262" spans="2:10">
      <c r="B262" s="38" t="s">
        <v>2215</v>
      </c>
      <c r="C262" s="38" t="s">
        <v>75</v>
      </c>
      <c r="D262" s="38" t="s">
        <v>2107</v>
      </c>
      <c r="E262" s="38" t="s">
        <v>1914</v>
      </c>
      <c r="F262" s="63">
        <v>53287.780000000006</v>
      </c>
      <c r="G262" s="38"/>
      <c r="H262" s="38" t="s">
        <v>2031</v>
      </c>
      <c r="I262" s="38" t="s">
        <v>2031</v>
      </c>
      <c r="J262" s="38" t="s">
        <v>24</v>
      </c>
    </row>
    <row r="263" spans="2:10">
      <c r="B263" s="38" t="s">
        <v>2218</v>
      </c>
      <c r="C263" s="38" t="s">
        <v>408</v>
      </c>
      <c r="D263" s="38" t="s">
        <v>2093</v>
      </c>
      <c r="E263" s="38" t="s">
        <v>1823</v>
      </c>
      <c r="F263" s="63">
        <v>11781.000000000002</v>
      </c>
      <c r="G263" s="38"/>
      <c r="H263" s="38" t="s">
        <v>2032</v>
      </c>
      <c r="I263" s="38" t="s">
        <v>2031</v>
      </c>
      <c r="J263" s="38" t="s">
        <v>21</v>
      </c>
    </row>
    <row r="264" spans="2:10">
      <c r="B264" s="38" t="s">
        <v>2218</v>
      </c>
      <c r="C264" s="38" t="s">
        <v>408</v>
      </c>
      <c r="D264" s="38" t="s">
        <v>2094</v>
      </c>
      <c r="E264" s="38" t="s">
        <v>1836</v>
      </c>
      <c r="F264" s="63">
        <v>8586</v>
      </c>
      <c r="G264" s="38"/>
      <c r="H264" s="38" t="s">
        <v>2032</v>
      </c>
      <c r="I264" s="38" t="s">
        <v>2031</v>
      </c>
      <c r="J264" s="38" t="s">
        <v>21</v>
      </c>
    </row>
    <row r="265" spans="2:10">
      <c r="B265" s="38" t="s">
        <v>2218</v>
      </c>
      <c r="C265" s="38" t="s">
        <v>408</v>
      </c>
      <c r="D265" s="38" t="s">
        <v>2040</v>
      </c>
      <c r="E265" s="38" t="s">
        <v>1799</v>
      </c>
      <c r="F265" s="63">
        <v>16199.999999999998</v>
      </c>
      <c r="G265" s="38"/>
      <c r="H265" s="38" t="s">
        <v>2032</v>
      </c>
      <c r="I265" s="38" t="s">
        <v>2032</v>
      </c>
      <c r="J265" s="38" t="s">
        <v>20</v>
      </c>
    </row>
    <row r="266" spans="2:10">
      <c r="B266" s="38" t="s">
        <v>2218</v>
      </c>
      <c r="C266" s="38" t="s">
        <v>408</v>
      </c>
      <c r="D266" s="38" t="s">
        <v>2133</v>
      </c>
      <c r="E266" s="38" t="s">
        <v>1828</v>
      </c>
      <c r="F266" s="63">
        <v>9355.5</v>
      </c>
      <c r="G266" s="38"/>
      <c r="H266" s="38" t="s">
        <v>2032</v>
      </c>
      <c r="I266" s="38" t="s">
        <v>2031</v>
      </c>
      <c r="J266" s="38" t="s">
        <v>21</v>
      </c>
    </row>
    <row r="267" spans="2:10">
      <c r="B267" s="38" t="s">
        <v>2219</v>
      </c>
      <c r="C267" s="38" t="s">
        <v>172</v>
      </c>
      <c r="D267" s="38" t="s">
        <v>2061</v>
      </c>
      <c r="E267" s="38" t="s">
        <v>1820</v>
      </c>
      <c r="F267" s="63">
        <v>10000</v>
      </c>
      <c r="G267" s="38"/>
      <c r="H267" s="38" t="s">
        <v>1702</v>
      </c>
      <c r="I267" s="38" t="s">
        <v>1702</v>
      </c>
      <c r="J267" s="38" t="s">
        <v>25</v>
      </c>
    </row>
    <row r="268" spans="2:10">
      <c r="B268" s="38" t="s">
        <v>2219</v>
      </c>
      <c r="C268" s="38" t="s">
        <v>172</v>
      </c>
      <c r="D268" s="38" t="s">
        <v>2048</v>
      </c>
      <c r="E268" s="38" t="s">
        <v>2049</v>
      </c>
      <c r="F268" s="63">
        <v>7800</v>
      </c>
      <c r="G268" s="38"/>
      <c r="H268" s="38" t="s">
        <v>1702</v>
      </c>
      <c r="I268" s="38" t="s">
        <v>2032</v>
      </c>
      <c r="J268" s="38" t="s">
        <v>20</v>
      </c>
    </row>
    <row r="269" spans="2:10">
      <c r="B269" s="38" t="s">
        <v>2220</v>
      </c>
      <c r="C269" s="38" t="s">
        <v>2221</v>
      </c>
      <c r="D269" s="38" t="s">
        <v>2040</v>
      </c>
      <c r="E269" s="38" t="s">
        <v>1799</v>
      </c>
      <c r="F269" s="63">
        <v>4187.5</v>
      </c>
      <c r="G269" s="38"/>
      <c r="H269" s="38" t="s">
        <v>1702</v>
      </c>
      <c r="I269" s="38" t="s">
        <v>2032</v>
      </c>
      <c r="J269" s="38" t="s">
        <v>20</v>
      </c>
    </row>
    <row r="270" spans="2:10">
      <c r="B270" s="38" t="s">
        <v>2222</v>
      </c>
      <c r="C270" s="38" t="s">
        <v>131</v>
      </c>
      <c r="D270" s="38" t="s">
        <v>2040</v>
      </c>
      <c r="E270" s="38" t="s">
        <v>1799</v>
      </c>
      <c r="F270" s="63">
        <v>9000</v>
      </c>
      <c r="G270" s="38"/>
      <c r="H270" s="38" t="s">
        <v>1702</v>
      </c>
      <c r="I270" s="38" t="s">
        <v>2032</v>
      </c>
      <c r="J270" s="38" t="s">
        <v>20</v>
      </c>
    </row>
    <row r="271" spans="2:10">
      <c r="B271" s="38" t="s">
        <v>2222</v>
      </c>
      <c r="C271" s="38" t="s">
        <v>131</v>
      </c>
      <c r="D271" s="38" t="s">
        <v>2057</v>
      </c>
      <c r="E271" s="38" t="s">
        <v>1826</v>
      </c>
      <c r="F271" s="63">
        <v>8200</v>
      </c>
      <c r="G271" s="38"/>
      <c r="H271" s="38" t="s">
        <v>1702</v>
      </c>
      <c r="I271" s="38" t="s">
        <v>1702</v>
      </c>
      <c r="J271" s="38" t="s">
        <v>27</v>
      </c>
    </row>
    <row r="272" spans="2:10">
      <c r="B272" s="38" t="s">
        <v>2222</v>
      </c>
      <c r="C272" s="38" t="s">
        <v>131</v>
      </c>
      <c r="D272" s="38" t="s">
        <v>2038</v>
      </c>
      <c r="E272" s="38" t="s">
        <v>1838</v>
      </c>
      <c r="F272" s="63">
        <v>6800</v>
      </c>
      <c r="G272" s="38"/>
      <c r="H272" s="38" t="s">
        <v>1702</v>
      </c>
      <c r="I272" s="38" t="s">
        <v>1702</v>
      </c>
      <c r="J272" s="38" t="s">
        <v>27</v>
      </c>
    </row>
    <row r="273" spans="2:10">
      <c r="B273" s="38" t="s">
        <v>2223</v>
      </c>
      <c r="C273" s="38" t="s">
        <v>78</v>
      </c>
      <c r="D273" s="38" t="s">
        <v>2071</v>
      </c>
      <c r="E273" s="38" t="s">
        <v>1900</v>
      </c>
      <c r="F273" s="63">
        <v>24477.379999999997</v>
      </c>
      <c r="G273" s="38"/>
      <c r="H273" s="38" t="s">
        <v>2031</v>
      </c>
      <c r="I273" s="38" t="s">
        <v>2031</v>
      </c>
      <c r="J273" s="38" t="s">
        <v>21</v>
      </c>
    </row>
    <row r="274" spans="2:10">
      <c r="B274" s="38" t="s">
        <v>2223</v>
      </c>
      <c r="C274" s="38" t="s">
        <v>78</v>
      </c>
      <c r="D274" s="38" t="s">
        <v>2040</v>
      </c>
      <c r="E274" s="38" t="s">
        <v>1799</v>
      </c>
      <c r="F274" s="63">
        <v>11126.41</v>
      </c>
      <c r="G274" s="38"/>
      <c r="H274" s="38" t="s">
        <v>2031</v>
      </c>
      <c r="I274" s="38" t="s">
        <v>2032</v>
      </c>
      <c r="J274" s="38" t="s">
        <v>20</v>
      </c>
    </row>
    <row r="275" spans="2:10">
      <c r="B275" s="38" t="s">
        <v>2223</v>
      </c>
      <c r="C275" s="38" t="s">
        <v>78</v>
      </c>
      <c r="D275" s="38" t="s">
        <v>2073</v>
      </c>
      <c r="E275" s="38" t="s">
        <v>2074</v>
      </c>
      <c r="F275" s="63">
        <v>20026.95</v>
      </c>
      <c r="G275" s="38"/>
      <c r="H275" s="38" t="s">
        <v>2031</v>
      </c>
      <c r="I275" s="38" t="s">
        <v>2031</v>
      </c>
      <c r="J275" s="38" t="s">
        <v>23</v>
      </c>
    </row>
    <row r="276" spans="2:10">
      <c r="B276" s="38" t="s">
        <v>2223</v>
      </c>
      <c r="C276" s="38" t="s">
        <v>78</v>
      </c>
      <c r="D276" s="38" t="s">
        <v>2044</v>
      </c>
      <c r="E276" s="38" t="s">
        <v>1912</v>
      </c>
      <c r="F276" s="63">
        <v>26702.590000000004</v>
      </c>
      <c r="G276" s="38"/>
      <c r="H276" s="38" t="s">
        <v>2031</v>
      </c>
      <c r="I276" s="38" t="s">
        <v>2031</v>
      </c>
      <c r="J276" s="38" t="s">
        <v>24</v>
      </c>
    </row>
    <row r="277" spans="2:10">
      <c r="B277" s="38" t="s">
        <v>2224</v>
      </c>
      <c r="C277" s="38" t="s">
        <v>757</v>
      </c>
      <c r="D277" s="38" t="s">
        <v>2128</v>
      </c>
      <c r="E277" s="38" t="s">
        <v>1827</v>
      </c>
      <c r="F277" s="63">
        <v>9650</v>
      </c>
      <c r="G277" s="38"/>
      <c r="H277" s="38" t="s">
        <v>1703</v>
      </c>
      <c r="I277" s="38" t="s">
        <v>1703</v>
      </c>
      <c r="J277" s="38" t="s">
        <v>29</v>
      </c>
    </row>
    <row r="278" spans="2:10">
      <c r="B278" s="38" t="s">
        <v>2225</v>
      </c>
      <c r="C278" s="38" t="s">
        <v>422</v>
      </c>
      <c r="D278" s="38" t="s">
        <v>2077</v>
      </c>
      <c r="E278" s="38" t="e">
        <v>#N/A</v>
      </c>
      <c r="F278" s="63">
        <v>11800</v>
      </c>
      <c r="G278" s="38"/>
      <c r="H278" s="38" t="s">
        <v>191</v>
      </c>
      <c r="I278" s="38" t="s">
        <v>191</v>
      </c>
      <c r="J278" s="38" t="s">
        <v>20</v>
      </c>
    </row>
    <row r="279" spans="2:10">
      <c r="B279" s="38" t="s">
        <v>2225</v>
      </c>
      <c r="C279" s="38" t="s">
        <v>422</v>
      </c>
      <c r="D279" s="38" t="s">
        <v>2040</v>
      </c>
      <c r="E279" s="38" t="s">
        <v>1799</v>
      </c>
      <c r="F279" s="63">
        <v>4969.99</v>
      </c>
      <c r="G279" s="38"/>
      <c r="H279" s="38" t="s">
        <v>191</v>
      </c>
      <c r="I279" s="38" t="s">
        <v>2032</v>
      </c>
      <c r="J279" s="38" t="s">
        <v>20</v>
      </c>
    </row>
    <row r="280" spans="2:10">
      <c r="B280" s="38" t="s">
        <v>2226</v>
      </c>
      <c r="C280" s="38" t="s">
        <v>2227</v>
      </c>
      <c r="D280" s="38" t="s">
        <v>2040</v>
      </c>
      <c r="E280" s="38" t="s">
        <v>1799</v>
      </c>
      <c r="F280" s="63">
        <v>5000</v>
      </c>
      <c r="G280" s="38"/>
      <c r="H280" s="38" t="s">
        <v>2031</v>
      </c>
      <c r="I280" s="38" t="s">
        <v>2032</v>
      </c>
      <c r="J280" s="38" t="s">
        <v>20</v>
      </c>
    </row>
    <row r="281" spans="2:10">
      <c r="B281" s="38" t="s">
        <v>2228</v>
      </c>
      <c r="C281" s="38" t="s">
        <v>1057</v>
      </c>
      <c r="D281" s="38" t="s">
        <v>2035</v>
      </c>
      <c r="E281" s="38" t="s">
        <v>1855</v>
      </c>
      <c r="F281" s="63">
        <v>6150</v>
      </c>
      <c r="G281" s="38"/>
      <c r="H281" s="38" t="s">
        <v>2032</v>
      </c>
      <c r="I281" s="38" t="s">
        <v>2032</v>
      </c>
      <c r="J281" s="38" t="s">
        <v>20</v>
      </c>
    </row>
    <row r="282" spans="2:10">
      <c r="B282" s="38" t="s">
        <v>2228</v>
      </c>
      <c r="C282" s="38" t="s">
        <v>1057</v>
      </c>
      <c r="D282" s="38" t="s">
        <v>2086</v>
      </c>
      <c r="E282" s="38" t="s">
        <v>1843</v>
      </c>
      <c r="F282" s="63">
        <v>15675</v>
      </c>
      <c r="G282" s="38"/>
      <c r="H282" s="38" t="s">
        <v>2032</v>
      </c>
      <c r="I282" s="38" t="s">
        <v>2031</v>
      </c>
      <c r="J282" s="38" t="s">
        <v>22</v>
      </c>
    </row>
    <row r="283" spans="2:10">
      <c r="B283" s="38" t="s">
        <v>2229</v>
      </c>
      <c r="C283" s="38" t="s">
        <v>425</v>
      </c>
      <c r="D283" s="38" t="s">
        <v>2035</v>
      </c>
      <c r="E283" s="38" t="s">
        <v>1855</v>
      </c>
      <c r="F283" s="63">
        <v>3700</v>
      </c>
      <c r="G283" s="38"/>
      <c r="H283" s="38" t="s">
        <v>1702</v>
      </c>
      <c r="I283" s="38" t="s">
        <v>2032</v>
      </c>
      <c r="J283" s="38" t="s">
        <v>20</v>
      </c>
    </row>
    <row r="284" spans="2:10">
      <c r="B284" s="38" t="s">
        <v>2230</v>
      </c>
      <c r="C284" s="38" t="s">
        <v>108</v>
      </c>
      <c r="D284" s="38" t="s">
        <v>2035</v>
      </c>
      <c r="E284" s="38" t="s">
        <v>1855</v>
      </c>
      <c r="F284" s="63">
        <v>2950</v>
      </c>
      <c r="G284" s="38"/>
      <c r="H284" s="38" t="s">
        <v>2031</v>
      </c>
      <c r="I284" s="38" t="s">
        <v>2032</v>
      </c>
      <c r="J284" s="38" t="s">
        <v>20</v>
      </c>
    </row>
    <row r="285" spans="2:10">
      <c r="B285" s="38" t="s">
        <v>2231</v>
      </c>
      <c r="C285" s="38" t="s">
        <v>766</v>
      </c>
      <c r="D285" s="38" t="s">
        <v>2040</v>
      </c>
      <c r="E285" s="38" t="s">
        <v>1799</v>
      </c>
      <c r="F285" s="63">
        <v>4750</v>
      </c>
      <c r="G285" s="38"/>
      <c r="H285" s="38" t="s">
        <v>2031</v>
      </c>
      <c r="I285" s="38" t="s">
        <v>2032</v>
      </c>
      <c r="J285" s="38" t="s">
        <v>20</v>
      </c>
    </row>
    <row r="286" spans="2:10">
      <c r="B286" s="38" t="s">
        <v>2232</v>
      </c>
      <c r="C286" s="38" t="s">
        <v>110</v>
      </c>
      <c r="D286" s="38" t="s">
        <v>2123</v>
      </c>
      <c r="E286" s="38" t="s">
        <v>1833</v>
      </c>
      <c r="F286" s="63">
        <v>14350.000000000002</v>
      </c>
      <c r="G286" s="38"/>
      <c r="H286" s="38" t="s">
        <v>1702</v>
      </c>
      <c r="I286" s="38" t="s">
        <v>1702</v>
      </c>
      <c r="J286" s="38" t="s">
        <v>26</v>
      </c>
    </row>
    <row r="287" spans="2:10">
      <c r="B287" s="38" t="s">
        <v>2232</v>
      </c>
      <c r="C287" s="38" t="s">
        <v>110</v>
      </c>
      <c r="D287" s="38" t="s">
        <v>2038</v>
      </c>
      <c r="E287" s="38" t="s">
        <v>1838</v>
      </c>
      <c r="F287" s="63">
        <v>10750</v>
      </c>
      <c r="G287" s="38"/>
      <c r="H287" s="38" t="s">
        <v>1702</v>
      </c>
      <c r="I287" s="38" t="s">
        <v>1702</v>
      </c>
      <c r="J287" s="38" t="s">
        <v>27</v>
      </c>
    </row>
    <row r="288" spans="2:10">
      <c r="B288" s="38" t="s">
        <v>2233</v>
      </c>
      <c r="C288" s="38" t="s">
        <v>1066</v>
      </c>
      <c r="D288" s="38" t="s">
        <v>2035</v>
      </c>
      <c r="E288" s="38" t="s">
        <v>1855</v>
      </c>
      <c r="F288" s="63">
        <v>3750</v>
      </c>
      <c r="G288" s="38"/>
      <c r="H288" s="38" t="s">
        <v>2032</v>
      </c>
      <c r="I288" s="38" t="s">
        <v>2032</v>
      </c>
      <c r="J288" s="38" t="s">
        <v>20</v>
      </c>
    </row>
    <row r="289" spans="2:10">
      <c r="B289" s="38" t="s">
        <v>2234</v>
      </c>
      <c r="C289" s="38" t="s">
        <v>439</v>
      </c>
      <c r="D289" s="38" t="s">
        <v>2235</v>
      </c>
      <c r="E289" s="38" t="s">
        <v>1794</v>
      </c>
      <c r="F289" s="63">
        <v>7500</v>
      </c>
      <c r="G289" s="38"/>
      <c r="H289" s="38" t="s">
        <v>191</v>
      </c>
      <c r="I289" s="38" t="s">
        <v>191</v>
      </c>
      <c r="J289" s="38" t="s">
        <v>27</v>
      </c>
    </row>
    <row r="290" spans="2:10">
      <c r="B290" s="38" t="s">
        <v>2236</v>
      </c>
      <c r="C290" s="38" t="s">
        <v>175</v>
      </c>
      <c r="D290" s="38" t="s">
        <v>2040</v>
      </c>
      <c r="E290" s="38" t="s">
        <v>1799</v>
      </c>
      <c r="F290" s="63">
        <v>9970</v>
      </c>
      <c r="G290" s="38"/>
      <c r="H290" s="38" t="s">
        <v>1702</v>
      </c>
      <c r="I290" s="38" t="s">
        <v>2032</v>
      </c>
      <c r="J290" s="38" t="s">
        <v>20</v>
      </c>
    </row>
    <row r="291" spans="2:10">
      <c r="B291" s="38" t="s">
        <v>2237</v>
      </c>
      <c r="C291" s="38" t="s">
        <v>1069</v>
      </c>
      <c r="D291" s="38" t="s">
        <v>2040</v>
      </c>
      <c r="E291" s="38" t="s">
        <v>1799</v>
      </c>
      <c r="F291" s="63">
        <v>5000</v>
      </c>
      <c r="G291" s="38"/>
      <c r="H291" s="38" t="s">
        <v>2032</v>
      </c>
      <c r="I291" s="38" t="s">
        <v>2032</v>
      </c>
      <c r="J291" s="38" t="s">
        <v>20</v>
      </c>
    </row>
    <row r="292" spans="2:10">
      <c r="B292" s="38" t="s">
        <v>2238</v>
      </c>
      <c r="C292" s="38" t="s">
        <v>440</v>
      </c>
      <c r="D292" s="38" t="s">
        <v>2040</v>
      </c>
      <c r="E292" s="38" t="s">
        <v>1799</v>
      </c>
      <c r="F292" s="63">
        <v>9000</v>
      </c>
      <c r="G292" s="38"/>
      <c r="H292" s="38" t="s">
        <v>191</v>
      </c>
      <c r="I292" s="38" t="s">
        <v>2032</v>
      </c>
      <c r="J292" s="38" t="s">
        <v>20</v>
      </c>
    </row>
    <row r="293" spans="2:10">
      <c r="B293" s="38" t="s">
        <v>2239</v>
      </c>
      <c r="C293" s="38" t="s">
        <v>80</v>
      </c>
      <c r="D293" s="38" t="s">
        <v>2240</v>
      </c>
      <c r="E293" s="38" t="s">
        <v>1816</v>
      </c>
      <c r="F293" s="63">
        <v>11998.83</v>
      </c>
      <c r="G293" s="38"/>
      <c r="H293" s="38" t="s">
        <v>2031</v>
      </c>
      <c r="I293" s="38" t="s">
        <v>2031</v>
      </c>
      <c r="J293" s="38" t="s">
        <v>34</v>
      </c>
    </row>
    <row r="294" spans="2:10">
      <c r="B294" s="38" t="s">
        <v>2239</v>
      </c>
      <c r="C294" s="38" t="s">
        <v>80</v>
      </c>
      <c r="D294" s="38" t="s">
        <v>2084</v>
      </c>
      <c r="E294" s="38" t="s">
        <v>1822</v>
      </c>
      <c r="F294" s="63">
        <v>6673.94</v>
      </c>
      <c r="G294" s="38"/>
      <c r="H294" s="38" t="s">
        <v>2031</v>
      </c>
      <c r="I294" s="38" t="s">
        <v>2031</v>
      </c>
      <c r="J294" s="38" t="s">
        <v>23</v>
      </c>
    </row>
    <row r="295" spans="2:10">
      <c r="B295" s="38" t="s">
        <v>2239</v>
      </c>
      <c r="C295" s="38" t="s">
        <v>80</v>
      </c>
      <c r="D295" s="38" t="s">
        <v>2128</v>
      </c>
      <c r="E295" s="38" t="s">
        <v>1827</v>
      </c>
      <c r="F295" s="63">
        <v>10306.02</v>
      </c>
      <c r="G295" s="38"/>
      <c r="H295" s="38" t="s">
        <v>2031</v>
      </c>
      <c r="I295" s="38" t="s">
        <v>1703</v>
      </c>
      <c r="J295" s="38" t="s">
        <v>29</v>
      </c>
    </row>
    <row r="296" spans="2:10">
      <c r="B296" s="38" t="s">
        <v>2239</v>
      </c>
      <c r="C296" s="38" t="s">
        <v>80</v>
      </c>
      <c r="D296" s="38" t="s">
        <v>2241</v>
      </c>
      <c r="E296" s="38" t="s">
        <v>1898</v>
      </c>
      <c r="F296" s="63">
        <v>7854.369999999999</v>
      </c>
      <c r="G296" s="38"/>
      <c r="H296" s="38" t="s">
        <v>2031</v>
      </c>
      <c r="I296" s="38" t="s">
        <v>1703</v>
      </c>
      <c r="J296" s="38" t="s">
        <v>29</v>
      </c>
    </row>
    <row r="297" spans="2:10">
      <c r="B297" s="38" t="s">
        <v>2239</v>
      </c>
      <c r="C297" s="38" t="s">
        <v>80</v>
      </c>
      <c r="D297" s="38" t="s">
        <v>2061</v>
      </c>
      <c r="E297" s="38" t="s">
        <v>1820</v>
      </c>
      <c r="F297" s="63">
        <v>10306.02</v>
      </c>
      <c r="G297" s="38"/>
      <c r="H297" s="38" t="s">
        <v>2031</v>
      </c>
      <c r="I297" s="38" t="s">
        <v>1702</v>
      </c>
      <c r="J297" s="38" t="s">
        <v>25</v>
      </c>
    </row>
    <row r="298" spans="2:10">
      <c r="B298" s="38" t="s">
        <v>2239</v>
      </c>
      <c r="C298" s="38" t="s">
        <v>80</v>
      </c>
      <c r="D298" s="38" t="s">
        <v>2042</v>
      </c>
      <c r="E298" s="38" t="s">
        <v>1819</v>
      </c>
      <c r="F298" s="63">
        <v>8035.97</v>
      </c>
      <c r="G298" s="38"/>
      <c r="H298" s="38" t="s">
        <v>2031</v>
      </c>
      <c r="I298" s="38" t="s">
        <v>1702</v>
      </c>
      <c r="J298" s="38" t="s">
        <v>26</v>
      </c>
    </row>
    <row r="299" spans="2:10">
      <c r="B299" s="38" t="s">
        <v>2239</v>
      </c>
      <c r="C299" s="38" t="s">
        <v>80</v>
      </c>
      <c r="D299" s="38" t="s">
        <v>2057</v>
      </c>
      <c r="E299" s="38" t="s">
        <v>1826</v>
      </c>
      <c r="F299" s="63">
        <v>8126.7799999999988</v>
      </c>
      <c r="G299" s="38"/>
      <c r="H299" s="38" t="s">
        <v>2031</v>
      </c>
      <c r="I299" s="38" t="s">
        <v>1702</v>
      </c>
      <c r="J299" s="38" t="s">
        <v>27</v>
      </c>
    </row>
    <row r="300" spans="2:10">
      <c r="B300" s="38" t="s">
        <v>2239</v>
      </c>
      <c r="C300" s="38" t="s">
        <v>80</v>
      </c>
      <c r="D300" s="38" t="s">
        <v>2123</v>
      </c>
      <c r="E300" s="38" t="s">
        <v>1833</v>
      </c>
      <c r="F300" s="63">
        <v>8671.6</v>
      </c>
      <c r="G300" s="38"/>
      <c r="H300" s="38" t="s">
        <v>2031</v>
      </c>
      <c r="I300" s="38" t="s">
        <v>1702</v>
      </c>
      <c r="J300" s="38" t="s">
        <v>26</v>
      </c>
    </row>
    <row r="301" spans="2:10">
      <c r="B301" s="38" t="s">
        <v>2239</v>
      </c>
      <c r="C301" s="38" t="s">
        <v>80</v>
      </c>
      <c r="D301" s="38" t="s">
        <v>2038</v>
      </c>
      <c r="E301" s="38" t="s">
        <v>1838</v>
      </c>
      <c r="F301" s="63">
        <v>6492.34</v>
      </c>
      <c r="G301" s="38"/>
      <c r="H301" s="38" t="s">
        <v>2031</v>
      </c>
      <c r="I301" s="38" t="s">
        <v>1702</v>
      </c>
      <c r="J301" s="38" t="s">
        <v>27</v>
      </c>
    </row>
    <row r="302" spans="2:10">
      <c r="B302" s="38" t="s">
        <v>2239</v>
      </c>
      <c r="C302" s="38" t="s">
        <v>80</v>
      </c>
      <c r="D302" s="38" t="s">
        <v>2048</v>
      </c>
      <c r="E302" s="38" t="s">
        <v>2049</v>
      </c>
      <c r="F302" s="63">
        <v>11674.54</v>
      </c>
      <c r="G302" s="38"/>
      <c r="H302" s="38" t="s">
        <v>2031</v>
      </c>
      <c r="I302" s="38" t="s">
        <v>2032</v>
      </c>
      <c r="J302" s="38" t="s">
        <v>20</v>
      </c>
    </row>
    <row r="303" spans="2:10">
      <c r="B303" s="38" t="s">
        <v>2239</v>
      </c>
      <c r="C303" s="38" t="s">
        <v>80</v>
      </c>
      <c r="D303" s="38" t="s">
        <v>2069</v>
      </c>
      <c r="E303" s="38" t="s">
        <v>1889</v>
      </c>
      <c r="F303" s="63">
        <v>44428.11</v>
      </c>
      <c r="G303" s="38"/>
      <c r="H303" s="38" t="s">
        <v>2031</v>
      </c>
      <c r="I303" s="38" t="s">
        <v>2031</v>
      </c>
      <c r="J303" s="38" t="s">
        <v>21</v>
      </c>
    </row>
    <row r="304" spans="2:10">
      <c r="B304" s="38" t="s">
        <v>2239</v>
      </c>
      <c r="C304" s="38" t="s">
        <v>80</v>
      </c>
      <c r="D304" s="38" t="s">
        <v>2071</v>
      </c>
      <c r="E304" s="38" t="s">
        <v>1900</v>
      </c>
      <c r="F304" s="63">
        <v>26916.299999999901</v>
      </c>
      <c r="G304" s="38"/>
      <c r="H304" s="38" t="s">
        <v>2031</v>
      </c>
      <c r="I304" s="38" t="s">
        <v>2031</v>
      </c>
      <c r="J304" s="38" t="s">
        <v>21</v>
      </c>
    </row>
    <row r="305" spans="2:10">
      <c r="B305" s="38" t="s">
        <v>2239</v>
      </c>
      <c r="C305" s="38" t="s">
        <v>80</v>
      </c>
      <c r="D305" s="38" t="s">
        <v>2081</v>
      </c>
      <c r="E305" s="38" t="s">
        <v>1890</v>
      </c>
      <c r="F305" s="63">
        <v>8431.61</v>
      </c>
      <c r="G305" s="38"/>
      <c r="H305" s="38" t="s">
        <v>2031</v>
      </c>
      <c r="I305" s="38" t="s">
        <v>1703</v>
      </c>
      <c r="J305" s="38" t="s">
        <v>31</v>
      </c>
    </row>
    <row r="306" spans="2:10">
      <c r="B306" s="38" t="s">
        <v>2239</v>
      </c>
      <c r="C306" s="38" t="s">
        <v>80</v>
      </c>
      <c r="D306" s="38" t="s">
        <v>2242</v>
      </c>
      <c r="E306" s="38" t="s">
        <v>1902</v>
      </c>
      <c r="F306" s="63">
        <v>11674.56</v>
      </c>
      <c r="G306" s="38"/>
      <c r="H306" s="38" t="s">
        <v>2031</v>
      </c>
      <c r="I306" s="38" t="s">
        <v>2032</v>
      </c>
      <c r="J306" s="38" t="s">
        <v>20</v>
      </c>
    </row>
    <row r="307" spans="2:10">
      <c r="B307" s="38" t="s">
        <v>2243</v>
      </c>
      <c r="C307" s="38" t="s">
        <v>601</v>
      </c>
      <c r="D307" s="38" t="s">
        <v>2081</v>
      </c>
      <c r="E307" s="38" t="s">
        <v>1890</v>
      </c>
      <c r="F307" s="63">
        <v>7714.2857142857147</v>
      </c>
      <c r="G307" s="38"/>
      <c r="H307" s="38" t="s">
        <v>1703</v>
      </c>
      <c r="I307" s="38" t="s">
        <v>1703</v>
      </c>
      <c r="J307" s="38" t="s">
        <v>31</v>
      </c>
    </row>
    <row r="308" spans="2:10">
      <c r="B308" s="38" t="s">
        <v>2243</v>
      </c>
      <c r="C308" s="38" t="s">
        <v>601</v>
      </c>
      <c r="D308" s="38" t="s">
        <v>2040</v>
      </c>
      <c r="E308" s="38" t="s">
        <v>1799</v>
      </c>
      <c r="F308" s="63">
        <v>6428.5714285714294</v>
      </c>
      <c r="G308" s="38"/>
      <c r="H308" s="38" t="s">
        <v>1703</v>
      </c>
      <c r="I308" s="38" t="s">
        <v>2032</v>
      </c>
      <c r="J308" s="38" t="s">
        <v>20</v>
      </c>
    </row>
    <row r="309" spans="2:10">
      <c r="B309" s="38" t="s">
        <v>2244</v>
      </c>
      <c r="C309" s="38" t="s">
        <v>886</v>
      </c>
      <c r="D309" s="38" t="s">
        <v>2040</v>
      </c>
      <c r="E309" s="38" t="s">
        <v>1799</v>
      </c>
      <c r="F309" s="63">
        <v>8100.0000000000009</v>
      </c>
      <c r="G309" s="38"/>
      <c r="H309" s="38" t="s">
        <v>1702</v>
      </c>
      <c r="I309" s="38" t="s">
        <v>2032</v>
      </c>
      <c r="J309" s="38" t="s">
        <v>20</v>
      </c>
    </row>
    <row r="310" spans="2:10">
      <c r="B310" s="38" t="s">
        <v>2244</v>
      </c>
      <c r="C310" s="38" t="s">
        <v>886</v>
      </c>
      <c r="D310" s="38" t="s">
        <v>2054</v>
      </c>
      <c r="E310" s="38" t="s">
        <v>2055</v>
      </c>
      <c r="F310" s="63">
        <v>14850</v>
      </c>
      <c r="G310" s="38"/>
      <c r="H310" s="38" t="s">
        <v>1702</v>
      </c>
      <c r="I310" s="38" t="s">
        <v>1702</v>
      </c>
      <c r="J310" s="38" t="s">
        <v>27</v>
      </c>
    </row>
    <row r="311" spans="2:10">
      <c r="B311" s="38" t="s">
        <v>2245</v>
      </c>
      <c r="C311" s="38" t="s">
        <v>81</v>
      </c>
      <c r="D311" s="38" t="s">
        <v>2034</v>
      </c>
      <c r="E311" s="38" t="s">
        <v>1864</v>
      </c>
      <c r="F311" s="63">
        <v>15356.256000000003</v>
      </c>
      <c r="G311" s="38"/>
      <c r="H311" s="38" t="s">
        <v>2031</v>
      </c>
      <c r="I311" s="38" t="s">
        <v>2031</v>
      </c>
      <c r="J311" s="38" t="s">
        <v>27</v>
      </c>
    </row>
    <row r="312" spans="2:10">
      <c r="B312" s="38" t="s">
        <v>2245</v>
      </c>
      <c r="C312" s="38" t="s">
        <v>81</v>
      </c>
      <c r="D312" s="38" t="s">
        <v>2067</v>
      </c>
      <c r="E312" s="38" t="s">
        <v>2068</v>
      </c>
      <c r="F312" s="63">
        <v>16428.120000000003</v>
      </c>
      <c r="G312" s="38"/>
      <c r="H312" s="38" t="s">
        <v>2031</v>
      </c>
      <c r="I312" s="38" t="s">
        <v>2031</v>
      </c>
      <c r="J312" s="38" t="s">
        <v>21</v>
      </c>
    </row>
    <row r="313" spans="2:10">
      <c r="B313" s="38" t="s">
        <v>2245</v>
      </c>
      <c r="C313" s="38" t="s">
        <v>81</v>
      </c>
      <c r="D313" s="38" t="s">
        <v>2110</v>
      </c>
      <c r="E313" s="38" t="s">
        <v>1886</v>
      </c>
      <c r="F313" s="63">
        <v>21787.5</v>
      </c>
      <c r="G313" s="38"/>
      <c r="H313" s="38" t="s">
        <v>2031</v>
      </c>
      <c r="I313" s="38" t="s">
        <v>2031</v>
      </c>
      <c r="J313" s="38" t="s">
        <v>21</v>
      </c>
    </row>
    <row r="314" spans="2:10">
      <c r="B314" s="38" t="s">
        <v>2245</v>
      </c>
      <c r="C314" s="38" t="s">
        <v>81</v>
      </c>
      <c r="D314" s="38" t="s">
        <v>2073</v>
      </c>
      <c r="E314" s="38" t="s">
        <v>2074</v>
      </c>
      <c r="F314" s="63">
        <v>19687.5</v>
      </c>
      <c r="G314" s="38"/>
      <c r="H314" s="38" t="s">
        <v>2031</v>
      </c>
      <c r="I314" s="38" t="s">
        <v>2031</v>
      </c>
      <c r="J314" s="38" t="s">
        <v>23</v>
      </c>
    </row>
    <row r="315" spans="2:10">
      <c r="B315" s="38" t="s">
        <v>2245</v>
      </c>
      <c r="C315" s="38" t="s">
        <v>81</v>
      </c>
      <c r="D315" s="38" t="s">
        <v>2072</v>
      </c>
      <c r="E315" s="38" t="s">
        <v>1918</v>
      </c>
      <c r="F315" s="63">
        <v>21379.170000000002</v>
      </c>
      <c r="G315" s="38"/>
      <c r="H315" s="38" t="s">
        <v>2031</v>
      </c>
      <c r="I315" s="38" t="s">
        <v>1702</v>
      </c>
      <c r="J315" s="38" t="s">
        <v>26</v>
      </c>
    </row>
    <row r="316" spans="2:10">
      <c r="B316" s="38" t="s">
        <v>2246</v>
      </c>
      <c r="C316" s="38" t="s">
        <v>602</v>
      </c>
      <c r="D316" s="38" t="s">
        <v>2048</v>
      </c>
      <c r="E316" s="38" t="s">
        <v>2049</v>
      </c>
      <c r="F316" s="63">
        <v>9000</v>
      </c>
      <c r="G316" s="38"/>
      <c r="H316" s="38" t="s">
        <v>2031</v>
      </c>
      <c r="I316" s="38" t="s">
        <v>2032</v>
      </c>
      <c r="J316" s="38" t="s">
        <v>20</v>
      </c>
    </row>
    <row r="317" spans="2:10">
      <c r="B317" s="38" t="s">
        <v>2247</v>
      </c>
      <c r="C317" s="38" t="s">
        <v>283</v>
      </c>
      <c r="D317" s="38" t="s">
        <v>2083</v>
      </c>
      <c r="E317" s="38" t="s">
        <v>1829</v>
      </c>
      <c r="F317" s="63">
        <v>11132</v>
      </c>
      <c r="G317" s="38"/>
      <c r="H317" s="38" t="s">
        <v>191</v>
      </c>
      <c r="I317" s="38" t="s">
        <v>191</v>
      </c>
      <c r="J317" s="38" t="s">
        <v>35</v>
      </c>
    </row>
    <row r="318" spans="2:10">
      <c r="B318" s="38" t="s">
        <v>2248</v>
      </c>
      <c r="C318" s="38" t="s">
        <v>112</v>
      </c>
      <c r="D318" s="38" t="s">
        <v>2235</v>
      </c>
      <c r="E318" s="38" t="s">
        <v>1794</v>
      </c>
      <c r="F318" s="63">
        <v>6496.21</v>
      </c>
      <c r="G318" s="38"/>
      <c r="H318" s="38" t="s">
        <v>1702</v>
      </c>
      <c r="I318" s="38" t="s">
        <v>2031</v>
      </c>
      <c r="J318" s="38" t="s">
        <v>27</v>
      </c>
    </row>
    <row r="319" spans="2:10">
      <c r="B319" s="38" t="s">
        <v>2248</v>
      </c>
      <c r="C319" s="38" t="s">
        <v>112</v>
      </c>
      <c r="D319" s="38" t="s">
        <v>2034</v>
      </c>
      <c r="E319" s="38" t="s">
        <v>1864</v>
      </c>
      <c r="F319" s="63">
        <v>17013.89</v>
      </c>
      <c r="G319" s="38"/>
      <c r="H319" s="38" t="s">
        <v>1702</v>
      </c>
      <c r="I319" s="38" t="s">
        <v>1702</v>
      </c>
      <c r="J319" s="38" t="s">
        <v>27</v>
      </c>
    </row>
    <row r="320" spans="2:10">
      <c r="B320" s="38" t="s">
        <v>2248</v>
      </c>
      <c r="C320" s="38" t="s">
        <v>112</v>
      </c>
      <c r="D320" s="38" t="s">
        <v>2069</v>
      </c>
      <c r="E320" s="38" t="s">
        <v>1889</v>
      </c>
      <c r="F320" s="63">
        <v>39595.96</v>
      </c>
      <c r="G320" s="38"/>
      <c r="H320" s="38" t="s">
        <v>1702</v>
      </c>
      <c r="I320" s="38" t="s">
        <v>2031</v>
      </c>
      <c r="J320" s="38" t="s">
        <v>21</v>
      </c>
    </row>
    <row r="321" spans="2:10">
      <c r="B321" s="38" t="s">
        <v>2248</v>
      </c>
      <c r="C321" s="38" t="s">
        <v>112</v>
      </c>
      <c r="D321" s="38" t="s">
        <v>2081</v>
      </c>
      <c r="E321" s="38" t="s">
        <v>1890</v>
      </c>
      <c r="F321" s="63">
        <v>8042.9299999999994</v>
      </c>
      <c r="G321" s="38"/>
      <c r="H321" s="38" t="s">
        <v>1702</v>
      </c>
      <c r="I321" s="38" t="s">
        <v>1703</v>
      </c>
      <c r="J321" s="38" t="s">
        <v>31</v>
      </c>
    </row>
    <row r="322" spans="2:10">
      <c r="B322" s="38" t="s">
        <v>2248</v>
      </c>
      <c r="C322" s="38" t="s">
        <v>112</v>
      </c>
      <c r="D322" s="38" t="s">
        <v>2070</v>
      </c>
      <c r="E322" s="38" t="s">
        <v>1813</v>
      </c>
      <c r="F322" s="63">
        <v>7424.24</v>
      </c>
      <c r="G322" s="38"/>
      <c r="H322" s="38" t="s">
        <v>1702</v>
      </c>
      <c r="I322" s="38" t="s">
        <v>2031</v>
      </c>
      <c r="J322" s="38" t="s">
        <v>21</v>
      </c>
    </row>
    <row r="323" spans="2:10">
      <c r="B323" s="38" t="s">
        <v>2248</v>
      </c>
      <c r="C323" s="38" t="s">
        <v>112</v>
      </c>
      <c r="D323" s="38" t="s">
        <v>2125</v>
      </c>
      <c r="E323" s="38" t="s">
        <v>1895</v>
      </c>
      <c r="F323" s="63">
        <v>16085.859999999999</v>
      </c>
      <c r="G323" s="38"/>
      <c r="H323" s="38" t="s">
        <v>1702</v>
      </c>
      <c r="I323" s="38" t="s">
        <v>1703</v>
      </c>
      <c r="J323" s="38" t="s">
        <v>29</v>
      </c>
    </row>
    <row r="324" spans="2:10">
      <c r="B324" s="38" t="s">
        <v>2248</v>
      </c>
      <c r="C324" s="38" t="s">
        <v>112</v>
      </c>
      <c r="D324" s="38" t="s">
        <v>2071</v>
      </c>
      <c r="E324" s="38" t="s">
        <v>1900</v>
      </c>
      <c r="F324" s="63">
        <v>23819.439999999999</v>
      </c>
      <c r="G324" s="38"/>
      <c r="H324" s="38" t="s">
        <v>1702</v>
      </c>
      <c r="I324" s="38" t="s">
        <v>2031</v>
      </c>
      <c r="J324" s="38" t="s">
        <v>21</v>
      </c>
    </row>
    <row r="325" spans="2:10">
      <c r="B325" s="38" t="s">
        <v>2248</v>
      </c>
      <c r="C325" s="38" t="s">
        <v>112</v>
      </c>
      <c r="D325" s="38" t="s">
        <v>2040</v>
      </c>
      <c r="E325" s="38" t="s">
        <v>1799</v>
      </c>
      <c r="F325" s="63">
        <v>10827.02</v>
      </c>
      <c r="G325" s="38"/>
      <c r="H325" s="38" t="s">
        <v>1702</v>
      </c>
      <c r="I325" s="38" t="s">
        <v>2032</v>
      </c>
      <c r="J325" s="38" t="s">
        <v>20</v>
      </c>
    </row>
    <row r="326" spans="2:10">
      <c r="B326" s="38" t="s">
        <v>2248</v>
      </c>
      <c r="C326" s="38" t="s">
        <v>112</v>
      </c>
      <c r="D326" s="38" t="s">
        <v>2100</v>
      </c>
      <c r="E326" s="38" t="s">
        <v>1904</v>
      </c>
      <c r="F326" s="63">
        <v>25984.85</v>
      </c>
      <c r="G326" s="38"/>
      <c r="H326" s="38" t="s">
        <v>1702</v>
      </c>
      <c r="I326" s="38" t="s">
        <v>1702</v>
      </c>
      <c r="J326" s="38" t="s">
        <v>25</v>
      </c>
    </row>
    <row r="327" spans="2:10">
      <c r="B327" s="38" t="s">
        <v>2248</v>
      </c>
      <c r="C327" s="38" t="s">
        <v>112</v>
      </c>
      <c r="D327" s="38" t="s">
        <v>2111</v>
      </c>
      <c r="E327" s="38" t="s">
        <v>2112</v>
      </c>
      <c r="F327" s="63">
        <v>11445.710000000001</v>
      </c>
      <c r="G327" s="38"/>
      <c r="H327" s="38" t="s">
        <v>1702</v>
      </c>
      <c r="I327" s="38" t="s">
        <v>2031</v>
      </c>
      <c r="J327" s="38" t="s">
        <v>34</v>
      </c>
    </row>
    <row r="328" spans="2:10">
      <c r="B328" s="38" t="s">
        <v>2248</v>
      </c>
      <c r="C328" s="38" t="s">
        <v>112</v>
      </c>
      <c r="D328" s="38" t="s">
        <v>2054</v>
      </c>
      <c r="E328" s="38" t="s">
        <v>2055</v>
      </c>
      <c r="F328" s="63">
        <v>14539.14</v>
      </c>
      <c r="G328" s="38"/>
      <c r="H328" s="38" t="s">
        <v>1702</v>
      </c>
      <c r="I328" s="38" t="s">
        <v>1702</v>
      </c>
      <c r="J328" s="38" t="s">
        <v>27</v>
      </c>
    </row>
    <row r="329" spans="2:10">
      <c r="B329" s="38" t="s">
        <v>2248</v>
      </c>
      <c r="C329" s="38" t="s">
        <v>112</v>
      </c>
      <c r="D329" s="38" t="s">
        <v>2073</v>
      </c>
      <c r="E329" s="38" t="s">
        <v>2074</v>
      </c>
      <c r="F329" s="63">
        <v>19488.64</v>
      </c>
      <c r="G329" s="38"/>
      <c r="H329" s="38" t="s">
        <v>1702</v>
      </c>
      <c r="I329" s="38" t="s">
        <v>2031</v>
      </c>
      <c r="J329" s="38" t="s">
        <v>23</v>
      </c>
    </row>
    <row r="330" spans="2:10">
      <c r="B330" s="38" t="s">
        <v>2248</v>
      </c>
      <c r="C330" s="38" t="s">
        <v>112</v>
      </c>
      <c r="D330" s="38" t="s">
        <v>2107</v>
      </c>
      <c r="E330" s="38" t="s">
        <v>1914</v>
      </c>
      <c r="F330" s="63">
        <v>44236.11</v>
      </c>
      <c r="G330" s="38"/>
      <c r="H330" s="38" t="s">
        <v>1702</v>
      </c>
      <c r="I330" s="38" t="s">
        <v>2031</v>
      </c>
      <c r="J330" s="38" t="s">
        <v>24</v>
      </c>
    </row>
    <row r="331" spans="2:10">
      <c r="B331" s="38" t="s">
        <v>2249</v>
      </c>
      <c r="C331" s="38" t="s">
        <v>2250</v>
      </c>
      <c r="D331" s="38" t="s">
        <v>2083</v>
      </c>
      <c r="E331" s="38" t="s">
        <v>1829</v>
      </c>
      <c r="F331" s="63">
        <v>12600</v>
      </c>
      <c r="G331" s="38"/>
      <c r="H331" s="38" t="s">
        <v>2031</v>
      </c>
      <c r="I331" s="38" t="s">
        <v>2031</v>
      </c>
      <c r="J331" s="38" t="s">
        <v>23</v>
      </c>
    </row>
    <row r="332" spans="2:10">
      <c r="B332" s="38" t="s">
        <v>2249</v>
      </c>
      <c r="C332" s="38" t="s">
        <v>2250</v>
      </c>
      <c r="D332" s="38" t="s">
        <v>2040</v>
      </c>
      <c r="E332" s="38" t="s">
        <v>1799</v>
      </c>
      <c r="F332" s="63">
        <v>4500</v>
      </c>
      <c r="G332" s="38"/>
      <c r="H332" s="38" t="s">
        <v>2031</v>
      </c>
      <c r="I332" s="38" t="s">
        <v>2032</v>
      </c>
      <c r="J332" s="38" t="s">
        <v>20</v>
      </c>
    </row>
    <row r="333" spans="2:10">
      <c r="B333" s="38" t="s">
        <v>2251</v>
      </c>
      <c r="C333" s="38" t="s">
        <v>1074</v>
      </c>
      <c r="D333" s="38" t="s">
        <v>2040</v>
      </c>
      <c r="E333" s="38" t="s">
        <v>1799</v>
      </c>
      <c r="F333" s="63">
        <v>8325</v>
      </c>
      <c r="G333" s="38"/>
      <c r="H333" s="38" t="s">
        <v>2032</v>
      </c>
      <c r="I333" s="38" t="s">
        <v>2032</v>
      </c>
      <c r="J333" s="38" t="s">
        <v>20</v>
      </c>
    </row>
    <row r="334" spans="2:10">
      <c r="B334" s="38" t="s">
        <v>2252</v>
      </c>
      <c r="C334" s="38" t="s">
        <v>890</v>
      </c>
      <c r="D334" s="38" t="s">
        <v>2035</v>
      </c>
      <c r="E334" s="38" t="s">
        <v>1855</v>
      </c>
      <c r="F334" s="63">
        <v>5300</v>
      </c>
      <c r="G334" s="38"/>
      <c r="H334" s="38" t="s">
        <v>2032</v>
      </c>
      <c r="I334" s="38" t="s">
        <v>2032</v>
      </c>
      <c r="J334" s="38" t="s">
        <v>20</v>
      </c>
    </row>
    <row r="335" spans="2:10">
      <c r="B335" s="38" t="s">
        <v>2253</v>
      </c>
      <c r="C335" s="38" t="s">
        <v>604</v>
      </c>
      <c r="D335" s="38" t="s">
        <v>2035</v>
      </c>
      <c r="E335" s="38" t="s">
        <v>1855</v>
      </c>
      <c r="F335" s="63">
        <v>4050</v>
      </c>
      <c r="G335" s="38"/>
      <c r="H335" s="38" t="s">
        <v>2032</v>
      </c>
      <c r="I335" s="38" t="s">
        <v>2032</v>
      </c>
      <c r="J335" s="38" t="s">
        <v>20</v>
      </c>
    </row>
    <row r="336" spans="2:10">
      <c r="B336" s="38" t="s">
        <v>2254</v>
      </c>
      <c r="C336" s="38" t="s">
        <v>83</v>
      </c>
      <c r="D336" s="38" t="s">
        <v>2079</v>
      </c>
      <c r="E336" s="38" t="s">
        <v>1810</v>
      </c>
      <c r="F336" s="63">
        <v>8150.0000000000009</v>
      </c>
      <c r="G336" s="38"/>
      <c r="H336" s="38" t="s">
        <v>2031</v>
      </c>
      <c r="I336" s="38" t="s">
        <v>2031</v>
      </c>
      <c r="J336" s="38" t="s">
        <v>22</v>
      </c>
    </row>
    <row r="337" spans="2:10">
      <c r="B337" s="38" t="s">
        <v>2254</v>
      </c>
      <c r="C337" s="38" t="s">
        <v>83</v>
      </c>
      <c r="D337" s="38" t="s">
        <v>2082</v>
      </c>
      <c r="E337" s="38" t="s">
        <v>1811</v>
      </c>
      <c r="F337" s="63">
        <v>7250</v>
      </c>
      <c r="G337" s="38"/>
      <c r="H337" s="38" t="s">
        <v>2031</v>
      </c>
      <c r="I337" s="38" t="s">
        <v>2031</v>
      </c>
      <c r="J337" s="38" t="s">
        <v>23</v>
      </c>
    </row>
    <row r="338" spans="2:10">
      <c r="B338" s="38" t="s">
        <v>2254</v>
      </c>
      <c r="C338" s="38" t="s">
        <v>83</v>
      </c>
      <c r="D338" s="38" t="s">
        <v>2035</v>
      </c>
      <c r="E338" s="38" t="s">
        <v>1855</v>
      </c>
      <c r="F338" s="63">
        <v>17150</v>
      </c>
      <c r="G338" s="38"/>
      <c r="H338" s="38" t="s">
        <v>2031</v>
      </c>
      <c r="I338" s="38" t="s">
        <v>2032</v>
      </c>
      <c r="J338" s="38" t="s">
        <v>20</v>
      </c>
    </row>
    <row r="339" spans="2:10">
      <c r="B339" s="38" t="s">
        <v>2254</v>
      </c>
      <c r="C339" s="38" t="s">
        <v>83</v>
      </c>
      <c r="D339" s="38" t="s">
        <v>2084</v>
      </c>
      <c r="E339" s="38" t="s">
        <v>1822</v>
      </c>
      <c r="F339" s="63">
        <v>7250</v>
      </c>
      <c r="G339" s="38"/>
      <c r="H339" s="38" t="s">
        <v>2031</v>
      </c>
      <c r="I339" s="38" t="s">
        <v>2031</v>
      </c>
      <c r="J339" s="38" t="s">
        <v>23</v>
      </c>
    </row>
    <row r="340" spans="2:10">
      <c r="B340" s="38" t="s">
        <v>2254</v>
      </c>
      <c r="C340" s="38" t="s">
        <v>83</v>
      </c>
      <c r="D340" s="38" t="s">
        <v>2061</v>
      </c>
      <c r="E340" s="38" t="s">
        <v>1820</v>
      </c>
      <c r="F340" s="63">
        <v>9400</v>
      </c>
      <c r="G340" s="38"/>
      <c r="H340" s="38" t="s">
        <v>2031</v>
      </c>
      <c r="I340" s="38" t="s">
        <v>1702</v>
      </c>
      <c r="J340" s="38" t="s">
        <v>25</v>
      </c>
    </row>
    <row r="341" spans="2:10">
      <c r="B341" s="38" t="s">
        <v>2254</v>
      </c>
      <c r="C341" s="38" t="s">
        <v>83</v>
      </c>
      <c r="D341" s="38" t="s">
        <v>2057</v>
      </c>
      <c r="E341" s="38" t="s">
        <v>1826</v>
      </c>
      <c r="F341" s="63">
        <v>7250</v>
      </c>
      <c r="G341" s="38"/>
      <c r="H341" s="38" t="s">
        <v>2031</v>
      </c>
      <c r="I341" s="38" t="s">
        <v>1702</v>
      </c>
      <c r="J341" s="38" t="s">
        <v>27</v>
      </c>
    </row>
    <row r="342" spans="2:10">
      <c r="B342" s="38" t="s">
        <v>2254</v>
      </c>
      <c r="C342" s="38" t="s">
        <v>83</v>
      </c>
      <c r="D342" s="38" t="s">
        <v>2255</v>
      </c>
      <c r="E342" s="38" t="s">
        <v>1916</v>
      </c>
      <c r="F342" s="63">
        <v>5200</v>
      </c>
      <c r="G342" s="38"/>
      <c r="H342" s="38" t="s">
        <v>2031</v>
      </c>
      <c r="I342" s="38" t="s">
        <v>1702</v>
      </c>
      <c r="J342" s="38" t="s">
        <v>25</v>
      </c>
    </row>
    <row r="343" spans="2:10">
      <c r="B343" s="38" t="s">
        <v>2254</v>
      </c>
      <c r="C343" s="38" t="s">
        <v>83</v>
      </c>
      <c r="D343" s="38" t="s">
        <v>2123</v>
      </c>
      <c r="E343" s="38" t="s">
        <v>1833</v>
      </c>
      <c r="F343" s="63">
        <v>7600</v>
      </c>
      <c r="G343" s="38"/>
      <c r="H343" s="38" t="s">
        <v>2031</v>
      </c>
      <c r="I343" s="38" t="s">
        <v>1702</v>
      </c>
      <c r="J343" s="38" t="s">
        <v>26</v>
      </c>
    </row>
    <row r="344" spans="2:10">
      <c r="B344" s="38" t="s">
        <v>2254</v>
      </c>
      <c r="C344" s="38" t="s">
        <v>83</v>
      </c>
      <c r="D344" s="38" t="s">
        <v>2086</v>
      </c>
      <c r="E344" s="38" t="s">
        <v>1843</v>
      </c>
      <c r="F344" s="63">
        <v>9000</v>
      </c>
      <c r="G344" s="38"/>
      <c r="H344" s="38" t="s">
        <v>2031</v>
      </c>
      <c r="I344" s="38" t="s">
        <v>2031</v>
      </c>
      <c r="J344" s="38" t="s">
        <v>22</v>
      </c>
    </row>
    <row r="345" spans="2:10">
      <c r="B345" s="38" t="s">
        <v>2254</v>
      </c>
      <c r="C345" s="38" t="s">
        <v>83</v>
      </c>
      <c r="D345" s="38" t="s">
        <v>2038</v>
      </c>
      <c r="E345" s="38" t="s">
        <v>1838</v>
      </c>
      <c r="F345" s="63">
        <v>6000</v>
      </c>
      <c r="G345" s="38"/>
      <c r="H345" s="38" t="s">
        <v>2031</v>
      </c>
      <c r="I345" s="38" t="s">
        <v>1702</v>
      </c>
      <c r="J345" s="38" t="s">
        <v>27</v>
      </c>
    </row>
    <row r="346" spans="2:10">
      <c r="B346" s="38" t="s">
        <v>2256</v>
      </c>
      <c r="C346" s="38" t="s">
        <v>444</v>
      </c>
      <c r="D346" s="38" t="s">
        <v>2034</v>
      </c>
      <c r="E346" s="38" t="s">
        <v>1864</v>
      </c>
      <c r="F346" s="63">
        <v>9100</v>
      </c>
      <c r="G346" s="38"/>
      <c r="H346" s="38" t="s">
        <v>191</v>
      </c>
      <c r="I346" s="38" t="s">
        <v>191</v>
      </c>
      <c r="J346" s="38" t="s">
        <v>27</v>
      </c>
    </row>
    <row r="347" spans="2:10">
      <c r="B347" s="38" t="s">
        <v>2256</v>
      </c>
      <c r="C347" s="38" t="s">
        <v>444</v>
      </c>
      <c r="D347" s="38" t="s">
        <v>2083</v>
      </c>
      <c r="E347" s="38" t="s">
        <v>1829</v>
      </c>
      <c r="F347" s="63">
        <v>11900</v>
      </c>
      <c r="G347" s="38"/>
      <c r="H347" s="38" t="s">
        <v>191</v>
      </c>
      <c r="I347" s="38" t="s">
        <v>191</v>
      </c>
      <c r="J347" s="38" t="s">
        <v>35</v>
      </c>
    </row>
    <row r="348" spans="2:10">
      <c r="B348" s="38" t="s">
        <v>2257</v>
      </c>
      <c r="C348" s="38" t="s">
        <v>113</v>
      </c>
      <c r="D348" s="38" t="s">
        <v>2258</v>
      </c>
      <c r="E348" s="38" t="s">
        <v>1814</v>
      </c>
      <c r="F348" s="63">
        <v>6240.9600000000009</v>
      </c>
      <c r="G348" s="38"/>
      <c r="H348" s="38" t="s">
        <v>2031</v>
      </c>
      <c r="I348" s="38" t="s">
        <v>2031</v>
      </c>
      <c r="J348" s="38" t="s">
        <v>24</v>
      </c>
    </row>
    <row r="349" spans="2:10">
      <c r="B349" s="38" t="s">
        <v>2257</v>
      </c>
      <c r="C349" s="38" t="s">
        <v>113</v>
      </c>
      <c r="D349" s="38" t="s">
        <v>2084</v>
      </c>
      <c r="E349" s="38" t="s">
        <v>1822</v>
      </c>
      <c r="F349" s="63">
        <v>6963</v>
      </c>
      <c r="G349" s="38"/>
      <c r="H349" s="38" t="s">
        <v>2031</v>
      </c>
      <c r="I349" s="38" t="s">
        <v>2031</v>
      </c>
      <c r="J349" s="38" t="s">
        <v>23</v>
      </c>
    </row>
    <row r="350" spans="2:10">
      <c r="B350" s="38" t="s">
        <v>2257</v>
      </c>
      <c r="C350" s="38" t="s">
        <v>113</v>
      </c>
      <c r="D350" s="38" t="s">
        <v>2035</v>
      </c>
      <c r="E350" s="38" t="s">
        <v>1855</v>
      </c>
      <c r="F350" s="63">
        <v>5223</v>
      </c>
      <c r="G350" s="38"/>
      <c r="H350" s="38" t="s">
        <v>2031</v>
      </c>
      <c r="I350" s="38" t="s">
        <v>2032</v>
      </c>
      <c r="J350" s="38" t="s">
        <v>20</v>
      </c>
    </row>
    <row r="351" spans="2:10">
      <c r="B351" s="38" t="s">
        <v>2257</v>
      </c>
      <c r="C351" s="38" t="s">
        <v>113</v>
      </c>
      <c r="D351" s="38" t="s">
        <v>2082</v>
      </c>
      <c r="E351" s="38" t="s">
        <v>1811</v>
      </c>
      <c r="F351" s="63">
        <v>6963</v>
      </c>
      <c r="G351" s="38"/>
      <c r="H351" s="38" t="s">
        <v>2031</v>
      </c>
      <c r="I351" s="38" t="s">
        <v>2031</v>
      </c>
      <c r="J351" s="38" t="s">
        <v>23</v>
      </c>
    </row>
    <row r="352" spans="2:10">
      <c r="B352" s="38" t="s">
        <v>2257</v>
      </c>
      <c r="C352" s="38" t="s">
        <v>113</v>
      </c>
      <c r="D352" s="38" t="s">
        <v>2083</v>
      </c>
      <c r="E352" s="38" t="s">
        <v>1829</v>
      </c>
      <c r="F352" s="63">
        <v>14520</v>
      </c>
      <c r="G352" s="38"/>
      <c r="H352" s="38" t="s">
        <v>2031</v>
      </c>
      <c r="I352" s="38" t="s">
        <v>2031</v>
      </c>
      <c r="J352" s="38" t="s">
        <v>23</v>
      </c>
    </row>
    <row r="353" spans="2:10">
      <c r="B353" s="38" t="s">
        <v>2259</v>
      </c>
      <c r="C353" s="38" t="s">
        <v>178</v>
      </c>
      <c r="D353" s="38" t="s">
        <v>2099</v>
      </c>
      <c r="E353" s="38" t="s">
        <v>1815</v>
      </c>
      <c r="F353" s="63">
        <v>9500</v>
      </c>
      <c r="G353" s="38"/>
      <c r="H353" s="38" t="s">
        <v>1702</v>
      </c>
      <c r="I353" s="38" t="s">
        <v>1702</v>
      </c>
      <c r="J353" s="38" t="s">
        <v>27</v>
      </c>
    </row>
    <row r="354" spans="2:10">
      <c r="B354" s="38" t="s">
        <v>2259</v>
      </c>
      <c r="C354" s="38" t="s">
        <v>178</v>
      </c>
      <c r="D354" s="38" t="s">
        <v>2061</v>
      </c>
      <c r="E354" s="38" t="s">
        <v>1820</v>
      </c>
      <c r="F354" s="63">
        <v>10650</v>
      </c>
      <c r="G354" s="38"/>
      <c r="H354" s="38" t="s">
        <v>1702</v>
      </c>
      <c r="I354" s="38" t="s">
        <v>1702</v>
      </c>
      <c r="J354" s="38" t="s">
        <v>25</v>
      </c>
    </row>
    <row r="355" spans="2:10">
      <c r="B355" s="38" t="s">
        <v>2260</v>
      </c>
      <c r="C355" s="38" t="s">
        <v>179</v>
      </c>
      <c r="D355" s="38" t="s">
        <v>2083</v>
      </c>
      <c r="E355" s="38" t="s">
        <v>1829</v>
      </c>
      <c r="F355" s="63">
        <v>11750</v>
      </c>
      <c r="G355" s="38"/>
      <c r="H355" s="38" t="s">
        <v>2031</v>
      </c>
      <c r="I355" s="38" t="s">
        <v>2031</v>
      </c>
      <c r="J355" s="38" t="s">
        <v>23</v>
      </c>
    </row>
    <row r="356" spans="2:10">
      <c r="B356" s="38" t="s">
        <v>2261</v>
      </c>
      <c r="C356" s="38" t="s">
        <v>1076</v>
      </c>
      <c r="D356" s="38" t="s">
        <v>2035</v>
      </c>
      <c r="E356" s="38" t="s">
        <v>1855</v>
      </c>
      <c r="F356" s="63">
        <v>7500</v>
      </c>
      <c r="G356" s="38"/>
      <c r="H356" s="38" t="s">
        <v>2032</v>
      </c>
      <c r="I356" s="38" t="s">
        <v>2032</v>
      </c>
      <c r="J356" s="38" t="s">
        <v>20</v>
      </c>
    </row>
    <row r="357" spans="2:10">
      <c r="B357" s="38" t="s">
        <v>2262</v>
      </c>
      <c r="C357" s="38" t="s">
        <v>448</v>
      </c>
      <c r="D357" s="38" t="s">
        <v>2128</v>
      </c>
      <c r="E357" s="38" t="s">
        <v>1827</v>
      </c>
      <c r="F357" s="63">
        <v>8200</v>
      </c>
      <c r="G357" s="38"/>
      <c r="H357" s="38" t="s">
        <v>1703</v>
      </c>
      <c r="I357" s="38" t="s">
        <v>1703</v>
      </c>
      <c r="J357" s="38" t="s">
        <v>29</v>
      </c>
    </row>
    <row r="358" spans="2:10">
      <c r="B358" s="38" t="s">
        <v>2262</v>
      </c>
      <c r="C358" s="38" t="s">
        <v>448</v>
      </c>
      <c r="D358" s="38" t="s">
        <v>2048</v>
      </c>
      <c r="E358" s="38" t="s">
        <v>2049</v>
      </c>
      <c r="F358" s="63">
        <v>3250</v>
      </c>
      <c r="G358" s="38"/>
      <c r="H358" s="38" t="s">
        <v>1703</v>
      </c>
      <c r="I358" s="38" t="s">
        <v>2032</v>
      </c>
      <c r="J358" s="38" t="s">
        <v>20</v>
      </c>
    </row>
    <row r="359" spans="2:10">
      <c r="B359" s="38" t="s">
        <v>2263</v>
      </c>
      <c r="C359" s="38" t="s">
        <v>115</v>
      </c>
      <c r="D359" s="38" t="s">
        <v>2079</v>
      </c>
      <c r="E359" s="38" t="s">
        <v>1810</v>
      </c>
      <c r="F359" s="63">
        <v>8261.4000000000015</v>
      </c>
      <c r="G359" s="38"/>
      <c r="H359" s="38" t="s">
        <v>1702</v>
      </c>
      <c r="I359" s="38" t="s">
        <v>2031</v>
      </c>
      <c r="J359" s="38" t="s">
        <v>22</v>
      </c>
    </row>
    <row r="360" spans="2:10">
      <c r="B360" s="38" t="s">
        <v>2263</v>
      </c>
      <c r="C360" s="38" t="s">
        <v>115</v>
      </c>
      <c r="D360" s="38" t="s">
        <v>2082</v>
      </c>
      <c r="E360" s="38" t="s">
        <v>1811</v>
      </c>
      <c r="F360" s="63">
        <v>5280.12</v>
      </c>
      <c r="G360" s="38"/>
      <c r="H360" s="38" t="s">
        <v>1702</v>
      </c>
      <c r="I360" s="38" t="s">
        <v>2031</v>
      </c>
      <c r="J360" s="38" t="s">
        <v>23</v>
      </c>
    </row>
    <row r="361" spans="2:10">
      <c r="B361" s="38" t="s">
        <v>2263</v>
      </c>
      <c r="C361" s="38" t="s">
        <v>115</v>
      </c>
      <c r="D361" s="38" t="s">
        <v>2035</v>
      </c>
      <c r="E361" s="38" t="s">
        <v>1855</v>
      </c>
      <c r="F361" s="63">
        <v>6645.0400000000018</v>
      </c>
      <c r="G361" s="38"/>
      <c r="H361" s="38" t="s">
        <v>1702</v>
      </c>
      <c r="I361" s="38" t="s">
        <v>2032</v>
      </c>
      <c r="J361" s="38" t="s">
        <v>20</v>
      </c>
    </row>
    <row r="362" spans="2:10">
      <c r="B362" s="38" t="s">
        <v>2263</v>
      </c>
      <c r="C362" s="38" t="s">
        <v>115</v>
      </c>
      <c r="D362" s="38" t="s">
        <v>2083</v>
      </c>
      <c r="E362" s="38" t="s">
        <v>1829</v>
      </c>
      <c r="F362" s="63">
        <v>12212.52</v>
      </c>
      <c r="G362" s="38"/>
      <c r="H362" s="38" t="s">
        <v>1702</v>
      </c>
      <c r="I362" s="38" t="s">
        <v>2031</v>
      </c>
      <c r="J362" s="38" t="s">
        <v>23</v>
      </c>
    </row>
    <row r="363" spans="2:10">
      <c r="B363" s="38" t="s">
        <v>2263</v>
      </c>
      <c r="C363" s="38" t="s">
        <v>115</v>
      </c>
      <c r="D363" s="38" t="s">
        <v>2084</v>
      </c>
      <c r="E363" s="38" t="s">
        <v>1822</v>
      </c>
      <c r="F363" s="63">
        <v>5280.12</v>
      </c>
      <c r="G363" s="38"/>
      <c r="H363" s="38" t="s">
        <v>1702</v>
      </c>
      <c r="I363" s="38" t="s">
        <v>2031</v>
      </c>
      <c r="J363" s="38" t="s">
        <v>23</v>
      </c>
    </row>
    <row r="364" spans="2:10">
      <c r="B364" s="38" t="s">
        <v>2263</v>
      </c>
      <c r="C364" s="38" t="s">
        <v>115</v>
      </c>
      <c r="D364" s="38" t="s">
        <v>2128</v>
      </c>
      <c r="E364" s="38" t="s">
        <v>1827</v>
      </c>
      <c r="F364" s="63">
        <v>8153.6533333333336</v>
      </c>
      <c r="G364" s="38"/>
      <c r="H364" s="38" t="s">
        <v>1702</v>
      </c>
      <c r="I364" s="38" t="s">
        <v>1703</v>
      </c>
      <c r="J364" s="38" t="s">
        <v>29</v>
      </c>
    </row>
    <row r="365" spans="2:10">
      <c r="B365" s="38" t="s">
        <v>2263</v>
      </c>
      <c r="C365" s="38" t="s">
        <v>115</v>
      </c>
      <c r="D365" s="38" t="s">
        <v>2057</v>
      </c>
      <c r="E365" s="38" t="s">
        <v>1826</v>
      </c>
      <c r="F365" s="63">
        <v>6429.5333333333338</v>
      </c>
      <c r="G365" s="38"/>
      <c r="H365" s="38" t="s">
        <v>1702</v>
      </c>
      <c r="I365" s="38" t="s">
        <v>1702</v>
      </c>
      <c r="J365" s="38" t="s">
        <v>27</v>
      </c>
    </row>
    <row r="366" spans="2:10">
      <c r="B366" s="38" t="s">
        <v>2263</v>
      </c>
      <c r="C366" s="38" t="s">
        <v>115</v>
      </c>
      <c r="D366" s="38" t="s">
        <v>2085</v>
      </c>
      <c r="E366" s="38" t="s">
        <v>1842</v>
      </c>
      <c r="F366" s="63">
        <v>5208.28</v>
      </c>
      <c r="G366" s="38"/>
      <c r="H366" s="38" t="s">
        <v>1702</v>
      </c>
      <c r="I366" s="38" t="s">
        <v>2031</v>
      </c>
      <c r="J366" s="38" t="s">
        <v>24</v>
      </c>
    </row>
    <row r="367" spans="2:10">
      <c r="B367" s="38" t="s">
        <v>2263</v>
      </c>
      <c r="C367" s="38" t="s">
        <v>115</v>
      </c>
      <c r="D367" s="38" t="s">
        <v>2264</v>
      </c>
      <c r="E367" s="38" t="s">
        <v>1825</v>
      </c>
      <c r="F367" s="63">
        <v>11170.853333333334</v>
      </c>
      <c r="G367" s="38"/>
      <c r="H367" s="38" t="s">
        <v>1702</v>
      </c>
      <c r="I367" s="38" t="s">
        <v>1702</v>
      </c>
      <c r="J367" s="38" t="s">
        <v>27</v>
      </c>
    </row>
    <row r="368" spans="2:10">
      <c r="B368" s="38" t="s">
        <v>2263</v>
      </c>
      <c r="C368" s="38" t="s">
        <v>115</v>
      </c>
      <c r="D368" s="38" t="s">
        <v>2086</v>
      </c>
      <c r="E368" s="38" t="s">
        <v>1843</v>
      </c>
      <c r="F368" s="63">
        <v>8943.8666666666668</v>
      </c>
      <c r="G368" s="38"/>
      <c r="H368" s="38" t="s">
        <v>1702</v>
      </c>
      <c r="I368" s="38" t="s">
        <v>2031</v>
      </c>
      <c r="J368" s="38" t="s">
        <v>22</v>
      </c>
    </row>
    <row r="369" spans="2:10">
      <c r="B369" s="38" t="s">
        <v>2263</v>
      </c>
      <c r="C369" s="38" t="s">
        <v>115</v>
      </c>
      <c r="D369" s="38" t="s">
        <v>2038</v>
      </c>
      <c r="E369" s="38" t="s">
        <v>1838</v>
      </c>
      <c r="F369" s="63">
        <v>5136.4400000000005</v>
      </c>
      <c r="G369" s="38"/>
      <c r="H369" s="38" t="s">
        <v>1702</v>
      </c>
      <c r="I369" s="38" t="s">
        <v>1702</v>
      </c>
      <c r="J369" s="38" t="s">
        <v>27</v>
      </c>
    </row>
    <row r="370" spans="2:10">
      <c r="B370" s="38" t="s">
        <v>2265</v>
      </c>
      <c r="C370" s="38" t="s">
        <v>1077</v>
      </c>
      <c r="D370" s="38" t="s">
        <v>2038</v>
      </c>
      <c r="E370" s="38" t="s">
        <v>1838</v>
      </c>
      <c r="F370" s="63">
        <v>7150</v>
      </c>
      <c r="G370" s="38"/>
      <c r="H370" s="38" t="s">
        <v>1702</v>
      </c>
      <c r="I370" s="38" t="s">
        <v>1702</v>
      </c>
      <c r="J370" s="38" t="s">
        <v>27</v>
      </c>
    </row>
    <row r="371" spans="2:10">
      <c r="B371" s="38" t="s">
        <v>2266</v>
      </c>
      <c r="C371" s="38" t="s">
        <v>290</v>
      </c>
      <c r="D371" s="38" t="s">
        <v>2061</v>
      </c>
      <c r="E371" s="38" t="s">
        <v>1820</v>
      </c>
      <c r="F371" s="63">
        <v>4720</v>
      </c>
      <c r="G371" s="38"/>
      <c r="H371" s="38" t="s">
        <v>1702</v>
      </c>
      <c r="I371" s="38" t="s">
        <v>1702</v>
      </c>
      <c r="J371" s="38" t="s">
        <v>25</v>
      </c>
    </row>
    <row r="372" spans="2:10">
      <c r="B372" s="38" t="s">
        <v>2266</v>
      </c>
      <c r="C372" s="38" t="s">
        <v>290</v>
      </c>
      <c r="D372" s="38" t="s">
        <v>2038</v>
      </c>
      <c r="E372" s="38" t="s">
        <v>1838</v>
      </c>
      <c r="F372" s="63">
        <v>7480</v>
      </c>
      <c r="G372" s="38"/>
      <c r="H372" s="38" t="s">
        <v>1702</v>
      </c>
      <c r="I372" s="38" t="s">
        <v>1702</v>
      </c>
      <c r="J372" s="38" t="s">
        <v>27</v>
      </c>
    </row>
    <row r="373" spans="2:10">
      <c r="B373" s="38" t="s">
        <v>2267</v>
      </c>
      <c r="C373" s="38" t="s">
        <v>898</v>
      </c>
      <c r="D373" s="38" t="s">
        <v>2077</v>
      </c>
      <c r="E373" s="38" t="e">
        <v>#N/A</v>
      </c>
      <c r="F373" s="63">
        <v>4300</v>
      </c>
      <c r="G373" s="38"/>
      <c r="H373" s="38" t="s">
        <v>2032</v>
      </c>
      <c r="I373" s="38" t="s">
        <v>2032</v>
      </c>
      <c r="J373" s="38" t="s">
        <v>20</v>
      </c>
    </row>
    <row r="374" spans="2:10">
      <c r="B374" s="38" t="s">
        <v>2267</v>
      </c>
      <c r="C374" s="38" t="s">
        <v>898</v>
      </c>
      <c r="D374" s="38" t="s">
        <v>2040</v>
      </c>
      <c r="E374" s="38" t="s">
        <v>1799</v>
      </c>
      <c r="F374" s="63">
        <v>1500</v>
      </c>
      <c r="G374" s="38"/>
      <c r="H374" s="38" t="s">
        <v>2032</v>
      </c>
      <c r="I374" s="38" t="s">
        <v>2032</v>
      </c>
      <c r="J374" s="38" t="s">
        <v>20</v>
      </c>
    </row>
    <row r="375" spans="2:10">
      <c r="B375" s="38" t="s">
        <v>2268</v>
      </c>
      <c r="C375" s="38" t="s">
        <v>1080</v>
      </c>
      <c r="D375" s="38" t="s">
        <v>2235</v>
      </c>
      <c r="E375" s="38" t="s">
        <v>1794</v>
      </c>
      <c r="F375" s="63">
        <v>6375</v>
      </c>
      <c r="G375" s="38"/>
      <c r="H375" s="38" t="s">
        <v>2031</v>
      </c>
      <c r="I375" s="38" t="s">
        <v>2031</v>
      </c>
      <c r="J375" s="38" t="s">
        <v>27</v>
      </c>
    </row>
    <row r="376" spans="2:10">
      <c r="B376" s="38" t="s">
        <v>2269</v>
      </c>
      <c r="C376" s="38" t="s">
        <v>295</v>
      </c>
      <c r="D376" s="38" t="s">
        <v>2125</v>
      </c>
      <c r="E376" s="38" t="s">
        <v>1895</v>
      </c>
      <c r="F376" s="63">
        <v>14999.999999999998</v>
      </c>
      <c r="G376" s="38"/>
      <c r="H376" s="38" t="s">
        <v>1703</v>
      </c>
      <c r="I376" s="38" t="s">
        <v>1703</v>
      </c>
      <c r="J376" s="38" t="s">
        <v>29</v>
      </c>
    </row>
    <row r="377" spans="2:10">
      <c r="B377" s="38" t="s">
        <v>2269</v>
      </c>
      <c r="C377" s="38" t="s">
        <v>295</v>
      </c>
      <c r="D377" s="38" t="s">
        <v>2040</v>
      </c>
      <c r="E377" s="38" t="s">
        <v>1799</v>
      </c>
      <c r="F377" s="63">
        <v>11000</v>
      </c>
      <c r="G377" s="38"/>
      <c r="H377" s="38" t="s">
        <v>1703</v>
      </c>
      <c r="I377" s="38" t="s">
        <v>2032</v>
      </c>
      <c r="J377" s="38" t="s">
        <v>20</v>
      </c>
    </row>
    <row r="378" spans="2:10">
      <c r="B378" s="38" t="s">
        <v>2269</v>
      </c>
      <c r="C378" s="38" t="s">
        <v>295</v>
      </c>
      <c r="D378" s="38" t="s">
        <v>2107</v>
      </c>
      <c r="E378" s="38" t="s">
        <v>1914</v>
      </c>
      <c r="F378" s="63">
        <v>33225</v>
      </c>
      <c r="G378" s="38"/>
      <c r="H378" s="38" t="s">
        <v>1703</v>
      </c>
      <c r="I378" s="38" t="s">
        <v>1703</v>
      </c>
      <c r="J378" s="38" t="s">
        <v>32</v>
      </c>
    </row>
    <row r="379" spans="2:10">
      <c r="B379" s="38" t="s">
        <v>2270</v>
      </c>
      <c r="C379" s="38" t="s">
        <v>296</v>
      </c>
      <c r="D379" s="38" t="s">
        <v>2034</v>
      </c>
      <c r="E379" s="38" t="s">
        <v>1864</v>
      </c>
      <c r="F379" s="63">
        <v>18000</v>
      </c>
      <c r="G379" s="38"/>
      <c r="H379" s="38" t="s">
        <v>191</v>
      </c>
      <c r="I379" s="38" t="s">
        <v>191</v>
      </c>
      <c r="J379" s="38" t="s">
        <v>27</v>
      </c>
    </row>
    <row r="380" spans="2:10">
      <c r="B380" s="38" t="s">
        <v>2270</v>
      </c>
      <c r="C380" s="38" t="s">
        <v>296</v>
      </c>
      <c r="D380" s="38" t="s">
        <v>2040</v>
      </c>
      <c r="E380" s="38" t="s">
        <v>1799</v>
      </c>
      <c r="F380" s="63">
        <v>16625</v>
      </c>
      <c r="G380" s="38"/>
      <c r="H380" s="38" t="s">
        <v>191</v>
      </c>
      <c r="I380" s="38" t="s">
        <v>2032</v>
      </c>
      <c r="J380" s="38" t="s">
        <v>20</v>
      </c>
    </row>
    <row r="381" spans="2:10">
      <c r="B381" s="38" t="s">
        <v>2270</v>
      </c>
      <c r="C381" s="38" t="s">
        <v>296</v>
      </c>
      <c r="D381" s="38" t="s">
        <v>2073</v>
      </c>
      <c r="E381" s="38" t="s">
        <v>2074</v>
      </c>
      <c r="F381" s="63">
        <v>29925.000000000004</v>
      </c>
      <c r="G381" s="38"/>
      <c r="H381" s="38" t="s">
        <v>191</v>
      </c>
      <c r="I381" s="38" t="s">
        <v>191</v>
      </c>
      <c r="J381" s="38" t="s">
        <v>35</v>
      </c>
    </row>
    <row r="382" spans="2:10">
      <c r="B382" s="38" t="s">
        <v>2271</v>
      </c>
      <c r="C382" s="38" t="s">
        <v>1360</v>
      </c>
      <c r="D382" s="38" t="s">
        <v>2040</v>
      </c>
      <c r="E382" s="38" t="s">
        <v>1799</v>
      </c>
      <c r="F382" s="63">
        <v>5000</v>
      </c>
      <c r="G382" s="38"/>
      <c r="H382" s="38" t="s">
        <v>1703</v>
      </c>
      <c r="I382" s="38" t="s">
        <v>2032</v>
      </c>
      <c r="J382" s="38" t="s">
        <v>20</v>
      </c>
    </row>
    <row r="383" spans="2:10">
      <c r="B383" s="38" t="s">
        <v>2272</v>
      </c>
      <c r="C383" s="38" t="s">
        <v>1366</v>
      </c>
      <c r="D383" s="38" t="s">
        <v>2040</v>
      </c>
      <c r="E383" s="38" t="s">
        <v>1799</v>
      </c>
      <c r="F383" s="63">
        <v>10000</v>
      </c>
      <c r="G383" s="38"/>
      <c r="H383" s="38" t="s">
        <v>1702</v>
      </c>
      <c r="I383" s="38" t="s">
        <v>2032</v>
      </c>
      <c r="J383" s="38" t="s">
        <v>20</v>
      </c>
    </row>
    <row r="384" spans="2:10">
      <c r="B384" s="38" t="s">
        <v>2272</v>
      </c>
      <c r="C384" s="38" t="s">
        <v>1366</v>
      </c>
      <c r="D384" s="38" t="s">
        <v>2063</v>
      </c>
      <c r="E384" s="38" t="s">
        <v>2064</v>
      </c>
      <c r="F384" s="63">
        <v>8400</v>
      </c>
      <c r="G384" s="38"/>
      <c r="H384" s="38" t="s">
        <v>1702</v>
      </c>
      <c r="I384" s="38" t="s">
        <v>1702</v>
      </c>
      <c r="J384" s="38" t="s">
        <v>28</v>
      </c>
    </row>
    <row r="385" spans="2:10">
      <c r="B385" s="38" t="s">
        <v>2273</v>
      </c>
      <c r="C385" s="38" t="s">
        <v>1081</v>
      </c>
      <c r="D385" s="38" t="s">
        <v>2040</v>
      </c>
      <c r="E385" s="38" t="s">
        <v>1799</v>
      </c>
      <c r="F385" s="63">
        <v>5000</v>
      </c>
      <c r="G385" s="38"/>
      <c r="H385" s="38" t="s">
        <v>2031</v>
      </c>
      <c r="I385" s="38" t="s">
        <v>2032</v>
      </c>
      <c r="J385" s="38" t="s">
        <v>20</v>
      </c>
    </row>
    <row r="386" spans="2:10">
      <c r="B386" s="38" t="s">
        <v>2274</v>
      </c>
      <c r="C386" s="38" t="s">
        <v>1082</v>
      </c>
      <c r="D386" s="38" t="s">
        <v>2086</v>
      </c>
      <c r="E386" s="38" t="s">
        <v>1843</v>
      </c>
      <c r="F386" s="63">
        <v>9500</v>
      </c>
      <c r="G386" s="38"/>
      <c r="H386" s="38" t="s">
        <v>2031</v>
      </c>
      <c r="I386" s="38" t="s">
        <v>2031</v>
      </c>
      <c r="J386" s="38" t="s">
        <v>22</v>
      </c>
    </row>
    <row r="387" spans="2:10">
      <c r="B387" s="38" t="s">
        <v>2275</v>
      </c>
      <c r="C387" s="38" t="s">
        <v>1369</v>
      </c>
      <c r="D387" s="38" t="s">
        <v>2035</v>
      </c>
      <c r="E387" s="38" t="s">
        <v>1855</v>
      </c>
      <c r="F387" s="63">
        <v>950</v>
      </c>
      <c r="G387" s="38"/>
      <c r="H387" s="38" t="s">
        <v>1703</v>
      </c>
      <c r="I387" s="38" t="s">
        <v>2032</v>
      </c>
      <c r="J387" s="38" t="s">
        <v>20</v>
      </c>
    </row>
    <row r="388" spans="2:10">
      <c r="B388" s="38" t="s">
        <v>2276</v>
      </c>
      <c r="C388" s="38" t="s">
        <v>298</v>
      </c>
      <c r="D388" s="38" t="s">
        <v>2061</v>
      </c>
      <c r="E388" s="38" t="s">
        <v>1820</v>
      </c>
      <c r="F388" s="63">
        <v>9500</v>
      </c>
      <c r="G388" s="38"/>
      <c r="H388" s="38" t="s">
        <v>1702</v>
      </c>
      <c r="I388" s="38" t="s">
        <v>1702</v>
      </c>
      <c r="J388" s="38" t="s">
        <v>25</v>
      </c>
    </row>
    <row r="389" spans="2:10">
      <c r="B389" s="38" t="s">
        <v>2277</v>
      </c>
      <c r="C389" s="38" t="s">
        <v>1086</v>
      </c>
      <c r="D389" s="38" t="s">
        <v>2040</v>
      </c>
      <c r="E389" s="38" t="s">
        <v>1799</v>
      </c>
      <c r="F389" s="63">
        <v>4622</v>
      </c>
      <c r="G389" s="38"/>
      <c r="H389" s="38" t="s">
        <v>2031</v>
      </c>
      <c r="I389" s="38" t="s">
        <v>2032</v>
      </c>
      <c r="J389" s="38" t="s">
        <v>20</v>
      </c>
    </row>
    <row r="390" spans="2:10">
      <c r="B390" s="38" t="s">
        <v>2278</v>
      </c>
      <c r="C390" s="38" t="s">
        <v>87</v>
      </c>
      <c r="D390" s="38" t="s">
        <v>2110</v>
      </c>
      <c r="E390" s="38" t="s">
        <v>1886</v>
      </c>
      <c r="F390" s="63">
        <v>26421.99</v>
      </c>
      <c r="G390" s="38"/>
      <c r="H390" s="38" t="s">
        <v>2031</v>
      </c>
      <c r="I390" s="38" t="s">
        <v>2031</v>
      </c>
      <c r="J390" s="38" t="s">
        <v>21</v>
      </c>
    </row>
    <row r="391" spans="2:10">
      <c r="B391" s="38" t="s">
        <v>2278</v>
      </c>
      <c r="C391" s="38" t="s">
        <v>87</v>
      </c>
      <c r="D391" s="38" t="s">
        <v>2040</v>
      </c>
      <c r="E391" s="38" t="s">
        <v>1799</v>
      </c>
      <c r="F391" s="63">
        <v>12168.02</v>
      </c>
      <c r="G391" s="38"/>
      <c r="H391" s="38" t="s">
        <v>2031</v>
      </c>
      <c r="I391" s="38" t="s">
        <v>2032</v>
      </c>
      <c r="J391" s="38" t="s">
        <v>20</v>
      </c>
    </row>
    <row r="392" spans="2:10">
      <c r="B392" s="38" t="s">
        <v>2278</v>
      </c>
      <c r="C392" s="38" t="s">
        <v>87</v>
      </c>
      <c r="D392" s="38" t="s">
        <v>2073</v>
      </c>
      <c r="E392" s="38" t="s">
        <v>2074</v>
      </c>
      <c r="F392" s="63">
        <v>21902.44</v>
      </c>
      <c r="G392" s="38"/>
      <c r="H392" s="38" t="s">
        <v>2031</v>
      </c>
      <c r="I392" s="38" t="s">
        <v>2031</v>
      </c>
      <c r="J392" s="38" t="s">
        <v>23</v>
      </c>
    </row>
    <row r="393" spans="2:10">
      <c r="B393" s="38" t="s">
        <v>2278</v>
      </c>
      <c r="C393" s="38" t="s">
        <v>87</v>
      </c>
      <c r="D393" s="38" t="s">
        <v>2072</v>
      </c>
      <c r="E393" s="38" t="s">
        <v>1918</v>
      </c>
      <c r="F393" s="63">
        <v>25031.360000000001</v>
      </c>
      <c r="G393" s="38"/>
      <c r="H393" s="38" t="s">
        <v>2031</v>
      </c>
      <c r="I393" s="38" t="s">
        <v>1702</v>
      </c>
      <c r="J393" s="38" t="s">
        <v>26</v>
      </c>
    </row>
    <row r="394" spans="2:10">
      <c r="B394" s="38" t="s">
        <v>2278</v>
      </c>
      <c r="C394" s="38" t="s">
        <v>87</v>
      </c>
      <c r="D394" s="38" t="s">
        <v>2086</v>
      </c>
      <c r="E394" s="38" t="s">
        <v>1843</v>
      </c>
      <c r="F394" s="63">
        <v>11471.189999999999</v>
      </c>
      <c r="G394" s="38"/>
      <c r="H394" s="38" t="s">
        <v>2031</v>
      </c>
      <c r="I394" s="38" t="s">
        <v>2031</v>
      </c>
      <c r="J394" s="38" t="s">
        <v>22</v>
      </c>
    </row>
    <row r="395" spans="2:10">
      <c r="B395" s="38" t="s">
        <v>2279</v>
      </c>
      <c r="C395" s="38" t="s">
        <v>181</v>
      </c>
      <c r="D395" s="38" t="s">
        <v>2035</v>
      </c>
      <c r="E395" s="38" t="s">
        <v>1855</v>
      </c>
      <c r="F395" s="63">
        <v>3000</v>
      </c>
      <c r="G395" s="38"/>
      <c r="H395" s="38" t="s">
        <v>1702</v>
      </c>
      <c r="I395" s="38" t="s">
        <v>2032</v>
      </c>
      <c r="J395" s="38" t="s">
        <v>20</v>
      </c>
    </row>
    <row r="396" spans="2:10">
      <c r="B396" s="38" t="s">
        <v>2279</v>
      </c>
      <c r="C396" s="38" t="s">
        <v>181</v>
      </c>
      <c r="D396" s="38" t="s">
        <v>2061</v>
      </c>
      <c r="E396" s="38" t="s">
        <v>1820</v>
      </c>
      <c r="F396" s="63">
        <v>9750</v>
      </c>
      <c r="G396" s="38"/>
      <c r="H396" s="38" t="s">
        <v>1702</v>
      </c>
      <c r="I396" s="38" t="s">
        <v>1702</v>
      </c>
      <c r="J396" s="38" t="s">
        <v>25</v>
      </c>
    </row>
    <row r="397" spans="2:10">
      <c r="B397" s="38" t="s">
        <v>2280</v>
      </c>
      <c r="C397" s="38" t="s">
        <v>452</v>
      </c>
      <c r="D397" s="38" t="s">
        <v>2061</v>
      </c>
      <c r="E397" s="38" t="s">
        <v>1820</v>
      </c>
      <c r="F397" s="63">
        <v>9080</v>
      </c>
      <c r="G397" s="38"/>
      <c r="H397" s="38" t="s">
        <v>1702</v>
      </c>
      <c r="I397" s="38" t="s">
        <v>1702</v>
      </c>
      <c r="J397" s="38" t="s">
        <v>25</v>
      </c>
    </row>
    <row r="398" spans="2:10">
      <c r="B398" s="38" t="s">
        <v>2280</v>
      </c>
      <c r="C398" s="38" t="s">
        <v>452</v>
      </c>
      <c r="D398" s="38" t="s">
        <v>2042</v>
      </c>
      <c r="E398" s="38" t="s">
        <v>1819</v>
      </c>
      <c r="F398" s="63">
        <v>7080</v>
      </c>
      <c r="G398" s="38"/>
      <c r="H398" s="38" t="s">
        <v>1702</v>
      </c>
      <c r="I398" s="38" t="s">
        <v>1702</v>
      </c>
      <c r="J398" s="38" t="s">
        <v>26</v>
      </c>
    </row>
    <row r="399" spans="2:10">
      <c r="B399" s="38" t="s">
        <v>2281</v>
      </c>
      <c r="C399" s="38" t="s">
        <v>182</v>
      </c>
      <c r="D399" s="38" t="s">
        <v>2040</v>
      </c>
      <c r="E399" s="38" t="s">
        <v>1799</v>
      </c>
      <c r="F399" s="63">
        <v>4500</v>
      </c>
      <c r="G399" s="38"/>
      <c r="H399" s="38" t="s">
        <v>2031</v>
      </c>
      <c r="I399" s="38" t="s">
        <v>2032</v>
      </c>
      <c r="J399" s="38" t="s">
        <v>20</v>
      </c>
    </row>
    <row r="400" spans="2:10">
      <c r="B400" s="38" t="s">
        <v>2281</v>
      </c>
      <c r="C400" s="38" t="s">
        <v>182</v>
      </c>
      <c r="D400" s="38" t="s">
        <v>2073</v>
      </c>
      <c r="E400" s="38" t="s">
        <v>2074</v>
      </c>
      <c r="F400" s="63">
        <v>16200</v>
      </c>
      <c r="G400" s="38"/>
      <c r="H400" s="38" t="s">
        <v>2031</v>
      </c>
      <c r="I400" s="38" t="s">
        <v>2031</v>
      </c>
      <c r="J400" s="38" t="s">
        <v>23</v>
      </c>
    </row>
    <row r="401" spans="2:10">
      <c r="B401" s="38" t="s">
        <v>2281</v>
      </c>
      <c r="C401" s="38" t="s">
        <v>182</v>
      </c>
      <c r="D401" s="38" t="s">
        <v>2072</v>
      </c>
      <c r="E401" s="38" t="s">
        <v>1918</v>
      </c>
      <c r="F401" s="63">
        <v>18450</v>
      </c>
      <c r="G401" s="38"/>
      <c r="H401" s="38" t="s">
        <v>2031</v>
      </c>
      <c r="I401" s="38" t="s">
        <v>1702</v>
      </c>
      <c r="J401" s="38" t="s">
        <v>26</v>
      </c>
    </row>
    <row r="402" spans="2:10">
      <c r="B402" s="38" t="s">
        <v>2282</v>
      </c>
      <c r="C402" s="38" t="s">
        <v>140</v>
      </c>
      <c r="D402" s="38" t="s">
        <v>2035</v>
      </c>
      <c r="E402" s="38" t="s">
        <v>1855</v>
      </c>
      <c r="F402" s="63">
        <v>2950</v>
      </c>
      <c r="G402" s="38"/>
      <c r="H402" s="38" t="s">
        <v>2031</v>
      </c>
      <c r="I402" s="38" t="s">
        <v>2032</v>
      </c>
      <c r="J402" s="38" t="s">
        <v>20</v>
      </c>
    </row>
    <row r="403" spans="2:10">
      <c r="B403" s="38" t="s">
        <v>2282</v>
      </c>
      <c r="C403" s="38" t="s">
        <v>140</v>
      </c>
      <c r="D403" s="38" t="s">
        <v>2083</v>
      </c>
      <c r="E403" s="38" t="s">
        <v>1829</v>
      </c>
      <c r="F403" s="63">
        <v>17100</v>
      </c>
      <c r="G403" s="38"/>
      <c r="H403" s="38" t="s">
        <v>2031</v>
      </c>
      <c r="I403" s="38" t="s">
        <v>2031</v>
      </c>
      <c r="J403" s="38" t="s">
        <v>23</v>
      </c>
    </row>
    <row r="404" spans="2:10">
      <c r="B404" s="38" t="s">
        <v>2282</v>
      </c>
      <c r="C404" s="38" t="s">
        <v>140</v>
      </c>
      <c r="D404" s="38" t="s">
        <v>2085</v>
      </c>
      <c r="E404" s="38" t="s">
        <v>1842</v>
      </c>
      <c r="F404" s="63">
        <v>7349.9999999999991</v>
      </c>
      <c r="G404" s="38"/>
      <c r="H404" s="38" t="s">
        <v>2031</v>
      </c>
      <c r="I404" s="38" t="s">
        <v>2031</v>
      </c>
      <c r="J404" s="38" t="s">
        <v>24</v>
      </c>
    </row>
    <row r="405" spans="2:10">
      <c r="B405" s="38" t="s">
        <v>2283</v>
      </c>
      <c r="C405" s="38" t="s">
        <v>301</v>
      </c>
      <c r="D405" s="38" t="s">
        <v>2057</v>
      </c>
      <c r="E405" s="38" t="s">
        <v>1826</v>
      </c>
      <c r="F405" s="63">
        <v>8200</v>
      </c>
      <c r="G405" s="38"/>
      <c r="H405" s="38" t="s">
        <v>1702</v>
      </c>
      <c r="I405" s="38" t="s">
        <v>1702</v>
      </c>
      <c r="J405" s="38" t="s">
        <v>27</v>
      </c>
    </row>
    <row r="406" spans="2:10">
      <c r="B406" s="38" t="s">
        <v>2283</v>
      </c>
      <c r="C406" s="38" t="s">
        <v>301</v>
      </c>
      <c r="D406" s="38" t="s">
        <v>2038</v>
      </c>
      <c r="E406" s="38" t="s">
        <v>1838</v>
      </c>
      <c r="F406" s="63">
        <v>6800</v>
      </c>
      <c r="G406" s="38"/>
      <c r="H406" s="38" t="s">
        <v>1702</v>
      </c>
      <c r="I406" s="38" t="s">
        <v>1702</v>
      </c>
      <c r="J406" s="38" t="s">
        <v>27</v>
      </c>
    </row>
    <row r="407" spans="2:10">
      <c r="B407" s="38" t="s">
        <v>2284</v>
      </c>
      <c r="C407" s="38" t="s">
        <v>1094</v>
      </c>
      <c r="D407" s="38" t="s">
        <v>2197</v>
      </c>
      <c r="E407" s="38" t="s">
        <v>2198</v>
      </c>
      <c r="F407" s="63">
        <v>11900</v>
      </c>
      <c r="G407" s="38"/>
      <c r="H407" s="38" t="s">
        <v>2031</v>
      </c>
      <c r="I407" s="38" t="s">
        <v>2031</v>
      </c>
      <c r="J407" s="38" t="s">
        <v>21</v>
      </c>
    </row>
    <row r="408" spans="2:10">
      <c r="B408" s="38" t="s">
        <v>2284</v>
      </c>
      <c r="C408" s="38" t="s">
        <v>1094</v>
      </c>
      <c r="D408" s="38" t="s">
        <v>2040</v>
      </c>
      <c r="E408" s="38" t="s">
        <v>1799</v>
      </c>
      <c r="F408" s="63">
        <v>12250</v>
      </c>
      <c r="G408" s="38"/>
      <c r="H408" s="38" t="s">
        <v>2031</v>
      </c>
      <c r="I408" s="38" t="s">
        <v>2032</v>
      </c>
      <c r="J408" s="38" t="s">
        <v>20</v>
      </c>
    </row>
    <row r="409" spans="2:10">
      <c r="B409" s="38" t="s">
        <v>2284</v>
      </c>
      <c r="C409" s="38" t="s">
        <v>1094</v>
      </c>
      <c r="D409" s="38" t="s">
        <v>2133</v>
      </c>
      <c r="E409" s="38" t="s">
        <v>1828</v>
      </c>
      <c r="F409" s="63">
        <v>9450</v>
      </c>
      <c r="G409" s="38"/>
      <c r="H409" s="38" t="s">
        <v>2031</v>
      </c>
      <c r="I409" s="38" t="s">
        <v>2031</v>
      </c>
      <c r="J409" s="38" t="s">
        <v>21</v>
      </c>
    </row>
    <row r="410" spans="2:10">
      <c r="B410" s="38" t="s">
        <v>2285</v>
      </c>
      <c r="C410" s="38" t="s">
        <v>88</v>
      </c>
      <c r="D410" s="38" t="s">
        <v>2216</v>
      </c>
      <c r="E410" s="38" t="s">
        <v>2217</v>
      </c>
      <c r="F410" s="63">
        <v>9211.02</v>
      </c>
      <c r="G410" s="38"/>
      <c r="H410" s="38" t="s">
        <v>2031</v>
      </c>
      <c r="I410" s="38" t="s">
        <v>2031</v>
      </c>
      <c r="J410" s="38" t="s">
        <v>21</v>
      </c>
    </row>
    <row r="411" spans="2:10">
      <c r="B411" s="38" t="s">
        <v>2285</v>
      </c>
      <c r="C411" s="38" t="s">
        <v>88</v>
      </c>
      <c r="D411" s="38" t="s">
        <v>2071</v>
      </c>
      <c r="E411" s="38" t="s">
        <v>1900</v>
      </c>
      <c r="F411" s="63">
        <v>26663.499999999996</v>
      </c>
      <c r="G411" s="38"/>
      <c r="H411" s="38" t="s">
        <v>2031</v>
      </c>
      <c r="I411" s="38" t="s">
        <v>2031</v>
      </c>
      <c r="J411" s="38" t="s">
        <v>21</v>
      </c>
    </row>
    <row r="412" spans="2:10">
      <c r="B412" s="38" t="s">
        <v>2285</v>
      </c>
      <c r="C412" s="38" t="s">
        <v>88</v>
      </c>
      <c r="D412" s="38" t="s">
        <v>2040</v>
      </c>
      <c r="E412" s="38" t="s">
        <v>1799</v>
      </c>
      <c r="F412" s="63">
        <v>8726.24</v>
      </c>
      <c r="G412" s="38"/>
      <c r="H412" s="38" t="s">
        <v>2031</v>
      </c>
      <c r="I412" s="38" t="s">
        <v>2032</v>
      </c>
      <c r="J412" s="38" t="s">
        <v>20</v>
      </c>
    </row>
    <row r="413" spans="2:10">
      <c r="B413" s="38" t="s">
        <v>2285</v>
      </c>
      <c r="C413" s="38" t="s">
        <v>88</v>
      </c>
      <c r="D413" s="38" t="s">
        <v>2073</v>
      </c>
      <c r="E413" s="38" t="s">
        <v>2074</v>
      </c>
      <c r="F413" s="63">
        <v>21815.589999999997</v>
      </c>
      <c r="G413" s="38"/>
      <c r="H413" s="38" t="s">
        <v>2031</v>
      </c>
      <c r="I413" s="38" t="s">
        <v>2031</v>
      </c>
      <c r="J413" s="38" t="s">
        <v>23</v>
      </c>
    </row>
    <row r="414" spans="2:10">
      <c r="B414" s="38" t="s">
        <v>2285</v>
      </c>
      <c r="C414" s="38" t="s">
        <v>88</v>
      </c>
      <c r="D414" s="38" t="s">
        <v>2107</v>
      </c>
      <c r="E414" s="38" t="s">
        <v>1914</v>
      </c>
      <c r="F414" s="63">
        <v>49448.669999999991</v>
      </c>
      <c r="G414" s="38"/>
      <c r="H414" s="38" t="s">
        <v>2031</v>
      </c>
      <c r="I414" s="38" t="s">
        <v>2031</v>
      </c>
      <c r="J414" s="38" t="s">
        <v>24</v>
      </c>
    </row>
    <row r="415" spans="2:10">
      <c r="B415" s="38" t="s">
        <v>2286</v>
      </c>
      <c r="C415" s="38" t="s">
        <v>1960</v>
      </c>
      <c r="D415" s="38" t="s">
        <v>2287</v>
      </c>
      <c r="E415" s="38" t="s">
        <v>1857</v>
      </c>
      <c r="F415" s="63">
        <v>2381.84</v>
      </c>
      <c r="G415" s="38"/>
      <c r="H415" s="38" t="s">
        <v>2031</v>
      </c>
      <c r="I415" s="38" t="s">
        <v>2032</v>
      </c>
      <c r="J415" s="38" t="s">
        <v>20</v>
      </c>
    </row>
    <row r="416" spans="2:10">
      <c r="B416" s="38" t="s">
        <v>2286</v>
      </c>
      <c r="C416" s="38" t="s">
        <v>1960</v>
      </c>
      <c r="D416" s="38" t="s">
        <v>2035</v>
      </c>
      <c r="E416" s="38" t="s">
        <v>1855</v>
      </c>
      <c r="F416" s="63">
        <v>2000</v>
      </c>
      <c r="G416" s="38"/>
      <c r="H416" s="38" t="s">
        <v>2031</v>
      </c>
      <c r="I416" s="38" t="s">
        <v>2032</v>
      </c>
      <c r="J416" s="38" t="s">
        <v>20</v>
      </c>
    </row>
    <row r="417" spans="2:10">
      <c r="B417" s="38" t="s">
        <v>2286</v>
      </c>
      <c r="C417" s="38" t="s">
        <v>1960</v>
      </c>
      <c r="D417" s="38" t="s">
        <v>2040</v>
      </c>
      <c r="E417" s="38" t="s">
        <v>1799</v>
      </c>
      <c r="F417" s="63">
        <v>9000</v>
      </c>
      <c r="G417" s="38"/>
      <c r="H417" s="38" t="s">
        <v>2031</v>
      </c>
      <c r="I417" s="38" t="s">
        <v>2032</v>
      </c>
      <c r="J417" s="38" t="s">
        <v>20</v>
      </c>
    </row>
    <row r="418" spans="2:10">
      <c r="B418" s="38" t="s">
        <v>2288</v>
      </c>
      <c r="C418" s="38" t="s">
        <v>89</v>
      </c>
      <c r="D418" s="38" t="s">
        <v>2177</v>
      </c>
      <c r="E418" s="38" t="s">
        <v>1881</v>
      </c>
      <c r="F418" s="63">
        <v>10000</v>
      </c>
      <c r="G418" s="38"/>
      <c r="H418" s="38" t="s">
        <v>2031</v>
      </c>
      <c r="I418" s="38" t="s">
        <v>2031</v>
      </c>
      <c r="J418" s="38" t="s">
        <v>24</v>
      </c>
    </row>
    <row r="419" spans="2:10">
      <c r="B419" s="38" t="s">
        <v>2288</v>
      </c>
      <c r="C419" s="38" t="s">
        <v>89</v>
      </c>
      <c r="D419" s="38" t="s">
        <v>2082</v>
      </c>
      <c r="E419" s="38" t="s">
        <v>1811</v>
      </c>
      <c r="F419" s="63">
        <v>6000</v>
      </c>
      <c r="G419" s="38"/>
      <c r="H419" s="38" t="s">
        <v>2031</v>
      </c>
      <c r="I419" s="38" t="s">
        <v>2031</v>
      </c>
      <c r="J419" s="38" t="s">
        <v>23</v>
      </c>
    </row>
    <row r="420" spans="2:10">
      <c r="B420" s="38" t="s">
        <v>2288</v>
      </c>
      <c r="C420" s="38" t="s">
        <v>89</v>
      </c>
      <c r="D420" s="38" t="s">
        <v>2093</v>
      </c>
      <c r="E420" s="38" t="s">
        <v>1823</v>
      </c>
      <c r="F420" s="63">
        <v>10320</v>
      </c>
      <c r="G420" s="38"/>
      <c r="H420" s="38" t="s">
        <v>2031</v>
      </c>
      <c r="I420" s="38" t="s">
        <v>2031</v>
      </c>
      <c r="J420" s="38" t="s">
        <v>21</v>
      </c>
    </row>
    <row r="421" spans="2:10">
      <c r="B421" s="38" t="s">
        <v>2288</v>
      </c>
      <c r="C421" s="38" t="s">
        <v>89</v>
      </c>
      <c r="D421" s="38" t="s">
        <v>2258</v>
      </c>
      <c r="E421" s="38" t="s">
        <v>1814</v>
      </c>
      <c r="F421" s="63">
        <v>6235</v>
      </c>
      <c r="G421" s="38"/>
      <c r="H421" s="38" t="s">
        <v>2031</v>
      </c>
      <c r="I421" s="38" t="s">
        <v>2031</v>
      </c>
      <c r="J421" s="38" t="s">
        <v>24</v>
      </c>
    </row>
    <row r="422" spans="2:10">
      <c r="B422" s="38" t="s">
        <v>2288</v>
      </c>
      <c r="C422" s="38" t="s">
        <v>89</v>
      </c>
      <c r="D422" s="38" t="s">
        <v>2190</v>
      </c>
      <c r="E422" s="38" t="s">
        <v>1830</v>
      </c>
      <c r="F422" s="63">
        <v>15608.999999999998</v>
      </c>
      <c r="G422" s="38"/>
      <c r="H422" s="38" t="s">
        <v>2031</v>
      </c>
      <c r="I422" s="38" t="s">
        <v>2031</v>
      </c>
      <c r="J422" s="38" t="s">
        <v>22</v>
      </c>
    </row>
    <row r="423" spans="2:10">
      <c r="B423" s="38" t="s">
        <v>2288</v>
      </c>
      <c r="C423" s="38" t="s">
        <v>89</v>
      </c>
      <c r="D423" s="38" t="s">
        <v>2094</v>
      </c>
      <c r="E423" s="38" t="s">
        <v>1836</v>
      </c>
      <c r="F423" s="63">
        <v>7611</v>
      </c>
      <c r="G423" s="38"/>
      <c r="H423" s="38" t="s">
        <v>2031</v>
      </c>
      <c r="I423" s="38" t="s">
        <v>2031</v>
      </c>
      <c r="J423" s="38" t="s">
        <v>21</v>
      </c>
    </row>
    <row r="424" spans="2:10">
      <c r="B424" s="38" t="s">
        <v>2288</v>
      </c>
      <c r="C424" s="38" t="s">
        <v>89</v>
      </c>
      <c r="D424" s="38" t="s">
        <v>2035</v>
      </c>
      <c r="E424" s="38" t="s">
        <v>1855</v>
      </c>
      <c r="F424" s="63">
        <v>5000</v>
      </c>
      <c r="G424" s="38"/>
      <c r="H424" s="38" t="s">
        <v>2031</v>
      </c>
      <c r="I424" s="38" t="s">
        <v>2032</v>
      </c>
      <c r="J424" s="38" t="s">
        <v>20</v>
      </c>
    </row>
    <row r="425" spans="2:10">
      <c r="B425" s="38" t="s">
        <v>2288</v>
      </c>
      <c r="C425" s="38" t="s">
        <v>89</v>
      </c>
      <c r="D425" s="38" t="s">
        <v>2289</v>
      </c>
      <c r="E425" s="38" t="s">
        <v>1848</v>
      </c>
      <c r="F425" s="63">
        <v>20000</v>
      </c>
      <c r="G425" s="38"/>
      <c r="H425" s="38" t="s">
        <v>2031</v>
      </c>
      <c r="I425" s="38" t="s">
        <v>2031</v>
      </c>
      <c r="J425" s="38" t="s">
        <v>24</v>
      </c>
    </row>
    <row r="426" spans="2:10">
      <c r="B426" s="38" t="s">
        <v>2288</v>
      </c>
      <c r="C426" s="38" t="s">
        <v>89</v>
      </c>
      <c r="D426" s="38" t="s">
        <v>2083</v>
      </c>
      <c r="E426" s="38" t="s">
        <v>1829</v>
      </c>
      <c r="F426" s="63">
        <v>14350</v>
      </c>
      <c r="G426" s="38"/>
      <c r="H426" s="38" t="s">
        <v>2031</v>
      </c>
      <c r="I426" s="38" t="s">
        <v>2031</v>
      </c>
      <c r="J426" s="38" t="s">
        <v>23</v>
      </c>
    </row>
    <row r="427" spans="2:10">
      <c r="B427" s="38" t="s">
        <v>2288</v>
      </c>
      <c r="C427" s="38" t="s">
        <v>89</v>
      </c>
      <c r="D427" s="38" t="s">
        <v>2084</v>
      </c>
      <c r="E427" s="38" t="s">
        <v>1822</v>
      </c>
      <c r="F427" s="63">
        <v>6000</v>
      </c>
      <c r="G427" s="38"/>
      <c r="H427" s="38" t="s">
        <v>2031</v>
      </c>
      <c r="I427" s="38" t="s">
        <v>2031</v>
      </c>
      <c r="J427" s="38" t="s">
        <v>23</v>
      </c>
    </row>
    <row r="428" spans="2:10">
      <c r="B428" s="38" t="s">
        <v>2288</v>
      </c>
      <c r="C428" s="38" t="s">
        <v>89</v>
      </c>
      <c r="D428" s="38" t="s">
        <v>2212</v>
      </c>
      <c r="E428" s="38" t="s">
        <v>1837</v>
      </c>
      <c r="F428" s="63">
        <v>6195</v>
      </c>
      <c r="G428" s="38"/>
      <c r="H428" s="38" t="s">
        <v>2031</v>
      </c>
      <c r="I428" s="38" t="s">
        <v>2031</v>
      </c>
      <c r="J428" s="38" t="s">
        <v>24</v>
      </c>
    </row>
    <row r="429" spans="2:10">
      <c r="B429" s="38" t="s">
        <v>2288</v>
      </c>
      <c r="C429" s="38" t="s">
        <v>89</v>
      </c>
      <c r="D429" s="38" t="s">
        <v>2153</v>
      </c>
      <c r="E429" s="38" t="s">
        <v>1853</v>
      </c>
      <c r="F429" s="63">
        <v>6800</v>
      </c>
      <c r="G429" s="38"/>
      <c r="H429" s="38" t="s">
        <v>2031</v>
      </c>
      <c r="I429" s="38" t="s">
        <v>2031</v>
      </c>
      <c r="J429" s="38" t="s">
        <v>24</v>
      </c>
    </row>
    <row r="430" spans="2:10">
      <c r="B430" s="38" t="s">
        <v>2290</v>
      </c>
      <c r="C430" s="38" t="s">
        <v>116</v>
      </c>
      <c r="D430" s="38" t="s">
        <v>2083</v>
      </c>
      <c r="E430" s="38" t="s">
        <v>1829</v>
      </c>
      <c r="F430" s="63">
        <v>16275</v>
      </c>
      <c r="G430" s="38"/>
      <c r="H430" s="38" t="s">
        <v>2031</v>
      </c>
      <c r="I430" s="38" t="s">
        <v>2031</v>
      </c>
      <c r="J430" s="38" t="s">
        <v>23</v>
      </c>
    </row>
    <row r="431" spans="2:10">
      <c r="B431" s="38" t="s">
        <v>2291</v>
      </c>
      <c r="C431" s="38" t="s">
        <v>117</v>
      </c>
      <c r="D431" s="38" t="s">
        <v>2292</v>
      </c>
      <c r="E431" s="38" t="s">
        <v>1824</v>
      </c>
      <c r="F431" s="63">
        <v>2907.6923076923076</v>
      </c>
      <c r="G431" s="38"/>
      <c r="H431" s="38" t="s">
        <v>1702</v>
      </c>
      <c r="I431" s="38" t="s">
        <v>1702</v>
      </c>
      <c r="J431" s="38" t="s">
        <v>28</v>
      </c>
    </row>
    <row r="432" spans="2:10">
      <c r="B432" s="38" t="s">
        <v>2291</v>
      </c>
      <c r="C432" s="38" t="s">
        <v>117</v>
      </c>
      <c r="D432" s="38" t="s">
        <v>2100</v>
      </c>
      <c r="E432" s="38" t="s">
        <v>1904</v>
      </c>
      <c r="F432" s="63">
        <v>23000</v>
      </c>
      <c r="G432" s="38"/>
      <c r="H432" s="38" t="s">
        <v>1702</v>
      </c>
      <c r="I432" s="38" t="s">
        <v>1702</v>
      </c>
      <c r="J432" s="38" t="s">
        <v>25</v>
      </c>
    </row>
    <row r="433" spans="2:10">
      <c r="B433" s="38" t="s">
        <v>2291</v>
      </c>
      <c r="C433" s="38" t="s">
        <v>117</v>
      </c>
      <c r="D433" s="38" t="s">
        <v>2293</v>
      </c>
      <c r="E433" s="38" t="s">
        <v>1851</v>
      </c>
      <c r="F433" s="63">
        <v>2907.6923076923076</v>
      </c>
      <c r="G433" s="38"/>
      <c r="H433" s="38" t="s">
        <v>1702</v>
      </c>
      <c r="I433" s="38" t="s">
        <v>1702</v>
      </c>
      <c r="J433" s="38" t="s">
        <v>28</v>
      </c>
    </row>
    <row r="434" spans="2:10">
      <c r="B434" s="38" t="s">
        <v>2294</v>
      </c>
      <c r="C434" s="38" t="s">
        <v>622</v>
      </c>
      <c r="D434" s="38" t="s">
        <v>2264</v>
      </c>
      <c r="E434" s="38" t="s">
        <v>1825</v>
      </c>
      <c r="F434" s="63">
        <v>11899.98</v>
      </c>
      <c r="G434" s="38"/>
      <c r="H434" s="38" t="s">
        <v>1702</v>
      </c>
      <c r="I434" s="38" t="s">
        <v>1702</v>
      </c>
      <c r="J434" s="38" t="s">
        <v>27</v>
      </c>
    </row>
    <row r="435" spans="2:10">
      <c r="B435" s="38" t="s">
        <v>2295</v>
      </c>
      <c r="C435" s="38" t="s">
        <v>307</v>
      </c>
      <c r="D435" s="38" t="s">
        <v>2034</v>
      </c>
      <c r="E435" s="38" t="s">
        <v>1864</v>
      </c>
      <c r="F435" s="63">
        <v>8400</v>
      </c>
      <c r="G435" s="38"/>
      <c r="H435" s="38" t="s">
        <v>191</v>
      </c>
      <c r="I435" s="38" t="s">
        <v>191</v>
      </c>
      <c r="J435" s="38" t="s">
        <v>27</v>
      </c>
    </row>
    <row r="436" spans="2:10">
      <c r="B436" s="38" t="s">
        <v>2295</v>
      </c>
      <c r="C436" s="38" t="s">
        <v>307</v>
      </c>
      <c r="D436" s="38" t="s">
        <v>2051</v>
      </c>
      <c r="E436" s="38" t="s">
        <v>1817</v>
      </c>
      <c r="F436" s="63">
        <v>17000</v>
      </c>
      <c r="G436" s="38"/>
      <c r="H436" s="38" t="s">
        <v>191</v>
      </c>
      <c r="I436" s="38" t="s">
        <v>191</v>
      </c>
      <c r="J436" s="38" t="s">
        <v>35</v>
      </c>
    </row>
    <row r="437" spans="2:10">
      <c r="B437" s="38" t="s">
        <v>2295</v>
      </c>
      <c r="C437" s="38" t="s">
        <v>307</v>
      </c>
      <c r="D437" s="38" t="s">
        <v>2082</v>
      </c>
      <c r="E437" s="38" t="s">
        <v>1811</v>
      </c>
      <c r="F437" s="63">
        <v>6000</v>
      </c>
      <c r="G437" s="38"/>
      <c r="H437" s="38" t="s">
        <v>191</v>
      </c>
      <c r="I437" s="38" t="s">
        <v>191</v>
      </c>
      <c r="J437" s="38" t="s">
        <v>23</v>
      </c>
    </row>
    <row r="438" spans="2:10">
      <c r="B438" s="38" t="s">
        <v>2295</v>
      </c>
      <c r="C438" s="38" t="s">
        <v>307</v>
      </c>
      <c r="D438" s="38" t="s">
        <v>2077</v>
      </c>
      <c r="E438" s="38" t="e">
        <v>#N/A</v>
      </c>
      <c r="F438" s="63">
        <v>6500</v>
      </c>
      <c r="G438" s="38"/>
      <c r="H438" s="38" t="s">
        <v>191</v>
      </c>
      <c r="I438" s="38" t="s">
        <v>191</v>
      </c>
      <c r="J438" s="38" t="s">
        <v>33</v>
      </c>
    </row>
    <row r="439" spans="2:10">
      <c r="B439" s="38" t="s">
        <v>2296</v>
      </c>
      <c r="C439" s="38" t="s">
        <v>309</v>
      </c>
      <c r="D439" s="38" t="s">
        <v>2040</v>
      </c>
      <c r="E439" s="38" t="s">
        <v>1799</v>
      </c>
      <c r="F439" s="63">
        <v>8100</v>
      </c>
      <c r="G439" s="38"/>
      <c r="H439" s="38" t="s">
        <v>1703</v>
      </c>
      <c r="I439" s="38" t="s">
        <v>2032</v>
      </c>
      <c r="J439" s="38" t="s">
        <v>20</v>
      </c>
    </row>
    <row r="440" spans="2:10">
      <c r="B440" s="38" t="s">
        <v>2297</v>
      </c>
      <c r="C440" s="38" t="s">
        <v>1099</v>
      </c>
      <c r="D440" s="38" t="s">
        <v>2040</v>
      </c>
      <c r="E440" s="38" t="s">
        <v>1799</v>
      </c>
      <c r="F440" s="63">
        <v>13200</v>
      </c>
      <c r="G440" s="38"/>
      <c r="H440" s="38" t="s">
        <v>191</v>
      </c>
      <c r="I440" s="38" t="s">
        <v>2032</v>
      </c>
      <c r="J440" s="38" t="s">
        <v>20</v>
      </c>
    </row>
    <row r="441" spans="2:10">
      <c r="B441" s="38" t="s">
        <v>2297</v>
      </c>
      <c r="C441" s="38" t="s">
        <v>1099</v>
      </c>
      <c r="D441" s="38" t="s">
        <v>2063</v>
      </c>
      <c r="E441" s="38" t="s">
        <v>2064</v>
      </c>
      <c r="F441" s="63">
        <v>6000</v>
      </c>
      <c r="G441" s="38"/>
      <c r="H441" s="38" t="s">
        <v>191</v>
      </c>
      <c r="I441" s="38" t="s">
        <v>191</v>
      </c>
      <c r="J441" s="38" t="s">
        <v>36</v>
      </c>
    </row>
    <row r="442" spans="2:10">
      <c r="B442" s="38" t="s">
        <v>2298</v>
      </c>
      <c r="C442" s="38" t="s">
        <v>311</v>
      </c>
      <c r="D442" s="38" t="s">
        <v>2035</v>
      </c>
      <c r="E442" s="38" t="s">
        <v>1855</v>
      </c>
      <c r="F442" s="63">
        <v>2000</v>
      </c>
      <c r="G442" s="38"/>
      <c r="H442" s="38" t="s">
        <v>1702</v>
      </c>
      <c r="I442" s="38" t="s">
        <v>2032</v>
      </c>
      <c r="J442" s="38" t="s">
        <v>20</v>
      </c>
    </row>
    <row r="443" spans="2:10">
      <c r="B443" s="38" t="s">
        <v>2299</v>
      </c>
      <c r="C443" s="38" t="s">
        <v>1102</v>
      </c>
      <c r="D443" s="38" t="s">
        <v>2083</v>
      </c>
      <c r="E443" s="38" t="s">
        <v>1829</v>
      </c>
      <c r="F443" s="63">
        <v>11900</v>
      </c>
      <c r="G443" s="38"/>
      <c r="H443" s="38" t="s">
        <v>2031</v>
      </c>
      <c r="I443" s="38" t="s">
        <v>2031</v>
      </c>
      <c r="J443" s="38" t="s">
        <v>23</v>
      </c>
    </row>
    <row r="444" spans="2:10">
      <c r="B444" s="38" t="s">
        <v>2300</v>
      </c>
      <c r="C444" s="38" t="s">
        <v>1387</v>
      </c>
      <c r="D444" s="38" t="s">
        <v>2034</v>
      </c>
      <c r="E444" s="38" t="s">
        <v>1864</v>
      </c>
      <c r="F444" s="63">
        <v>11066</v>
      </c>
      <c r="G444" s="38"/>
      <c r="H444" s="38" t="s">
        <v>191</v>
      </c>
      <c r="I444" s="38" t="s">
        <v>191</v>
      </c>
      <c r="J444" s="38" t="s">
        <v>27</v>
      </c>
    </row>
    <row r="445" spans="2:10">
      <c r="B445" s="38" t="s">
        <v>2300</v>
      </c>
      <c r="C445" s="38" t="s">
        <v>1387</v>
      </c>
      <c r="D445" s="38" t="s">
        <v>2042</v>
      </c>
      <c r="E445" s="38" t="s">
        <v>1819</v>
      </c>
      <c r="F445" s="63">
        <v>7421</v>
      </c>
      <c r="G445" s="38"/>
      <c r="H445" s="38" t="s">
        <v>191</v>
      </c>
      <c r="I445" s="38" t="s">
        <v>191</v>
      </c>
      <c r="J445" s="38" t="s">
        <v>26</v>
      </c>
    </row>
    <row r="446" spans="2:10">
      <c r="B446" s="38" t="s">
        <v>2301</v>
      </c>
      <c r="C446" s="38" t="s">
        <v>1388</v>
      </c>
      <c r="D446" s="38" t="s">
        <v>2034</v>
      </c>
      <c r="E446" s="38" t="s">
        <v>1864</v>
      </c>
      <c r="F446" s="63">
        <v>11000</v>
      </c>
      <c r="G446" s="38"/>
      <c r="H446" s="38" t="s">
        <v>191</v>
      </c>
      <c r="I446" s="38" t="s">
        <v>191</v>
      </c>
      <c r="J446" s="38" t="s">
        <v>27</v>
      </c>
    </row>
    <row r="447" spans="2:10">
      <c r="B447" s="38" t="s">
        <v>2302</v>
      </c>
      <c r="C447" s="38" t="s">
        <v>1393</v>
      </c>
      <c r="D447" s="38" t="s">
        <v>2040</v>
      </c>
      <c r="E447" s="38" t="s">
        <v>1799</v>
      </c>
      <c r="F447" s="63">
        <v>5000</v>
      </c>
      <c r="G447" s="38"/>
      <c r="H447" s="38" t="s">
        <v>2032</v>
      </c>
      <c r="I447" s="38" t="s">
        <v>2032</v>
      </c>
      <c r="J447" s="38" t="s">
        <v>20</v>
      </c>
    </row>
    <row r="448" spans="2:10">
      <c r="B448" s="38" t="s">
        <v>2303</v>
      </c>
      <c r="C448" s="38" t="s">
        <v>1395</v>
      </c>
      <c r="D448" s="38" t="s">
        <v>2035</v>
      </c>
      <c r="E448" s="38" t="s">
        <v>1855</v>
      </c>
      <c r="F448" s="63">
        <v>6150</v>
      </c>
      <c r="G448" s="38"/>
      <c r="H448" s="38" t="s">
        <v>2031</v>
      </c>
      <c r="I448" s="38" t="s">
        <v>2032</v>
      </c>
      <c r="J448" s="38" t="s">
        <v>20</v>
      </c>
    </row>
    <row r="449" spans="2:10">
      <c r="B449" s="38" t="s">
        <v>2304</v>
      </c>
      <c r="C449" s="38" t="s">
        <v>2305</v>
      </c>
      <c r="D449" s="38" t="s">
        <v>2034</v>
      </c>
      <c r="E449" s="38" t="s">
        <v>1864</v>
      </c>
      <c r="F449" s="63">
        <v>11000</v>
      </c>
      <c r="G449" s="38"/>
      <c r="H449" s="38" t="s">
        <v>1702</v>
      </c>
      <c r="I449" s="38" t="s">
        <v>1702</v>
      </c>
      <c r="J449" s="38" t="s">
        <v>27</v>
      </c>
    </row>
    <row r="450" spans="2:10">
      <c r="B450" s="38" t="s">
        <v>2306</v>
      </c>
      <c r="C450" s="38" t="s">
        <v>466</v>
      </c>
      <c r="D450" s="38" t="s">
        <v>2083</v>
      </c>
      <c r="E450" s="38" t="s">
        <v>1829</v>
      </c>
      <c r="F450" s="63">
        <v>4761</v>
      </c>
      <c r="G450" s="38"/>
      <c r="H450" s="38" t="s">
        <v>191</v>
      </c>
      <c r="I450" s="38" t="s">
        <v>191</v>
      </c>
      <c r="J450" s="38" t="s">
        <v>35</v>
      </c>
    </row>
    <row r="451" spans="2:10">
      <c r="B451" s="38" t="s">
        <v>2307</v>
      </c>
      <c r="C451" s="38" t="s">
        <v>119</v>
      </c>
      <c r="D451" s="38" t="s">
        <v>2073</v>
      </c>
      <c r="E451" s="38" t="s">
        <v>2074</v>
      </c>
      <c r="F451" s="63">
        <v>24500</v>
      </c>
      <c r="G451" s="38"/>
      <c r="H451" s="38" t="s">
        <v>2031</v>
      </c>
      <c r="I451" s="38" t="s">
        <v>2031</v>
      </c>
      <c r="J451" s="38" t="s">
        <v>23</v>
      </c>
    </row>
    <row r="452" spans="2:10">
      <c r="B452" s="38" t="s">
        <v>2308</v>
      </c>
      <c r="C452" s="38" t="s">
        <v>912</v>
      </c>
      <c r="D452" s="38" t="s">
        <v>2086</v>
      </c>
      <c r="E452" s="38" t="s">
        <v>1843</v>
      </c>
      <c r="F452" s="63">
        <v>7124.9999999999991</v>
      </c>
      <c r="G452" s="38"/>
      <c r="H452" s="38" t="s">
        <v>2031</v>
      </c>
      <c r="I452" s="38" t="s">
        <v>2031</v>
      </c>
      <c r="J452" s="38" t="s">
        <v>22</v>
      </c>
    </row>
    <row r="453" spans="2:10">
      <c r="B453" s="38" t="s">
        <v>2308</v>
      </c>
      <c r="C453" s="38" t="s">
        <v>912</v>
      </c>
      <c r="D453" s="38" t="s">
        <v>2083</v>
      </c>
      <c r="E453" s="38" t="s">
        <v>1829</v>
      </c>
      <c r="F453" s="63">
        <v>10500</v>
      </c>
      <c r="G453" s="38"/>
      <c r="H453" s="38" t="s">
        <v>2031</v>
      </c>
      <c r="I453" s="38" t="s">
        <v>2031</v>
      </c>
      <c r="J453" s="38" t="s">
        <v>23</v>
      </c>
    </row>
    <row r="454" spans="2:10">
      <c r="B454" s="38" t="s">
        <v>2309</v>
      </c>
      <c r="C454" s="38" t="s">
        <v>1106</v>
      </c>
      <c r="D454" s="38" t="s">
        <v>2040</v>
      </c>
      <c r="E454" s="38" t="s">
        <v>1799</v>
      </c>
      <c r="F454" s="63">
        <v>4000</v>
      </c>
      <c r="G454" s="38"/>
      <c r="H454" s="38" t="s">
        <v>2031</v>
      </c>
      <c r="I454" s="38" t="s">
        <v>2032</v>
      </c>
      <c r="J454" s="38" t="s">
        <v>20</v>
      </c>
    </row>
    <row r="455" spans="2:10">
      <c r="B455" s="38" t="s">
        <v>2309</v>
      </c>
      <c r="C455" s="38" t="s">
        <v>1106</v>
      </c>
      <c r="D455" s="38" t="s">
        <v>2073</v>
      </c>
      <c r="E455" s="38" t="s">
        <v>2074</v>
      </c>
      <c r="F455" s="63">
        <v>16000</v>
      </c>
      <c r="G455" s="38"/>
      <c r="H455" s="38" t="s">
        <v>2031</v>
      </c>
      <c r="I455" s="38" t="s">
        <v>2031</v>
      </c>
      <c r="J455" s="38" t="s">
        <v>23</v>
      </c>
    </row>
    <row r="456" spans="2:10">
      <c r="B456" s="38" t="s">
        <v>2310</v>
      </c>
      <c r="C456" s="38" t="s">
        <v>1367</v>
      </c>
      <c r="D456" s="38" t="s">
        <v>2035</v>
      </c>
      <c r="E456" s="38" t="s">
        <v>1855</v>
      </c>
      <c r="F456" s="63">
        <v>1650</v>
      </c>
      <c r="G456" s="38"/>
      <c r="H456" s="38" t="s">
        <v>191</v>
      </c>
      <c r="I456" s="38" t="s">
        <v>2032</v>
      </c>
      <c r="J456" s="38" t="s">
        <v>20</v>
      </c>
    </row>
    <row r="457" spans="2:10">
      <c r="B457" s="38" t="s">
        <v>2311</v>
      </c>
      <c r="C457" s="38" t="s">
        <v>316</v>
      </c>
      <c r="D457" s="38" t="s">
        <v>2042</v>
      </c>
      <c r="E457" s="38" t="s">
        <v>1819</v>
      </c>
      <c r="F457" s="63">
        <v>7000</v>
      </c>
      <c r="G457" s="38"/>
      <c r="H457" s="38" t="s">
        <v>1702</v>
      </c>
      <c r="I457" s="38" t="s">
        <v>1702</v>
      </c>
      <c r="J457" s="38" t="s">
        <v>26</v>
      </c>
    </row>
    <row r="458" spans="2:10">
      <c r="B458" s="38" t="s">
        <v>2311</v>
      </c>
      <c r="C458" s="38" t="s">
        <v>316</v>
      </c>
      <c r="D458" s="38" t="s">
        <v>2123</v>
      </c>
      <c r="E458" s="38" t="s">
        <v>1833</v>
      </c>
      <c r="F458" s="63">
        <v>7000</v>
      </c>
      <c r="G458" s="38"/>
      <c r="H458" s="38" t="s">
        <v>1702</v>
      </c>
      <c r="I458" s="38" t="s">
        <v>1702</v>
      </c>
      <c r="J458" s="38" t="s">
        <v>26</v>
      </c>
    </row>
    <row r="459" spans="2:10">
      <c r="B459" s="38" t="s">
        <v>2312</v>
      </c>
      <c r="C459" s="38" t="s">
        <v>942</v>
      </c>
      <c r="D459" s="38" t="s">
        <v>2313</v>
      </c>
      <c r="E459" s="38" t="s">
        <v>2314</v>
      </c>
      <c r="F459" s="63">
        <v>7200.96</v>
      </c>
      <c r="G459" s="38"/>
      <c r="H459" s="38" t="s">
        <v>191</v>
      </c>
      <c r="I459" s="38" t="s">
        <v>191</v>
      </c>
      <c r="J459" s="38" t="s">
        <v>33</v>
      </c>
    </row>
    <row r="460" spans="2:10">
      <c r="B460" s="38" t="s">
        <v>2315</v>
      </c>
      <c r="C460" s="38" t="s">
        <v>192</v>
      </c>
      <c r="D460" s="38" t="s">
        <v>2040</v>
      </c>
      <c r="E460" s="38" t="s">
        <v>1799</v>
      </c>
      <c r="F460" s="63">
        <v>8100</v>
      </c>
      <c r="G460" s="38"/>
      <c r="H460" s="38" t="s">
        <v>1702</v>
      </c>
      <c r="I460" s="38" t="s">
        <v>2032</v>
      </c>
      <c r="J460" s="38" t="s">
        <v>20</v>
      </c>
    </row>
    <row r="461" spans="2:10">
      <c r="B461" s="38" t="s">
        <v>2316</v>
      </c>
      <c r="C461" s="38" t="s">
        <v>65</v>
      </c>
      <c r="D461" s="38" t="s">
        <v>2083</v>
      </c>
      <c r="E461" s="38" t="s">
        <v>1829</v>
      </c>
      <c r="F461" s="63">
        <v>13600</v>
      </c>
      <c r="G461" s="38"/>
      <c r="H461" s="38" t="s">
        <v>1703</v>
      </c>
      <c r="I461" s="38" t="s">
        <v>1703</v>
      </c>
      <c r="J461" s="38" t="s">
        <v>23</v>
      </c>
    </row>
    <row r="462" spans="2:10">
      <c r="B462" s="38" t="s">
        <v>2316</v>
      </c>
      <c r="C462" s="38" t="s">
        <v>65</v>
      </c>
      <c r="D462" s="38" t="s">
        <v>2040</v>
      </c>
      <c r="E462" s="38" t="s">
        <v>1799</v>
      </c>
      <c r="F462" s="63">
        <v>7200</v>
      </c>
      <c r="G462" s="38"/>
      <c r="H462" s="38" t="s">
        <v>1703</v>
      </c>
      <c r="I462" s="38" t="s">
        <v>2032</v>
      </c>
      <c r="J462" s="38" t="s">
        <v>20</v>
      </c>
    </row>
    <row r="463" spans="2:10">
      <c r="B463" s="38" t="s">
        <v>2317</v>
      </c>
      <c r="C463" s="38" t="s">
        <v>150</v>
      </c>
      <c r="D463" s="38" t="s">
        <v>2040</v>
      </c>
      <c r="E463" s="38" t="s">
        <v>1799</v>
      </c>
      <c r="F463" s="63">
        <v>5500</v>
      </c>
      <c r="G463" s="38"/>
      <c r="H463" s="38" t="s">
        <v>1702</v>
      </c>
      <c r="I463" s="38" t="s">
        <v>2032</v>
      </c>
      <c r="J463" s="38" t="s">
        <v>20</v>
      </c>
    </row>
    <row r="464" spans="2:10">
      <c r="B464" s="38" t="s">
        <v>2318</v>
      </c>
      <c r="C464" s="38" t="s">
        <v>354</v>
      </c>
      <c r="D464" s="38" t="s">
        <v>2034</v>
      </c>
      <c r="E464" s="38" t="s">
        <v>1864</v>
      </c>
      <c r="F464" s="63">
        <v>16575</v>
      </c>
      <c r="G464" s="38"/>
      <c r="H464" s="38" t="s">
        <v>1702</v>
      </c>
      <c r="I464" s="38" t="s">
        <v>1702</v>
      </c>
      <c r="J464" s="38" t="s">
        <v>27</v>
      </c>
    </row>
    <row r="465" spans="2:10">
      <c r="B465" s="38" t="s">
        <v>2319</v>
      </c>
      <c r="C465" s="38" t="s">
        <v>70</v>
      </c>
      <c r="D465" s="38" t="s">
        <v>2069</v>
      </c>
      <c r="E465" s="38" t="s">
        <v>1889</v>
      </c>
      <c r="F465" s="63">
        <v>34657.040000000001</v>
      </c>
      <c r="G465" s="38"/>
      <c r="H465" s="38" t="s">
        <v>2031</v>
      </c>
      <c r="I465" s="38" t="s">
        <v>2031</v>
      </c>
      <c r="J465" s="38" t="s">
        <v>21</v>
      </c>
    </row>
    <row r="466" spans="2:10">
      <c r="B466" s="38" t="s">
        <v>2319</v>
      </c>
      <c r="C466" s="38" t="s">
        <v>70</v>
      </c>
      <c r="D466" s="38" t="s">
        <v>2071</v>
      </c>
      <c r="E466" s="38" t="s">
        <v>1900</v>
      </c>
      <c r="F466" s="63">
        <v>20848.379999999997</v>
      </c>
      <c r="G466" s="38"/>
      <c r="H466" s="38" t="s">
        <v>2031</v>
      </c>
      <c r="I466" s="38" t="s">
        <v>2031</v>
      </c>
      <c r="J466" s="38" t="s">
        <v>21</v>
      </c>
    </row>
    <row r="467" spans="2:10">
      <c r="B467" s="38" t="s">
        <v>2319</v>
      </c>
      <c r="C467" s="38" t="s">
        <v>70</v>
      </c>
      <c r="D467" s="38" t="s">
        <v>2040</v>
      </c>
      <c r="E467" s="38" t="s">
        <v>1799</v>
      </c>
      <c r="F467" s="63">
        <v>9476.5299999999988</v>
      </c>
      <c r="G467" s="38"/>
      <c r="H467" s="38" t="s">
        <v>2031</v>
      </c>
      <c r="I467" s="38" t="s">
        <v>2032</v>
      </c>
      <c r="J467" s="38" t="s">
        <v>20</v>
      </c>
    </row>
    <row r="468" spans="2:10">
      <c r="B468" s="38" t="s">
        <v>2319</v>
      </c>
      <c r="C468" s="38" t="s">
        <v>70</v>
      </c>
      <c r="D468" s="38" t="s">
        <v>2111</v>
      </c>
      <c r="E468" s="38" t="s">
        <v>2112</v>
      </c>
      <c r="F468" s="63">
        <v>10018.049999999999</v>
      </c>
      <c r="G468" s="38"/>
      <c r="H468" s="38" t="s">
        <v>2031</v>
      </c>
      <c r="I468" s="38" t="s">
        <v>2031</v>
      </c>
      <c r="J468" s="38" t="s">
        <v>34</v>
      </c>
    </row>
    <row r="469" spans="2:10">
      <c r="B469" s="38" t="s">
        <v>2320</v>
      </c>
      <c r="C469" s="38" t="s">
        <v>158</v>
      </c>
      <c r="D469" s="38" t="s">
        <v>2061</v>
      </c>
      <c r="E469" s="38" t="s">
        <v>1820</v>
      </c>
      <c r="F469" s="63">
        <v>9750</v>
      </c>
      <c r="G469" s="38"/>
      <c r="H469" s="38" t="s">
        <v>1702</v>
      </c>
      <c r="I469" s="38" t="s">
        <v>1702</v>
      </c>
      <c r="J469" s="38" t="s">
        <v>25</v>
      </c>
    </row>
    <row r="470" spans="2:10">
      <c r="B470" s="38" t="s">
        <v>2320</v>
      </c>
      <c r="C470" s="38" t="s">
        <v>158</v>
      </c>
      <c r="D470" s="38" t="s">
        <v>2035</v>
      </c>
      <c r="E470" s="38" t="s">
        <v>1855</v>
      </c>
      <c r="F470" s="63">
        <v>3220</v>
      </c>
      <c r="G470" s="38"/>
      <c r="H470" s="38" t="s">
        <v>1702</v>
      </c>
      <c r="I470" s="38" t="s">
        <v>2032</v>
      </c>
      <c r="J470" s="38" t="s">
        <v>20</v>
      </c>
    </row>
    <row r="471" spans="2:10">
      <c r="B471" s="38" t="s">
        <v>2321</v>
      </c>
      <c r="C471" s="38" t="s">
        <v>744</v>
      </c>
      <c r="D471" s="38" t="s">
        <v>2040</v>
      </c>
      <c r="E471" s="38" t="s">
        <v>1799</v>
      </c>
      <c r="F471" s="63">
        <v>6750</v>
      </c>
      <c r="G471" s="38"/>
      <c r="H471" s="38" t="s">
        <v>2032</v>
      </c>
      <c r="I471" s="38" t="s">
        <v>2032</v>
      </c>
      <c r="J471" s="38" t="s">
        <v>20</v>
      </c>
    </row>
    <row r="472" spans="2:10">
      <c r="B472" s="38" t="s">
        <v>2322</v>
      </c>
      <c r="C472" s="38" t="s">
        <v>403</v>
      </c>
      <c r="D472" s="38" t="s">
        <v>2216</v>
      </c>
      <c r="E472" s="38" t="s">
        <v>2217</v>
      </c>
      <c r="F472" s="63">
        <v>9500</v>
      </c>
      <c r="G472" s="38"/>
      <c r="H472" s="38" t="s">
        <v>2032</v>
      </c>
      <c r="I472" s="38" t="s">
        <v>2032</v>
      </c>
      <c r="J472" s="38" t="s">
        <v>21</v>
      </c>
    </row>
    <row r="473" spans="2:10">
      <c r="B473" s="38" t="s">
        <v>2322</v>
      </c>
      <c r="C473" s="38" t="s">
        <v>403</v>
      </c>
      <c r="D473" s="38" t="s">
        <v>2093</v>
      </c>
      <c r="E473" s="38" t="s">
        <v>1823</v>
      </c>
      <c r="F473" s="63">
        <v>12000</v>
      </c>
      <c r="G473" s="38"/>
      <c r="H473" s="38" t="s">
        <v>2032</v>
      </c>
      <c r="I473" s="38" t="s">
        <v>2032</v>
      </c>
      <c r="J473" s="38" t="s">
        <v>21</v>
      </c>
    </row>
    <row r="474" spans="2:10">
      <c r="B474" s="38" t="s">
        <v>2322</v>
      </c>
      <c r="C474" s="38" t="s">
        <v>403</v>
      </c>
      <c r="D474" s="38" t="s">
        <v>2040</v>
      </c>
      <c r="E474" s="38" t="s">
        <v>1799</v>
      </c>
      <c r="F474" s="63">
        <v>33000</v>
      </c>
      <c r="G474" s="38"/>
      <c r="H474" s="38" t="s">
        <v>2032</v>
      </c>
      <c r="I474" s="38" t="s">
        <v>2032</v>
      </c>
      <c r="J474" s="38" t="s">
        <v>20</v>
      </c>
    </row>
    <row r="475" spans="2:10">
      <c r="B475" s="38" t="s">
        <v>2322</v>
      </c>
      <c r="C475" s="38" t="s">
        <v>403</v>
      </c>
      <c r="D475" s="38" t="s">
        <v>2111</v>
      </c>
      <c r="E475" s="38" t="s">
        <v>2112</v>
      </c>
      <c r="F475" s="63">
        <v>13000</v>
      </c>
      <c r="G475" s="38"/>
      <c r="H475" s="38" t="s">
        <v>2032</v>
      </c>
      <c r="I475" s="38" t="s">
        <v>2032</v>
      </c>
      <c r="J475" s="38" t="s">
        <v>34</v>
      </c>
    </row>
    <row r="476" spans="2:10">
      <c r="B476" s="38" t="s">
        <v>2323</v>
      </c>
      <c r="C476" s="38" t="s">
        <v>74</v>
      </c>
      <c r="D476" s="38" t="s">
        <v>2255</v>
      </c>
      <c r="E476" s="38" t="s">
        <v>1916</v>
      </c>
      <c r="F476" s="63">
        <v>6000</v>
      </c>
      <c r="G476" s="38"/>
      <c r="H476" s="38" t="s">
        <v>2031</v>
      </c>
      <c r="I476" s="38" t="s">
        <v>1702</v>
      </c>
      <c r="J476" s="38" t="s">
        <v>25</v>
      </c>
    </row>
    <row r="477" spans="2:10">
      <c r="B477" s="38" t="s">
        <v>2323</v>
      </c>
      <c r="C477" s="38" t="s">
        <v>74</v>
      </c>
      <c r="D477" s="38" t="s">
        <v>2072</v>
      </c>
      <c r="E477" s="38" t="s">
        <v>1918</v>
      </c>
      <c r="F477" s="63">
        <v>10625</v>
      </c>
      <c r="G477" s="38"/>
      <c r="H477" s="38" t="s">
        <v>2031</v>
      </c>
      <c r="I477" s="38" t="s">
        <v>1702</v>
      </c>
      <c r="J477" s="38" t="s">
        <v>26</v>
      </c>
    </row>
    <row r="478" spans="2:10">
      <c r="B478" s="38" t="s">
        <v>2324</v>
      </c>
      <c r="C478" s="38" t="s">
        <v>285</v>
      </c>
      <c r="D478" s="38" t="s">
        <v>2079</v>
      </c>
      <c r="E478" s="38" t="s">
        <v>1810</v>
      </c>
      <c r="F478" s="63">
        <v>11827</v>
      </c>
      <c r="G478" s="38"/>
      <c r="H478" s="38" t="s">
        <v>2031</v>
      </c>
      <c r="I478" s="38" t="s">
        <v>2031</v>
      </c>
      <c r="J478" s="38" t="s">
        <v>22</v>
      </c>
    </row>
    <row r="479" spans="2:10">
      <c r="B479" s="38" t="s">
        <v>2324</v>
      </c>
      <c r="C479" s="38" t="s">
        <v>285</v>
      </c>
      <c r="D479" s="38" t="s">
        <v>2080</v>
      </c>
      <c r="E479" s="38" t="s">
        <v>1821</v>
      </c>
      <c r="F479" s="63">
        <v>11827</v>
      </c>
      <c r="G479" s="38"/>
      <c r="H479" s="38" t="s">
        <v>2031</v>
      </c>
      <c r="I479" s="38" t="s">
        <v>2031</v>
      </c>
      <c r="J479" s="38" t="s">
        <v>22</v>
      </c>
    </row>
    <row r="480" spans="2:10">
      <c r="B480" s="38" t="s">
        <v>2324</v>
      </c>
      <c r="C480" s="38" t="s">
        <v>285</v>
      </c>
      <c r="D480" s="38" t="s">
        <v>2083</v>
      </c>
      <c r="E480" s="38" t="s">
        <v>1829</v>
      </c>
      <c r="F480" s="63">
        <v>15300</v>
      </c>
      <c r="G480" s="38"/>
      <c r="H480" s="38" t="s">
        <v>2031</v>
      </c>
      <c r="I480" s="38" t="s">
        <v>2031</v>
      </c>
      <c r="J480" s="38" t="s">
        <v>23</v>
      </c>
    </row>
    <row r="481" spans="2:10">
      <c r="B481" s="38" t="s">
        <v>2324</v>
      </c>
      <c r="C481" s="38" t="s">
        <v>285</v>
      </c>
      <c r="D481" s="38" t="s">
        <v>2071</v>
      </c>
      <c r="E481" s="38" t="s">
        <v>1900</v>
      </c>
      <c r="F481" s="63">
        <v>26125</v>
      </c>
      <c r="G481" s="38"/>
      <c r="H481" s="38" t="s">
        <v>2031</v>
      </c>
      <c r="I481" s="38" t="s">
        <v>2031</v>
      </c>
      <c r="J481" s="38" t="s">
        <v>21</v>
      </c>
    </row>
    <row r="482" spans="2:10">
      <c r="B482" s="38" t="s">
        <v>2324</v>
      </c>
      <c r="C482" s="38" t="s">
        <v>285</v>
      </c>
      <c r="D482" s="38" t="s">
        <v>2086</v>
      </c>
      <c r="E482" s="38" t="s">
        <v>1843</v>
      </c>
      <c r="F482" s="63">
        <v>10925</v>
      </c>
      <c r="G482" s="38"/>
      <c r="H482" s="38" t="s">
        <v>2031</v>
      </c>
      <c r="I482" s="38" t="s">
        <v>2031</v>
      </c>
      <c r="J482" s="38" t="s">
        <v>22</v>
      </c>
    </row>
    <row r="483" spans="2:10">
      <c r="B483" s="38" t="s">
        <v>2325</v>
      </c>
      <c r="C483" s="38" t="s">
        <v>138</v>
      </c>
      <c r="D483" s="38" t="s">
        <v>2069</v>
      </c>
      <c r="E483" s="38" t="s">
        <v>1889</v>
      </c>
      <c r="F483" s="63">
        <v>59199.999999999993</v>
      </c>
      <c r="G483" s="38"/>
      <c r="H483" s="38" t="s">
        <v>2031</v>
      </c>
      <c r="I483" s="38" t="s">
        <v>2031</v>
      </c>
      <c r="J483" s="38" t="s">
        <v>21</v>
      </c>
    </row>
    <row r="484" spans="2:10">
      <c r="B484" s="38" t="s">
        <v>2325</v>
      </c>
      <c r="C484" s="38" t="s">
        <v>138</v>
      </c>
      <c r="D484" s="38" t="s">
        <v>2077</v>
      </c>
      <c r="E484" s="38" t="e">
        <v>#N/A</v>
      </c>
      <c r="F484" s="63">
        <v>14799.999999999998</v>
      </c>
      <c r="G484" s="38"/>
      <c r="H484" s="38" t="s">
        <v>2031</v>
      </c>
      <c r="I484" s="38" t="s">
        <v>2031</v>
      </c>
      <c r="J484" s="38" t="s">
        <v>20</v>
      </c>
    </row>
    <row r="485" spans="2:10">
      <c r="B485" s="38" t="s">
        <v>2325</v>
      </c>
      <c r="C485" s="38" t="s">
        <v>138</v>
      </c>
      <c r="D485" s="38" t="s">
        <v>2040</v>
      </c>
      <c r="E485" s="38" t="s">
        <v>1799</v>
      </c>
      <c r="F485" s="63">
        <v>16187.499999999998</v>
      </c>
      <c r="G485" s="38"/>
      <c r="H485" s="38" t="s">
        <v>2031</v>
      </c>
      <c r="I485" s="38" t="s">
        <v>2032</v>
      </c>
      <c r="J485" s="38" t="s">
        <v>20</v>
      </c>
    </row>
    <row r="486" spans="2:10">
      <c r="B486" s="38" t="s">
        <v>2325</v>
      </c>
      <c r="C486" s="38" t="s">
        <v>138</v>
      </c>
      <c r="D486" s="38" t="s">
        <v>2100</v>
      </c>
      <c r="E486" s="38" t="s">
        <v>1904</v>
      </c>
      <c r="F486" s="63">
        <v>33303.699999999997</v>
      </c>
      <c r="G486" s="38"/>
      <c r="H486" s="38" t="s">
        <v>2031</v>
      </c>
      <c r="I486" s="38" t="s">
        <v>1702</v>
      </c>
      <c r="J486" s="38" t="s">
        <v>25</v>
      </c>
    </row>
    <row r="487" spans="2:10">
      <c r="B487" s="38" t="s">
        <v>2326</v>
      </c>
      <c r="C487" s="38" t="s">
        <v>459</v>
      </c>
      <c r="D487" s="38" t="s">
        <v>2051</v>
      </c>
      <c r="E487" s="38" t="s">
        <v>1817</v>
      </c>
      <c r="F487" s="63">
        <v>21375</v>
      </c>
      <c r="G487" s="38"/>
      <c r="H487" s="38" t="s">
        <v>191</v>
      </c>
      <c r="I487" s="38" t="s">
        <v>191</v>
      </c>
      <c r="J487" s="38" t="s">
        <v>35</v>
      </c>
    </row>
    <row r="488" spans="2:10">
      <c r="B488" s="38" t="s">
        <v>2327</v>
      </c>
      <c r="C488" s="38" t="s">
        <v>93</v>
      </c>
      <c r="D488" s="38" t="s">
        <v>2235</v>
      </c>
      <c r="E488" s="38" t="s">
        <v>1794</v>
      </c>
      <c r="F488" s="63">
        <v>7000</v>
      </c>
      <c r="G488" s="38"/>
      <c r="H488" s="38" t="s">
        <v>2031</v>
      </c>
      <c r="I488" s="38" t="s">
        <v>2031</v>
      </c>
      <c r="J488" s="38" t="s">
        <v>27</v>
      </c>
    </row>
    <row r="489" spans="2:10">
      <c r="B489" s="38" t="s">
        <v>2327</v>
      </c>
      <c r="C489" s="38" t="s">
        <v>93</v>
      </c>
      <c r="D489" s="38" t="s">
        <v>2034</v>
      </c>
      <c r="E489" s="38" t="s">
        <v>1864</v>
      </c>
      <c r="F489" s="63">
        <v>22250</v>
      </c>
      <c r="G489" s="38"/>
      <c r="H489" s="38" t="s">
        <v>2031</v>
      </c>
      <c r="I489" s="38" t="s">
        <v>2031</v>
      </c>
      <c r="J489" s="38" t="s">
        <v>27</v>
      </c>
    </row>
    <row r="490" spans="2:10">
      <c r="B490" s="38" t="s">
        <v>2327</v>
      </c>
      <c r="C490" s="38" t="s">
        <v>93</v>
      </c>
      <c r="D490" s="38" t="s">
        <v>2035</v>
      </c>
      <c r="E490" s="38" t="s">
        <v>1855</v>
      </c>
      <c r="F490" s="63">
        <v>5850</v>
      </c>
      <c r="G490" s="38"/>
      <c r="H490" s="38" t="s">
        <v>2031</v>
      </c>
      <c r="I490" s="38" t="s">
        <v>2032</v>
      </c>
      <c r="J490" s="38" t="s">
        <v>20</v>
      </c>
    </row>
    <row r="491" spans="2:10">
      <c r="B491" s="38" t="s">
        <v>2327</v>
      </c>
      <c r="C491" s="38" t="s">
        <v>93</v>
      </c>
      <c r="D491" s="38" t="s">
        <v>2083</v>
      </c>
      <c r="E491" s="38" t="s">
        <v>1829</v>
      </c>
      <c r="F491" s="63">
        <v>16300</v>
      </c>
      <c r="G491" s="38"/>
      <c r="H491" s="38" t="s">
        <v>2031</v>
      </c>
      <c r="I491" s="38" t="s">
        <v>2031</v>
      </c>
      <c r="J491" s="38" t="s">
        <v>23</v>
      </c>
    </row>
    <row r="492" spans="2:10">
      <c r="B492" s="38" t="s">
        <v>2327</v>
      </c>
      <c r="C492" s="38" t="s">
        <v>93</v>
      </c>
      <c r="D492" s="38" t="s">
        <v>2085</v>
      </c>
      <c r="E492" s="38" t="s">
        <v>1842</v>
      </c>
      <c r="F492" s="63">
        <v>9250</v>
      </c>
      <c r="G492" s="38"/>
      <c r="H492" s="38" t="s">
        <v>2031</v>
      </c>
      <c r="I492" s="38" t="s">
        <v>2031</v>
      </c>
      <c r="J492" s="38" t="s">
        <v>24</v>
      </c>
    </row>
    <row r="493" spans="2:10">
      <c r="B493" s="38" t="s">
        <v>2327</v>
      </c>
      <c r="C493" s="38" t="s">
        <v>93</v>
      </c>
      <c r="D493" s="38" t="s">
        <v>2086</v>
      </c>
      <c r="E493" s="38" t="s">
        <v>1843</v>
      </c>
      <c r="F493" s="63">
        <v>9700</v>
      </c>
      <c r="G493" s="38"/>
      <c r="H493" s="38" t="s">
        <v>2031</v>
      </c>
      <c r="I493" s="38" t="s">
        <v>2031</v>
      </c>
      <c r="J493" s="38" t="s">
        <v>22</v>
      </c>
    </row>
    <row r="494" spans="2:10">
      <c r="B494" s="38" t="s">
        <v>2328</v>
      </c>
      <c r="C494" s="38" t="s">
        <v>373</v>
      </c>
      <c r="D494" s="38" t="s">
        <v>2040</v>
      </c>
      <c r="E494" s="38" t="s">
        <v>1799</v>
      </c>
      <c r="F494" s="63">
        <v>8550</v>
      </c>
      <c r="G494" s="38"/>
      <c r="H494" s="38" t="s">
        <v>191</v>
      </c>
      <c r="I494" s="38" t="s">
        <v>2032</v>
      </c>
      <c r="J494" s="38" t="s">
        <v>20</v>
      </c>
    </row>
    <row r="495" spans="2:10">
      <c r="B495" s="38" t="s">
        <v>2329</v>
      </c>
      <c r="C495" s="38" t="s">
        <v>174</v>
      </c>
      <c r="D495" s="38" t="s">
        <v>2264</v>
      </c>
      <c r="E495" s="38" t="s">
        <v>1825</v>
      </c>
      <c r="F495" s="63">
        <v>11000</v>
      </c>
      <c r="G495" s="38"/>
      <c r="H495" s="38" t="s">
        <v>1702</v>
      </c>
      <c r="I495" s="38" t="s">
        <v>1702</v>
      </c>
      <c r="J495" s="38" t="s">
        <v>27</v>
      </c>
    </row>
    <row r="496" spans="2:10">
      <c r="B496" s="38" t="s">
        <v>2330</v>
      </c>
      <c r="C496" s="38" t="s">
        <v>446</v>
      </c>
      <c r="D496" s="38" t="s">
        <v>2086</v>
      </c>
      <c r="E496" s="38" t="s">
        <v>1843</v>
      </c>
      <c r="F496" s="63">
        <v>16500</v>
      </c>
      <c r="G496" s="38"/>
      <c r="H496" s="38" t="s">
        <v>2031</v>
      </c>
      <c r="I496" s="38" t="s">
        <v>2031</v>
      </c>
      <c r="J496" s="38" t="s">
        <v>22</v>
      </c>
    </row>
    <row r="497" spans="2:12">
      <c r="B497" s="38" t="s">
        <v>2331</v>
      </c>
      <c r="C497" s="38" t="s">
        <v>372</v>
      </c>
      <c r="D497" s="38" t="s">
        <v>2051</v>
      </c>
      <c r="E497" s="38" t="s">
        <v>1817</v>
      </c>
      <c r="F497" s="63">
        <v>18500</v>
      </c>
      <c r="G497" s="38"/>
      <c r="H497" s="38" t="s">
        <v>191</v>
      </c>
      <c r="I497" s="38" t="s">
        <v>191</v>
      </c>
      <c r="J497" s="38" t="s">
        <v>35</v>
      </c>
    </row>
    <row r="498" spans="2:12">
      <c r="B498" s="38" t="s">
        <v>2332</v>
      </c>
      <c r="C498" s="38" t="s">
        <v>458</v>
      </c>
      <c r="D498" s="38" t="s">
        <v>2099</v>
      </c>
      <c r="E498" s="38" t="s">
        <v>1815</v>
      </c>
      <c r="F498" s="63">
        <v>9419.388870050112</v>
      </c>
      <c r="G498" s="38"/>
      <c r="H498" s="38" t="s">
        <v>1702</v>
      </c>
      <c r="I498" s="38" t="s">
        <v>1702</v>
      </c>
      <c r="J498" s="38" t="s">
        <v>27</v>
      </c>
    </row>
    <row r="499" spans="2:12">
      <c r="B499" s="38" t="s">
        <v>2332</v>
      </c>
      <c r="C499" s="38" t="s">
        <v>458</v>
      </c>
      <c r="D499" s="38" t="s">
        <v>2123</v>
      </c>
      <c r="E499" s="38" t="s">
        <v>1833</v>
      </c>
      <c r="F499" s="63">
        <v>10926.491089258128</v>
      </c>
      <c r="G499" s="38"/>
      <c r="H499" s="38" t="s">
        <v>1702</v>
      </c>
      <c r="I499" s="38" t="s">
        <v>1702</v>
      </c>
      <c r="J499" s="38" t="s">
        <v>26</v>
      </c>
    </row>
    <row r="500" spans="2:12">
      <c r="B500" s="38" t="s">
        <v>2333</v>
      </c>
      <c r="C500" s="38" t="s">
        <v>2334</v>
      </c>
      <c r="D500" s="38" t="s">
        <v>2086</v>
      </c>
      <c r="E500" s="38" t="s">
        <v>1843</v>
      </c>
      <c r="F500" s="63">
        <v>11900</v>
      </c>
      <c r="G500" s="38"/>
      <c r="H500" s="38" t="s">
        <v>2031</v>
      </c>
      <c r="I500" s="38" t="s">
        <v>2031</v>
      </c>
      <c r="J500" s="38" t="s">
        <v>22</v>
      </c>
    </row>
    <row r="501" spans="2:12">
      <c r="B501" s="38" t="s">
        <v>2335</v>
      </c>
      <c r="C501" s="38" t="s">
        <v>314</v>
      </c>
      <c r="D501" s="38" t="s">
        <v>2042</v>
      </c>
      <c r="E501" s="38" t="s">
        <v>1819</v>
      </c>
      <c r="F501" s="63">
        <v>6500</v>
      </c>
      <c r="G501" s="38"/>
      <c r="H501" s="38" t="s">
        <v>1702</v>
      </c>
      <c r="I501" s="38" t="s">
        <v>1702</v>
      </c>
      <c r="J501" s="38" t="s">
        <v>26</v>
      </c>
    </row>
    <row r="502" spans="2:12">
      <c r="B502" s="38" t="s">
        <v>2336</v>
      </c>
      <c r="C502" s="38" t="s">
        <v>2337</v>
      </c>
      <c r="D502" s="38" t="s">
        <v>2235</v>
      </c>
      <c r="E502" s="38" t="s">
        <v>1794</v>
      </c>
      <c r="F502" s="63">
        <v>900</v>
      </c>
      <c r="G502" s="38"/>
      <c r="H502" s="38" t="s">
        <v>1702</v>
      </c>
      <c r="I502" s="38" t="s">
        <v>1702</v>
      </c>
      <c r="J502" s="38" t="s">
        <v>27</v>
      </c>
    </row>
    <row r="503" spans="2:12">
      <c r="B503" s="38" t="s">
        <v>2336</v>
      </c>
      <c r="C503" s="38" t="s">
        <v>2337</v>
      </c>
      <c r="D503" s="38" t="s">
        <v>2040</v>
      </c>
      <c r="E503" s="38" t="s">
        <v>1799</v>
      </c>
      <c r="F503" s="63">
        <v>4500</v>
      </c>
      <c r="G503" s="38"/>
      <c r="H503" s="38" t="s">
        <v>1702</v>
      </c>
      <c r="I503" s="38" t="s">
        <v>2032</v>
      </c>
      <c r="J503" s="38" t="s">
        <v>20</v>
      </c>
    </row>
    <row r="504" spans="2:12">
      <c r="B504" s="38" t="s">
        <v>2338</v>
      </c>
      <c r="C504" s="38" t="s">
        <v>423</v>
      </c>
      <c r="D504" s="38" t="s">
        <v>2051</v>
      </c>
      <c r="E504" s="38" t="s">
        <v>1817</v>
      </c>
      <c r="F504" s="63">
        <v>18955</v>
      </c>
      <c r="G504" s="38"/>
      <c r="H504" s="38" t="s">
        <v>191</v>
      </c>
      <c r="I504" s="38" t="s">
        <v>191</v>
      </c>
      <c r="J504" s="38" t="s">
        <v>35</v>
      </c>
    </row>
    <row r="505" spans="2:12">
      <c r="B505" s="38" t="s">
        <v>2338</v>
      </c>
      <c r="C505" s="38" t="s">
        <v>423</v>
      </c>
      <c r="D505" s="38" t="s">
        <v>2048</v>
      </c>
      <c r="E505" s="38" t="s">
        <v>2049</v>
      </c>
      <c r="F505" s="63">
        <v>5000</v>
      </c>
      <c r="G505" s="38"/>
      <c r="H505" s="38" t="s">
        <v>191</v>
      </c>
      <c r="I505" s="38" t="s">
        <v>2032</v>
      </c>
      <c r="J505" s="38" t="s">
        <v>20</v>
      </c>
    </row>
    <row r="506" spans="2:12">
      <c r="B506" s="38" t="s">
        <v>2339</v>
      </c>
      <c r="C506" s="38" t="s">
        <v>1537</v>
      </c>
      <c r="D506" s="38" t="s">
        <v>2048</v>
      </c>
      <c r="E506" s="38" t="s">
        <v>2049</v>
      </c>
      <c r="F506" s="63">
        <v>7000</v>
      </c>
      <c r="G506" s="38"/>
      <c r="H506" s="38" t="s">
        <v>2032</v>
      </c>
      <c r="I506" s="38" t="s">
        <v>2032</v>
      </c>
      <c r="J506" s="38" t="s">
        <v>20</v>
      </c>
    </row>
    <row r="507" spans="2:12">
      <c r="B507" s="38" t="s">
        <v>2340</v>
      </c>
      <c r="C507" s="38" t="s">
        <v>2017</v>
      </c>
      <c r="D507" s="38" t="s">
        <v>2048</v>
      </c>
      <c r="E507" s="38" t="s">
        <v>2049</v>
      </c>
      <c r="F507" s="63">
        <v>1714.2857142857142</v>
      </c>
      <c r="G507" s="38"/>
      <c r="H507" s="38" t="s">
        <v>2031</v>
      </c>
      <c r="I507" s="38" t="s">
        <v>2032</v>
      </c>
      <c r="J507" s="38" t="s">
        <v>20</v>
      </c>
    </row>
    <row r="508" spans="2:12">
      <c r="B508" s="38" t="s">
        <v>2341</v>
      </c>
      <c r="C508" s="38" t="s">
        <v>460</v>
      </c>
      <c r="D508" s="38" t="s">
        <v>2073</v>
      </c>
      <c r="E508" s="38" t="s">
        <v>2074</v>
      </c>
      <c r="F508" s="63">
        <v>22990</v>
      </c>
      <c r="G508" s="38"/>
      <c r="H508" s="38" t="s">
        <v>2031</v>
      </c>
      <c r="I508" s="38" t="s">
        <v>2031</v>
      </c>
      <c r="J508" s="38" t="s">
        <v>23</v>
      </c>
    </row>
    <row r="509" spans="2:12">
      <c r="B509" s="38" t="s">
        <v>2341</v>
      </c>
      <c r="C509" s="38" t="s">
        <v>460</v>
      </c>
      <c r="D509" s="38" t="s">
        <v>2054</v>
      </c>
      <c r="E509" s="38" t="s">
        <v>2055</v>
      </c>
      <c r="F509" s="63">
        <v>16863</v>
      </c>
      <c r="G509" s="38"/>
      <c r="H509" s="38" t="s">
        <v>2031</v>
      </c>
      <c r="I509" s="38" t="s">
        <v>2031</v>
      </c>
      <c r="J509" s="38" t="s">
        <v>31</v>
      </c>
    </row>
    <row r="510" spans="2:12">
      <c r="B510" s="38" t="s">
        <v>2342</v>
      </c>
      <c r="C510" s="38" t="s">
        <v>2343</v>
      </c>
      <c r="D510" s="38" t="s">
        <v>2035</v>
      </c>
      <c r="E510" s="38" t="s">
        <v>1855</v>
      </c>
      <c r="F510" s="63">
        <v>2000</v>
      </c>
      <c r="G510" s="38"/>
      <c r="H510" s="38" t="s">
        <v>191</v>
      </c>
      <c r="I510" s="38" t="s">
        <v>2032</v>
      </c>
      <c r="J510" s="38" t="s">
        <v>20</v>
      </c>
    </row>
    <row r="511" spans="2:12">
      <c r="L511" s="101" t="s">
        <v>20</v>
      </c>
    </row>
    <row r="512" spans="2:12">
      <c r="L512" s="102" t="s">
        <v>21</v>
      </c>
    </row>
    <row r="513" spans="12:12">
      <c r="L513" s="101" t="s">
        <v>22</v>
      </c>
    </row>
    <row r="514" spans="12:12">
      <c r="L514" s="102" t="s">
        <v>23</v>
      </c>
    </row>
    <row r="515" spans="12:12">
      <c r="L515" s="101" t="s">
        <v>24</v>
      </c>
    </row>
    <row r="516" spans="12:12">
      <c r="L516" s="102" t="s">
        <v>25</v>
      </c>
    </row>
    <row r="517" spans="12:12">
      <c r="L517" s="101" t="s">
        <v>26</v>
      </c>
    </row>
    <row r="518" spans="12:12">
      <c r="L518" s="102" t="s">
        <v>27</v>
      </c>
    </row>
    <row r="519" spans="12:12">
      <c r="L519" s="101" t="s">
        <v>28</v>
      </c>
    </row>
    <row r="520" spans="12:12">
      <c r="L520" s="102" t="s">
        <v>29</v>
      </c>
    </row>
    <row r="521" spans="12:12">
      <c r="L521" s="101" t="s">
        <v>30</v>
      </c>
    </row>
    <row r="522" spans="12:12">
      <c r="L522" s="102" t="s">
        <v>31</v>
      </c>
    </row>
    <row r="523" spans="12:12">
      <c r="L523" s="101" t="s">
        <v>32</v>
      </c>
    </row>
    <row r="524" spans="12:12">
      <c r="L524" s="102" t="s">
        <v>33</v>
      </c>
    </row>
    <row r="525" spans="12:12">
      <c r="L525" s="101" t="s">
        <v>34</v>
      </c>
    </row>
    <row r="526" spans="12:12">
      <c r="L526" s="102" t="s">
        <v>35</v>
      </c>
    </row>
    <row r="527" spans="12:12">
      <c r="L527" s="101" t="s">
        <v>36</v>
      </c>
    </row>
  </sheetData>
  <autoFilter ref="B6:J510" xr:uid="{D090D52D-931E-4902-9A28-2608F2F5BFB7}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1B347-7E6A-4D7F-855F-0F2F8AE85987}">
  <dimension ref="A2:X45"/>
  <sheetViews>
    <sheetView zoomScale="70" zoomScaleNormal="70" workbookViewId="0">
      <selection activeCell="R20" sqref="R20"/>
    </sheetView>
  </sheetViews>
  <sheetFormatPr defaultRowHeight="15"/>
  <cols>
    <col min="1" max="2" width="28.28515625" bestFit="1" customWidth="1"/>
    <col min="3" max="12" width="0" hidden="1" customWidth="1"/>
  </cols>
  <sheetData>
    <row r="2" spans="1:24">
      <c r="A2" t="s">
        <v>2344</v>
      </c>
      <c r="B2" t="s">
        <v>2344</v>
      </c>
      <c r="N2" t="s">
        <v>2345</v>
      </c>
      <c r="O2" t="s">
        <v>2346</v>
      </c>
      <c r="P2" t="s">
        <v>1675</v>
      </c>
      <c r="U2" t="s">
        <v>2344</v>
      </c>
      <c r="V2" t="s">
        <v>2345</v>
      </c>
      <c r="W2" t="s">
        <v>2346</v>
      </c>
      <c r="X2" t="s">
        <v>1675</v>
      </c>
    </row>
    <row r="3" spans="1:24">
      <c r="A3" t="s">
        <v>56</v>
      </c>
      <c r="B3" t="str" cm="1">
        <f t="array" ref="B3:M42">_xlfn.TAKE(_xlfn._xlws.SORT(Table3[[Company name]:[Overall scoring priority]],12,-1),40)</f>
        <v>British Gas Trading Ltd</v>
      </c>
      <c r="C3" t="str">
        <v>Yes</v>
      </c>
      <c r="D3">
        <v>0</v>
      </c>
      <c r="E3">
        <v>45566</v>
      </c>
      <c r="F3" t="str">
        <v>Large</v>
      </c>
      <c r="G3">
        <v>250000</v>
      </c>
      <c r="H3">
        <v>5</v>
      </c>
      <c r="I3">
        <v>5</v>
      </c>
      <c r="J3">
        <v>5</v>
      </c>
      <c r="K3">
        <v>5</v>
      </c>
      <c r="L3">
        <v>5</v>
      </c>
      <c r="M3">
        <v>25</v>
      </c>
      <c r="N3">
        <f>INDEX('Customer data'!$N$11:$N$234,MATCH(Top30Customers!A3,'Customer data'!$L$11:$L$234))</f>
        <v>241800</v>
      </c>
      <c r="O3">
        <f>INDEX('Customer data'!$P$11:$P$234,MATCH(Top30Customers!A3,'Customer data'!$L$11:$L$234))</f>
        <v>8200</v>
      </c>
      <c r="P3">
        <f>O3+N3</f>
        <v>250000</v>
      </c>
      <c r="U3" t="s">
        <v>56</v>
      </c>
      <c r="V3">
        <v>241800</v>
      </c>
      <c r="W3">
        <v>8200</v>
      </c>
      <c r="X3">
        <v>250000</v>
      </c>
    </row>
    <row r="4" spans="1:24">
      <c r="A4" t="s">
        <v>64</v>
      </c>
      <c r="B4" t="str">
        <v>Centrica Energy Limited</v>
      </c>
      <c r="C4" t="str">
        <v>Yes</v>
      </c>
      <c r="D4" t="str">
        <v>Yes</v>
      </c>
      <c r="E4">
        <v>45566</v>
      </c>
      <c r="F4" t="str">
        <v>Large</v>
      </c>
      <c r="G4">
        <v>250000</v>
      </c>
      <c r="H4">
        <v>5</v>
      </c>
      <c r="I4">
        <v>5</v>
      </c>
      <c r="J4">
        <v>5</v>
      </c>
      <c r="K4">
        <v>5</v>
      </c>
      <c r="L4">
        <v>5</v>
      </c>
      <c r="M4">
        <v>25</v>
      </c>
      <c r="N4">
        <f>INDEX('Customer data'!$N$11:$N$234,MATCH(Top30Customers!A4,'Customer data'!$L$11:$L$234))</f>
        <v>7200.96</v>
      </c>
      <c r="O4">
        <f>INDEX('Customer data'!$P$11:$P$234,MATCH(Top30Customers!A4,'Customer data'!$L$11:$L$234))</f>
        <v>242799.04</v>
      </c>
      <c r="P4">
        <f t="shared" ref="P4:P42" si="0">O4+N4</f>
        <v>250000</v>
      </c>
      <c r="U4" t="s">
        <v>91</v>
      </c>
      <c r="V4">
        <v>78990</v>
      </c>
      <c r="W4">
        <v>71010</v>
      </c>
      <c r="X4">
        <v>150000</v>
      </c>
    </row>
    <row r="5" spans="1:24">
      <c r="A5" t="s">
        <v>65</v>
      </c>
      <c r="B5" t="str">
        <v>Conrad Energy Limited</v>
      </c>
      <c r="C5" t="str">
        <v>Yes</v>
      </c>
      <c r="D5" t="str">
        <v>Yes</v>
      </c>
      <c r="E5">
        <v>45566</v>
      </c>
      <c r="F5" t="str">
        <v>Large</v>
      </c>
      <c r="G5">
        <v>250000</v>
      </c>
      <c r="H5">
        <v>5</v>
      </c>
      <c r="I5">
        <v>5</v>
      </c>
      <c r="J5">
        <v>5</v>
      </c>
      <c r="K5">
        <v>5</v>
      </c>
      <c r="L5">
        <v>5</v>
      </c>
      <c r="M5">
        <v>25</v>
      </c>
      <c r="N5">
        <f>INDEX('Customer data'!$N$11:$N$234,MATCH(Top30Customers!A5,'Customer data'!$L$11:$L$234))</f>
        <v>20800</v>
      </c>
      <c r="O5">
        <f>INDEX('Customer data'!$P$11:$P$234,MATCH(Top30Customers!A5,'Customer data'!$L$11:$L$234))</f>
        <v>229200</v>
      </c>
      <c r="P5">
        <f t="shared" si="0"/>
        <v>250000</v>
      </c>
      <c r="U5" t="s">
        <v>93</v>
      </c>
      <c r="V5">
        <v>70350</v>
      </c>
      <c r="W5">
        <v>79650</v>
      </c>
      <c r="X5">
        <v>150000</v>
      </c>
    </row>
    <row r="6" spans="1:24">
      <c r="A6" t="s">
        <v>67</v>
      </c>
      <c r="B6" t="str">
        <v>Corona Energy Retail 1 Ltd</v>
      </c>
      <c r="C6" t="str">
        <v>Yes</v>
      </c>
      <c r="D6">
        <v>0</v>
      </c>
      <c r="E6">
        <v>45566</v>
      </c>
      <c r="F6" t="str">
        <v>Large</v>
      </c>
      <c r="G6">
        <v>250000</v>
      </c>
      <c r="H6">
        <v>5</v>
      </c>
      <c r="I6">
        <v>5</v>
      </c>
      <c r="J6">
        <v>5</v>
      </c>
      <c r="K6">
        <v>5</v>
      </c>
      <c r="L6">
        <v>5</v>
      </c>
      <c r="M6">
        <v>25</v>
      </c>
      <c r="N6">
        <f>INDEX('Customer data'!$N$11:$N$234,MATCH(Top30Customers!A6,'Customer data'!$L$11:$L$234))</f>
        <v>82400</v>
      </c>
      <c r="O6">
        <f>INDEX('Customer data'!$P$11:$P$234,MATCH(Top30Customers!A6,'Customer data'!$L$11:$L$234))</f>
        <v>167600</v>
      </c>
      <c r="P6">
        <f t="shared" si="0"/>
        <v>250000</v>
      </c>
      <c r="U6" t="s">
        <v>65</v>
      </c>
      <c r="V6">
        <v>20800</v>
      </c>
      <c r="W6">
        <v>229200</v>
      </c>
      <c r="X6">
        <v>250000</v>
      </c>
    </row>
    <row r="7" spans="1:24">
      <c r="A7" t="s">
        <v>68</v>
      </c>
      <c r="B7" t="str">
        <v>Drax Power Limited</v>
      </c>
      <c r="C7" t="str">
        <v>Yes</v>
      </c>
      <c r="D7">
        <v>0</v>
      </c>
      <c r="E7">
        <v>45566</v>
      </c>
      <c r="F7" t="str">
        <v>Large</v>
      </c>
      <c r="G7">
        <v>250000</v>
      </c>
      <c r="H7">
        <v>5</v>
      </c>
      <c r="I7">
        <v>5</v>
      </c>
      <c r="J7">
        <v>5</v>
      </c>
      <c r="K7">
        <v>5</v>
      </c>
      <c r="L7">
        <v>5</v>
      </c>
      <c r="M7">
        <v>25</v>
      </c>
      <c r="N7">
        <f>INDEX('Customer data'!$N$11:$N$234,MATCH(Top30Customers!A7,'Customer data'!$L$11:$L$234))</f>
        <v>73430</v>
      </c>
      <c r="O7">
        <f>INDEX('Customer data'!$P$11:$P$234,MATCH(Top30Customers!A7,'Customer data'!$L$11:$L$234))</f>
        <v>176570</v>
      </c>
      <c r="P7">
        <f t="shared" si="0"/>
        <v>250000</v>
      </c>
      <c r="U7" t="s">
        <v>67</v>
      </c>
      <c r="V7">
        <v>82400</v>
      </c>
      <c r="W7">
        <v>167600</v>
      </c>
      <c r="X7">
        <v>250000</v>
      </c>
    </row>
    <row r="8" spans="1:24">
      <c r="A8" t="s">
        <v>69</v>
      </c>
      <c r="B8" t="str">
        <v>E.ON Connecting Energies Ltd.</v>
      </c>
      <c r="C8" t="str">
        <v>Yes</v>
      </c>
      <c r="D8">
        <v>0</v>
      </c>
      <c r="E8">
        <v>45566</v>
      </c>
      <c r="F8" t="str">
        <v>Large</v>
      </c>
      <c r="G8">
        <v>250000</v>
      </c>
      <c r="H8">
        <v>5</v>
      </c>
      <c r="I8">
        <v>5</v>
      </c>
      <c r="J8">
        <v>5</v>
      </c>
      <c r="K8">
        <v>5</v>
      </c>
      <c r="L8">
        <v>5</v>
      </c>
      <c r="M8">
        <v>25</v>
      </c>
      <c r="N8">
        <f>INDEX('Customer data'!$N$11:$N$234,MATCH(Top30Customers!A8,'Customer data'!$L$11:$L$234))</f>
        <v>6114.88</v>
      </c>
      <c r="O8">
        <f>INDEX('Customer data'!$P$11:$P$234,MATCH(Top30Customers!A8,'Customer data'!$L$11:$L$234))</f>
        <v>243885.12</v>
      </c>
      <c r="P8">
        <f t="shared" si="0"/>
        <v>250000</v>
      </c>
      <c r="U8" t="s">
        <v>95</v>
      </c>
      <c r="V8">
        <v>50750</v>
      </c>
      <c r="W8">
        <v>99250</v>
      </c>
      <c r="X8">
        <v>150000</v>
      </c>
    </row>
    <row r="9" spans="1:24">
      <c r="A9" t="s">
        <v>70</v>
      </c>
      <c r="B9" t="str">
        <v>E.ON UK PLC</v>
      </c>
      <c r="C9" t="str">
        <v>Yes</v>
      </c>
      <c r="D9">
        <v>0</v>
      </c>
      <c r="E9">
        <v>45566</v>
      </c>
      <c r="F9" t="str">
        <v>Large</v>
      </c>
      <c r="G9">
        <v>250000</v>
      </c>
      <c r="H9">
        <v>5</v>
      </c>
      <c r="I9">
        <v>5</v>
      </c>
      <c r="J9">
        <v>5</v>
      </c>
      <c r="K9">
        <v>5</v>
      </c>
      <c r="L9">
        <v>5</v>
      </c>
      <c r="M9">
        <v>25</v>
      </c>
      <c r="N9">
        <f>INDEX('Customer data'!$N$11:$N$234,MATCH(Top30Customers!A9,'Customer data'!$L$11:$L$234))</f>
        <v>75000</v>
      </c>
      <c r="O9">
        <f>INDEX('Customer data'!$P$11:$P$234,MATCH(Top30Customers!A9,'Customer data'!$L$11:$L$234))</f>
        <v>175000</v>
      </c>
      <c r="P9">
        <f t="shared" si="0"/>
        <v>250000</v>
      </c>
      <c r="U9" t="s">
        <v>68</v>
      </c>
      <c r="V9">
        <v>73430</v>
      </c>
      <c r="W9">
        <v>176570</v>
      </c>
      <c r="X9">
        <v>250000</v>
      </c>
    </row>
    <row r="10" spans="1:24">
      <c r="A10" t="s">
        <v>71</v>
      </c>
      <c r="B10" t="str">
        <v>EDF Energy Customers Limited</v>
      </c>
      <c r="C10" t="str">
        <v>Yes</v>
      </c>
      <c r="D10">
        <v>0</v>
      </c>
      <c r="E10">
        <v>45566</v>
      </c>
      <c r="F10" t="str">
        <v>Large</v>
      </c>
      <c r="G10">
        <v>250000</v>
      </c>
      <c r="H10">
        <v>5</v>
      </c>
      <c r="I10">
        <v>5</v>
      </c>
      <c r="J10">
        <v>5</v>
      </c>
      <c r="K10">
        <v>5</v>
      </c>
      <c r="L10">
        <v>5</v>
      </c>
      <c r="M10">
        <v>25</v>
      </c>
      <c r="N10">
        <f>INDEX('Customer data'!$N$11:$N$234,MATCH(Top30Customers!A10,'Customer data'!$L$11:$L$234))</f>
        <v>72100</v>
      </c>
      <c r="O10">
        <f>INDEX('Customer data'!$P$11:$P$234,MATCH(Top30Customers!A10,'Customer data'!$L$11:$L$234))</f>
        <v>177900</v>
      </c>
      <c r="P10">
        <f t="shared" si="0"/>
        <v>250000</v>
      </c>
      <c r="U10" t="s">
        <v>70</v>
      </c>
      <c r="V10">
        <v>75000</v>
      </c>
      <c r="W10">
        <v>175000</v>
      </c>
      <c r="X10">
        <v>250000</v>
      </c>
    </row>
    <row r="11" spans="1:24">
      <c r="A11" t="s">
        <v>72</v>
      </c>
      <c r="B11" t="str">
        <v>EDF Energy Limited</v>
      </c>
      <c r="C11" t="str">
        <v>Yes</v>
      </c>
      <c r="D11">
        <v>0</v>
      </c>
      <c r="E11">
        <v>45566</v>
      </c>
      <c r="F11" t="str">
        <v>Large</v>
      </c>
      <c r="G11">
        <v>250000</v>
      </c>
      <c r="H11">
        <v>5</v>
      </c>
      <c r="I11">
        <v>5</v>
      </c>
      <c r="J11">
        <v>5</v>
      </c>
      <c r="K11">
        <v>5</v>
      </c>
      <c r="L11">
        <v>5</v>
      </c>
      <c r="M11">
        <v>25</v>
      </c>
      <c r="N11">
        <f>INDEX('Customer data'!$N$11:$N$234,MATCH(Top30Customers!A11,'Customer data'!$L$11:$L$234))</f>
        <v>165625</v>
      </c>
      <c r="O11">
        <f>INDEX('Customer data'!$P$11:$P$234,MATCH(Top30Customers!A11,'Customer data'!$L$11:$L$234))</f>
        <v>84375</v>
      </c>
      <c r="P11">
        <f t="shared" si="0"/>
        <v>250000</v>
      </c>
      <c r="U11" t="s">
        <v>97</v>
      </c>
      <c r="V11">
        <v>72100</v>
      </c>
      <c r="W11">
        <v>77900</v>
      </c>
      <c r="X11">
        <v>150000</v>
      </c>
    </row>
    <row r="12" spans="1:24">
      <c r="A12" t="s">
        <v>73</v>
      </c>
      <c r="B12" t="str">
        <v>ENGIE Power Limited</v>
      </c>
      <c r="C12" t="str">
        <v>Yes</v>
      </c>
      <c r="D12">
        <v>0</v>
      </c>
      <c r="E12">
        <v>45566</v>
      </c>
      <c r="F12" t="str">
        <v>Large</v>
      </c>
      <c r="G12">
        <v>250000</v>
      </c>
      <c r="H12">
        <v>5</v>
      </c>
      <c r="I12">
        <v>5</v>
      </c>
      <c r="J12">
        <v>5</v>
      </c>
      <c r="K12">
        <v>5</v>
      </c>
      <c r="L12">
        <v>5</v>
      </c>
      <c r="M12">
        <v>25</v>
      </c>
      <c r="N12">
        <f>INDEX('Customer data'!$N$11:$N$234,MATCH(Top30Customers!A12,'Customer data'!$L$11:$L$234))</f>
        <v>112050.08007518796</v>
      </c>
      <c r="O12">
        <f>INDEX('Customer data'!$P$11:$P$234,MATCH(Top30Customers!A12,'Customer data'!$L$11:$L$234))</f>
        <v>137949.91992481204</v>
      </c>
      <c r="P12">
        <f t="shared" si="0"/>
        <v>250000</v>
      </c>
      <c r="U12" t="s">
        <v>71</v>
      </c>
      <c r="V12">
        <v>72100</v>
      </c>
      <c r="W12">
        <v>77900</v>
      </c>
      <c r="X12">
        <v>150000</v>
      </c>
    </row>
    <row r="13" spans="1:24">
      <c r="A13" t="s">
        <v>74</v>
      </c>
      <c r="B13" t="str">
        <v>NPower Limited</v>
      </c>
      <c r="C13" t="str">
        <v>Yes</v>
      </c>
      <c r="D13">
        <v>0</v>
      </c>
      <c r="E13">
        <v>45566</v>
      </c>
      <c r="F13" t="str">
        <v>Large</v>
      </c>
      <c r="G13">
        <v>250000</v>
      </c>
      <c r="H13">
        <v>5</v>
      </c>
      <c r="I13">
        <v>5</v>
      </c>
      <c r="J13">
        <v>5</v>
      </c>
      <c r="K13">
        <v>5</v>
      </c>
      <c r="L13">
        <v>5</v>
      </c>
      <c r="M13">
        <v>25</v>
      </c>
      <c r="N13">
        <f>INDEX('Customer data'!$N$11:$N$234,MATCH(Top30Customers!A13,'Customer data'!$L$11:$L$234))</f>
        <v>16625</v>
      </c>
      <c r="O13">
        <f>INDEX('Customer data'!$P$11:$P$234,MATCH(Top30Customers!A13,'Customer data'!$L$11:$L$234))</f>
        <v>16625</v>
      </c>
      <c r="P13">
        <f t="shared" si="0"/>
        <v>33250</v>
      </c>
      <c r="U13" t="s">
        <v>72</v>
      </c>
      <c r="V13">
        <v>165625</v>
      </c>
      <c r="W13">
        <v>84375</v>
      </c>
      <c r="X13">
        <v>250000</v>
      </c>
    </row>
    <row r="14" spans="1:24">
      <c r="A14" t="s">
        <v>75</v>
      </c>
      <c r="B14" t="str">
        <v>Octopus Energy Ltd</v>
      </c>
      <c r="C14" t="str">
        <v>Yes</v>
      </c>
      <c r="D14" t="str">
        <v>Yes</v>
      </c>
      <c r="E14">
        <v>45566</v>
      </c>
      <c r="F14" t="str">
        <v>Large</v>
      </c>
      <c r="G14">
        <v>250000</v>
      </c>
      <c r="H14">
        <v>5</v>
      </c>
      <c r="I14">
        <v>5</v>
      </c>
      <c r="J14">
        <v>5</v>
      </c>
      <c r="K14">
        <v>5</v>
      </c>
      <c r="L14">
        <v>5</v>
      </c>
      <c r="M14">
        <v>25</v>
      </c>
      <c r="N14">
        <f>INDEX('Customer data'!$N$11:$N$234,MATCH(Top30Customers!A14,'Customer data'!$L$11:$L$234))</f>
        <v>123085</v>
      </c>
      <c r="O14">
        <f>INDEX('Customer data'!$P$11:$P$234,MATCH(Top30Customers!A14,'Customer data'!$L$11:$L$234))</f>
        <v>123085</v>
      </c>
      <c r="P14">
        <f t="shared" si="0"/>
        <v>246170</v>
      </c>
      <c r="U14" t="s">
        <v>98</v>
      </c>
      <c r="V14">
        <v>165625</v>
      </c>
      <c r="W14">
        <v>84375</v>
      </c>
      <c r="X14">
        <v>250000</v>
      </c>
    </row>
    <row r="15" spans="1:24">
      <c r="A15" t="s">
        <v>77</v>
      </c>
      <c r="B15" t="str">
        <v>Opus Energy</v>
      </c>
      <c r="C15" t="str">
        <v>Yes</v>
      </c>
      <c r="D15">
        <v>0</v>
      </c>
      <c r="E15">
        <v>45566</v>
      </c>
      <c r="F15" t="str">
        <v>Large</v>
      </c>
      <c r="G15">
        <v>250000</v>
      </c>
      <c r="H15">
        <v>5</v>
      </c>
      <c r="I15">
        <v>5</v>
      </c>
      <c r="J15">
        <v>5</v>
      </c>
      <c r="K15">
        <v>5</v>
      </c>
      <c r="L15">
        <v>5</v>
      </c>
      <c r="M15">
        <v>25</v>
      </c>
      <c r="N15">
        <f>INDEX('Customer data'!$N$11:$N$234,MATCH(Top30Customers!A15,'Customer data'!$L$11:$L$234))</f>
        <v>4187.5</v>
      </c>
      <c r="O15">
        <f>INDEX('Customer data'!$P$11:$P$234,MATCH(Top30Customers!A15,'Customer data'!$L$11:$L$234))</f>
        <v>5812.5</v>
      </c>
      <c r="P15">
        <f t="shared" si="0"/>
        <v>10000</v>
      </c>
      <c r="U15" t="s">
        <v>99</v>
      </c>
      <c r="V15">
        <v>24520</v>
      </c>
      <c r="W15">
        <v>125480</v>
      </c>
      <c r="X15">
        <v>150000</v>
      </c>
    </row>
    <row r="16" spans="1:24">
      <c r="A16" t="s">
        <v>78</v>
      </c>
      <c r="B16" t="str">
        <v>OVO Energy Limited</v>
      </c>
      <c r="C16" t="str">
        <v>Yes</v>
      </c>
      <c r="D16" t="str">
        <v>Yes</v>
      </c>
      <c r="E16">
        <v>45566</v>
      </c>
      <c r="F16" t="str">
        <v>Large</v>
      </c>
      <c r="G16">
        <v>250000</v>
      </c>
      <c r="H16">
        <v>5</v>
      </c>
      <c r="I16">
        <v>5</v>
      </c>
      <c r="J16">
        <v>5</v>
      </c>
      <c r="K16">
        <v>5</v>
      </c>
      <c r="L16">
        <v>5</v>
      </c>
      <c r="M16">
        <v>25</v>
      </c>
      <c r="N16">
        <f>INDEX('Customer data'!$N$11:$N$234,MATCH(Top30Customers!A16,'Customer data'!$L$11:$L$234))</f>
        <v>82333.329999999987</v>
      </c>
      <c r="O16">
        <f>INDEX('Customer data'!$P$11:$P$234,MATCH(Top30Customers!A16,'Customer data'!$L$11:$L$234))</f>
        <v>82333.329999999987</v>
      </c>
      <c r="P16">
        <f t="shared" si="0"/>
        <v>164666.65999999997</v>
      </c>
      <c r="U16" t="s">
        <v>73</v>
      </c>
      <c r="V16">
        <v>112050.08007518796</v>
      </c>
      <c r="W16">
        <v>137949.91992481204</v>
      </c>
      <c r="X16">
        <v>250000</v>
      </c>
    </row>
    <row r="17" spans="1:24">
      <c r="A17" t="s">
        <v>79</v>
      </c>
      <c r="B17" t="str">
        <v>RWE Supply &amp; Trading GmbH</v>
      </c>
      <c r="C17" t="str">
        <v>Yes</v>
      </c>
      <c r="D17">
        <v>0</v>
      </c>
      <c r="E17">
        <v>45566</v>
      </c>
      <c r="F17" t="str">
        <v>Large</v>
      </c>
      <c r="G17">
        <v>250000</v>
      </c>
      <c r="H17">
        <v>5</v>
      </c>
      <c r="I17">
        <v>5</v>
      </c>
      <c r="J17">
        <v>5</v>
      </c>
      <c r="K17">
        <v>5</v>
      </c>
      <c r="L17">
        <v>5</v>
      </c>
      <c r="M17">
        <v>25</v>
      </c>
      <c r="N17">
        <f>INDEX('Customer data'!$N$11:$N$234,MATCH(Top30Customers!A17,'Customer data'!$L$11:$L$234))</f>
        <v>25100</v>
      </c>
      <c r="O17">
        <f>INDEX('Customer data'!$P$11:$P$234,MATCH(Top30Customers!A17,'Customer data'!$L$11:$L$234))</f>
        <v>25100</v>
      </c>
      <c r="P17">
        <f t="shared" si="0"/>
        <v>50200</v>
      </c>
      <c r="U17" t="s">
        <v>100</v>
      </c>
      <c r="V17">
        <v>35145</v>
      </c>
      <c r="W17">
        <v>114855</v>
      </c>
      <c r="X17">
        <v>150000</v>
      </c>
    </row>
    <row r="18" spans="1:24">
      <c r="A18" t="s">
        <v>80</v>
      </c>
      <c r="B18" t="str">
        <v>ScottishPower Limited</v>
      </c>
      <c r="C18" t="str">
        <v>Yes</v>
      </c>
      <c r="D18">
        <v>0</v>
      </c>
      <c r="E18">
        <v>45566</v>
      </c>
      <c r="F18" t="str">
        <v>Large</v>
      </c>
      <c r="G18">
        <v>250000</v>
      </c>
      <c r="H18">
        <v>5</v>
      </c>
      <c r="I18">
        <v>5</v>
      </c>
      <c r="J18">
        <v>5</v>
      </c>
      <c r="K18">
        <v>5</v>
      </c>
      <c r="L18">
        <v>5</v>
      </c>
      <c r="M18">
        <v>25</v>
      </c>
      <c r="N18">
        <f>INDEX('Customer data'!$N$11:$N$234,MATCH(Top30Customers!A18,'Customer data'!$L$11:$L$234))</f>
        <v>181590.98999999993</v>
      </c>
      <c r="O18">
        <f>INDEX('Customer data'!$P$11:$P$234,MATCH(Top30Customers!A18,'Customer data'!$L$11:$L$234))</f>
        <v>181590.98999999993</v>
      </c>
      <c r="P18">
        <f t="shared" si="0"/>
        <v>363181.97999999986</v>
      </c>
      <c r="U18" t="s">
        <v>103</v>
      </c>
      <c r="V18">
        <v>53700</v>
      </c>
      <c r="W18">
        <v>196300</v>
      </c>
      <c r="X18">
        <v>250000</v>
      </c>
    </row>
    <row r="19" spans="1:24">
      <c r="A19" t="s">
        <v>81</v>
      </c>
      <c r="B19" t="str">
        <v>SEFE Energy Ltd</v>
      </c>
      <c r="C19" t="str">
        <v>Yes</v>
      </c>
      <c r="D19">
        <v>0</v>
      </c>
      <c r="E19">
        <v>45566</v>
      </c>
      <c r="F19" t="str">
        <v>Large</v>
      </c>
      <c r="G19">
        <v>250000</v>
      </c>
      <c r="H19">
        <v>5</v>
      </c>
      <c r="I19">
        <v>5</v>
      </c>
      <c r="J19">
        <v>5</v>
      </c>
      <c r="K19">
        <v>5</v>
      </c>
      <c r="L19">
        <v>5</v>
      </c>
      <c r="M19">
        <v>25</v>
      </c>
      <c r="N19">
        <f>INDEX('Customer data'!$N$11:$N$234,MATCH(Top30Customers!A19,'Customer data'!$L$11:$L$234))</f>
        <v>94638.546000000002</v>
      </c>
      <c r="O19">
        <f>INDEX('Customer data'!$P$11:$P$234,MATCH(Top30Customers!A19,'Customer data'!$L$11:$L$234))</f>
        <v>94638.546000000002</v>
      </c>
      <c r="P19">
        <f t="shared" si="0"/>
        <v>189277.092</v>
      </c>
      <c r="U19" t="s">
        <v>104</v>
      </c>
      <c r="V19">
        <v>21000</v>
      </c>
      <c r="W19">
        <v>129000</v>
      </c>
      <c r="X19">
        <v>150000</v>
      </c>
    </row>
    <row r="20" spans="1:24">
      <c r="A20" t="s">
        <v>2347</v>
      </c>
      <c r="B20" t="str">
        <v>Shell Energy Retail Ltd</v>
      </c>
      <c r="C20" t="str">
        <v>Yes</v>
      </c>
      <c r="D20">
        <v>0</v>
      </c>
      <c r="E20">
        <v>45566</v>
      </c>
      <c r="F20" t="str">
        <v>Large</v>
      </c>
      <c r="G20">
        <v>250000</v>
      </c>
      <c r="H20">
        <v>5</v>
      </c>
      <c r="I20">
        <v>5</v>
      </c>
      <c r="J20">
        <v>5</v>
      </c>
      <c r="K20">
        <v>5</v>
      </c>
      <c r="L20">
        <v>5</v>
      </c>
      <c r="M20">
        <v>25</v>
      </c>
      <c r="N20">
        <f>INDEX('Customer data'!$N$11:$N$234,MATCH(Top30Customers!A20,'Customer data'!$L$11:$L$234))</f>
        <v>245000</v>
      </c>
      <c r="O20">
        <f>INDEX('Customer data'!$P$11:$P$234,MATCH(Top30Customers!A20,'Customer data'!$L$11:$L$234))</f>
        <v>245000</v>
      </c>
      <c r="P20">
        <f t="shared" si="0"/>
        <v>490000</v>
      </c>
      <c r="U20" t="s">
        <v>105</v>
      </c>
      <c r="V20">
        <v>21500</v>
      </c>
      <c r="W20">
        <v>128500</v>
      </c>
      <c r="X20">
        <v>150000</v>
      </c>
    </row>
    <row r="21" spans="1:24">
      <c r="A21" t="s">
        <v>83</v>
      </c>
      <c r="B21" t="str">
        <v>Smartest Energy Limited</v>
      </c>
      <c r="C21" t="str">
        <v>Yes</v>
      </c>
      <c r="D21" t="str">
        <v>Yes</v>
      </c>
      <c r="E21">
        <v>45566</v>
      </c>
      <c r="F21" t="str">
        <v>Large</v>
      </c>
      <c r="G21">
        <v>250000</v>
      </c>
      <c r="H21">
        <v>5</v>
      </c>
      <c r="I21">
        <v>5</v>
      </c>
      <c r="J21">
        <v>5</v>
      </c>
      <c r="K21">
        <v>5</v>
      </c>
      <c r="L21">
        <v>5</v>
      </c>
      <c r="M21">
        <v>25</v>
      </c>
      <c r="N21">
        <f>INDEX('Customer data'!$N$11:$N$234,MATCH(Top30Customers!A21,'Customer data'!$L$11:$L$234))</f>
        <v>84250</v>
      </c>
      <c r="O21">
        <f>INDEX('Customer data'!$P$11:$P$234,MATCH(Top30Customers!A21,'Customer data'!$L$11:$L$234))</f>
        <v>84250</v>
      </c>
      <c r="P21">
        <f t="shared" si="0"/>
        <v>168500</v>
      </c>
      <c r="U21" t="s">
        <v>74</v>
      </c>
      <c r="V21">
        <v>16625</v>
      </c>
      <c r="W21">
        <v>233375</v>
      </c>
      <c r="X21">
        <v>250000</v>
      </c>
    </row>
    <row r="22" spans="1:24">
      <c r="A22" t="s">
        <v>1932</v>
      </c>
      <c r="B22" t="str">
        <v>SSE Energy Customer Solutions</v>
      </c>
      <c r="C22" t="str">
        <v>Yes</v>
      </c>
      <c r="D22" t="str">
        <v>Yes</v>
      </c>
      <c r="E22">
        <v>45566</v>
      </c>
      <c r="F22" t="str">
        <v>Large</v>
      </c>
      <c r="G22">
        <v>250000</v>
      </c>
      <c r="H22">
        <v>5</v>
      </c>
      <c r="I22">
        <v>5</v>
      </c>
      <c r="J22">
        <v>5</v>
      </c>
      <c r="K22">
        <v>5</v>
      </c>
      <c r="L22">
        <v>5</v>
      </c>
      <c r="M22">
        <v>25</v>
      </c>
      <c r="N22">
        <f>INDEX('Customer data'!$N$11:$N$234,MATCH(Top30Customers!A22,'Customer data'!$L$11:$L$234))</f>
        <v>123491.19999999998</v>
      </c>
      <c r="O22">
        <f>INDEX('Customer data'!$P$11:$P$234,MATCH(Top30Customers!A22,'Customer data'!$L$11:$L$234))</f>
        <v>123491.19999999998</v>
      </c>
      <c r="P22">
        <f t="shared" si="0"/>
        <v>246982.39999999997</v>
      </c>
      <c r="U22" t="s">
        <v>75</v>
      </c>
      <c r="V22">
        <v>123085</v>
      </c>
      <c r="W22">
        <v>126915</v>
      </c>
      <c r="X22">
        <v>250000</v>
      </c>
    </row>
    <row r="23" spans="1:24">
      <c r="A23" t="s">
        <v>86</v>
      </c>
      <c r="B23" t="str">
        <v>SSE Energy Supply Ltd</v>
      </c>
      <c r="C23" t="str">
        <v>Yes</v>
      </c>
      <c r="D23" t="str">
        <v>Yes</v>
      </c>
      <c r="E23">
        <v>45566</v>
      </c>
      <c r="F23" t="str">
        <v>Large</v>
      </c>
      <c r="G23">
        <v>250000</v>
      </c>
      <c r="H23">
        <v>5</v>
      </c>
      <c r="I23">
        <v>5</v>
      </c>
      <c r="J23">
        <v>5</v>
      </c>
      <c r="K23">
        <v>5</v>
      </c>
      <c r="L23">
        <v>5</v>
      </c>
      <c r="M23">
        <v>25</v>
      </c>
      <c r="N23">
        <f>INDEX('Customer data'!$N$11:$N$234,MATCH(Top30Customers!A23,'Customer data'!$L$11:$L$234))</f>
        <v>7500</v>
      </c>
      <c r="O23">
        <f>INDEX('Customer data'!$P$11:$P$234,MATCH(Top30Customers!A23,'Customer data'!$L$11:$L$234))</f>
        <v>2500</v>
      </c>
      <c r="P23">
        <f t="shared" si="0"/>
        <v>10000</v>
      </c>
      <c r="U23" t="s">
        <v>78</v>
      </c>
      <c r="V23">
        <v>82333.329999999987</v>
      </c>
      <c r="W23">
        <v>167666.67000000001</v>
      </c>
      <c r="X23">
        <v>250000</v>
      </c>
    </row>
    <row r="24" spans="1:24">
      <c r="A24" t="s">
        <v>87</v>
      </c>
      <c r="B24" t="str">
        <v>TotalEnergies Gas &amp; Power Ltd</v>
      </c>
      <c r="C24" t="str">
        <v>Yes</v>
      </c>
      <c r="D24">
        <v>0</v>
      </c>
      <c r="E24">
        <v>45566</v>
      </c>
      <c r="F24" t="str">
        <v>Large</v>
      </c>
      <c r="G24">
        <v>250000</v>
      </c>
      <c r="H24">
        <v>5</v>
      </c>
      <c r="I24">
        <v>5</v>
      </c>
      <c r="J24">
        <v>5</v>
      </c>
      <c r="K24">
        <v>5</v>
      </c>
      <c r="L24">
        <v>5</v>
      </c>
      <c r="M24">
        <v>25</v>
      </c>
      <c r="N24">
        <f>INDEX('Customer data'!$N$11:$N$234,MATCH(Top30Customers!A24,'Customer data'!$L$11:$L$234))</f>
        <v>96995</v>
      </c>
      <c r="O24">
        <f>INDEX('Customer data'!$P$11:$P$234,MATCH(Top30Customers!A24,'Customer data'!$L$11:$L$234))</f>
        <v>96995</v>
      </c>
      <c r="P24">
        <f t="shared" si="0"/>
        <v>193990</v>
      </c>
      <c r="U24" t="s">
        <v>79</v>
      </c>
      <c r="V24">
        <v>25100</v>
      </c>
      <c r="W24">
        <v>115300</v>
      </c>
      <c r="X24">
        <v>140400</v>
      </c>
    </row>
    <row r="25" spans="1:24">
      <c r="A25" t="s">
        <v>88</v>
      </c>
      <c r="B25" t="str">
        <v>Utilita Energy Limited</v>
      </c>
      <c r="C25" t="str">
        <v>Yes</v>
      </c>
      <c r="D25">
        <v>0</v>
      </c>
      <c r="E25">
        <v>45566</v>
      </c>
      <c r="F25" t="str">
        <v>Large</v>
      </c>
      <c r="G25">
        <v>250000</v>
      </c>
      <c r="H25">
        <v>5</v>
      </c>
      <c r="I25">
        <v>5</v>
      </c>
      <c r="J25">
        <v>5</v>
      </c>
      <c r="K25">
        <v>5</v>
      </c>
      <c r="L25">
        <v>5</v>
      </c>
      <c r="M25">
        <v>25</v>
      </c>
      <c r="N25">
        <f>INDEX('Customer data'!$N$11:$N$234,MATCH(Top30Customers!A25,'Customer data'!$L$11:$L$234))</f>
        <v>115865.01999999999</v>
      </c>
      <c r="O25">
        <f>INDEX('Customer data'!$P$11:$P$234,MATCH(Top30Customers!A25,'Customer data'!$L$11:$L$234))</f>
        <v>115865.01999999999</v>
      </c>
      <c r="P25">
        <f t="shared" si="0"/>
        <v>231730.03999999998</v>
      </c>
      <c r="U25" t="s">
        <v>80</v>
      </c>
      <c r="V25">
        <v>181590.98999999993</v>
      </c>
      <c r="W25">
        <v>68409.010000000068</v>
      </c>
      <c r="X25">
        <v>250000</v>
      </c>
    </row>
    <row r="26" spans="1:24">
      <c r="A26" t="s">
        <v>89</v>
      </c>
      <c r="B26" t="str">
        <v>Utility Warehouse Limited</v>
      </c>
      <c r="C26" t="str">
        <v>Yes</v>
      </c>
      <c r="D26" t="str">
        <v>Yes</v>
      </c>
      <c r="E26">
        <v>45566</v>
      </c>
      <c r="F26" t="str">
        <v>Large</v>
      </c>
      <c r="G26">
        <v>250000</v>
      </c>
      <c r="H26">
        <v>5</v>
      </c>
      <c r="I26">
        <v>5</v>
      </c>
      <c r="J26">
        <v>5</v>
      </c>
      <c r="K26">
        <v>5</v>
      </c>
      <c r="L26">
        <v>5</v>
      </c>
      <c r="M26">
        <v>25</v>
      </c>
      <c r="N26">
        <f>INDEX('Customer data'!$N$11:$N$234,MATCH(Top30Customers!A26,'Customer data'!$L$11:$L$234))</f>
        <v>114120</v>
      </c>
      <c r="O26">
        <f>INDEX('Customer data'!$P$11:$P$234,MATCH(Top30Customers!A26,'Customer data'!$L$11:$L$234))</f>
        <v>114120</v>
      </c>
      <c r="P26">
        <f t="shared" si="0"/>
        <v>228240</v>
      </c>
      <c r="U26" t="s">
        <v>81</v>
      </c>
      <c r="V26">
        <v>94638.546000000002</v>
      </c>
      <c r="W26">
        <v>155361.454</v>
      </c>
      <c r="X26">
        <v>250000</v>
      </c>
    </row>
    <row r="27" spans="1:24">
      <c r="A27" t="s">
        <v>90</v>
      </c>
      <c r="B27" t="str">
        <v>BP Gas Marketing Limited</v>
      </c>
      <c r="C27" t="str">
        <v>Yes</v>
      </c>
      <c r="D27">
        <v>0</v>
      </c>
      <c r="E27">
        <v>45566</v>
      </c>
      <c r="F27" t="str">
        <v>Large</v>
      </c>
      <c r="G27">
        <v>250000</v>
      </c>
      <c r="H27">
        <v>5</v>
      </c>
      <c r="I27">
        <v>4</v>
      </c>
      <c r="J27">
        <v>5</v>
      </c>
      <c r="K27">
        <v>5</v>
      </c>
      <c r="L27">
        <v>5</v>
      </c>
      <c r="M27">
        <v>24</v>
      </c>
      <c r="N27">
        <f>INDEX('Customer data'!$N$11:$N$234,MATCH(Top30Customers!A27,'Customer data'!$L$11:$L$234))</f>
        <v>3750</v>
      </c>
      <c r="O27">
        <f>INDEX('Customer data'!$P$11:$P$234,MATCH(Top30Customers!A27,'Customer data'!$L$11:$L$234))</f>
        <v>46250</v>
      </c>
      <c r="P27">
        <f t="shared" si="0"/>
        <v>50000</v>
      </c>
      <c r="U27" t="s">
        <v>2347</v>
      </c>
      <c r="V27">
        <v>245000</v>
      </c>
      <c r="W27">
        <v>5000</v>
      </c>
      <c r="X27">
        <v>250000</v>
      </c>
    </row>
    <row r="28" spans="1:24">
      <c r="A28" t="s">
        <v>91</v>
      </c>
      <c r="B28" t="str">
        <v>Brook Green Supply Limited</v>
      </c>
      <c r="C28" t="str">
        <v>Yes</v>
      </c>
      <c r="D28">
        <v>0</v>
      </c>
      <c r="E28">
        <v>45566</v>
      </c>
      <c r="F28" t="str">
        <v>Small</v>
      </c>
      <c r="G28">
        <v>150000</v>
      </c>
      <c r="H28">
        <v>5</v>
      </c>
      <c r="I28">
        <v>5</v>
      </c>
      <c r="J28">
        <v>5</v>
      </c>
      <c r="K28">
        <v>5</v>
      </c>
      <c r="L28">
        <v>4</v>
      </c>
      <c r="M28">
        <v>24</v>
      </c>
      <c r="N28">
        <f>INDEX('Customer data'!$N$11:$N$234,MATCH(Top30Customers!A28,'Customer data'!$L$11:$L$234))</f>
        <v>78990</v>
      </c>
      <c r="O28">
        <f>INDEX('Customer data'!$P$11:$P$234,MATCH(Top30Customers!A28,'Customer data'!$L$11:$L$234))</f>
        <v>171010</v>
      </c>
      <c r="P28">
        <f t="shared" si="0"/>
        <v>250000</v>
      </c>
      <c r="U28" t="s">
        <v>83</v>
      </c>
      <c r="V28">
        <v>84250</v>
      </c>
      <c r="W28">
        <v>165750</v>
      </c>
      <c r="X28">
        <v>250000</v>
      </c>
    </row>
    <row r="29" spans="1:24">
      <c r="A29" t="s">
        <v>93</v>
      </c>
      <c r="B29" t="str">
        <v>Business Power and Gas Limited</v>
      </c>
      <c r="C29" t="str">
        <v>Yes</v>
      </c>
      <c r="D29">
        <v>0</v>
      </c>
      <c r="E29">
        <v>45566</v>
      </c>
      <c r="F29" t="str">
        <v>Small</v>
      </c>
      <c r="G29">
        <v>150000</v>
      </c>
      <c r="H29">
        <v>5</v>
      </c>
      <c r="I29">
        <v>5</v>
      </c>
      <c r="J29">
        <v>5</v>
      </c>
      <c r="K29">
        <v>5</v>
      </c>
      <c r="L29">
        <v>4</v>
      </c>
      <c r="M29">
        <v>24</v>
      </c>
      <c r="N29">
        <f>INDEX('Customer data'!$N$11:$N$234,MATCH(Top30Customers!A29,'Customer data'!$L$11:$L$234))</f>
        <v>70350</v>
      </c>
      <c r="O29">
        <f>INDEX('Customer data'!$P$11:$P$234,MATCH(Top30Customers!A29,'Customer data'!$L$11:$L$234))</f>
        <v>179650</v>
      </c>
      <c r="P29">
        <f t="shared" si="0"/>
        <v>250000</v>
      </c>
      <c r="U29" t="s">
        <v>1932</v>
      </c>
      <c r="V29">
        <v>123491.19999999998</v>
      </c>
      <c r="W29">
        <v>16908.800000000017</v>
      </c>
      <c r="X29">
        <v>140400</v>
      </c>
    </row>
    <row r="30" spans="1:24">
      <c r="A30" t="s">
        <v>94</v>
      </c>
      <c r="B30" t="str">
        <v>Co-operative Energy Limited</v>
      </c>
      <c r="C30" t="str">
        <v>Yes</v>
      </c>
      <c r="D30">
        <v>0</v>
      </c>
      <c r="E30">
        <v>45566</v>
      </c>
      <c r="F30" t="str">
        <v>Small</v>
      </c>
      <c r="G30">
        <v>150000</v>
      </c>
      <c r="H30">
        <v>5</v>
      </c>
      <c r="I30">
        <v>5</v>
      </c>
      <c r="J30">
        <v>5</v>
      </c>
      <c r="K30">
        <v>5</v>
      </c>
      <c r="L30">
        <v>4</v>
      </c>
      <c r="M30">
        <v>24</v>
      </c>
      <c r="N30">
        <f>INDEX('Customer data'!$N$11:$N$234,MATCH(Top30Customers!A30,'Customer data'!$L$11:$L$234))</f>
        <v>28500</v>
      </c>
      <c r="O30">
        <f>INDEX('Customer data'!$P$11:$P$234,MATCH(Top30Customers!A30,'Customer data'!$L$11:$L$234))</f>
        <v>221500</v>
      </c>
      <c r="P30">
        <f t="shared" si="0"/>
        <v>250000</v>
      </c>
      <c r="U30" t="s">
        <v>87</v>
      </c>
      <c r="V30">
        <v>96995</v>
      </c>
      <c r="W30">
        <v>153005</v>
      </c>
      <c r="X30">
        <v>250000</v>
      </c>
    </row>
    <row r="31" spans="1:24">
      <c r="A31" t="s">
        <v>95</v>
      </c>
      <c r="B31" t="str">
        <v>Crown Gas &amp; Power Ltd</v>
      </c>
      <c r="C31" t="str">
        <v>Yes</v>
      </c>
      <c r="D31">
        <v>0</v>
      </c>
      <c r="E31">
        <v>45566</v>
      </c>
      <c r="F31" t="str">
        <v>Small</v>
      </c>
      <c r="G31">
        <v>150000</v>
      </c>
      <c r="H31">
        <v>5</v>
      </c>
      <c r="I31">
        <v>5</v>
      </c>
      <c r="J31">
        <v>5</v>
      </c>
      <c r="K31">
        <v>5</v>
      </c>
      <c r="L31">
        <v>4</v>
      </c>
      <c r="M31">
        <v>24</v>
      </c>
      <c r="N31">
        <f>INDEX('Customer data'!$N$11:$N$234,MATCH(Top30Customers!A31,'Customer data'!$L$11:$L$234))</f>
        <v>50750</v>
      </c>
      <c r="O31">
        <f>INDEX('Customer data'!$P$11:$P$234,MATCH(Top30Customers!A31,'Customer data'!$L$11:$L$234))</f>
        <v>199250</v>
      </c>
      <c r="P31">
        <f t="shared" si="0"/>
        <v>250000</v>
      </c>
      <c r="U31" t="s">
        <v>88</v>
      </c>
      <c r="V31">
        <v>115865.01999999999</v>
      </c>
      <c r="W31">
        <v>134134.98000000001</v>
      </c>
      <c r="X31">
        <v>250000</v>
      </c>
    </row>
    <row r="32" spans="1:24">
      <c r="A32" t="s">
        <v>96</v>
      </c>
      <c r="B32" t="str">
        <v>E (Gas &amp; Electricity) Limited</v>
      </c>
      <c r="C32" t="str">
        <v>Yes</v>
      </c>
      <c r="D32">
        <v>0</v>
      </c>
      <c r="E32">
        <v>45566</v>
      </c>
      <c r="F32" t="str">
        <v>Small</v>
      </c>
      <c r="G32">
        <v>150000</v>
      </c>
      <c r="H32">
        <v>5</v>
      </c>
      <c r="I32">
        <v>5</v>
      </c>
      <c r="J32">
        <v>5</v>
      </c>
      <c r="K32">
        <v>5</v>
      </c>
      <c r="L32">
        <v>4</v>
      </c>
      <c r="M32">
        <v>24</v>
      </c>
      <c r="N32">
        <f>INDEX('Customer data'!$N$11:$N$234,MATCH(Top30Customers!A32,'Customer data'!$L$11:$L$234))</f>
        <v>6114.88</v>
      </c>
      <c r="O32">
        <f>INDEX('Customer data'!$P$11:$P$234,MATCH(Top30Customers!A32,'Customer data'!$L$11:$L$234))</f>
        <v>243885.12</v>
      </c>
      <c r="P32">
        <f t="shared" si="0"/>
        <v>250000</v>
      </c>
      <c r="U32" t="s">
        <v>89</v>
      </c>
      <c r="V32">
        <v>114120</v>
      </c>
      <c r="W32">
        <v>135880</v>
      </c>
      <c r="X32">
        <v>250000</v>
      </c>
    </row>
    <row r="33" spans="1:24">
      <c r="A33" t="s">
        <v>97</v>
      </c>
      <c r="B33" t="str">
        <v>Ecotricity Group Ltd</v>
      </c>
      <c r="C33" t="str">
        <v>Yes</v>
      </c>
      <c r="D33">
        <v>0</v>
      </c>
      <c r="E33">
        <v>45566</v>
      </c>
      <c r="F33" t="str">
        <v>Small</v>
      </c>
      <c r="G33">
        <v>150000</v>
      </c>
      <c r="H33">
        <v>5</v>
      </c>
      <c r="I33">
        <v>5</v>
      </c>
      <c r="J33">
        <v>5</v>
      </c>
      <c r="K33">
        <v>5</v>
      </c>
      <c r="L33">
        <v>4</v>
      </c>
      <c r="M33">
        <v>24</v>
      </c>
      <c r="N33">
        <f>INDEX('Customer data'!$N$11:$N$234,MATCH(Top30Customers!A33,'Customer data'!$L$11:$L$234))</f>
        <v>72100</v>
      </c>
      <c r="O33">
        <f>INDEX('Customer data'!$P$11:$P$234,MATCH(Top30Customers!A33,'Customer data'!$L$11:$L$234))</f>
        <v>177900</v>
      </c>
      <c r="P33">
        <f t="shared" si="0"/>
        <v>250000</v>
      </c>
    </row>
    <row r="34" spans="1:24">
      <c r="A34" t="s">
        <v>98</v>
      </c>
      <c r="B34" t="str">
        <v>EDF Trading Ltd</v>
      </c>
      <c r="C34" t="str">
        <v>Yes</v>
      </c>
      <c r="D34">
        <v>0</v>
      </c>
      <c r="E34">
        <v>45566</v>
      </c>
      <c r="F34" t="str">
        <v>Large</v>
      </c>
      <c r="G34">
        <v>250000</v>
      </c>
      <c r="H34">
        <v>5</v>
      </c>
      <c r="I34">
        <v>5</v>
      </c>
      <c r="J34">
        <v>5</v>
      </c>
      <c r="K34">
        <v>4</v>
      </c>
      <c r="L34">
        <v>5</v>
      </c>
      <c r="M34">
        <v>24</v>
      </c>
      <c r="N34">
        <f>INDEX('Customer data'!$N$11:$N$234,MATCH(Top30Customers!A34,'Customer data'!$L$11:$L$234))</f>
        <v>165625</v>
      </c>
      <c r="O34">
        <f>INDEX('Customer data'!$P$11:$P$234,MATCH(Top30Customers!A34,'Customer data'!$L$11:$L$234))</f>
        <v>84375</v>
      </c>
      <c r="P34">
        <f t="shared" si="0"/>
        <v>250000</v>
      </c>
    </row>
    <row r="35" spans="1:24">
      <c r="A35" t="s">
        <v>99</v>
      </c>
      <c r="B35" t="str">
        <v>ENGIE Global Energy Management (UK) Ltd</v>
      </c>
      <c r="C35" t="str">
        <v>Yes</v>
      </c>
      <c r="D35">
        <v>0</v>
      </c>
      <c r="E35">
        <v>45566</v>
      </c>
      <c r="F35" t="str">
        <v>Large</v>
      </c>
      <c r="G35">
        <v>250000</v>
      </c>
      <c r="H35">
        <v>5</v>
      </c>
      <c r="I35">
        <v>5</v>
      </c>
      <c r="J35">
        <v>5</v>
      </c>
      <c r="K35">
        <v>4</v>
      </c>
      <c r="L35">
        <v>5</v>
      </c>
      <c r="M35">
        <v>24</v>
      </c>
      <c r="N35">
        <f>INDEX('Customer data'!$N$11:$N$234,MATCH(Top30Customers!A35,'Customer data'!$L$11:$L$234))</f>
        <v>24520</v>
      </c>
      <c r="O35">
        <f>INDEX('Customer data'!$P$11:$P$234,MATCH(Top30Customers!A35,'Customer data'!$L$11:$L$234))</f>
        <v>225480</v>
      </c>
      <c r="P35">
        <f t="shared" si="0"/>
        <v>250000</v>
      </c>
    </row>
    <row r="36" spans="1:24">
      <c r="A36" t="s">
        <v>100</v>
      </c>
      <c r="B36" t="str">
        <v>EPG Energy Limited</v>
      </c>
      <c r="C36" t="str">
        <v>Yes</v>
      </c>
      <c r="D36" t="str">
        <v>Yes</v>
      </c>
      <c r="E36">
        <v>45566</v>
      </c>
      <c r="F36" t="str">
        <v>Small</v>
      </c>
      <c r="G36">
        <v>150000</v>
      </c>
      <c r="H36">
        <v>5</v>
      </c>
      <c r="I36">
        <v>5</v>
      </c>
      <c r="J36">
        <v>5</v>
      </c>
      <c r="K36">
        <v>5</v>
      </c>
      <c r="L36">
        <v>4</v>
      </c>
      <c r="M36">
        <v>24</v>
      </c>
      <c r="N36">
        <f>INDEX('Customer data'!$N$11:$N$234,MATCH(Top30Customers!A36,'Customer data'!$L$11:$L$234))</f>
        <v>35145</v>
      </c>
      <c r="O36">
        <f>INDEX('Customer data'!$P$11:$P$234,MATCH(Top30Customers!A36,'Customer data'!$L$11:$L$234))</f>
        <v>214855</v>
      </c>
      <c r="P36">
        <f t="shared" si="0"/>
        <v>250000</v>
      </c>
      <c r="U36" t="s">
        <v>101</v>
      </c>
      <c r="V36">
        <v>14050</v>
      </c>
      <c r="W36">
        <v>50300</v>
      </c>
      <c r="X36">
        <v>64350</v>
      </c>
    </row>
    <row r="37" spans="1:24">
      <c r="A37" t="s">
        <v>101</v>
      </c>
      <c r="B37" t="str">
        <v>Equinor ASA</v>
      </c>
      <c r="C37" t="str">
        <v>Yes</v>
      </c>
      <c r="D37" t="str">
        <v>Yes</v>
      </c>
      <c r="E37">
        <v>45566</v>
      </c>
      <c r="F37" t="str">
        <v>Large</v>
      </c>
      <c r="G37">
        <v>250000</v>
      </c>
      <c r="H37">
        <v>5</v>
      </c>
      <c r="I37">
        <v>5</v>
      </c>
      <c r="J37">
        <v>5</v>
      </c>
      <c r="K37">
        <v>4</v>
      </c>
      <c r="L37">
        <v>5</v>
      </c>
      <c r="M37">
        <v>24</v>
      </c>
      <c r="N37">
        <f>INDEX('Customer data'!$N$11:$N$234,MATCH(Top30Customers!A37,'Customer data'!$L$11:$L$234))</f>
        <v>14050</v>
      </c>
      <c r="O37">
        <f>INDEX('Customer data'!$P$11:$P$234,MATCH(Top30Customers!A37,'Customer data'!$L$11:$L$234))</f>
        <v>235950</v>
      </c>
      <c r="P37">
        <f t="shared" si="0"/>
        <v>250000</v>
      </c>
      <c r="U37" t="s">
        <v>69</v>
      </c>
      <c r="V37">
        <v>6114.88</v>
      </c>
      <c r="W37">
        <v>43885.120000000003</v>
      </c>
      <c r="X37">
        <v>50000</v>
      </c>
    </row>
    <row r="38" spans="1:24">
      <c r="A38" t="s">
        <v>103</v>
      </c>
      <c r="B38" t="str">
        <v>Equinor UK Limited</v>
      </c>
      <c r="C38" t="str">
        <v>Yes</v>
      </c>
      <c r="D38" t="str">
        <v>Yes</v>
      </c>
      <c r="E38">
        <v>45566</v>
      </c>
      <c r="F38" t="str">
        <v>Large</v>
      </c>
      <c r="G38">
        <v>250000</v>
      </c>
      <c r="H38">
        <v>5</v>
      </c>
      <c r="I38">
        <v>5</v>
      </c>
      <c r="J38">
        <v>5</v>
      </c>
      <c r="K38">
        <v>4</v>
      </c>
      <c r="L38">
        <v>5</v>
      </c>
      <c r="M38">
        <v>24</v>
      </c>
      <c r="N38">
        <f>INDEX('Customer data'!$N$11:$N$234,MATCH(Top30Customers!A38,'Customer data'!$L$11:$L$234))</f>
        <v>53700</v>
      </c>
      <c r="O38">
        <f>INDEX('Customer data'!$P$11:$P$234,MATCH(Top30Customers!A38,'Customer data'!$L$11:$L$234))</f>
        <v>196300</v>
      </c>
      <c r="P38">
        <f t="shared" si="0"/>
        <v>250000</v>
      </c>
      <c r="U38" t="s">
        <v>77</v>
      </c>
      <c r="V38">
        <v>4187.5</v>
      </c>
      <c r="W38">
        <v>45812.5</v>
      </c>
      <c r="X38">
        <v>50000</v>
      </c>
    </row>
    <row r="39" spans="1:24">
      <c r="A39" t="s">
        <v>104</v>
      </c>
      <c r="B39" t="str">
        <v>F&amp;S Energy</v>
      </c>
      <c r="C39" t="str">
        <v>Yes</v>
      </c>
      <c r="D39">
        <v>0</v>
      </c>
      <c r="E39">
        <v>45566</v>
      </c>
      <c r="F39" t="str">
        <v>Small</v>
      </c>
      <c r="G39">
        <v>150000</v>
      </c>
      <c r="H39">
        <v>5</v>
      </c>
      <c r="I39">
        <v>5</v>
      </c>
      <c r="J39">
        <v>5</v>
      </c>
      <c r="K39">
        <v>5</v>
      </c>
      <c r="L39">
        <v>4</v>
      </c>
      <c r="M39">
        <v>24</v>
      </c>
      <c r="N39">
        <f>INDEX('Customer data'!$N$11:$N$234,MATCH(Top30Customers!A39,'Customer data'!$L$11:$L$234))</f>
        <v>21000</v>
      </c>
      <c r="O39">
        <f>INDEX('Customer data'!$P$11:$P$234,MATCH(Top30Customers!A39,'Customer data'!$L$11:$L$234))</f>
        <v>229000</v>
      </c>
      <c r="P39">
        <f t="shared" si="0"/>
        <v>250000</v>
      </c>
      <c r="U39" t="s">
        <v>94</v>
      </c>
      <c r="V39">
        <v>28500</v>
      </c>
      <c r="W39">
        <v>21500</v>
      </c>
      <c r="X39">
        <v>50000</v>
      </c>
    </row>
    <row r="40" spans="1:24">
      <c r="A40" t="s">
        <v>105</v>
      </c>
      <c r="B40" t="str">
        <v>Good Energy Limited</v>
      </c>
      <c r="C40" t="str">
        <v>Yes</v>
      </c>
      <c r="D40">
        <v>0</v>
      </c>
      <c r="E40">
        <v>45566</v>
      </c>
      <c r="F40" t="str">
        <v>Small</v>
      </c>
      <c r="G40">
        <v>150000</v>
      </c>
      <c r="H40">
        <v>5</v>
      </c>
      <c r="I40">
        <v>5</v>
      </c>
      <c r="J40">
        <v>5</v>
      </c>
      <c r="K40">
        <v>5</v>
      </c>
      <c r="L40">
        <v>4</v>
      </c>
      <c r="M40">
        <v>24</v>
      </c>
      <c r="N40">
        <f>INDEX('Customer data'!$N$11:$N$234,MATCH(Top30Customers!A40,'Customer data'!$L$11:$L$234))</f>
        <v>21500</v>
      </c>
      <c r="O40">
        <f>INDEX('Customer data'!$P$11:$P$234,MATCH(Top30Customers!A40,'Customer data'!$L$11:$L$234))</f>
        <v>228500</v>
      </c>
      <c r="P40">
        <f t="shared" si="0"/>
        <v>250000</v>
      </c>
      <c r="U40" t="s">
        <v>96</v>
      </c>
      <c r="V40">
        <v>6114.88</v>
      </c>
      <c r="W40">
        <v>43885.120000000003</v>
      </c>
      <c r="X40">
        <v>50000</v>
      </c>
    </row>
    <row r="41" spans="1:24">
      <c r="A41" t="s">
        <v>106</v>
      </c>
      <c r="B41" t="str">
        <v>Opus Energy Renewables Limited</v>
      </c>
      <c r="C41" t="str">
        <v>Yes</v>
      </c>
      <c r="D41">
        <v>0</v>
      </c>
      <c r="E41">
        <v>45566</v>
      </c>
      <c r="F41" t="str">
        <v>Large</v>
      </c>
      <c r="G41">
        <v>150000</v>
      </c>
      <c r="H41">
        <v>5</v>
      </c>
      <c r="I41">
        <v>5</v>
      </c>
      <c r="J41">
        <v>5</v>
      </c>
      <c r="K41">
        <v>5</v>
      </c>
      <c r="L41">
        <v>4</v>
      </c>
      <c r="M41">
        <v>24</v>
      </c>
      <c r="N41">
        <f>INDEX('Customer data'!$N$11:$N$234,MATCH(Top30Customers!A41,'Customer data'!$L$11:$L$234))</f>
        <v>4187.5</v>
      </c>
      <c r="O41">
        <f>INDEX('Customer data'!$P$11:$P$234,MATCH(Top30Customers!A41,'Customer data'!$L$11:$L$234))</f>
        <v>5812.5</v>
      </c>
      <c r="P41">
        <f t="shared" si="0"/>
        <v>10000</v>
      </c>
      <c r="U41" t="s">
        <v>106</v>
      </c>
      <c r="V41">
        <v>4187.5</v>
      </c>
      <c r="W41">
        <v>45812.5</v>
      </c>
      <c r="X41">
        <v>50000</v>
      </c>
    </row>
    <row r="42" spans="1:24">
      <c r="A42" t="s">
        <v>107</v>
      </c>
      <c r="B42" t="str">
        <v>Pozitive Energy Limited</v>
      </c>
      <c r="C42" t="str">
        <v>Yes</v>
      </c>
      <c r="D42">
        <v>0</v>
      </c>
      <c r="E42">
        <v>45566</v>
      </c>
      <c r="F42" t="str">
        <v>Small</v>
      </c>
      <c r="G42">
        <v>150000</v>
      </c>
      <c r="H42">
        <v>5</v>
      </c>
      <c r="I42">
        <v>5</v>
      </c>
      <c r="J42">
        <v>5</v>
      </c>
      <c r="K42">
        <v>5</v>
      </c>
      <c r="L42">
        <v>4</v>
      </c>
      <c r="M42">
        <v>24</v>
      </c>
      <c r="N42">
        <f>INDEX('Customer data'!$N$11:$N$234,MATCH(Top30Customers!A42,'Customer data'!$L$11:$L$234))</f>
        <v>5000</v>
      </c>
      <c r="O42">
        <f>INDEX('Customer data'!$P$11:$P$234,MATCH(Top30Customers!A42,'Customer data'!$L$11:$L$234))</f>
        <v>45000</v>
      </c>
      <c r="P42">
        <f t="shared" si="0"/>
        <v>50000</v>
      </c>
      <c r="U42" t="s">
        <v>107</v>
      </c>
      <c r="V42">
        <v>5000</v>
      </c>
      <c r="W42">
        <v>45000</v>
      </c>
      <c r="X42">
        <v>50000</v>
      </c>
    </row>
    <row r="43" spans="1:24">
      <c r="U43" t="s">
        <v>86</v>
      </c>
      <c r="V43">
        <v>7500</v>
      </c>
      <c r="W43">
        <v>3300</v>
      </c>
      <c r="X43">
        <v>10800</v>
      </c>
    </row>
    <row r="44" spans="1:24">
      <c r="U44" t="s">
        <v>90</v>
      </c>
      <c r="V44">
        <v>3750</v>
      </c>
      <c r="W44">
        <v>7050</v>
      </c>
      <c r="X44">
        <v>10800</v>
      </c>
    </row>
    <row r="45" spans="1:24">
      <c r="U45" t="s">
        <v>64</v>
      </c>
      <c r="V45">
        <v>7200.96</v>
      </c>
      <c r="W45">
        <v>2799.04</v>
      </c>
      <c r="X45">
        <v>10000</v>
      </c>
    </row>
  </sheetData>
  <sortState xmlns:xlrd2="http://schemas.microsoft.com/office/spreadsheetml/2017/richdata2" ref="U3:X32">
    <sortCondition ref="U3:U32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D2FD-E055-4F74-91AF-D5868B533690}">
  <dimension ref="A1:V44"/>
  <sheetViews>
    <sheetView workbookViewId="0"/>
  </sheetViews>
  <sheetFormatPr defaultColWidth="8.7109375" defaultRowHeight="14.25"/>
  <cols>
    <col min="1" max="1" width="24.7109375" style="1" customWidth="1"/>
    <col min="2" max="2" width="9.7109375" style="1" customWidth="1"/>
    <col min="3" max="3" width="20.7109375" style="1" bestFit="1" customWidth="1"/>
    <col min="4" max="4" width="12.7109375" style="1" bestFit="1" customWidth="1"/>
    <col min="5" max="5" width="15.7109375" style="1" customWidth="1"/>
    <col min="6" max="6" width="10.7109375" style="1" customWidth="1"/>
    <col min="7" max="9" width="13" style="1" customWidth="1"/>
    <col min="10" max="12" width="8.7109375" style="1"/>
    <col min="13" max="13" width="16.7109375" style="1" bestFit="1" customWidth="1"/>
    <col min="14" max="14" width="16.42578125" style="1" customWidth="1"/>
    <col min="15" max="15" width="15.7109375" style="1" customWidth="1"/>
    <col min="16" max="16" width="16.7109375" style="1" bestFit="1" customWidth="1"/>
    <col min="17" max="17" width="17.7109375" style="1" customWidth="1"/>
    <col min="18" max="18" width="29.140625" style="1" bestFit="1" customWidth="1"/>
    <col min="19" max="19" width="15.140625" style="1" bestFit="1" customWidth="1"/>
    <col min="20" max="20" width="15.7109375" style="1" customWidth="1"/>
    <col min="21" max="21" width="15.42578125" style="1" customWidth="1"/>
    <col min="22" max="22" width="14.7109375" style="1" customWidth="1"/>
    <col min="23" max="16384" width="8.7109375" style="1"/>
  </cols>
  <sheetData>
    <row r="1" spans="1:22">
      <c r="A1" s="9"/>
      <c r="B1" s="10" t="s">
        <v>2348</v>
      </c>
      <c r="C1" s="10" t="s">
        <v>2349</v>
      </c>
      <c r="D1" s="10" t="s">
        <v>2350</v>
      </c>
      <c r="E1" s="9" t="s">
        <v>1664</v>
      </c>
      <c r="F1" s="10" t="s">
        <v>59</v>
      </c>
      <c r="G1" s="9" t="s">
        <v>102</v>
      </c>
      <c r="H1" s="22" t="s">
        <v>1640</v>
      </c>
      <c r="I1" s="22" t="s">
        <v>1641</v>
      </c>
      <c r="J1" s="1" t="s">
        <v>2351</v>
      </c>
      <c r="M1" s="10" t="s">
        <v>59</v>
      </c>
      <c r="N1" s="9" t="s">
        <v>102</v>
      </c>
      <c r="O1" s="22" t="s">
        <v>1640</v>
      </c>
      <c r="P1" s="22" t="s">
        <v>1641</v>
      </c>
    </row>
    <row r="2" spans="1:22">
      <c r="A2" s="11" t="s">
        <v>2352</v>
      </c>
      <c r="B2" s="12" t="s">
        <v>2353</v>
      </c>
      <c r="C2" s="17">
        <f>SUM(Table3[Column1])</f>
        <v>0</v>
      </c>
      <c r="D2" s="15">
        <v>9000</v>
      </c>
      <c r="E2" s="15">
        <f>C2*D2</f>
        <v>0</v>
      </c>
      <c r="F2" s="24">
        <v>0.33300000000000002</v>
      </c>
      <c r="G2" s="25">
        <v>0.33300000000000002</v>
      </c>
      <c r="H2" s="26">
        <v>0.33300000000000002</v>
      </c>
      <c r="I2" s="27">
        <v>0</v>
      </c>
      <c r="J2" s="36">
        <f>SUM(F2:I2)</f>
        <v>0.99900000000000011</v>
      </c>
      <c r="M2" s="42">
        <f>$E2*F2</f>
        <v>0</v>
      </c>
      <c r="N2" s="42">
        <f t="shared" ref="N2:P2" si="0">$E2*G2</f>
        <v>0</v>
      </c>
      <c r="O2" s="42">
        <f t="shared" si="0"/>
        <v>0</v>
      </c>
      <c r="P2" s="42">
        <f t="shared" si="0"/>
        <v>0</v>
      </c>
      <c r="Q2" s="21"/>
    </row>
    <row r="3" spans="1:22" ht="42.75">
      <c r="A3" s="13" t="s">
        <v>1804</v>
      </c>
      <c r="B3" s="14" t="s">
        <v>2353</v>
      </c>
      <c r="C3" s="18">
        <f>SUM(Table3[Industry Essentials])</f>
        <v>1179</v>
      </c>
      <c r="D3" s="16">
        <v>30000</v>
      </c>
      <c r="E3" s="16">
        <f t="shared" ref="E3:E43" si="1">C3*D3</f>
        <v>35370000</v>
      </c>
      <c r="F3" s="28">
        <v>0.3</v>
      </c>
      <c r="G3" s="29">
        <v>0.3</v>
      </c>
      <c r="H3" s="30">
        <v>0.3</v>
      </c>
      <c r="I3" s="31">
        <v>0.1</v>
      </c>
      <c r="J3" s="36">
        <f t="shared" ref="J3:J32" si="2">SUM(F3:I3)</f>
        <v>0.99999999999999989</v>
      </c>
      <c r="M3" s="37">
        <f t="shared" ref="M3:M32" si="3">$E3*F3</f>
        <v>10611000</v>
      </c>
      <c r="N3" s="37">
        <f t="shared" ref="N3:N32" si="4">$E3*G3</f>
        <v>10611000</v>
      </c>
      <c r="O3" s="37">
        <f t="shared" ref="O3:O32" si="5">$E3*H3</f>
        <v>10611000</v>
      </c>
      <c r="P3" s="37">
        <f t="shared" ref="P3:P32" si="6">$E3*I3</f>
        <v>3537000</v>
      </c>
      <c r="R3" s="39" t="s">
        <v>1639</v>
      </c>
      <c r="S3" s="39" t="s">
        <v>59</v>
      </c>
      <c r="T3" s="39" t="s">
        <v>102</v>
      </c>
      <c r="U3" s="39" t="s">
        <v>1640</v>
      </c>
      <c r="V3" s="39" t="s">
        <v>1641</v>
      </c>
    </row>
    <row r="4" spans="1:22">
      <c r="A4" s="11" t="s">
        <v>2354</v>
      </c>
      <c r="B4" s="12" t="s">
        <v>2353</v>
      </c>
      <c r="C4" s="17">
        <f>SUM(Table3[Energy Supply Market Intelligence])</f>
        <v>244</v>
      </c>
      <c r="D4" s="15">
        <v>9500</v>
      </c>
      <c r="E4" s="15">
        <f t="shared" si="1"/>
        <v>2318000</v>
      </c>
      <c r="F4" s="24">
        <v>1</v>
      </c>
      <c r="G4" s="32">
        <v>0</v>
      </c>
      <c r="H4" s="27">
        <v>0</v>
      </c>
      <c r="I4" s="27">
        <v>0</v>
      </c>
      <c r="J4" s="36">
        <f t="shared" si="2"/>
        <v>1</v>
      </c>
      <c r="M4" s="42">
        <f t="shared" si="3"/>
        <v>2318000</v>
      </c>
      <c r="N4" s="42">
        <f t="shared" si="4"/>
        <v>0</v>
      </c>
      <c r="O4" s="42">
        <f t="shared" si="5"/>
        <v>0</v>
      </c>
      <c r="P4" s="42">
        <f t="shared" si="6"/>
        <v>0</v>
      </c>
      <c r="R4" s="41" t="s">
        <v>2355</v>
      </c>
      <c r="S4" s="41">
        <f>Categories!D3</f>
        <v>114</v>
      </c>
      <c r="T4" s="41">
        <f>Categories!D4</f>
        <v>383</v>
      </c>
      <c r="U4" s="41">
        <f>Categories!D5</f>
        <v>229</v>
      </c>
      <c r="V4" s="41">
        <f>Categories!D2</f>
        <v>462</v>
      </c>
    </row>
    <row r="5" spans="1:22">
      <c r="A5" s="13" t="s">
        <v>2356</v>
      </c>
      <c r="B5" s="14" t="s">
        <v>2353</v>
      </c>
      <c r="C5" s="18">
        <f>SUM(Table3[Energy Supply RTM Analysis])</f>
        <v>272</v>
      </c>
      <c r="D5" s="16">
        <v>12450</v>
      </c>
      <c r="E5" s="16">
        <f t="shared" si="1"/>
        <v>3386400</v>
      </c>
      <c r="F5" s="33">
        <v>1</v>
      </c>
      <c r="G5" s="34">
        <v>0</v>
      </c>
      <c r="H5" s="31">
        <v>0</v>
      </c>
      <c r="I5" s="31">
        <v>0</v>
      </c>
      <c r="J5" s="36">
        <f t="shared" si="2"/>
        <v>1</v>
      </c>
      <c r="M5" s="37">
        <f t="shared" si="3"/>
        <v>3386400</v>
      </c>
      <c r="N5" s="37">
        <f t="shared" si="4"/>
        <v>0</v>
      </c>
      <c r="O5" s="37">
        <f t="shared" si="5"/>
        <v>0</v>
      </c>
      <c r="P5" s="37">
        <f t="shared" si="6"/>
        <v>0</v>
      </c>
      <c r="R5" s="38" t="s">
        <v>1651</v>
      </c>
      <c r="S5" s="40">
        <f>'New pivot'!AD2</f>
        <v>46050000</v>
      </c>
      <c r="T5" s="40">
        <f>'New pivot'!AD3</f>
        <v>58150000</v>
      </c>
      <c r="U5" s="40">
        <f>'New pivot'!AD4</f>
        <v>41100000</v>
      </c>
      <c r="V5" s="40">
        <f>'New pivot'!AD5</f>
        <v>27400000</v>
      </c>
    </row>
    <row r="6" spans="1:22">
      <c r="A6" s="11" t="s">
        <v>1923</v>
      </c>
      <c r="B6" s="12" t="s">
        <v>2353</v>
      </c>
      <c r="C6" s="17">
        <f>SUM(Table3[Energy Supply Forecasts])</f>
        <v>244</v>
      </c>
      <c r="D6" s="15">
        <v>8050</v>
      </c>
      <c r="E6" s="15">
        <f t="shared" si="1"/>
        <v>1964200</v>
      </c>
      <c r="F6" s="24">
        <v>1</v>
      </c>
      <c r="G6" s="32">
        <v>0</v>
      </c>
      <c r="H6" s="27">
        <v>0</v>
      </c>
      <c r="I6" s="27">
        <v>0</v>
      </c>
      <c r="J6" s="36">
        <f t="shared" si="2"/>
        <v>1</v>
      </c>
      <c r="M6" s="42">
        <f t="shared" si="3"/>
        <v>1964200</v>
      </c>
      <c r="N6" s="42">
        <f t="shared" si="4"/>
        <v>0</v>
      </c>
      <c r="O6" s="42">
        <f t="shared" si="5"/>
        <v>0</v>
      </c>
      <c r="P6" s="42">
        <f t="shared" si="6"/>
        <v>0</v>
      </c>
    </row>
    <row r="7" spans="1:22">
      <c r="A7" s="13" t="s">
        <v>1843</v>
      </c>
      <c r="B7" s="14" t="s">
        <v>2353</v>
      </c>
      <c r="C7" s="18">
        <f>SUM(Table3[Energy Supply Regulation])</f>
        <v>140</v>
      </c>
      <c r="D7" s="16">
        <v>11500</v>
      </c>
      <c r="E7" s="16">
        <f t="shared" si="1"/>
        <v>1610000</v>
      </c>
      <c r="F7" s="33">
        <v>0.75</v>
      </c>
      <c r="G7" s="34">
        <v>0</v>
      </c>
      <c r="H7" s="31">
        <v>0</v>
      </c>
      <c r="I7" s="31">
        <v>0.25</v>
      </c>
      <c r="J7" s="36">
        <f t="shared" si="2"/>
        <v>1</v>
      </c>
      <c r="M7" s="37">
        <f t="shared" si="3"/>
        <v>1207500</v>
      </c>
      <c r="N7" s="37">
        <f t="shared" si="4"/>
        <v>0</v>
      </c>
      <c r="O7" s="37">
        <f t="shared" si="5"/>
        <v>0</v>
      </c>
      <c r="P7" s="37">
        <f t="shared" si="6"/>
        <v>402500</v>
      </c>
    </row>
    <row r="8" spans="1:22">
      <c r="A8" s="11" t="s">
        <v>1823</v>
      </c>
      <c r="B8" s="12" t="s">
        <v>2353</v>
      </c>
      <c r="C8" s="17">
        <f>SUM(Table3[Renewables Market Intelligence])</f>
        <v>553</v>
      </c>
      <c r="D8" s="15">
        <v>12000</v>
      </c>
      <c r="E8" s="15">
        <f t="shared" si="1"/>
        <v>6636000</v>
      </c>
      <c r="F8" s="24">
        <v>1</v>
      </c>
      <c r="G8" s="32">
        <v>0</v>
      </c>
      <c r="H8" s="27">
        <v>0</v>
      </c>
      <c r="I8" s="27">
        <v>0</v>
      </c>
      <c r="J8" s="36">
        <f t="shared" si="2"/>
        <v>1</v>
      </c>
      <c r="M8" s="42">
        <f t="shared" si="3"/>
        <v>6636000</v>
      </c>
      <c r="N8" s="42">
        <f t="shared" si="4"/>
        <v>0</v>
      </c>
      <c r="O8" s="42">
        <f t="shared" si="5"/>
        <v>0</v>
      </c>
      <c r="P8" s="42">
        <f t="shared" si="6"/>
        <v>0</v>
      </c>
    </row>
    <row r="9" spans="1:22">
      <c r="A9" s="13" t="s">
        <v>1836</v>
      </c>
      <c r="B9" s="14" t="s">
        <v>2353</v>
      </c>
      <c r="C9" s="18">
        <f>SUM(Table3[Renewables RTM Analysis])</f>
        <v>429</v>
      </c>
      <c r="D9" s="16">
        <v>8850</v>
      </c>
      <c r="E9" s="16">
        <f t="shared" si="1"/>
        <v>3796650</v>
      </c>
      <c r="F9" s="33">
        <v>1</v>
      </c>
      <c r="G9" s="34">
        <v>0</v>
      </c>
      <c r="H9" s="31">
        <v>0</v>
      </c>
      <c r="I9" s="31">
        <v>0</v>
      </c>
      <c r="J9" s="36">
        <f t="shared" si="2"/>
        <v>1</v>
      </c>
      <c r="M9" s="37">
        <f t="shared" si="3"/>
        <v>3796650</v>
      </c>
      <c r="N9" s="37">
        <f t="shared" si="4"/>
        <v>0</v>
      </c>
      <c r="O9" s="37">
        <f t="shared" si="5"/>
        <v>0</v>
      </c>
      <c r="P9" s="37">
        <f t="shared" si="6"/>
        <v>0</v>
      </c>
    </row>
    <row r="10" spans="1:22">
      <c r="A10" s="11" t="s">
        <v>2357</v>
      </c>
      <c r="B10" s="12" t="s">
        <v>2353</v>
      </c>
      <c r="C10" s="17">
        <f>SUM(Table3[Renewables Forecasts])</f>
        <v>553</v>
      </c>
      <c r="D10" s="15">
        <v>18150</v>
      </c>
      <c r="E10" s="15">
        <f t="shared" si="1"/>
        <v>10036950</v>
      </c>
      <c r="F10" s="24">
        <v>1</v>
      </c>
      <c r="G10" s="32">
        <v>0</v>
      </c>
      <c r="H10" s="27">
        <v>0</v>
      </c>
      <c r="I10" s="27">
        <v>0</v>
      </c>
      <c r="J10" s="36">
        <f t="shared" si="2"/>
        <v>1</v>
      </c>
      <c r="M10" s="42">
        <f t="shared" si="3"/>
        <v>10036950</v>
      </c>
      <c r="N10" s="42">
        <f t="shared" si="4"/>
        <v>0</v>
      </c>
      <c r="O10" s="42">
        <f t="shared" si="5"/>
        <v>0</v>
      </c>
      <c r="P10" s="42">
        <f t="shared" si="6"/>
        <v>0</v>
      </c>
    </row>
    <row r="11" spans="1:22">
      <c r="A11" s="13" t="s">
        <v>1916</v>
      </c>
      <c r="B11" s="14" t="s">
        <v>2353</v>
      </c>
      <c r="C11" s="18">
        <f>SUM(Table3[Renewables Regulation])</f>
        <v>382</v>
      </c>
      <c r="D11" s="16">
        <v>7500</v>
      </c>
      <c r="E11" s="16">
        <f t="shared" si="1"/>
        <v>2865000</v>
      </c>
      <c r="F11" s="33">
        <v>0</v>
      </c>
      <c r="G11" s="34">
        <v>1</v>
      </c>
      <c r="H11" s="31">
        <v>0</v>
      </c>
      <c r="I11" s="31">
        <v>0</v>
      </c>
      <c r="J11" s="36">
        <f t="shared" si="2"/>
        <v>1</v>
      </c>
      <c r="M11" s="37">
        <f t="shared" si="3"/>
        <v>0</v>
      </c>
      <c r="N11" s="37">
        <f t="shared" si="4"/>
        <v>2865000</v>
      </c>
      <c r="O11" s="37">
        <f t="shared" si="5"/>
        <v>0</v>
      </c>
      <c r="P11" s="37">
        <f t="shared" si="6"/>
        <v>0</v>
      </c>
    </row>
    <row r="12" spans="1:22">
      <c r="A12" s="11" t="s">
        <v>1820</v>
      </c>
      <c r="B12" s="12" t="s">
        <v>2353</v>
      </c>
      <c r="C12" s="17">
        <f>SUM(Table3[Flexibility Market Intelligence])</f>
        <v>527</v>
      </c>
      <c r="D12" s="15">
        <v>11350</v>
      </c>
      <c r="E12" s="15">
        <f t="shared" si="1"/>
        <v>5981450</v>
      </c>
      <c r="F12" s="24">
        <v>0</v>
      </c>
      <c r="G12" s="32">
        <v>1</v>
      </c>
      <c r="H12" s="27">
        <v>0</v>
      </c>
      <c r="I12" s="27">
        <v>0</v>
      </c>
      <c r="J12" s="36">
        <f t="shared" si="2"/>
        <v>1</v>
      </c>
      <c r="M12" s="42">
        <f t="shared" si="3"/>
        <v>0</v>
      </c>
      <c r="N12" s="42">
        <f t="shared" si="4"/>
        <v>5981450</v>
      </c>
      <c r="O12" s="42">
        <f t="shared" si="5"/>
        <v>0</v>
      </c>
      <c r="P12" s="42">
        <f t="shared" si="6"/>
        <v>0</v>
      </c>
    </row>
    <row r="13" spans="1:22">
      <c r="A13" s="13" t="s">
        <v>1917</v>
      </c>
      <c r="B13" s="14" t="s">
        <v>2353</v>
      </c>
      <c r="C13" s="18">
        <f>SUM(Table3[Flexibility RTM Analysis])</f>
        <v>268</v>
      </c>
      <c r="D13" s="16">
        <v>9550</v>
      </c>
      <c r="E13" s="16">
        <f t="shared" si="1"/>
        <v>2559400</v>
      </c>
      <c r="F13" s="33">
        <v>0</v>
      </c>
      <c r="G13" s="34">
        <v>1</v>
      </c>
      <c r="H13" s="31">
        <v>0</v>
      </c>
      <c r="I13" s="31">
        <v>0</v>
      </c>
      <c r="J13" s="36">
        <f t="shared" si="2"/>
        <v>1</v>
      </c>
      <c r="M13" s="37">
        <f t="shared" si="3"/>
        <v>0</v>
      </c>
      <c r="N13" s="37">
        <f t="shared" si="4"/>
        <v>2559400</v>
      </c>
      <c r="O13" s="37">
        <f t="shared" si="5"/>
        <v>0</v>
      </c>
      <c r="P13" s="37">
        <f t="shared" si="6"/>
        <v>0</v>
      </c>
    </row>
    <row r="14" spans="1:22">
      <c r="A14" s="11" t="s">
        <v>1808</v>
      </c>
      <c r="B14" s="12" t="s">
        <v>2353</v>
      </c>
      <c r="C14" s="17">
        <f>SUM(Table3[Flexibility Forecasts])</f>
        <v>461</v>
      </c>
      <c r="D14" s="15">
        <v>8000</v>
      </c>
      <c r="E14" s="15">
        <f t="shared" si="1"/>
        <v>3688000</v>
      </c>
      <c r="F14" s="24">
        <v>0</v>
      </c>
      <c r="G14" s="32">
        <v>1</v>
      </c>
      <c r="H14" s="27">
        <v>0</v>
      </c>
      <c r="I14" s="27">
        <v>0</v>
      </c>
      <c r="J14" s="36">
        <f t="shared" si="2"/>
        <v>1</v>
      </c>
      <c r="M14" s="42">
        <f t="shared" si="3"/>
        <v>0</v>
      </c>
      <c r="N14" s="42">
        <f t="shared" si="4"/>
        <v>3688000</v>
      </c>
      <c r="O14" s="42">
        <f t="shared" si="5"/>
        <v>0</v>
      </c>
      <c r="P14" s="42">
        <f t="shared" si="6"/>
        <v>0</v>
      </c>
    </row>
    <row r="15" spans="1:22">
      <c r="A15" s="13" t="s">
        <v>1819</v>
      </c>
      <c r="B15" s="14" t="s">
        <v>2353</v>
      </c>
      <c r="C15" s="18">
        <f>SUM(Table3[Flexibility Regulation])</f>
        <v>228</v>
      </c>
      <c r="D15" s="16">
        <v>8850</v>
      </c>
      <c r="E15" s="16">
        <f t="shared" si="1"/>
        <v>2017800</v>
      </c>
      <c r="F15" s="33">
        <v>0</v>
      </c>
      <c r="G15" s="34">
        <v>1</v>
      </c>
      <c r="H15" s="31">
        <v>0</v>
      </c>
      <c r="I15" s="31">
        <v>0</v>
      </c>
      <c r="J15" s="36">
        <f t="shared" si="2"/>
        <v>1</v>
      </c>
      <c r="M15" s="37">
        <f t="shared" si="3"/>
        <v>0</v>
      </c>
      <c r="N15" s="37">
        <f t="shared" si="4"/>
        <v>2017800</v>
      </c>
      <c r="O15" s="37">
        <f t="shared" si="5"/>
        <v>0</v>
      </c>
      <c r="P15" s="37">
        <f t="shared" si="6"/>
        <v>0</v>
      </c>
    </row>
    <row r="16" spans="1:22">
      <c r="A16" s="11" t="s">
        <v>2358</v>
      </c>
      <c r="B16" s="12" t="s">
        <v>2353</v>
      </c>
      <c r="C16" s="17">
        <f>SUM(Table3[Business Energy Essentials])</f>
        <v>522</v>
      </c>
      <c r="D16" s="15">
        <v>7950</v>
      </c>
      <c r="E16" s="15">
        <f t="shared" si="1"/>
        <v>4149900</v>
      </c>
      <c r="F16" s="24">
        <v>0</v>
      </c>
      <c r="G16" s="32">
        <v>0</v>
      </c>
      <c r="H16" s="27">
        <v>1</v>
      </c>
      <c r="I16" s="27">
        <v>0</v>
      </c>
      <c r="J16" s="36">
        <f t="shared" si="2"/>
        <v>1</v>
      </c>
      <c r="M16" s="42">
        <f t="shared" si="3"/>
        <v>0</v>
      </c>
      <c r="N16" s="42">
        <f t="shared" si="4"/>
        <v>0</v>
      </c>
      <c r="O16" s="42">
        <f t="shared" si="5"/>
        <v>4149900</v>
      </c>
      <c r="P16" s="42">
        <f t="shared" si="6"/>
        <v>0</v>
      </c>
    </row>
    <row r="17" spans="1:16">
      <c r="A17" s="13" t="s">
        <v>2359</v>
      </c>
      <c r="B17" s="14" t="s">
        <v>2353</v>
      </c>
      <c r="C17" s="18">
        <f>SUM(Table3[Energy User RTM Analysis])</f>
        <v>587</v>
      </c>
      <c r="D17" s="16">
        <v>8950</v>
      </c>
      <c r="E17" s="16">
        <f t="shared" si="1"/>
        <v>5253650</v>
      </c>
      <c r="F17" s="28">
        <v>0.5</v>
      </c>
      <c r="G17" s="29">
        <v>0.5</v>
      </c>
      <c r="H17" s="31">
        <v>0</v>
      </c>
      <c r="I17" s="31">
        <v>0</v>
      </c>
      <c r="J17" s="36">
        <f t="shared" si="2"/>
        <v>1</v>
      </c>
      <c r="M17" s="37">
        <f t="shared" si="3"/>
        <v>2626825</v>
      </c>
      <c r="N17" s="37">
        <f t="shared" si="4"/>
        <v>2626825</v>
      </c>
      <c r="O17" s="37">
        <f t="shared" si="5"/>
        <v>0</v>
      </c>
      <c r="P17" s="37">
        <f t="shared" si="6"/>
        <v>0</v>
      </c>
    </row>
    <row r="18" spans="1:16">
      <c r="A18" s="11" t="s">
        <v>2360</v>
      </c>
      <c r="B18" s="12" t="s">
        <v>2353</v>
      </c>
      <c r="C18" s="17">
        <f>SUM(Table3[Energy User Forecasts])</f>
        <v>531</v>
      </c>
      <c r="D18" s="15">
        <v>8950</v>
      </c>
      <c r="E18" s="15">
        <f t="shared" si="1"/>
        <v>4752450</v>
      </c>
      <c r="F18" s="35">
        <v>0.5</v>
      </c>
      <c r="G18" s="32">
        <v>0.5</v>
      </c>
      <c r="H18" s="27">
        <v>0</v>
      </c>
      <c r="I18" s="27">
        <v>0</v>
      </c>
      <c r="J18" s="36">
        <f t="shared" si="2"/>
        <v>1</v>
      </c>
      <c r="M18" s="42">
        <f t="shared" si="3"/>
        <v>2376225</v>
      </c>
      <c r="N18" s="42">
        <f t="shared" si="4"/>
        <v>2376225</v>
      </c>
      <c r="O18" s="42">
        <f t="shared" si="5"/>
        <v>0</v>
      </c>
      <c r="P18" s="42">
        <f t="shared" si="6"/>
        <v>0</v>
      </c>
    </row>
    <row r="19" spans="1:16">
      <c r="A19" s="13" t="s">
        <v>1898</v>
      </c>
      <c r="B19" s="14" t="s">
        <v>2353</v>
      </c>
      <c r="C19" s="18" t="e">
        <f>SUM(#REF!)</f>
        <v>#REF!</v>
      </c>
      <c r="D19" s="16">
        <v>8650</v>
      </c>
      <c r="E19" s="16" t="e">
        <f t="shared" si="1"/>
        <v>#REF!</v>
      </c>
      <c r="F19" s="33">
        <v>0</v>
      </c>
      <c r="G19" s="34">
        <v>0</v>
      </c>
      <c r="H19" s="31">
        <v>1</v>
      </c>
      <c r="I19" s="31">
        <v>0</v>
      </c>
      <c r="J19" s="36">
        <f t="shared" si="2"/>
        <v>1</v>
      </c>
      <c r="M19" s="37" t="e">
        <f t="shared" si="3"/>
        <v>#REF!</v>
      </c>
      <c r="N19" s="37" t="e">
        <f t="shared" si="4"/>
        <v>#REF!</v>
      </c>
      <c r="O19" s="37" t="e">
        <f t="shared" si="5"/>
        <v>#REF!</v>
      </c>
      <c r="P19" s="37" t="e">
        <f t="shared" si="6"/>
        <v>#REF!</v>
      </c>
    </row>
    <row r="20" spans="1:16">
      <c r="A20" s="11" t="s">
        <v>1796</v>
      </c>
      <c r="B20" s="12" t="s">
        <v>2353</v>
      </c>
      <c r="C20" s="17" t="e">
        <f>SUM(#REF!)</f>
        <v>#REF!</v>
      </c>
      <c r="D20" s="15">
        <v>5000</v>
      </c>
      <c r="E20" s="15" t="e">
        <f t="shared" si="1"/>
        <v>#REF!</v>
      </c>
      <c r="F20" s="24">
        <v>0</v>
      </c>
      <c r="G20" s="32">
        <v>0</v>
      </c>
      <c r="H20" s="27">
        <v>1</v>
      </c>
      <c r="I20" s="27">
        <v>0</v>
      </c>
      <c r="J20" s="36">
        <f t="shared" si="2"/>
        <v>1</v>
      </c>
      <c r="M20" s="42" t="e">
        <f t="shared" si="3"/>
        <v>#REF!</v>
      </c>
      <c r="N20" s="42" t="e">
        <f t="shared" si="4"/>
        <v>#REF!</v>
      </c>
      <c r="O20" s="42" t="e">
        <f t="shared" si="5"/>
        <v>#REF!</v>
      </c>
      <c r="P20" s="42" t="e">
        <f t="shared" si="6"/>
        <v>#REF!</v>
      </c>
    </row>
    <row r="21" spans="1:16">
      <c r="A21" s="13" t="s">
        <v>1827</v>
      </c>
      <c r="B21" s="14" t="s">
        <v>2353</v>
      </c>
      <c r="C21" s="18" t="e">
        <f>SUM(#REF!)</f>
        <v>#REF!</v>
      </c>
      <c r="D21" s="16">
        <v>11350</v>
      </c>
      <c r="E21" s="16" t="e">
        <f t="shared" si="1"/>
        <v>#REF!</v>
      </c>
      <c r="F21" s="33">
        <v>0</v>
      </c>
      <c r="G21" s="34">
        <v>0</v>
      </c>
      <c r="H21" s="31">
        <v>1</v>
      </c>
      <c r="I21" s="31">
        <v>0</v>
      </c>
      <c r="J21" s="36">
        <f t="shared" si="2"/>
        <v>1</v>
      </c>
      <c r="M21" s="37" t="e">
        <f t="shared" si="3"/>
        <v>#REF!</v>
      </c>
      <c r="N21" s="37" t="e">
        <f t="shared" si="4"/>
        <v>#REF!</v>
      </c>
      <c r="O21" s="37" t="e">
        <f t="shared" si="5"/>
        <v>#REF!</v>
      </c>
      <c r="P21" s="37" t="e">
        <f t="shared" si="6"/>
        <v>#REF!</v>
      </c>
    </row>
    <row r="22" spans="1:16">
      <c r="A22" s="11" t="s">
        <v>2361</v>
      </c>
      <c r="B22" s="12" t="s">
        <v>2353</v>
      </c>
      <c r="C22" s="17" t="e">
        <f>SUM(#REF!)</f>
        <v>#REF!</v>
      </c>
      <c r="D22" s="15">
        <v>16000</v>
      </c>
      <c r="E22" s="15" t="e">
        <f t="shared" si="1"/>
        <v>#REF!</v>
      </c>
      <c r="F22" s="24">
        <v>0</v>
      </c>
      <c r="G22" s="32">
        <v>0</v>
      </c>
      <c r="H22" s="27">
        <v>1</v>
      </c>
      <c r="I22" s="27">
        <v>0</v>
      </c>
      <c r="J22" s="36">
        <f t="shared" si="2"/>
        <v>1</v>
      </c>
      <c r="M22" s="42" t="e">
        <f t="shared" si="3"/>
        <v>#REF!</v>
      </c>
      <c r="N22" s="42" t="e">
        <f t="shared" si="4"/>
        <v>#REF!</v>
      </c>
      <c r="O22" s="42" t="e">
        <f t="shared" si="5"/>
        <v>#REF!</v>
      </c>
      <c r="P22" s="42" t="e">
        <f t="shared" si="6"/>
        <v>#REF!</v>
      </c>
    </row>
    <row r="23" spans="1:16">
      <c r="A23" s="13" t="s">
        <v>33</v>
      </c>
      <c r="B23" s="14" t="s">
        <v>2353</v>
      </c>
      <c r="C23" s="18" t="e">
        <f>SUM(#REF!)</f>
        <v>#REF!</v>
      </c>
      <c r="D23" s="16">
        <v>9000</v>
      </c>
      <c r="E23" s="16" t="e">
        <f t="shared" si="1"/>
        <v>#REF!</v>
      </c>
      <c r="F23" s="33">
        <v>0</v>
      </c>
      <c r="G23" s="34">
        <v>0</v>
      </c>
      <c r="H23" s="31">
        <v>0</v>
      </c>
      <c r="I23" s="31">
        <v>1</v>
      </c>
      <c r="J23" s="36">
        <f t="shared" si="2"/>
        <v>1</v>
      </c>
      <c r="M23" s="37" t="e">
        <f t="shared" si="3"/>
        <v>#REF!</v>
      </c>
      <c r="N23" s="37" t="e">
        <f t="shared" si="4"/>
        <v>#REF!</v>
      </c>
      <c r="O23" s="37" t="e">
        <f t="shared" si="5"/>
        <v>#REF!</v>
      </c>
      <c r="P23" s="37" t="e">
        <f t="shared" si="6"/>
        <v>#REF!</v>
      </c>
    </row>
    <row r="24" spans="1:16">
      <c r="A24" s="11" t="s">
        <v>1817</v>
      </c>
      <c r="B24" s="12" t="s">
        <v>2353</v>
      </c>
      <c r="C24" s="17" t="e">
        <f>SUM(#REF!)</f>
        <v>#REF!</v>
      </c>
      <c r="D24" s="15">
        <v>20000</v>
      </c>
      <c r="E24" s="15" t="e">
        <f t="shared" si="1"/>
        <v>#REF!</v>
      </c>
      <c r="F24" s="24">
        <v>0</v>
      </c>
      <c r="G24" s="32">
        <v>0</v>
      </c>
      <c r="H24" s="27">
        <v>0</v>
      </c>
      <c r="I24" s="27">
        <v>1</v>
      </c>
      <c r="J24" s="36">
        <f t="shared" si="2"/>
        <v>1</v>
      </c>
      <c r="M24" s="42" t="e">
        <f t="shared" si="3"/>
        <v>#REF!</v>
      </c>
      <c r="N24" s="42" t="e">
        <f t="shared" si="4"/>
        <v>#REF!</v>
      </c>
      <c r="O24" s="42" t="e">
        <f t="shared" si="5"/>
        <v>#REF!</v>
      </c>
      <c r="P24" s="42" t="e">
        <f t="shared" si="6"/>
        <v>#REF!</v>
      </c>
    </row>
    <row r="25" spans="1:16">
      <c r="A25" s="13" t="s">
        <v>1816</v>
      </c>
      <c r="B25" s="14" t="s">
        <v>2353</v>
      </c>
      <c r="C25" s="18" t="e">
        <f>SUM(#REF!)</f>
        <v>#REF!</v>
      </c>
      <c r="D25" s="16">
        <v>13000</v>
      </c>
      <c r="E25" s="16" t="e">
        <f t="shared" si="1"/>
        <v>#REF!</v>
      </c>
      <c r="F25" s="33">
        <v>0.5</v>
      </c>
      <c r="G25" s="34">
        <v>0</v>
      </c>
      <c r="H25" s="31">
        <v>0</v>
      </c>
      <c r="I25" s="31">
        <v>0.5</v>
      </c>
      <c r="J25" s="36">
        <f t="shared" si="2"/>
        <v>1</v>
      </c>
      <c r="M25" s="37" t="e">
        <f t="shared" si="3"/>
        <v>#REF!</v>
      </c>
      <c r="N25" s="37" t="e">
        <f t="shared" si="4"/>
        <v>#REF!</v>
      </c>
      <c r="O25" s="37" t="e">
        <f t="shared" si="5"/>
        <v>#REF!</v>
      </c>
      <c r="P25" s="37" t="e">
        <f t="shared" si="6"/>
        <v>#REF!</v>
      </c>
    </row>
    <row r="26" spans="1:16">
      <c r="A26" s="11" t="s">
        <v>2362</v>
      </c>
      <c r="B26" s="12" t="s">
        <v>2353</v>
      </c>
      <c r="C26" s="17" t="e">
        <f>SUM(#REF!)</f>
        <v>#REF!</v>
      </c>
      <c r="D26" s="15">
        <v>17000</v>
      </c>
      <c r="E26" s="15" t="e">
        <f t="shared" si="1"/>
        <v>#REF!</v>
      </c>
      <c r="F26" s="24">
        <v>0.75</v>
      </c>
      <c r="G26" s="32">
        <v>0</v>
      </c>
      <c r="H26" s="27">
        <v>0</v>
      </c>
      <c r="I26" s="27">
        <v>0.25</v>
      </c>
      <c r="J26" s="36">
        <f t="shared" si="2"/>
        <v>1</v>
      </c>
      <c r="M26" s="42" t="e">
        <f t="shared" si="3"/>
        <v>#REF!</v>
      </c>
      <c r="N26" s="42" t="e">
        <f t="shared" si="4"/>
        <v>#REF!</v>
      </c>
      <c r="O26" s="42" t="e">
        <f t="shared" si="5"/>
        <v>#REF!</v>
      </c>
      <c r="P26" s="42" t="e">
        <f t="shared" si="6"/>
        <v>#REF!</v>
      </c>
    </row>
    <row r="27" spans="1:16">
      <c r="A27" s="13" t="s">
        <v>1894</v>
      </c>
      <c r="B27" s="14" t="s">
        <v>2353</v>
      </c>
      <c r="C27" s="18" t="e">
        <f>SUM(#REF!)</f>
        <v>#REF!</v>
      </c>
      <c r="D27" s="16">
        <v>7350</v>
      </c>
      <c r="E27" s="16" t="e">
        <f t="shared" si="1"/>
        <v>#REF!</v>
      </c>
      <c r="F27" s="33">
        <v>1</v>
      </c>
      <c r="G27" s="34">
        <v>0</v>
      </c>
      <c r="H27" s="31">
        <v>0</v>
      </c>
      <c r="I27" s="31">
        <v>0</v>
      </c>
      <c r="J27" s="36">
        <f t="shared" si="2"/>
        <v>1</v>
      </c>
      <c r="M27" s="37" t="e">
        <f t="shared" si="3"/>
        <v>#REF!</v>
      </c>
      <c r="N27" s="37" t="e">
        <f t="shared" si="4"/>
        <v>#REF!</v>
      </c>
      <c r="O27" s="37" t="e">
        <f t="shared" si="5"/>
        <v>#REF!</v>
      </c>
      <c r="P27" s="37" t="e">
        <f t="shared" si="6"/>
        <v>#REF!</v>
      </c>
    </row>
    <row r="28" spans="1:16">
      <c r="A28" s="11" t="s">
        <v>2363</v>
      </c>
      <c r="B28" s="12" t="s">
        <v>2353</v>
      </c>
      <c r="C28" s="17" t="e">
        <f>SUM(#REF!)</f>
        <v>#REF!</v>
      </c>
      <c r="D28" s="15">
        <v>7350</v>
      </c>
      <c r="E28" s="15" t="e">
        <f t="shared" si="1"/>
        <v>#REF!</v>
      </c>
      <c r="F28" s="24">
        <v>1</v>
      </c>
      <c r="G28" s="32">
        <v>0</v>
      </c>
      <c r="H28" s="27">
        <v>0</v>
      </c>
      <c r="I28" s="27">
        <v>0</v>
      </c>
      <c r="J28" s="36">
        <f t="shared" si="2"/>
        <v>1</v>
      </c>
      <c r="M28" s="42" t="e">
        <f t="shared" si="3"/>
        <v>#REF!</v>
      </c>
      <c r="N28" s="42" t="e">
        <f t="shared" si="4"/>
        <v>#REF!</v>
      </c>
      <c r="O28" s="42" t="e">
        <f t="shared" si="5"/>
        <v>#REF!</v>
      </c>
      <c r="P28" s="42" t="e">
        <f t="shared" si="6"/>
        <v>#REF!</v>
      </c>
    </row>
    <row r="29" spans="1:16">
      <c r="A29" s="13" t="s">
        <v>1825</v>
      </c>
      <c r="B29" s="14" t="s">
        <v>2353</v>
      </c>
      <c r="C29" s="18" t="e">
        <f>SUM(#REF!)</f>
        <v>#REF!</v>
      </c>
      <c r="D29" s="16">
        <v>15550</v>
      </c>
      <c r="E29" s="16" t="e">
        <f t="shared" si="1"/>
        <v>#REF!</v>
      </c>
      <c r="F29" s="33">
        <v>0</v>
      </c>
      <c r="G29" s="34">
        <v>0.5</v>
      </c>
      <c r="H29" s="31">
        <v>0.5</v>
      </c>
      <c r="I29" s="31">
        <v>0</v>
      </c>
      <c r="J29" s="36">
        <f t="shared" si="2"/>
        <v>1</v>
      </c>
      <c r="M29" s="37" t="e">
        <f t="shared" si="3"/>
        <v>#REF!</v>
      </c>
      <c r="N29" s="37" t="e">
        <f t="shared" si="4"/>
        <v>#REF!</v>
      </c>
      <c r="O29" s="37" t="e">
        <f t="shared" si="5"/>
        <v>#REF!</v>
      </c>
      <c r="P29" s="37" t="e">
        <f t="shared" si="6"/>
        <v>#REF!</v>
      </c>
    </row>
    <row r="30" spans="1:16">
      <c r="A30" s="11" t="s">
        <v>1815</v>
      </c>
      <c r="B30" s="12" t="s">
        <v>2353</v>
      </c>
      <c r="C30" s="17" t="e">
        <f>SUM(#REF!)</f>
        <v>#REF!</v>
      </c>
      <c r="D30" s="15">
        <v>11150</v>
      </c>
      <c r="E30" s="15" t="e">
        <f t="shared" si="1"/>
        <v>#REF!</v>
      </c>
      <c r="F30" s="24">
        <v>0</v>
      </c>
      <c r="G30" s="32">
        <v>0.5</v>
      </c>
      <c r="H30" s="27">
        <v>0.5</v>
      </c>
      <c r="I30" s="27">
        <v>0</v>
      </c>
      <c r="J30" s="36">
        <f t="shared" si="2"/>
        <v>1</v>
      </c>
      <c r="M30" s="42" t="e">
        <f t="shared" si="3"/>
        <v>#REF!</v>
      </c>
      <c r="N30" s="42" t="e">
        <f t="shared" si="4"/>
        <v>#REF!</v>
      </c>
      <c r="O30" s="42" t="e">
        <f t="shared" si="5"/>
        <v>#REF!</v>
      </c>
      <c r="P30" s="42" t="e">
        <f t="shared" si="6"/>
        <v>#REF!</v>
      </c>
    </row>
    <row r="31" spans="1:16">
      <c r="A31" s="13" t="s">
        <v>1845</v>
      </c>
      <c r="B31" s="14" t="s">
        <v>2353</v>
      </c>
      <c r="C31" s="18" t="e">
        <f>SUM(#REF!)</f>
        <v>#REF!</v>
      </c>
      <c r="D31" s="16">
        <v>9000</v>
      </c>
      <c r="E31" s="16" t="e">
        <f t="shared" si="1"/>
        <v>#REF!</v>
      </c>
      <c r="F31" s="33">
        <v>0.25</v>
      </c>
      <c r="G31" s="34">
        <v>0</v>
      </c>
      <c r="H31" s="31">
        <v>0.75</v>
      </c>
      <c r="I31" s="31">
        <v>0</v>
      </c>
      <c r="J31" s="36">
        <f t="shared" si="2"/>
        <v>1</v>
      </c>
      <c r="M31" s="37" t="e">
        <f t="shared" si="3"/>
        <v>#REF!</v>
      </c>
      <c r="N31" s="37" t="e">
        <f t="shared" si="4"/>
        <v>#REF!</v>
      </c>
      <c r="O31" s="37" t="e">
        <f t="shared" si="5"/>
        <v>#REF!</v>
      </c>
      <c r="P31" s="37" t="e">
        <f t="shared" si="6"/>
        <v>#REF!</v>
      </c>
    </row>
    <row r="32" spans="1:16">
      <c r="A32" s="11" t="s">
        <v>1880</v>
      </c>
      <c r="B32" s="12" t="s">
        <v>2353</v>
      </c>
      <c r="C32" s="17" t="e">
        <f>SUM(#REF!)</f>
        <v>#REF!</v>
      </c>
      <c r="D32" s="15">
        <v>19500</v>
      </c>
      <c r="E32" s="15" t="e">
        <f t="shared" si="1"/>
        <v>#REF!</v>
      </c>
      <c r="F32" s="24">
        <v>0.1</v>
      </c>
      <c r="G32" s="32">
        <v>0.7</v>
      </c>
      <c r="H32" s="27">
        <v>0.1</v>
      </c>
      <c r="I32" s="27">
        <v>0.1</v>
      </c>
      <c r="J32" s="36">
        <f t="shared" si="2"/>
        <v>0.99999999999999989</v>
      </c>
      <c r="M32" s="42" t="e">
        <f t="shared" si="3"/>
        <v>#REF!</v>
      </c>
      <c r="N32" s="42" t="e">
        <f t="shared" si="4"/>
        <v>#REF!</v>
      </c>
      <c r="O32" s="42" t="e">
        <f t="shared" si="5"/>
        <v>#REF!</v>
      </c>
      <c r="P32" s="42" t="e">
        <f t="shared" si="6"/>
        <v>#REF!</v>
      </c>
    </row>
    <row r="33" spans="1:16">
      <c r="A33" s="13"/>
      <c r="B33" s="14"/>
      <c r="C33" s="44"/>
      <c r="D33" s="16"/>
      <c r="E33" s="16"/>
      <c r="F33" s="33"/>
      <c r="G33" s="34"/>
      <c r="H33" s="31"/>
      <c r="I33" s="31"/>
      <c r="J33" s="36"/>
      <c r="M33" s="45"/>
      <c r="N33" s="45"/>
      <c r="O33" s="45"/>
      <c r="P33" s="45"/>
    </row>
    <row r="34" spans="1:16">
      <c r="A34" s="20" t="s">
        <v>2364</v>
      </c>
      <c r="B34" s="20" t="s">
        <v>2365</v>
      </c>
      <c r="C34" s="20">
        <f>SUM(Table3[Energy User Regulation])</f>
        <v>458</v>
      </c>
      <c r="D34" s="15">
        <v>750</v>
      </c>
      <c r="E34" s="15">
        <f t="shared" si="1"/>
        <v>343500</v>
      </c>
      <c r="F34" s="20"/>
      <c r="G34" s="20"/>
      <c r="H34" s="23"/>
      <c r="I34" s="23"/>
      <c r="M34" s="43" t="e">
        <f>SUM(M2:M32)</f>
        <v>#REF!</v>
      </c>
      <c r="N34" s="43" t="e">
        <f>SUM(N2:N32)</f>
        <v>#REF!</v>
      </c>
      <c r="O34" s="43" t="e">
        <f>SUM(O2:O32)</f>
        <v>#REF!</v>
      </c>
      <c r="P34" s="43" t="e">
        <f>SUM(P2:P32)</f>
        <v>#REF!</v>
      </c>
    </row>
    <row r="35" spans="1:16">
      <c r="A35" s="13" t="s">
        <v>2366</v>
      </c>
      <c r="B35" s="13" t="s">
        <v>2365</v>
      </c>
      <c r="C35" s="13">
        <f>SUM(Table3[Column2])</f>
        <v>10557000</v>
      </c>
      <c r="D35" s="16">
        <v>750</v>
      </c>
      <c r="E35" s="16">
        <f t="shared" si="1"/>
        <v>7917750000</v>
      </c>
      <c r="F35" s="13"/>
      <c r="G35" s="13"/>
      <c r="H35" s="2"/>
      <c r="I35" s="2"/>
    </row>
    <row r="36" spans="1:16">
      <c r="A36" s="20" t="s">
        <v>2367</v>
      </c>
      <c r="B36" s="20" t="s">
        <v>2365</v>
      </c>
      <c r="C36" s="20">
        <f>SUM(Table3[Column3])</f>
        <v>8260200</v>
      </c>
      <c r="D36" s="15">
        <v>750</v>
      </c>
      <c r="E36" s="15">
        <f t="shared" si="1"/>
        <v>6195150000</v>
      </c>
      <c r="F36" s="20"/>
      <c r="G36" s="20"/>
      <c r="H36" s="23"/>
      <c r="I36" s="23"/>
    </row>
    <row r="37" spans="1:16">
      <c r="A37" s="13" t="s">
        <v>2368</v>
      </c>
      <c r="B37" s="13" t="s">
        <v>2365</v>
      </c>
      <c r="C37" s="13">
        <f>SUM(Table3[Column4])</f>
        <v>16099200</v>
      </c>
      <c r="D37" s="16">
        <v>750</v>
      </c>
      <c r="E37" s="16">
        <f t="shared" si="1"/>
        <v>12074400000</v>
      </c>
      <c r="F37" s="13"/>
      <c r="G37" s="13"/>
      <c r="H37" s="2"/>
      <c r="I37" s="2"/>
    </row>
    <row r="38" spans="1:16">
      <c r="A38" s="20" t="s">
        <v>2369</v>
      </c>
      <c r="B38" s="20" t="s">
        <v>2365</v>
      </c>
      <c r="C38" s="20">
        <f>SUM(Table3[Column5])</f>
        <v>9252000</v>
      </c>
      <c r="D38" s="15">
        <v>750</v>
      </c>
      <c r="E38" s="15">
        <f t="shared" si="1"/>
        <v>6939000000</v>
      </c>
      <c r="F38" s="20"/>
      <c r="G38" s="20"/>
      <c r="H38" s="23"/>
      <c r="I38" s="23"/>
    </row>
    <row r="39" spans="1:16">
      <c r="A39" s="13" t="s">
        <v>2370</v>
      </c>
      <c r="B39" s="13" t="s">
        <v>2365</v>
      </c>
      <c r="C39" s="13">
        <f>SUM(Table3[Column6])</f>
        <v>6337800</v>
      </c>
      <c r="D39" s="16">
        <v>750</v>
      </c>
      <c r="E39" s="16">
        <f t="shared" si="1"/>
        <v>4753350000</v>
      </c>
      <c r="F39" s="13"/>
      <c r="G39" s="13"/>
      <c r="H39" s="2"/>
      <c r="I39" s="2"/>
    </row>
    <row r="40" spans="1:16">
      <c r="A40" s="20" t="s">
        <v>2371</v>
      </c>
      <c r="B40" s="20" t="s">
        <v>2365</v>
      </c>
      <c r="C40" s="20">
        <f>SUM(Table3[Column7])</f>
        <v>10659600</v>
      </c>
      <c r="D40" s="15">
        <v>750</v>
      </c>
      <c r="E40" s="15">
        <f t="shared" si="1"/>
        <v>7994700000</v>
      </c>
      <c r="F40" s="20"/>
      <c r="G40" s="20"/>
      <c r="H40" s="23"/>
      <c r="I40" s="23"/>
    </row>
    <row r="41" spans="1:16">
      <c r="A41" s="13" t="s">
        <v>2372</v>
      </c>
      <c r="B41" s="13" t="s">
        <v>2365</v>
      </c>
      <c r="C41" s="13">
        <f>SUM(Table3[Column8])</f>
        <v>7141500</v>
      </c>
      <c r="D41" s="16">
        <v>750</v>
      </c>
      <c r="E41" s="16">
        <f t="shared" si="1"/>
        <v>5356125000</v>
      </c>
      <c r="F41" s="13"/>
      <c r="G41" s="13"/>
      <c r="H41" s="2"/>
      <c r="I41" s="2"/>
    </row>
    <row r="42" spans="1:16">
      <c r="A42" s="20" t="s">
        <v>2373</v>
      </c>
      <c r="B42" s="20" t="s">
        <v>2365</v>
      </c>
      <c r="C42" s="20">
        <f>SUM(Table3[Column9])</f>
        <v>26658000</v>
      </c>
      <c r="D42" s="15">
        <v>300</v>
      </c>
      <c r="E42" s="15">
        <f t="shared" si="1"/>
        <v>7997400000</v>
      </c>
      <c r="F42" s="20"/>
      <c r="G42" s="20"/>
      <c r="H42" s="23"/>
      <c r="I42" s="23"/>
    </row>
    <row r="43" spans="1:16">
      <c r="A43" s="13" t="s">
        <v>2374</v>
      </c>
      <c r="B43" s="13" t="s">
        <v>2365</v>
      </c>
      <c r="C43" s="13">
        <f>C42</f>
        <v>26658000</v>
      </c>
      <c r="D43" s="16">
        <v>4000</v>
      </c>
      <c r="E43" s="16">
        <f t="shared" si="1"/>
        <v>106632000000</v>
      </c>
      <c r="F43" s="13"/>
      <c r="G43" s="13"/>
      <c r="H43" s="2"/>
      <c r="I43" s="2"/>
    </row>
    <row r="44" spans="1:16">
      <c r="A44" s="20" t="s">
        <v>2375</v>
      </c>
      <c r="B44" s="20" t="s">
        <v>2365</v>
      </c>
      <c r="C44" s="20">
        <f>C42</f>
        <v>26658000</v>
      </c>
      <c r="D44" s="15">
        <v>400</v>
      </c>
      <c r="E44" s="15">
        <f>C44*D44</f>
        <v>10663200000</v>
      </c>
      <c r="F44" s="20"/>
      <c r="G44" s="20"/>
      <c r="H44" s="23"/>
      <c r="I44" s="23"/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67E3-CBA6-4089-994E-D2C26B63ADFA}">
  <dimension ref="B1:F15"/>
  <sheetViews>
    <sheetView workbookViewId="0"/>
  </sheetViews>
  <sheetFormatPr defaultColWidth="8.7109375" defaultRowHeight="14.25"/>
  <cols>
    <col min="1" max="1" width="8.7109375" style="1"/>
    <col min="2" max="2" width="30.7109375" style="1" bestFit="1" customWidth="1"/>
    <col min="3" max="3" width="65.5703125" style="1" bestFit="1" customWidth="1"/>
    <col min="4" max="4" width="8.7109375" style="1"/>
    <col min="5" max="5" width="10.140625" style="1" bestFit="1" customWidth="1"/>
    <col min="6" max="16384" width="8.7109375" style="1"/>
  </cols>
  <sheetData>
    <row r="1" spans="2:6">
      <c r="B1" s="61" t="s">
        <v>2376</v>
      </c>
      <c r="C1" s="61" t="s">
        <v>2377</v>
      </c>
      <c r="D1" s="61" t="s">
        <v>1687</v>
      </c>
      <c r="E1" s="1" t="s">
        <v>58</v>
      </c>
      <c r="F1" s="1" t="s">
        <v>92</v>
      </c>
    </row>
    <row r="2" spans="2:6">
      <c r="B2" s="38" t="s">
        <v>135</v>
      </c>
      <c r="C2" s="38" t="s">
        <v>2378</v>
      </c>
      <c r="D2" s="38">
        <f>COUNTIF('Company lists'!$M$3:$R$1564,Categories!B2)</f>
        <v>462</v>
      </c>
      <c r="E2" s="1">
        <f>COUNTIFS(Table3[Primary theme/sector],Categories!$B2,Table3[Scale],Categories!$E$1)</f>
        <v>154</v>
      </c>
      <c r="F2" s="1">
        <f>D2-E2</f>
        <v>308</v>
      </c>
    </row>
    <row r="3" spans="2:6">
      <c r="B3" s="38" t="s">
        <v>60</v>
      </c>
      <c r="C3" s="38" t="s">
        <v>2379</v>
      </c>
      <c r="D3" s="38">
        <f>COUNTIF('Company lists'!$M$3:$R$1564,Categories!B3)</f>
        <v>114</v>
      </c>
      <c r="E3" s="1">
        <f>COUNTIFS(Table3[Primary theme/sector],Categories!$B3,Table3[Scale],Categories!$E$1)</f>
        <v>25</v>
      </c>
      <c r="F3" s="1">
        <f t="shared" ref="F3:F15" si="0">D3-E3</f>
        <v>89</v>
      </c>
    </row>
    <row r="4" spans="2:6">
      <c r="B4" s="38" t="s">
        <v>61</v>
      </c>
      <c r="C4" s="38" t="s">
        <v>2380</v>
      </c>
      <c r="D4" s="38">
        <f>COUNTIF('Company lists'!$M$3:$R$1564,Categories!B4)</f>
        <v>383</v>
      </c>
      <c r="E4" s="1">
        <f>COUNTIFS(Table3[Primary theme/sector],Categories!$B4,Table3[Scale],Categories!$E$1)</f>
        <v>25</v>
      </c>
      <c r="F4" s="1">
        <f t="shared" si="0"/>
        <v>358</v>
      </c>
    </row>
    <row r="5" spans="2:6">
      <c r="B5" s="38" t="s">
        <v>62</v>
      </c>
      <c r="C5" s="38" t="s">
        <v>2381</v>
      </c>
      <c r="D5" s="38">
        <f>COUNTIF('Company lists'!$M$3:$R$1564,Categories!B5)</f>
        <v>229</v>
      </c>
      <c r="E5" s="1">
        <f>COUNTIFS(Table3[Primary theme/sector],Categories!$B5,Table3[Scale],Categories!$E$1)</f>
        <v>28</v>
      </c>
      <c r="F5" s="1">
        <f t="shared" si="0"/>
        <v>201</v>
      </c>
    </row>
    <row r="6" spans="2:6">
      <c r="B6" s="38" t="s">
        <v>122</v>
      </c>
      <c r="C6" s="38" t="s">
        <v>2382</v>
      </c>
      <c r="D6" s="38">
        <f>COUNTIF('Company lists'!$M$3:$R$1564,Categories!B6)</f>
        <v>211</v>
      </c>
      <c r="E6" s="1">
        <f>COUNTIFS(Table3[Primary theme/sector],Categories!$B6,Table3[Scale],Categories!$E$1)</f>
        <v>122</v>
      </c>
      <c r="F6" s="1">
        <f t="shared" si="0"/>
        <v>89</v>
      </c>
    </row>
    <row r="7" spans="2:6">
      <c r="B7" s="38" t="s">
        <v>130</v>
      </c>
      <c r="C7" s="38" t="s">
        <v>2383</v>
      </c>
      <c r="D7" s="38">
        <f>COUNTIF('Company lists'!$M$3:$R$1564,Categories!B7)</f>
        <v>39</v>
      </c>
      <c r="E7" s="1">
        <f>COUNTIFS(Table3[Primary theme/sector],Categories!$B7,Table3[Scale],Categories!$E$1)</f>
        <v>18</v>
      </c>
      <c r="F7" s="1">
        <f t="shared" si="0"/>
        <v>21</v>
      </c>
    </row>
    <row r="8" spans="2:6">
      <c r="B8" s="38" t="s">
        <v>265</v>
      </c>
      <c r="C8" s="38" t="s">
        <v>2384</v>
      </c>
      <c r="D8" s="38">
        <f>COUNTIF('Company lists'!$M$3:$R$1564,Categories!B8)</f>
        <v>130</v>
      </c>
      <c r="E8" s="1">
        <f>COUNTIFS(Table3[Primary theme/sector],Categories!$B8,Table3[Scale],Categories!$E$1)</f>
        <v>23</v>
      </c>
      <c r="F8" s="1">
        <f t="shared" si="0"/>
        <v>107</v>
      </c>
    </row>
    <row r="9" spans="2:6">
      <c r="B9" s="38" t="s">
        <v>264</v>
      </c>
      <c r="C9" s="38" t="s">
        <v>2385</v>
      </c>
      <c r="D9" s="38">
        <f>COUNTIF('Company lists'!$M$3:$R$1564,Categories!B9)</f>
        <v>169</v>
      </c>
      <c r="E9" s="1">
        <f>COUNTIFS(Table3[Primary theme/sector],Categories!$B9,Table3[Scale],Categories!$E$1)</f>
        <v>58</v>
      </c>
      <c r="F9" s="1">
        <f t="shared" si="0"/>
        <v>111</v>
      </c>
    </row>
    <row r="10" spans="2:6">
      <c r="B10" s="38" t="s">
        <v>153</v>
      </c>
      <c r="C10" s="38" t="s">
        <v>2386</v>
      </c>
      <c r="D10" s="38">
        <f>COUNTIF('Company lists'!$M$3:$R$1564,Categories!B10)</f>
        <v>66</v>
      </c>
      <c r="E10" s="1">
        <f>COUNTIFS(Table3[Primary theme/sector],Categories!$B10,Table3[Scale],Categories!$E$1)</f>
        <v>18</v>
      </c>
      <c r="F10" s="1">
        <f t="shared" si="0"/>
        <v>48</v>
      </c>
    </row>
    <row r="11" spans="2:6">
      <c r="B11" s="38" t="s">
        <v>76</v>
      </c>
      <c r="C11" s="38" t="s">
        <v>2387</v>
      </c>
      <c r="D11" s="38">
        <f>COUNTIF('Company lists'!$M$3:$R$1564,Categories!B11)</f>
        <v>133</v>
      </c>
      <c r="E11" s="1">
        <f>COUNTIFS(Table3[Primary theme/sector],Categories!$B11,Table3[Scale],Categories!$E$1)</f>
        <v>28</v>
      </c>
      <c r="F11" s="1">
        <f t="shared" si="0"/>
        <v>105</v>
      </c>
    </row>
    <row r="12" spans="2:6">
      <c r="B12" s="38" t="s">
        <v>63</v>
      </c>
      <c r="C12" s="38" t="s">
        <v>2388</v>
      </c>
      <c r="D12" s="38">
        <f>COUNTIF('Company lists'!$M$3:$R$1564,Categories!B12)</f>
        <v>66</v>
      </c>
      <c r="E12" s="1">
        <f>COUNTIFS(Table3[Primary theme/sector],Categories!$B12,Table3[Scale],Categories!$E$1)</f>
        <v>15</v>
      </c>
      <c r="F12" s="1">
        <f t="shared" si="0"/>
        <v>51</v>
      </c>
    </row>
    <row r="13" spans="2:6">
      <c r="B13" s="38" t="s">
        <v>85</v>
      </c>
      <c r="C13" s="38" t="s">
        <v>2389</v>
      </c>
      <c r="D13" s="38">
        <f>COUNTIF('Company lists'!$M$3:$R$1564,Categories!B13)</f>
        <v>27</v>
      </c>
      <c r="E13" s="1">
        <f>COUNTIFS(Table3[Primary theme/sector],Categories!$B13,Table3[Scale],Categories!$E$1)</f>
        <v>9</v>
      </c>
      <c r="F13" s="1">
        <f t="shared" si="0"/>
        <v>18</v>
      </c>
    </row>
    <row r="14" spans="2:6">
      <c r="B14" s="38" t="s">
        <v>1133</v>
      </c>
      <c r="C14" s="38" t="s">
        <v>2390</v>
      </c>
      <c r="D14" s="38">
        <f>COUNTIF('Company lists'!$M$3:$R$1564,Categories!B14)</f>
        <v>14</v>
      </c>
      <c r="E14" s="1">
        <f>COUNTIFS(Table3[Primary theme/sector],Categories!$B14,Table3[Scale],Categories!$E$1)</f>
        <v>4</v>
      </c>
      <c r="F14" s="1">
        <f t="shared" si="0"/>
        <v>10</v>
      </c>
    </row>
    <row r="15" spans="2:6">
      <c r="B15" s="38" t="s">
        <v>144</v>
      </c>
      <c r="C15" s="38" t="s">
        <v>2391</v>
      </c>
      <c r="D15" s="38">
        <f>COUNTIF('Company lists'!$M$3:$R$1564,Categories!B15)</f>
        <v>12</v>
      </c>
      <c r="E15" s="1">
        <f>COUNTIFS(Table3[Primary theme/sector],Categories!$B15,Table3[Scale],Categories!$E$1)</f>
        <v>2</v>
      </c>
      <c r="F15" s="1">
        <f t="shared" si="0"/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00B8-B3F4-40D0-A1C4-85BE89423653}">
  <dimension ref="A1:C5"/>
  <sheetViews>
    <sheetView workbookViewId="0"/>
  </sheetViews>
  <sheetFormatPr defaultColWidth="8.7109375" defaultRowHeight="14.25"/>
  <cols>
    <col min="1" max="1" width="17.7109375" style="1" bestFit="1" customWidth="1"/>
    <col min="2" max="2" width="23.7109375" style="1" bestFit="1" customWidth="1"/>
    <col min="3" max="3" width="12.7109375" style="1" bestFit="1" customWidth="1"/>
    <col min="4" max="16384" width="8.7109375" style="1"/>
  </cols>
  <sheetData>
    <row r="1" spans="1:3">
      <c r="A1" s="9" t="s">
        <v>2392</v>
      </c>
      <c r="B1" s="9" t="s">
        <v>2393</v>
      </c>
      <c r="C1" s="9" t="s">
        <v>2394</v>
      </c>
    </row>
    <row r="2" spans="1:3">
      <c r="A2" s="11" t="s">
        <v>2395</v>
      </c>
      <c r="B2" s="12" t="s">
        <v>2396</v>
      </c>
      <c r="C2" s="11" t="s">
        <v>2397</v>
      </c>
    </row>
    <row r="3" spans="1:3">
      <c r="A3" s="13" t="s">
        <v>1679</v>
      </c>
      <c r="B3" s="14" t="s">
        <v>2398</v>
      </c>
      <c r="C3" s="13" t="s">
        <v>2397</v>
      </c>
    </row>
    <row r="4" spans="1:3">
      <c r="A4" s="11" t="s">
        <v>1680</v>
      </c>
      <c r="B4" s="12" t="s">
        <v>2399</v>
      </c>
      <c r="C4" s="11" t="s">
        <v>2397</v>
      </c>
    </row>
    <row r="5" spans="1:3">
      <c r="A5" s="13" t="s">
        <v>2400</v>
      </c>
      <c r="B5" s="14" t="s">
        <v>2401</v>
      </c>
      <c r="C5" s="13" t="s">
        <v>2402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368B8-C705-4CF5-AB9E-C184A1059495}">
  <dimension ref="A1:S132"/>
  <sheetViews>
    <sheetView workbookViewId="0"/>
  </sheetViews>
  <sheetFormatPr defaultRowHeight="15"/>
  <cols>
    <col min="1" max="1" width="19.5703125" customWidth="1"/>
    <col min="2" max="2" width="12.140625" customWidth="1"/>
    <col min="3" max="10" width="13.140625" customWidth="1"/>
    <col min="11" max="14" width="14.140625" customWidth="1"/>
    <col min="17" max="17" width="54.140625" bestFit="1" customWidth="1"/>
    <col min="18" max="18" width="11.42578125" bestFit="1" customWidth="1"/>
    <col min="19" max="19" width="30.42578125" customWidth="1"/>
    <col min="22" max="22" width="20.7109375" bestFit="1" customWidth="1"/>
  </cols>
  <sheetData>
    <row r="1" spans="1:19">
      <c r="A1" t="s">
        <v>1724</v>
      </c>
      <c r="B1" t="s">
        <v>1725</v>
      </c>
      <c r="C1" t="s">
        <v>1726</v>
      </c>
      <c r="D1" t="s">
        <v>1727</v>
      </c>
      <c r="E1" t="s">
        <v>1728</v>
      </c>
      <c r="F1" t="s">
        <v>1729</v>
      </c>
      <c r="G1" t="s">
        <v>1730</v>
      </c>
      <c r="H1" t="s">
        <v>1731</v>
      </c>
      <c r="I1" t="s">
        <v>1732</v>
      </c>
      <c r="J1" t="s">
        <v>1733</v>
      </c>
      <c r="K1" t="s">
        <v>1734</v>
      </c>
      <c r="L1" t="s">
        <v>1735</v>
      </c>
      <c r="M1" t="s">
        <v>1736</v>
      </c>
      <c r="N1" t="s">
        <v>1737</v>
      </c>
    </row>
    <row r="2" spans="1:19" ht="29.25">
      <c r="A2" s="5" t="s">
        <v>2352</v>
      </c>
      <c r="B2" t="s">
        <v>135</v>
      </c>
      <c r="C2" t="s">
        <v>60</v>
      </c>
      <c r="D2" t="s">
        <v>61</v>
      </c>
      <c r="E2" t="s">
        <v>62</v>
      </c>
      <c r="F2" t="s">
        <v>122</v>
      </c>
      <c r="G2" t="s">
        <v>130</v>
      </c>
      <c r="H2" t="s">
        <v>265</v>
      </c>
      <c r="I2" t="s">
        <v>264</v>
      </c>
      <c r="J2" t="s">
        <v>153</v>
      </c>
      <c r="K2" t="s">
        <v>76</v>
      </c>
      <c r="L2" t="s">
        <v>63</v>
      </c>
      <c r="M2" t="s">
        <v>85</v>
      </c>
      <c r="N2" t="s">
        <v>1133</v>
      </c>
      <c r="Q2" t="s">
        <v>1724</v>
      </c>
      <c r="R2" t="s">
        <v>2403</v>
      </c>
      <c r="S2" t="s">
        <v>2404</v>
      </c>
    </row>
    <row r="3" spans="1:19" ht="29.25">
      <c r="A3" s="5" t="s">
        <v>1804</v>
      </c>
      <c r="B3" t="s">
        <v>60</v>
      </c>
      <c r="C3" t="s">
        <v>61</v>
      </c>
      <c r="D3" t="s">
        <v>62</v>
      </c>
      <c r="E3" t="s">
        <v>85</v>
      </c>
      <c r="Q3" t="s">
        <v>2352</v>
      </c>
      <c r="R3" t="s">
        <v>1725</v>
      </c>
      <c r="S3" t="s">
        <v>135</v>
      </c>
    </row>
    <row r="4" spans="1:19" ht="29.25">
      <c r="A4" s="5" t="s">
        <v>2354</v>
      </c>
      <c r="B4" t="s">
        <v>135</v>
      </c>
      <c r="C4" t="s">
        <v>60</v>
      </c>
      <c r="D4" t="s">
        <v>265</v>
      </c>
      <c r="Q4" t="s">
        <v>2352</v>
      </c>
      <c r="R4" t="s">
        <v>1726</v>
      </c>
      <c r="S4" t="s">
        <v>60</v>
      </c>
    </row>
    <row r="5" spans="1:19" ht="29.25">
      <c r="A5" s="5" t="s">
        <v>2356</v>
      </c>
      <c r="B5" t="s">
        <v>60</v>
      </c>
      <c r="C5" s="8"/>
      <c r="Q5" t="s">
        <v>2352</v>
      </c>
      <c r="R5" t="s">
        <v>1727</v>
      </c>
      <c r="S5" t="s">
        <v>61</v>
      </c>
    </row>
    <row r="6" spans="1:19">
      <c r="A6" s="5" t="s">
        <v>1923</v>
      </c>
      <c r="B6" t="s">
        <v>60</v>
      </c>
      <c r="C6" t="s">
        <v>265</v>
      </c>
      <c r="Q6" t="s">
        <v>2352</v>
      </c>
      <c r="R6" t="s">
        <v>1728</v>
      </c>
      <c r="S6" t="s">
        <v>62</v>
      </c>
    </row>
    <row r="7" spans="1:19">
      <c r="A7" s="5" t="s">
        <v>1843</v>
      </c>
      <c r="B7" t="s">
        <v>265</v>
      </c>
      <c r="C7" t="s">
        <v>60</v>
      </c>
      <c r="Q7" t="s">
        <v>2352</v>
      </c>
      <c r="R7" t="s">
        <v>1729</v>
      </c>
      <c r="S7" t="s">
        <v>122</v>
      </c>
    </row>
    <row r="8" spans="1:19" ht="29.25">
      <c r="A8" s="5" t="s">
        <v>1823</v>
      </c>
      <c r="B8" t="s">
        <v>60</v>
      </c>
      <c r="Q8" t="s">
        <v>2352</v>
      </c>
      <c r="R8" t="s">
        <v>1730</v>
      </c>
      <c r="S8" t="s">
        <v>130</v>
      </c>
    </row>
    <row r="9" spans="1:19" ht="29.25">
      <c r="A9" s="5" t="s">
        <v>1836</v>
      </c>
      <c r="B9" t="s">
        <v>60</v>
      </c>
      <c r="Q9" t="s">
        <v>2352</v>
      </c>
      <c r="R9" t="s">
        <v>1731</v>
      </c>
      <c r="S9" t="s">
        <v>265</v>
      </c>
    </row>
    <row r="10" spans="1:19" ht="29.25">
      <c r="A10" s="5" t="s">
        <v>2357</v>
      </c>
      <c r="B10" t="s">
        <v>60</v>
      </c>
      <c r="Q10" t="s">
        <v>2352</v>
      </c>
      <c r="R10" t="s">
        <v>1732</v>
      </c>
      <c r="S10" t="s">
        <v>264</v>
      </c>
    </row>
    <row r="11" spans="1:19" ht="29.25">
      <c r="A11" s="5" t="s">
        <v>1916</v>
      </c>
      <c r="B11" t="s">
        <v>61</v>
      </c>
      <c r="C11" t="s">
        <v>122</v>
      </c>
      <c r="D11" t="s">
        <v>153</v>
      </c>
      <c r="Q11" t="s">
        <v>2352</v>
      </c>
      <c r="R11" t="s">
        <v>1733</v>
      </c>
      <c r="S11" t="s">
        <v>153</v>
      </c>
    </row>
    <row r="12" spans="1:19" ht="29.25">
      <c r="A12" s="5" t="s">
        <v>1820</v>
      </c>
      <c r="B12" t="s">
        <v>61</v>
      </c>
      <c r="C12" t="s">
        <v>122</v>
      </c>
      <c r="D12" t="s">
        <v>63</v>
      </c>
      <c r="Q12" t="s">
        <v>2352</v>
      </c>
      <c r="R12" t="s">
        <v>1734</v>
      </c>
      <c r="S12" t="s">
        <v>76</v>
      </c>
    </row>
    <row r="13" spans="1:19" ht="29.25">
      <c r="A13" s="5" t="s">
        <v>1917</v>
      </c>
      <c r="B13" t="s">
        <v>60</v>
      </c>
      <c r="C13" t="s">
        <v>61</v>
      </c>
      <c r="D13" t="s">
        <v>122</v>
      </c>
      <c r="Q13" t="s">
        <v>2352</v>
      </c>
      <c r="R13" t="s">
        <v>1735</v>
      </c>
      <c r="S13" t="s">
        <v>63</v>
      </c>
    </row>
    <row r="14" spans="1:19" ht="29.25">
      <c r="A14" s="5" t="s">
        <v>1808</v>
      </c>
      <c r="B14" t="s">
        <v>135</v>
      </c>
      <c r="C14" t="s">
        <v>153</v>
      </c>
      <c r="D14" t="s">
        <v>61</v>
      </c>
      <c r="E14" t="s">
        <v>60</v>
      </c>
      <c r="Q14" t="s">
        <v>2352</v>
      </c>
      <c r="R14" t="s">
        <v>1736</v>
      </c>
      <c r="S14" t="s">
        <v>85</v>
      </c>
    </row>
    <row r="15" spans="1:19" ht="29.25">
      <c r="A15" s="5" t="s">
        <v>1819</v>
      </c>
      <c r="B15" t="s">
        <v>61</v>
      </c>
      <c r="C15" t="s">
        <v>122</v>
      </c>
      <c r="D15" t="s">
        <v>60</v>
      </c>
      <c r="Q15" t="s">
        <v>2352</v>
      </c>
      <c r="R15" t="s">
        <v>1737</v>
      </c>
      <c r="S15" t="s">
        <v>1133</v>
      </c>
    </row>
    <row r="16" spans="1:19" ht="29.25">
      <c r="A16" s="5" t="s">
        <v>2358</v>
      </c>
      <c r="B16" t="s">
        <v>62</v>
      </c>
      <c r="C16" t="s">
        <v>122</v>
      </c>
      <c r="D16" t="s">
        <v>60</v>
      </c>
      <c r="Q16" t="s">
        <v>1804</v>
      </c>
      <c r="R16" t="s">
        <v>1725</v>
      </c>
      <c r="S16" t="s">
        <v>60</v>
      </c>
    </row>
    <row r="17" spans="1:19">
      <c r="A17" s="5" t="s">
        <v>2359</v>
      </c>
      <c r="B17" t="s">
        <v>61</v>
      </c>
      <c r="C17" t="s">
        <v>60</v>
      </c>
      <c r="Q17" t="s">
        <v>1804</v>
      </c>
      <c r="R17" t="s">
        <v>1726</v>
      </c>
      <c r="S17" t="s">
        <v>61</v>
      </c>
    </row>
    <row r="18" spans="1:19">
      <c r="A18" s="5" t="s">
        <v>2360</v>
      </c>
      <c r="B18" t="s">
        <v>60</v>
      </c>
      <c r="C18" t="s">
        <v>61</v>
      </c>
      <c r="Q18" t="s">
        <v>1804</v>
      </c>
      <c r="R18" t="s">
        <v>1727</v>
      </c>
      <c r="S18" t="s">
        <v>62</v>
      </c>
    </row>
    <row r="19" spans="1:19" ht="29.25">
      <c r="A19" s="5" t="s">
        <v>1898</v>
      </c>
      <c r="B19" t="s">
        <v>62</v>
      </c>
      <c r="C19" t="s">
        <v>60</v>
      </c>
      <c r="D19" t="s">
        <v>122</v>
      </c>
      <c r="Q19" t="s">
        <v>1804</v>
      </c>
      <c r="R19" t="s">
        <v>1728</v>
      </c>
      <c r="S19" t="s">
        <v>85</v>
      </c>
    </row>
    <row r="20" spans="1:19" ht="29.25">
      <c r="A20" s="5" t="s">
        <v>1796</v>
      </c>
      <c r="B20" t="s">
        <v>62</v>
      </c>
      <c r="C20" t="s">
        <v>122</v>
      </c>
      <c r="D20" t="s">
        <v>60</v>
      </c>
      <c r="Q20" t="s">
        <v>2354</v>
      </c>
      <c r="R20" t="s">
        <v>1725</v>
      </c>
      <c r="S20" t="s">
        <v>135</v>
      </c>
    </row>
    <row r="21" spans="1:19">
      <c r="A21" s="5" t="s">
        <v>1827</v>
      </c>
      <c r="B21" t="s">
        <v>62</v>
      </c>
      <c r="C21" t="s">
        <v>122</v>
      </c>
      <c r="D21" t="s">
        <v>60</v>
      </c>
      <c r="Q21" t="s">
        <v>2354</v>
      </c>
      <c r="R21" t="s">
        <v>1726</v>
      </c>
      <c r="S21" t="s">
        <v>60</v>
      </c>
    </row>
    <row r="22" spans="1:19">
      <c r="A22" s="5" t="s">
        <v>2361</v>
      </c>
      <c r="B22" t="s">
        <v>62</v>
      </c>
      <c r="C22" t="s">
        <v>122</v>
      </c>
      <c r="Q22" t="s">
        <v>2354</v>
      </c>
      <c r="R22" t="s">
        <v>1727</v>
      </c>
      <c r="S22" t="s">
        <v>265</v>
      </c>
    </row>
    <row r="23" spans="1:19" ht="29.25">
      <c r="A23" s="5" t="s">
        <v>33</v>
      </c>
      <c r="B23" t="s">
        <v>135</v>
      </c>
      <c r="C23" t="s">
        <v>60</v>
      </c>
      <c r="D23" t="s">
        <v>265</v>
      </c>
      <c r="Q23" t="s">
        <v>2356</v>
      </c>
      <c r="R23" t="s">
        <v>1725</v>
      </c>
      <c r="S23" t="s">
        <v>60</v>
      </c>
    </row>
    <row r="24" spans="1:19" ht="29.25">
      <c r="A24" s="5" t="s">
        <v>1817</v>
      </c>
      <c r="B24" t="s">
        <v>135</v>
      </c>
      <c r="C24" t="s">
        <v>60</v>
      </c>
      <c r="Q24" t="s">
        <v>1923</v>
      </c>
      <c r="R24" t="s">
        <v>1725</v>
      </c>
      <c r="S24" t="s">
        <v>60</v>
      </c>
    </row>
    <row r="25" spans="1:19">
      <c r="A25" s="5" t="s">
        <v>1816</v>
      </c>
      <c r="B25" t="s">
        <v>76</v>
      </c>
      <c r="C25" t="s">
        <v>60</v>
      </c>
      <c r="Q25" t="s">
        <v>1923</v>
      </c>
      <c r="R25" t="s">
        <v>1726</v>
      </c>
      <c r="S25" t="s">
        <v>265</v>
      </c>
    </row>
    <row r="26" spans="1:19" ht="29.25">
      <c r="A26" s="5" t="s">
        <v>2362</v>
      </c>
      <c r="B26" t="s">
        <v>135</v>
      </c>
      <c r="C26" t="s">
        <v>60</v>
      </c>
      <c r="Q26" t="s">
        <v>1843</v>
      </c>
      <c r="R26" t="s">
        <v>1725</v>
      </c>
      <c r="S26" t="s">
        <v>265</v>
      </c>
    </row>
    <row r="27" spans="1:19">
      <c r="A27" s="5" t="s">
        <v>1894</v>
      </c>
      <c r="B27" t="s">
        <v>60</v>
      </c>
      <c r="Q27" t="s">
        <v>1843</v>
      </c>
      <c r="R27" t="s">
        <v>1726</v>
      </c>
      <c r="S27" t="s">
        <v>60</v>
      </c>
    </row>
    <row r="28" spans="1:19">
      <c r="A28" s="5" t="s">
        <v>2363</v>
      </c>
      <c r="B28" t="s">
        <v>60</v>
      </c>
      <c r="C28" t="s">
        <v>135</v>
      </c>
      <c r="Q28" t="s">
        <v>1823</v>
      </c>
      <c r="R28" t="s">
        <v>1725</v>
      </c>
      <c r="S28" t="s">
        <v>60</v>
      </c>
    </row>
    <row r="29" spans="1:19">
      <c r="A29" s="5" t="s">
        <v>1825</v>
      </c>
      <c r="B29" t="s">
        <v>61</v>
      </c>
      <c r="C29" t="s">
        <v>122</v>
      </c>
      <c r="D29" s="19" t="s">
        <v>62</v>
      </c>
      <c r="Q29" t="s">
        <v>1836</v>
      </c>
      <c r="R29" t="s">
        <v>1725</v>
      </c>
      <c r="S29" t="s">
        <v>60</v>
      </c>
    </row>
    <row r="30" spans="1:19" ht="43.5">
      <c r="A30" s="5" t="s">
        <v>1815</v>
      </c>
      <c r="B30" t="s">
        <v>61</v>
      </c>
      <c r="C30" t="s">
        <v>122</v>
      </c>
      <c r="D30" s="8"/>
      <c r="Q30" t="s">
        <v>2357</v>
      </c>
      <c r="R30" t="s">
        <v>1725</v>
      </c>
      <c r="S30" t="s">
        <v>60</v>
      </c>
    </row>
    <row r="31" spans="1:19" ht="29.25">
      <c r="A31" s="5" t="s">
        <v>1845</v>
      </c>
      <c r="B31" t="s">
        <v>62</v>
      </c>
      <c r="Q31" t="s">
        <v>1916</v>
      </c>
      <c r="R31" t="s">
        <v>1725</v>
      </c>
      <c r="S31" t="s">
        <v>61</v>
      </c>
    </row>
    <row r="32" spans="1:19" ht="29.25">
      <c r="A32" s="5" t="s">
        <v>1880</v>
      </c>
      <c r="B32" t="s">
        <v>61</v>
      </c>
      <c r="C32" t="s">
        <v>122</v>
      </c>
      <c r="D32" t="s">
        <v>62</v>
      </c>
      <c r="Q32" t="s">
        <v>1916</v>
      </c>
      <c r="R32" t="s">
        <v>1726</v>
      </c>
      <c r="S32" t="s">
        <v>122</v>
      </c>
    </row>
    <row r="33" spans="1:19" ht="29.25">
      <c r="A33" s="5" t="s">
        <v>1849</v>
      </c>
      <c r="B33" t="s">
        <v>61</v>
      </c>
      <c r="Q33" t="s">
        <v>1916</v>
      </c>
      <c r="R33" t="s">
        <v>1727</v>
      </c>
      <c r="S33" t="s">
        <v>153</v>
      </c>
    </row>
    <row r="34" spans="1:19" ht="43.5">
      <c r="A34" s="5" t="s">
        <v>2364</v>
      </c>
      <c r="B34" t="s">
        <v>135</v>
      </c>
      <c r="C34" t="s">
        <v>60</v>
      </c>
      <c r="D34" t="s">
        <v>61</v>
      </c>
      <c r="E34" t="s">
        <v>62</v>
      </c>
      <c r="F34" t="s">
        <v>122</v>
      </c>
      <c r="G34" t="s">
        <v>130</v>
      </c>
      <c r="H34" t="s">
        <v>265</v>
      </c>
      <c r="I34" t="s">
        <v>264</v>
      </c>
      <c r="J34" t="s">
        <v>153</v>
      </c>
      <c r="K34" t="s">
        <v>76</v>
      </c>
      <c r="L34" t="s">
        <v>63</v>
      </c>
      <c r="M34" t="s">
        <v>85</v>
      </c>
      <c r="N34" t="s">
        <v>1133</v>
      </c>
      <c r="Q34" t="s">
        <v>1820</v>
      </c>
      <c r="R34" t="s">
        <v>1725</v>
      </c>
      <c r="S34" t="s">
        <v>61</v>
      </c>
    </row>
    <row r="35" spans="1:19" ht="29.25">
      <c r="A35" s="5" t="s">
        <v>2366</v>
      </c>
      <c r="B35" t="s">
        <v>62</v>
      </c>
      <c r="C35" t="s">
        <v>122</v>
      </c>
      <c r="Q35" t="s">
        <v>1820</v>
      </c>
      <c r="R35" t="s">
        <v>1726</v>
      </c>
      <c r="S35" t="s">
        <v>122</v>
      </c>
    </row>
    <row r="36" spans="1:19" ht="43.5">
      <c r="A36" s="5" t="s">
        <v>2367</v>
      </c>
      <c r="B36" t="s">
        <v>61</v>
      </c>
      <c r="C36" t="s">
        <v>122</v>
      </c>
      <c r="D36" t="s">
        <v>264</v>
      </c>
      <c r="E36" t="s">
        <v>63</v>
      </c>
      <c r="Q36" t="s">
        <v>1820</v>
      </c>
      <c r="R36" t="s">
        <v>1727</v>
      </c>
      <c r="S36" t="s">
        <v>63</v>
      </c>
    </row>
    <row r="37" spans="1:19" ht="57.75">
      <c r="A37" s="5" t="s">
        <v>2368</v>
      </c>
      <c r="B37" t="s">
        <v>61</v>
      </c>
      <c r="C37" t="s">
        <v>60</v>
      </c>
      <c r="D37" t="s">
        <v>135</v>
      </c>
      <c r="E37" t="s">
        <v>153</v>
      </c>
      <c r="F37" t="s">
        <v>264</v>
      </c>
      <c r="Q37" t="s">
        <v>1917</v>
      </c>
      <c r="R37" t="s">
        <v>1725</v>
      </c>
      <c r="S37" t="s">
        <v>60</v>
      </c>
    </row>
    <row r="38" spans="1:19" ht="57.75">
      <c r="A38" s="5" t="s">
        <v>2369</v>
      </c>
      <c r="B38" t="s">
        <v>60</v>
      </c>
      <c r="C38" t="s">
        <v>61</v>
      </c>
      <c r="D38" t="s">
        <v>264</v>
      </c>
      <c r="Q38" t="s">
        <v>1917</v>
      </c>
      <c r="R38" t="s">
        <v>1726</v>
      </c>
      <c r="S38" t="s">
        <v>61</v>
      </c>
    </row>
    <row r="39" spans="1:19" ht="43.5">
      <c r="A39" s="5" t="s">
        <v>2370</v>
      </c>
      <c r="B39" t="s">
        <v>153</v>
      </c>
      <c r="C39" t="s">
        <v>135</v>
      </c>
      <c r="Q39" t="s">
        <v>1917</v>
      </c>
      <c r="R39" t="s">
        <v>1727</v>
      </c>
      <c r="S39" t="s">
        <v>122</v>
      </c>
    </row>
    <row r="40" spans="1:19" ht="43.5">
      <c r="A40" s="5" t="s">
        <v>2371</v>
      </c>
      <c r="B40" t="s">
        <v>76</v>
      </c>
      <c r="Q40" t="s">
        <v>1808</v>
      </c>
      <c r="R40" t="s">
        <v>1725</v>
      </c>
      <c r="S40" t="s">
        <v>135</v>
      </c>
    </row>
    <row r="41" spans="1:19" ht="43.5">
      <c r="A41" s="5" t="s">
        <v>2372</v>
      </c>
      <c r="B41" t="s">
        <v>60</v>
      </c>
      <c r="C41" t="s">
        <v>61</v>
      </c>
      <c r="D41" t="s">
        <v>63</v>
      </c>
      <c r="Q41" t="s">
        <v>1808</v>
      </c>
      <c r="R41" t="s">
        <v>1726</v>
      </c>
      <c r="S41" t="s">
        <v>153</v>
      </c>
    </row>
    <row r="42" spans="1:19" ht="57.75">
      <c r="A42" s="5" t="s">
        <v>2373</v>
      </c>
      <c r="B42" t="s">
        <v>135</v>
      </c>
      <c r="C42" t="s">
        <v>60</v>
      </c>
      <c r="D42" t="s">
        <v>61</v>
      </c>
      <c r="E42" t="s">
        <v>62</v>
      </c>
      <c r="F42" t="s">
        <v>122</v>
      </c>
      <c r="G42" t="s">
        <v>130</v>
      </c>
      <c r="H42" t="s">
        <v>265</v>
      </c>
      <c r="I42" t="s">
        <v>264</v>
      </c>
      <c r="J42" t="s">
        <v>153</v>
      </c>
      <c r="K42" t="s">
        <v>76</v>
      </c>
      <c r="L42" t="s">
        <v>63</v>
      </c>
      <c r="M42" t="s">
        <v>85</v>
      </c>
      <c r="N42" t="s">
        <v>1133</v>
      </c>
      <c r="Q42" t="s">
        <v>1808</v>
      </c>
      <c r="R42" t="s">
        <v>1727</v>
      </c>
      <c r="S42" t="s">
        <v>61</v>
      </c>
    </row>
    <row r="43" spans="1:19">
      <c r="Q43" t="s">
        <v>1808</v>
      </c>
      <c r="R43" t="s">
        <v>1728</v>
      </c>
      <c r="S43" t="s">
        <v>60</v>
      </c>
    </row>
    <row r="44" spans="1:19">
      <c r="Q44" t="s">
        <v>1819</v>
      </c>
      <c r="R44" t="s">
        <v>1725</v>
      </c>
      <c r="S44" t="s">
        <v>61</v>
      </c>
    </row>
    <row r="45" spans="1:19">
      <c r="Q45" t="s">
        <v>1819</v>
      </c>
      <c r="R45" t="s">
        <v>1726</v>
      </c>
      <c r="S45" t="s">
        <v>122</v>
      </c>
    </row>
    <row r="46" spans="1:19">
      <c r="Q46" t="s">
        <v>1819</v>
      </c>
      <c r="R46" t="s">
        <v>1727</v>
      </c>
      <c r="S46" t="s">
        <v>60</v>
      </c>
    </row>
    <row r="47" spans="1:19">
      <c r="Q47" t="s">
        <v>2358</v>
      </c>
      <c r="R47" t="s">
        <v>1725</v>
      </c>
      <c r="S47" t="s">
        <v>62</v>
      </c>
    </row>
    <row r="48" spans="1:19">
      <c r="Q48" t="s">
        <v>2358</v>
      </c>
      <c r="R48" t="s">
        <v>1726</v>
      </c>
      <c r="S48" t="s">
        <v>122</v>
      </c>
    </row>
    <row r="49" spans="17:19">
      <c r="Q49" t="s">
        <v>2358</v>
      </c>
      <c r="R49" t="s">
        <v>1727</v>
      </c>
      <c r="S49" t="s">
        <v>60</v>
      </c>
    </row>
    <row r="50" spans="17:19">
      <c r="Q50" t="s">
        <v>2359</v>
      </c>
      <c r="R50" t="s">
        <v>1725</v>
      </c>
      <c r="S50" t="s">
        <v>61</v>
      </c>
    </row>
    <row r="51" spans="17:19">
      <c r="Q51" t="s">
        <v>2359</v>
      </c>
      <c r="R51" t="s">
        <v>1726</v>
      </c>
      <c r="S51" t="s">
        <v>60</v>
      </c>
    </row>
    <row r="52" spans="17:19">
      <c r="Q52" t="s">
        <v>2360</v>
      </c>
      <c r="R52" t="s">
        <v>1725</v>
      </c>
      <c r="S52" t="s">
        <v>60</v>
      </c>
    </row>
    <row r="53" spans="17:19">
      <c r="Q53" t="s">
        <v>2360</v>
      </c>
      <c r="R53" t="s">
        <v>1726</v>
      </c>
      <c r="S53" t="s">
        <v>61</v>
      </c>
    </row>
    <row r="54" spans="17:19">
      <c r="Q54" t="s">
        <v>1898</v>
      </c>
      <c r="R54" t="s">
        <v>1725</v>
      </c>
      <c r="S54" t="s">
        <v>62</v>
      </c>
    </row>
    <row r="55" spans="17:19">
      <c r="Q55" t="s">
        <v>1898</v>
      </c>
      <c r="R55" t="s">
        <v>1726</v>
      </c>
      <c r="S55" t="s">
        <v>60</v>
      </c>
    </row>
    <row r="56" spans="17:19">
      <c r="Q56" t="s">
        <v>1898</v>
      </c>
      <c r="R56" t="s">
        <v>1727</v>
      </c>
      <c r="S56" t="s">
        <v>122</v>
      </c>
    </row>
    <row r="57" spans="17:19">
      <c r="Q57" t="s">
        <v>1796</v>
      </c>
      <c r="R57" t="s">
        <v>1725</v>
      </c>
      <c r="S57" t="s">
        <v>62</v>
      </c>
    </row>
    <row r="58" spans="17:19">
      <c r="Q58" t="s">
        <v>1796</v>
      </c>
      <c r="R58" t="s">
        <v>1726</v>
      </c>
      <c r="S58" t="s">
        <v>122</v>
      </c>
    </row>
    <row r="59" spans="17:19">
      <c r="Q59" t="s">
        <v>1796</v>
      </c>
      <c r="R59" t="s">
        <v>1727</v>
      </c>
      <c r="S59" t="s">
        <v>60</v>
      </c>
    </row>
    <row r="60" spans="17:19">
      <c r="Q60" t="s">
        <v>1827</v>
      </c>
      <c r="R60" t="s">
        <v>1725</v>
      </c>
      <c r="S60" t="s">
        <v>62</v>
      </c>
    </row>
    <row r="61" spans="17:19">
      <c r="Q61" t="s">
        <v>1827</v>
      </c>
      <c r="R61" t="s">
        <v>1726</v>
      </c>
      <c r="S61" t="s">
        <v>122</v>
      </c>
    </row>
    <row r="62" spans="17:19">
      <c r="Q62" t="s">
        <v>1827</v>
      </c>
      <c r="R62" t="s">
        <v>1727</v>
      </c>
      <c r="S62" t="s">
        <v>60</v>
      </c>
    </row>
    <row r="63" spans="17:19">
      <c r="Q63" t="s">
        <v>2361</v>
      </c>
      <c r="R63" t="s">
        <v>1725</v>
      </c>
      <c r="S63" t="s">
        <v>62</v>
      </c>
    </row>
    <row r="64" spans="17:19">
      <c r="Q64" t="s">
        <v>2361</v>
      </c>
      <c r="R64" t="s">
        <v>1726</v>
      </c>
      <c r="S64" t="s">
        <v>122</v>
      </c>
    </row>
    <row r="65" spans="17:19">
      <c r="Q65" t="s">
        <v>33</v>
      </c>
      <c r="R65" t="s">
        <v>1725</v>
      </c>
      <c r="S65" t="s">
        <v>135</v>
      </c>
    </row>
    <row r="66" spans="17:19">
      <c r="Q66" t="s">
        <v>33</v>
      </c>
      <c r="R66" t="s">
        <v>1726</v>
      </c>
      <c r="S66" t="s">
        <v>60</v>
      </c>
    </row>
    <row r="67" spans="17:19">
      <c r="Q67" t="s">
        <v>33</v>
      </c>
      <c r="R67" t="s">
        <v>1727</v>
      </c>
      <c r="S67" t="s">
        <v>265</v>
      </c>
    </row>
    <row r="68" spans="17:19">
      <c r="Q68" t="s">
        <v>1817</v>
      </c>
      <c r="R68" t="s">
        <v>1725</v>
      </c>
      <c r="S68" t="s">
        <v>135</v>
      </c>
    </row>
    <row r="69" spans="17:19">
      <c r="Q69" t="s">
        <v>1817</v>
      </c>
      <c r="R69" t="s">
        <v>1726</v>
      </c>
      <c r="S69" t="s">
        <v>60</v>
      </c>
    </row>
    <row r="70" spans="17:19">
      <c r="Q70" t="s">
        <v>1816</v>
      </c>
      <c r="R70" t="s">
        <v>1725</v>
      </c>
      <c r="S70" t="s">
        <v>76</v>
      </c>
    </row>
    <row r="71" spans="17:19">
      <c r="Q71" t="s">
        <v>1816</v>
      </c>
      <c r="R71" t="s">
        <v>1726</v>
      </c>
      <c r="S71" t="s">
        <v>60</v>
      </c>
    </row>
    <row r="72" spans="17:19">
      <c r="Q72" t="s">
        <v>2362</v>
      </c>
      <c r="R72" t="s">
        <v>1725</v>
      </c>
      <c r="S72" t="s">
        <v>135</v>
      </c>
    </row>
    <row r="73" spans="17:19">
      <c r="Q73" t="s">
        <v>2362</v>
      </c>
      <c r="R73" t="s">
        <v>1726</v>
      </c>
      <c r="S73" t="s">
        <v>60</v>
      </c>
    </row>
    <row r="74" spans="17:19">
      <c r="Q74" t="s">
        <v>1894</v>
      </c>
      <c r="R74" t="s">
        <v>1725</v>
      </c>
      <c r="S74" t="s">
        <v>60</v>
      </c>
    </row>
    <row r="75" spans="17:19">
      <c r="Q75" t="s">
        <v>2363</v>
      </c>
      <c r="R75" t="s">
        <v>1725</v>
      </c>
      <c r="S75" t="s">
        <v>60</v>
      </c>
    </row>
    <row r="76" spans="17:19">
      <c r="Q76" t="s">
        <v>2363</v>
      </c>
      <c r="R76" t="s">
        <v>1726</v>
      </c>
      <c r="S76" t="s">
        <v>135</v>
      </c>
    </row>
    <row r="77" spans="17:19">
      <c r="Q77" t="s">
        <v>1825</v>
      </c>
      <c r="R77" t="s">
        <v>1725</v>
      </c>
      <c r="S77" t="s">
        <v>61</v>
      </c>
    </row>
    <row r="78" spans="17:19">
      <c r="Q78" t="s">
        <v>1825</v>
      </c>
      <c r="R78" t="s">
        <v>1726</v>
      </c>
      <c r="S78" t="s">
        <v>122</v>
      </c>
    </row>
    <row r="79" spans="17:19">
      <c r="Q79" t="s">
        <v>1825</v>
      </c>
      <c r="R79" t="s">
        <v>1727</v>
      </c>
      <c r="S79" t="s">
        <v>62</v>
      </c>
    </row>
    <row r="80" spans="17:19">
      <c r="Q80" t="s">
        <v>1815</v>
      </c>
      <c r="R80" t="s">
        <v>1725</v>
      </c>
      <c r="S80" t="s">
        <v>61</v>
      </c>
    </row>
    <row r="81" spans="17:19">
      <c r="Q81" t="s">
        <v>1815</v>
      </c>
      <c r="R81" t="s">
        <v>1726</v>
      </c>
      <c r="S81" t="s">
        <v>122</v>
      </c>
    </row>
    <row r="82" spans="17:19">
      <c r="Q82" t="s">
        <v>1845</v>
      </c>
      <c r="R82" t="s">
        <v>1725</v>
      </c>
      <c r="S82" t="s">
        <v>62</v>
      </c>
    </row>
    <row r="83" spans="17:19">
      <c r="Q83" t="s">
        <v>1880</v>
      </c>
      <c r="R83" t="s">
        <v>1725</v>
      </c>
      <c r="S83" t="s">
        <v>61</v>
      </c>
    </row>
    <row r="84" spans="17:19">
      <c r="Q84" t="s">
        <v>1880</v>
      </c>
      <c r="R84" t="s">
        <v>1726</v>
      </c>
      <c r="S84" t="s">
        <v>122</v>
      </c>
    </row>
    <row r="85" spans="17:19">
      <c r="Q85" t="s">
        <v>1880</v>
      </c>
      <c r="R85" t="s">
        <v>1727</v>
      </c>
      <c r="S85" t="s">
        <v>62</v>
      </c>
    </row>
    <row r="86" spans="17:19">
      <c r="Q86" t="s">
        <v>1849</v>
      </c>
      <c r="R86" t="s">
        <v>1725</v>
      </c>
      <c r="S86" t="s">
        <v>61</v>
      </c>
    </row>
    <row r="87" spans="17:19">
      <c r="Q87" t="s">
        <v>2364</v>
      </c>
      <c r="R87" t="s">
        <v>1725</v>
      </c>
      <c r="S87" t="s">
        <v>135</v>
      </c>
    </row>
    <row r="88" spans="17:19">
      <c r="Q88" t="s">
        <v>2364</v>
      </c>
      <c r="R88" t="s">
        <v>1726</v>
      </c>
      <c r="S88" t="s">
        <v>60</v>
      </c>
    </row>
    <row r="89" spans="17:19">
      <c r="Q89" t="s">
        <v>2364</v>
      </c>
      <c r="R89" t="s">
        <v>1727</v>
      </c>
      <c r="S89" t="s">
        <v>61</v>
      </c>
    </row>
    <row r="90" spans="17:19">
      <c r="Q90" t="s">
        <v>2364</v>
      </c>
      <c r="R90" t="s">
        <v>1728</v>
      </c>
      <c r="S90" t="s">
        <v>62</v>
      </c>
    </row>
    <row r="91" spans="17:19">
      <c r="Q91" t="s">
        <v>2364</v>
      </c>
      <c r="R91" t="s">
        <v>1729</v>
      </c>
      <c r="S91" t="s">
        <v>122</v>
      </c>
    </row>
    <row r="92" spans="17:19">
      <c r="Q92" t="s">
        <v>2364</v>
      </c>
      <c r="R92" t="s">
        <v>1730</v>
      </c>
      <c r="S92" t="s">
        <v>130</v>
      </c>
    </row>
    <row r="93" spans="17:19">
      <c r="Q93" t="s">
        <v>2364</v>
      </c>
      <c r="R93" t="s">
        <v>1731</v>
      </c>
      <c r="S93" t="s">
        <v>265</v>
      </c>
    </row>
    <row r="94" spans="17:19">
      <c r="Q94" t="s">
        <v>2364</v>
      </c>
      <c r="R94" t="s">
        <v>1732</v>
      </c>
      <c r="S94" t="s">
        <v>264</v>
      </c>
    </row>
    <row r="95" spans="17:19">
      <c r="Q95" t="s">
        <v>2364</v>
      </c>
      <c r="R95" t="s">
        <v>1733</v>
      </c>
      <c r="S95" t="s">
        <v>153</v>
      </c>
    </row>
    <row r="96" spans="17:19">
      <c r="Q96" t="s">
        <v>2364</v>
      </c>
      <c r="R96" t="s">
        <v>1734</v>
      </c>
      <c r="S96" t="s">
        <v>76</v>
      </c>
    </row>
    <row r="97" spans="17:19">
      <c r="Q97" t="s">
        <v>2364</v>
      </c>
      <c r="R97" t="s">
        <v>1735</v>
      </c>
      <c r="S97" t="s">
        <v>63</v>
      </c>
    </row>
    <row r="98" spans="17:19">
      <c r="Q98" t="s">
        <v>2364</v>
      </c>
      <c r="R98" t="s">
        <v>1736</v>
      </c>
      <c r="S98" t="s">
        <v>85</v>
      </c>
    </row>
    <row r="99" spans="17:19">
      <c r="Q99" t="s">
        <v>2364</v>
      </c>
      <c r="R99" t="s">
        <v>1737</v>
      </c>
      <c r="S99" t="s">
        <v>1133</v>
      </c>
    </row>
    <row r="100" spans="17:19">
      <c r="Q100" t="s">
        <v>2366</v>
      </c>
      <c r="R100" t="s">
        <v>1725</v>
      </c>
      <c r="S100" t="s">
        <v>62</v>
      </c>
    </row>
    <row r="101" spans="17:19">
      <c r="Q101" t="s">
        <v>2366</v>
      </c>
      <c r="R101" t="s">
        <v>1726</v>
      </c>
      <c r="S101" t="s">
        <v>122</v>
      </c>
    </row>
    <row r="102" spans="17:19">
      <c r="Q102" t="s">
        <v>2367</v>
      </c>
      <c r="R102" t="s">
        <v>1725</v>
      </c>
      <c r="S102" t="s">
        <v>61</v>
      </c>
    </row>
    <row r="103" spans="17:19">
      <c r="Q103" t="s">
        <v>2367</v>
      </c>
      <c r="R103" t="s">
        <v>1726</v>
      </c>
      <c r="S103" t="s">
        <v>122</v>
      </c>
    </row>
    <row r="104" spans="17:19">
      <c r="Q104" t="s">
        <v>2367</v>
      </c>
      <c r="R104" t="s">
        <v>1727</v>
      </c>
      <c r="S104" t="s">
        <v>264</v>
      </c>
    </row>
    <row r="105" spans="17:19">
      <c r="Q105" t="s">
        <v>2367</v>
      </c>
      <c r="R105" t="s">
        <v>1728</v>
      </c>
      <c r="S105" t="s">
        <v>63</v>
      </c>
    </row>
    <row r="106" spans="17:19">
      <c r="Q106" t="s">
        <v>2368</v>
      </c>
      <c r="R106" t="s">
        <v>1725</v>
      </c>
      <c r="S106" t="s">
        <v>61</v>
      </c>
    </row>
    <row r="107" spans="17:19">
      <c r="Q107" t="s">
        <v>2368</v>
      </c>
      <c r="R107" t="s">
        <v>1726</v>
      </c>
      <c r="S107" t="s">
        <v>60</v>
      </c>
    </row>
    <row r="108" spans="17:19">
      <c r="Q108" t="s">
        <v>2368</v>
      </c>
      <c r="R108" t="s">
        <v>1727</v>
      </c>
      <c r="S108" t="s">
        <v>135</v>
      </c>
    </row>
    <row r="109" spans="17:19">
      <c r="Q109" t="s">
        <v>2368</v>
      </c>
      <c r="R109" t="s">
        <v>1728</v>
      </c>
      <c r="S109" t="s">
        <v>153</v>
      </c>
    </row>
    <row r="110" spans="17:19">
      <c r="Q110" t="s">
        <v>2368</v>
      </c>
      <c r="R110" t="s">
        <v>1729</v>
      </c>
      <c r="S110" t="s">
        <v>264</v>
      </c>
    </row>
    <row r="111" spans="17:19">
      <c r="Q111" t="s">
        <v>2369</v>
      </c>
      <c r="R111" t="s">
        <v>1725</v>
      </c>
      <c r="S111" t="s">
        <v>60</v>
      </c>
    </row>
    <row r="112" spans="17:19">
      <c r="Q112" t="s">
        <v>2369</v>
      </c>
      <c r="R112" t="s">
        <v>1726</v>
      </c>
      <c r="S112" t="s">
        <v>61</v>
      </c>
    </row>
    <row r="113" spans="17:19">
      <c r="Q113" t="s">
        <v>2369</v>
      </c>
      <c r="R113" t="s">
        <v>1727</v>
      </c>
      <c r="S113" t="s">
        <v>264</v>
      </c>
    </row>
    <row r="114" spans="17:19">
      <c r="Q114" t="s">
        <v>2370</v>
      </c>
      <c r="R114" t="s">
        <v>1725</v>
      </c>
      <c r="S114" t="s">
        <v>153</v>
      </c>
    </row>
    <row r="115" spans="17:19">
      <c r="Q115" t="s">
        <v>2370</v>
      </c>
      <c r="R115" t="s">
        <v>1726</v>
      </c>
      <c r="S115" t="s">
        <v>135</v>
      </c>
    </row>
    <row r="116" spans="17:19">
      <c r="Q116" t="s">
        <v>2371</v>
      </c>
      <c r="R116" t="s">
        <v>1725</v>
      </c>
      <c r="S116" t="s">
        <v>76</v>
      </c>
    </row>
    <row r="117" spans="17:19">
      <c r="Q117" t="s">
        <v>2372</v>
      </c>
      <c r="R117" t="s">
        <v>1725</v>
      </c>
      <c r="S117" t="s">
        <v>60</v>
      </c>
    </row>
    <row r="118" spans="17:19">
      <c r="Q118" t="s">
        <v>2372</v>
      </c>
      <c r="R118" t="s">
        <v>1726</v>
      </c>
      <c r="S118" t="s">
        <v>61</v>
      </c>
    </row>
    <row r="119" spans="17:19">
      <c r="Q119" t="s">
        <v>2372</v>
      </c>
      <c r="R119" t="s">
        <v>1727</v>
      </c>
      <c r="S119" t="s">
        <v>63</v>
      </c>
    </row>
    <row r="120" spans="17:19">
      <c r="Q120" t="s">
        <v>2373</v>
      </c>
      <c r="R120" t="s">
        <v>1725</v>
      </c>
      <c r="S120" t="s">
        <v>135</v>
      </c>
    </row>
    <row r="121" spans="17:19">
      <c r="Q121" t="s">
        <v>2373</v>
      </c>
      <c r="R121" t="s">
        <v>1726</v>
      </c>
      <c r="S121" t="s">
        <v>60</v>
      </c>
    </row>
    <row r="122" spans="17:19">
      <c r="Q122" t="s">
        <v>2373</v>
      </c>
      <c r="R122" t="s">
        <v>1727</v>
      </c>
      <c r="S122" t="s">
        <v>61</v>
      </c>
    </row>
    <row r="123" spans="17:19">
      <c r="Q123" t="s">
        <v>2373</v>
      </c>
      <c r="R123" t="s">
        <v>1728</v>
      </c>
      <c r="S123" t="s">
        <v>62</v>
      </c>
    </row>
    <row r="124" spans="17:19">
      <c r="Q124" t="s">
        <v>2373</v>
      </c>
      <c r="R124" t="s">
        <v>1729</v>
      </c>
      <c r="S124" t="s">
        <v>122</v>
      </c>
    </row>
    <row r="125" spans="17:19">
      <c r="Q125" t="s">
        <v>2373</v>
      </c>
      <c r="R125" t="s">
        <v>1730</v>
      </c>
      <c r="S125" t="s">
        <v>130</v>
      </c>
    </row>
    <row r="126" spans="17:19">
      <c r="Q126" t="s">
        <v>2373</v>
      </c>
      <c r="R126" t="s">
        <v>1731</v>
      </c>
      <c r="S126" t="s">
        <v>265</v>
      </c>
    </row>
    <row r="127" spans="17:19">
      <c r="Q127" t="s">
        <v>2373</v>
      </c>
      <c r="R127" t="s">
        <v>1732</v>
      </c>
      <c r="S127" t="s">
        <v>264</v>
      </c>
    </row>
    <row r="128" spans="17:19">
      <c r="Q128" t="s">
        <v>2373</v>
      </c>
      <c r="R128" t="s">
        <v>1733</v>
      </c>
      <c r="S128" t="s">
        <v>153</v>
      </c>
    </row>
    <row r="129" spans="17:19">
      <c r="Q129" t="s">
        <v>2373</v>
      </c>
      <c r="R129" t="s">
        <v>1734</v>
      </c>
      <c r="S129" t="s">
        <v>76</v>
      </c>
    </row>
    <row r="130" spans="17:19">
      <c r="Q130" t="s">
        <v>2373</v>
      </c>
      <c r="R130" t="s">
        <v>1735</v>
      </c>
      <c r="S130" t="s">
        <v>63</v>
      </c>
    </row>
    <row r="131" spans="17:19">
      <c r="Q131" t="s">
        <v>2373</v>
      </c>
      <c r="R131" t="s">
        <v>1736</v>
      </c>
      <c r="S131" t="s">
        <v>85</v>
      </c>
    </row>
    <row r="132" spans="17:19">
      <c r="Q132" t="s">
        <v>2373</v>
      </c>
      <c r="R132" t="s">
        <v>1737</v>
      </c>
      <c r="S132" t="s">
        <v>1133</v>
      </c>
    </row>
  </sheetData>
  <dataValidations count="1">
    <dataValidation type="list" allowBlank="1" showInputMessage="1" showErrorMessage="1" sqref="B2:N42" xr:uid="{07E3E904-142C-4518-8764-2A7BF0D4CD17}">
      <formula1>Users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21A8A-85DA-4254-8143-B6B53A71E450}">
  <dimension ref="A1:AK209"/>
  <sheetViews>
    <sheetView zoomScaleNormal="100" workbookViewId="0">
      <pane xSplit="3" ySplit="2" topLeftCell="D3" activePane="bottomRight" state="frozen"/>
      <selection pane="bottomRight" activeCell="A192" sqref="A192:XFD192"/>
      <selection pane="bottomLeft" activeCell="A3" sqref="A3"/>
      <selection pane="topRight" activeCell="D1" sqref="D1"/>
    </sheetView>
  </sheetViews>
  <sheetFormatPr defaultRowHeight="15"/>
  <cols>
    <col min="1" max="1" width="55.5703125" bestFit="1" customWidth="1"/>
    <col min="2" max="2" width="23.7109375" bestFit="1" customWidth="1"/>
    <col min="3" max="3" width="6" bestFit="1" customWidth="1"/>
    <col min="4" max="4" width="4.7109375" bestFit="1" customWidth="1"/>
    <col min="5" max="5" width="9.28515625" bestFit="1" customWidth="1"/>
    <col min="6" max="6" width="5.140625" bestFit="1" customWidth="1"/>
    <col min="7" max="7" width="9.28515625" bestFit="1" customWidth="1"/>
    <col min="8" max="8" width="10.42578125" bestFit="1" customWidth="1"/>
    <col min="9" max="9" width="215.7109375" bestFit="1" customWidth="1"/>
    <col min="10" max="10" width="166.7109375" bestFit="1" customWidth="1"/>
    <col min="11" max="11" width="215.7109375" bestFit="1" customWidth="1"/>
    <col min="12" max="12" width="10.42578125" bestFit="1" customWidth="1"/>
    <col min="13" max="13" width="11.5703125" bestFit="1" customWidth="1"/>
    <col min="14" max="14" width="12" bestFit="1" customWidth="1"/>
    <col min="15" max="15" width="13.28515625" bestFit="1" customWidth="1"/>
    <col min="16" max="16" width="8.42578125" bestFit="1" customWidth="1"/>
    <col min="17" max="18" width="9.5703125" bestFit="1" customWidth="1"/>
    <col min="19" max="19" width="10.7109375" bestFit="1" customWidth="1"/>
    <col min="20" max="20" width="9.85546875" bestFit="1" customWidth="1"/>
    <col min="21" max="22" width="11" bestFit="1" customWidth="1"/>
    <col min="23" max="23" width="12.140625" bestFit="1" customWidth="1"/>
    <col min="24" max="24" width="9.42578125" bestFit="1" customWidth="1"/>
    <col min="25" max="26" width="10.5703125" bestFit="1" customWidth="1"/>
    <col min="27" max="27" width="11.7109375" bestFit="1" customWidth="1"/>
    <col min="28" max="28" width="8.5703125" bestFit="1" customWidth="1"/>
    <col min="29" max="30" width="9.7109375" bestFit="1" customWidth="1"/>
    <col min="31" max="31" width="10.85546875" bestFit="1" customWidth="1"/>
    <col min="36" max="36" width="255.7109375" bestFit="1" customWidth="1"/>
    <col min="37" max="37" width="20.140625" bestFit="1" customWidth="1"/>
  </cols>
  <sheetData>
    <row r="1" spans="1:37" ht="15.75">
      <c r="A1" s="203" t="s">
        <v>2405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</row>
    <row r="2" spans="1:37">
      <c r="A2" s="137" t="s">
        <v>1711</v>
      </c>
      <c r="B2" s="137" t="s">
        <v>1661</v>
      </c>
      <c r="C2" s="137" t="s">
        <v>4</v>
      </c>
      <c r="D2" s="137" t="s">
        <v>2406</v>
      </c>
      <c r="E2" s="137" t="s">
        <v>1664</v>
      </c>
      <c r="F2" s="137" t="s">
        <v>2407</v>
      </c>
      <c r="G2" s="137" t="s">
        <v>2408</v>
      </c>
      <c r="H2" s="137" t="s">
        <v>2409</v>
      </c>
      <c r="I2" s="137" t="s">
        <v>2410</v>
      </c>
      <c r="J2" s="137" t="s">
        <v>2411</v>
      </c>
      <c r="K2" s="137" t="s">
        <v>2412</v>
      </c>
      <c r="L2" s="137" t="s">
        <v>2413</v>
      </c>
      <c r="M2" s="137" t="s">
        <v>2414</v>
      </c>
      <c r="N2" s="137" t="s">
        <v>2415</v>
      </c>
      <c r="O2" s="137" t="s">
        <v>2416</v>
      </c>
      <c r="P2" s="137" t="s">
        <v>2417</v>
      </c>
      <c r="Q2" s="137" t="s">
        <v>2418</v>
      </c>
      <c r="R2" s="137" t="s">
        <v>2419</v>
      </c>
      <c r="S2" s="137" t="s">
        <v>2420</v>
      </c>
      <c r="T2" s="137" t="s">
        <v>2421</v>
      </c>
      <c r="U2" s="137" t="s">
        <v>2422</v>
      </c>
      <c r="V2" s="137" t="s">
        <v>2423</v>
      </c>
      <c r="W2" s="137" t="s">
        <v>2424</v>
      </c>
      <c r="X2" s="137" t="s">
        <v>2425</v>
      </c>
      <c r="Y2" s="137" t="s">
        <v>2426</v>
      </c>
      <c r="Z2" s="137" t="s">
        <v>2427</v>
      </c>
      <c r="AA2" s="137" t="s">
        <v>2428</v>
      </c>
      <c r="AB2" s="137" t="s">
        <v>2429</v>
      </c>
      <c r="AC2" s="137" t="s">
        <v>2430</v>
      </c>
      <c r="AD2" s="137" t="s">
        <v>2431</v>
      </c>
      <c r="AE2" s="137" t="s">
        <v>2432</v>
      </c>
      <c r="AJ2" s="152" t="s">
        <v>2433</v>
      </c>
      <c r="AK2" s="152" t="s">
        <v>2434</v>
      </c>
    </row>
    <row r="3" spans="1:37">
      <c r="A3" s="139" t="s">
        <v>131</v>
      </c>
      <c r="B3" s="139" t="s">
        <v>102</v>
      </c>
      <c r="C3" s="139" t="s">
        <v>58</v>
      </c>
      <c r="D3" s="139">
        <v>8</v>
      </c>
      <c r="E3" s="140">
        <v>315000</v>
      </c>
      <c r="F3" s="142">
        <v>1</v>
      </c>
      <c r="G3" s="140">
        <v>10800</v>
      </c>
      <c r="H3" s="141">
        <f>E3-G3</f>
        <v>304200</v>
      </c>
      <c r="I3" s="139" t="s">
        <v>20</v>
      </c>
      <c r="J3" s="139" t="s">
        <v>2435</v>
      </c>
      <c r="K3" s="139"/>
      <c r="L3" s="139">
        <v>1</v>
      </c>
      <c r="M3" s="139">
        <v>1</v>
      </c>
      <c r="N3" s="139">
        <v>1</v>
      </c>
      <c r="O3" s="139">
        <v>0</v>
      </c>
      <c r="P3" s="139">
        <v>1</v>
      </c>
      <c r="Q3" s="139">
        <v>0</v>
      </c>
      <c r="R3" s="139">
        <v>1</v>
      </c>
      <c r="S3" s="139">
        <v>0</v>
      </c>
      <c r="T3" s="139">
        <v>1</v>
      </c>
      <c r="U3" s="139">
        <v>0</v>
      </c>
      <c r="V3" s="139">
        <v>1</v>
      </c>
      <c r="W3" s="139">
        <v>0</v>
      </c>
      <c r="X3" s="139">
        <v>1</v>
      </c>
      <c r="Y3" s="139">
        <v>0</v>
      </c>
      <c r="Z3" s="139">
        <v>1</v>
      </c>
      <c r="AA3" s="139">
        <v>0</v>
      </c>
      <c r="AB3" s="139">
        <v>0</v>
      </c>
      <c r="AC3" s="139">
        <v>0</v>
      </c>
      <c r="AD3" s="139">
        <v>0</v>
      </c>
      <c r="AE3" s="139">
        <v>0</v>
      </c>
      <c r="AJ3" t="s">
        <v>2436</v>
      </c>
      <c r="AK3">
        <v>1</v>
      </c>
    </row>
    <row r="4" spans="1:37">
      <c r="A4" t="s">
        <v>103</v>
      </c>
      <c r="B4" t="s">
        <v>102</v>
      </c>
      <c r="C4" t="s">
        <v>58</v>
      </c>
      <c r="D4">
        <v>8</v>
      </c>
      <c r="E4" s="138">
        <v>315000</v>
      </c>
      <c r="F4" s="143">
        <v>1</v>
      </c>
      <c r="G4" s="138">
        <v>23400</v>
      </c>
      <c r="H4" s="141">
        <f t="shared" ref="H4:H67" si="0">E4-G4</f>
        <v>291600</v>
      </c>
      <c r="I4" t="s">
        <v>25</v>
      </c>
      <c r="J4" t="s">
        <v>2437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J4" t="s">
        <v>2438</v>
      </c>
      <c r="AK4">
        <v>1</v>
      </c>
    </row>
    <row r="5" spans="1:37">
      <c r="A5" s="139" t="s">
        <v>64</v>
      </c>
      <c r="B5" s="139" t="s">
        <v>59</v>
      </c>
      <c r="C5" s="139" t="s">
        <v>58</v>
      </c>
      <c r="D5" s="139">
        <v>8</v>
      </c>
      <c r="E5" s="140">
        <v>315000</v>
      </c>
      <c r="F5" s="142">
        <v>1</v>
      </c>
      <c r="G5" s="140">
        <v>23400</v>
      </c>
      <c r="H5" s="141">
        <f t="shared" si="0"/>
        <v>291600</v>
      </c>
      <c r="I5" s="139" t="s">
        <v>25</v>
      </c>
      <c r="J5" s="139" t="s">
        <v>2437</v>
      </c>
      <c r="K5" s="139"/>
      <c r="L5" s="139">
        <v>1</v>
      </c>
      <c r="M5" s="139">
        <v>0</v>
      </c>
      <c r="N5" s="139">
        <v>1</v>
      </c>
      <c r="O5" s="139">
        <v>0</v>
      </c>
      <c r="P5" s="139">
        <v>1</v>
      </c>
      <c r="Q5" s="139">
        <v>0</v>
      </c>
      <c r="R5" s="139">
        <v>1</v>
      </c>
      <c r="S5" s="139">
        <v>0</v>
      </c>
      <c r="T5" s="139">
        <v>1</v>
      </c>
      <c r="U5" s="139">
        <v>1</v>
      </c>
      <c r="V5" s="139">
        <v>1</v>
      </c>
      <c r="W5" s="139">
        <v>0</v>
      </c>
      <c r="X5" s="139">
        <v>1</v>
      </c>
      <c r="Y5" s="139">
        <v>0</v>
      </c>
      <c r="Z5" s="139">
        <v>1</v>
      </c>
      <c r="AA5" s="139">
        <v>0</v>
      </c>
      <c r="AB5" s="139">
        <v>0</v>
      </c>
      <c r="AC5" s="139">
        <v>0</v>
      </c>
      <c r="AD5" s="139">
        <v>0</v>
      </c>
      <c r="AE5" s="139">
        <v>0</v>
      </c>
      <c r="AJ5" t="s">
        <v>2438</v>
      </c>
      <c r="AK5">
        <v>1</v>
      </c>
    </row>
    <row r="6" spans="1:37">
      <c r="A6" t="s">
        <v>132</v>
      </c>
      <c r="B6" t="s">
        <v>102</v>
      </c>
      <c r="C6" t="s">
        <v>58</v>
      </c>
      <c r="D6">
        <v>8</v>
      </c>
      <c r="E6" s="138">
        <v>315000</v>
      </c>
      <c r="F6" s="143">
        <v>1</v>
      </c>
      <c r="G6" s="138">
        <v>59400</v>
      </c>
      <c r="H6" s="141">
        <f t="shared" si="0"/>
        <v>255600</v>
      </c>
      <c r="I6" t="s">
        <v>27</v>
      </c>
      <c r="J6" t="s">
        <v>2439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J6" t="s">
        <v>2440</v>
      </c>
      <c r="AK6">
        <v>1</v>
      </c>
    </row>
    <row r="7" spans="1:37">
      <c r="A7" s="139" t="s">
        <v>117</v>
      </c>
      <c r="B7" s="139" t="s">
        <v>59</v>
      </c>
      <c r="C7" s="139" t="s">
        <v>58</v>
      </c>
      <c r="D7" s="139">
        <v>7</v>
      </c>
      <c r="E7" s="140">
        <v>255600</v>
      </c>
      <c r="F7" s="142">
        <v>1</v>
      </c>
      <c r="G7" s="140">
        <v>23400</v>
      </c>
      <c r="H7" s="141">
        <f t="shared" si="0"/>
        <v>232200</v>
      </c>
      <c r="I7" s="139" t="s">
        <v>25</v>
      </c>
      <c r="J7" s="139" t="s">
        <v>2441</v>
      </c>
      <c r="K7" s="139"/>
      <c r="L7" s="139">
        <v>1</v>
      </c>
      <c r="M7" s="139">
        <v>0</v>
      </c>
      <c r="N7" s="139">
        <v>1</v>
      </c>
      <c r="O7" s="139">
        <v>0</v>
      </c>
      <c r="P7" s="139">
        <v>1</v>
      </c>
      <c r="Q7" s="139">
        <v>0</v>
      </c>
      <c r="R7" s="139">
        <v>1</v>
      </c>
      <c r="S7" s="139">
        <v>0</v>
      </c>
      <c r="T7" s="139">
        <v>1</v>
      </c>
      <c r="U7" s="139">
        <v>1</v>
      </c>
      <c r="V7" s="139">
        <v>0</v>
      </c>
      <c r="W7" s="139">
        <v>0</v>
      </c>
      <c r="X7" s="139">
        <v>1</v>
      </c>
      <c r="Y7" s="139">
        <v>0</v>
      </c>
      <c r="Z7" s="139">
        <v>1</v>
      </c>
      <c r="AA7" s="139">
        <v>0</v>
      </c>
      <c r="AB7" s="139">
        <v>0</v>
      </c>
      <c r="AC7" s="139">
        <v>0</v>
      </c>
      <c r="AD7" s="139">
        <v>0</v>
      </c>
      <c r="AE7" s="139">
        <v>0</v>
      </c>
      <c r="AJ7" t="s">
        <v>2442</v>
      </c>
      <c r="AK7">
        <v>1</v>
      </c>
    </row>
    <row r="8" spans="1:37">
      <c r="A8" t="s">
        <v>56</v>
      </c>
      <c r="B8" t="s">
        <v>59</v>
      </c>
      <c r="C8" t="s">
        <v>58</v>
      </c>
      <c r="D8">
        <v>8</v>
      </c>
      <c r="E8" s="138">
        <v>315000</v>
      </c>
      <c r="F8" s="143">
        <v>2</v>
      </c>
      <c r="G8" s="138">
        <v>91800</v>
      </c>
      <c r="H8" s="141">
        <f t="shared" si="0"/>
        <v>223200</v>
      </c>
      <c r="I8" t="s">
        <v>2443</v>
      </c>
      <c r="J8" t="s">
        <v>2444</v>
      </c>
      <c r="L8">
        <v>1</v>
      </c>
      <c r="M8">
        <v>0</v>
      </c>
      <c r="N8">
        <v>1</v>
      </c>
      <c r="O8">
        <v>0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1</v>
      </c>
      <c r="W8">
        <v>0</v>
      </c>
      <c r="X8">
        <v>1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J8" t="s">
        <v>2445</v>
      </c>
      <c r="AK8">
        <v>2</v>
      </c>
    </row>
    <row r="9" spans="1:37">
      <c r="A9" s="139" t="s">
        <v>167</v>
      </c>
      <c r="B9" s="139" t="s">
        <v>102</v>
      </c>
      <c r="C9" s="139" t="s">
        <v>58</v>
      </c>
      <c r="D9" s="139">
        <v>6</v>
      </c>
      <c r="E9" s="140">
        <v>223200</v>
      </c>
      <c r="F9" s="142">
        <v>1</v>
      </c>
      <c r="G9" s="140">
        <v>43200</v>
      </c>
      <c r="H9" s="141">
        <f t="shared" si="0"/>
        <v>180000</v>
      </c>
      <c r="I9" s="139" t="s">
        <v>21</v>
      </c>
      <c r="J9" s="139" t="s">
        <v>2444</v>
      </c>
      <c r="K9" s="139" t="s">
        <v>21</v>
      </c>
      <c r="L9" s="139">
        <v>1</v>
      </c>
      <c r="M9" s="139">
        <v>0</v>
      </c>
      <c r="N9" s="139">
        <v>1</v>
      </c>
      <c r="O9" s="139">
        <v>0</v>
      </c>
      <c r="P9" s="139">
        <v>0</v>
      </c>
      <c r="Q9" s="139">
        <v>1</v>
      </c>
      <c r="R9" s="139">
        <v>0</v>
      </c>
      <c r="S9" s="139">
        <v>0</v>
      </c>
      <c r="T9" s="139">
        <v>1</v>
      </c>
      <c r="U9" s="139">
        <v>0</v>
      </c>
      <c r="V9" s="139">
        <v>1</v>
      </c>
      <c r="W9" s="139">
        <v>0</v>
      </c>
      <c r="X9" s="139">
        <v>1</v>
      </c>
      <c r="Y9" s="139">
        <v>0</v>
      </c>
      <c r="Z9" s="139">
        <v>1</v>
      </c>
      <c r="AA9" s="139">
        <v>0</v>
      </c>
      <c r="AB9" s="139">
        <v>0</v>
      </c>
      <c r="AC9" s="139">
        <v>0</v>
      </c>
      <c r="AD9" s="139">
        <v>0</v>
      </c>
      <c r="AE9" s="139">
        <v>0</v>
      </c>
      <c r="AJ9" t="s">
        <v>2446</v>
      </c>
      <c r="AK9">
        <v>1</v>
      </c>
    </row>
    <row r="10" spans="1:37">
      <c r="A10" t="s">
        <v>79</v>
      </c>
      <c r="B10" t="s">
        <v>59</v>
      </c>
      <c r="C10" t="s">
        <v>58</v>
      </c>
      <c r="D10">
        <v>7</v>
      </c>
      <c r="E10" s="138">
        <v>255600</v>
      </c>
      <c r="F10" s="143">
        <v>3</v>
      </c>
      <c r="G10" s="138">
        <v>61200</v>
      </c>
      <c r="H10" s="141">
        <f t="shared" si="0"/>
        <v>194400</v>
      </c>
      <c r="I10" t="s">
        <v>2447</v>
      </c>
      <c r="J10" t="s">
        <v>2448</v>
      </c>
      <c r="K10" t="s">
        <v>35</v>
      </c>
      <c r="L10">
        <v>1</v>
      </c>
      <c r="M10">
        <v>1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1</v>
      </c>
      <c r="V10">
        <v>0</v>
      </c>
      <c r="W10">
        <v>0</v>
      </c>
      <c r="X10">
        <v>1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J10" t="s">
        <v>2449</v>
      </c>
      <c r="AK10">
        <v>2</v>
      </c>
    </row>
    <row r="11" spans="1:37">
      <c r="A11" s="139" t="s">
        <v>602</v>
      </c>
      <c r="B11" s="139" t="s">
        <v>66</v>
      </c>
      <c r="C11" s="139" t="s">
        <v>58</v>
      </c>
      <c r="D11" s="139">
        <v>6</v>
      </c>
      <c r="E11" s="140">
        <v>223200</v>
      </c>
      <c r="F11" s="142">
        <v>1</v>
      </c>
      <c r="G11" s="140">
        <v>10800</v>
      </c>
      <c r="H11" s="141">
        <f t="shared" si="0"/>
        <v>212400</v>
      </c>
      <c r="I11" s="139" t="s">
        <v>20</v>
      </c>
      <c r="J11" s="139" t="s">
        <v>2450</v>
      </c>
      <c r="K11" s="139"/>
      <c r="L11" s="139">
        <v>1</v>
      </c>
      <c r="M11" s="139">
        <v>1</v>
      </c>
      <c r="N11" s="139">
        <v>1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1</v>
      </c>
      <c r="U11" s="139">
        <v>0</v>
      </c>
      <c r="V11" s="139">
        <v>1</v>
      </c>
      <c r="W11" s="139">
        <v>0</v>
      </c>
      <c r="X11" s="139">
        <v>1</v>
      </c>
      <c r="Y11" s="139">
        <v>0</v>
      </c>
      <c r="Z11" s="139">
        <v>1</v>
      </c>
      <c r="AA11" s="139">
        <v>0</v>
      </c>
      <c r="AB11" s="139">
        <v>0</v>
      </c>
      <c r="AC11" s="139">
        <v>0</v>
      </c>
      <c r="AD11" s="139">
        <v>0</v>
      </c>
      <c r="AE11" s="139">
        <v>0</v>
      </c>
      <c r="AJ11" t="s">
        <v>2436</v>
      </c>
      <c r="AK11">
        <v>1</v>
      </c>
    </row>
    <row r="12" spans="1:37">
      <c r="A12" t="s">
        <v>141</v>
      </c>
      <c r="B12" t="s">
        <v>102</v>
      </c>
      <c r="C12" t="s">
        <v>58</v>
      </c>
      <c r="D12">
        <v>6</v>
      </c>
      <c r="E12" s="138">
        <v>223200</v>
      </c>
      <c r="F12" s="143">
        <v>1</v>
      </c>
      <c r="G12" s="138">
        <v>10800</v>
      </c>
      <c r="H12" s="141">
        <f t="shared" si="0"/>
        <v>212400</v>
      </c>
      <c r="I12" t="s">
        <v>20</v>
      </c>
      <c r="J12" t="s">
        <v>2450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J12" t="s">
        <v>2436</v>
      </c>
      <c r="AK12">
        <v>1</v>
      </c>
    </row>
    <row r="13" spans="1:37">
      <c r="A13" s="139" t="s">
        <v>175</v>
      </c>
      <c r="B13" s="139" t="s">
        <v>102</v>
      </c>
      <c r="C13" s="139" t="s">
        <v>58</v>
      </c>
      <c r="D13" s="139">
        <v>6</v>
      </c>
      <c r="E13" s="140">
        <v>223200</v>
      </c>
      <c r="F13" s="142">
        <v>1</v>
      </c>
      <c r="G13" s="140">
        <v>10800</v>
      </c>
      <c r="H13" s="141">
        <f t="shared" si="0"/>
        <v>212400</v>
      </c>
      <c r="I13" s="139" t="s">
        <v>20</v>
      </c>
      <c r="J13" s="139" t="s">
        <v>2450</v>
      </c>
      <c r="K13" s="139"/>
      <c r="L13" s="139">
        <v>1</v>
      </c>
      <c r="M13" s="139">
        <v>1</v>
      </c>
      <c r="N13" s="139">
        <v>1</v>
      </c>
      <c r="O13" s="139">
        <v>0</v>
      </c>
      <c r="P13" s="139">
        <v>0</v>
      </c>
      <c r="Q13" s="139">
        <v>0</v>
      </c>
      <c r="R13" s="139">
        <v>0</v>
      </c>
      <c r="S13" s="139">
        <v>0</v>
      </c>
      <c r="T13" s="139">
        <v>1</v>
      </c>
      <c r="U13" s="139">
        <v>0</v>
      </c>
      <c r="V13" s="139">
        <v>1</v>
      </c>
      <c r="W13" s="139">
        <v>0</v>
      </c>
      <c r="X13" s="139">
        <v>1</v>
      </c>
      <c r="Y13" s="139">
        <v>0</v>
      </c>
      <c r="Z13" s="139">
        <v>1</v>
      </c>
      <c r="AA13" s="139">
        <v>0</v>
      </c>
      <c r="AB13" s="139">
        <v>0</v>
      </c>
      <c r="AC13" s="139">
        <v>0</v>
      </c>
      <c r="AD13" s="139">
        <v>0</v>
      </c>
      <c r="AE13" s="139">
        <v>0</v>
      </c>
      <c r="AJ13" t="s">
        <v>2436</v>
      </c>
      <c r="AK13">
        <v>1</v>
      </c>
    </row>
    <row r="14" spans="1:37">
      <c r="A14" t="s">
        <v>157</v>
      </c>
      <c r="B14" t="s">
        <v>102</v>
      </c>
      <c r="C14" t="s">
        <v>58</v>
      </c>
      <c r="D14">
        <v>6</v>
      </c>
      <c r="E14" s="138">
        <v>223200</v>
      </c>
      <c r="F14" s="143">
        <v>1</v>
      </c>
      <c r="G14" s="138">
        <v>23400</v>
      </c>
      <c r="H14" s="141">
        <f t="shared" si="0"/>
        <v>199800</v>
      </c>
      <c r="I14" t="s">
        <v>25</v>
      </c>
      <c r="J14" t="s">
        <v>2451</v>
      </c>
      <c r="L14">
        <v>1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J14" t="s">
        <v>2442</v>
      </c>
      <c r="AK14">
        <v>1</v>
      </c>
    </row>
    <row r="15" spans="1:37">
      <c r="A15" s="139" t="s">
        <v>78</v>
      </c>
      <c r="B15" s="139" t="s">
        <v>59</v>
      </c>
      <c r="C15" s="139" t="s">
        <v>58</v>
      </c>
      <c r="D15" s="139">
        <v>9</v>
      </c>
      <c r="E15" s="140">
        <v>342000</v>
      </c>
      <c r="F15" s="142">
        <v>4</v>
      </c>
      <c r="G15" s="140">
        <v>158400</v>
      </c>
      <c r="H15" s="141">
        <f t="shared" si="0"/>
        <v>183600</v>
      </c>
      <c r="I15" s="139" t="s">
        <v>2452</v>
      </c>
      <c r="J15" s="139" t="s">
        <v>2453</v>
      </c>
      <c r="K15" s="139"/>
      <c r="L15" s="139">
        <v>1</v>
      </c>
      <c r="M15" s="139">
        <v>1</v>
      </c>
      <c r="N15" s="139">
        <v>1</v>
      </c>
      <c r="O15" s="139">
        <v>1</v>
      </c>
      <c r="P15" s="139">
        <v>1</v>
      </c>
      <c r="Q15" s="139">
        <v>1</v>
      </c>
      <c r="R15" s="139">
        <v>1</v>
      </c>
      <c r="S15" s="139">
        <v>1</v>
      </c>
      <c r="T15" s="139">
        <v>1</v>
      </c>
      <c r="U15" s="139">
        <v>0</v>
      </c>
      <c r="V15" s="139">
        <v>1</v>
      </c>
      <c r="W15" s="139">
        <v>0</v>
      </c>
      <c r="X15" s="139">
        <v>1</v>
      </c>
      <c r="Y15" s="139">
        <v>0</v>
      </c>
      <c r="Z15" s="139">
        <v>1</v>
      </c>
      <c r="AA15" s="139">
        <v>0</v>
      </c>
      <c r="AB15" s="139">
        <v>0</v>
      </c>
      <c r="AC15" s="139">
        <v>0</v>
      </c>
      <c r="AD15" s="139">
        <v>1</v>
      </c>
      <c r="AE15" s="139">
        <v>0</v>
      </c>
      <c r="AJ15" t="s">
        <v>2454</v>
      </c>
      <c r="AK15">
        <v>4</v>
      </c>
    </row>
    <row r="16" spans="1:37">
      <c r="A16" t="s">
        <v>75</v>
      </c>
      <c r="B16" t="s">
        <v>59</v>
      </c>
      <c r="C16" t="s">
        <v>58</v>
      </c>
      <c r="D16">
        <v>9</v>
      </c>
      <c r="E16" s="138">
        <v>342000</v>
      </c>
      <c r="F16" s="143">
        <v>4</v>
      </c>
      <c r="G16" s="138">
        <v>158400</v>
      </c>
      <c r="H16" s="141">
        <f t="shared" si="0"/>
        <v>183600</v>
      </c>
      <c r="I16" t="s">
        <v>2452</v>
      </c>
      <c r="J16" t="s">
        <v>2453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J16" t="s">
        <v>2455</v>
      </c>
      <c r="AK16">
        <v>4</v>
      </c>
    </row>
    <row r="17" spans="1:37">
      <c r="A17" s="139" t="s">
        <v>440</v>
      </c>
      <c r="B17" s="139" t="s">
        <v>191</v>
      </c>
      <c r="C17" s="139" t="s">
        <v>58</v>
      </c>
      <c r="D17" s="139">
        <v>6</v>
      </c>
      <c r="E17" s="140">
        <v>192150</v>
      </c>
      <c r="F17" s="142">
        <v>1</v>
      </c>
      <c r="G17" s="140">
        <v>10800</v>
      </c>
      <c r="H17" s="141">
        <f t="shared" si="0"/>
        <v>181350</v>
      </c>
      <c r="I17" s="139" t="s">
        <v>20</v>
      </c>
      <c r="J17" s="139" t="s">
        <v>2456</v>
      </c>
      <c r="K17" s="139"/>
      <c r="L17" s="139">
        <v>1</v>
      </c>
      <c r="M17" s="139">
        <v>1</v>
      </c>
      <c r="N17" s="139">
        <v>1</v>
      </c>
      <c r="O17" s="139">
        <v>0</v>
      </c>
      <c r="P17" s="139">
        <v>0</v>
      </c>
      <c r="Q17" s="139">
        <v>0</v>
      </c>
      <c r="R17" s="139">
        <v>0</v>
      </c>
      <c r="S17" s="139">
        <v>0</v>
      </c>
      <c r="T17" s="139">
        <v>1</v>
      </c>
      <c r="U17" s="139">
        <v>0</v>
      </c>
      <c r="V17" s="139">
        <v>1</v>
      </c>
      <c r="W17" s="139">
        <v>0</v>
      </c>
      <c r="X17" s="139">
        <v>0</v>
      </c>
      <c r="Y17" s="139">
        <v>0</v>
      </c>
      <c r="Z17" s="139">
        <v>0</v>
      </c>
      <c r="AA17" s="139">
        <v>0</v>
      </c>
      <c r="AB17" s="139">
        <v>1</v>
      </c>
      <c r="AC17" s="139">
        <v>0</v>
      </c>
      <c r="AD17" s="139">
        <v>1</v>
      </c>
      <c r="AE17" s="139">
        <v>0</v>
      </c>
      <c r="AJ17" t="s">
        <v>2436</v>
      </c>
      <c r="AK17">
        <v>1</v>
      </c>
    </row>
    <row r="18" spans="1:37">
      <c r="A18" t="s">
        <v>422</v>
      </c>
      <c r="B18" t="s">
        <v>191</v>
      </c>
      <c r="C18" t="s">
        <v>58</v>
      </c>
      <c r="D18">
        <v>6</v>
      </c>
      <c r="E18" s="138">
        <v>192150</v>
      </c>
      <c r="F18" s="143">
        <v>1</v>
      </c>
      <c r="G18" s="138">
        <v>10800</v>
      </c>
      <c r="H18" s="141">
        <f t="shared" si="0"/>
        <v>181350</v>
      </c>
      <c r="I18" t="s">
        <v>20</v>
      </c>
      <c r="J18" t="s">
        <v>2456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J18" t="s">
        <v>2457</v>
      </c>
      <c r="AK18">
        <v>1</v>
      </c>
    </row>
    <row r="19" spans="1:37">
      <c r="A19" s="139" t="s">
        <v>120</v>
      </c>
      <c r="B19" s="139" t="s">
        <v>59</v>
      </c>
      <c r="C19" s="139" t="s">
        <v>92</v>
      </c>
      <c r="D19" s="139">
        <v>7</v>
      </c>
      <c r="E19" s="140">
        <v>182700</v>
      </c>
      <c r="F19" s="142">
        <v>2</v>
      </c>
      <c r="G19" s="140">
        <v>50400</v>
      </c>
      <c r="H19" s="141">
        <f t="shared" si="0"/>
        <v>132300</v>
      </c>
      <c r="I19" s="139" t="s">
        <v>2458</v>
      </c>
      <c r="J19" s="139" t="s">
        <v>2459</v>
      </c>
      <c r="K19" s="139" t="s">
        <v>27</v>
      </c>
      <c r="L19" s="139">
        <v>1</v>
      </c>
      <c r="M19" s="139">
        <v>1</v>
      </c>
      <c r="N19" s="139">
        <v>1</v>
      </c>
      <c r="O19" s="139">
        <v>0</v>
      </c>
      <c r="P19" s="139">
        <v>1</v>
      </c>
      <c r="Q19" s="139">
        <v>0</v>
      </c>
      <c r="R19" s="139">
        <v>1</v>
      </c>
      <c r="S19" s="139">
        <v>0</v>
      </c>
      <c r="T19" s="139">
        <v>1</v>
      </c>
      <c r="U19" s="139">
        <v>0</v>
      </c>
      <c r="V19" s="139">
        <v>0</v>
      </c>
      <c r="W19" s="139">
        <v>1</v>
      </c>
      <c r="X19" s="139">
        <v>1</v>
      </c>
      <c r="Y19" s="139">
        <v>0</v>
      </c>
      <c r="Z19" s="139">
        <v>1</v>
      </c>
      <c r="AA19" s="139">
        <v>0</v>
      </c>
      <c r="AB19" s="139">
        <v>0</v>
      </c>
      <c r="AC19" s="139">
        <v>0</v>
      </c>
      <c r="AD19" s="139">
        <v>0</v>
      </c>
      <c r="AE19" s="139">
        <v>0</v>
      </c>
      <c r="AJ19" t="s">
        <v>2460</v>
      </c>
      <c r="AK19">
        <v>2</v>
      </c>
    </row>
    <row r="20" spans="1:37">
      <c r="A20" t="s">
        <v>459</v>
      </c>
      <c r="B20" t="s">
        <v>191</v>
      </c>
      <c r="C20" t="s">
        <v>58</v>
      </c>
      <c r="D20">
        <v>6</v>
      </c>
      <c r="E20" s="138">
        <v>192150</v>
      </c>
      <c r="F20" s="143">
        <v>1</v>
      </c>
      <c r="G20" s="138">
        <v>27000</v>
      </c>
      <c r="H20" s="141">
        <f t="shared" si="0"/>
        <v>165150</v>
      </c>
      <c r="I20" t="s">
        <v>35</v>
      </c>
      <c r="J20" t="s">
        <v>2461</v>
      </c>
      <c r="L20">
        <v>1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1</v>
      </c>
      <c r="AE20">
        <v>1</v>
      </c>
      <c r="AJ20" t="s">
        <v>2462</v>
      </c>
      <c r="AK20">
        <v>0</v>
      </c>
    </row>
    <row r="21" spans="1:37">
      <c r="A21" s="139" t="s">
        <v>149</v>
      </c>
      <c r="B21" s="139" t="s">
        <v>102</v>
      </c>
      <c r="C21" s="139" t="s">
        <v>58</v>
      </c>
      <c r="D21" s="139">
        <v>6</v>
      </c>
      <c r="E21" s="140">
        <v>223200</v>
      </c>
      <c r="F21" s="142">
        <v>1</v>
      </c>
      <c r="G21" s="140">
        <v>59400</v>
      </c>
      <c r="H21" s="141">
        <f t="shared" si="0"/>
        <v>163800</v>
      </c>
      <c r="I21" s="139" t="s">
        <v>27</v>
      </c>
      <c r="J21" s="139" t="s">
        <v>2463</v>
      </c>
      <c r="K21" s="139"/>
      <c r="L21" s="139">
        <v>1</v>
      </c>
      <c r="M21" s="139">
        <v>0</v>
      </c>
      <c r="N21" s="139">
        <v>1</v>
      </c>
      <c r="O21" s="139">
        <v>0</v>
      </c>
      <c r="P21" s="139">
        <v>0</v>
      </c>
      <c r="Q21" s="139">
        <v>0</v>
      </c>
      <c r="R21" s="139">
        <v>0</v>
      </c>
      <c r="S21" s="139">
        <v>0</v>
      </c>
      <c r="T21" s="139">
        <v>1</v>
      </c>
      <c r="U21" s="139">
        <v>0</v>
      </c>
      <c r="V21" s="139">
        <v>1</v>
      </c>
      <c r="W21" s="139">
        <v>1</v>
      </c>
      <c r="X21" s="139">
        <v>1</v>
      </c>
      <c r="Y21" s="139">
        <v>0</v>
      </c>
      <c r="Z21" s="139">
        <v>1</v>
      </c>
      <c r="AA21" s="139">
        <v>0</v>
      </c>
      <c r="AB21" s="139">
        <v>0</v>
      </c>
      <c r="AC21" s="139">
        <v>0</v>
      </c>
      <c r="AD21" s="139">
        <v>0</v>
      </c>
      <c r="AE21" s="139">
        <v>0</v>
      </c>
      <c r="AJ21" t="s">
        <v>2464</v>
      </c>
      <c r="AK21">
        <v>1</v>
      </c>
    </row>
    <row r="22" spans="1:37">
      <c r="A22" t="s">
        <v>295</v>
      </c>
      <c r="B22" t="s">
        <v>191</v>
      </c>
      <c r="C22" t="s">
        <v>58</v>
      </c>
      <c r="D22">
        <v>7</v>
      </c>
      <c r="E22" s="138">
        <v>259200</v>
      </c>
      <c r="F22" s="143">
        <v>3</v>
      </c>
      <c r="G22" s="138">
        <v>96300</v>
      </c>
      <c r="H22" s="141">
        <f t="shared" si="0"/>
        <v>162900</v>
      </c>
      <c r="I22" t="s">
        <v>2465</v>
      </c>
      <c r="J22" t="s">
        <v>2466</v>
      </c>
      <c r="L22">
        <v>1</v>
      </c>
      <c r="M22">
        <v>1</v>
      </c>
      <c r="N22">
        <v>1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J22" t="s">
        <v>2467</v>
      </c>
      <c r="AK22">
        <v>3</v>
      </c>
    </row>
    <row r="23" spans="1:37">
      <c r="A23" s="139" t="s">
        <v>729</v>
      </c>
      <c r="B23" s="139" t="s">
        <v>152</v>
      </c>
      <c r="C23" s="139" t="s">
        <v>58</v>
      </c>
      <c r="D23" s="139">
        <v>5</v>
      </c>
      <c r="E23" s="140">
        <v>167400</v>
      </c>
      <c r="F23" s="142">
        <v>1</v>
      </c>
      <c r="G23" s="140">
        <v>10800</v>
      </c>
      <c r="H23" s="141">
        <f t="shared" si="0"/>
        <v>156600</v>
      </c>
      <c r="I23" s="139" t="s">
        <v>20</v>
      </c>
      <c r="J23" s="139" t="s">
        <v>2468</v>
      </c>
      <c r="K23" s="139"/>
      <c r="L23" s="139">
        <v>1</v>
      </c>
      <c r="M23" s="139">
        <v>1</v>
      </c>
      <c r="N23" s="139">
        <v>0</v>
      </c>
      <c r="O23" s="139">
        <v>0</v>
      </c>
      <c r="P23" s="139">
        <v>0</v>
      </c>
      <c r="Q23" s="139">
        <v>0</v>
      </c>
      <c r="R23" s="139">
        <v>0</v>
      </c>
      <c r="S23" s="139">
        <v>0</v>
      </c>
      <c r="T23" s="139">
        <v>1</v>
      </c>
      <c r="U23" s="139">
        <v>0</v>
      </c>
      <c r="V23" s="139">
        <v>1</v>
      </c>
      <c r="W23" s="139">
        <v>0</v>
      </c>
      <c r="X23" s="139">
        <v>1</v>
      </c>
      <c r="Y23" s="139">
        <v>0</v>
      </c>
      <c r="Z23" s="139">
        <v>1</v>
      </c>
      <c r="AA23" s="139">
        <v>0</v>
      </c>
      <c r="AB23" s="139">
        <v>0</v>
      </c>
      <c r="AC23" s="139">
        <v>0</v>
      </c>
      <c r="AD23" s="139">
        <v>0</v>
      </c>
      <c r="AE23" s="139">
        <v>0</v>
      </c>
      <c r="AJ23" t="s">
        <v>2436</v>
      </c>
      <c r="AK23">
        <v>1</v>
      </c>
    </row>
    <row r="24" spans="1:37">
      <c r="A24" t="s">
        <v>170</v>
      </c>
      <c r="B24" t="s">
        <v>102</v>
      </c>
      <c r="C24" t="s">
        <v>58</v>
      </c>
      <c r="D24">
        <v>6</v>
      </c>
      <c r="E24" s="138">
        <v>223200</v>
      </c>
      <c r="F24" s="143">
        <v>2</v>
      </c>
      <c r="G24" s="138">
        <v>70200</v>
      </c>
      <c r="H24" s="141">
        <f t="shared" si="0"/>
        <v>153000</v>
      </c>
      <c r="I24" t="s">
        <v>2458</v>
      </c>
      <c r="J24" t="s">
        <v>2469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J24" t="s">
        <v>2460</v>
      </c>
      <c r="AK24">
        <v>2</v>
      </c>
    </row>
    <row r="25" spans="1:37">
      <c r="A25" s="139" t="s">
        <v>166</v>
      </c>
      <c r="B25" s="139" t="s">
        <v>102</v>
      </c>
      <c r="C25" s="139" t="s">
        <v>92</v>
      </c>
      <c r="D25" s="139">
        <v>6</v>
      </c>
      <c r="E25" s="140">
        <v>160200</v>
      </c>
      <c r="F25" s="142">
        <v>1</v>
      </c>
      <c r="G25" s="140">
        <v>8100</v>
      </c>
      <c r="H25" s="141">
        <f t="shared" si="0"/>
        <v>152100</v>
      </c>
      <c r="I25" s="139" t="s">
        <v>20</v>
      </c>
      <c r="J25" s="139" t="s">
        <v>2450</v>
      </c>
      <c r="K25" s="139"/>
      <c r="L25" s="139">
        <v>1</v>
      </c>
      <c r="M25" s="139">
        <v>1</v>
      </c>
      <c r="N25" s="139">
        <v>1</v>
      </c>
      <c r="O25" s="139">
        <v>0</v>
      </c>
      <c r="P25" s="139">
        <v>0</v>
      </c>
      <c r="Q25" s="139">
        <v>0</v>
      </c>
      <c r="R25" s="139">
        <v>0</v>
      </c>
      <c r="S25" s="139">
        <v>0</v>
      </c>
      <c r="T25" s="139">
        <v>1</v>
      </c>
      <c r="U25" s="139">
        <v>0</v>
      </c>
      <c r="V25" s="139">
        <v>1</v>
      </c>
      <c r="W25" s="139">
        <v>0</v>
      </c>
      <c r="X25" s="139">
        <v>1</v>
      </c>
      <c r="Y25" s="139">
        <v>0</v>
      </c>
      <c r="Z25" s="139">
        <v>1</v>
      </c>
      <c r="AA25" s="139">
        <v>0</v>
      </c>
      <c r="AB25" s="139">
        <v>0</v>
      </c>
      <c r="AC25" s="139">
        <v>0</v>
      </c>
      <c r="AD25" s="139">
        <v>0</v>
      </c>
      <c r="AE25" s="139">
        <v>0</v>
      </c>
      <c r="AJ25" t="s">
        <v>2436</v>
      </c>
      <c r="AK25">
        <v>1</v>
      </c>
    </row>
    <row r="26" spans="1:37">
      <c r="A26" t="s">
        <v>343</v>
      </c>
      <c r="B26" t="s">
        <v>59</v>
      </c>
      <c r="C26" t="s">
        <v>58</v>
      </c>
      <c r="D26">
        <v>5</v>
      </c>
      <c r="E26" s="138">
        <v>151200</v>
      </c>
      <c r="F26" s="143">
        <v>1</v>
      </c>
      <c r="G26" s="138">
        <v>59400</v>
      </c>
      <c r="H26" s="141">
        <f t="shared" si="0"/>
        <v>91800</v>
      </c>
      <c r="I26" t="s">
        <v>27</v>
      </c>
      <c r="J26" t="s">
        <v>2470</v>
      </c>
      <c r="K26" t="s">
        <v>27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J26" t="s">
        <v>2464</v>
      </c>
      <c r="AK26">
        <v>1</v>
      </c>
    </row>
    <row r="27" spans="1:37">
      <c r="A27" s="139" t="s">
        <v>179</v>
      </c>
      <c r="B27" s="139" t="s">
        <v>59</v>
      </c>
      <c r="C27" s="139" t="s">
        <v>92</v>
      </c>
      <c r="D27" s="139">
        <v>7</v>
      </c>
      <c r="E27" s="140">
        <v>182700</v>
      </c>
      <c r="F27" s="142">
        <v>1</v>
      </c>
      <c r="G27" s="140">
        <v>34200</v>
      </c>
      <c r="H27" s="141">
        <f t="shared" si="0"/>
        <v>148500</v>
      </c>
      <c r="I27" s="139" t="s">
        <v>23</v>
      </c>
      <c r="J27" s="139" t="s">
        <v>2471</v>
      </c>
      <c r="K27" s="139"/>
      <c r="L27" s="139">
        <v>1</v>
      </c>
      <c r="M27" s="139">
        <v>0</v>
      </c>
      <c r="N27" s="139">
        <v>1</v>
      </c>
      <c r="O27" s="139">
        <v>0</v>
      </c>
      <c r="P27" s="139">
        <v>1</v>
      </c>
      <c r="Q27" s="139">
        <v>0</v>
      </c>
      <c r="R27" s="139">
        <v>1</v>
      </c>
      <c r="S27" s="139">
        <v>1</v>
      </c>
      <c r="T27" s="139">
        <v>1</v>
      </c>
      <c r="U27" s="139">
        <v>0</v>
      </c>
      <c r="V27" s="139">
        <v>0</v>
      </c>
      <c r="W27" s="139">
        <v>0</v>
      </c>
      <c r="X27" s="139">
        <v>1</v>
      </c>
      <c r="Y27" s="139">
        <v>0</v>
      </c>
      <c r="Z27" s="139">
        <v>1</v>
      </c>
      <c r="AA27" s="139">
        <v>0</v>
      </c>
      <c r="AB27" s="139">
        <v>0</v>
      </c>
      <c r="AC27" s="139">
        <v>0</v>
      </c>
      <c r="AD27" s="139">
        <v>0</v>
      </c>
      <c r="AE27" s="139">
        <v>0</v>
      </c>
      <c r="AJ27" t="s">
        <v>2472</v>
      </c>
      <c r="AK27">
        <v>1</v>
      </c>
    </row>
    <row r="28" spans="1:37">
      <c r="A28" t="s">
        <v>200</v>
      </c>
      <c r="B28" t="s">
        <v>102</v>
      </c>
      <c r="C28" t="s">
        <v>92</v>
      </c>
      <c r="D28">
        <v>6</v>
      </c>
      <c r="E28" s="138">
        <v>160200</v>
      </c>
      <c r="F28" s="143">
        <v>1</v>
      </c>
      <c r="G28" s="138">
        <v>17100</v>
      </c>
      <c r="H28" s="141">
        <f t="shared" si="0"/>
        <v>143100</v>
      </c>
      <c r="I28" t="s">
        <v>25</v>
      </c>
      <c r="J28" t="s">
        <v>2451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J28" t="s">
        <v>2442</v>
      </c>
      <c r="AK28">
        <v>1</v>
      </c>
    </row>
    <row r="29" spans="1:37">
      <c r="A29" s="139" t="s">
        <v>178</v>
      </c>
      <c r="B29" s="139" t="s">
        <v>102</v>
      </c>
      <c r="C29" s="139" t="s">
        <v>92</v>
      </c>
      <c r="D29" s="139">
        <v>6</v>
      </c>
      <c r="E29" s="140">
        <v>160200</v>
      </c>
      <c r="F29" s="142">
        <v>2</v>
      </c>
      <c r="G29" s="140">
        <v>51300</v>
      </c>
      <c r="H29" s="141">
        <f t="shared" si="0"/>
        <v>108900</v>
      </c>
      <c r="I29" s="139" t="s">
        <v>2473</v>
      </c>
      <c r="J29" s="139" t="s">
        <v>2451</v>
      </c>
      <c r="K29" s="139" t="s">
        <v>23</v>
      </c>
      <c r="L29" s="139">
        <v>1</v>
      </c>
      <c r="M29" s="139">
        <v>0</v>
      </c>
      <c r="N29" s="139">
        <v>1</v>
      </c>
      <c r="O29" s="139">
        <v>0</v>
      </c>
      <c r="P29" s="139">
        <v>0</v>
      </c>
      <c r="Q29" s="139">
        <v>0</v>
      </c>
      <c r="R29" s="139">
        <v>0</v>
      </c>
      <c r="S29" s="139">
        <v>1</v>
      </c>
      <c r="T29" s="139">
        <v>1</v>
      </c>
      <c r="U29" s="139">
        <v>1</v>
      </c>
      <c r="V29" s="139">
        <v>1</v>
      </c>
      <c r="W29" s="139">
        <v>0</v>
      </c>
      <c r="X29" s="139">
        <v>1</v>
      </c>
      <c r="Y29" s="139">
        <v>0</v>
      </c>
      <c r="Z29" s="139">
        <v>1</v>
      </c>
      <c r="AA29" s="139">
        <v>0</v>
      </c>
      <c r="AB29" s="139">
        <v>0</v>
      </c>
      <c r="AC29" s="139">
        <v>0</v>
      </c>
      <c r="AD29" s="139">
        <v>0</v>
      </c>
      <c r="AE29" s="139">
        <v>0</v>
      </c>
      <c r="AJ29" t="s">
        <v>2474</v>
      </c>
      <c r="AK29">
        <v>2</v>
      </c>
    </row>
    <row r="30" spans="1:37">
      <c r="A30" t="s">
        <v>188</v>
      </c>
      <c r="B30" t="s">
        <v>102</v>
      </c>
      <c r="C30" t="s">
        <v>92</v>
      </c>
      <c r="D30">
        <v>6</v>
      </c>
      <c r="E30" s="138">
        <v>160200</v>
      </c>
      <c r="F30" s="143">
        <v>1</v>
      </c>
      <c r="G30" s="138">
        <v>17100</v>
      </c>
      <c r="H30" s="141">
        <f t="shared" si="0"/>
        <v>143100</v>
      </c>
      <c r="I30" t="s">
        <v>25</v>
      </c>
      <c r="J30" t="s">
        <v>2451</v>
      </c>
      <c r="L30">
        <v>1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J30" t="s">
        <v>2442</v>
      </c>
      <c r="AK30">
        <v>1</v>
      </c>
    </row>
    <row r="31" spans="1:37">
      <c r="A31" s="139" t="s">
        <v>100</v>
      </c>
      <c r="B31" s="139" t="s">
        <v>59</v>
      </c>
      <c r="C31" s="139" t="s">
        <v>92</v>
      </c>
      <c r="D31" s="139">
        <v>7</v>
      </c>
      <c r="E31" s="140">
        <v>182700</v>
      </c>
      <c r="F31" s="142">
        <v>2</v>
      </c>
      <c r="G31" s="140">
        <v>42300</v>
      </c>
      <c r="H31" s="141">
        <f t="shared" si="0"/>
        <v>140400</v>
      </c>
      <c r="I31" s="139" t="s">
        <v>2475</v>
      </c>
      <c r="J31" s="139" t="s">
        <v>2476</v>
      </c>
      <c r="K31" s="139"/>
      <c r="L31" s="139">
        <v>1</v>
      </c>
      <c r="M31" s="139">
        <v>1</v>
      </c>
      <c r="N31" s="139">
        <v>1</v>
      </c>
      <c r="O31" s="139">
        <v>0</v>
      </c>
      <c r="P31" s="139">
        <v>1</v>
      </c>
      <c r="Q31" s="139">
        <v>0</v>
      </c>
      <c r="R31" s="139">
        <v>1</v>
      </c>
      <c r="S31" s="139">
        <v>1</v>
      </c>
      <c r="T31" s="139">
        <v>1</v>
      </c>
      <c r="U31" s="139">
        <v>0</v>
      </c>
      <c r="V31" s="139">
        <v>0</v>
      </c>
      <c r="W31" s="139">
        <v>0</v>
      </c>
      <c r="X31" s="139">
        <v>1</v>
      </c>
      <c r="Y31" s="139">
        <v>0</v>
      </c>
      <c r="Z31" s="139">
        <v>1</v>
      </c>
      <c r="AA31" s="139">
        <v>0</v>
      </c>
      <c r="AB31" s="139">
        <v>0</v>
      </c>
      <c r="AC31" s="139">
        <v>0</v>
      </c>
      <c r="AD31" s="139">
        <v>0</v>
      </c>
      <c r="AE31" s="139">
        <v>0</v>
      </c>
      <c r="AJ31" t="s">
        <v>2477</v>
      </c>
      <c r="AK31">
        <v>2</v>
      </c>
    </row>
    <row r="32" spans="1:37">
      <c r="A32" t="s">
        <v>361</v>
      </c>
      <c r="B32" t="s">
        <v>59</v>
      </c>
      <c r="C32" t="s">
        <v>58</v>
      </c>
      <c r="D32">
        <v>5</v>
      </c>
      <c r="E32" s="138">
        <v>151200</v>
      </c>
      <c r="F32" s="143">
        <v>3</v>
      </c>
      <c r="G32" s="138">
        <v>118800</v>
      </c>
      <c r="H32" s="141">
        <f t="shared" si="0"/>
        <v>32400</v>
      </c>
      <c r="I32" t="s">
        <v>2478</v>
      </c>
      <c r="J32" t="s">
        <v>2479</v>
      </c>
      <c r="K32" t="s">
        <v>2480</v>
      </c>
      <c r="L32">
        <v>1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J32" t="s">
        <v>2481</v>
      </c>
      <c r="AK32">
        <v>3</v>
      </c>
    </row>
    <row r="33" spans="1:37">
      <c r="A33" s="139" t="s">
        <v>105</v>
      </c>
      <c r="B33" s="139" t="s">
        <v>59</v>
      </c>
      <c r="C33" s="139" t="s">
        <v>92</v>
      </c>
      <c r="D33" s="139">
        <v>7</v>
      </c>
      <c r="E33" s="140">
        <v>182700</v>
      </c>
      <c r="F33" s="142">
        <v>2</v>
      </c>
      <c r="G33" s="140">
        <v>42300</v>
      </c>
      <c r="H33" s="141">
        <f t="shared" si="0"/>
        <v>140400</v>
      </c>
      <c r="I33" s="139" t="s">
        <v>2475</v>
      </c>
      <c r="J33" s="139" t="s">
        <v>2476</v>
      </c>
      <c r="K33" s="139"/>
      <c r="L33" s="139">
        <v>1</v>
      </c>
      <c r="M33" s="139">
        <v>1</v>
      </c>
      <c r="N33" s="139">
        <v>1</v>
      </c>
      <c r="O33" s="139">
        <v>0</v>
      </c>
      <c r="P33" s="139">
        <v>1</v>
      </c>
      <c r="Q33" s="139">
        <v>0</v>
      </c>
      <c r="R33" s="139">
        <v>1</v>
      </c>
      <c r="S33" s="139">
        <v>1</v>
      </c>
      <c r="T33" s="139">
        <v>1</v>
      </c>
      <c r="U33" s="139">
        <v>0</v>
      </c>
      <c r="V33" s="139">
        <v>0</v>
      </c>
      <c r="W33" s="139">
        <v>0</v>
      </c>
      <c r="X33" s="139">
        <v>1</v>
      </c>
      <c r="Y33" s="139">
        <v>0</v>
      </c>
      <c r="Z33" s="139">
        <v>1</v>
      </c>
      <c r="AA33" s="139">
        <v>0</v>
      </c>
      <c r="AB33" s="139">
        <v>0</v>
      </c>
      <c r="AC33" s="139">
        <v>0</v>
      </c>
      <c r="AD33" s="139">
        <v>0</v>
      </c>
      <c r="AE33" s="139">
        <v>0</v>
      </c>
      <c r="AJ33" t="s">
        <v>2477</v>
      </c>
      <c r="AK33">
        <v>2</v>
      </c>
    </row>
    <row r="34" spans="1:37">
      <c r="A34" t="s">
        <v>306</v>
      </c>
      <c r="B34" t="s">
        <v>102</v>
      </c>
      <c r="C34" t="s">
        <v>92</v>
      </c>
      <c r="D34">
        <v>6</v>
      </c>
      <c r="E34" s="138">
        <v>138150</v>
      </c>
      <c r="F34" s="143">
        <v>1</v>
      </c>
      <c r="G34" s="138">
        <v>34200</v>
      </c>
      <c r="H34" s="141">
        <f t="shared" si="0"/>
        <v>103950</v>
      </c>
      <c r="I34" t="s">
        <v>23</v>
      </c>
      <c r="J34" t="s">
        <v>2482</v>
      </c>
      <c r="K34" t="s">
        <v>23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1</v>
      </c>
      <c r="AE34">
        <v>0</v>
      </c>
      <c r="AJ34" t="s">
        <v>2472</v>
      </c>
      <c r="AK34">
        <v>1</v>
      </c>
    </row>
    <row r="35" spans="1:37">
      <c r="A35" s="139" t="s">
        <v>172</v>
      </c>
      <c r="B35" s="139" t="s">
        <v>102</v>
      </c>
      <c r="C35" s="139" t="s">
        <v>92</v>
      </c>
      <c r="D35" s="139">
        <v>6</v>
      </c>
      <c r="E35" s="140">
        <v>160200</v>
      </c>
      <c r="F35" s="142">
        <v>2</v>
      </c>
      <c r="G35" s="140">
        <v>25200</v>
      </c>
      <c r="H35" s="141">
        <f t="shared" si="0"/>
        <v>135000</v>
      </c>
      <c r="I35" s="139" t="s">
        <v>2483</v>
      </c>
      <c r="J35" s="139" t="s">
        <v>2484</v>
      </c>
      <c r="K35" s="139"/>
      <c r="L35" s="139">
        <v>1</v>
      </c>
      <c r="M35" s="139">
        <v>1</v>
      </c>
      <c r="N35" s="139">
        <v>1</v>
      </c>
      <c r="O35" s="139">
        <v>0</v>
      </c>
      <c r="P35" s="139">
        <v>0</v>
      </c>
      <c r="Q35" s="139">
        <v>0</v>
      </c>
      <c r="R35" s="139">
        <v>0</v>
      </c>
      <c r="S35" s="139">
        <v>0</v>
      </c>
      <c r="T35" s="139">
        <v>1</v>
      </c>
      <c r="U35" s="139">
        <v>1</v>
      </c>
      <c r="V35" s="139">
        <v>1</v>
      </c>
      <c r="W35" s="139">
        <v>0</v>
      </c>
      <c r="X35" s="139">
        <v>1</v>
      </c>
      <c r="Y35" s="139">
        <v>0</v>
      </c>
      <c r="Z35" s="139">
        <v>1</v>
      </c>
      <c r="AA35" s="139">
        <v>0</v>
      </c>
      <c r="AB35" s="139">
        <v>0</v>
      </c>
      <c r="AC35" s="139">
        <v>0</v>
      </c>
      <c r="AD35" s="139">
        <v>0</v>
      </c>
      <c r="AE35" s="139">
        <v>0</v>
      </c>
      <c r="AJ35" t="s">
        <v>2449</v>
      </c>
      <c r="AK35">
        <v>2</v>
      </c>
    </row>
    <row r="36" spans="1:37">
      <c r="A36" t="s">
        <v>73</v>
      </c>
      <c r="B36" t="s">
        <v>59</v>
      </c>
      <c r="C36" t="s">
        <v>58</v>
      </c>
      <c r="D36">
        <v>8</v>
      </c>
      <c r="E36" s="138">
        <v>315000</v>
      </c>
      <c r="F36" s="143">
        <v>5</v>
      </c>
      <c r="G36" s="138">
        <v>181800</v>
      </c>
      <c r="H36" s="141">
        <f t="shared" si="0"/>
        <v>133200</v>
      </c>
      <c r="I36" t="s">
        <v>2485</v>
      </c>
      <c r="J36" t="s">
        <v>2486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J36" t="s">
        <v>2487</v>
      </c>
      <c r="AK36">
        <v>5</v>
      </c>
    </row>
    <row r="37" spans="1:37">
      <c r="A37" s="139" t="s">
        <v>601</v>
      </c>
      <c r="B37" s="139" t="s">
        <v>66</v>
      </c>
      <c r="C37" s="139" t="s">
        <v>58</v>
      </c>
      <c r="D37" s="139">
        <v>4</v>
      </c>
      <c r="E37" s="140">
        <v>140400</v>
      </c>
      <c r="F37" s="142">
        <v>2</v>
      </c>
      <c r="G37" s="140">
        <v>70200</v>
      </c>
      <c r="H37" s="141">
        <f t="shared" si="0"/>
        <v>70200</v>
      </c>
      <c r="I37" s="139" t="s">
        <v>2458</v>
      </c>
      <c r="J37" s="139" t="s">
        <v>2488</v>
      </c>
      <c r="K37" s="139" t="s">
        <v>27</v>
      </c>
      <c r="L37" s="139">
        <v>1</v>
      </c>
      <c r="M37" s="139">
        <v>1</v>
      </c>
      <c r="N37" s="139">
        <v>1</v>
      </c>
      <c r="O37" s="139">
        <v>0</v>
      </c>
      <c r="P37" s="139">
        <v>0</v>
      </c>
      <c r="Q37" s="139">
        <v>0</v>
      </c>
      <c r="R37" s="139">
        <v>0</v>
      </c>
      <c r="S37" s="139">
        <v>0</v>
      </c>
      <c r="T37" s="139">
        <v>0</v>
      </c>
      <c r="U37" s="139">
        <v>0</v>
      </c>
      <c r="V37" s="139">
        <v>0</v>
      </c>
      <c r="W37" s="139">
        <v>1</v>
      </c>
      <c r="X37" s="139">
        <v>1</v>
      </c>
      <c r="Y37" s="139">
        <v>0</v>
      </c>
      <c r="Z37" s="139">
        <v>1</v>
      </c>
      <c r="AA37" s="139">
        <v>0</v>
      </c>
      <c r="AB37" s="139">
        <v>0</v>
      </c>
      <c r="AC37" s="139">
        <v>0</v>
      </c>
      <c r="AD37" s="139">
        <v>0</v>
      </c>
      <c r="AE37" s="139">
        <v>0</v>
      </c>
      <c r="AJ37" t="s">
        <v>2489</v>
      </c>
      <c r="AK37">
        <v>2</v>
      </c>
    </row>
    <row r="38" spans="1:37">
      <c r="A38" t="s">
        <v>448</v>
      </c>
      <c r="B38" t="s">
        <v>66</v>
      </c>
      <c r="C38" t="s">
        <v>58</v>
      </c>
      <c r="D38">
        <v>4</v>
      </c>
      <c r="E38" s="138">
        <v>140400</v>
      </c>
      <c r="F38" s="143">
        <v>2</v>
      </c>
      <c r="G38" s="138">
        <v>59400</v>
      </c>
      <c r="H38" s="141">
        <f t="shared" si="0"/>
        <v>81000</v>
      </c>
      <c r="I38" t="s">
        <v>2475</v>
      </c>
      <c r="J38" t="s">
        <v>2488</v>
      </c>
      <c r="K38" t="s">
        <v>23</v>
      </c>
      <c r="L38">
        <v>1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J38" t="s">
        <v>2477</v>
      </c>
      <c r="AK38">
        <v>2</v>
      </c>
    </row>
    <row r="39" spans="1:37">
      <c r="A39" s="139" t="s">
        <v>155</v>
      </c>
      <c r="B39" s="139" t="s">
        <v>66</v>
      </c>
      <c r="C39" s="139" t="s">
        <v>58</v>
      </c>
      <c r="D39" s="139">
        <v>4</v>
      </c>
      <c r="E39" s="140">
        <v>140400</v>
      </c>
      <c r="F39" s="142">
        <v>3</v>
      </c>
      <c r="G39" s="140">
        <v>77400</v>
      </c>
      <c r="H39" s="141">
        <f t="shared" si="0"/>
        <v>63000</v>
      </c>
      <c r="I39" s="139" t="s">
        <v>2490</v>
      </c>
      <c r="J39" s="139" t="s">
        <v>2488</v>
      </c>
      <c r="K39" s="139" t="s">
        <v>2491</v>
      </c>
      <c r="L39" s="139">
        <v>1</v>
      </c>
      <c r="M39" s="139">
        <v>1</v>
      </c>
      <c r="N39" s="139">
        <v>1</v>
      </c>
      <c r="O39" s="139">
        <v>0</v>
      </c>
      <c r="P39" s="139">
        <v>0</v>
      </c>
      <c r="Q39" s="139">
        <v>1</v>
      </c>
      <c r="R39" s="139">
        <v>0</v>
      </c>
      <c r="S39" s="139">
        <v>0</v>
      </c>
      <c r="T39" s="139">
        <v>0</v>
      </c>
      <c r="U39" s="139">
        <v>1</v>
      </c>
      <c r="V39" s="139">
        <v>0</v>
      </c>
      <c r="W39" s="139">
        <v>0</v>
      </c>
      <c r="X39" s="139">
        <v>1</v>
      </c>
      <c r="Y39" s="139">
        <v>0</v>
      </c>
      <c r="Z39" s="139">
        <v>1</v>
      </c>
      <c r="AA39" s="139">
        <v>0</v>
      </c>
      <c r="AB39" s="139">
        <v>0</v>
      </c>
      <c r="AC39" s="139">
        <v>0</v>
      </c>
      <c r="AD39" s="139">
        <v>0</v>
      </c>
      <c r="AE39" s="139">
        <v>0</v>
      </c>
      <c r="AJ39" t="s">
        <v>2492</v>
      </c>
      <c r="AK39">
        <v>3</v>
      </c>
    </row>
    <row r="40" spans="1:37">
      <c r="A40" t="s">
        <v>669</v>
      </c>
      <c r="B40" t="s">
        <v>66</v>
      </c>
      <c r="C40" t="s">
        <v>92</v>
      </c>
      <c r="D40">
        <v>6</v>
      </c>
      <c r="E40" s="138">
        <v>160200</v>
      </c>
      <c r="F40" s="143">
        <v>1</v>
      </c>
      <c r="G40" s="138">
        <v>31500</v>
      </c>
      <c r="H40" s="141">
        <f t="shared" si="0"/>
        <v>128700</v>
      </c>
      <c r="I40" t="s">
        <v>31</v>
      </c>
      <c r="J40" t="s">
        <v>2493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J40" t="s">
        <v>2494</v>
      </c>
      <c r="AK40">
        <v>1</v>
      </c>
    </row>
    <row r="41" spans="1:37">
      <c r="A41" s="139" t="s">
        <v>129</v>
      </c>
      <c r="B41" s="139" t="s">
        <v>59</v>
      </c>
      <c r="C41" s="139" t="s">
        <v>92</v>
      </c>
      <c r="D41" s="139">
        <v>5</v>
      </c>
      <c r="E41" s="140">
        <v>134100</v>
      </c>
      <c r="F41" s="142">
        <v>3</v>
      </c>
      <c r="G41" s="140">
        <v>67500</v>
      </c>
      <c r="H41" s="141">
        <f t="shared" si="0"/>
        <v>66600</v>
      </c>
      <c r="I41" s="139" t="s">
        <v>2495</v>
      </c>
      <c r="J41" s="139" t="s">
        <v>2496</v>
      </c>
      <c r="K41" s="139" t="s">
        <v>2497</v>
      </c>
      <c r="L41" s="139">
        <v>1</v>
      </c>
      <c r="M41" s="139">
        <v>1</v>
      </c>
      <c r="N41" s="139">
        <v>1</v>
      </c>
      <c r="O41" s="139">
        <v>0</v>
      </c>
      <c r="P41" s="139">
        <v>1</v>
      </c>
      <c r="Q41" s="139">
        <v>0</v>
      </c>
      <c r="R41" s="139">
        <v>1</v>
      </c>
      <c r="S41" s="139">
        <v>0</v>
      </c>
      <c r="T41" s="139">
        <v>0</v>
      </c>
      <c r="U41" s="139">
        <v>1</v>
      </c>
      <c r="V41" s="139">
        <v>0</v>
      </c>
      <c r="W41" s="139">
        <v>1</v>
      </c>
      <c r="X41" s="139">
        <v>1</v>
      </c>
      <c r="Y41" s="139">
        <v>0</v>
      </c>
      <c r="Z41" s="139">
        <v>0</v>
      </c>
      <c r="AA41" s="139">
        <v>0</v>
      </c>
      <c r="AB41" s="139">
        <v>0</v>
      </c>
      <c r="AC41" s="139">
        <v>0</v>
      </c>
      <c r="AD41" s="139">
        <v>0</v>
      </c>
      <c r="AE41" s="139">
        <v>0</v>
      </c>
      <c r="AJ41" t="s">
        <v>2498</v>
      </c>
      <c r="AK41">
        <v>3</v>
      </c>
    </row>
    <row r="42" spans="1:37">
      <c r="A42" t="s">
        <v>347</v>
      </c>
      <c r="B42" t="s">
        <v>59</v>
      </c>
      <c r="C42" t="s">
        <v>92</v>
      </c>
      <c r="D42">
        <v>5</v>
      </c>
      <c r="E42" s="138">
        <v>134100</v>
      </c>
      <c r="F42" s="143">
        <v>1</v>
      </c>
      <c r="G42" s="138">
        <v>8100</v>
      </c>
      <c r="H42" s="141">
        <f t="shared" si="0"/>
        <v>126000</v>
      </c>
      <c r="I42" t="s">
        <v>20</v>
      </c>
      <c r="J42" t="s">
        <v>2496</v>
      </c>
      <c r="L42">
        <v>1</v>
      </c>
      <c r="M42">
        <v>1</v>
      </c>
      <c r="N42">
        <v>1</v>
      </c>
      <c r="O42">
        <v>0</v>
      </c>
      <c r="P42">
        <v>1</v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J42" t="s">
        <v>2436</v>
      </c>
      <c r="AK42">
        <v>1</v>
      </c>
    </row>
    <row r="43" spans="1:37">
      <c r="A43" s="139" t="s">
        <v>181</v>
      </c>
      <c r="B43" s="139" t="s">
        <v>59</v>
      </c>
      <c r="C43" s="139" t="s">
        <v>92</v>
      </c>
      <c r="D43" s="139">
        <v>5</v>
      </c>
      <c r="E43" s="140">
        <v>134100</v>
      </c>
      <c r="F43" s="142">
        <v>2</v>
      </c>
      <c r="G43" s="140">
        <v>25200</v>
      </c>
      <c r="H43" s="141">
        <f t="shared" si="0"/>
        <v>108900</v>
      </c>
      <c r="I43" s="139" t="s">
        <v>2483</v>
      </c>
      <c r="J43" s="139" t="s">
        <v>2496</v>
      </c>
      <c r="K43" s="139" t="s">
        <v>25</v>
      </c>
      <c r="L43" s="139">
        <v>1</v>
      </c>
      <c r="M43" s="139">
        <v>1</v>
      </c>
      <c r="N43" s="139">
        <v>1</v>
      </c>
      <c r="O43" s="139">
        <v>0</v>
      </c>
      <c r="P43" s="139">
        <v>1</v>
      </c>
      <c r="Q43" s="139">
        <v>0</v>
      </c>
      <c r="R43" s="139">
        <v>1</v>
      </c>
      <c r="S43" s="139">
        <v>0</v>
      </c>
      <c r="T43" s="139">
        <v>0</v>
      </c>
      <c r="U43" s="139">
        <v>1</v>
      </c>
      <c r="V43" s="139">
        <v>0</v>
      </c>
      <c r="W43" s="139">
        <v>0</v>
      </c>
      <c r="X43" s="139">
        <v>1</v>
      </c>
      <c r="Y43" s="139">
        <v>0</v>
      </c>
      <c r="Z43" s="139">
        <v>0</v>
      </c>
      <c r="AA43" s="139">
        <v>0</v>
      </c>
      <c r="AB43" s="139">
        <v>0</v>
      </c>
      <c r="AC43" s="139">
        <v>0</v>
      </c>
      <c r="AD43" s="139">
        <v>0</v>
      </c>
      <c r="AE43" s="139">
        <v>0</v>
      </c>
      <c r="AJ43" t="s">
        <v>2499</v>
      </c>
      <c r="AK43">
        <v>2</v>
      </c>
    </row>
    <row r="44" spans="1:37">
      <c r="A44" t="s">
        <v>622</v>
      </c>
      <c r="B44" t="s">
        <v>191</v>
      </c>
      <c r="C44" t="s">
        <v>92</v>
      </c>
      <c r="D44">
        <v>6</v>
      </c>
      <c r="E44" s="138">
        <v>138150</v>
      </c>
      <c r="F44" s="143">
        <v>1</v>
      </c>
      <c r="G44" s="138">
        <v>17100</v>
      </c>
      <c r="H44" s="141">
        <f t="shared" si="0"/>
        <v>121050</v>
      </c>
      <c r="I44" t="s">
        <v>25</v>
      </c>
      <c r="J44" t="s">
        <v>2500</v>
      </c>
      <c r="L44">
        <v>1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1</v>
      </c>
      <c r="AE44">
        <v>0</v>
      </c>
      <c r="AJ44" t="s">
        <v>2442</v>
      </c>
      <c r="AK44">
        <v>1</v>
      </c>
    </row>
    <row r="45" spans="1:37">
      <c r="A45" s="139" t="s">
        <v>354</v>
      </c>
      <c r="B45" s="139" t="s">
        <v>102</v>
      </c>
      <c r="C45" s="139" t="s">
        <v>92</v>
      </c>
      <c r="D45" s="139">
        <v>6</v>
      </c>
      <c r="E45" s="140">
        <v>160200</v>
      </c>
      <c r="F45" s="142">
        <v>2</v>
      </c>
      <c r="G45" s="140">
        <v>62100</v>
      </c>
      <c r="H45" s="141">
        <f t="shared" si="0"/>
        <v>98100</v>
      </c>
      <c r="I45" s="139" t="s">
        <v>2501</v>
      </c>
      <c r="J45" s="139" t="s">
        <v>2463</v>
      </c>
      <c r="K45" s="139" t="s">
        <v>35</v>
      </c>
      <c r="L45" s="139">
        <v>1</v>
      </c>
      <c r="M45" s="139">
        <v>0</v>
      </c>
      <c r="N45" s="139">
        <v>1</v>
      </c>
      <c r="O45" s="139">
        <v>0</v>
      </c>
      <c r="P45" s="139">
        <v>0</v>
      </c>
      <c r="Q45" s="139">
        <v>0</v>
      </c>
      <c r="R45" s="139">
        <v>0</v>
      </c>
      <c r="S45" s="139">
        <v>0</v>
      </c>
      <c r="T45" s="139">
        <v>1</v>
      </c>
      <c r="U45" s="139">
        <v>0</v>
      </c>
      <c r="V45" s="139">
        <v>1</v>
      </c>
      <c r="W45" s="139">
        <v>1</v>
      </c>
      <c r="X45" s="139">
        <v>1</v>
      </c>
      <c r="Y45" s="139">
        <v>0</v>
      </c>
      <c r="Z45" s="139">
        <v>1</v>
      </c>
      <c r="AA45" s="139">
        <v>0</v>
      </c>
      <c r="AB45" s="139">
        <v>0</v>
      </c>
      <c r="AC45" s="139">
        <v>0</v>
      </c>
      <c r="AD45" s="139">
        <v>0</v>
      </c>
      <c r="AE45" s="139">
        <v>1</v>
      </c>
      <c r="AJ45" t="s">
        <v>2464</v>
      </c>
      <c r="AK45">
        <v>1</v>
      </c>
    </row>
    <row r="46" spans="1:37">
      <c r="A46" t="s">
        <v>963</v>
      </c>
      <c r="B46" t="s">
        <v>59</v>
      </c>
      <c r="C46" t="s">
        <v>92</v>
      </c>
      <c r="D46">
        <v>5</v>
      </c>
      <c r="E46" s="138">
        <v>123750</v>
      </c>
      <c r="F46" s="143">
        <v>1</v>
      </c>
      <c r="G46" s="138">
        <v>8100</v>
      </c>
      <c r="H46" s="141">
        <f t="shared" si="0"/>
        <v>115650</v>
      </c>
      <c r="I46" t="s">
        <v>20</v>
      </c>
      <c r="J46" t="s">
        <v>2502</v>
      </c>
      <c r="L46">
        <v>1</v>
      </c>
      <c r="M46">
        <v>1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J46" t="s">
        <v>2457</v>
      </c>
      <c r="AK46">
        <v>1</v>
      </c>
    </row>
    <row r="47" spans="1:37">
      <c r="A47" s="139" t="s">
        <v>1932</v>
      </c>
      <c r="B47" s="139" t="s">
        <v>102</v>
      </c>
      <c r="C47" s="139" t="s">
        <v>58</v>
      </c>
      <c r="D47" s="139">
        <v>4</v>
      </c>
      <c r="E47" s="140">
        <v>149400</v>
      </c>
      <c r="F47" s="142">
        <v>5</v>
      </c>
      <c r="G47" s="140">
        <v>153000</v>
      </c>
      <c r="H47" s="141">
        <f t="shared" si="0"/>
        <v>-3600</v>
      </c>
      <c r="I47" s="139" t="s">
        <v>2503</v>
      </c>
      <c r="J47" s="139" t="s">
        <v>2504</v>
      </c>
      <c r="K47" s="139" t="s">
        <v>2505</v>
      </c>
      <c r="L47" s="139">
        <v>1</v>
      </c>
      <c r="M47" s="139">
        <v>1</v>
      </c>
      <c r="N47" s="139">
        <v>1</v>
      </c>
      <c r="O47" s="139">
        <v>0</v>
      </c>
      <c r="P47" s="139">
        <v>0</v>
      </c>
      <c r="Q47" s="139">
        <v>1</v>
      </c>
      <c r="R47" s="139">
        <v>0</v>
      </c>
      <c r="S47" s="139">
        <v>1</v>
      </c>
      <c r="T47" s="139">
        <v>1</v>
      </c>
      <c r="U47" s="139">
        <v>1</v>
      </c>
      <c r="V47" s="139">
        <v>1</v>
      </c>
      <c r="W47" s="139">
        <v>0</v>
      </c>
      <c r="X47" s="139">
        <v>0</v>
      </c>
      <c r="Y47" s="139">
        <v>0</v>
      </c>
      <c r="Z47" s="139">
        <v>0</v>
      </c>
      <c r="AA47" s="139">
        <v>0</v>
      </c>
      <c r="AB47" s="139">
        <v>0</v>
      </c>
      <c r="AC47" s="139">
        <v>0</v>
      </c>
      <c r="AD47" s="139">
        <v>0</v>
      </c>
      <c r="AE47" s="139">
        <v>1</v>
      </c>
      <c r="AJ47" t="s">
        <v>2506</v>
      </c>
      <c r="AK47">
        <v>4</v>
      </c>
    </row>
    <row r="48" spans="1:37">
      <c r="A48" t="s">
        <v>199</v>
      </c>
      <c r="B48" t="s">
        <v>102</v>
      </c>
      <c r="C48" t="s">
        <v>92</v>
      </c>
      <c r="D48">
        <v>6</v>
      </c>
      <c r="E48" s="138">
        <v>138150</v>
      </c>
      <c r="F48" s="143">
        <v>2</v>
      </c>
      <c r="G48" s="138">
        <v>25200</v>
      </c>
      <c r="H48" s="141">
        <f t="shared" si="0"/>
        <v>112950</v>
      </c>
      <c r="I48" t="s">
        <v>2483</v>
      </c>
      <c r="J48" t="s">
        <v>2507</v>
      </c>
      <c r="L48">
        <v>1</v>
      </c>
      <c r="M48">
        <v>1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1</v>
      </c>
      <c r="AE48">
        <v>0</v>
      </c>
      <c r="AJ48" t="s">
        <v>2449</v>
      </c>
      <c r="AK48">
        <v>2</v>
      </c>
    </row>
    <row r="49" spans="1:37">
      <c r="A49" s="139" t="s">
        <v>466</v>
      </c>
      <c r="B49" s="139" t="s">
        <v>191</v>
      </c>
      <c r="C49" s="139" t="s">
        <v>58</v>
      </c>
      <c r="D49" s="139">
        <v>4</v>
      </c>
      <c r="E49" s="140">
        <v>109350</v>
      </c>
      <c r="F49" s="142">
        <v>1</v>
      </c>
      <c r="G49" s="140">
        <v>48600</v>
      </c>
      <c r="H49" s="141">
        <f t="shared" si="0"/>
        <v>60750</v>
      </c>
      <c r="I49" s="139" t="s">
        <v>23</v>
      </c>
      <c r="J49" s="139" t="s">
        <v>2508</v>
      </c>
      <c r="K49" s="139" t="s">
        <v>23</v>
      </c>
      <c r="L49" s="139">
        <v>1</v>
      </c>
      <c r="M49" s="139">
        <v>0</v>
      </c>
      <c r="N49" s="139">
        <v>1</v>
      </c>
      <c r="O49" s="139">
        <v>0</v>
      </c>
      <c r="P49" s="139">
        <v>0</v>
      </c>
      <c r="Q49" s="139">
        <v>0</v>
      </c>
      <c r="R49" s="139">
        <v>0</v>
      </c>
      <c r="S49" s="139">
        <v>1</v>
      </c>
      <c r="T49" s="139">
        <v>0</v>
      </c>
      <c r="U49" s="139">
        <v>0</v>
      </c>
      <c r="V49" s="139">
        <v>0</v>
      </c>
      <c r="W49" s="139">
        <v>0</v>
      </c>
      <c r="X49" s="139">
        <v>0</v>
      </c>
      <c r="Y49" s="139">
        <v>0</v>
      </c>
      <c r="Z49" s="139">
        <v>0</v>
      </c>
      <c r="AA49" s="139">
        <v>0</v>
      </c>
      <c r="AB49" s="139">
        <v>1</v>
      </c>
      <c r="AC49" s="139">
        <v>0</v>
      </c>
      <c r="AD49" s="139">
        <v>1</v>
      </c>
      <c r="AE49" s="139">
        <v>0</v>
      </c>
      <c r="AJ49" t="s">
        <v>2472</v>
      </c>
      <c r="AK49">
        <v>1</v>
      </c>
    </row>
    <row r="50" spans="1:37">
      <c r="A50" t="s">
        <v>260</v>
      </c>
      <c r="B50" t="s">
        <v>191</v>
      </c>
      <c r="C50" t="s">
        <v>58</v>
      </c>
      <c r="D50">
        <v>4</v>
      </c>
      <c r="E50" s="138">
        <v>109350</v>
      </c>
      <c r="F50" s="143">
        <v>2</v>
      </c>
      <c r="G50" s="138">
        <v>108000</v>
      </c>
      <c r="H50" s="141">
        <f t="shared" si="0"/>
        <v>1350</v>
      </c>
      <c r="I50" t="s">
        <v>2480</v>
      </c>
      <c r="J50" t="s">
        <v>2508</v>
      </c>
      <c r="K50" t="s">
        <v>2480</v>
      </c>
      <c r="L50">
        <v>1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1</v>
      </c>
      <c r="AE50">
        <v>0</v>
      </c>
      <c r="AJ50" t="s">
        <v>2509</v>
      </c>
      <c r="AK50">
        <v>2</v>
      </c>
    </row>
    <row r="51" spans="1:37">
      <c r="A51" s="139" t="s">
        <v>867</v>
      </c>
      <c r="B51" s="139" t="s">
        <v>59</v>
      </c>
      <c r="C51" s="139" t="s">
        <v>58</v>
      </c>
      <c r="D51" s="139">
        <v>4</v>
      </c>
      <c r="E51" s="140">
        <v>118350</v>
      </c>
      <c r="F51" s="142">
        <v>1</v>
      </c>
      <c r="G51" s="140">
        <v>10800</v>
      </c>
      <c r="H51" s="141">
        <f t="shared" si="0"/>
        <v>107550</v>
      </c>
      <c r="I51" s="139" t="s">
        <v>20</v>
      </c>
      <c r="J51" s="139" t="s">
        <v>2510</v>
      </c>
      <c r="K51" s="139"/>
      <c r="L51" s="139">
        <v>1</v>
      </c>
      <c r="M51" s="139">
        <v>1</v>
      </c>
      <c r="N51" s="139">
        <v>0</v>
      </c>
      <c r="O51" s="139">
        <v>0</v>
      </c>
      <c r="P51" s="139">
        <v>1</v>
      </c>
      <c r="Q51" s="139">
        <v>0</v>
      </c>
      <c r="R51" s="139">
        <v>1</v>
      </c>
      <c r="S51" s="139">
        <v>0</v>
      </c>
      <c r="T51" s="139">
        <v>0</v>
      </c>
      <c r="U51" s="139">
        <v>0</v>
      </c>
      <c r="V51" s="139">
        <v>0</v>
      </c>
      <c r="W51" s="139">
        <v>0</v>
      </c>
      <c r="X51" s="139">
        <v>0</v>
      </c>
      <c r="Y51" s="139">
        <v>0</v>
      </c>
      <c r="Z51" s="139">
        <v>0</v>
      </c>
      <c r="AA51" s="139">
        <v>0</v>
      </c>
      <c r="AB51" s="139">
        <v>1</v>
      </c>
      <c r="AC51" s="139">
        <v>0</v>
      </c>
      <c r="AD51" s="139">
        <v>0</v>
      </c>
      <c r="AE51" s="139">
        <v>0</v>
      </c>
      <c r="AJ51" t="s">
        <v>2436</v>
      </c>
      <c r="AK51">
        <v>1</v>
      </c>
    </row>
    <row r="52" spans="1:37">
      <c r="A52" t="s">
        <v>820</v>
      </c>
      <c r="B52" t="s">
        <v>59</v>
      </c>
      <c r="C52" t="s">
        <v>58</v>
      </c>
      <c r="D52">
        <v>4</v>
      </c>
      <c r="E52" s="138">
        <v>118350</v>
      </c>
      <c r="F52" s="143">
        <v>1</v>
      </c>
      <c r="G52" s="138">
        <v>10800</v>
      </c>
      <c r="H52" s="141">
        <f t="shared" si="0"/>
        <v>107550</v>
      </c>
      <c r="I52" t="s">
        <v>20</v>
      </c>
      <c r="J52" t="s">
        <v>2510</v>
      </c>
      <c r="L52">
        <v>1</v>
      </c>
      <c r="M52">
        <v>1</v>
      </c>
      <c r="N52">
        <v>0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J52" t="s">
        <v>2436</v>
      </c>
      <c r="AK52">
        <v>1</v>
      </c>
    </row>
    <row r="53" spans="1:37">
      <c r="A53" s="139" t="s">
        <v>490</v>
      </c>
      <c r="B53" s="139" t="s">
        <v>102</v>
      </c>
      <c r="C53" s="139" t="s">
        <v>92</v>
      </c>
      <c r="D53" s="139">
        <v>4</v>
      </c>
      <c r="E53" s="140">
        <v>107100</v>
      </c>
      <c r="F53" s="142">
        <v>1</v>
      </c>
      <c r="G53" s="140">
        <v>34200</v>
      </c>
      <c r="H53" s="141">
        <f t="shared" si="0"/>
        <v>72900</v>
      </c>
      <c r="I53" s="139" t="s">
        <v>23</v>
      </c>
      <c r="J53" s="139" t="s">
        <v>2511</v>
      </c>
      <c r="K53" s="139" t="s">
        <v>23</v>
      </c>
      <c r="L53" s="139">
        <v>1</v>
      </c>
      <c r="M53" s="139">
        <v>0</v>
      </c>
      <c r="N53" s="139">
        <v>1</v>
      </c>
      <c r="O53" s="139">
        <v>0</v>
      </c>
      <c r="P53" s="139">
        <v>0</v>
      </c>
      <c r="Q53" s="139">
        <v>0</v>
      </c>
      <c r="R53" s="139">
        <v>0</v>
      </c>
      <c r="S53" s="139">
        <v>1</v>
      </c>
      <c r="T53" s="139">
        <v>1</v>
      </c>
      <c r="U53" s="139">
        <v>0</v>
      </c>
      <c r="V53" s="139">
        <v>1</v>
      </c>
      <c r="W53" s="139">
        <v>0</v>
      </c>
      <c r="X53" s="139">
        <v>0</v>
      </c>
      <c r="Y53" s="139">
        <v>0</v>
      </c>
      <c r="Z53" s="139">
        <v>0</v>
      </c>
      <c r="AA53" s="139">
        <v>0</v>
      </c>
      <c r="AB53" s="139">
        <v>0</v>
      </c>
      <c r="AC53" s="139">
        <v>0</v>
      </c>
      <c r="AD53" s="139">
        <v>0</v>
      </c>
      <c r="AE53" s="139">
        <v>0</v>
      </c>
      <c r="AJ53" t="s">
        <v>2472</v>
      </c>
      <c r="AK53">
        <v>1</v>
      </c>
    </row>
    <row r="54" spans="1:37">
      <c r="A54" t="s">
        <v>431</v>
      </c>
      <c r="B54" t="s">
        <v>59</v>
      </c>
      <c r="C54" t="s">
        <v>92</v>
      </c>
      <c r="D54">
        <v>5</v>
      </c>
      <c r="E54" s="138">
        <v>134100</v>
      </c>
      <c r="F54" s="143">
        <v>1</v>
      </c>
      <c r="G54" s="138">
        <v>30600</v>
      </c>
      <c r="H54" s="141">
        <f t="shared" si="0"/>
        <v>103500</v>
      </c>
      <c r="I54" t="s">
        <v>21</v>
      </c>
      <c r="J54" t="s">
        <v>2512</v>
      </c>
      <c r="L54">
        <v>1</v>
      </c>
      <c r="M54">
        <v>0</v>
      </c>
      <c r="N54">
        <v>1</v>
      </c>
      <c r="O54">
        <v>0</v>
      </c>
      <c r="P54">
        <v>1</v>
      </c>
      <c r="Q54">
        <v>1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J54" t="s">
        <v>2513</v>
      </c>
      <c r="AK54">
        <v>1</v>
      </c>
    </row>
    <row r="55" spans="1:37">
      <c r="A55" s="139" t="s">
        <v>118</v>
      </c>
      <c r="B55" s="139" t="s">
        <v>59</v>
      </c>
      <c r="C55" s="139" t="s">
        <v>92</v>
      </c>
      <c r="D55" s="139">
        <v>5</v>
      </c>
      <c r="E55" s="140">
        <v>134100</v>
      </c>
      <c r="F55" s="142">
        <v>1</v>
      </c>
      <c r="G55" s="140">
        <v>34200</v>
      </c>
      <c r="H55" s="141">
        <f t="shared" si="0"/>
        <v>99900</v>
      </c>
      <c r="I55" s="139" t="s">
        <v>23</v>
      </c>
      <c r="J55" s="139" t="s">
        <v>2514</v>
      </c>
      <c r="K55" s="139"/>
      <c r="L55" s="139">
        <v>1</v>
      </c>
      <c r="M55" s="139">
        <v>0</v>
      </c>
      <c r="N55" s="139">
        <v>1</v>
      </c>
      <c r="O55" s="139">
        <v>0</v>
      </c>
      <c r="P55" s="139">
        <v>1</v>
      </c>
      <c r="Q55" s="139">
        <v>0</v>
      </c>
      <c r="R55" s="139">
        <v>1</v>
      </c>
      <c r="S55" s="139">
        <v>1</v>
      </c>
      <c r="T55" s="139">
        <v>0</v>
      </c>
      <c r="U55" s="139">
        <v>0</v>
      </c>
      <c r="V55" s="139">
        <v>0</v>
      </c>
      <c r="W55" s="139">
        <v>0</v>
      </c>
      <c r="X55" s="139">
        <v>1</v>
      </c>
      <c r="Y55" s="139">
        <v>0</v>
      </c>
      <c r="Z55" s="139">
        <v>0</v>
      </c>
      <c r="AA55" s="139">
        <v>0</v>
      </c>
      <c r="AB55" s="139">
        <v>0</v>
      </c>
      <c r="AC55" s="139">
        <v>0</v>
      </c>
      <c r="AD55" s="139">
        <v>0</v>
      </c>
      <c r="AE55" s="139">
        <v>0</v>
      </c>
      <c r="AJ55" t="s">
        <v>2515</v>
      </c>
      <c r="AK55">
        <v>1</v>
      </c>
    </row>
    <row r="56" spans="1:37">
      <c r="A56" t="s">
        <v>158</v>
      </c>
      <c r="B56" t="s">
        <v>102</v>
      </c>
      <c r="C56" t="s">
        <v>92</v>
      </c>
      <c r="D56">
        <v>4</v>
      </c>
      <c r="E56" s="138">
        <v>107100</v>
      </c>
      <c r="F56" s="143">
        <v>2</v>
      </c>
      <c r="G56" s="138">
        <v>29700</v>
      </c>
      <c r="H56" s="141">
        <f t="shared" si="0"/>
        <v>77400</v>
      </c>
      <c r="I56" t="s">
        <v>2516</v>
      </c>
      <c r="J56" t="s">
        <v>2517</v>
      </c>
      <c r="K56" t="s">
        <v>29</v>
      </c>
      <c r="L56">
        <v>1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J56" t="s">
        <v>2518</v>
      </c>
      <c r="AK56">
        <v>2</v>
      </c>
    </row>
    <row r="57" spans="1:37">
      <c r="A57" s="139" t="s">
        <v>425</v>
      </c>
      <c r="B57" s="139" t="s">
        <v>102</v>
      </c>
      <c r="C57" s="139" t="s">
        <v>92</v>
      </c>
      <c r="D57" s="139">
        <v>4</v>
      </c>
      <c r="E57" s="140">
        <v>107100</v>
      </c>
      <c r="F57" s="142">
        <v>1</v>
      </c>
      <c r="G57" s="140">
        <v>8100</v>
      </c>
      <c r="H57" s="141">
        <f t="shared" si="0"/>
        <v>99000</v>
      </c>
      <c r="I57" s="139" t="s">
        <v>20</v>
      </c>
      <c r="J57" s="139" t="s">
        <v>2517</v>
      </c>
      <c r="K57" s="139"/>
      <c r="L57" s="139">
        <v>1</v>
      </c>
      <c r="M57" s="139">
        <v>1</v>
      </c>
      <c r="N57" s="139">
        <v>1</v>
      </c>
      <c r="O57" s="139">
        <v>0</v>
      </c>
      <c r="P57" s="139">
        <v>0</v>
      </c>
      <c r="Q57" s="139">
        <v>0</v>
      </c>
      <c r="R57" s="139">
        <v>0</v>
      </c>
      <c r="S57" s="139">
        <v>0</v>
      </c>
      <c r="T57" s="139">
        <v>1</v>
      </c>
      <c r="U57" s="139">
        <v>0</v>
      </c>
      <c r="V57" s="139">
        <v>1</v>
      </c>
      <c r="W57" s="139">
        <v>0</v>
      </c>
      <c r="X57" s="139">
        <v>0</v>
      </c>
      <c r="Y57" s="139">
        <v>0</v>
      </c>
      <c r="Z57" s="139">
        <v>0</v>
      </c>
      <c r="AA57" s="139">
        <v>0</v>
      </c>
      <c r="AB57" s="139">
        <v>0</v>
      </c>
      <c r="AC57" s="139">
        <v>0</v>
      </c>
      <c r="AD57" s="139">
        <v>0</v>
      </c>
      <c r="AE57" s="139">
        <v>0</v>
      </c>
      <c r="AJ57" t="s">
        <v>2457</v>
      </c>
      <c r="AK57">
        <v>1</v>
      </c>
    </row>
    <row r="58" spans="1:37">
      <c r="A58" t="s">
        <v>296</v>
      </c>
      <c r="B58" t="s">
        <v>191</v>
      </c>
      <c r="C58" t="s">
        <v>58</v>
      </c>
      <c r="D58">
        <v>6</v>
      </c>
      <c r="E58" s="138">
        <v>192150</v>
      </c>
      <c r="F58" s="143">
        <v>4</v>
      </c>
      <c r="G58" s="138">
        <v>142200</v>
      </c>
      <c r="H58" s="141">
        <f t="shared" si="0"/>
        <v>49950</v>
      </c>
      <c r="I58" t="s">
        <v>2519</v>
      </c>
      <c r="J58" t="s">
        <v>2520</v>
      </c>
      <c r="K58" t="s">
        <v>23</v>
      </c>
      <c r="L58">
        <v>1</v>
      </c>
      <c r="M58">
        <v>1</v>
      </c>
      <c r="N58">
        <v>1</v>
      </c>
      <c r="O58">
        <v>0</v>
      </c>
      <c r="P58">
        <v>0</v>
      </c>
      <c r="Q58">
        <v>0</v>
      </c>
      <c r="R58">
        <v>0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1</v>
      </c>
      <c r="AE58">
        <v>0</v>
      </c>
      <c r="AJ58" t="s">
        <v>2521</v>
      </c>
      <c r="AK58">
        <v>4</v>
      </c>
    </row>
    <row r="59" spans="1:37">
      <c r="A59" s="139" t="s">
        <v>97</v>
      </c>
      <c r="B59" s="139" t="s">
        <v>59</v>
      </c>
      <c r="C59" s="139" t="s">
        <v>92</v>
      </c>
      <c r="D59" s="139">
        <v>7</v>
      </c>
      <c r="E59" s="140">
        <v>193500</v>
      </c>
      <c r="F59" s="142">
        <v>4</v>
      </c>
      <c r="G59" s="140">
        <v>95400</v>
      </c>
      <c r="H59" s="141">
        <f t="shared" si="0"/>
        <v>98100</v>
      </c>
      <c r="I59" s="139" t="s">
        <v>2522</v>
      </c>
      <c r="J59" s="139" t="s">
        <v>2523</v>
      </c>
      <c r="K59" s="139"/>
      <c r="L59" s="139">
        <v>1</v>
      </c>
      <c r="M59" s="139">
        <v>1</v>
      </c>
      <c r="N59" s="139">
        <v>1</v>
      </c>
      <c r="O59" s="139">
        <v>1</v>
      </c>
      <c r="P59" s="139">
        <v>1</v>
      </c>
      <c r="Q59" s="139">
        <v>1</v>
      </c>
      <c r="R59" s="139">
        <v>1</v>
      </c>
      <c r="S59" s="139">
        <v>0</v>
      </c>
      <c r="T59" s="139">
        <v>1</v>
      </c>
      <c r="U59" s="139">
        <v>1</v>
      </c>
      <c r="V59" s="139">
        <v>1</v>
      </c>
      <c r="W59" s="139">
        <v>0</v>
      </c>
      <c r="X59" s="139">
        <v>1</v>
      </c>
      <c r="Y59" s="139">
        <v>0</v>
      </c>
      <c r="Z59" s="139">
        <v>0</v>
      </c>
      <c r="AA59" s="139">
        <v>0</v>
      </c>
      <c r="AB59" s="139">
        <v>0</v>
      </c>
      <c r="AC59" s="139">
        <v>0</v>
      </c>
      <c r="AD59" s="139">
        <v>0</v>
      </c>
      <c r="AE59" s="139">
        <v>0</v>
      </c>
      <c r="AJ59" t="s">
        <v>2524</v>
      </c>
      <c r="AK59">
        <v>4</v>
      </c>
    </row>
    <row r="60" spans="1:37">
      <c r="A60" t="s">
        <v>301</v>
      </c>
      <c r="B60" t="s">
        <v>102</v>
      </c>
      <c r="C60" t="s">
        <v>92</v>
      </c>
      <c r="D60">
        <v>6</v>
      </c>
      <c r="E60" s="138">
        <v>138150</v>
      </c>
      <c r="F60" s="143">
        <v>1</v>
      </c>
      <c r="G60" s="138">
        <v>42300</v>
      </c>
      <c r="H60" s="141">
        <f t="shared" si="0"/>
        <v>95850</v>
      </c>
      <c r="I60" t="s">
        <v>27</v>
      </c>
      <c r="J60" t="s">
        <v>2525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0</v>
      </c>
      <c r="AJ60" t="s">
        <v>2440</v>
      </c>
      <c r="AK60">
        <v>1</v>
      </c>
    </row>
    <row r="61" spans="1:37">
      <c r="A61" s="139" t="s">
        <v>230</v>
      </c>
      <c r="B61" s="139" t="s">
        <v>102</v>
      </c>
      <c r="C61" s="139" t="s">
        <v>92</v>
      </c>
      <c r="D61" s="139">
        <v>6</v>
      </c>
      <c r="E61" s="140">
        <v>160200</v>
      </c>
      <c r="F61" s="142">
        <v>3</v>
      </c>
      <c r="G61" s="140">
        <v>67500</v>
      </c>
      <c r="H61" s="141">
        <f t="shared" si="0"/>
        <v>92700</v>
      </c>
      <c r="I61" s="139" t="s">
        <v>2495</v>
      </c>
      <c r="J61" s="139" t="s">
        <v>2488</v>
      </c>
      <c r="K61" s="139"/>
      <c r="L61" s="139">
        <v>1</v>
      </c>
      <c r="M61" s="139">
        <v>1</v>
      </c>
      <c r="N61" s="139">
        <v>1</v>
      </c>
      <c r="O61" s="139">
        <v>0</v>
      </c>
      <c r="P61" s="139">
        <v>0</v>
      </c>
      <c r="Q61" s="139">
        <v>0</v>
      </c>
      <c r="R61" s="139">
        <v>0</v>
      </c>
      <c r="S61" s="139">
        <v>0</v>
      </c>
      <c r="T61" s="139">
        <v>1</v>
      </c>
      <c r="U61" s="139">
        <v>1</v>
      </c>
      <c r="V61" s="139">
        <v>1</v>
      </c>
      <c r="W61" s="139">
        <v>1</v>
      </c>
      <c r="X61" s="139">
        <v>1</v>
      </c>
      <c r="Y61" s="139">
        <v>0</v>
      </c>
      <c r="Z61" s="139">
        <v>1</v>
      </c>
      <c r="AA61" s="139">
        <v>0</v>
      </c>
      <c r="AB61" s="139">
        <v>0</v>
      </c>
      <c r="AC61" s="139">
        <v>0</v>
      </c>
      <c r="AD61" s="139">
        <v>0</v>
      </c>
      <c r="AE61" s="139">
        <v>0</v>
      </c>
      <c r="AJ61" t="s">
        <v>2526</v>
      </c>
      <c r="AK61">
        <v>3</v>
      </c>
    </row>
    <row r="62" spans="1:37">
      <c r="A62" t="s">
        <v>553</v>
      </c>
      <c r="B62" t="s">
        <v>66</v>
      </c>
      <c r="C62" t="s">
        <v>92</v>
      </c>
      <c r="D62">
        <v>6</v>
      </c>
      <c r="E62" s="138">
        <v>160200</v>
      </c>
      <c r="F62" s="143">
        <v>3</v>
      </c>
      <c r="G62" s="138">
        <v>67500</v>
      </c>
      <c r="H62" s="141">
        <f t="shared" si="0"/>
        <v>92700</v>
      </c>
      <c r="I62" t="s">
        <v>2495</v>
      </c>
      <c r="J62" t="s">
        <v>2488</v>
      </c>
      <c r="L62">
        <v>1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J62" t="s">
        <v>2526</v>
      </c>
      <c r="AK62">
        <v>3</v>
      </c>
    </row>
    <row r="63" spans="1:37">
      <c r="A63" s="139" t="s">
        <v>161</v>
      </c>
      <c r="B63" s="139" t="s">
        <v>59</v>
      </c>
      <c r="C63" s="139" t="s">
        <v>92</v>
      </c>
      <c r="D63" s="139">
        <v>5</v>
      </c>
      <c r="E63" s="140">
        <v>134100</v>
      </c>
      <c r="F63" s="142">
        <v>2</v>
      </c>
      <c r="G63" s="140">
        <v>42300</v>
      </c>
      <c r="H63" s="141">
        <f t="shared" si="0"/>
        <v>91800</v>
      </c>
      <c r="I63" s="139" t="s">
        <v>2475</v>
      </c>
      <c r="J63" s="139" t="s">
        <v>2527</v>
      </c>
      <c r="K63" s="139"/>
      <c r="L63" s="139">
        <v>1</v>
      </c>
      <c r="M63" s="139">
        <v>1</v>
      </c>
      <c r="N63" s="139">
        <v>1</v>
      </c>
      <c r="O63" s="139">
        <v>0</v>
      </c>
      <c r="P63" s="139">
        <v>1</v>
      </c>
      <c r="Q63" s="139">
        <v>0</v>
      </c>
      <c r="R63" s="139">
        <v>1</v>
      </c>
      <c r="S63" s="139">
        <v>1</v>
      </c>
      <c r="T63" s="139">
        <v>0</v>
      </c>
      <c r="U63" s="139">
        <v>0</v>
      </c>
      <c r="V63" s="139">
        <v>0</v>
      </c>
      <c r="W63" s="139">
        <v>0</v>
      </c>
      <c r="X63" s="139">
        <v>1</v>
      </c>
      <c r="Y63" s="139">
        <v>0</v>
      </c>
      <c r="Z63" s="139">
        <v>0</v>
      </c>
      <c r="AA63" s="139">
        <v>0</v>
      </c>
      <c r="AB63" s="139">
        <v>0</v>
      </c>
      <c r="AC63" s="139">
        <v>0</v>
      </c>
      <c r="AD63" s="139">
        <v>0</v>
      </c>
      <c r="AE63" s="139">
        <v>0</v>
      </c>
      <c r="AJ63" t="s">
        <v>2477</v>
      </c>
      <c r="AK63">
        <v>2</v>
      </c>
    </row>
    <row r="64" spans="1:37">
      <c r="A64" t="s">
        <v>298</v>
      </c>
      <c r="B64" t="s">
        <v>102</v>
      </c>
      <c r="C64" t="s">
        <v>92</v>
      </c>
      <c r="D64">
        <v>4</v>
      </c>
      <c r="E64" s="138">
        <v>107100</v>
      </c>
      <c r="F64" s="143">
        <v>1</v>
      </c>
      <c r="G64" s="138">
        <v>17100</v>
      </c>
      <c r="H64" s="141">
        <f t="shared" si="0"/>
        <v>90000</v>
      </c>
      <c r="I64" t="s">
        <v>25</v>
      </c>
      <c r="J64" t="s">
        <v>2528</v>
      </c>
      <c r="L64">
        <v>1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J64" t="s">
        <v>2442</v>
      </c>
      <c r="AK64">
        <v>1</v>
      </c>
    </row>
    <row r="65" spans="1:37">
      <c r="A65" s="139" t="s">
        <v>314</v>
      </c>
      <c r="B65" s="139" t="s">
        <v>102</v>
      </c>
      <c r="C65" s="139" t="s">
        <v>92</v>
      </c>
      <c r="D65" s="139">
        <v>4</v>
      </c>
      <c r="E65" s="140">
        <v>107100</v>
      </c>
      <c r="F65" s="142">
        <v>1</v>
      </c>
      <c r="G65" s="140">
        <v>17100</v>
      </c>
      <c r="H65" s="141">
        <f t="shared" si="0"/>
        <v>90000</v>
      </c>
      <c r="I65" s="139" t="s">
        <v>25</v>
      </c>
      <c r="J65" s="139" t="s">
        <v>2528</v>
      </c>
      <c r="K65" s="139"/>
      <c r="L65" s="139">
        <v>1</v>
      </c>
      <c r="M65" s="139">
        <v>0</v>
      </c>
      <c r="N65" s="139">
        <v>1</v>
      </c>
      <c r="O65" s="139">
        <v>0</v>
      </c>
      <c r="P65" s="139">
        <v>0</v>
      </c>
      <c r="Q65" s="139">
        <v>0</v>
      </c>
      <c r="R65" s="139">
        <v>0</v>
      </c>
      <c r="S65" s="139">
        <v>0</v>
      </c>
      <c r="T65" s="139">
        <v>1</v>
      </c>
      <c r="U65" s="139">
        <v>1</v>
      </c>
      <c r="V65" s="139">
        <v>1</v>
      </c>
      <c r="W65" s="139">
        <v>0</v>
      </c>
      <c r="X65" s="139">
        <v>0</v>
      </c>
      <c r="Y65" s="139">
        <v>0</v>
      </c>
      <c r="Z65" s="139">
        <v>0</v>
      </c>
      <c r="AA65" s="139">
        <v>0</v>
      </c>
      <c r="AB65" s="139">
        <v>0</v>
      </c>
      <c r="AC65" s="139">
        <v>0</v>
      </c>
      <c r="AD65" s="139">
        <v>0</v>
      </c>
      <c r="AE65" s="139">
        <v>0</v>
      </c>
      <c r="AJ65" t="s">
        <v>2442</v>
      </c>
      <c r="AK65">
        <v>1</v>
      </c>
    </row>
    <row r="66" spans="1:37">
      <c r="A66" t="s">
        <v>1115</v>
      </c>
      <c r="B66" t="s">
        <v>102</v>
      </c>
      <c r="C66" t="s">
        <v>92</v>
      </c>
      <c r="D66">
        <v>4</v>
      </c>
      <c r="E66" s="138">
        <v>84150</v>
      </c>
      <c r="F66" s="143">
        <v>1</v>
      </c>
      <c r="G66" s="138">
        <v>42300</v>
      </c>
      <c r="H66" s="141">
        <f t="shared" si="0"/>
        <v>41850</v>
      </c>
      <c r="I66" t="s">
        <v>27</v>
      </c>
      <c r="J66" t="s">
        <v>2529</v>
      </c>
      <c r="K66" t="s">
        <v>27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J66" t="s">
        <v>2440</v>
      </c>
      <c r="AK66">
        <v>1</v>
      </c>
    </row>
    <row r="67" spans="1:37">
      <c r="A67" s="139" t="s">
        <v>193</v>
      </c>
      <c r="B67" s="139" t="s">
        <v>191</v>
      </c>
      <c r="C67" s="139" t="s">
        <v>58</v>
      </c>
      <c r="D67" s="139">
        <v>4</v>
      </c>
      <c r="E67" s="140">
        <v>109350</v>
      </c>
      <c r="F67" s="142">
        <v>1</v>
      </c>
      <c r="G67" s="140">
        <v>27000</v>
      </c>
      <c r="H67" s="141">
        <f t="shared" si="0"/>
        <v>82350</v>
      </c>
      <c r="I67" s="139" t="s">
        <v>35</v>
      </c>
      <c r="J67" s="139" t="s">
        <v>2530</v>
      </c>
      <c r="K67" s="139"/>
      <c r="L67" s="139">
        <v>1</v>
      </c>
      <c r="M67" s="139">
        <v>0</v>
      </c>
      <c r="N67" s="139">
        <v>1</v>
      </c>
      <c r="O67" s="139">
        <v>0</v>
      </c>
      <c r="P67" s="139">
        <v>0</v>
      </c>
      <c r="Q67" s="139">
        <v>0</v>
      </c>
      <c r="R67" s="139">
        <v>0</v>
      </c>
      <c r="S67" s="139">
        <v>0</v>
      </c>
      <c r="T67" s="139">
        <v>0</v>
      </c>
      <c r="U67" s="139">
        <v>0</v>
      </c>
      <c r="V67" s="139">
        <v>0</v>
      </c>
      <c r="W67" s="139">
        <v>0</v>
      </c>
      <c r="X67" s="139">
        <v>0</v>
      </c>
      <c r="Y67" s="139">
        <v>0</v>
      </c>
      <c r="Z67" s="139">
        <v>0</v>
      </c>
      <c r="AA67" s="139">
        <v>0</v>
      </c>
      <c r="AB67" s="139">
        <v>1</v>
      </c>
      <c r="AC67" s="139">
        <v>0</v>
      </c>
      <c r="AD67" s="139">
        <v>1</v>
      </c>
      <c r="AE67" s="139">
        <v>1</v>
      </c>
      <c r="AJ67" t="s">
        <v>2462</v>
      </c>
      <c r="AK67">
        <v>0</v>
      </c>
    </row>
    <row r="68" spans="1:37">
      <c r="A68" t="s">
        <v>307</v>
      </c>
      <c r="B68" t="s">
        <v>191</v>
      </c>
      <c r="C68" t="s">
        <v>58</v>
      </c>
      <c r="D68">
        <v>4</v>
      </c>
      <c r="E68" s="138">
        <v>109350</v>
      </c>
      <c r="F68" s="143">
        <v>1</v>
      </c>
      <c r="G68" s="138">
        <v>27000</v>
      </c>
      <c r="H68" s="141">
        <f t="shared" ref="H68:H131" si="1">E68-G68</f>
        <v>82350</v>
      </c>
      <c r="I68" t="s">
        <v>35</v>
      </c>
      <c r="J68" t="s">
        <v>2530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1</v>
      </c>
      <c r="AE68">
        <v>1</v>
      </c>
      <c r="AJ68" t="s">
        <v>2462</v>
      </c>
      <c r="AK68">
        <v>0</v>
      </c>
    </row>
    <row r="69" spans="1:37">
      <c r="A69" s="139" t="s">
        <v>171</v>
      </c>
      <c r="B69" s="139" t="s">
        <v>102</v>
      </c>
      <c r="C69" s="139" t="s">
        <v>92</v>
      </c>
      <c r="D69" s="139">
        <v>4</v>
      </c>
      <c r="E69" s="140">
        <v>107100</v>
      </c>
      <c r="F69" s="142">
        <v>2</v>
      </c>
      <c r="G69" s="140">
        <v>25200</v>
      </c>
      <c r="H69" s="141">
        <f t="shared" si="1"/>
        <v>81900</v>
      </c>
      <c r="I69" s="139" t="s">
        <v>2483</v>
      </c>
      <c r="J69" s="139" t="s">
        <v>2504</v>
      </c>
      <c r="K69" s="139"/>
      <c r="L69" s="139">
        <v>1</v>
      </c>
      <c r="M69" s="139">
        <v>1</v>
      </c>
      <c r="N69" s="139">
        <v>1</v>
      </c>
      <c r="O69" s="139">
        <v>0</v>
      </c>
      <c r="P69" s="139">
        <v>0</v>
      </c>
      <c r="Q69" s="139">
        <v>0</v>
      </c>
      <c r="R69" s="139">
        <v>0</v>
      </c>
      <c r="S69" s="139">
        <v>0</v>
      </c>
      <c r="T69" s="139">
        <v>1</v>
      </c>
      <c r="U69" s="139">
        <v>1</v>
      </c>
      <c r="V69" s="139">
        <v>1</v>
      </c>
      <c r="W69" s="139">
        <v>0</v>
      </c>
      <c r="X69" s="139">
        <v>0</v>
      </c>
      <c r="Y69" s="139">
        <v>0</v>
      </c>
      <c r="Z69" s="139">
        <v>0</v>
      </c>
      <c r="AA69" s="139">
        <v>0</v>
      </c>
      <c r="AB69" s="139">
        <v>0</v>
      </c>
      <c r="AC69" s="139">
        <v>0</v>
      </c>
      <c r="AD69" s="139">
        <v>0</v>
      </c>
      <c r="AE69" s="139">
        <v>0</v>
      </c>
      <c r="AJ69" t="s">
        <v>2449</v>
      </c>
      <c r="AK69">
        <v>2</v>
      </c>
    </row>
    <row r="70" spans="1:37">
      <c r="A70" t="s">
        <v>351</v>
      </c>
      <c r="B70" t="s">
        <v>66</v>
      </c>
      <c r="C70" t="s">
        <v>92</v>
      </c>
      <c r="D70">
        <v>4</v>
      </c>
      <c r="E70" s="138">
        <v>100800</v>
      </c>
      <c r="F70" s="143">
        <v>1</v>
      </c>
      <c r="G70" s="138">
        <v>21600</v>
      </c>
      <c r="H70" s="141">
        <f t="shared" si="1"/>
        <v>79200</v>
      </c>
      <c r="I70" t="s">
        <v>29</v>
      </c>
      <c r="J70" t="s">
        <v>2531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J70" t="s">
        <v>2532</v>
      </c>
      <c r="AK70">
        <v>1</v>
      </c>
    </row>
    <row r="71" spans="1:37">
      <c r="A71" s="139" t="s">
        <v>1387</v>
      </c>
      <c r="B71" s="139" t="s">
        <v>191</v>
      </c>
      <c r="C71" s="139" t="s">
        <v>92</v>
      </c>
      <c r="D71" s="139">
        <v>4</v>
      </c>
      <c r="E71" s="140">
        <v>78750</v>
      </c>
      <c r="F71" s="142">
        <v>2</v>
      </c>
      <c r="G71" s="140">
        <v>59400</v>
      </c>
      <c r="H71" s="141">
        <f t="shared" si="1"/>
        <v>19350</v>
      </c>
      <c r="I71" s="139" t="s">
        <v>2497</v>
      </c>
      <c r="J71" s="139" t="s">
        <v>2508</v>
      </c>
      <c r="K71" s="139" t="s">
        <v>2497</v>
      </c>
      <c r="L71" s="139">
        <v>1</v>
      </c>
      <c r="M71" s="139">
        <v>0</v>
      </c>
      <c r="N71" s="139">
        <v>1</v>
      </c>
      <c r="O71" s="139">
        <v>0</v>
      </c>
      <c r="P71" s="139">
        <v>0</v>
      </c>
      <c r="Q71" s="139">
        <v>0</v>
      </c>
      <c r="R71" s="139">
        <v>0</v>
      </c>
      <c r="S71" s="139">
        <v>0</v>
      </c>
      <c r="T71" s="139">
        <v>0</v>
      </c>
      <c r="U71" s="139">
        <v>1</v>
      </c>
      <c r="V71" s="139">
        <v>0</v>
      </c>
      <c r="W71" s="139">
        <v>1</v>
      </c>
      <c r="X71" s="139">
        <v>0</v>
      </c>
      <c r="Y71" s="139">
        <v>0</v>
      </c>
      <c r="Z71" s="139">
        <v>0</v>
      </c>
      <c r="AA71" s="139">
        <v>0</v>
      </c>
      <c r="AB71" s="139">
        <v>1</v>
      </c>
      <c r="AC71" s="139">
        <v>0</v>
      </c>
      <c r="AD71" s="139">
        <v>1</v>
      </c>
      <c r="AE71" s="139">
        <v>0</v>
      </c>
      <c r="AJ71" t="s">
        <v>2533</v>
      </c>
      <c r="AK71">
        <v>2</v>
      </c>
    </row>
    <row r="72" spans="1:37">
      <c r="A72" t="s">
        <v>290</v>
      </c>
      <c r="B72" t="s">
        <v>102</v>
      </c>
      <c r="C72" t="s">
        <v>92</v>
      </c>
      <c r="D72">
        <v>6</v>
      </c>
      <c r="E72" s="138">
        <v>138150</v>
      </c>
      <c r="F72" s="143">
        <v>2</v>
      </c>
      <c r="G72" s="138">
        <v>59400</v>
      </c>
      <c r="H72" s="141">
        <f t="shared" si="1"/>
        <v>78750</v>
      </c>
      <c r="I72" t="s">
        <v>2497</v>
      </c>
      <c r="J72" t="s">
        <v>2508</v>
      </c>
      <c r="L72">
        <v>1</v>
      </c>
      <c r="M72">
        <v>0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1</v>
      </c>
      <c r="AE72">
        <v>0</v>
      </c>
      <c r="AJ72" t="s">
        <v>2534</v>
      </c>
      <c r="AK72">
        <v>2</v>
      </c>
    </row>
    <row r="73" spans="1:37">
      <c r="A73" s="139" t="s">
        <v>1081</v>
      </c>
      <c r="B73" s="139" t="s">
        <v>59</v>
      </c>
      <c r="C73" s="139" t="s">
        <v>92</v>
      </c>
      <c r="D73" s="139">
        <v>4</v>
      </c>
      <c r="E73" s="140">
        <v>84150</v>
      </c>
      <c r="F73" s="142">
        <v>2</v>
      </c>
      <c r="G73" s="140">
        <v>50400</v>
      </c>
      <c r="H73" s="141">
        <f t="shared" si="1"/>
        <v>33750</v>
      </c>
      <c r="I73" s="139" t="s">
        <v>2458</v>
      </c>
      <c r="J73" s="139" t="s">
        <v>2510</v>
      </c>
      <c r="K73" s="139" t="s">
        <v>27</v>
      </c>
      <c r="L73" s="139">
        <v>1</v>
      </c>
      <c r="M73" s="139">
        <v>1</v>
      </c>
      <c r="N73" s="139">
        <v>0</v>
      </c>
      <c r="O73" s="139">
        <v>0</v>
      </c>
      <c r="P73" s="139">
        <v>1</v>
      </c>
      <c r="Q73" s="139">
        <v>0</v>
      </c>
      <c r="R73" s="139">
        <v>1</v>
      </c>
      <c r="S73" s="139">
        <v>0</v>
      </c>
      <c r="T73" s="139">
        <v>0</v>
      </c>
      <c r="U73" s="139">
        <v>0</v>
      </c>
      <c r="V73" s="139">
        <v>0</v>
      </c>
      <c r="W73" s="139">
        <v>1</v>
      </c>
      <c r="X73" s="139">
        <v>0</v>
      </c>
      <c r="Y73" s="139">
        <v>0</v>
      </c>
      <c r="Z73" s="139">
        <v>0</v>
      </c>
      <c r="AA73" s="139">
        <v>0</v>
      </c>
      <c r="AB73" s="139">
        <v>1</v>
      </c>
      <c r="AC73" s="139">
        <v>0</v>
      </c>
      <c r="AD73" s="139">
        <v>0</v>
      </c>
      <c r="AE73" s="139">
        <v>0</v>
      </c>
      <c r="AJ73" t="s">
        <v>2535</v>
      </c>
      <c r="AK73">
        <v>2</v>
      </c>
    </row>
    <row r="74" spans="1:37">
      <c r="A74" t="s">
        <v>923</v>
      </c>
      <c r="B74" t="s">
        <v>59</v>
      </c>
      <c r="C74" t="s">
        <v>92</v>
      </c>
      <c r="D74">
        <v>4</v>
      </c>
      <c r="E74" s="138">
        <v>84150</v>
      </c>
      <c r="F74" s="143">
        <v>1</v>
      </c>
      <c r="G74" s="138">
        <v>8100</v>
      </c>
      <c r="H74" s="141">
        <f t="shared" si="1"/>
        <v>76050</v>
      </c>
      <c r="I74" t="s">
        <v>20</v>
      </c>
      <c r="J74" t="s">
        <v>2510</v>
      </c>
      <c r="L74">
        <v>1</v>
      </c>
      <c r="M74">
        <v>1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J74" t="s">
        <v>2436</v>
      </c>
      <c r="AK74">
        <v>1</v>
      </c>
    </row>
    <row r="75" spans="1:37">
      <c r="A75" s="139" t="s">
        <v>1009</v>
      </c>
      <c r="B75" s="139" t="s">
        <v>59</v>
      </c>
      <c r="C75" s="139" t="s">
        <v>92</v>
      </c>
      <c r="D75" s="139">
        <v>4</v>
      </c>
      <c r="E75" s="140">
        <v>84150</v>
      </c>
      <c r="F75" s="142">
        <v>1</v>
      </c>
      <c r="G75" s="140">
        <v>8100</v>
      </c>
      <c r="H75" s="141">
        <f t="shared" si="1"/>
        <v>76050</v>
      </c>
      <c r="I75" s="139" t="s">
        <v>20</v>
      </c>
      <c r="J75" s="139" t="s">
        <v>2510</v>
      </c>
      <c r="K75" s="139"/>
      <c r="L75" s="139">
        <v>1</v>
      </c>
      <c r="M75" s="139">
        <v>1</v>
      </c>
      <c r="N75" s="139">
        <v>0</v>
      </c>
      <c r="O75" s="139">
        <v>0</v>
      </c>
      <c r="P75" s="139">
        <v>1</v>
      </c>
      <c r="Q75" s="139">
        <v>0</v>
      </c>
      <c r="R75" s="139">
        <v>1</v>
      </c>
      <c r="S75" s="139">
        <v>0</v>
      </c>
      <c r="T75" s="139">
        <v>0</v>
      </c>
      <c r="U75" s="139">
        <v>0</v>
      </c>
      <c r="V75" s="139">
        <v>0</v>
      </c>
      <c r="W75" s="139">
        <v>0</v>
      </c>
      <c r="X75" s="139">
        <v>0</v>
      </c>
      <c r="Y75" s="139">
        <v>0</v>
      </c>
      <c r="Z75" s="139">
        <v>0</v>
      </c>
      <c r="AA75" s="139">
        <v>0</v>
      </c>
      <c r="AB75" s="139">
        <v>1</v>
      </c>
      <c r="AC75" s="139">
        <v>0</v>
      </c>
      <c r="AD75" s="139">
        <v>0</v>
      </c>
      <c r="AE75" s="139">
        <v>0</v>
      </c>
      <c r="AJ75" t="s">
        <v>2457</v>
      </c>
      <c r="AK75">
        <v>1</v>
      </c>
    </row>
    <row r="76" spans="1:37">
      <c r="A76" t="s">
        <v>168</v>
      </c>
      <c r="B76" t="s">
        <v>66</v>
      </c>
      <c r="C76" t="s">
        <v>92</v>
      </c>
      <c r="D76">
        <v>7</v>
      </c>
      <c r="E76" s="138">
        <v>182700</v>
      </c>
      <c r="F76" s="143">
        <v>4</v>
      </c>
      <c r="G76" s="138">
        <v>112500</v>
      </c>
      <c r="H76" s="141">
        <f t="shared" si="1"/>
        <v>70200</v>
      </c>
      <c r="I76" t="s">
        <v>2452</v>
      </c>
      <c r="J76" t="s">
        <v>2536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</v>
      </c>
      <c r="V76">
        <v>0</v>
      </c>
      <c r="W76">
        <v>0</v>
      </c>
      <c r="X76">
        <v>1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J76" t="s">
        <v>2454</v>
      </c>
      <c r="AK76">
        <v>4</v>
      </c>
    </row>
    <row r="77" spans="1:37">
      <c r="A77" s="139" t="s">
        <v>91</v>
      </c>
      <c r="B77" s="139" t="s">
        <v>59</v>
      </c>
      <c r="C77" s="139" t="s">
        <v>92</v>
      </c>
      <c r="D77" s="139">
        <v>7</v>
      </c>
      <c r="E77" s="140">
        <v>182700</v>
      </c>
      <c r="F77" s="142">
        <v>5</v>
      </c>
      <c r="G77" s="140">
        <v>154800</v>
      </c>
      <c r="H77" s="141">
        <f t="shared" si="1"/>
        <v>27900</v>
      </c>
      <c r="I77" s="139" t="s">
        <v>2537</v>
      </c>
      <c r="J77" s="139" t="s">
        <v>2536</v>
      </c>
      <c r="K77" s="139" t="s">
        <v>27</v>
      </c>
      <c r="L77" s="139">
        <v>1</v>
      </c>
      <c r="M77" s="139">
        <v>1</v>
      </c>
      <c r="N77" s="139">
        <v>1</v>
      </c>
      <c r="O77" s="139">
        <v>1</v>
      </c>
      <c r="P77" s="139">
        <v>1</v>
      </c>
      <c r="Q77" s="139">
        <v>1</v>
      </c>
      <c r="R77" s="139">
        <v>1</v>
      </c>
      <c r="S77" s="139">
        <v>1</v>
      </c>
      <c r="T77" s="139">
        <v>1</v>
      </c>
      <c r="U77" s="139">
        <v>0</v>
      </c>
      <c r="V77" s="139">
        <v>0</v>
      </c>
      <c r="W77" s="139">
        <v>1</v>
      </c>
      <c r="X77" s="139">
        <v>1</v>
      </c>
      <c r="Y77" s="139">
        <v>0</v>
      </c>
      <c r="Z77" s="139">
        <v>1</v>
      </c>
      <c r="AA77" s="139">
        <v>0</v>
      </c>
      <c r="AB77" s="139">
        <v>0</v>
      </c>
      <c r="AC77" s="139">
        <v>0</v>
      </c>
      <c r="AD77" s="139">
        <v>0</v>
      </c>
      <c r="AE77" s="139">
        <v>0</v>
      </c>
      <c r="AJ77" t="s">
        <v>2538</v>
      </c>
      <c r="AK77">
        <v>5</v>
      </c>
    </row>
    <row r="78" spans="1:37">
      <c r="A78" t="s">
        <v>399</v>
      </c>
      <c r="B78" t="s">
        <v>191</v>
      </c>
      <c r="C78" t="s">
        <v>92</v>
      </c>
      <c r="D78">
        <v>4</v>
      </c>
      <c r="E78" s="138">
        <v>78750</v>
      </c>
      <c r="F78" s="143">
        <v>1</v>
      </c>
      <c r="G78" s="138">
        <v>11250</v>
      </c>
      <c r="H78" s="141">
        <f t="shared" si="1"/>
        <v>67500</v>
      </c>
      <c r="I78" t="s">
        <v>1931</v>
      </c>
      <c r="J78" t="s">
        <v>2539</v>
      </c>
      <c r="L78">
        <v>1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1</v>
      </c>
      <c r="AD78">
        <v>1</v>
      </c>
      <c r="AE78">
        <v>0</v>
      </c>
      <c r="AJ78" t="s">
        <v>2540</v>
      </c>
      <c r="AK78">
        <v>1</v>
      </c>
    </row>
    <row r="79" spans="1:37">
      <c r="A79" s="139" t="s">
        <v>169</v>
      </c>
      <c r="B79" s="139" t="s">
        <v>102</v>
      </c>
      <c r="C79" s="139" t="s">
        <v>58</v>
      </c>
      <c r="D79" s="139">
        <v>6</v>
      </c>
      <c r="E79" s="140">
        <v>223200</v>
      </c>
      <c r="F79" s="142">
        <v>4</v>
      </c>
      <c r="G79" s="140">
        <v>156600</v>
      </c>
      <c r="H79" s="141">
        <f t="shared" si="1"/>
        <v>66600</v>
      </c>
      <c r="I79" s="139" t="s">
        <v>2468</v>
      </c>
      <c r="J79" s="139" t="s">
        <v>2541</v>
      </c>
      <c r="K79" s="139"/>
      <c r="L79" s="139">
        <v>1</v>
      </c>
      <c r="M79" s="139">
        <v>0</v>
      </c>
      <c r="N79" s="139">
        <v>1</v>
      </c>
      <c r="O79" s="139">
        <v>0</v>
      </c>
      <c r="P79" s="139">
        <v>0</v>
      </c>
      <c r="Q79" s="139">
        <v>0</v>
      </c>
      <c r="R79" s="139">
        <v>0</v>
      </c>
      <c r="S79" s="139">
        <v>0</v>
      </c>
      <c r="T79" s="139">
        <v>1</v>
      </c>
      <c r="U79" s="139">
        <v>1</v>
      </c>
      <c r="V79" s="139">
        <v>1</v>
      </c>
      <c r="W79" s="139">
        <v>1</v>
      </c>
      <c r="X79" s="139">
        <v>1</v>
      </c>
      <c r="Y79" s="139">
        <v>1</v>
      </c>
      <c r="Z79" s="139">
        <v>1</v>
      </c>
      <c r="AA79" s="139">
        <v>1</v>
      </c>
      <c r="AB79" s="139">
        <v>0</v>
      </c>
      <c r="AC79" s="139">
        <v>0</v>
      </c>
      <c r="AD79" s="139">
        <v>0</v>
      </c>
      <c r="AE79" s="139">
        <v>0</v>
      </c>
      <c r="AJ79" t="s">
        <v>2542</v>
      </c>
      <c r="AK79">
        <v>4</v>
      </c>
    </row>
    <row r="80" spans="1:37">
      <c r="A80" t="s">
        <v>317</v>
      </c>
      <c r="B80" t="s">
        <v>102</v>
      </c>
      <c r="C80" t="s">
        <v>92</v>
      </c>
      <c r="D80">
        <v>4</v>
      </c>
      <c r="E80" s="138">
        <v>107100</v>
      </c>
      <c r="F80" s="143">
        <v>1</v>
      </c>
      <c r="G80" s="138">
        <v>42300</v>
      </c>
      <c r="H80" s="141">
        <f t="shared" si="1"/>
        <v>64800</v>
      </c>
      <c r="I80" t="s">
        <v>27</v>
      </c>
      <c r="J80" t="s">
        <v>2543</v>
      </c>
      <c r="L80">
        <v>1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J80" t="s">
        <v>2464</v>
      </c>
      <c r="AK80">
        <v>1</v>
      </c>
    </row>
    <row r="81" spans="1:37">
      <c r="A81" s="139" t="s">
        <v>241</v>
      </c>
      <c r="B81" s="139" t="s">
        <v>102</v>
      </c>
      <c r="C81" s="139" t="s">
        <v>92</v>
      </c>
      <c r="D81" s="139">
        <v>4</v>
      </c>
      <c r="E81" s="140">
        <v>107100</v>
      </c>
      <c r="F81" s="142">
        <v>3</v>
      </c>
      <c r="G81" s="140">
        <v>81900</v>
      </c>
      <c r="H81" s="141">
        <f t="shared" si="1"/>
        <v>25200</v>
      </c>
      <c r="I81" s="139" t="s">
        <v>2544</v>
      </c>
      <c r="J81" s="139" t="s">
        <v>2497</v>
      </c>
      <c r="K81" s="139" t="s">
        <v>23</v>
      </c>
      <c r="L81" s="139">
        <v>1</v>
      </c>
      <c r="M81" s="139">
        <v>1</v>
      </c>
      <c r="N81" s="139">
        <v>1</v>
      </c>
      <c r="O81" s="139">
        <v>1</v>
      </c>
      <c r="P81" s="139">
        <v>0</v>
      </c>
      <c r="Q81" s="139">
        <v>0</v>
      </c>
      <c r="R81" s="139">
        <v>0</v>
      </c>
      <c r="S81" s="139">
        <v>1</v>
      </c>
      <c r="T81" s="139">
        <v>1</v>
      </c>
      <c r="U81" s="139">
        <v>0</v>
      </c>
      <c r="V81" s="139">
        <v>1</v>
      </c>
      <c r="W81" s="139">
        <v>0</v>
      </c>
      <c r="X81" s="139">
        <v>0</v>
      </c>
      <c r="Y81" s="139">
        <v>0</v>
      </c>
      <c r="Z81" s="139">
        <v>0</v>
      </c>
      <c r="AA81" s="139">
        <v>0</v>
      </c>
      <c r="AB81" s="139">
        <v>0</v>
      </c>
      <c r="AC81" s="139">
        <v>0</v>
      </c>
      <c r="AD81" s="139">
        <v>0</v>
      </c>
      <c r="AE81" s="139">
        <v>0</v>
      </c>
      <c r="AJ81" t="s">
        <v>2545</v>
      </c>
      <c r="AK81">
        <v>3</v>
      </c>
    </row>
    <row r="82" spans="1:37">
      <c r="A82" t="s">
        <v>388</v>
      </c>
      <c r="B82" t="s">
        <v>191</v>
      </c>
      <c r="C82" t="s">
        <v>92</v>
      </c>
      <c r="D82">
        <v>4</v>
      </c>
      <c r="E82" s="138">
        <v>78750</v>
      </c>
      <c r="F82" s="143">
        <v>3</v>
      </c>
      <c r="G82" s="138">
        <v>79200</v>
      </c>
      <c r="H82" s="141">
        <f t="shared" si="1"/>
        <v>-450</v>
      </c>
      <c r="I82" t="s">
        <v>2546</v>
      </c>
      <c r="J82" t="s">
        <v>2530</v>
      </c>
      <c r="K82" t="s">
        <v>2497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</v>
      </c>
      <c r="AE82">
        <v>1</v>
      </c>
      <c r="AJ82" t="s">
        <v>2547</v>
      </c>
      <c r="AK82">
        <v>2</v>
      </c>
    </row>
    <row r="83" spans="1:37">
      <c r="A83" s="139" t="s">
        <v>71</v>
      </c>
      <c r="B83" s="139" t="s">
        <v>59</v>
      </c>
      <c r="C83" s="139" t="s">
        <v>58</v>
      </c>
      <c r="D83" s="139">
        <v>5</v>
      </c>
      <c r="E83" s="140">
        <v>188100</v>
      </c>
      <c r="F83" s="142">
        <v>6</v>
      </c>
      <c r="G83" s="140">
        <v>171450</v>
      </c>
      <c r="H83" s="141">
        <f t="shared" si="1"/>
        <v>16650</v>
      </c>
      <c r="I83" s="139" t="s">
        <v>2548</v>
      </c>
      <c r="J83" s="139" t="s">
        <v>1695</v>
      </c>
      <c r="K83" s="139" t="s">
        <v>2549</v>
      </c>
      <c r="L83" s="139">
        <v>1</v>
      </c>
      <c r="M83" s="139">
        <v>1</v>
      </c>
      <c r="N83" s="139">
        <v>1</v>
      </c>
      <c r="O83" s="139">
        <v>0</v>
      </c>
      <c r="P83" s="139">
        <v>1</v>
      </c>
      <c r="Q83" s="139">
        <v>1</v>
      </c>
      <c r="R83" s="139">
        <v>1</v>
      </c>
      <c r="S83" s="139">
        <v>1</v>
      </c>
      <c r="T83" s="139">
        <v>0</v>
      </c>
      <c r="U83" s="139">
        <v>1</v>
      </c>
      <c r="V83" s="139">
        <v>0</v>
      </c>
      <c r="W83" s="139">
        <v>0</v>
      </c>
      <c r="X83" s="139">
        <v>1</v>
      </c>
      <c r="Y83" s="139">
        <v>1</v>
      </c>
      <c r="Z83" s="139">
        <v>0</v>
      </c>
      <c r="AA83" s="139">
        <v>0</v>
      </c>
      <c r="AB83" s="139">
        <v>0</v>
      </c>
      <c r="AC83" s="139">
        <v>1</v>
      </c>
      <c r="AD83" s="139">
        <v>0</v>
      </c>
      <c r="AE83" s="139">
        <v>0</v>
      </c>
      <c r="AJ83" t="s">
        <v>2550</v>
      </c>
      <c r="AK83">
        <v>5</v>
      </c>
    </row>
    <row r="84" spans="1:37">
      <c r="A84" t="s">
        <v>890</v>
      </c>
      <c r="B84" t="s">
        <v>59</v>
      </c>
      <c r="C84" t="s">
        <v>58</v>
      </c>
      <c r="D84">
        <v>2</v>
      </c>
      <c r="E84" s="138">
        <v>66600</v>
      </c>
      <c r="F84" s="143">
        <v>1</v>
      </c>
      <c r="G84" s="138">
        <v>10800</v>
      </c>
      <c r="H84" s="141">
        <f t="shared" si="1"/>
        <v>55800</v>
      </c>
      <c r="I84" t="s">
        <v>20</v>
      </c>
      <c r="J84" t="s">
        <v>1695</v>
      </c>
      <c r="L84">
        <v>1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J84" t="s">
        <v>2436</v>
      </c>
      <c r="AK84">
        <v>1</v>
      </c>
    </row>
    <row r="85" spans="1:37">
      <c r="A85" s="139" t="s">
        <v>140</v>
      </c>
      <c r="B85" s="139" t="s">
        <v>59</v>
      </c>
      <c r="C85" s="139" t="s">
        <v>92</v>
      </c>
      <c r="D85" s="139">
        <v>5</v>
      </c>
      <c r="E85" s="140">
        <v>134100</v>
      </c>
      <c r="F85" s="142">
        <v>3</v>
      </c>
      <c r="G85" s="140">
        <v>81900</v>
      </c>
      <c r="H85" s="141">
        <f t="shared" si="1"/>
        <v>52200</v>
      </c>
      <c r="I85" s="139" t="s">
        <v>2544</v>
      </c>
      <c r="J85" s="139" t="s">
        <v>2551</v>
      </c>
      <c r="K85" s="139"/>
      <c r="L85" s="139">
        <v>1</v>
      </c>
      <c r="M85" s="139">
        <v>1</v>
      </c>
      <c r="N85" s="139">
        <v>1</v>
      </c>
      <c r="O85" s="139">
        <v>1</v>
      </c>
      <c r="P85" s="139">
        <v>1</v>
      </c>
      <c r="Q85" s="139">
        <v>0</v>
      </c>
      <c r="R85" s="139">
        <v>1</v>
      </c>
      <c r="S85" s="139">
        <v>1</v>
      </c>
      <c r="T85" s="139">
        <v>0</v>
      </c>
      <c r="U85" s="139">
        <v>0</v>
      </c>
      <c r="V85" s="139">
        <v>0</v>
      </c>
      <c r="W85" s="139">
        <v>0</v>
      </c>
      <c r="X85" s="139">
        <v>1</v>
      </c>
      <c r="Y85" s="139">
        <v>0</v>
      </c>
      <c r="Z85" s="139">
        <v>0</v>
      </c>
      <c r="AA85" s="139">
        <v>0</v>
      </c>
      <c r="AB85" s="139">
        <v>0</v>
      </c>
      <c r="AC85" s="139">
        <v>0</v>
      </c>
      <c r="AD85" s="139">
        <v>0</v>
      </c>
      <c r="AE85" s="139">
        <v>0</v>
      </c>
      <c r="AJ85" t="s">
        <v>2552</v>
      </c>
      <c r="AK85">
        <v>3</v>
      </c>
    </row>
    <row r="86" spans="1:37">
      <c r="A86" t="s">
        <v>113</v>
      </c>
      <c r="B86" t="s">
        <v>59</v>
      </c>
      <c r="C86" t="s">
        <v>92</v>
      </c>
      <c r="D86">
        <v>5</v>
      </c>
      <c r="E86" s="138">
        <v>134100</v>
      </c>
      <c r="F86" s="143">
        <v>3</v>
      </c>
      <c r="G86" s="138">
        <v>81900</v>
      </c>
      <c r="H86" s="141">
        <f t="shared" si="1"/>
        <v>52200</v>
      </c>
      <c r="I86" t="s">
        <v>2544</v>
      </c>
      <c r="J86" t="s">
        <v>2551</v>
      </c>
      <c r="L86">
        <v>1</v>
      </c>
      <c r="M86">
        <v>1</v>
      </c>
      <c r="N86">
        <v>1</v>
      </c>
      <c r="O86">
        <v>1</v>
      </c>
      <c r="P86">
        <v>1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J86" t="s">
        <v>2553</v>
      </c>
      <c r="AK86">
        <v>3</v>
      </c>
    </row>
    <row r="87" spans="1:37">
      <c r="A87" s="139" t="s">
        <v>400</v>
      </c>
      <c r="B87" s="139" t="s">
        <v>191</v>
      </c>
      <c r="C87" s="139" t="s">
        <v>92</v>
      </c>
      <c r="D87" s="139">
        <v>4</v>
      </c>
      <c r="E87" s="140">
        <v>78750</v>
      </c>
      <c r="F87" s="142">
        <v>2</v>
      </c>
      <c r="G87" s="140">
        <v>27900</v>
      </c>
      <c r="H87" s="141">
        <f t="shared" si="1"/>
        <v>50850</v>
      </c>
      <c r="I87" s="139" t="s">
        <v>2554</v>
      </c>
      <c r="J87" s="139" t="s">
        <v>2555</v>
      </c>
      <c r="K87" s="139"/>
      <c r="L87" s="139">
        <v>1</v>
      </c>
      <c r="M87" s="139">
        <v>1</v>
      </c>
      <c r="N87" s="139">
        <v>1</v>
      </c>
      <c r="O87" s="139">
        <v>0</v>
      </c>
      <c r="P87" s="139">
        <v>0</v>
      </c>
      <c r="Q87" s="139">
        <v>0</v>
      </c>
      <c r="R87" s="139">
        <v>0</v>
      </c>
      <c r="S87" s="139">
        <v>0</v>
      </c>
      <c r="T87" s="139">
        <v>0</v>
      </c>
      <c r="U87" s="139">
        <v>0</v>
      </c>
      <c r="V87" s="139">
        <v>0</v>
      </c>
      <c r="W87" s="139">
        <v>0</v>
      </c>
      <c r="X87" s="139">
        <v>0</v>
      </c>
      <c r="Y87" s="139">
        <v>0</v>
      </c>
      <c r="Z87" s="139">
        <v>0</v>
      </c>
      <c r="AA87" s="139">
        <v>0</v>
      </c>
      <c r="AB87" s="139">
        <v>1</v>
      </c>
      <c r="AC87" s="139">
        <v>0</v>
      </c>
      <c r="AD87" s="139">
        <v>1</v>
      </c>
      <c r="AE87" s="139">
        <v>1</v>
      </c>
      <c r="AJ87" t="s">
        <v>2436</v>
      </c>
      <c r="AK87">
        <v>1</v>
      </c>
    </row>
    <row r="88" spans="1:37">
      <c r="A88" t="s">
        <v>960</v>
      </c>
      <c r="B88" t="s">
        <v>59</v>
      </c>
      <c r="C88" t="s">
        <v>92</v>
      </c>
      <c r="D88">
        <v>4</v>
      </c>
      <c r="E88" s="138">
        <v>84150</v>
      </c>
      <c r="F88" s="143">
        <v>1</v>
      </c>
      <c r="G88" s="138">
        <v>34200</v>
      </c>
      <c r="H88" s="141">
        <f t="shared" si="1"/>
        <v>49950</v>
      </c>
      <c r="I88" t="s">
        <v>23</v>
      </c>
      <c r="J88" t="s">
        <v>2556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J88" t="s">
        <v>2472</v>
      </c>
      <c r="AK88">
        <v>1</v>
      </c>
    </row>
    <row r="89" spans="1:37">
      <c r="A89" s="139" t="s">
        <v>1102</v>
      </c>
      <c r="B89" s="139" t="s">
        <v>59</v>
      </c>
      <c r="C89" s="139" t="s">
        <v>92</v>
      </c>
      <c r="D89" s="139">
        <v>4</v>
      </c>
      <c r="E89" s="140">
        <v>84150</v>
      </c>
      <c r="F89" s="142">
        <v>1</v>
      </c>
      <c r="G89" s="140">
        <v>34200</v>
      </c>
      <c r="H89" s="141">
        <f t="shared" si="1"/>
        <v>49950</v>
      </c>
      <c r="I89" s="139" t="s">
        <v>23</v>
      </c>
      <c r="J89" s="139" t="s">
        <v>2556</v>
      </c>
      <c r="K89" s="139"/>
      <c r="L89" s="139">
        <v>1</v>
      </c>
      <c r="M89" s="139">
        <v>0</v>
      </c>
      <c r="N89" s="139">
        <v>0</v>
      </c>
      <c r="O89" s="139">
        <v>0</v>
      </c>
      <c r="P89" s="139">
        <v>1</v>
      </c>
      <c r="Q89" s="139">
        <v>0</v>
      </c>
      <c r="R89" s="139">
        <v>1</v>
      </c>
      <c r="S89" s="139">
        <v>1</v>
      </c>
      <c r="T89" s="139">
        <v>0</v>
      </c>
      <c r="U89" s="139">
        <v>0</v>
      </c>
      <c r="V89" s="139">
        <v>0</v>
      </c>
      <c r="W89" s="139">
        <v>0</v>
      </c>
      <c r="X89" s="139">
        <v>0</v>
      </c>
      <c r="Y89" s="139">
        <v>0</v>
      </c>
      <c r="Z89" s="139">
        <v>0</v>
      </c>
      <c r="AA89" s="139">
        <v>0</v>
      </c>
      <c r="AB89" s="139">
        <v>1</v>
      </c>
      <c r="AC89" s="139">
        <v>0</v>
      </c>
      <c r="AD89" s="139">
        <v>0</v>
      </c>
      <c r="AE89" s="139">
        <v>0</v>
      </c>
      <c r="AJ89" t="s">
        <v>2472</v>
      </c>
      <c r="AK89">
        <v>1</v>
      </c>
    </row>
    <row r="90" spans="1:37">
      <c r="A90" t="s">
        <v>115</v>
      </c>
      <c r="B90" t="s">
        <v>102</v>
      </c>
      <c r="C90" t="s">
        <v>58</v>
      </c>
      <c r="D90">
        <v>8</v>
      </c>
      <c r="E90" s="138">
        <v>315000</v>
      </c>
      <c r="F90" s="143">
        <v>7</v>
      </c>
      <c r="G90" s="138">
        <v>270900</v>
      </c>
      <c r="H90" s="141">
        <f t="shared" si="1"/>
        <v>44100</v>
      </c>
      <c r="I90" t="s">
        <v>2557</v>
      </c>
      <c r="J90" t="s">
        <v>31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J90" t="s">
        <v>2558</v>
      </c>
      <c r="AK90">
        <v>7</v>
      </c>
    </row>
    <row r="91" spans="1:37">
      <c r="A91" s="139" t="s">
        <v>213</v>
      </c>
      <c r="B91" s="139" t="s">
        <v>102</v>
      </c>
      <c r="C91" s="139" t="s">
        <v>92</v>
      </c>
      <c r="D91" s="139">
        <v>4</v>
      </c>
      <c r="E91" s="140">
        <v>107100</v>
      </c>
      <c r="F91" s="142">
        <v>3</v>
      </c>
      <c r="G91" s="140">
        <v>64800</v>
      </c>
      <c r="H91" s="141">
        <f t="shared" si="1"/>
        <v>42300</v>
      </c>
      <c r="I91" s="139" t="s">
        <v>2543</v>
      </c>
      <c r="J91" s="139" t="s">
        <v>27</v>
      </c>
      <c r="K91" s="139"/>
      <c r="L91" s="139">
        <v>1</v>
      </c>
      <c r="M91" s="139">
        <v>1</v>
      </c>
      <c r="N91" s="139">
        <v>1</v>
      </c>
      <c r="O91" s="139">
        <v>1</v>
      </c>
      <c r="P91" s="139">
        <v>0</v>
      </c>
      <c r="Q91" s="139">
        <v>0</v>
      </c>
      <c r="R91" s="139">
        <v>0</v>
      </c>
      <c r="S91" s="139">
        <v>0</v>
      </c>
      <c r="T91" s="139">
        <v>1</v>
      </c>
      <c r="U91" s="139">
        <v>1</v>
      </c>
      <c r="V91" s="139">
        <v>1</v>
      </c>
      <c r="W91" s="139">
        <v>0</v>
      </c>
      <c r="X91" s="139">
        <v>0</v>
      </c>
      <c r="Y91" s="139">
        <v>0</v>
      </c>
      <c r="Z91" s="139">
        <v>0</v>
      </c>
      <c r="AA91" s="139">
        <v>0</v>
      </c>
      <c r="AB91" s="139">
        <v>0</v>
      </c>
      <c r="AC91" s="139">
        <v>0</v>
      </c>
      <c r="AD91" s="139">
        <v>0</v>
      </c>
      <c r="AE91" s="139">
        <v>0</v>
      </c>
      <c r="AJ91" t="s">
        <v>2559</v>
      </c>
      <c r="AK91">
        <v>3</v>
      </c>
    </row>
    <row r="92" spans="1:37">
      <c r="A92" t="s">
        <v>1019</v>
      </c>
      <c r="B92" t="s">
        <v>59</v>
      </c>
      <c r="C92" t="s">
        <v>92</v>
      </c>
      <c r="D92">
        <v>4</v>
      </c>
      <c r="E92" s="138">
        <v>84150</v>
      </c>
      <c r="F92" s="143">
        <v>2</v>
      </c>
      <c r="G92" s="138">
        <v>42300</v>
      </c>
      <c r="H92" s="141">
        <f t="shared" si="1"/>
        <v>41850</v>
      </c>
      <c r="I92" t="s">
        <v>2475</v>
      </c>
      <c r="J92" t="s">
        <v>2560</v>
      </c>
      <c r="L92">
        <v>1</v>
      </c>
      <c r="M92">
        <v>1</v>
      </c>
      <c r="N92">
        <v>0</v>
      </c>
      <c r="O92">
        <v>0</v>
      </c>
      <c r="P92">
        <v>1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J92" t="s">
        <v>2561</v>
      </c>
      <c r="AK92">
        <v>2</v>
      </c>
    </row>
    <row r="93" spans="1:37">
      <c r="A93" s="139" t="s">
        <v>1106</v>
      </c>
      <c r="B93" s="139" t="s">
        <v>59</v>
      </c>
      <c r="C93" s="139" t="s">
        <v>92</v>
      </c>
      <c r="D93" s="139">
        <v>4</v>
      </c>
      <c r="E93" s="140">
        <v>84150</v>
      </c>
      <c r="F93" s="142">
        <v>2</v>
      </c>
      <c r="G93" s="140">
        <v>42300</v>
      </c>
      <c r="H93" s="141">
        <f t="shared" si="1"/>
        <v>41850</v>
      </c>
      <c r="I93" s="139" t="s">
        <v>2475</v>
      </c>
      <c r="J93" s="139" t="s">
        <v>2560</v>
      </c>
      <c r="K93" s="139"/>
      <c r="L93" s="139">
        <v>1</v>
      </c>
      <c r="M93" s="139">
        <v>1</v>
      </c>
      <c r="N93" s="139">
        <v>0</v>
      </c>
      <c r="O93" s="139">
        <v>0</v>
      </c>
      <c r="P93" s="139">
        <v>1</v>
      </c>
      <c r="Q93" s="139">
        <v>0</v>
      </c>
      <c r="R93" s="139">
        <v>1</v>
      </c>
      <c r="S93" s="139">
        <v>1</v>
      </c>
      <c r="T93" s="139">
        <v>0</v>
      </c>
      <c r="U93" s="139">
        <v>0</v>
      </c>
      <c r="V93" s="139">
        <v>0</v>
      </c>
      <c r="W93" s="139">
        <v>0</v>
      </c>
      <c r="X93" s="139">
        <v>0</v>
      </c>
      <c r="Y93" s="139">
        <v>0</v>
      </c>
      <c r="Z93" s="139">
        <v>0</v>
      </c>
      <c r="AA93" s="139">
        <v>0</v>
      </c>
      <c r="AB93" s="139">
        <v>1</v>
      </c>
      <c r="AC93" s="139">
        <v>0</v>
      </c>
      <c r="AD93" s="139">
        <v>0</v>
      </c>
      <c r="AE93" s="139">
        <v>0</v>
      </c>
      <c r="AJ93" t="s">
        <v>2477</v>
      </c>
      <c r="AK93">
        <v>2</v>
      </c>
    </row>
    <row r="94" spans="1:37">
      <c r="A94" t="s">
        <v>970</v>
      </c>
      <c r="B94" t="s">
        <v>152</v>
      </c>
      <c r="C94" t="s">
        <v>92</v>
      </c>
      <c r="D94">
        <v>2</v>
      </c>
      <c r="E94" s="138">
        <v>47700</v>
      </c>
      <c r="F94" s="143">
        <v>2</v>
      </c>
      <c r="G94" s="138">
        <v>42300</v>
      </c>
      <c r="H94" s="141">
        <f t="shared" si="1"/>
        <v>5400</v>
      </c>
      <c r="I94" t="s">
        <v>2475</v>
      </c>
      <c r="J94" t="s">
        <v>1695</v>
      </c>
      <c r="K94" t="s">
        <v>23</v>
      </c>
      <c r="L94">
        <v>1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J94" t="s">
        <v>2477</v>
      </c>
      <c r="AK94">
        <v>2</v>
      </c>
    </row>
    <row r="95" spans="1:37">
      <c r="A95" s="139" t="s">
        <v>1086</v>
      </c>
      <c r="B95" s="139" t="s">
        <v>59</v>
      </c>
      <c r="C95" s="139" t="s">
        <v>92</v>
      </c>
      <c r="D95" s="139">
        <v>2</v>
      </c>
      <c r="E95" s="140">
        <v>47700</v>
      </c>
      <c r="F95" s="142">
        <v>1</v>
      </c>
      <c r="G95" s="140">
        <v>8100</v>
      </c>
      <c r="H95" s="141">
        <f t="shared" si="1"/>
        <v>39600</v>
      </c>
      <c r="I95" s="139" t="s">
        <v>20</v>
      </c>
      <c r="J95" s="139" t="s">
        <v>1695</v>
      </c>
      <c r="K95" s="139"/>
      <c r="L95" s="139">
        <v>1</v>
      </c>
      <c r="M95" s="139">
        <v>1</v>
      </c>
      <c r="N95" s="139">
        <v>1</v>
      </c>
      <c r="O95" s="139">
        <v>0</v>
      </c>
      <c r="P95" s="139">
        <v>0</v>
      </c>
      <c r="Q95" s="139">
        <v>0</v>
      </c>
      <c r="R95" s="139">
        <v>0</v>
      </c>
      <c r="S95" s="139">
        <v>0</v>
      </c>
      <c r="T95" s="139">
        <v>0</v>
      </c>
      <c r="U95" s="139">
        <v>0</v>
      </c>
      <c r="V95" s="139">
        <v>0</v>
      </c>
      <c r="W95" s="139">
        <v>0</v>
      </c>
      <c r="X95" s="139">
        <v>0</v>
      </c>
      <c r="Y95" s="139">
        <v>0</v>
      </c>
      <c r="Z95" s="139">
        <v>0</v>
      </c>
      <c r="AA95" s="139">
        <v>0</v>
      </c>
      <c r="AB95" s="139">
        <v>0</v>
      </c>
      <c r="AC95" s="139">
        <v>0</v>
      </c>
      <c r="AD95" s="139">
        <v>0</v>
      </c>
      <c r="AE95" s="139">
        <v>0</v>
      </c>
      <c r="AJ95" t="s">
        <v>2436</v>
      </c>
      <c r="AK95">
        <v>1</v>
      </c>
    </row>
    <row r="96" spans="1:37">
      <c r="A96" t="s">
        <v>88</v>
      </c>
      <c r="B96" t="s">
        <v>59</v>
      </c>
      <c r="C96" t="s">
        <v>58</v>
      </c>
      <c r="D96">
        <v>5</v>
      </c>
      <c r="E96" s="138">
        <v>188100</v>
      </c>
      <c r="F96" s="143">
        <v>4</v>
      </c>
      <c r="G96" s="138">
        <v>158400</v>
      </c>
      <c r="H96" s="141">
        <f t="shared" si="1"/>
        <v>29700</v>
      </c>
      <c r="I96" t="s">
        <v>2452</v>
      </c>
      <c r="J96" t="s">
        <v>29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J96" t="s">
        <v>2562</v>
      </c>
      <c r="AK96">
        <v>4</v>
      </c>
    </row>
    <row r="97" spans="1:37">
      <c r="A97" s="139" t="s">
        <v>89</v>
      </c>
      <c r="B97" s="139" t="s">
        <v>59</v>
      </c>
      <c r="C97" s="139" t="s">
        <v>58</v>
      </c>
      <c r="D97" s="139">
        <v>5</v>
      </c>
      <c r="E97" s="140">
        <v>188100</v>
      </c>
      <c r="F97" s="142">
        <v>4</v>
      </c>
      <c r="G97" s="140">
        <v>158400</v>
      </c>
      <c r="H97" s="141">
        <f t="shared" si="1"/>
        <v>29700</v>
      </c>
      <c r="I97" s="139" t="s">
        <v>2452</v>
      </c>
      <c r="J97" s="139" t="s">
        <v>29</v>
      </c>
      <c r="K97" s="139"/>
      <c r="L97" s="139">
        <v>1</v>
      </c>
      <c r="M97" s="139">
        <v>1</v>
      </c>
      <c r="N97" s="139">
        <v>1</v>
      </c>
      <c r="O97" s="139">
        <v>1</v>
      </c>
      <c r="P97" s="139">
        <v>1</v>
      </c>
      <c r="Q97" s="139">
        <v>1</v>
      </c>
      <c r="R97" s="139">
        <v>1</v>
      </c>
      <c r="S97" s="139">
        <v>1</v>
      </c>
      <c r="T97" s="139">
        <v>0</v>
      </c>
      <c r="U97" s="139">
        <v>0</v>
      </c>
      <c r="V97" s="139">
        <v>0</v>
      </c>
      <c r="W97" s="139">
        <v>0</v>
      </c>
      <c r="X97" s="139">
        <v>1</v>
      </c>
      <c r="Y97" s="139">
        <v>0</v>
      </c>
      <c r="Z97" s="139">
        <v>0</v>
      </c>
      <c r="AA97" s="139">
        <v>0</v>
      </c>
      <c r="AB97" s="139">
        <v>0</v>
      </c>
      <c r="AC97" s="139">
        <v>0</v>
      </c>
      <c r="AD97" s="139">
        <v>0</v>
      </c>
      <c r="AE97" s="139">
        <v>0</v>
      </c>
      <c r="AJ97" t="s">
        <v>2454</v>
      </c>
      <c r="AK97">
        <v>4</v>
      </c>
    </row>
    <row r="98" spans="1:37">
      <c r="A98" t="s">
        <v>409</v>
      </c>
      <c r="B98" t="s">
        <v>191</v>
      </c>
      <c r="C98" t="s">
        <v>58</v>
      </c>
      <c r="D98">
        <v>2</v>
      </c>
      <c r="E98" s="138">
        <v>37800</v>
      </c>
      <c r="F98" s="143">
        <v>1</v>
      </c>
      <c r="G98" s="138">
        <v>10800</v>
      </c>
      <c r="H98" s="141">
        <f t="shared" si="1"/>
        <v>27000</v>
      </c>
      <c r="I98" t="s">
        <v>20</v>
      </c>
      <c r="J98" t="s">
        <v>35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J98" t="s">
        <v>2436</v>
      </c>
      <c r="AK98">
        <v>1</v>
      </c>
    </row>
    <row r="99" spans="1:37">
      <c r="A99" s="139" t="s">
        <v>862</v>
      </c>
      <c r="B99" s="139" t="s">
        <v>59</v>
      </c>
      <c r="C99" s="139" t="s">
        <v>58</v>
      </c>
      <c r="D99" s="139">
        <v>4</v>
      </c>
      <c r="E99" s="140">
        <v>118350</v>
      </c>
      <c r="F99" s="142">
        <v>2</v>
      </c>
      <c r="G99" s="140">
        <v>91800</v>
      </c>
      <c r="H99" s="141">
        <f t="shared" si="1"/>
        <v>26550</v>
      </c>
      <c r="I99" s="139" t="s">
        <v>2443</v>
      </c>
      <c r="J99" s="139" t="s">
        <v>2563</v>
      </c>
      <c r="K99" s="139"/>
      <c r="L99" s="139">
        <v>1</v>
      </c>
      <c r="M99" s="139">
        <v>0</v>
      </c>
      <c r="N99" s="139">
        <v>0</v>
      </c>
      <c r="O99" s="139">
        <v>0</v>
      </c>
      <c r="P99" s="139">
        <v>1</v>
      </c>
      <c r="Q99" s="139">
        <v>1</v>
      </c>
      <c r="R99" s="139">
        <v>1</v>
      </c>
      <c r="S99" s="139">
        <v>1</v>
      </c>
      <c r="T99" s="139">
        <v>0</v>
      </c>
      <c r="U99" s="139">
        <v>0</v>
      </c>
      <c r="V99" s="139">
        <v>0</v>
      </c>
      <c r="W99" s="139">
        <v>0</v>
      </c>
      <c r="X99" s="139">
        <v>0</v>
      </c>
      <c r="Y99" s="139">
        <v>0</v>
      </c>
      <c r="Z99" s="139">
        <v>0</v>
      </c>
      <c r="AA99" s="139">
        <v>0</v>
      </c>
      <c r="AB99" s="139">
        <v>1</v>
      </c>
      <c r="AC99" s="139">
        <v>0</v>
      </c>
      <c r="AD99" s="139">
        <v>0</v>
      </c>
      <c r="AE99" s="139">
        <v>0</v>
      </c>
      <c r="AJ99" t="s">
        <v>2564</v>
      </c>
      <c r="AK99">
        <v>2</v>
      </c>
    </row>
    <row r="100" spans="1:37">
      <c r="A100" t="s">
        <v>912</v>
      </c>
      <c r="B100" t="s">
        <v>59</v>
      </c>
      <c r="C100" t="s">
        <v>58</v>
      </c>
      <c r="D100">
        <v>4</v>
      </c>
      <c r="E100" s="138">
        <v>118350</v>
      </c>
      <c r="F100" s="143">
        <v>2</v>
      </c>
      <c r="G100" s="138">
        <v>91800</v>
      </c>
      <c r="H100" s="141">
        <f t="shared" si="1"/>
        <v>26550</v>
      </c>
      <c r="I100" t="s">
        <v>2443</v>
      </c>
      <c r="J100" t="s">
        <v>2563</v>
      </c>
      <c r="L100">
        <v>1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J100" t="s">
        <v>2564</v>
      </c>
      <c r="AK100">
        <v>2</v>
      </c>
    </row>
    <row r="101" spans="1:37">
      <c r="A101" s="139" t="s">
        <v>844</v>
      </c>
      <c r="B101" s="139" t="s">
        <v>59</v>
      </c>
      <c r="C101" s="139" t="s">
        <v>58</v>
      </c>
      <c r="D101" s="139">
        <v>4</v>
      </c>
      <c r="E101" s="140">
        <v>118350</v>
      </c>
      <c r="F101" s="142">
        <v>2</v>
      </c>
      <c r="G101" s="140">
        <v>91800</v>
      </c>
      <c r="H101" s="141">
        <f t="shared" si="1"/>
        <v>26550</v>
      </c>
      <c r="I101" s="139" t="s">
        <v>2443</v>
      </c>
      <c r="J101" s="139" t="s">
        <v>2563</v>
      </c>
      <c r="K101" s="139"/>
      <c r="L101" s="139">
        <v>1</v>
      </c>
      <c r="M101" s="139">
        <v>0</v>
      </c>
      <c r="N101" s="139">
        <v>0</v>
      </c>
      <c r="O101" s="139">
        <v>0</v>
      </c>
      <c r="P101" s="139">
        <v>1</v>
      </c>
      <c r="Q101" s="139">
        <v>1</v>
      </c>
      <c r="R101" s="139">
        <v>1</v>
      </c>
      <c r="S101" s="139">
        <v>1</v>
      </c>
      <c r="T101" s="139">
        <v>0</v>
      </c>
      <c r="U101" s="139">
        <v>0</v>
      </c>
      <c r="V101" s="139">
        <v>0</v>
      </c>
      <c r="W101" s="139">
        <v>0</v>
      </c>
      <c r="X101" s="139">
        <v>0</v>
      </c>
      <c r="Y101" s="139">
        <v>0</v>
      </c>
      <c r="Z101" s="139">
        <v>0</v>
      </c>
      <c r="AA101" s="139">
        <v>0</v>
      </c>
      <c r="AB101" s="139">
        <v>1</v>
      </c>
      <c r="AC101" s="139">
        <v>0</v>
      </c>
      <c r="AD101" s="139">
        <v>0</v>
      </c>
      <c r="AE101" s="139">
        <v>0</v>
      </c>
      <c r="AJ101" t="s">
        <v>2564</v>
      </c>
      <c r="AK101">
        <v>2</v>
      </c>
    </row>
    <row r="102" spans="1:37">
      <c r="A102" t="s">
        <v>1014</v>
      </c>
      <c r="B102" t="s">
        <v>152</v>
      </c>
      <c r="C102" t="s">
        <v>58</v>
      </c>
      <c r="D102">
        <v>1</v>
      </c>
      <c r="E102" s="138">
        <v>10800</v>
      </c>
      <c r="F102" s="143">
        <v>1</v>
      </c>
      <c r="G102" s="138">
        <v>23400</v>
      </c>
      <c r="H102" s="141">
        <f t="shared" si="1"/>
        <v>-12600</v>
      </c>
      <c r="I102" t="s">
        <v>25</v>
      </c>
      <c r="J102" t="s">
        <v>20</v>
      </c>
      <c r="K102" t="s">
        <v>25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J102" t="s">
        <v>2565</v>
      </c>
      <c r="AK102">
        <v>1</v>
      </c>
    </row>
    <row r="103" spans="1:37">
      <c r="A103" s="139" t="s">
        <v>1230</v>
      </c>
      <c r="B103" s="139" t="s">
        <v>152</v>
      </c>
      <c r="C103" s="139" t="s">
        <v>92</v>
      </c>
      <c r="D103" s="139">
        <v>1</v>
      </c>
      <c r="E103" s="140">
        <v>8100</v>
      </c>
      <c r="F103" s="142">
        <v>1</v>
      </c>
      <c r="G103" s="140">
        <v>17100</v>
      </c>
      <c r="H103" s="141">
        <f t="shared" si="1"/>
        <v>-9000</v>
      </c>
      <c r="I103" s="139" t="s">
        <v>25</v>
      </c>
      <c r="J103" s="139" t="s">
        <v>20</v>
      </c>
      <c r="K103" s="139" t="s">
        <v>25</v>
      </c>
      <c r="L103" s="139">
        <v>1</v>
      </c>
      <c r="M103" s="139">
        <v>0</v>
      </c>
      <c r="N103" s="139">
        <v>0</v>
      </c>
      <c r="O103" s="139">
        <v>0</v>
      </c>
      <c r="P103" s="139">
        <v>0</v>
      </c>
      <c r="Q103" s="139">
        <v>0</v>
      </c>
      <c r="R103" s="139">
        <v>0</v>
      </c>
      <c r="S103" s="139">
        <v>0</v>
      </c>
      <c r="T103" s="139">
        <v>0</v>
      </c>
      <c r="U103" s="139">
        <v>1</v>
      </c>
      <c r="V103" s="139">
        <v>0</v>
      </c>
      <c r="W103" s="139">
        <v>0</v>
      </c>
      <c r="X103" s="139">
        <v>0</v>
      </c>
      <c r="Y103" s="139">
        <v>0</v>
      </c>
      <c r="Z103" s="139">
        <v>0</v>
      </c>
      <c r="AA103" s="139">
        <v>0</v>
      </c>
      <c r="AB103" s="139">
        <v>0</v>
      </c>
      <c r="AC103" s="139">
        <v>0</v>
      </c>
      <c r="AD103" s="139">
        <v>0</v>
      </c>
      <c r="AE103" s="139">
        <v>0</v>
      </c>
      <c r="AJ103" t="s">
        <v>2442</v>
      </c>
      <c r="AK103">
        <v>1</v>
      </c>
    </row>
    <row r="104" spans="1:37">
      <c r="A104" t="s">
        <v>913</v>
      </c>
      <c r="B104" t="s">
        <v>152</v>
      </c>
      <c r="C104" t="s">
        <v>92</v>
      </c>
      <c r="D104">
        <v>1</v>
      </c>
      <c r="E104" s="138">
        <v>8100</v>
      </c>
      <c r="F104" s="143">
        <v>1</v>
      </c>
      <c r="G104" s="138">
        <v>19800</v>
      </c>
      <c r="H104" s="141">
        <f t="shared" si="1"/>
        <v>-11700</v>
      </c>
      <c r="I104" t="s">
        <v>35</v>
      </c>
      <c r="J104" t="s">
        <v>20</v>
      </c>
      <c r="K104" t="s">
        <v>35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</v>
      </c>
      <c r="AJ104" t="s">
        <v>2462</v>
      </c>
      <c r="AK104">
        <v>0</v>
      </c>
    </row>
    <row r="105" spans="1:37">
      <c r="A105" s="139" t="s">
        <v>1933</v>
      </c>
      <c r="B105" s="139" t="s">
        <v>2566</v>
      </c>
      <c r="C105" s="139" t="s">
        <v>92</v>
      </c>
      <c r="D105" s="139">
        <v>0</v>
      </c>
      <c r="E105" s="140">
        <v>0</v>
      </c>
      <c r="F105" s="142">
        <v>1</v>
      </c>
      <c r="G105" s="140">
        <v>42300</v>
      </c>
      <c r="H105" s="141">
        <f t="shared" si="1"/>
        <v>-42300</v>
      </c>
      <c r="I105" s="139" t="s">
        <v>27</v>
      </c>
      <c r="J105" s="139"/>
      <c r="K105" s="139" t="s">
        <v>27</v>
      </c>
      <c r="L105" s="139">
        <v>0</v>
      </c>
      <c r="M105" s="139">
        <v>0</v>
      </c>
      <c r="N105" s="139">
        <v>0</v>
      </c>
      <c r="O105" s="139">
        <v>0</v>
      </c>
      <c r="P105" s="139">
        <v>0</v>
      </c>
      <c r="Q105" s="139">
        <v>0</v>
      </c>
      <c r="R105" s="139">
        <v>0</v>
      </c>
      <c r="S105" s="139">
        <v>0</v>
      </c>
      <c r="T105" s="139">
        <v>0</v>
      </c>
      <c r="U105" s="139">
        <v>0</v>
      </c>
      <c r="V105" s="139">
        <v>0</v>
      </c>
      <c r="W105" s="139">
        <v>1</v>
      </c>
      <c r="X105" s="139">
        <v>0</v>
      </c>
      <c r="Y105" s="139">
        <v>0</v>
      </c>
      <c r="Z105" s="139">
        <v>0</v>
      </c>
      <c r="AA105" s="139">
        <v>0</v>
      </c>
      <c r="AB105" s="139">
        <v>0</v>
      </c>
      <c r="AC105" s="139">
        <v>0</v>
      </c>
      <c r="AD105" s="139">
        <v>0</v>
      </c>
      <c r="AE105" s="139">
        <v>0</v>
      </c>
      <c r="AJ105" t="s">
        <v>2440</v>
      </c>
      <c r="AK105">
        <v>1</v>
      </c>
    </row>
    <row r="106" spans="1:37">
      <c r="A106" t="s">
        <v>1934</v>
      </c>
      <c r="B106" t="s">
        <v>59</v>
      </c>
      <c r="C106" t="s">
        <v>92</v>
      </c>
      <c r="D106">
        <v>4</v>
      </c>
      <c r="E106" s="138">
        <v>84150</v>
      </c>
      <c r="F106" s="143">
        <v>0</v>
      </c>
      <c r="G106" s="138">
        <v>0</v>
      </c>
      <c r="H106" s="141">
        <f t="shared" si="1"/>
        <v>84150</v>
      </c>
      <c r="J106" t="s">
        <v>2529</v>
      </c>
      <c r="L106">
        <v>1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J106" t="s">
        <v>2464</v>
      </c>
      <c r="AK106">
        <v>1</v>
      </c>
    </row>
    <row r="107" spans="1:37">
      <c r="A107" s="139" t="s">
        <v>1935</v>
      </c>
      <c r="B107" s="139" t="s">
        <v>2566</v>
      </c>
      <c r="C107" s="139" t="s">
        <v>92</v>
      </c>
      <c r="D107" s="139">
        <v>0</v>
      </c>
      <c r="E107" s="140">
        <v>0</v>
      </c>
      <c r="F107" s="142">
        <v>1</v>
      </c>
      <c r="G107" s="140">
        <v>8100</v>
      </c>
      <c r="H107" s="141">
        <f t="shared" si="1"/>
        <v>-8100</v>
      </c>
      <c r="I107" s="139" t="s">
        <v>20</v>
      </c>
      <c r="J107" s="139"/>
      <c r="K107" s="139" t="s">
        <v>20</v>
      </c>
      <c r="L107" s="139">
        <v>0</v>
      </c>
      <c r="M107" s="139">
        <v>1</v>
      </c>
      <c r="N107" s="139">
        <v>0</v>
      </c>
      <c r="O107" s="139">
        <v>0</v>
      </c>
      <c r="P107" s="139">
        <v>0</v>
      </c>
      <c r="Q107" s="139">
        <v>0</v>
      </c>
      <c r="R107" s="139">
        <v>0</v>
      </c>
      <c r="S107" s="139">
        <v>0</v>
      </c>
      <c r="T107" s="139">
        <v>0</v>
      </c>
      <c r="U107" s="139">
        <v>0</v>
      </c>
      <c r="V107" s="139">
        <v>0</v>
      </c>
      <c r="W107" s="139">
        <v>0</v>
      </c>
      <c r="X107" s="139">
        <v>0</v>
      </c>
      <c r="Y107" s="139">
        <v>0</v>
      </c>
      <c r="Z107" s="139">
        <v>0</v>
      </c>
      <c r="AA107" s="139">
        <v>0</v>
      </c>
      <c r="AB107" s="139">
        <v>0</v>
      </c>
      <c r="AC107" s="139">
        <v>0</v>
      </c>
      <c r="AD107" s="139">
        <v>0</v>
      </c>
      <c r="AE107" s="139">
        <v>0</v>
      </c>
      <c r="AJ107" t="s">
        <v>2567</v>
      </c>
      <c r="AK107">
        <v>1</v>
      </c>
    </row>
    <row r="108" spans="1:37">
      <c r="A108" t="s">
        <v>1936</v>
      </c>
      <c r="B108" t="s">
        <v>152</v>
      </c>
      <c r="C108" t="s">
        <v>58</v>
      </c>
      <c r="D108">
        <v>1</v>
      </c>
      <c r="E108" s="138">
        <v>10800</v>
      </c>
      <c r="F108" s="143">
        <v>0</v>
      </c>
      <c r="G108" s="138">
        <v>0</v>
      </c>
      <c r="H108" s="141">
        <f t="shared" si="1"/>
        <v>10800</v>
      </c>
      <c r="J108" t="s">
        <v>20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J108" t="s">
        <v>2436</v>
      </c>
      <c r="AK108">
        <v>1</v>
      </c>
    </row>
    <row r="109" spans="1:37">
      <c r="A109" s="139" t="s">
        <v>1937</v>
      </c>
      <c r="B109" s="139" t="s">
        <v>59</v>
      </c>
      <c r="C109" s="139" t="s">
        <v>58</v>
      </c>
      <c r="D109" s="139">
        <v>8</v>
      </c>
      <c r="E109" s="140">
        <v>315000</v>
      </c>
      <c r="F109" s="142">
        <v>0</v>
      </c>
      <c r="G109" s="140">
        <v>0</v>
      </c>
      <c r="H109" s="141">
        <f t="shared" si="1"/>
        <v>315000</v>
      </c>
      <c r="I109" s="139"/>
      <c r="J109" s="139" t="s">
        <v>2568</v>
      </c>
      <c r="K109" s="139"/>
      <c r="L109" s="139">
        <v>1</v>
      </c>
      <c r="M109" s="139">
        <v>0</v>
      </c>
      <c r="N109" s="139">
        <v>1</v>
      </c>
      <c r="O109" s="139">
        <v>0</v>
      </c>
      <c r="P109" s="139">
        <v>1</v>
      </c>
      <c r="Q109" s="139">
        <v>0</v>
      </c>
      <c r="R109" s="139">
        <v>1</v>
      </c>
      <c r="S109" s="139">
        <v>0</v>
      </c>
      <c r="T109" s="139">
        <v>1</v>
      </c>
      <c r="U109" s="139">
        <v>0</v>
      </c>
      <c r="V109" s="139">
        <v>1</v>
      </c>
      <c r="W109" s="139">
        <v>0</v>
      </c>
      <c r="X109" s="139">
        <v>1</v>
      </c>
      <c r="Y109" s="139">
        <v>0</v>
      </c>
      <c r="Z109" s="139">
        <v>1</v>
      </c>
      <c r="AA109" s="139">
        <v>0</v>
      </c>
      <c r="AB109" s="139">
        <v>0</v>
      </c>
      <c r="AC109" s="139">
        <v>0</v>
      </c>
      <c r="AD109" s="139">
        <v>0</v>
      </c>
      <c r="AE109" s="139">
        <v>0</v>
      </c>
      <c r="AJ109" t="s">
        <v>2569</v>
      </c>
      <c r="AK109">
        <v>5</v>
      </c>
    </row>
    <row r="110" spans="1:37">
      <c r="A110" t="s">
        <v>1416</v>
      </c>
      <c r="B110" t="s">
        <v>152</v>
      </c>
      <c r="C110" t="s">
        <v>92</v>
      </c>
      <c r="D110">
        <v>1</v>
      </c>
      <c r="E110" s="138">
        <v>8100</v>
      </c>
      <c r="F110" s="143">
        <v>1</v>
      </c>
      <c r="G110" s="138">
        <v>8100</v>
      </c>
      <c r="H110" s="141">
        <f t="shared" si="1"/>
        <v>0</v>
      </c>
      <c r="I110" t="s">
        <v>20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J110" t="s">
        <v>2436</v>
      </c>
      <c r="AK110">
        <v>1</v>
      </c>
    </row>
    <row r="111" spans="1:37">
      <c r="A111" s="139" t="s">
        <v>999</v>
      </c>
      <c r="B111" s="139" t="s">
        <v>152</v>
      </c>
      <c r="C111" s="139" t="s">
        <v>58</v>
      </c>
      <c r="D111" s="139">
        <v>1</v>
      </c>
      <c r="E111" s="140">
        <v>10800</v>
      </c>
      <c r="F111" s="142">
        <v>1</v>
      </c>
      <c r="G111" s="140">
        <v>10800</v>
      </c>
      <c r="H111" s="141">
        <f t="shared" si="1"/>
        <v>0</v>
      </c>
      <c r="I111" s="139" t="s">
        <v>20</v>
      </c>
      <c r="J111" s="139"/>
      <c r="K111" s="139"/>
      <c r="L111" s="139">
        <v>1</v>
      </c>
      <c r="M111" s="139">
        <v>1</v>
      </c>
      <c r="N111" s="139">
        <v>0</v>
      </c>
      <c r="O111" s="139">
        <v>0</v>
      </c>
      <c r="P111" s="139">
        <v>0</v>
      </c>
      <c r="Q111" s="139">
        <v>0</v>
      </c>
      <c r="R111" s="139">
        <v>0</v>
      </c>
      <c r="S111" s="139">
        <v>0</v>
      </c>
      <c r="T111" s="139">
        <v>0</v>
      </c>
      <c r="U111" s="139">
        <v>0</v>
      </c>
      <c r="V111" s="139">
        <v>0</v>
      </c>
      <c r="W111" s="139">
        <v>0</v>
      </c>
      <c r="X111" s="139">
        <v>0</v>
      </c>
      <c r="Y111" s="139">
        <v>0</v>
      </c>
      <c r="Z111" s="139">
        <v>0</v>
      </c>
      <c r="AA111" s="139">
        <v>0</v>
      </c>
      <c r="AB111" s="139">
        <v>0</v>
      </c>
      <c r="AC111" s="139">
        <v>0</v>
      </c>
      <c r="AD111" s="139">
        <v>0</v>
      </c>
      <c r="AE111" s="139">
        <v>0</v>
      </c>
      <c r="AJ111" t="s">
        <v>2436</v>
      </c>
      <c r="AK111">
        <v>1</v>
      </c>
    </row>
    <row r="112" spans="1:37">
      <c r="A112" t="s">
        <v>1938</v>
      </c>
      <c r="B112" t="s">
        <v>66</v>
      </c>
      <c r="C112" t="s">
        <v>92</v>
      </c>
      <c r="D112">
        <v>4</v>
      </c>
      <c r="E112" s="138">
        <v>100800</v>
      </c>
      <c r="F112" s="143">
        <v>0</v>
      </c>
      <c r="G112" s="138">
        <v>0</v>
      </c>
      <c r="H112" s="141">
        <f t="shared" si="1"/>
        <v>100800</v>
      </c>
      <c r="J112" t="s">
        <v>2570</v>
      </c>
      <c r="L112">
        <v>1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J112" t="s">
        <v>2571</v>
      </c>
      <c r="AK112">
        <v>2</v>
      </c>
    </row>
    <row r="113" spans="1:37">
      <c r="A113" s="139" t="s">
        <v>1939</v>
      </c>
      <c r="B113" s="139" t="s">
        <v>2566</v>
      </c>
      <c r="C113" s="139" t="s">
        <v>92</v>
      </c>
      <c r="D113" s="139">
        <v>0</v>
      </c>
      <c r="E113" s="140">
        <v>0</v>
      </c>
      <c r="F113" s="142">
        <v>1</v>
      </c>
      <c r="G113" s="140">
        <v>8100</v>
      </c>
      <c r="H113" s="141">
        <f t="shared" si="1"/>
        <v>-8100</v>
      </c>
      <c r="I113" s="139" t="s">
        <v>20</v>
      </c>
      <c r="J113" s="139"/>
      <c r="K113" s="139" t="s">
        <v>20</v>
      </c>
      <c r="L113" s="139">
        <v>0</v>
      </c>
      <c r="M113" s="139">
        <v>1</v>
      </c>
      <c r="N113" s="139">
        <v>0</v>
      </c>
      <c r="O113" s="139">
        <v>0</v>
      </c>
      <c r="P113" s="139">
        <v>0</v>
      </c>
      <c r="Q113" s="139">
        <v>0</v>
      </c>
      <c r="R113" s="139">
        <v>0</v>
      </c>
      <c r="S113" s="139">
        <v>0</v>
      </c>
      <c r="T113" s="139">
        <v>0</v>
      </c>
      <c r="U113" s="139">
        <v>0</v>
      </c>
      <c r="V113" s="139">
        <v>0</v>
      </c>
      <c r="W113" s="139">
        <v>0</v>
      </c>
      <c r="X113" s="139">
        <v>0</v>
      </c>
      <c r="Y113" s="139">
        <v>0</v>
      </c>
      <c r="Z113" s="139">
        <v>0</v>
      </c>
      <c r="AA113" s="139">
        <v>0</v>
      </c>
      <c r="AB113" s="139">
        <v>0</v>
      </c>
      <c r="AC113" s="139">
        <v>0</v>
      </c>
      <c r="AD113" s="139">
        <v>0</v>
      </c>
      <c r="AE113" s="139">
        <v>0</v>
      </c>
      <c r="AJ113" t="s">
        <v>2436</v>
      </c>
      <c r="AK113">
        <v>1</v>
      </c>
    </row>
    <row r="114" spans="1:37">
      <c r="A114" t="s">
        <v>1066</v>
      </c>
      <c r="B114" t="s">
        <v>152</v>
      </c>
      <c r="C114" t="s">
        <v>58</v>
      </c>
      <c r="D114">
        <v>1</v>
      </c>
      <c r="E114" s="138">
        <v>10800</v>
      </c>
      <c r="F114" s="143">
        <v>1</v>
      </c>
      <c r="G114" s="138">
        <v>10800</v>
      </c>
      <c r="H114" s="141">
        <f t="shared" si="1"/>
        <v>0</v>
      </c>
      <c r="I114" t="s">
        <v>20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J114" t="s">
        <v>2436</v>
      </c>
      <c r="AK114">
        <v>1</v>
      </c>
    </row>
    <row r="115" spans="1:37">
      <c r="A115" s="139" t="s">
        <v>1940</v>
      </c>
      <c r="B115" s="139" t="s">
        <v>2566</v>
      </c>
      <c r="C115" s="139" t="s">
        <v>92</v>
      </c>
      <c r="D115" s="139">
        <v>0</v>
      </c>
      <c r="E115" s="140">
        <v>0</v>
      </c>
      <c r="F115" s="142">
        <v>1</v>
      </c>
      <c r="G115" s="140">
        <v>31500</v>
      </c>
      <c r="H115" s="141">
        <f t="shared" si="1"/>
        <v>-31500</v>
      </c>
      <c r="I115" s="139" t="s">
        <v>31</v>
      </c>
      <c r="J115" s="139"/>
      <c r="K115" s="139" t="s">
        <v>31</v>
      </c>
      <c r="L115" s="139">
        <v>0</v>
      </c>
      <c r="M115" s="139">
        <v>0</v>
      </c>
      <c r="N115" s="139">
        <v>0</v>
      </c>
      <c r="O115" s="139">
        <v>0</v>
      </c>
      <c r="P115" s="139">
        <v>0</v>
      </c>
      <c r="Q115" s="139">
        <v>0</v>
      </c>
      <c r="R115" s="139">
        <v>0</v>
      </c>
      <c r="S115" s="139">
        <v>0</v>
      </c>
      <c r="T115" s="139">
        <v>0</v>
      </c>
      <c r="U115" s="139">
        <v>0</v>
      </c>
      <c r="V115" s="139">
        <v>0</v>
      </c>
      <c r="W115" s="139">
        <v>0</v>
      </c>
      <c r="X115" s="139">
        <v>0</v>
      </c>
      <c r="Y115" s="139">
        <v>0</v>
      </c>
      <c r="Z115" s="139">
        <v>0</v>
      </c>
      <c r="AA115" s="139">
        <v>1</v>
      </c>
      <c r="AB115" s="139">
        <v>0</v>
      </c>
      <c r="AC115" s="139">
        <v>0</v>
      </c>
      <c r="AD115" s="139">
        <v>0</v>
      </c>
      <c r="AE115" s="139">
        <v>0</v>
      </c>
      <c r="AJ115" t="s">
        <v>2494</v>
      </c>
      <c r="AK115">
        <v>1</v>
      </c>
    </row>
    <row r="116" spans="1:37">
      <c r="A116" t="s">
        <v>1941</v>
      </c>
      <c r="B116" t="s">
        <v>2566</v>
      </c>
      <c r="C116" t="s">
        <v>92</v>
      </c>
      <c r="D116">
        <v>0</v>
      </c>
      <c r="E116" s="138">
        <v>0</v>
      </c>
      <c r="F116" s="143">
        <v>1</v>
      </c>
      <c r="G116" s="138">
        <v>42300</v>
      </c>
      <c r="H116" s="141">
        <f t="shared" si="1"/>
        <v>-42300</v>
      </c>
      <c r="I116" t="s">
        <v>27</v>
      </c>
      <c r="K116" t="s">
        <v>27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J116" t="s">
        <v>2464</v>
      </c>
      <c r="AK116">
        <v>1</v>
      </c>
    </row>
    <row r="117" spans="1:37">
      <c r="A117" s="139" t="s">
        <v>1942</v>
      </c>
      <c r="B117" s="139" t="s">
        <v>59</v>
      </c>
      <c r="C117" s="139" t="s">
        <v>58</v>
      </c>
      <c r="D117" s="139">
        <v>4</v>
      </c>
      <c r="E117" s="140">
        <v>118350</v>
      </c>
      <c r="F117" s="142">
        <v>0</v>
      </c>
      <c r="G117" s="140">
        <v>0</v>
      </c>
      <c r="H117" s="141">
        <f t="shared" si="1"/>
        <v>118350</v>
      </c>
      <c r="I117" s="139"/>
      <c r="J117" s="139" t="s">
        <v>2529</v>
      </c>
      <c r="K117" s="139"/>
      <c r="L117" s="139">
        <v>1</v>
      </c>
      <c r="M117" s="139">
        <v>0</v>
      </c>
      <c r="N117" s="139">
        <v>0</v>
      </c>
      <c r="O117" s="139">
        <v>0</v>
      </c>
      <c r="P117" s="139">
        <v>1</v>
      </c>
      <c r="Q117" s="139">
        <v>0</v>
      </c>
      <c r="R117" s="139">
        <v>1</v>
      </c>
      <c r="S117" s="139">
        <v>0</v>
      </c>
      <c r="T117" s="139">
        <v>0</v>
      </c>
      <c r="U117" s="139">
        <v>0</v>
      </c>
      <c r="V117" s="139">
        <v>0</v>
      </c>
      <c r="W117" s="139">
        <v>0</v>
      </c>
      <c r="X117" s="139">
        <v>0</v>
      </c>
      <c r="Y117" s="139">
        <v>0</v>
      </c>
      <c r="Z117" s="139">
        <v>0</v>
      </c>
      <c r="AA117" s="139">
        <v>0</v>
      </c>
      <c r="AB117" s="139">
        <v>1</v>
      </c>
      <c r="AC117" s="139">
        <v>0</v>
      </c>
      <c r="AD117" s="139">
        <v>0</v>
      </c>
      <c r="AE117" s="139">
        <v>0</v>
      </c>
      <c r="AJ117" t="s">
        <v>2436</v>
      </c>
      <c r="AK117">
        <v>1</v>
      </c>
    </row>
    <row r="118" spans="1:37">
      <c r="A118" t="s">
        <v>1178</v>
      </c>
      <c r="B118" t="s">
        <v>152</v>
      </c>
      <c r="C118" t="s">
        <v>92</v>
      </c>
      <c r="D118">
        <v>1</v>
      </c>
      <c r="E118" s="138">
        <v>8100</v>
      </c>
      <c r="F118" s="143">
        <v>1</v>
      </c>
      <c r="G118" s="138">
        <v>8100</v>
      </c>
      <c r="H118" s="141">
        <f t="shared" si="1"/>
        <v>0</v>
      </c>
      <c r="I118" t="s">
        <v>20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J118" t="s">
        <v>2436</v>
      </c>
      <c r="AK118">
        <v>1</v>
      </c>
    </row>
    <row r="119" spans="1:37">
      <c r="A119" s="139" t="s">
        <v>1943</v>
      </c>
      <c r="B119" s="139" t="s">
        <v>152</v>
      </c>
      <c r="C119" s="139" t="s">
        <v>92</v>
      </c>
      <c r="D119" s="139">
        <v>1</v>
      </c>
      <c r="E119" s="140">
        <v>8100</v>
      </c>
      <c r="F119" s="142">
        <v>0</v>
      </c>
      <c r="G119" s="140">
        <v>0</v>
      </c>
      <c r="H119" s="141">
        <f t="shared" si="1"/>
        <v>8100</v>
      </c>
      <c r="I119" s="139"/>
      <c r="J119" s="139" t="s">
        <v>20</v>
      </c>
      <c r="K119" s="139"/>
      <c r="L119" s="139">
        <v>1</v>
      </c>
      <c r="M119" s="139">
        <v>0</v>
      </c>
      <c r="N119" s="139">
        <v>0</v>
      </c>
      <c r="O119" s="139">
        <v>0</v>
      </c>
      <c r="P119" s="139">
        <v>0</v>
      </c>
      <c r="Q119" s="139">
        <v>0</v>
      </c>
      <c r="R119" s="139">
        <v>0</v>
      </c>
      <c r="S119" s="139">
        <v>0</v>
      </c>
      <c r="T119" s="139">
        <v>0</v>
      </c>
      <c r="U119" s="139">
        <v>0</v>
      </c>
      <c r="V119" s="139">
        <v>0</v>
      </c>
      <c r="W119" s="139">
        <v>0</v>
      </c>
      <c r="X119" s="139">
        <v>0</v>
      </c>
      <c r="Y119" s="139">
        <v>0</v>
      </c>
      <c r="Z119" s="139">
        <v>0</v>
      </c>
      <c r="AA119" s="139">
        <v>0</v>
      </c>
      <c r="AB119" s="139">
        <v>0</v>
      </c>
      <c r="AC119" s="139">
        <v>0</v>
      </c>
      <c r="AD119" s="139">
        <v>0</v>
      </c>
      <c r="AE119" s="139">
        <v>0</v>
      </c>
      <c r="AJ119" t="s">
        <v>2572</v>
      </c>
      <c r="AK119">
        <v>1</v>
      </c>
    </row>
    <row r="120" spans="1:37">
      <c r="A120" t="s">
        <v>1944</v>
      </c>
      <c r="B120" t="s">
        <v>66</v>
      </c>
      <c r="C120" t="s">
        <v>92</v>
      </c>
      <c r="D120">
        <v>4</v>
      </c>
      <c r="E120" s="138">
        <v>100800</v>
      </c>
      <c r="F120" s="143">
        <v>0</v>
      </c>
      <c r="G120" s="138">
        <v>0</v>
      </c>
      <c r="H120" s="141">
        <f t="shared" si="1"/>
        <v>100800</v>
      </c>
      <c r="J120" t="s">
        <v>2570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J120" t="s">
        <v>2573</v>
      </c>
      <c r="AK120">
        <v>3</v>
      </c>
    </row>
    <row r="121" spans="1:37">
      <c r="A121" s="139" t="s">
        <v>1946</v>
      </c>
      <c r="B121" s="139" t="s">
        <v>66</v>
      </c>
      <c r="C121" s="139" t="s">
        <v>58</v>
      </c>
      <c r="D121" s="139">
        <v>8</v>
      </c>
      <c r="E121" s="140">
        <v>265950</v>
      </c>
      <c r="F121" s="142">
        <v>0</v>
      </c>
      <c r="G121" s="140">
        <v>0</v>
      </c>
      <c r="H121" s="141">
        <f t="shared" si="1"/>
        <v>265950</v>
      </c>
      <c r="I121" s="139"/>
      <c r="J121" s="139" t="s">
        <v>2574</v>
      </c>
      <c r="K121" s="139"/>
      <c r="L121" s="139">
        <v>1</v>
      </c>
      <c r="M121" s="139">
        <v>0</v>
      </c>
      <c r="N121" s="139">
        <v>1</v>
      </c>
      <c r="O121" s="139">
        <v>0</v>
      </c>
      <c r="P121" s="139">
        <v>0</v>
      </c>
      <c r="Q121" s="139">
        <v>0</v>
      </c>
      <c r="R121" s="139">
        <v>0</v>
      </c>
      <c r="S121" s="139">
        <v>0</v>
      </c>
      <c r="T121" s="139">
        <v>1</v>
      </c>
      <c r="U121" s="139">
        <v>0</v>
      </c>
      <c r="V121" s="139">
        <v>1</v>
      </c>
      <c r="W121" s="139">
        <v>0</v>
      </c>
      <c r="X121" s="139">
        <v>1</v>
      </c>
      <c r="Y121" s="139">
        <v>0</v>
      </c>
      <c r="Z121" s="139">
        <v>1</v>
      </c>
      <c r="AA121" s="139">
        <v>0</v>
      </c>
      <c r="AB121" s="139">
        <v>1</v>
      </c>
      <c r="AC121" s="139">
        <v>0</v>
      </c>
      <c r="AD121" s="139">
        <v>1</v>
      </c>
      <c r="AE121" s="139">
        <v>0</v>
      </c>
      <c r="AJ121" t="s">
        <v>2436</v>
      </c>
      <c r="AK121">
        <v>1</v>
      </c>
    </row>
    <row r="122" spans="1:37">
      <c r="A122" t="s">
        <v>1947</v>
      </c>
      <c r="B122" t="s">
        <v>2566</v>
      </c>
      <c r="C122" t="s">
        <v>92</v>
      </c>
      <c r="D122">
        <v>0</v>
      </c>
      <c r="E122" s="138">
        <v>0</v>
      </c>
      <c r="F122" s="143">
        <v>1</v>
      </c>
      <c r="G122" s="138">
        <v>8100</v>
      </c>
      <c r="H122" s="141">
        <f t="shared" si="1"/>
        <v>-8100</v>
      </c>
      <c r="I122" t="s">
        <v>20</v>
      </c>
      <c r="K122" t="s">
        <v>20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J122" t="s">
        <v>2436</v>
      </c>
      <c r="AK122">
        <v>1</v>
      </c>
    </row>
    <row r="123" spans="1:37">
      <c r="A123" s="139" t="s">
        <v>1393</v>
      </c>
      <c r="B123" s="139" t="s">
        <v>152</v>
      </c>
      <c r="C123" s="139" t="s">
        <v>92</v>
      </c>
      <c r="D123" s="139">
        <v>1</v>
      </c>
      <c r="E123" s="140">
        <v>8100</v>
      </c>
      <c r="F123" s="142">
        <v>1</v>
      </c>
      <c r="G123" s="140">
        <v>8100</v>
      </c>
      <c r="H123" s="141">
        <f t="shared" si="1"/>
        <v>0</v>
      </c>
      <c r="I123" s="139" t="s">
        <v>20</v>
      </c>
      <c r="J123" s="139"/>
      <c r="K123" s="139"/>
      <c r="L123" s="139">
        <v>1</v>
      </c>
      <c r="M123" s="139">
        <v>1</v>
      </c>
      <c r="N123" s="139">
        <v>0</v>
      </c>
      <c r="O123" s="139">
        <v>0</v>
      </c>
      <c r="P123" s="139">
        <v>0</v>
      </c>
      <c r="Q123" s="139">
        <v>0</v>
      </c>
      <c r="R123" s="139">
        <v>0</v>
      </c>
      <c r="S123" s="139">
        <v>0</v>
      </c>
      <c r="T123" s="139">
        <v>0</v>
      </c>
      <c r="U123" s="139">
        <v>0</v>
      </c>
      <c r="V123" s="139">
        <v>0</v>
      </c>
      <c r="W123" s="139">
        <v>0</v>
      </c>
      <c r="X123" s="139">
        <v>0</v>
      </c>
      <c r="Y123" s="139">
        <v>0</v>
      </c>
      <c r="Z123" s="139">
        <v>0</v>
      </c>
      <c r="AA123" s="139">
        <v>0</v>
      </c>
      <c r="AB123" s="139">
        <v>0</v>
      </c>
      <c r="AC123" s="139">
        <v>0</v>
      </c>
      <c r="AD123" s="139">
        <v>0</v>
      </c>
      <c r="AE123" s="139">
        <v>0</v>
      </c>
      <c r="AJ123" t="s">
        <v>2436</v>
      </c>
      <c r="AK123">
        <v>1</v>
      </c>
    </row>
    <row r="124" spans="1:37">
      <c r="A124" t="s">
        <v>563</v>
      </c>
      <c r="B124" t="s">
        <v>102</v>
      </c>
      <c r="C124" t="s">
        <v>58</v>
      </c>
      <c r="D124">
        <v>1</v>
      </c>
      <c r="E124" s="138">
        <v>10800</v>
      </c>
      <c r="F124" s="143">
        <v>1</v>
      </c>
      <c r="G124" s="138">
        <v>10800</v>
      </c>
      <c r="H124" s="141">
        <f t="shared" si="1"/>
        <v>0</v>
      </c>
      <c r="I124" t="s">
        <v>20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J124" t="s">
        <v>2457</v>
      </c>
      <c r="AK124">
        <v>1</v>
      </c>
    </row>
    <row r="125" spans="1:37">
      <c r="A125" s="139" t="s">
        <v>1395</v>
      </c>
      <c r="B125" s="139" t="s">
        <v>152</v>
      </c>
      <c r="C125" s="139" t="s">
        <v>92</v>
      </c>
      <c r="D125" s="139">
        <v>1</v>
      </c>
      <c r="E125" s="140">
        <v>8100</v>
      </c>
      <c r="F125" s="142">
        <v>1</v>
      </c>
      <c r="G125" s="140">
        <v>8100</v>
      </c>
      <c r="H125" s="141">
        <f t="shared" si="1"/>
        <v>0</v>
      </c>
      <c r="I125" s="139" t="s">
        <v>20</v>
      </c>
      <c r="J125" s="139"/>
      <c r="K125" s="139"/>
      <c r="L125" s="139">
        <v>1</v>
      </c>
      <c r="M125" s="139">
        <v>1</v>
      </c>
      <c r="N125" s="139">
        <v>0</v>
      </c>
      <c r="O125" s="139">
        <v>0</v>
      </c>
      <c r="P125" s="139">
        <v>0</v>
      </c>
      <c r="Q125" s="139">
        <v>0</v>
      </c>
      <c r="R125" s="139">
        <v>0</v>
      </c>
      <c r="S125" s="139">
        <v>0</v>
      </c>
      <c r="T125" s="139">
        <v>0</v>
      </c>
      <c r="U125" s="139">
        <v>0</v>
      </c>
      <c r="V125" s="139">
        <v>0</v>
      </c>
      <c r="W125" s="139">
        <v>0</v>
      </c>
      <c r="X125" s="139">
        <v>0</v>
      </c>
      <c r="Y125" s="139">
        <v>0</v>
      </c>
      <c r="Z125" s="139">
        <v>0</v>
      </c>
      <c r="AA125" s="139">
        <v>0</v>
      </c>
      <c r="AB125" s="139">
        <v>0</v>
      </c>
      <c r="AC125" s="139">
        <v>0</v>
      </c>
      <c r="AD125" s="139">
        <v>0</v>
      </c>
      <c r="AE125" s="139">
        <v>0</v>
      </c>
      <c r="AJ125" t="s">
        <v>2436</v>
      </c>
      <c r="AK125">
        <v>1</v>
      </c>
    </row>
    <row r="126" spans="1:37">
      <c r="A126" t="s">
        <v>1949</v>
      </c>
      <c r="B126" t="s">
        <v>191</v>
      </c>
      <c r="C126" t="s">
        <v>92</v>
      </c>
      <c r="D126">
        <v>4</v>
      </c>
      <c r="E126" s="138">
        <v>78750</v>
      </c>
      <c r="F126" s="143">
        <v>0</v>
      </c>
      <c r="G126" s="138">
        <v>0</v>
      </c>
      <c r="H126" s="141">
        <f t="shared" si="1"/>
        <v>78750</v>
      </c>
      <c r="J126" t="s">
        <v>2508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1</v>
      </c>
      <c r="AE126">
        <v>0</v>
      </c>
      <c r="AJ126" t="s">
        <v>2462</v>
      </c>
      <c r="AK126">
        <v>0</v>
      </c>
    </row>
    <row r="127" spans="1:37">
      <c r="A127" s="139" t="s">
        <v>1950</v>
      </c>
      <c r="B127" s="139" t="s">
        <v>59</v>
      </c>
      <c r="C127" s="139" t="s">
        <v>92</v>
      </c>
      <c r="D127" s="139">
        <v>5</v>
      </c>
      <c r="E127" s="140">
        <v>134100</v>
      </c>
      <c r="F127" s="142">
        <v>0</v>
      </c>
      <c r="G127" s="140">
        <v>0</v>
      </c>
      <c r="H127" s="141">
        <f t="shared" si="1"/>
        <v>134100</v>
      </c>
      <c r="I127" s="139"/>
      <c r="J127" s="139" t="s">
        <v>2575</v>
      </c>
      <c r="K127" s="139"/>
      <c r="L127" s="139">
        <v>1</v>
      </c>
      <c r="M127" s="139">
        <v>0</v>
      </c>
      <c r="N127" s="139">
        <v>1</v>
      </c>
      <c r="O127" s="139">
        <v>0</v>
      </c>
      <c r="P127" s="139">
        <v>1</v>
      </c>
      <c r="Q127" s="139">
        <v>0</v>
      </c>
      <c r="R127" s="139">
        <v>1</v>
      </c>
      <c r="S127" s="139">
        <v>0</v>
      </c>
      <c r="T127" s="139">
        <v>0</v>
      </c>
      <c r="U127" s="139">
        <v>0</v>
      </c>
      <c r="V127" s="139">
        <v>0</v>
      </c>
      <c r="W127" s="139">
        <v>0</v>
      </c>
      <c r="X127" s="139">
        <v>1</v>
      </c>
      <c r="Y127" s="139">
        <v>0</v>
      </c>
      <c r="Z127" s="139">
        <v>0</v>
      </c>
      <c r="AA127" s="139">
        <v>0</v>
      </c>
      <c r="AB127" s="139">
        <v>0</v>
      </c>
      <c r="AC127" s="139">
        <v>0</v>
      </c>
      <c r="AD127" s="139">
        <v>0</v>
      </c>
      <c r="AE127" s="139">
        <v>0</v>
      </c>
      <c r="AJ127" t="s">
        <v>2472</v>
      </c>
      <c r="AK127">
        <v>1</v>
      </c>
    </row>
    <row r="128" spans="1:37">
      <c r="A128" t="s">
        <v>1076</v>
      </c>
      <c r="B128" t="s">
        <v>152</v>
      </c>
      <c r="C128" t="s">
        <v>58</v>
      </c>
      <c r="D128">
        <v>1</v>
      </c>
      <c r="E128" s="138">
        <v>10800</v>
      </c>
      <c r="F128" s="143">
        <v>1</v>
      </c>
      <c r="G128" s="138">
        <v>10800</v>
      </c>
      <c r="H128" s="141">
        <f t="shared" si="1"/>
        <v>0</v>
      </c>
      <c r="I128" t="s">
        <v>20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J128" t="s">
        <v>2436</v>
      </c>
      <c r="AK128">
        <v>1</v>
      </c>
    </row>
    <row r="129" spans="1:37">
      <c r="A129" s="139" t="s">
        <v>966</v>
      </c>
      <c r="B129" s="139" t="s">
        <v>152</v>
      </c>
      <c r="C129" s="139" t="s">
        <v>58</v>
      </c>
      <c r="D129" s="139">
        <v>1</v>
      </c>
      <c r="E129" s="140">
        <v>10800</v>
      </c>
      <c r="F129" s="142">
        <v>1</v>
      </c>
      <c r="G129" s="140">
        <v>10800</v>
      </c>
      <c r="H129" s="141">
        <f t="shared" si="1"/>
        <v>0</v>
      </c>
      <c r="I129" s="139" t="s">
        <v>20</v>
      </c>
      <c r="J129" s="139"/>
      <c r="K129" s="139"/>
      <c r="L129" s="139">
        <v>1</v>
      </c>
      <c r="M129" s="139">
        <v>1</v>
      </c>
      <c r="N129" s="139">
        <v>0</v>
      </c>
      <c r="O129" s="139">
        <v>0</v>
      </c>
      <c r="P129" s="139">
        <v>0</v>
      </c>
      <c r="Q129" s="139">
        <v>0</v>
      </c>
      <c r="R129" s="139">
        <v>0</v>
      </c>
      <c r="S129" s="139">
        <v>0</v>
      </c>
      <c r="T129" s="139">
        <v>0</v>
      </c>
      <c r="U129" s="139">
        <v>0</v>
      </c>
      <c r="V129" s="139">
        <v>0</v>
      </c>
      <c r="W129" s="139">
        <v>0</v>
      </c>
      <c r="X129" s="139">
        <v>0</v>
      </c>
      <c r="Y129" s="139">
        <v>0</v>
      </c>
      <c r="Z129" s="139">
        <v>0</v>
      </c>
      <c r="AA129" s="139">
        <v>0</v>
      </c>
      <c r="AB129" s="139">
        <v>0</v>
      </c>
      <c r="AC129" s="139">
        <v>0</v>
      </c>
      <c r="AD129" s="139">
        <v>0</v>
      </c>
      <c r="AE129" s="139">
        <v>0</v>
      </c>
      <c r="AJ129" t="s">
        <v>2436</v>
      </c>
      <c r="AK129">
        <v>1</v>
      </c>
    </row>
    <row r="130" spans="1:37">
      <c r="A130" t="s">
        <v>1020</v>
      </c>
      <c r="B130" t="s">
        <v>152</v>
      </c>
      <c r="C130" t="s">
        <v>92</v>
      </c>
      <c r="D130">
        <v>1</v>
      </c>
      <c r="E130" s="138">
        <v>8100</v>
      </c>
      <c r="F130" s="143">
        <v>3</v>
      </c>
      <c r="G130" s="138">
        <v>58950</v>
      </c>
      <c r="H130" s="141">
        <f t="shared" si="1"/>
        <v>-50850</v>
      </c>
      <c r="I130" t="s">
        <v>2530</v>
      </c>
      <c r="K130" t="s">
        <v>2555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J130" t="s">
        <v>2576</v>
      </c>
      <c r="AK130">
        <v>3</v>
      </c>
    </row>
    <row r="131" spans="1:37">
      <c r="A131" s="139" t="s">
        <v>1952</v>
      </c>
      <c r="B131" s="139" t="s">
        <v>59</v>
      </c>
      <c r="C131" s="139" t="s">
        <v>92</v>
      </c>
      <c r="D131" s="139">
        <v>5</v>
      </c>
      <c r="E131" s="140">
        <v>134100</v>
      </c>
      <c r="F131" s="142">
        <v>0</v>
      </c>
      <c r="G131" s="140">
        <v>0</v>
      </c>
      <c r="H131" s="141">
        <f t="shared" si="1"/>
        <v>134100</v>
      </c>
      <c r="I131" s="139"/>
      <c r="J131" s="139" t="s">
        <v>2575</v>
      </c>
      <c r="K131" s="139"/>
      <c r="L131" s="139">
        <v>1</v>
      </c>
      <c r="M131" s="139">
        <v>0</v>
      </c>
      <c r="N131" s="139">
        <v>1</v>
      </c>
      <c r="O131" s="139">
        <v>0</v>
      </c>
      <c r="P131" s="139">
        <v>1</v>
      </c>
      <c r="Q131" s="139">
        <v>0</v>
      </c>
      <c r="R131" s="139">
        <v>1</v>
      </c>
      <c r="S131" s="139">
        <v>0</v>
      </c>
      <c r="T131" s="139">
        <v>0</v>
      </c>
      <c r="U131" s="139">
        <v>0</v>
      </c>
      <c r="V131" s="139">
        <v>0</v>
      </c>
      <c r="W131" s="139">
        <v>0</v>
      </c>
      <c r="X131" s="139">
        <v>1</v>
      </c>
      <c r="Y131" s="139">
        <v>0</v>
      </c>
      <c r="Z131" s="139">
        <v>0</v>
      </c>
      <c r="AA131" s="139">
        <v>0</v>
      </c>
      <c r="AB131" s="139">
        <v>0</v>
      </c>
      <c r="AC131" s="139">
        <v>0</v>
      </c>
      <c r="AD131" s="139">
        <v>0</v>
      </c>
      <c r="AE131" s="139">
        <v>0</v>
      </c>
      <c r="AJ131" t="s">
        <v>2577</v>
      </c>
      <c r="AK131">
        <v>2</v>
      </c>
    </row>
    <row r="132" spans="1:37">
      <c r="A132" t="s">
        <v>1366</v>
      </c>
      <c r="B132" t="s">
        <v>102</v>
      </c>
      <c r="C132" t="s">
        <v>58</v>
      </c>
      <c r="D132">
        <v>1</v>
      </c>
      <c r="E132" s="138">
        <v>10800</v>
      </c>
      <c r="F132" s="143">
        <v>2</v>
      </c>
      <c r="G132" s="138">
        <v>66600</v>
      </c>
      <c r="H132" s="141">
        <f t="shared" ref="H132:H195" si="2">E132-G132</f>
        <v>-55800</v>
      </c>
      <c r="I132" t="s">
        <v>2541</v>
      </c>
      <c r="K132" t="s">
        <v>1695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J132" t="s">
        <v>2578</v>
      </c>
      <c r="AK132">
        <v>2</v>
      </c>
    </row>
    <row r="133" spans="1:37">
      <c r="A133" s="139" t="s">
        <v>1228</v>
      </c>
      <c r="B133" s="139" t="s">
        <v>152</v>
      </c>
      <c r="C133" s="139" t="s">
        <v>92</v>
      </c>
      <c r="D133" s="139">
        <v>1</v>
      </c>
      <c r="E133" s="140">
        <v>8100</v>
      </c>
      <c r="F133" s="142">
        <v>2</v>
      </c>
      <c r="G133" s="140">
        <v>25200</v>
      </c>
      <c r="H133" s="141">
        <f t="shared" si="2"/>
        <v>-17100</v>
      </c>
      <c r="I133" s="139" t="s">
        <v>2483</v>
      </c>
      <c r="J133" s="139"/>
      <c r="K133" s="139" t="s">
        <v>25</v>
      </c>
      <c r="L133" s="139">
        <v>1</v>
      </c>
      <c r="M133" s="139">
        <v>1</v>
      </c>
      <c r="N133" s="139">
        <v>0</v>
      </c>
      <c r="O133" s="139">
        <v>0</v>
      </c>
      <c r="P133" s="139">
        <v>0</v>
      </c>
      <c r="Q133" s="139">
        <v>0</v>
      </c>
      <c r="R133" s="139">
        <v>0</v>
      </c>
      <c r="S133" s="139">
        <v>0</v>
      </c>
      <c r="T133" s="139">
        <v>0</v>
      </c>
      <c r="U133" s="139">
        <v>1</v>
      </c>
      <c r="V133" s="139">
        <v>0</v>
      </c>
      <c r="W133" s="139">
        <v>0</v>
      </c>
      <c r="X133" s="139">
        <v>0</v>
      </c>
      <c r="Y133" s="139">
        <v>0</v>
      </c>
      <c r="Z133" s="139">
        <v>0</v>
      </c>
      <c r="AA133" s="139">
        <v>0</v>
      </c>
      <c r="AB133" s="139">
        <v>0</v>
      </c>
      <c r="AC133" s="139">
        <v>0</v>
      </c>
      <c r="AD133" s="139">
        <v>0</v>
      </c>
      <c r="AE133" s="139">
        <v>0</v>
      </c>
      <c r="AJ133" t="s">
        <v>2449</v>
      </c>
      <c r="AK133">
        <v>2</v>
      </c>
    </row>
    <row r="134" spans="1:37">
      <c r="A134" t="s">
        <v>1953</v>
      </c>
      <c r="B134" t="s">
        <v>2566</v>
      </c>
      <c r="C134" t="s">
        <v>92</v>
      </c>
      <c r="D134">
        <v>0</v>
      </c>
      <c r="E134" s="138">
        <v>0</v>
      </c>
      <c r="F134" s="143">
        <v>1</v>
      </c>
      <c r="G134" s="138">
        <v>30600</v>
      </c>
      <c r="H134" s="141">
        <f t="shared" si="2"/>
        <v>-30600</v>
      </c>
      <c r="I134" t="s">
        <v>21</v>
      </c>
      <c r="K134" t="s">
        <v>21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J134" t="s">
        <v>2513</v>
      </c>
      <c r="AK134">
        <v>1</v>
      </c>
    </row>
    <row r="135" spans="1:37">
      <c r="A135" s="139" t="s">
        <v>1954</v>
      </c>
      <c r="B135" s="139" t="s">
        <v>102</v>
      </c>
      <c r="C135" s="139" t="s">
        <v>92</v>
      </c>
      <c r="D135" s="139">
        <v>4</v>
      </c>
      <c r="E135" s="140">
        <v>107100</v>
      </c>
      <c r="F135" s="142">
        <v>0</v>
      </c>
      <c r="G135" s="140">
        <v>0</v>
      </c>
      <c r="H135" s="141">
        <f t="shared" si="2"/>
        <v>107100</v>
      </c>
      <c r="I135" s="139"/>
      <c r="J135" s="139" t="s">
        <v>2511</v>
      </c>
      <c r="K135" s="139"/>
      <c r="L135" s="139">
        <v>1</v>
      </c>
      <c r="M135" s="139">
        <v>0</v>
      </c>
      <c r="N135" s="139">
        <v>1</v>
      </c>
      <c r="O135" s="139">
        <v>0</v>
      </c>
      <c r="P135" s="139">
        <v>0</v>
      </c>
      <c r="Q135" s="139">
        <v>0</v>
      </c>
      <c r="R135" s="139">
        <v>0</v>
      </c>
      <c r="S135" s="139">
        <v>0</v>
      </c>
      <c r="T135" s="139">
        <v>1</v>
      </c>
      <c r="U135" s="139">
        <v>0</v>
      </c>
      <c r="V135" s="139">
        <v>1</v>
      </c>
      <c r="W135" s="139">
        <v>0</v>
      </c>
      <c r="X135" s="139">
        <v>0</v>
      </c>
      <c r="Y135" s="139">
        <v>0</v>
      </c>
      <c r="Z135" s="139">
        <v>0</v>
      </c>
      <c r="AA135" s="139">
        <v>0</v>
      </c>
      <c r="AB135" s="139">
        <v>0</v>
      </c>
      <c r="AC135" s="139">
        <v>0</v>
      </c>
      <c r="AD135" s="139">
        <v>0</v>
      </c>
      <c r="AE135" s="139">
        <v>0</v>
      </c>
      <c r="AJ135" t="s">
        <v>2464</v>
      </c>
      <c r="AK135">
        <v>1</v>
      </c>
    </row>
    <row r="136" spans="1:37">
      <c r="A136" t="s">
        <v>1955</v>
      </c>
      <c r="B136" t="s">
        <v>59</v>
      </c>
      <c r="C136" t="s">
        <v>58</v>
      </c>
      <c r="D136">
        <v>5</v>
      </c>
      <c r="E136" s="138">
        <v>151200</v>
      </c>
      <c r="F136" s="143">
        <v>0</v>
      </c>
      <c r="G136" s="138">
        <v>0</v>
      </c>
      <c r="H136" s="141">
        <f t="shared" si="2"/>
        <v>151200</v>
      </c>
      <c r="J136" t="s">
        <v>2470</v>
      </c>
      <c r="L136">
        <v>1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J136" t="s">
        <v>2521</v>
      </c>
      <c r="AK136">
        <v>4</v>
      </c>
    </row>
    <row r="137" spans="1:37">
      <c r="A137" s="139" t="s">
        <v>1956</v>
      </c>
      <c r="B137" s="139" t="s">
        <v>66</v>
      </c>
      <c r="C137" s="139" t="s">
        <v>92</v>
      </c>
      <c r="D137" s="139">
        <v>4</v>
      </c>
      <c r="E137" s="140">
        <v>100800</v>
      </c>
      <c r="F137" s="142">
        <v>0</v>
      </c>
      <c r="G137" s="140">
        <v>0</v>
      </c>
      <c r="H137" s="141">
        <f t="shared" si="2"/>
        <v>100800</v>
      </c>
      <c r="I137" s="139"/>
      <c r="J137" s="139" t="s">
        <v>2570</v>
      </c>
      <c r="K137" s="139"/>
      <c r="L137" s="139">
        <v>1</v>
      </c>
      <c r="M137" s="139">
        <v>0</v>
      </c>
      <c r="N137" s="139">
        <v>1</v>
      </c>
      <c r="O137" s="139">
        <v>0</v>
      </c>
      <c r="P137" s="139">
        <v>0</v>
      </c>
      <c r="Q137" s="139">
        <v>0</v>
      </c>
      <c r="R137" s="139">
        <v>0</v>
      </c>
      <c r="S137" s="139">
        <v>0</v>
      </c>
      <c r="T137" s="139">
        <v>0</v>
      </c>
      <c r="U137" s="139">
        <v>0</v>
      </c>
      <c r="V137" s="139">
        <v>0</v>
      </c>
      <c r="W137" s="139">
        <v>0</v>
      </c>
      <c r="X137" s="139">
        <v>1</v>
      </c>
      <c r="Y137" s="139">
        <v>0</v>
      </c>
      <c r="Z137" s="139">
        <v>1</v>
      </c>
      <c r="AA137" s="139">
        <v>0</v>
      </c>
      <c r="AB137" s="139">
        <v>0</v>
      </c>
      <c r="AC137" s="139">
        <v>0</v>
      </c>
      <c r="AD137" s="139">
        <v>0</v>
      </c>
      <c r="AE137" s="139">
        <v>0</v>
      </c>
      <c r="AJ137" t="s">
        <v>2462</v>
      </c>
      <c r="AK137">
        <v>0</v>
      </c>
    </row>
    <row r="138" spans="1:37">
      <c r="A138" t="s">
        <v>1957</v>
      </c>
      <c r="B138" t="s">
        <v>66</v>
      </c>
      <c r="C138" t="s">
        <v>58</v>
      </c>
      <c r="D138">
        <v>7</v>
      </c>
      <c r="E138" s="138">
        <v>255600</v>
      </c>
      <c r="F138" s="143">
        <v>0</v>
      </c>
      <c r="G138" s="138">
        <v>0</v>
      </c>
      <c r="H138" s="141">
        <f t="shared" si="2"/>
        <v>255600</v>
      </c>
      <c r="J138" t="s">
        <v>2439</v>
      </c>
      <c r="L138">
        <v>1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J138" t="s">
        <v>2579</v>
      </c>
      <c r="AK138">
        <v>6</v>
      </c>
    </row>
    <row r="139" spans="1:37">
      <c r="A139" s="139" t="s">
        <v>1959</v>
      </c>
      <c r="B139" s="139" t="s">
        <v>102</v>
      </c>
      <c r="C139" s="139" t="s">
        <v>58</v>
      </c>
      <c r="D139" s="139">
        <v>4</v>
      </c>
      <c r="E139" s="140">
        <v>149400</v>
      </c>
      <c r="F139" s="142">
        <v>0</v>
      </c>
      <c r="G139" s="140">
        <v>0</v>
      </c>
      <c r="H139" s="141">
        <f t="shared" si="2"/>
        <v>149400</v>
      </c>
      <c r="I139" s="139"/>
      <c r="J139" s="139" t="s">
        <v>2511</v>
      </c>
      <c r="K139" s="139"/>
      <c r="L139" s="139">
        <v>1</v>
      </c>
      <c r="M139" s="139">
        <v>0</v>
      </c>
      <c r="N139" s="139">
        <v>1</v>
      </c>
      <c r="O139" s="139">
        <v>0</v>
      </c>
      <c r="P139" s="139">
        <v>0</v>
      </c>
      <c r="Q139" s="139">
        <v>0</v>
      </c>
      <c r="R139" s="139">
        <v>0</v>
      </c>
      <c r="S139" s="139">
        <v>0</v>
      </c>
      <c r="T139" s="139">
        <v>1</v>
      </c>
      <c r="U139" s="139">
        <v>0</v>
      </c>
      <c r="V139" s="139">
        <v>1</v>
      </c>
      <c r="W139" s="139">
        <v>0</v>
      </c>
      <c r="X139" s="139">
        <v>0</v>
      </c>
      <c r="Y139" s="139">
        <v>0</v>
      </c>
      <c r="Z139" s="139">
        <v>0</v>
      </c>
      <c r="AA139" s="139">
        <v>0</v>
      </c>
      <c r="AB139" s="139">
        <v>0</v>
      </c>
      <c r="AC139" s="139">
        <v>0</v>
      </c>
      <c r="AD139" s="139">
        <v>0</v>
      </c>
      <c r="AE139" s="139">
        <v>0</v>
      </c>
      <c r="AJ139" t="s">
        <v>2472</v>
      </c>
      <c r="AK139">
        <v>1</v>
      </c>
    </row>
    <row r="140" spans="1:37">
      <c r="A140" t="s">
        <v>1960</v>
      </c>
      <c r="B140" t="s">
        <v>2566</v>
      </c>
      <c r="C140" t="s">
        <v>92</v>
      </c>
      <c r="D140">
        <v>0</v>
      </c>
      <c r="E140" s="138">
        <v>0</v>
      </c>
      <c r="F140" s="143">
        <v>1</v>
      </c>
      <c r="G140" s="138">
        <v>8100</v>
      </c>
      <c r="H140" s="141">
        <f t="shared" si="2"/>
        <v>-8100</v>
      </c>
      <c r="I140" t="s">
        <v>20</v>
      </c>
      <c r="K140" t="s">
        <v>20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J140" t="s">
        <v>2436</v>
      </c>
      <c r="AK140">
        <v>1</v>
      </c>
    </row>
    <row r="141" spans="1:37">
      <c r="A141" s="139" t="s">
        <v>1154</v>
      </c>
      <c r="B141" s="139" t="s">
        <v>152</v>
      </c>
      <c r="C141" s="139" t="s">
        <v>58</v>
      </c>
      <c r="D141" s="139">
        <v>1</v>
      </c>
      <c r="E141" s="140">
        <v>10800</v>
      </c>
      <c r="F141" s="142">
        <v>1</v>
      </c>
      <c r="G141" s="140">
        <v>10800</v>
      </c>
      <c r="H141" s="141">
        <f t="shared" si="2"/>
        <v>0</v>
      </c>
      <c r="I141" s="139" t="s">
        <v>20</v>
      </c>
      <c r="J141" s="139"/>
      <c r="K141" s="139"/>
      <c r="L141" s="139">
        <v>1</v>
      </c>
      <c r="M141" s="139">
        <v>1</v>
      </c>
      <c r="N141" s="139">
        <v>0</v>
      </c>
      <c r="O141" s="139">
        <v>0</v>
      </c>
      <c r="P141" s="139">
        <v>0</v>
      </c>
      <c r="Q141" s="139">
        <v>0</v>
      </c>
      <c r="R141" s="139">
        <v>0</v>
      </c>
      <c r="S141" s="139">
        <v>0</v>
      </c>
      <c r="T141" s="139">
        <v>0</v>
      </c>
      <c r="U141" s="139">
        <v>0</v>
      </c>
      <c r="V141" s="139">
        <v>0</v>
      </c>
      <c r="W141" s="139">
        <v>0</v>
      </c>
      <c r="X141" s="139">
        <v>0</v>
      </c>
      <c r="Y141" s="139">
        <v>0</v>
      </c>
      <c r="Z141" s="139">
        <v>0</v>
      </c>
      <c r="AA141" s="139">
        <v>0</v>
      </c>
      <c r="AB141" s="139">
        <v>0</v>
      </c>
      <c r="AC141" s="139">
        <v>0</v>
      </c>
      <c r="AD141" s="139">
        <v>0</v>
      </c>
      <c r="AE141" s="139">
        <v>0</v>
      </c>
      <c r="AJ141" t="s">
        <v>2436</v>
      </c>
      <c r="AK141">
        <v>1</v>
      </c>
    </row>
    <row r="142" spans="1:37">
      <c r="A142" t="s">
        <v>1961</v>
      </c>
      <c r="B142" t="s">
        <v>152</v>
      </c>
      <c r="C142" t="s">
        <v>92</v>
      </c>
      <c r="D142">
        <v>5</v>
      </c>
      <c r="E142" s="138">
        <v>120600</v>
      </c>
      <c r="F142" s="143">
        <v>0</v>
      </c>
      <c r="G142" s="138">
        <v>0</v>
      </c>
      <c r="H142" s="141">
        <f t="shared" si="2"/>
        <v>120600</v>
      </c>
      <c r="J142" t="s">
        <v>2580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J142" t="s">
        <v>2472</v>
      </c>
      <c r="AK142">
        <v>1</v>
      </c>
    </row>
    <row r="143" spans="1:37">
      <c r="A143" s="139" t="s">
        <v>972</v>
      </c>
      <c r="B143" s="139" t="s">
        <v>152</v>
      </c>
      <c r="C143" s="139" t="s">
        <v>58</v>
      </c>
      <c r="D143" s="139">
        <v>1</v>
      </c>
      <c r="E143" s="140">
        <v>10800</v>
      </c>
      <c r="F143" s="142">
        <v>1</v>
      </c>
      <c r="G143" s="140">
        <v>10800</v>
      </c>
      <c r="H143" s="141">
        <f t="shared" si="2"/>
        <v>0</v>
      </c>
      <c r="I143" s="139" t="s">
        <v>20</v>
      </c>
      <c r="J143" s="139"/>
      <c r="K143" s="139"/>
      <c r="L143" s="139">
        <v>1</v>
      </c>
      <c r="M143" s="139">
        <v>1</v>
      </c>
      <c r="N143" s="139">
        <v>0</v>
      </c>
      <c r="O143" s="139">
        <v>0</v>
      </c>
      <c r="P143" s="139">
        <v>0</v>
      </c>
      <c r="Q143" s="139">
        <v>0</v>
      </c>
      <c r="R143" s="139">
        <v>0</v>
      </c>
      <c r="S143" s="139">
        <v>0</v>
      </c>
      <c r="T143" s="139">
        <v>0</v>
      </c>
      <c r="U143" s="139">
        <v>0</v>
      </c>
      <c r="V143" s="139">
        <v>0</v>
      </c>
      <c r="W143" s="139">
        <v>0</v>
      </c>
      <c r="X143" s="139">
        <v>0</v>
      </c>
      <c r="Y143" s="139">
        <v>0</v>
      </c>
      <c r="Z143" s="139">
        <v>0</v>
      </c>
      <c r="AA143" s="139">
        <v>0</v>
      </c>
      <c r="AB143" s="139">
        <v>0</v>
      </c>
      <c r="AC143" s="139">
        <v>0</v>
      </c>
      <c r="AD143" s="139">
        <v>0</v>
      </c>
      <c r="AE143" s="139">
        <v>0</v>
      </c>
      <c r="AJ143" t="s">
        <v>2436</v>
      </c>
      <c r="AK143">
        <v>1</v>
      </c>
    </row>
    <row r="144" spans="1:37">
      <c r="A144" t="s">
        <v>1962</v>
      </c>
      <c r="B144" t="s">
        <v>59</v>
      </c>
      <c r="C144" t="s">
        <v>92</v>
      </c>
      <c r="D144">
        <v>5</v>
      </c>
      <c r="E144" s="138">
        <v>134100</v>
      </c>
      <c r="F144" s="143">
        <v>0</v>
      </c>
      <c r="G144" s="138">
        <v>0</v>
      </c>
      <c r="H144" s="141">
        <f t="shared" si="2"/>
        <v>134100</v>
      </c>
      <c r="J144" t="s">
        <v>2575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J144" t="s">
        <v>2581</v>
      </c>
      <c r="AK144">
        <v>3</v>
      </c>
    </row>
    <row r="145" spans="1:37">
      <c r="A145" s="139" t="s">
        <v>1963</v>
      </c>
      <c r="B145" s="139" t="s">
        <v>2566</v>
      </c>
      <c r="C145" s="139" t="s">
        <v>92</v>
      </c>
      <c r="D145" s="139">
        <v>0</v>
      </c>
      <c r="E145" s="140">
        <v>0</v>
      </c>
      <c r="F145" s="142">
        <v>5</v>
      </c>
      <c r="G145" s="140">
        <v>132300</v>
      </c>
      <c r="H145" s="141">
        <f t="shared" si="2"/>
        <v>-132300</v>
      </c>
      <c r="I145" s="139" t="s">
        <v>2582</v>
      </c>
      <c r="J145" s="139"/>
      <c r="K145" s="139" t="s">
        <v>2582</v>
      </c>
      <c r="L145" s="139">
        <v>0</v>
      </c>
      <c r="M145" s="139">
        <v>1</v>
      </c>
      <c r="N145" s="139">
        <v>0</v>
      </c>
      <c r="O145" s="139">
        <v>0</v>
      </c>
      <c r="P145" s="139">
        <v>0</v>
      </c>
      <c r="Q145" s="139">
        <v>1</v>
      </c>
      <c r="R145" s="139">
        <v>0</v>
      </c>
      <c r="S145" s="139">
        <v>1</v>
      </c>
      <c r="T145" s="139">
        <v>0</v>
      </c>
      <c r="U145" s="139">
        <v>1</v>
      </c>
      <c r="V145" s="139">
        <v>0</v>
      </c>
      <c r="W145" s="139">
        <v>1</v>
      </c>
      <c r="X145" s="139">
        <v>0</v>
      </c>
      <c r="Y145" s="139">
        <v>0</v>
      </c>
      <c r="Z145" s="139">
        <v>0</v>
      </c>
      <c r="AA145" s="139">
        <v>0</v>
      </c>
      <c r="AB145" s="139">
        <v>0</v>
      </c>
      <c r="AC145" s="139">
        <v>0</v>
      </c>
      <c r="AD145" s="139">
        <v>0</v>
      </c>
      <c r="AE145" s="139">
        <v>0</v>
      </c>
      <c r="AJ145" t="s">
        <v>2457</v>
      </c>
      <c r="AK145">
        <v>1</v>
      </c>
    </row>
    <row r="146" spans="1:37">
      <c r="A146" t="s">
        <v>1964</v>
      </c>
      <c r="B146" t="s">
        <v>191</v>
      </c>
      <c r="C146" t="s">
        <v>92</v>
      </c>
      <c r="D146">
        <v>6</v>
      </c>
      <c r="E146" s="138">
        <v>138150</v>
      </c>
      <c r="F146" s="143">
        <v>0</v>
      </c>
      <c r="G146" s="138">
        <v>0</v>
      </c>
      <c r="H146" s="141">
        <f t="shared" si="2"/>
        <v>138150</v>
      </c>
      <c r="J146" t="s">
        <v>2482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1</v>
      </c>
      <c r="AE146">
        <v>0</v>
      </c>
      <c r="AJ146" t="s">
        <v>2436</v>
      </c>
      <c r="AK146">
        <v>1</v>
      </c>
    </row>
    <row r="147" spans="1:37">
      <c r="A147" s="139" t="s">
        <v>1965</v>
      </c>
      <c r="B147" s="139" t="s">
        <v>152</v>
      </c>
      <c r="C147" s="139" t="s">
        <v>58</v>
      </c>
      <c r="D147" s="139">
        <v>1</v>
      </c>
      <c r="E147" s="140">
        <v>10800</v>
      </c>
      <c r="F147" s="142">
        <v>0</v>
      </c>
      <c r="G147" s="140">
        <v>0</v>
      </c>
      <c r="H147" s="141">
        <f t="shared" si="2"/>
        <v>10800</v>
      </c>
      <c r="I147" s="139"/>
      <c r="J147" s="139" t="s">
        <v>20</v>
      </c>
      <c r="K147" s="139"/>
      <c r="L147" s="139">
        <v>1</v>
      </c>
      <c r="M147" s="139">
        <v>0</v>
      </c>
      <c r="N147" s="139">
        <v>0</v>
      </c>
      <c r="O147" s="139">
        <v>0</v>
      </c>
      <c r="P147" s="139">
        <v>0</v>
      </c>
      <c r="Q147" s="139">
        <v>0</v>
      </c>
      <c r="R147" s="139">
        <v>0</v>
      </c>
      <c r="S147" s="139">
        <v>0</v>
      </c>
      <c r="T147" s="139">
        <v>0</v>
      </c>
      <c r="U147" s="139">
        <v>0</v>
      </c>
      <c r="V147" s="139">
        <v>0</v>
      </c>
      <c r="W147" s="139">
        <v>0</v>
      </c>
      <c r="X147" s="139">
        <v>0</v>
      </c>
      <c r="Y147" s="139">
        <v>0</v>
      </c>
      <c r="Z147" s="139">
        <v>0</v>
      </c>
      <c r="AA147" s="139">
        <v>0</v>
      </c>
      <c r="AB147" s="139">
        <v>0</v>
      </c>
      <c r="AC147" s="139">
        <v>0</v>
      </c>
      <c r="AD147" s="139">
        <v>0</v>
      </c>
      <c r="AE147" s="139">
        <v>0</v>
      </c>
      <c r="AJ147" t="s">
        <v>2457</v>
      </c>
      <c r="AK147">
        <v>1</v>
      </c>
    </row>
    <row r="148" spans="1:37">
      <c r="A148" t="s">
        <v>1966</v>
      </c>
      <c r="B148" t="s">
        <v>102</v>
      </c>
      <c r="C148" t="s">
        <v>58</v>
      </c>
      <c r="D148">
        <v>6</v>
      </c>
      <c r="E148" s="138">
        <v>223200</v>
      </c>
      <c r="F148" s="143">
        <v>0</v>
      </c>
      <c r="G148" s="138">
        <v>0</v>
      </c>
      <c r="H148" s="141">
        <f t="shared" si="2"/>
        <v>223200</v>
      </c>
      <c r="J148" t="s">
        <v>2444</v>
      </c>
      <c r="L148">
        <v>1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>
        <v>0</v>
      </c>
      <c r="AJ148" t="s">
        <v>2457</v>
      </c>
      <c r="AK148">
        <v>1</v>
      </c>
    </row>
    <row r="149" spans="1:37">
      <c r="A149" s="139" t="s">
        <v>408</v>
      </c>
      <c r="B149" s="139" t="s">
        <v>152</v>
      </c>
      <c r="C149" s="139" t="s">
        <v>58</v>
      </c>
      <c r="D149" s="139">
        <v>1</v>
      </c>
      <c r="E149" s="140">
        <v>10800</v>
      </c>
      <c r="F149" s="142">
        <v>2</v>
      </c>
      <c r="G149" s="140">
        <v>54000</v>
      </c>
      <c r="H149" s="141">
        <f t="shared" si="2"/>
        <v>-43200</v>
      </c>
      <c r="I149" s="139" t="s">
        <v>2583</v>
      </c>
      <c r="J149" s="139"/>
      <c r="K149" s="139" t="s">
        <v>21</v>
      </c>
      <c r="L149" s="139">
        <v>1</v>
      </c>
      <c r="M149" s="139">
        <v>1</v>
      </c>
      <c r="N149" s="139">
        <v>0</v>
      </c>
      <c r="O149" s="139">
        <v>0</v>
      </c>
      <c r="P149" s="139">
        <v>0</v>
      </c>
      <c r="Q149" s="139">
        <v>1</v>
      </c>
      <c r="R149" s="139">
        <v>0</v>
      </c>
      <c r="S149" s="139">
        <v>0</v>
      </c>
      <c r="T149" s="139">
        <v>0</v>
      </c>
      <c r="U149" s="139">
        <v>0</v>
      </c>
      <c r="V149" s="139">
        <v>0</v>
      </c>
      <c r="W149" s="139">
        <v>0</v>
      </c>
      <c r="X149" s="139">
        <v>0</v>
      </c>
      <c r="Y149" s="139">
        <v>0</v>
      </c>
      <c r="Z149" s="139">
        <v>0</v>
      </c>
      <c r="AA149" s="139">
        <v>0</v>
      </c>
      <c r="AB149" s="139">
        <v>0</v>
      </c>
      <c r="AC149" s="139">
        <v>0</v>
      </c>
      <c r="AD149" s="139">
        <v>0</v>
      </c>
      <c r="AE149" s="139">
        <v>0</v>
      </c>
      <c r="AJ149" t="s">
        <v>2584</v>
      </c>
      <c r="AK149">
        <v>2</v>
      </c>
    </row>
    <row r="150" spans="1:37">
      <c r="A150" t="s">
        <v>1967</v>
      </c>
      <c r="B150" t="s">
        <v>2566</v>
      </c>
      <c r="C150" t="s">
        <v>92</v>
      </c>
      <c r="D150">
        <v>0</v>
      </c>
      <c r="E150" s="138">
        <v>0</v>
      </c>
      <c r="F150" s="143">
        <v>1</v>
      </c>
      <c r="G150" s="138">
        <v>34200</v>
      </c>
      <c r="H150" s="141">
        <f t="shared" si="2"/>
        <v>-34200</v>
      </c>
      <c r="I150" t="s">
        <v>23</v>
      </c>
      <c r="K150" t="s">
        <v>23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J150" t="s">
        <v>2472</v>
      </c>
      <c r="AK150">
        <v>1</v>
      </c>
    </row>
    <row r="151" spans="1:37">
      <c r="A151" s="139" t="s">
        <v>1968</v>
      </c>
      <c r="B151" s="139" t="s">
        <v>2566</v>
      </c>
      <c r="C151" s="139" t="s">
        <v>92</v>
      </c>
      <c r="D151" s="139">
        <v>0</v>
      </c>
      <c r="E151" s="140">
        <v>0</v>
      </c>
      <c r="F151" s="142">
        <v>1</v>
      </c>
      <c r="G151" s="140">
        <v>42300</v>
      </c>
      <c r="H151" s="141">
        <f t="shared" si="2"/>
        <v>-42300</v>
      </c>
      <c r="I151" s="139" t="s">
        <v>27</v>
      </c>
      <c r="J151" s="139"/>
      <c r="K151" s="139" t="s">
        <v>27</v>
      </c>
      <c r="L151" s="139">
        <v>0</v>
      </c>
      <c r="M151" s="139">
        <v>0</v>
      </c>
      <c r="N151" s="139">
        <v>0</v>
      </c>
      <c r="O151" s="139">
        <v>0</v>
      </c>
      <c r="P151" s="139">
        <v>0</v>
      </c>
      <c r="Q151" s="139">
        <v>0</v>
      </c>
      <c r="R151" s="139">
        <v>0</v>
      </c>
      <c r="S151" s="139">
        <v>0</v>
      </c>
      <c r="T151" s="139">
        <v>0</v>
      </c>
      <c r="U151" s="139">
        <v>0</v>
      </c>
      <c r="V151" s="139">
        <v>0</v>
      </c>
      <c r="W151" s="139">
        <v>1</v>
      </c>
      <c r="X151" s="139">
        <v>0</v>
      </c>
      <c r="Y151" s="139">
        <v>0</v>
      </c>
      <c r="Z151" s="139">
        <v>0</v>
      </c>
      <c r="AA151" s="139">
        <v>0</v>
      </c>
      <c r="AB151" s="139">
        <v>0</v>
      </c>
      <c r="AC151" s="139">
        <v>0</v>
      </c>
      <c r="AD151" s="139">
        <v>0</v>
      </c>
      <c r="AE151" s="139">
        <v>0</v>
      </c>
      <c r="AJ151" t="s">
        <v>2464</v>
      </c>
      <c r="AK151">
        <v>1</v>
      </c>
    </row>
    <row r="152" spans="1:37">
      <c r="A152" t="s">
        <v>1969</v>
      </c>
      <c r="B152" t="s">
        <v>59</v>
      </c>
      <c r="C152" t="s">
        <v>58</v>
      </c>
      <c r="D152">
        <v>5</v>
      </c>
      <c r="E152" s="138">
        <v>188100</v>
      </c>
      <c r="F152" s="143">
        <v>0</v>
      </c>
      <c r="G152" s="138">
        <v>0</v>
      </c>
      <c r="H152" s="141">
        <f t="shared" si="2"/>
        <v>188100</v>
      </c>
      <c r="J152" t="s">
        <v>2575</v>
      </c>
      <c r="L152">
        <v>1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J152" t="s">
        <v>2585</v>
      </c>
      <c r="AK152">
        <v>7</v>
      </c>
    </row>
    <row r="153" spans="1:37">
      <c r="A153" s="139" t="s">
        <v>1970</v>
      </c>
      <c r="B153" s="139" t="s">
        <v>152</v>
      </c>
      <c r="C153" s="139" t="s">
        <v>58</v>
      </c>
      <c r="D153" s="139">
        <v>1</v>
      </c>
      <c r="E153" s="140">
        <v>10800</v>
      </c>
      <c r="F153" s="142">
        <v>0</v>
      </c>
      <c r="G153" s="140">
        <v>0</v>
      </c>
      <c r="H153" s="141">
        <f t="shared" si="2"/>
        <v>10800</v>
      </c>
      <c r="I153" s="139"/>
      <c r="J153" s="139" t="s">
        <v>20</v>
      </c>
      <c r="K153" s="139"/>
      <c r="L153" s="139">
        <v>1</v>
      </c>
      <c r="M153" s="139">
        <v>0</v>
      </c>
      <c r="N153" s="139">
        <v>0</v>
      </c>
      <c r="O153" s="139">
        <v>0</v>
      </c>
      <c r="P153" s="139">
        <v>0</v>
      </c>
      <c r="Q153" s="139">
        <v>0</v>
      </c>
      <c r="R153" s="139">
        <v>0</v>
      </c>
      <c r="S153" s="139">
        <v>0</v>
      </c>
      <c r="T153" s="139">
        <v>0</v>
      </c>
      <c r="U153" s="139">
        <v>0</v>
      </c>
      <c r="V153" s="139">
        <v>0</v>
      </c>
      <c r="W153" s="139">
        <v>0</v>
      </c>
      <c r="X153" s="139">
        <v>0</v>
      </c>
      <c r="Y153" s="139">
        <v>0</v>
      </c>
      <c r="Z153" s="139">
        <v>0</v>
      </c>
      <c r="AA153" s="139">
        <v>0</v>
      </c>
      <c r="AB153" s="139">
        <v>0</v>
      </c>
      <c r="AC153" s="139">
        <v>0</v>
      </c>
      <c r="AD153" s="139">
        <v>0</v>
      </c>
      <c r="AE153" s="139">
        <v>0</v>
      </c>
      <c r="AJ153" t="s">
        <v>2436</v>
      </c>
      <c r="AK153">
        <v>1</v>
      </c>
    </row>
    <row r="154" spans="1:37">
      <c r="A154" t="s">
        <v>1972</v>
      </c>
      <c r="B154" t="s">
        <v>59</v>
      </c>
      <c r="C154" t="s">
        <v>58</v>
      </c>
      <c r="D154">
        <v>7</v>
      </c>
      <c r="E154" s="138">
        <v>255600</v>
      </c>
      <c r="F154" s="143">
        <v>0</v>
      </c>
      <c r="G154" s="138">
        <v>0</v>
      </c>
      <c r="H154" s="141">
        <f t="shared" si="2"/>
        <v>255600</v>
      </c>
      <c r="J154" t="s">
        <v>2439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J154" t="s">
        <v>2586</v>
      </c>
      <c r="AK154">
        <v>4</v>
      </c>
    </row>
    <row r="155" spans="1:37">
      <c r="A155" s="139" t="s">
        <v>1973</v>
      </c>
      <c r="B155" s="139" t="s">
        <v>2566</v>
      </c>
      <c r="C155" s="139" t="s">
        <v>92</v>
      </c>
      <c r="D155" s="139">
        <v>0</v>
      </c>
      <c r="E155" s="140">
        <v>0</v>
      </c>
      <c r="F155" s="142">
        <v>1</v>
      </c>
      <c r="G155" s="140">
        <v>42300</v>
      </c>
      <c r="H155" s="141">
        <f t="shared" si="2"/>
        <v>-42300</v>
      </c>
      <c r="I155" s="139" t="s">
        <v>27</v>
      </c>
      <c r="J155" s="139"/>
      <c r="K155" s="139" t="s">
        <v>27</v>
      </c>
      <c r="L155" s="139">
        <v>0</v>
      </c>
      <c r="M155" s="139">
        <v>0</v>
      </c>
      <c r="N155" s="139">
        <v>0</v>
      </c>
      <c r="O155" s="139">
        <v>0</v>
      </c>
      <c r="P155" s="139">
        <v>0</v>
      </c>
      <c r="Q155" s="139">
        <v>0</v>
      </c>
      <c r="R155" s="139">
        <v>0</v>
      </c>
      <c r="S155" s="139">
        <v>0</v>
      </c>
      <c r="T155" s="139">
        <v>0</v>
      </c>
      <c r="U155" s="139">
        <v>0</v>
      </c>
      <c r="V155" s="139">
        <v>0</v>
      </c>
      <c r="W155" s="139">
        <v>1</v>
      </c>
      <c r="X155" s="139">
        <v>0</v>
      </c>
      <c r="Y155" s="139">
        <v>0</v>
      </c>
      <c r="Z155" s="139">
        <v>0</v>
      </c>
      <c r="AA155" s="139">
        <v>0</v>
      </c>
      <c r="AB155" s="139">
        <v>0</v>
      </c>
      <c r="AC155" s="139">
        <v>0</v>
      </c>
      <c r="AD155" s="139">
        <v>0</v>
      </c>
      <c r="AE155" s="139">
        <v>0</v>
      </c>
      <c r="AJ155" t="s">
        <v>2464</v>
      </c>
      <c r="AK155">
        <v>1</v>
      </c>
    </row>
    <row r="156" spans="1:37">
      <c r="A156" t="s">
        <v>1975</v>
      </c>
      <c r="B156" t="s">
        <v>59</v>
      </c>
      <c r="C156" t="s">
        <v>58</v>
      </c>
      <c r="D156">
        <v>8</v>
      </c>
      <c r="E156" s="138">
        <v>315000</v>
      </c>
      <c r="F156" s="143">
        <v>0</v>
      </c>
      <c r="G156" s="138">
        <v>0</v>
      </c>
      <c r="H156" s="141">
        <f t="shared" si="2"/>
        <v>315000</v>
      </c>
      <c r="J156" t="s">
        <v>2568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1</v>
      </c>
      <c r="Y156">
        <v>0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0</v>
      </c>
      <c r="AJ156" t="s">
        <v>2587</v>
      </c>
      <c r="AK156">
        <v>6</v>
      </c>
    </row>
    <row r="157" spans="1:37">
      <c r="A157" s="139" t="s">
        <v>1976</v>
      </c>
      <c r="B157" s="139" t="s">
        <v>59</v>
      </c>
      <c r="C157" s="139" t="s">
        <v>92</v>
      </c>
      <c r="D157" s="139">
        <v>5</v>
      </c>
      <c r="E157" s="140">
        <v>134100</v>
      </c>
      <c r="F157" s="142">
        <v>0</v>
      </c>
      <c r="G157" s="140">
        <v>0</v>
      </c>
      <c r="H157" s="141">
        <f t="shared" si="2"/>
        <v>134100</v>
      </c>
      <c r="I157" s="139"/>
      <c r="J157" s="139" t="s">
        <v>2575</v>
      </c>
      <c r="K157" s="139"/>
      <c r="L157" s="139">
        <v>1</v>
      </c>
      <c r="M157" s="139">
        <v>0</v>
      </c>
      <c r="N157" s="139">
        <v>1</v>
      </c>
      <c r="O157" s="139">
        <v>0</v>
      </c>
      <c r="P157" s="139">
        <v>1</v>
      </c>
      <c r="Q157" s="139">
        <v>0</v>
      </c>
      <c r="R157" s="139">
        <v>1</v>
      </c>
      <c r="S157" s="139">
        <v>0</v>
      </c>
      <c r="T157" s="139">
        <v>0</v>
      </c>
      <c r="U157" s="139">
        <v>0</v>
      </c>
      <c r="V157" s="139">
        <v>0</v>
      </c>
      <c r="W157" s="139">
        <v>0</v>
      </c>
      <c r="X157" s="139">
        <v>1</v>
      </c>
      <c r="Y157" s="139">
        <v>0</v>
      </c>
      <c r="Z157" s="139">
        <v>0</v>
      </c>
      <c r="AA157" s="139">
        <v>0</v>
      </c>
      <c r="AB157" s="139">
        <v>0</v>
      </c>
      <c r="AC157" s="139">
        <v>0</v>
      </c>
      <c r="AD157" s="139">
        <v>0</v>
      </c>
      <c r="AE157" s="139">
        <v>0</v>
      </c>
      <c r="AJ157" t="s">
        <v>2481</v>
      </c>
      <c r="AK157">
        <v>3</v>
      </c>
    </row>
    <row r="158" spans="1:37">
      <c r="A158" t="s">
        <v>1977</v>
      </c>
      <c r="B158" t="s">
        <v>102</v>
      </c>
      <c r="C158" t="s">
        <v>92</v>
      </c>
      <c r="D158">
        <v>6</v>
      </c>
      <c r="E158" s="138">
        <v>160200</v>
      </c>
      <c r="F158" s="143">
        <v>0</v>
      </c>
      <c r="G158" s="138">
        <v>0</v>
      </c>
      <c r="H158" s="141">
        <f t="shared" si="2"/>
        <v>160200</v>
      </c>
      <c r="J158" t="s">
        <v>2444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1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0</v>
      </c>
      <c r="AE158">
        <v>0</v>
      </c>
      <c r="AJ158" t="s">
        <v>2489</v>
      </c>
      <c r="AK158">
        <v>2</v>
      </c>
    </row>
    <row r="159" spans="1:37">
      <c r="A159" s="139" t="s">
        <v>1978</v>
      </c>
      <c r="B159" s="139" t="s">
        <v>59</v>
      </c>
      <c r="C159" s="139" t="s">
        <v>92</v>
      </c>
      <c r="D159" s="139">
        <v>5</v>
      </c>
      <c r="E159" s="140">
        <v>134100</v>
      </c>
      <c r="F159" s="142">
        <v>0</v>
      </c>
      <c r="G159" s="140">
        <v>0</v>
      </c>
      <c r="H159" s="141">
        <f t="shared" si="2"/>
        <v>134100</v>
      </c>
      <c r="I159" s="139"/>
      <c r="J159" s="139" t="s">
        <v>2575</v>
      </c>
      <c r="K159" s="139"/>
      <c r="L159" s="139">
        <v>1</v>
      </c>
      <c r="M159" s="139">
        <v>0</v>
      </c>
      <c r="N159" s="139">
        <v>1</v>
      </c>
      <c r="O159" s="139">
        <v>0</v>
      </c>
      <c r="P159" s="139">
        <v>1</v>
      </c>
      <c r="Q159" s="139">
        <v>0</v>
      </c>
      <c r="R159" s="139">
        <v>1</v>
      </c>
      <c r="S159" s="139">
        <v>0</v>
      </c>
      <c r="T159" s="139">
        <v>0</v>
      </c>
      <c r="U159" s="139">
        <v>0</v>
      </c>
      <c r="V159" s="139">
        <v>0</v>
      </c>
      <c r="W159" s="139">
        <v>0</v>
      </c>
      <c r="X159" s="139">
        <v>1</v>
      </c>
      <c r="Y159" s="139">
        <v>0</v>
      </c>
      <c r="Z159" s="139">
        <v>0</v>
      </c>
      <c r="AA159" s="139">
        <v>0</v>
      </c>
      <c r="AB159" s="139">
        <v>0</v>
      </c>
      <c r="AC159" s="139">
        <v>0</v>
      </c>
      <c r="AD159" s="139">
        <v>0</v>
      </c>
      <c r="AE159" s="139">
        <v>0</v>
      </c>
      <c r="AJ159" t="s">
        <v>2588</v>
      </c>
      <c r="AK159">
        <v>4</v>
      </c>
    </row>
    <row r="160" spans="1:37">
      <c r="A160" t="s">
        <v>1979</v>
      </c>
      <c r="B160" t="s">
        <v>152</v>
      </c>
      <c r="C160" t="s">
        <v>92</v>
      </c>
      <c r="D160">
        <v>6</v>
      </c>
      <c r="E160" s="138">
        <v>160200</v>
      </c>
      <c r="F160" s="143">
        <v>0</v>
      </c>
      <c r="G160" s="138">
        <v>0</v>
      </c>
      <c r="H160" s="141">
        <f t="shared" si="2"/>
        <v>160200</v>
      </c>
      <c r="J160" t="s">
        <v>2444</v>
      </c>
      <c r="L160">
        <v>1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</v>
      </c>
      <c r="W160">
        <v>0</v>
      </c>
      <c r="X160">
        <v>1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J160" t="s">
        <v>2477</v>
      </c>
      <c r="AK160">
        <v>2</v>
      </c>
    </row>
    <row r="161" spans="1:37">
      <c r="A161" s="139" t="s">
        <v>1980</v>
      </c>
      <c r="B161" s="139" t="s">
        <v>59</v>
      </c>
      <c r="C161" s="139" t="s">
        <v>92</v>
      </c>
      <c r="D161" s="139">
        <v>4</v>
      </c>
      <c r="E161" s="140">
        <v>84150</v>
      </c>
      <c r="F161" s="142">
        <v>0</v>
      </c>
      <c r="G161" s="140">
        <v>0</v>
      </c>
      <c r="H161" s="141">
        <f t="shared" si="2"/>
        <v>84150</v>
      </c>
      <c r="I161" s="139"/>
      <c r="J161" s="139" t="s">
        <v>2529</v>
      </c>
      <c r="K161" s="139"/>
      <c r="L161" s="139">
        <v>1</v>
      </c>
      <c r="M161" s="139">
        <v>0</v>
      </c>
      <c r="N161" s="139">
        <v>0</v>
      </c>
      <c r="O161" s="139">
        <v>0</v>
      </c>
      <c r="P161" s="139">
        <v>1</v>
      </c>
      <c r="Q161" s="139">
        <v>0</v>
      </c>
      <c r="R161" s="139">
        <v>1</v>
      </c>
      <c r="S161" s="139">
        <v>0</v>
      </c>
      <c r="T161" s="139">
        <v>0</v>
      </c>
      <c r="U161" s="139">
        <v>0</v>
      </c>
      <c r="V161" s="139">
        <v>0</v>
      </c>
      <c r="W161" s="139">
        <v>0</v>
      </c>
      <c r="X161" s="139">
        <v>0</v>
      </c>
      <c r="Y161" s="139">
        <v>0</v>
      </c>
      <c r="Z161" s="139">
        <v>0</v>
      </c>
      <c r="AA161" s="139">
        <v>0</v>
      </c>
      <c r="AB161" s="139">
        <v>1</v>
      </c>
      <c r="AC161" s="139">
        <v>0</v>
      </c>
      <c r="AD161" s="139">
        <v>0</v>
      </c>
      <c r="AE161" s="139">
        <v>0</v>
      </c>
      <c r="AJ161" t="s">
        <v>2464</v>
      </c>
      <c r="AK161">
        <v>1</v>
      </c>
    </row>
    <row r="162" spans="1:37">
      <c r="A162" t="s">
        <v>1981</v>
      </c>
      <c r="B162" t="s">
        <v>2566</v>
      </c>
      <c r="C162" t="s">
        <v>92</v>
      </c>
      <c r="D162">
        <v>0</v>
      </c>
      <c r="E162" s="138">
        <v>0</v>
      </c>
      <c r="F162" s="143">
        <v>1</v>
      </c>
      <c r="G162" s="138">
        <v>42300</v>
      </c>
      <c r="H162" s="141">
        <f t="shared" si="2"/>
        <v>-42300</v>
      </c>
      <c r="I162" t="s">
        <v>27</v>
      </c>
      <c r="K162" t="s">
        <v>27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J162" t="s">
        <v>2464</v>
      </c>
      <c r="AK162">
        <v>1</v>
      </c>
    </row>
    <row r="163" spans="1:37">
      <c r="A163" s="139" t="s">
        <v>1982</v>
      </c>
      <c r="B163" s="139" t="s">
        <v>2566</v>
      </c>
      <c r="C163" s="139" t="s">
        <v>92</v>
      </c>
      <c r="D163" s="139">
        <v>0</v>
      </c>
      <c r="E163" s="140">
        <v>0</v>
      </c>
      <c r="F163" s="142">
        <v>1</v>
      </c>
      <c r="G163" s="140">
        <v>19800</v>
      </c>
      <c r="H163" s="141">
        <f t="shared" si="2"/>
        <v>-19800</v>
      </c>
      <c r="I163" s="139" t="s">
        <v>35</v>
      </c>
      <c r="J163" s="139"/>
      <c r="K163" s="139" t="s">
        <v>35</v>
      </c>
      <c r="L163" s="139">
        <v>0</v>
      </c>
      <c r="M163" s="139">
        <v>0</v>
      </c>
      <c r="N163" s="139">
        <v>0</v>
      </c>
      <c r="O163" s="139">
        <v>0</v>
      </c>
      <c r="P163" s="139">
        <v>0</v>
      </c>
      <c r="Q163" s="139">
        <v>0</v>
      </c>
      <c r="R163" s="139">
        <v>0</v>
      </c>
      <c r="S163" s="139">
        <v>0</v>
      </c>
      <c r="T163" s="139">
        <v>0</v>
      </c>
      <c r="U163" s="139">
        <v>0</v>
      </c>
      <c r="V163" s="139">
        <v>0</v>
      </c>
      <c r="W163" s="139">
        <v>0</v>
      </c>
      <c r="X163" s="139">
        <v>0</v>
      </c>
      <c r="Y163" s="139">
        <v>0</v>
      </c>
      <c r="Z163" s="139">
        <v>0</v>
      </c>
      <c r="AA163" s="139">
        <v>0</v>
      </c>
      <c r="AB163" s="139">
        <v>0</v>
      </c>
      <c r="AC163" s="139">
        <v>0</v>
      </c>
      <c r="AD163" s="139">
        <v>0</v>
      </c>
      <c r="AE163" s="139">
        <v>1</v>
      </c>
      <c r="AJ163" t="s">
        <v>2462</v>
      </c>
      <c r="AK163">
        <v>0</v>
      </c>
    </row>
    <row r="164" spans="1:37">
      <c r="A164" t="s">
        <v>1983</v>
      </c>
      <c r="B164" t="s">
        <v>66</v>
      </c>
      <c r="C164" t="s">
        <v>92</v>
      </c>
      <c r="D164">
        <v>6</v>
      </c>
      <c r="E164" s="138">
        <v>160200</v>
      </c>
      <c r="F164" s="143">
        <v>0</v>
      </c>
      <c r="G164" s="138">
        <v>0</v>
      </c>
      <c r="H164" s="141">
        <f t="shared" si="2"/>
        <v>160200</v>
      </c>
      <c r="J164" t="s">
        <v>2444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J164" t="s">
        <v>2457</v>
      </c>
      <c r="AK164">
        <v>1</v>
      </c>
    </row>
    <row r="165" spans="1:37">
      <c r="A165" s="139" t="s">
        <v>1984</v>
      </c>
      <c r="B165" s="139" t="s">
        <v>102</v>
      </c>
      <c r="C165" s="139" t="s">
        <v>58</v>
      </c>
      <c r="D165" s="139">
        <v>6</v>
      </c>
      <c r="E165" s="140">
        <v>223200</v>
      </c>
      <c r="F165" s="142">
        <v>0</v>
      </c>
      <c r="G165" s="140">
        <v>0</v>
      </c>
      <c r="H165" s="141">
        <f t="shared" si="2"/>
        <v>223200</v>
      </c>
      <c r="I165" s="139"/>
      <c r="J165" s="139" t="s">
        <v>2444</v>
      </c>
      <c r="K165" s="139"/>
      <c r="L165" s="139">
        <v>1</v>
      </c>
      <c r="M165" s="139">
        <v>0</v>
      </c>
      <c r="N165" s="139">
        <v>1</v>
      </c>
      <c r="O165" s="139">
        <v>0</v>
      </c>
      <c r="P165" s="139">
        <v>0</v>
      </c>
      <c r="Q165" s="139">
        <v>0</v>
      </c>
      <c r="R165" s="139">
        <v>0</v>
      </c>
      <c r="S165" s="139">
        <v>0</v>
      </c>
      <c r="T165" s="139">
        <v>1</v>
      </c>
      <c r="U165" s="139">
        <v>0</v>
      </c>
      <c r="V165" s="139">
        <v>1</v>
      </c>
      <c r="W165" s="139">
        <v>0</v>
      </c>
      <c r="X165" s="139">
        <v>1</v>
      </c>
      <c r="Y165" s="139">
        <v>0</v>
      </c>
      <c r="Z165" s="139">
        <v>1</v>
      </c>
      <c r="AA165" s="139">
        <v>0</v>
      </c>
      <c r="AB165" s="139">
        <v>0</v>
      </c>
      <c r="AC165" s="139">
        <v>0</v>
      </c>
      <c r="AD165" s="139">
        <v>0</v>
      </c>
      <c r="AE165" s="139">
        <v>0</v>
      </c>
      <c r="AJ165" t="s">
        <v>2589</v>
      </c>
      <c r="AK165">
        <v>2</v>
      </c>
    </row>
    <row r="166" spans="1:37">
      <c r="A166" t="s">
        <v>1985</v>
      </c>
      <c r="B166" t="s">
        <v>152</v>
      </c>
      <c r="C166" t="s">
        <v>58</v>
      </c>
      <c r="D166">
        <v>5</v>
      </c>
      <c r="E166" s="138">
        <v>167400</v>
      </c>
      <c r="F166" s="143">
        <v>0</v>
      </c>
      <c r="G166" s="138">
        <v>0</v>
      </c>
      <c r="H166" s="141">
        <f t="shared" si="2"/>
        <v>167400</v>
      </c>
      <c r="J166" t="s">
        <v>2580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J166" t="s">
        <v>2436</v>
      </c>
      <c r="AK166">
        <v>1</v>
      </c>
    </row>
    <row r="167" spans="1:37">
      <c r="A167" s="139" t="s">
        <v>1986</v>
      </c>
      <c r="B167" s="139" t="s">
        <v>152</v>
      </c>
      <c r="C167" s="139" t="s">
        <v>92</v>
      </c>
      <c r="D167" s="139">
        <v>2</v>
      </c>
      <c r="E167" s="140">
        <v>47700</v>
      </c>
      <c r="F167" s="142">
        <v>0</v>
      </c>
      <c r="G167" s="140">
        <v>0</v>
      </c>
      <c r="H167" s="141">
        <f t="shared" si="2"/>
        <v>47700</v>
      </c>
      <c r="I167" s="139"/>
      <c r="J167" s="139" t="s">
        <v>2541</v>
      </c>
      <c r="K167" s="139"/>
      <c r="L167" s="139">
        <v>1</v>
      </c>
      <c r="M167" s="139">
        <v>0</v>
      </c>
      <c r="N167" s="139">
        <v>1</v>
      </c>
      <c r="O167" s="139"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39">
        <v>0</v>
      </c>
      <c r="V167" s="139">
        <v>0</v>
      </c>
      <c r="W167" s="139">
        <v>0</v>
      </c>
      <c r="X167" s="139">
        <v>0</v>
      </c>
      <c r="Y167" s="139">
        <v>0</v>
      </c>
      <c r="Z167" s="139">
        <v>0</v>
      </c>
      <c r="AA167" s="139">
        <v>0</v>
      </c>
      <c r="AB167" s="139">
        <v>0</v>
      </c>
      <c r="AC167" s="139">
        <v>0</v>
      </c>
      <c r="AD167" s="139">
        <v>0</v>
      </c>
      <c r="AE167" s="139">
        <v>0</v>
      </c>
      <c r="AJ167" t="s">
        <v>2590</v>
      </c>
      <c r="AK167">
        <v>2</v>
      </c>
    </row>
    <row r="168" spans="1:37">
      <c r="A168" t="s">
        <v>1988</v>
      </c>
      <c r="B168" t="s">
        <v>191</v>
      </c>
      <c r="C168" t="s">
        <v>58</v>
      </c>
      <c r="D168">
        <v>4</v>
      </c>
      <c r="E168" s="138">
        <v>109350</v>
      </c>
      <c r="F168" s="143">
        <v>0</v>
      </c>
      <c r="G168" s="138">
        <v>0</v>
      </c>
      <c r="H168" s="141">
        <f t="shared" si="2"/>
        <v>109350</v>
      </c>
      <c r="J168" t="s">
        <v>2508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1</v>
      </c>
      <c r="AE168">
        <v>0</v>
      </c>
      <c r="AJ168" t="s">
        <v>2472</v>
      </c>
      <c r="AK168">
        <v>1</v>
      </c>
    </row>
    <row r="169" spans="1:37">
      <c r="A169" s="139" t="s">
        <v>1989</v>
      </c>
      <c r="B169" s="139" t="s">
        <v>59</v>
      </c>
      <c r="C169" s="139" t="s">
        <v>92</v>
      </c>
      <c r="D169" s="139">
        <v>7</v>
      </c>
      <c r="E169" s="140">
        <v>182700</v>
      </c>
      <c r="F169" s="142">
        <v>0</v>
      </c>
      <c r="G169" s="140">
        <v>0</v>
      </c>
      <c r="H169" s="141">
        <f t="shared" si="2"/>
        <v>182700</v>
      </c>
      <c r="I169" s="139"/>
      <c r="J169" s="139" t="s">
        <v>2439</v>
      </c>
      <c r="K169" s="139"/>
      <c r="L169" s="139">
        <v>1</v>
      </c>
      <c r="M169" s="139">
        <v>0</v>
      </c>
      <c r="N169" s="139">
        <v>1</v>
      </c>
      <c r="O169" s="139">
        <v>0</v>
      </c>
      <c r="P169" s="139">
        <v>1</v>
      </c>
      <c r="Q169" s="139">
        <v>0</v>
      </c>
      <c r="R169" s="139">
        <v>1</v>
      </c>
      <c r="S169" s="139">
        <v>0</v>
      </c>
      <c r="T169" s="139">
        <v>1</v>
      </c>
      <c r="U169" s="139">
        <v>0</v>
      </c>
      <c r="V169" s="139">
        <v>0</v>
      </c>
      <c r="W169" s="139">
        <v>0</v>
      </c>
      <c r="X169" s="139">
        <v>1</v>
      </c>
      <c r="Y169" s="139">
        <v>0</v>
      </c>
      <c r="Z169" s="139">
        <v>1</v>
      </c>
      <c r="AA169" s="139">
        <v>0</v>
      </c>
      <c r="AB169" s="139">
        <v>0</v>
      </c>
      <c r="AC169" s="139">
        <v>0</v>
      </c>
      <c r="AD169" s="139">
        <v>0</v>
      </c>
      <c r="AE169" s="139">
        <v>0</v>
      </c>
      <c r="AJ169" t="s">
        <v>2436</v>
      </c>
      <c r="AK169">
        <v>1</v>
      </c>
    </row>
    <row r="170" spans="1:37">
      <c r="A170" t="s">
        <v>1990</v>
      </c>
      <c r="B170" t="s">
        <v>102</v>
      </c>
      <c r="C170" t="s">
        <v>92</v>
      </c>
      <c r="D170">
        <v>4</v>
      </c>
      <c r="E170" s="138">
        <v>107100</v>
      </c>
      <c r="F170" s="143">
        <v>0</v>
      </c>
      <c r="G170" s="138">
        <v>0</v>
      </c>
      <c r="H170" s="141">
        <f t="shared" si="2"/>
        <v>107100</v>
      </c>
      <c r="J170" t="s">
        <v>2511</v>
      </c>
      <c r="L170">
        <v>1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J170" t="s">
        <v>2436</v>
      </c>
      <c r="AK170">
        <v>1</v>
      </c>
    </row>
    <row r="171" spans="1:37">
      <c r="A171" s="139" t="s">
        <v>1991</v>
      </c>
      <c r="B171" s="139" t="s">
        <v>2566</v>
      </c>
      <c r="C171" s="139" t="s">
        <v>92</v>
      </c>
      <c r="D171" s="139">
        <v>0</v>
      </c>
      <c r="E171" s="140">
        <v>0</v>
      </c>
      <c r="F171" s="142">
        <v>1</v>
      </c>
      <c r="G171" s="140">
        <v>8100</v>
      </c>
      <c r="H171" s="141">
        <f t="shared" si="2"/>
        <v>-8100</v>
      </c>
      <c r="I171" s="139" t="s">
        <v>20</v>
      </c>
      <c r="J171" s="139"/>
      <c r="K171" s="139" t="s">
        <v>20</v>
      </c>
      <c r="L171" s="139">
        <v>0</v>
      </c>
      <c r="M171" s="139">
        <v>1</v>
      </c>
      <c r="N171" s="139">
        <v>0</v>
      </c>
      <c r="O171" s="139">
        <v>0</v>
      </c>
      <c r="P171" s="139">
        <v>0</v>
      </c>
      <c r="Q171" s="139">
        <v>0</v>
      </c>
      <c r="R171" s="139">
        <v>0</v>
      </c>
      <c r="S171" s="139">
        <v>0</v>
      </c>
      <c r="T171" s="139">
        <v>0</v>
      </c>
      <c r="U171" s="139">
        <v>0</v>
      </c>
      <c r="V171" s="139">
        <v>0</v>
      </c>
      <c r="W171" s="139">
        <v>0</v>
      </c>
      <c r="X171" s="139">
        <v>0</v>
      </c>
      <c r="Y171" s="139">
        <v>0</v>
      </c>
      <c r="Z171" s="139">
        <v>0</v>
      </c>
      <c r="AA171" s="139">
        <v>0</v>
      </c>
      <c r="AB171" s="139">
        <v>0</v>
      </c>
      <c r="AC171" s="139">
        <v>0</v>
      </c>
      <c r="AD171" s="139">
        <v>0</v>
      </c>
      <c r="AE171" s="139">
        <v>0</v>
      </c>
      <c r="AJ171" t="s">
        <v>2436</v>
      </c>
      <c r="AK171">
        <v>1</v>
      </c>
    </row>
    <row r="172" spans="1:37">
      <c r="A172" t="s">
        <v>1992</v>
      </c>
      <c r="B172" t="s">
        <v>59</v>
      </c>
      <c r="C172" t="s">
        <v>92</v>
      </c>
      <c r="D172">
        <v>4</v>
      </c>
      <c r="E172" s="138">
        <v>84150</v>
      </c>
      <c r="F172" s="143">
        <v>0</v>
      </c>
      <c r="G172" s="138">
        <v>0</v>
      </c>
      <c r="H172" s="141">
        <f t="shared" si="2"/>
        <v>84150</v>
      </c>
      <c r="J172" t="s">
        <v>2529</v>
      </c>
      <c r="L172">
        <v>1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J172" t="s">
        <v>2457</v>
      </c>
      <c r="AK172">
        <v>1</v>
      </c>
    </row>
    <row r="173" spans="1:37">
      <c r="A173" s="139" t="s">
        <v>1993</v>
      </c>
      <c r="B173" s="139" t="s">
        <v>59</v>
      </c>
      <c r="C173" s="139" t="s">
        <v>58</v>
      </c>
      <c r="D173" s="139">
        <v>7</v>
      </c>
      <c r="E173" s="140">
        <v>270900</v>
      </c>
      <c r="F173" s="142">
        <v>0</v>
      </c>
      <c r="G173" s="140">
        <v>0</v>
      </c>
      <c r="H173" s="141">
        <f t="shared" si="2"/>
        <v>270900</v>
      </c>
      <c r="I173" s="139"/>
      <c r="J173" s="139" t="s">
        <v>2557</v>
      </c>
      <c r="K173" s="139"/>
      <c r="L173" s="139">
        <v>1</v>
      </c>
      <c r="M173" s="139">
        <v>0</v>
      </c>
      <c r="N173" s="139">
        <v>1</v>
      </c>
      <c r="O173" s="139">
        <v>0</v>
      </c>
      <c r="P173" s="139">
        <v>1</v>
      </c>
      <c r="Q173" s="139">
        <v>0</v>
      </c>
      <c r="R173" s="139">
        <v>1</v>
      </c>
      <c r="S173" s="139">
        <v>0</v>
      </c>
      <c r="T173" s="139">
        <v>1</v>
      </c>
      <c r="U173" s="139">
        <v>0</v>
      </c>
      <c r="V173" s="139">
        <v>1</v>
      </c>
      <c r="W173" s="139">
        <v>0</v>
      </c>
      <c r="X173" s="139">
        <v>1</v>
      </c>
      <c r="Y173" s="139">
        <v>0</v>
      </c>
      <c r="Z173" s="139">
        <v>0</v>
      </c>
      <c r="AA173" s="139">
        <v>0</v>
      </c>
      <c r="AB173" s="139">
        <v>0</v>
      </c>
      <c r="AC173" s="139">
        <v>0</v>
      </c>
      <c r="AD173" s="139">
        <v>0</v>
      </c>
      <c r="AE173" s="139">
        <v>0</v>
      </c>
      <c r="AJ173" t="s">
        <v>2436</v>
      </c>
      <c r="AK173">
        <v>1</v>
      </c>
    </row>
    <row r="174" spans="1:37">
      <c r="A174" t="s">
        <v>1994</v>
      </c>
      <c r="B174" t="s">
        <v>59</v>
      </c>
      <c r="C174" t="s">
        <v>92</v>
      </c>
      <c r="D174">
        <v>2</v>
      </c>
      <c r="E174" s="138">
        <v>47700</v>
      </c>
      <c r="F174" s="143">
        <v>0</v>
      </c>
      <c r="G174" s="138">
        <v>0</v>
      </c>
      <c r="H174" s="141">
        <f t="shared" si="2"/>
        <v>47700</v>
      </c>
      <c r="J174" t="s">
        <v>2541</v>
      </c>
      <c r="L174">
        <v>1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J174" t="s">
        <v>2457</v>
      </c>
      <c r="AK174">
        <v>1</v>
      </c>
    </row>
    <row r="175" spans="1:37">
      <c r="A175" s="139" t="s">
        <v>1995</v>
      </c>
      <c r="B175" s="139" t="s">
        <v>191</v>
      </c>
      <c r="C175" s="139" t="s">
        <v>58</v>
      </c>
      <c r="D175" s="139">
        <v>6</v>
      </c>
      <c r="E175" s="140">
        <v>192150</v>
      </c>
      <c r="F175" s="142">
        <v>0</v>
      </c>
      <c r="G175" s="140">
        <v>0</v>
      </c>
      <c r="H175" s="141">
        <f t="shared" si="2"/>
        <v>192150</v>
      </c>
      <c r="I175" s="139"/>
      <c r="J175" s="139" t="s">
        <v>2482</v>
      </c>
      <c r="K175" s="139"/>
      <c r="L175" s="139">
        <v>1</v>
      </c>
      <c r="M175" s="139">
        <v>0</v>
      </c>
      <c r="N175" s="139">
        <v>1</v>
      </c>
      <c r="O175" s="139">
        <v>0</v>
      </c>
      <c r="P175" s="139">
        <v>0</v>
      </c>
      <c r="Q175" s="139">
        <v>0</v>
      </c>
      <c r="R175" s="139">
        <v>0</v>
      </c>
      <c r="S175" s="139">
        <v>0</v>
      </c>
      <c r="T175" s="139">
        <v>1</v>
      </c>
      <c r="U175" s="139">
        <v>0</v>
      </c>
      <c r="V175" s="139">
        <v>1</v>
      </c>
      <c r="W175" s="139">
        <v>0</v>
      </c>
      <c r="X175" s="139">
        <v>0</v>
      </c>
      <c r="Y175" s="139">
        <v>0</v>
      </c>
      <c r="Z175" s="139">
        <v>0</v>
      </c>
      <c r="AA175" s="139">
        <v>0</v>
      </c>
      <c r="AB175" s="139">
        <v>1</v>
      </c>
      <c r="AC175" s="139">
        <v>0</v>
      </c>
      <c r="AD175" s="139">
        <v>1</v>
      </c>
      <c r="AE175" s="139">
        <v>0</v>
      </c>
      <c r="AJ175" t="s">
        <v>2462</v>
      </c>
      <c r="AK175">
        <v>0</v>
      </c>
    </row>
    <row r="176" spans="1:37">
      <c r="A176" t="s">
        <v>1442</v>
      </c>
      <c r="B176" t="s">
        <v>152</v>
      </c>
      <c r="C176" t="s">
        <v>92</v>
      </c>
      <c r="D176">
        <v>1</v>
      </c>
      <c r="E176" s="138">
        <v>8100</v>
      </c>
      <c r="F176" s="143">
        <v>1</v>
      </c>
      <c r="G176" s="138">
        <v>8100</v>
      </c>
      <c r="H176" s="141">
        <f t="shared" si="2"/>
        <v>0</v>
      </c>
      <c r="I176" t="s">
        <v>20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J176" t="s">
        <v>2436</v>
      </c>
      <c r="AK176">
        <v>1</v>
      </c>
    </row>
    <row r="177" spans="1:37">
      <c r="A177" s="139" t="s">
        <v>1996</v>
      </c>
      <c r="B177" s="139" t="s">
        <v>102</v>
      </c>
      <c r="C177" s="139" t="s">
        <v>92</v>
      </c>
      <c r="D177" s="139">
        <v>4</v>
      </c>
      <c r="E177" s="140">
        <v>107100</v>
      </c>
      <c r="F177" s="142">
        <v>0</v>
      </c>
      <c r="G177" s="140">
        <v>0</v>
      </c>
      <c r="H177" s="141">
        <f t="shared" si="2"/>
        <v>107100</v>
      </c>
      <c r="I177" s="139"/>
      <c r="J177" s="139" t="s">
        <v>2511</v>
      </c>
      <c r="K177" s="139"/>
      <c r="L177" s="139">
        <v>1</v>
      </c>
      <c r="M177" s="139">
        <v>0</v>
      </c>
      <c r="N177" s="139">
        <v>1</v>
      </c>
      <c r="O177" s="139">
        <v>0</v>
      </c>
      <c r="P177" s="139">
        <v>0</v>
      </c>
      <c r="Q177" s="139">
        <v>0</v>
      </c>
      <c r="R177" s="139">
        <v>0</v>
      </c>
      <c r="S177" s="139">
        <v>0</v>
      </c>
      <c r="T177" s="139">
        <v>1</v>
      </c>
      <c r="U177" s="139">
        <v>0</v>
      </c>
      <c r="V177" s="139">
        <v>1</v>
      </c>
      <c r="W177" s="139">
        <v>0</v>
      </c>
      <c r="X177" s="139">
        <v>0</v>
      </c>
      <c r="Y177" s="139">
        <v>0</v>
      </c>
      <c r="Z177" s="139">
        <v>0</v>
      </c>
      <c r="AA177" s="139">
        <v>0</v>
      </c>
      <c r="AB177" s="139">
        <v>0</v>
      </c>
      <c r="AC177" s="139">
        <v>0</v>
      </c>
      <c r="AD177" s="139">
        <v>0</v>
      </c>
      <c r="AE177" s="139">
        <v>0</v>
      </c>
      <c r="AJ177" t="s">
        <v>2464</v>
      </c>
      <c r="AK177">
        <v>1</v>
      </c>
    </row>
    <row r="178" spans="1:37">
      <c r="A178" t="s">
        <v>1997</v>
      </c>
      <c r="B178" t="s">
        <v>191</v>
      </c>
      <c r="C178" t="s">
        <v>58</v>
      </c>
      <c r="D178">
        <v>6</v>
      </c>
      <c r="E178" s="138">
        <v>192150</v>
      </c>
      <c r="F178" s="143">
        <v>0</v>
      </c>
      <c r="G178" s="138">
        <v>0</v>
      </c>
      <c r="H178" s="141">
        <f t="shared" si="2"/>
        <v>192150</v>
      </c>
      <c r="J178" t="s">
        <v>2482</v>
      </c>
      <c r="L178">
        <v>1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0</v>
      </c>
      <c r="AJ178" t="s">
        <v>2513</v>
      </c>
      <c r="AK178">
        <v>1</v>
      </c>
    </row>
    <row r="179" spans="1:37">
      <c r="A179" s="139" t="s">
        <v>1998</v>
      </c>
      <c r="B179" s="139" t="s">
        <v>59</v>
      </c>
      <c r="C179" s="139" t="s">
        <v>92</v>
      </c>
      <c r="D179" s="139">
        <v>5</v>
      </c>
      <c r="E179" s="140">
        <v>134100</v>
      </c>
      <c r="F179" s="142">
        <v>0</v>
      </c>
      <c r="G179" s="140">
        <v>0</v>
      </c>
      <c r="H179" s="141">
        <f t="shared" si="2"/>
        <v>134100</v>
      </c>
      <c r="I179" s="139"/>
      <c r="J179" s="139" t="s">
        <v>2575</v>
      </c>
      <c r="K179" s="139"/>
      <c r="L179" s="139">
        <v>1</v>
      </c>
      <c r="M179" s="139">
        <v>0</v>
      </c>
      <c r="N179" s="139">
        <v>1</v>
      </c>
      <c r="O179" s="139">
        <v>0</v>
      </c>
      <c r="P179" s="139">
        <v>1</v>
      </c>
      <c r="Q179" s="139">
        <v>0</v>
      </c>
      <c r="R179" s="139">
        <v>1</v>
      </c>
      <c r="S179" s="139">
        <v>0</v>
      </c>
      <c r="T179" s="139">
        <v>0</v>
      </c>
      <c r="U179" s="139">
        <v>0</v>
      </c>
      <c r="V179" s="139">
        <v>0</v>
      </c>
      <c r="W179" s="139">
        <v>0</v>
      </c>
      <c r="X179" s="139">
        <v>1</v>
      </c>
      <c r="Y179" s="139">
        <v>0</v>
      </c>
      <c r="Z179" s="139">
        <v>0</v>
      </c>
      <c r="AA179" s="139">
        <v>0</v>
      </c>
      <c r="AB179" s="139">
        <v>0</v>
      </c>
      <c r="AC179" s="139">
        <v>0</v>
      </c>
      <c r="AD179" s="139">
        <v>0</v>
      </c>
      <c r="AE179" s="139">
        <v>0</v>
      </c>
      <c r="AJ179" t="s">
        <v>2591</v>
      </c>
      <c r="AK179">
        <v>3</v>
      </c>
    </row>
    <row r="180" spans="1:37">
      <c r="A180" t="s">
        <v>1999</v>
      </c>
      <c r="B180" t="s">
        <v>66</v>
      </c>
      <c r="C180" t="s">
        <v>92</v>
      </c>
      <c r="D180">
        <v>1</v>
      </c>
      <c r="E180" s="138">
        <v>8100</v>
      </c>
      <c r="F180" s="143">
        <v>0</v>
      </c>
      <c r="G180" s="138">
        <v>0</v>
      </c>
      <c r="H180" s="141">
        <f t="shared" si="2"/>
        <v>8100</v>
      </c>
      <c r="J180" t="s">
        <v>20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J180" t="s">
        <v>2436</v>
      </c>
      <c r="AK180">
        <v>1</v>
      </c>
    </row>
    <row r="181" spans="1:37">
      <c r="A181" s="139" t="s">
        <v>766</v>
      </c>
      <c r="B181" s="139" t="s">
        <v>59</v>
      </c>
      <c r="C181" s="139" t="s">
        <v>92</v>
      </c>
      <c r="D181" s="139">
        <v>1</v>
      </c>
      <c r="E181" s="140">
        <v>8100</v>
      </c>
      <c r="F181" s="142">
        <v>1</v>
      </c>
      <c r="G181" s="140">
        <v>8100</v>
      </c>
      <c r="H181" s="141">
        <f t="shared" si="2"/>
        <v>0</v>
      </c>
      <c r="I181" s="139" t="s">
        <v>20</v>
      </c>
      <c r="J181" s="139"/>
      <c r="K181" s="139"/>
      <c r="L181" s="139">
        <v>1</v>
      </c>
      <c r="M181" s="139">
        <v>1</v>
      </c>
      <c r="N181" s="139">
        <v>0</v>
      </c>
      <c r="O181" s="139">
        <v>0</v>
      </c>
      <c r="P181" s="139">
        <v>0</v>
      </c>
      <c r="Q181" s="139">
        <v>0</v>
      </c>
      <c r="R181" s="139">
        <v>0</v>
      </c>
      <c r="S181" s="139">
        <v>0</v>
      </c>
      <c r="T181" s="139">
        <v>0</v>
      </c>
      <c r="U181" s="139">
        <v>0</v>
      </c>
      <c r="V181" s="139">
        <v>0</v>
      </c>
      <c r="W181" s="139">
        <v>0</v>
      </c>
      <c r="X181" s="139">
        <v>0</v>
      </c>
      <c r="Y181" s="139">
        <v>0</v>
      </c>
      <c r="Z181" s="139">
        <v>0</v>
      </c>
      <c r="AA181" s="139">
        <v>0</v>
      </c>
      <c r="AB181" s="139">
        <v>0</v>
      </c>
      <c r="AC181" s="139">
        <v>0</v>
      </c>
      <c r="AD181" s="139">
        <v>0</v>
      </c>
      <c r="AE181" s="139">
        <v>0</v>
      </c>
      <c r="AJ181" t="s">
        <v>2436</v>
      </c>
      <c r="AK181">
        <v>1</v>
      </c>
    </row>
    <row r="182" spans="1:37">
      <c r="A182" t="s">
        <v>2000</v>
      </c>
      <c r="B182" t="s">
        <v>2566</v>
      </c>
      <c r="C182" t="s">
        <v>92</v>
      </c>
      <c r="D182">
        <v>0</v>
      </c>
      <c r="E182" s="138">
        <v>0</v>
      </c>
      <c r="F182" s="143">
        <v>1</v>
      </c>
      <c r="G182" s="138">
        <v>19800</v>
      </c>
      <c r="H182" s="141">
        <f t="shared" si="2"/>
        <v>-19800</v>
      </c>
      <c r="I182" t="s">
        <v>35</v>
      </c>
      <c r="K182" t="s">
        <v>35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J182" t="s">
        <v>2462</v>
      </c>
      <c r="AK182">
        <v>0</v>
      </c>
    </row>
    <row r="183" spans="1:37">
      <c r="A183" s="139" t="s">
        <v>842</v>
      </c>
      <c r="B183" s="139" t="s">
        <v>152</v>
      </c>
      <c r="C183" s="139" t="s">
        <v>58</v>
      </c>
      <c r="D183" s="139">
        <v>1</v>
      </c>
      <c r="E183" s="140">
        <v>10800</v>
      </c>
      <c r="F183" s="142">
        <v>1</v>
      </c>
      <c r="G183" s="140">
        <v>10800</v>
      </c>
      <c r="H183" s="141">
        <f t="shared" si="2"/>
        <v>0</v>
      </c>
      <c r="I183" s="139" t="s">
        <v>20</v>
      </c>
      <c r="J183" s="139"/>
      <c r="K183" s="139"/>
      <c r="L183" s="139">
        <v>1</v>
      </c>
      <c r="M183" s="139">
        <v>1</v>
      </c>
      <c r="N183" s="139">
        <v>0</v>
      </c>
      <c r="O183" s="139">
        <v>0</v>
      </c>
      <c r="P183" s="139">
        <v>0</v>
      </c>
      <c r="Q183" s="139">
        <v>0</v>
      </c>
      <c r="R183" s="139">
        <v>0</v>
      </c>
      <c r="S183" s="139">
        <v>0</v>
      </c>
      <c r="T183" s="139">
        <v>0</v>
      </c>
      <c r="U183" s="139">
        <v>0</v>
      </c>
      <c r="V183" s="139">
        <v>0</v>
      </c>
      <c r="W183" s="139">
        <v>0</v>
      </c>
      <c r="X183" s="139">
        <v>0</v>
      </c>
      <c r="Y183" s="139">
        <v>0</v>
      </c>
      <c r="Z183" s="139">
        <v>0</v>
      </c>
      <c r="AA183" s="139">
        <v>0</v>
      </c>
      <c r="AB183" s="139">
        <v>0</v>
      </c>
      <c r="AC183" s="139">
        <v>0</v>
      </c>
      <c r="AD183" s="139">
        <v>0</v>
      </c>
      <c r="AE183" s="139">
        <v>0</v>
      </c>
      <c r="AJ183" t="s">
        <v>2436</v>
      </c>
      <c r="AK183">
        <v>1</v>
      </c>
    </row>
    <row r="184" spans="1:37">
      <c r="A184" t="s">
        <v>2001</v>
      </c>
      <c r="B184" t="s">
        <v>2566</v>
      </c>
      <c r="C184" t="s">
        <v>92</v>
      </c>
      <c r="D184">
        <v>0</v>
      </c>
      <c r="E184" s="138">
        <v>0</v>
      </c>
      <c r="F184" s="143">
        <v>3</v>
      </c>
      <c r="G184" s="138">
        <v>49950</v>
      </c>
      <c r="H184" s="141">
        <f t="shared" si="2"/>
        <v>-49950</v>
      </c>
      <c r="I184" t="s">
        <v>2556</v>
      </c>
      <c r="K184" t="s">
        <v>2556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J184" t="s">
        <v>2592</v>
      </c>
      <c r="AK184">
        <v>2</v>
      </c>
    </row>
    <row r="185" spans="1:37">
      <c r="A185" s="139" t="s">
        <v>2002</v>
      </c>
      <c r="B185" s="139" t="s">
        <v>152</v>
      </c>
      <c r="C185" s="139" t="s">
        <v>58</v>
      </c>
      <c r="D185" s="139">
        <v>1</v>
      </c>
      <c r="E185" s="140">
        <v>10800</v>
      </c>
      <c r="F185" s="142">
        <v>0</v>
      </c>
      <c r="G185" s="140">
        <v>0</v>
      </c>
      <c r="H185" s="141">
        <f t="shared" si="2"/>
        <v>10800</v>
      </c>
      <c r="I185" s="139"/>
      <c r="J185" s="139" t="s">
        <v>20</v>
      </c>
      <c r="K185" s="139"/>
      <c r="L185" s="139">
        <v>1</v>
      </c>
      <c r="M185" s="139">
        <v>0</v>
      </c>
      <c r="N185" s="139">
        <v>0</v>
      </c>
      <c r="O185" s="139">
        <v>0</v>
      </c>
      <c r="P185" s="139">
        <v>0</v>
      </c>
      <c r="Q185" s="139">
        <v>0</v>
      </c>
      <c r="R185" s="139">
        <v>0</v>
      </c>
      <c r="S185" s="139">
        <v>0</v>
      </c>
      <c r="T185" s="139">
        <v>0</v>
      </c>
      <c r="U185" s="139">
        <v>0</v>
      </c>
      <c r="V185" s="139">
        <v>0</v>
      </c>
      <c r="W185" s="139">
        <v>0</v>
      </c>
      <c r="X185" s="139">
        <v>0</v>
      </c>
      <c r="Y185" s="139">
        <v>0</v>
      </c>
      <c r="Z185" s="139">
        <v>0</v>
      </c>
      <c r="AA185" s="139">
        <v>0</v>
      </c>
      <c r="AB185" s="139">
        <v>0</v>
      </c>
      <c r="AC185" s="139">
        <v>0</v>
      </c>
      <c r="AD185" s="139">
        <v>0</v>
      </c>
      <c r="AE185" s="139">
        <v>0</v>
      </c>
      <c r="AJ185" t="s">
        <v>2457</v>
      </c>
      <c r="AK185">
        <v>1</v>
      </c>
    </row>
    <row r="186" spans="1:37">
      <c r="A186" t="s">
        <v>1099</v>
      </c>
      <c r="B186" t="s">
        <v>152</v>
      </c>
      <c r="C186" t="s">
        <v>58</v>
      </c>
      <c r="D186">
        <v>1</v>
      </c>
      <c r="E186" s="138">
        <v>10800</v>
      </c>
      <c r="F186" s="143">
        <v>2</v>
      </c>
      <c r="G186" s="138">
        <v>66600</v>
      </c>
      <c r="H186" s="141">
        <f t="shared" si="2"/>
        <v>-55800</v>
      </c>
      <c r="I186" t="s">
        <v>2541</v>
      </c>
      <c r="K186" t="s">
        <v>1695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J186" t="s">
        <v>2578</v>
      </c>
      <c r="AK186">
        <v>2</v>
      </c>
    </row>
    <row r="187" spans="1:37">
      <c r="A187" s="139" t="s">
        <v>1069</v>
      </c>
      <c r="B187" s="139" t="s">
        <v>152</v>
      </c>
      <c r="C187" s="139" t="s">
        <v>92</v>
      </c>
      <c r="D187" s="139">
        <v>1</v>
      </c>
      <c r="E187" s="140">
        <v>8100</v>
      </c>
      <c r="F187" s="142">
        <v>1</v>
      </c>
      <c r="G187" s="140">
        <v>8100</v>
      </c>
      <c r="H187" s="141">
        <f t="shared" si="2"/>
        <v>0</v>
      </c>
      <c r="I187" s="139" t="s">
        <v>20</v>
      </c>
      <c r="J187" s="139"/>
      <c r="K187" s="139"/>
      <c r="L187" s="139">
        <v>1</v>
      </c>
      <c r="M187" s="139">
        <v>1</v>
      </c>
      <c r="N187" s="139">
        <v>0</v>
      </c>
      <c r="O187" s="139">
        <v>0</v>
      </c>
      <c r="P187" s="139">
        <v>0</v>
      </c>
      <c r="Q187" s="139">
        <v>0</v>
      </c>
      <c r="R187" s="139">
        <v>0</v>
      </c>
      <c r="S187" s="139">
        <v>0</v>
      </c>
      <c r="T187" s="139">
        <v>0</v>
      </c>
      <c r="U187" s="139">
        <v>0</v>
      </c>
      <c r="V187" s="139">
        <v>0</v>
      </c>
      <c r="W187" s="139">
        <v>0</v>
      </c>
      <c r="X187" s="139">
        <v>0</v>
      </c>
      <c r="Y187" s="139">
        <v>0</v>
      </c>
      <c r="Z187" s="139">
        <v>0</v>
      </c>
      <c r="AA187" s="139">
        <v>0</v>
      </c>
      <c r="AB187" s="139">
        <v>0</v>
      </c>
      <c r="AC187" s="139">
        <v>0</v>
      </c>
      <c r="AD187" s="139">
        <v>0</v>
      </c>
      <c r="AE187" s="139">
        <v>0</v>
      </c>
      <c r="AJ187" t="s">
        <v>2436</v>
      </c>
      <c r="AK187">
        <v>1</v>
      </c>
    </row>
    <row r="188" spans="1:37">
      <c r="A188" t="s">
        <v>2003</v>
      </c>
      <c r="B188" t="s">
        <v>152</v>
      </c>
      <c r="C188" t="s">
        <v>58</v>
      </c>
      <c r="D188">
        <v>1</v>
      </c>
      <c r="E188" s="138">
        <v>10800</v>
      </c>
      <c r="F188" s="143">
        <v>0</v>
      </c>
      <c r="G188" s="138">
        <v>0</v>
      </c>
      <c r="H188" s="141">
        <f t="shared" si="2"/>
        <v>10800</v>
      </c>
      <c r="J188" t="s">
        <v>20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J188" t="s">
        <v>2572</v>
      </c>
      <c r="AK188">
        <v>1</v>
      </c>
    </row>
    <row r="189" spans="1:37">
      <c r="A189" s="139" t="s">
        <v>2004</v>
      </c>
      <c r="B189" s="139" t="s">
        <v>191</v>
      </c>
      <c r="C189" s="139" t="s">
        <v>92</v>
      </c>
      <c r="D189" s="139">
        <v>4</v>
      </c>
      <c r="E189" s="140">
        <v>78750</v>
      </c>
      <c r="F189" s="142">
        <v>0</v>
      </c>
      <c r="G189" s="140">
        <v>0</v>
      </c>
      <c r="H189" s="141">
        <f t="shared" si="2"/>
        <v>78750</v>
      </c>
      <c r="I189" s="139"/>
      <c r="J189" s="139" t="s">
        <v>2508</v>
      </c>
      <c r="K189" s="139"/>
      <c r="L189" s="139">
        <v>1</v>
      </c>
      <c r="M189" s="139">
        <v>0</v>
      </c>
      <c r="N189" s="139">
        <v>1</v>
      </c>
      <c r="O189" s="139">
        <v>0</v>
      </c>
      <c r="P189" s="139">
        <v>0</v>
      </c>
      <c r="Q189" s="139">
        <v>0</v>
      </c>
      <c r="R189" s="139">
        <v>0</v>
      </c>
      <c r="S189" s="139">
        <v>0</v>
      </c>
      <c r="T189" s="139">
        <v>0</v>
      </c>
      <c r="U189" s="139">
        <v>0</v>
      </c>
      <c r="V189" s="139">
        <v>0</v>
      </c>
      <c r="W189" s="139">
        <v>0</v>
      </c>
      <c r="X189" s="139">
        <v>0</v>
      </c>
      <c r="Y189" s="139">
        <v>0</v>
      </c>
      <c r="Z189" s="139">
        <v>0</v>
      </c>
      <c r="AA189" s="139">
        <v>0</v>
      </c>
      <c r="AB189" s="139">
        <v>1</v>
      </c>
      <c r="AC189" s="139">
        <v>0</v>
      </c>
      <c r="AD189" s="139">
        <v>1</v>
      </c>
      <c r="AE189" s="139">
        <v>0</v>
      </c>
      <c r="AJ189" t="s">
        <v>2457</v>
      </c>
      <c r="AK189">
        <v>1</v>
      </c>
    </row>
    <row r="190" spans="1:37">
      <c r="A190" t="s">
        <v>1213</v>
      </c>
      <c r="B190" t="s">
        <v>152</v>
      </c>
      <c r="C190" t="s">
        <v>92</v>
      </c>
      <c r="D190">
        <v>1</v>
      </c>
      <c r="E190" s="138">
        <v>8100</v>
      </c>
      <c r="F190" s="143">
        <v>1</v>
      </c>
      <c r="G190" s="138">
        <v>8100</v>
      </c>
      <c r="H190" s="141">
        <f t="shared" si="2"/>
        <v>0</v>
      </c>
      <c r="I190" t="s">
        <v>20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J190" t="s">
        <v>2436</v>
      </c>
      <c r="AK190">
        <v>1</v>
      </c>
    </row>
    <row r="191" spans="1:37">
      <c r="A191" s="139" t="s">
        <v>993</v>
      </c>
      <c r="B191" s="139" t="s">
        <v>152</v>
      </c>
      <c r="C191" s="139" t="s">
        <v>58</v>
      </c>
      <c r="D191" s="139">
        <v>1</v>
      </c>
      <c r="E191" s="140">
        <v>10800</v>
      </c>
      <c r="F191" s="142">
        <v>1</v>
      </c>
      <c r="G191" s="140">
        <v>10800</v>
      </c>
      <c r="H191" s="141">
        <f t="shared" si="2"/>
        <v>0</v>
      </c>
      <c r="I191" s="139" t="s">
        <v>20</v>
      </c>
      <c r="J191" s="139"/>
      <c r="K191" s="139"/>
      <c r="L191" s="139">
        <v>1</v>
      </c>
      <c r="M191" s="139">
        <v>1</v>
      </c>
      <c r="N191" s="139">
        <v>0</v>
      </c>
      <c r="O191" s="139">
        <v>0</v>
      </c>
      <c r="P191" s="139">
        <v>0</v>
      </c>
      <c r="Q191" s="139">
        <v>0</v>
      </c>
      <c r="R191" s="139">
        <v>0</v>
      </c>
      <c r="S191" s="139">
        <v>0</v>
      </c>
      <c r="T191" s="139">
        <v>0</v>
      </c>
      <c r="U191" s="139">
        <v>0</v>
      </c>
      <c r="V191" s="139">
        <v>0</v>
      </c>
      <c r="W191" s="139">
        <v>0</v>
      </c>
      <c r="X191" s="139">
        <v>0</v>
      </c>
      <c r="Y191" s="139">
        <v>0</v>
      </c>
      <c r="Z191" s="139">
        <v>0</v>
      </c>
      <c r="AA191" s="139">
        <v>0</v>
      </c>
      <c r="AB191" s="139">
        <v>0</v>
      </c>
      <c r="AC191" s="139">
        <v>0</v>
      </c>
      <c r="AD191" s="139">
        <v>0</v>
      </c>
      <c r="AE191" s="139">
        <v>0</v>
      </c>
      <c r="AJ191" t="s">
        <v>2436</v>
      </c>
      <c r="AK191">
        <v>1</v>
      </c>
    </row>
    <row r="192" spans="1:37">
      <c r="A192" t="s">
        <v>2006</v>
      </c>
      <c r="B192" t="s">
        <v>2566</v>
      </c>
      <c r="C192" t="s">
        <v>92</v>
      </c>
      <c r="D192">
        <v>0</v>
      </c>
      <c r="E192" s="138">
        <v>0</v>
      </c>
      <c r="F192" s="143">
        <v>4</v>
      </c>
      <c r="G192" s="138">
        <v>84150</v>
      </c>
      <c r="H192" s="141">
        <f t="shared" si="2"/>
        <v>-84150</v>
      </c>
      <c r="I192" t="s">
        <v>2529</v>
      </c>
      <c r="K192" t="s">
        <v>2529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J192" t="s">
        <v>2593</v>
      </c>
      <c r="AK192">
        <v>4</v>
      </c>
    </row>
    <row r="193" spans="1:37">
      <c r="A193" s="139" t="s">
        <v>1074</v>
      </c>
      <c r="B193" s="139" t="s">
        <v>152</v>
      </c>
      <c r="C193" s="139" t="s">
        <v>58</v>
      </c>
      <c r="D193" s="139">
        <v>1</v>
      </c>
      <c r="E193" s="140">
        <v>10800</v>
      </c>
      <c r="F193" s="142">
        <v>1</v>
      </c>
      <c r="G193" s="140">
        <v>10800</v>
      </c>
      <c r="H193" s="141">
        <f t="shared" si="2"/>
        <v>0</v>
      </c>
      <c r="I193" s="139" t="s">
        <v>20</v>
      </c>
      <c r="J193" s="139"/>
      <c r="K193" s="139"/>
      <c r="L193" s="139">
        <v>1</v>
      </c>
      <c r="M193" s="139">
        <v>1</v>
      </c>
      <c r="N193" s="139">
        <v>0</v>
      </c>
      <c r="O193" s="139">
        <v>0</v>
      </c>
      <c r="P193" s="139">
        <v>0</v>
      </c>
      <c r="Q193" s="139">
        <v>0</v>
      </c>
      <c r="R193" s="139">
        <v>0</v>
      </c>
      <c r="S193" s="139">
        <v>0</v>
      </c>
      <c r="T193" s="139">
        <v>0</v>
      </c>
      <c r="U193" s="139">
        <v>0</v>
      </c>
      <c r="V193" s="139">
        <v>0</v>
      </c>
      <c r="W193" s="139">
        <v>0</v>
      </c>
      <c r="X193" s="139">
        <v>0</v>
      </c>
      <c r="Y193" s="139">
        <v>0</v>
      </c>
      <c r="Z193" s="139">
        <v>0</v>
      </c>
      <c r="AA193" s="139">
        <v>0</v>
      </c>
      <c r="AB193" s="139">
        <v>0</v>
      </c>
      <c r="AC193" s="139">
        <v>0</v>
      </c>
      <c r="AD193" s="139">
        <v>0</v>
      </c>
      <c r="AE193" s="139">
        <v>0</v>
      </c>
      <c r="AJ193" t="s">
        <v>2457</v>
      </c>
      <c r="AK193">
        <v>1</v>
      </c>
    </row>
    <row r="194" spans="1:37">
      <c r="A194" t="s">
        <v>2007</v>
      </c>
      <c r="B194" t="s">
        <v>59</v>
      </c>
      <c r="C194" t="s">
        <v>58</v>
      </c>
      <c r="D194">
        <v>8</v>
      </c>
      <c r="E194" s="138">
        <v>315000</v>
      </c>
      <c r="F194" s="143">
        <v>0</v>
      </c>
      <c r="G194" s="138">
        <v>0</v>
      </c>
      <c r="H194" s="141">
        <f t="shared" si="2"/>
        <v>315000</v>
      </c>
      <c r="J194" t="s">
        <v>2568</v>
      </c>
      <c r="L194">
        <v>1</v>
      </c>
      <c r="M194">
        <v>0</v>
      </c>
      <c r="N194">
        <v>1</v>
      </c>
      <c r="O194">
        <v>0</v>
      </c>
      <c r="P194">
        <v>1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1</v>
      </c>
      <c r="W194">
        <v>0</v>
      </c>
      <c r="X194">
        <v>1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J194" t="s">
        <v>2594</v>
      </c>
      <c r="AK194">
        <v>4</v>
      </c>
    </row>
    <row r="195" spans="1:37">
      <c r="A195" s="139" t="s">
        <v>2008</v>
      </c>
      <c r="B195" s="139" t="s">
        <v>59</v>
      </c>
      <c r="C195" s="139" t="s">
        <v>92</v>
      </c>
      <c r="D195" s="139">
        <v>1</v>
      </c>
      <c r="E195" s="140">
        <v>8100</v>
      </c>
      <c r="F195" s="142">
        <v>0</v>
      </c>
      <c r="G195" s="140">
        <v>0</v>
      </c>
      <c r="H195" s="141">
        <f t="shared" si="2"/>
        <v>8100</v>
      </c>
      <c r="I195" s="139"/>
      <c r="J195" s="139" t="s">
        <v>20</v>
      </c>
      <c r="K195" s="139"/>
      <c r="L195" s="139">
        <v>1</v>
      </c>
      <c r="M195" s="139">
        <v>0</v>
      </c>
      <c r="N195" s="139">
        <v>0</v>
      </c>
      <c r="O195" s="139">
        <v>0</v>
      </c>
      <c r="P195" s="139">
        <v>0</v>
      </c>
      <c r="Q195" s="139">
        <v>0</v>
      </c>
      <c r="R195" s="139">
        <v>0</v>
      </c>
      <c r="S195" s="139">
        <v>0</v>
      </c>
      <c r="T195" s="139">
        <v>0</v>
      </c>
      <c r="U195" s="139">
        <v>0</v>
      </c>
      <c r="V195" s="139">
        <v>0</v>
      </c>
      <c r="W195" s="139">
        <v>0</v>
      </c>
      <c r="X195" s="139">
        <v>0</v>
      </c>
      <c r="Y195" s="139">
        <v>0</v>
      </c>
      <c r="Z195" s="139">
        <v>0</v>
      </c>
      <c r="AA195" s="139">
        <v>0</v>
      </c>
      <c r="AB195" s="139">
        <v>0</v>
      </c>
      <c r="AC195" s="139">
        <v>0</v>
      </c>
      <c r="AD195" s="139">
        <v>0</v>
      </c>
      <c r="AE195" s="139">
        <v>0</v>
      </c>
      <c r="AJ195" t="s">
        <v>2595</v>
      </c>
      <c r="AK195">
        <v>4</v>
      </c>
    </row>
    <row r="196" spans="1:37">
      <c r="A196" t="s">
        <v>2009</v>
      </c>
      <c r="B196" t="s">
        <v>59</v>
      </c>
      <c r="C196" t="s">
        <v>92</v>
      </c>
      <c r="D196">
        <v>5</v>
      </c>
      <c r="E196" s="138">
        <v>134100</v>
      </c>
      <c r="F196" s="143">
        <v>0</v>
      </c>
      <c r="G196" s="138">
        <v>0</v>
      </c>
      <c r="H196" s="141">
        <f t="shared" ref="H196:H209" si="3">E196-G196</f>
        <v>134100</v>
      </c>
      <c r="J196" t="s">
        <v>2575</v>
      </c>
      <c r="L196">
        <v>1</v>
      </c>
      <c r="M196">
        <v>0</v>
      </c>
      <c r="N196">
        <v>1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J196" t="s">
        <v>2596</v>
      </c>
      <c r="AK196">
        <v>4</v>
      </c>
    </row>
    <row r="197" spans="1:37">
      <c r="A197" s="139" t="s">
        <v>2010</v>
      </c>
      <c r="B197" s="139" t="s">
        <v>66</v>
      </c>
      <c r="C197" s="139" t="s">
        <v>58</v>
      </c>
      <c r="D197" s="139">
        <v>4</v>
      </c>
      <c r="E197" s="140">
        <v>140400</v>
      </c>
      <c r="F197" s="142">
        <v>0</v>
      </c>
      <c r="G197" s="140">
        <v>0</v>
      </c>
      <c r="H197" s="141">
        <f t="shared" si="3"/>
        <v>140400</v>
      </c>
      <c r="I197" s="139"/>
      <c r="J197" s="139" t="s">
        <v>2570</v>
      </c>
      <c r="K197" s="139"/>
      <c r="L197" s="139">
        <v>1</v>
      </c>
      <c r="M197" s="139">
        <v>0</v>
      </c>
      <c r="N197" s="139">
        <v>1</v>
      </c>
      <c r="O197" s="139">
        <v>0</v>
      </c>
      <c r="P197" s="139">
        <v>0</v>
      </c>
      <c r="Q197" s="139">
        <v>0</v>
      </c>
      <c r="R197" s="139">
        <v>0</v>
      </c>
      <c r="S197" s="139">
        <v>0</v>
      </c>
      <c r="T197" s="139">
        <v>0</v>
      </c>
      <c r="U197" s="139">
        <v>0</v>
      </c>
      <c r="V197" s="139">
        <v>0</v>
      </c>
      <c r="W197" s="139">
        <v>0</v>
      </c>
      <c r="X197" s="139">
        <v>1</v>
      </c>
      <c r="Y197" s="139">
        <v>0</v>
      </c>
      <c r="Z197" s="139">
        <v>1</v>
      </c>
      <c r="AA197" s="139">
        <v>0</v>
      </c>
      <c r="AB197" s="139">
        <v>0</v>
      </c>
      <c r="AC197" s="139">
        <v>0</v>
      </c>
      <c r="AD197" s="139">
        <v>0</v>
      </c>
      <c r="AE197" s="139">
        <v>0</v>
      </c>
      <c r="AJ197" t="s">
        <v>2436</v>
      </c>
      <c r="AK197">
        <v>1</v>
      </c>
    </row>
    <row r="198" spans="1:37">
      <c r="A198" t="s">
        <v>2012</v>
      </c>
      <c r="B198" t="s">
        <v>152</v>
      </c>
      <c r="C198" t="s">
        <v>58</v>
      </c>
      <c r="D198">
        <v>1</v>
      </c>
      <c r="E198" s="138">
        <v>10800</v>
      </c>
      <c r="F198" s="143">
        <v>0</v>
      </c>
      <c r="G198" s="138">
        <v>0</v>
      </c>
      <c r="H198" s="141">
        <f t="shared" si="3"/>
        <v>10800</v>
      </c>
      <c r="J198" t="s">
        <v>20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J198" t="s">
        <v>2597</v>
      </c>
      <c r="AK198">
        <v>3</v>
      </c>
    </row>
    <row r="199" spans="1:37">
      <c r="A199" s="139" t="s">
        <v>2013</v>
      </c>
      <c r="B199" s="139" t="s">
        <v>191</v>
      </c>
      <c r="C199" s="139" t="s">
        <v>92</v>
      </c>
      <c r="D199" s="139">
        <v>4</v>
      </c>
      <c r="E199" s="140">
        <v>78750</v>
      </c>
      <c r="F199" s="142">
        <v>0</v>
      </c>
      <c r="G199" s="140">
        <v>0</v>
      </c>
      <c r="H199" s="141">
        <f t="shared" si="3"/>
        <v>78750</v>
      </c>
      <c r="I199" s="139"/>
      <c r="J199" s="139" t="s">
        <v>2508</v>
      </c>
      <c r="K199" s="139"/>
      <c r="L199" s="139">
        <v>1</v>
      </c>
      <c r="M199" s="139">
        <v>0</v>
      </c>
      <c r="N199" s="139">
        <v>1</v>
      </c>
      <c r="O199" s="139">
        <v>0</v>
      </c>
      <c r="P199" s="139">
        <v>0</v>
      </c>
      <c r="Q199" s="139">
        <v>0</v>
      </c>
      <c r="R199" s="139">
        <v>0</v>
      </c>
      <c r="S199" s="139">
        <v>0</v>
      </c>
      <c r="T199" s="139">
        <v>0</v>
      </c>
      <c r="U199" s="139">
        <v>0</v>
      </c>
      <c r="V199" s="139">
        <v>0</v>
      </c>
      <c r="W199" s="139">
        <v>0</v>
      </c>
      <c r="X199" s="139">
        <v>0</v>
      </c>
      <c r="Y199" s="139">
        <v>0</v>
      </c>
      <c r="Z199" s="139">
        <v>0</v>
      </c>
      <c r="AA199" s="139">
        <v>0</v>
      </c>
      <c r="AB199" s="139">
        <v>1</v>
      </c>
      <c r="AC199" s="139">
        <v>0</v>
      </c>
      <c r="AD199" s="139">
        <v>1</v>
      </c>
      <c r="AE199" s="139">
        <v>0</v>
      </c>
      <c r="AJ199" t="s">
        <v>2457</v>
      </c>
      <c r="AK199">
        <v>1</v>
      </c>
    </row>
    <row r="200" spans="1:37">
      <c r="A200" t="s">
        <v>2014</v>
      </c>
      <c r="B200" t="s">
        <v>2566</v>
      </c>
      <c r="C200" t="s">
        <v>92</v>
      </c>
      <c r="D200">
        <v>0</v>
      </c>
      <c r="E200" s="138">
        <v>0</v>
      </c>
      <c r="F200" s="143">
        <v>2</v>
      </c>
      <c r="G200" s="138">
        <v>42300</v>
      </c>
      <c r="H200" s="141">
        <f t="shared" si="3"/>
        <v>-42300</v>
      </c>
      <c r="I200" t="s">
        <v>2475</v>
      </c>
      <c r="K200" t="s">
        <v>2475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J200" t="s">
        <v>2477</v>
      </c>
      <c r="AK200">
        <v>2</v>
      </c>
    </row>
    <row r="201" spans="1:37">
      <c r="A201" s="139" t="s">
        <v>2015</v>
      </c>
      <c r="B201" s="139" t="s">
        <v>102</v>
      </c>
      <c r="C201" s="139" t="s">
        <v>92</v>
      </c>
      <c r="D201" s="139">
        <v>4</v>
      </c>
      <c r="E201" s="140">
        <v>107100</v>
      </c>
      <c r="F201" s="142">
        <v>0</v>
      </c>
      <c r="G201" s="140">
        <v>0</v>
      </c>
      <c r="H201" s="141">
        <f t="shared" si="3"/>
        <v>107100</v>
      </c>
      <c r="I201" s="139"/>
      <c r="J201" s="139" t="s">
        <v>2511</v>
      </c>
      <c r="K201" s="139"/>
      <c r="L201" s="139">
        <v>1</v>
      </c>
      <c r="M201" s="139">
        <v>0</v>
      </c>
      <c r="N201" s="139">
        <v>1</v>
      </c>
      <c r="O201" s="139">
        <v>0</v>
      </c>
      <c r="P201" s="139">
        <v>0</v>
      </c>
      <c r="Q201" s="139">
        <v>0</v>
      </c>
      <c r="R201" s="139">
        <v>0</v>
      </c>
      <c r="S201" s="139">
        <v>0</v>
      </c>
      <c r="T201" s="139">
        <v>1</v>
      </c>
      <c r="U201" s="139">
        <v>0</v>
      </c>
      <c r="V201" s="139">
        <v>1</v>
      </c>
      <c r="W201" s="139">
        <v>0</v>
      </c>
      <c r="X201" s="139">
        <v>0</v>
      </c>
      <c r="Y201" s="139">
        <v>0</v>
      </c>
      <c r="Z201" s="139">
        <v>0</v>
      </c>
      <c r="AA201" s="139">
        <v>0</v>
      </c>
      <c r="AB201" s="139">
        <v>0</v>
      </c>
      <c r="AC201" s="139">
        <v>0</v>
      </c>
      <c r="AD201" s="139">
        <v>0</v>
      </c>
      <c r="AE201" s="139">
        <v>0</v>
      </c>
      <c r="AJ201" t="s">
        <v>2472</v>
      </c>
      <c r="AK201">
        <v>1</v>
      </c>
    </row>
    <row r="202" spans="1:37">
      <c r="A202" t="s">
        <v>2016</v>
      </c>
      <c r="B202" t="s">
        <v>191</v>
      </c>
      <c r="C202" t="s">
        <v>92</v>
      </c>
      <c r="D202">
        <v>4</v>
      </c>
      <c r="E202" s="138">
        <v>78750</v>
      </c>
      <c r="F202" s="143">
        <v>0</v>
      </c>
      <c r="G202" s="138">
        <v>0</v>
      </c>
      <c r="H202" s="141">
        <f t="shared" si="3"/>
        <v>78750</v>
      </c>
      <c r="J202" t="s">
        <v>2508</v>
      </c>
      <c r="L202">
        <v>1</v>
      </c>
      <c r="M202">
        <v>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J202" t="s">
        <v>2464</v>
      </c>
      <c r="AK202">
        <v>1</v>
      </c>
    </row>
    <row r="203" spans="1:37">
      <c r="A203" s="139" t="s">
        <v>1039</v>
      </c>
      <c r="B203" s="139" t="s">
        <v>152</v>
      </c>
      <c r="C203" s="139" t="s">
        <v>58</v>
      </c>
      <c r="D203" s="139">
        <v>1</v>
      </c>
      <c r="E203" s="140">
        <v>10800</v>
      </c>
      <c r="F203" s="142">
        <v>2</v>
      </c>
      <c r="G203" s="140">
        <v>66600</v>
      </c>
      <c r="H203" s="141">
        <f t="shared" si="3"/>
        <v>-55800</v>
      </c>
      <c r="I203" s="139" t="s">
        <v>2541</v>
      </c>
      <c r="J203" s="139"/>
      <c r="K203" s="139" t="s">
        <v>1695</v>
      </c>
      <c r="L203" s="139">
        <v>1</v>
      </c>
      <c r="M203" s="139">
        <v>1</v>
      </c>
      <c r="N203" s="139">
        <v>0</v>
      </c>
      <c r="O203" s="139">
        <v>1</v>
      </c>
      <c r="P203" s="139">
        <v>0</v>
      </c>
      <c r="Q203" s="139">
        <v>0</v>
      </c>
      <c r="R203" s="139">
        <v>0</v>
      </c>
      <c r="S203" s="139">
        <v>0</v>
      </c>
      <c r="T203" s="139">
        <v>0</v>
      </c>
      <c r="U203" s="139">
        <v>0</v>
      </c>
      <c r="V203" s="139">
        <v>0</v>
      </c>
      <c r="W203" s="139">
        <v>0</v>
      </c>
      <c r="X203" s="139">
        <v>0</v>
      </c>
      <c r="Y203" s="139">
        <v>0</v>
      </c>
      <c r="Z203" s="139">
        <v>0</v>
      </c>
      <c r="AA203" s="139">
        <v>0</v>
      </c>
      <c r="AB203" s="139">
        <v>0</v>
      </c>
      <c r="AC203" s="139">
        <v>0</v>
      </c>
      <c r="AD203" s="139">
        <v>0</v>
      </c>
      <c r="AE203" s="139">
        <v>0</v>
      </c>
      <c r="AJ203" t="s">
        <v>2578</v>
      </c>
      <c r="AK203">
        <v>2</v>
      </c>
    </row>
    <row r="204" spans="1:37">
      <c r="A204" t="s">
        <v>1011</v>
      </c>
      <c r="B204" t="s">
        <v>152</v>
      </c>
      <c r="C204" t="s">
        <v>92</v>
      </c>
      <c r="D204">
        <v>1</v>
      </c>
      <c r="E204" s="138">
        <v>8100</v>
      </c>
      <c r="F204" s="143">
        <v>1</v>
      </c>
      <c r="G204" s="138">
        <v>8100</v>
      </c>
      <c r="H204" s="141">
        <f t="shared" si="3"/>
        <v>0</v>
      </c>
      <c r="I204" t="s">
        <v>20</v>
      </c>
      <c r="L204">
        <v>1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J204" t="s">
        <v>2436</v>
      </c>
      <c r="AK204">
        <v>1</v>
      </c>
    </row>
    <row r="205" spans="1:37">
      <c r="A205" s="139" t="s">
        <v>2017</v>
      </c>
      <c r="B205" s="139" t="s">
        <v>2566</v>
      </c>
      <c r="C205" s="139" t="s">
        <v>92</v>
      </c>
      <c r="D205" s="139">
        <v>0</v>
      </c>
      <c r="E205" s="140">
        <v>0</v>
      </c>
      <c r="F205" s="142">
        <v>1</v>
      </c>
      <c r="G205" s="140">
        <v>8100</v>
      </c>
      <c r="H205" s="141">
        <f t="shared" si="3"/>
        <v>-8100</v>
      </c>
      <c r="I205" s="139" t="s">
        <v>20</v>
      </c>
      <c r="J205" s="139"/>
      <c r="K205" s="139" t="s">
        <v>20</v>
      </c>
      <c r="L205" s="139">
        <v>0</v>
      </c>
      <c r="M205" s="139">
        <v>1</v>
      </c>
      <c r="N205" s="139">
        <v>0</v>
      </c>
      <c r="O205" s="139">
        <v>0</v>
      </c>
      <c r="P205" s="139">
        <v>0</v>
      </c>
      <c r="Q205" s="139">
        <v>0</v>
      </c>
      <c r="R205" s="139">
        <v>0</v>
      </c>
      <c r="S205" s="139">
        <v>0</v>
      </c>
      <c r="T205" s="139">
        <v>0</v>
      </c>
      <c r="U205" s="139">
        <v>0</v>
      </c>
      <c r="V205" s="139">
        <v>0</v>
      </c>
      <c r="W205" s="139">
        <v>0</v>
      </c>
      <c r="X205" s="139">
        <v>0</v>
      </c>
      <c r="Y205" s="139">
        <v>0</v>
      </c>
      <c r="Z205" s="139">
        <v>0</v>
      </c>
      <c r="AA205" s="139">
        <v>0</v>
      </c>
      <c r="AB205" s="139">
        <v>0</v>
      </c>
      <c r="AC205" s="139">
        <v>0</v>
      </c>
      <c r="AD205" s="139">
        <v>0</v>
      </c>
      <c r="AE205" s="139">
        <v>0</v>
      </c>
      <c r="AJ205" t="s">
        <v>2436</v>
      </c>
      <c r="AK205">
        <v>1</v>
      </c>
    </row>
    <row r="206" spans="1:37">
      <c r="A206" t="s">
        <v>2018</v>
      </c>
      <c r="B206" t="s">
        <v>59</v>
      </c>
      <c r="C206" t="s">
        <v>58</v>
      </c>
      <c r="D206">
        <v>7</v>
      </c>
      <c r="E206" s="138">
        <v>255600</v>
      </c>
      <c r="F206" s="143">
        <v>0</v>
      </c>
      <c r="G206" s="138">
        <v>0</v>
      </c>
      <c r="H206" s="141">
        <f t="shared" si="3"/>
        <v>255600</v>
      </c>
      <c r="J206" t="s">
        <v>2439</v>
      </c>
      <c r="L206">
        <v>1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J206" t="s">
        <v>2598</v>
      </c>
      <c r="AK206">
        <v>4</v>
      </c>
    </row>
    <row r="207" spans="1:37">
      <c r="A207" s="139" t="s">
        <v>1166</v>
      </c>
      <c r="B207" s="139" t="s">
        <v>152</v>
      </c>
      <c r="C207" s="139" t="s">
        <v>92</v>
      </c>
      <c r="D207" s="139">
        <v>1</v>
      </c>
      <c r="E207" s="140">
        <v>8100</v>
      </c>
      <c r="F207" s="142">
        <v>1</v>
      </c>
      <c r="G207" s="140">
        <v>8100</v>
      </c>
      <c r="H207" s="141">
        <f t="shared" si="3"/>
        <v>0</v>
      </c>
      <c r="I207" s="139" t="s">
        <v>20</v>
      </c>
      <c r="J207" s="139"/>
      <c r="K207" s="139"/>
      <c r="L207" s="139">
        <v>1</v>
      </c>
      <c r="M207" s="139">
        <v>1</v>
      </c>
      <c r="N207" s="139">
        <v>0</v>
      </c>
      <c r="O207" s="139">
        <v>0</v>
      </c>
      <c r="P207" s="139">
        <v>0</v>
      </c>
      <c r="Q207" s="139">
        <v>0</v>
      </c>
      <c r="R207" s="139">
        <v>0</v>
      </c>
      <c r="S207" s="139">
        <v>0</v>
      </c>
      <c r="T207" s="139">
        <v>0</v>
      </c>
      <c r="U207" s="139">
        <v>0</v>
      </c>
      <c r="V207" s="139">
        <v>0</v>
      </c>
      <c r="W207" s="139">
        <v>0</v>
      </c>
      <c r="X207" s="139">
        <v>0</v>
      </c>
      <c r="Y207" s="139">
        <v>0</v>
      </c>
      <c r="Z207" s="139">
        <v>0</v>
      </c>
      <c r="AA207" s="139">
        <v>0</v>
      </c>
      <c r="AB207" s="139">
        <v>0</v>
      </c>
      <c r="AC207" s="139">
        <v>0</v>
      </c>
      <c r="AD207" s="139">
        <v>0</v>
      </c>
      <c r="AE207" s="139">
        <v>0</v>
      </c>
      <c r="AJ207" t="s">
        <v>2457</v>
      </c>
      <c r="AK207">
        <v>1</v>
      </c>
    </row>
    <row r="208" spans="1:37">
      <c r="A208" t="s">
        <v>2019</v>
      </c>
      <c r="B208" t="s">
        <v>102</v>
      </c>
      <c r="C208" t="s">
        <v>92</v>
      </c>
      <c r="D208">
        <v>7</v>
      </c>
      <c r="E208" s="138">
        <v>193500</v>
      </c>
      <c r="F208" s="143">
        <v>0</v>
      </c>
      <c r="G208" s="138">
        <v>0</v>
      </c>
      <c r="H208" s="141">
        <f t="shared" si="3"/>
        <v>193500</v>
      </c>
      <c r="J208" t="s">
        <v>2557</v>
      </c>
      <c r="L208">
        <v>1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J208" t="s">
        <v>2599</v>
      </c>
      <c r="AK208">
        <v>3</v>
      </c>
    </row>
    <row r="209" spans="1:37">
      <c r="A209" s="139" t="s">
        <v>2021</v>
      </c>
      <c r="B209" s="139" t="s">
        <v>191</v>
      </c>
      <c r="C209" s="139" t="s">
        <v>92</v>
      </c>
      <c r="D209" s="139">
        <v>4</v>
      </c>
      <c r="E209" s="140">
        <v>78750</v>
      </c>
      <c r="F209" s="142">
        <v>0</v>
      </c>
      <c r="G209" s="140">
        <v>0</v>
      </c>
      <c r="H209" s="141">
        <f t="shared" si="3"/>
        <v>78750</v>
      </c>
      <c r="I209" s="139"/>
      <c r="J209" s="139" t="s">
        <v>2508</v>
      </c>
      <c r="K209" s="139"/>
      <c r="L209" s="139">
        <v>1</v>
      </c>
      <c r="M209" s="139">
        <v>0</v>
      </c>
      <c r="N209" s="139">
        <v>1</v>
      </c>
      <c r="O209" s="139">
        <v>0</v>
      </c>
      <c r="P209" s="139">
        <v>0</v>
      </c>
      <c r="Q209" s="139">
        <v>0</v>
      </c>
      <c r="R209" s="139">
        <v>0</v>
      </c>
      <c r="S209" s="139">
        <v>0</v>
      </c>
      <c r="T209" s="139">
        <v>0</v>
      </c>
      <c r="U209" s="139">
        <v>0</v>
      </c>
      <c r="V209" s="139">
        <v>0</v>
      </c>
      <c r="W209" s="139">
        <v>0</v>
      </c>
      <c r="X209" s="139">
        <v>0</v>
      </c>
      <c r="Y209" s="139">
        <v>0</v>
      </c>
      <c r="Z209" s="139">
        <v>0</v>
      </c>
      <c r="AA209" s="139">
        <v>0</v>
      </c>
      <c r="AB209" s="139">
        <v>1</v>
      </c>
      <c r="AC209" s="139">
        <v>0</v>
      </c>
      <c r="AD209" s="139">
        <v>1</v>
      </c>
      <c r="AE209" s="139">
        <v>0</v>
      </c>
      <c r="AJ209" t="s">
        <v>2532</v>
      </c>
      <c r="AK209">
        <v>1</v>
      </c>
    </row>
  </sheetData>
  <mergeCells count="1">
    <mergeCell ref="A1:A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52215-934B-4B62-AEDD-2070E4596F35}">
  <dimension ref="A1:I92"/>
  <sheetViews>
    <sheetView workbookViewId="0">
      <pane ySplit="3" topLeftCell="A4" activePane="bottomLeft" state="frozen"/>
      <selection pane="bottomLeft" activeCell="B93" sqref="B93"/>
    </sheetView>
  </sheetViews>
  <sheetFormatPr defaultRowHeight="15"/>
  <cols>
    <col min="1" max="2" width="41.85546875" customWidth="1"/>
    <col min="3" max="3" width="38.140625" customWidth="1"/>
    <col min="4" max="4" width="7" bestFit="1" customWidth="1"/>
    <col min="5" max="5" width="38.140625" customWidth="1"/>
    <col min="6" max="6" width="7" bestFit="1" customWidth="1"/>
    <col min="7" max="7" width="38.140625" customWidth="1"/>
    <col min="8" max="8" width="7" bestFit="1" customWidth="1"/>
    <col min="9" max="9" width="5.28515625" bestFit="1" customWidth="1"/>
  </cols>
  <sheetData>
    <row r="1" spans="1:9">
      <c r="A1" s="205" t="s">
        <v>2600</v>
      </c>
      <c r="B1" s="205"/>
      <c r="C1" s="205"/>
      <c r="D1" s="205"/>
      <c r="E1" s="205"/>
      <c r="F1" s="205"/>
      <c r="G1" s="205"/>
      <c r="H1" s="205"/>
      <c r="I1" s="205"/>
    </row>
    <row r="2" spans="1:9">
      <c r="A2" s="206" t="s">
        <v>2601</v>
      </c>
      <c r="B2" s="206"/>
      <c r="C2" s="206"/>
      <c r="D2" s="206"/>
      <c r="E2" s="206"/>
      <c r="F2" s="206"/>
      <c r="G2" s="206"/>
      <c r="H2" s="206"/>
      <c r="I2" s="206"/>
    </row>
    <row r="3" spans="1:9">
      <c r="A3" s="144" t="s">
        <v>2602</v>
      </c>
      <c r="B3" s="144" t="s">
        <v>2603</v>
      </c>
      <c r="C3" s="144" t="s">
        <v>2604</v>
      </c>
      <c r="D3" s="144" t="s">
        <v>2605</v>
      </c>
      <c r="E3" s="144" t="s">
        <v>2606</v>
      </c>
      <c r="F3" s="144" t="s">
        <v>2605</v>
      </c>
      <c r="G3" s="144" t="s">
        <v>2607</v>
      </c>
      <c r="H3" s="144" t="s">
        <v>2605</v>
      </c>
      <c r="I3" s="144" t="s">
        <v>1642</v>
      </c>
    </row>
    <row r="4" spans="1:9">
      <c r="A4" s="149" t="s">
        <v>1946</v>
      </c>
      <c r="B4" s="151" t="str">
        <f>C4</f>
        <v>Aggreko Ltd</v>
      </c>
      <c r="C4" s="149" t="s">
        <v>143</v>
      </c>
      <c r="D4" s="150">
        <v>0.33</v>
      </c>
      <c r="E4" s="149" t="s">
        <v>280</v>
      </c>
      <c r="F4" s="150">
        <v>0.33</v>
      </c>
      <c r="G4" s="149" t="s">
        <v>360</v>
      </c>
      <c r="H4" s="150">
        <v>0.33</v>
      </c>
      <c r="I4" s="149"/>
    </row>
    <row r="5" spans="1:9">
      <c r="A5" s="147" t="s">
        <v>2015</v>
      </c>
      <c r="B5" s="151" t="s">
        <v>189</v>
      </c>
      <c r="C5" s="145" t="s">
        <v>189</v>
      </c>
      <c r="D5" s="146">
        <v>1</v>
      </c>
      <c r="E5" s="145"/>
      <c r="F5" s="145"/>
      <c r="G5" s="145"/>
      <c r="H5" s="145"/>
      <c r="I5" s="145"/>
    </row>
    <row r="6" spans="1:9">
      <c r="A6" s="149" t="s">
        <v>1985</v>
      </c>
      <c r="B6" s="151" t="str">
        <f>G6</f>
        <v>Iona Capital Ltd</v>
      </c>
      <c r="C6" s="149" t="s">
        <v>192</v>
      </c>
      <c r="D6" s="150">
        <v>0.75</v>
      </c>
      <c r="E6" s="149" t="s">
        <v>127</v>
      </c>
      <c r="F6" s="150">
        <v>0.25</v>
      </c>
      <c r="G6" s="149" t="s">
        <v>386</v>
      </c>
      <c r="H6" s="150">
        <v>0.25</v>
      </c>
      <c r="I6" s="149"/>
    </row>
    <row r="7" spans="1:9">
      <c r="A7" s="147" t="s">
        <v>2020</v>
      </c>
      <c r="B7" s="151" t="s">
        <v>1404</v>
      </c>
      <c r="C7" s="145" t="s">
        <v>1404</v>
      </c>
      <c r="D7" s="146">
        <v>1</v>
      </c>
      <c r="E7" s="145"/>
      <c r="F7" s="145"/>
      <c r="G7" s="145"/>
      <c r="H7" s="145"/>
      <c r="I7" s="145"/>
    </row>
    <row r="8" spans="1:9">
      <c r="A8" s="149" t="s">
        <v>1984</v>
      </c>
      <c r="B8" s="151" t="str">
        <f>G8</f>
        <v>Bluefield Partners LLP</v>
      </c>
      <c r="C8" s="149" t="s">
        <v>106</v>
      </c>
      <c r="D8" s="150">
        <v>0.5</v>
      </c>
      <c r="E8" s="149" t="s">
        <v>110</v>
      </c>
      <c r="F8" s="150">
        <v>0.5</v>
      </c>
      <c r="G8" s="149" t="s">
        <v>121</v>
      </c>
      <c r="H8" s="150">
        <v>0.5</v>
      </c>
      <c r="I8" s="149"/>
    </row>
    <row r="9" spans="1:9">
      <c r="A9" s="145" t="s">
        <v>1967</v>
      </c>
      <c r="B9" s="151" t="s">
        <v>2608</v>
      </c>
      <c r="C9" s="145" t="s">
        <v>280</v>
      </c>
      <c r="D9" s="146">
        <v>0.33</v>
      </c>
      <c r="E9" s="145" t="s">
        <v>360</v>
      </c>
      <c r="F9" s="146">
        <v>0.33</v>
      </c>
      <c r="G9" s="145" t="s">
        <v>399</v>
      </c>
      <c r="H9" s="146">
        <v>0.33</v>
      </c>
      <c r="I9" s="145"/>
    </row>
    <row r="10" spans="1:9">
      <c r="A10" s="147" t="s">
        <v>2008</v>
      </c>
      <c r="B10" s="151" t="s">
        <v>1182</v>
      </c>
      <c r="C10" s="145" t="s">
        <v>1182</v>
      </c>
      <c r="D10" s="146">
        <v>1</v>
      </c>
      <c r="E10" s="145" t="s">
        <v>1198</v>
      </c>
      <c r="F10" s="146">
        <v>0.5</v>
      </c>
      <c r="G10" s="145" t="s">
        <v>1082</v>
      </c>
      <c r="H10" s="146">
        <v>0.33</v>
      </c>
      <c r="I10" s="145"/>
    </row>
    <row r="11" spans="1:9">
      <c r="A11" s="148" t="s">
        <v>1987</v>
      </c>
      <c r="B11" s="151"/>
      <c r="C11" s="145"/>
      <c r="D11" s="145"/>
      <c r="E11" s="145"/>
      <c r="F11" s="145"/>
      <c r="G11" s="145"/>
      <c r="H11" s="145"/>
      <c r="I11" s="145"/>
    </row>
    <row r="12" spans="1:9">
      <c r="A12" s="147" t="s">
        <v>1976</v>
      </c>
      <c r="B12" s="151" t="s">
        <v>94</v>
      </c>
      <c r="C12" s="145" t="s">
        <v>94</v>
      </c>
      <c r="D12" s="146">
        <v>1</v>
      </c>
      <c r="E12" s="145" t="s">
        <v>220</v>
      </c>
      <c r="F12" s="146">
        <v>1</v>
      </c>
      <c r="G12" s="145"/>
      <c r="H12" s="145"/>
      <c r="I12" s="145"/>
    </row>
    <row r="13" spans="1:9">
      <c r="A13" s="145" t="s">
        <v>1957</v>
      </c>
      <c r="B13" s="151" t="str">
        <f>C13</f>
        <v>Conrad Energy Limited</v>
      </c>
      <c r="C13" s="145" t="s">
        <v>65</v>
      </c>
      <c r="D13" s="146">
        <v>0.5</v>
      </c>
      <c r="E13" s="145" t="s">
        <v>98</v>
      </c>
      <c r="F13" s="146">
        <v>0.5</v>
      </c>
      <c r="G13" s="145" t="s">
        <v>113</v>
      </c>
      <c r="H13" s="146">
        <v>0.5</v>
      </c>
      <c r="I13" s="145"/>
    </row>
    <row r="14" spans="1:9">
      <c r="A14" s="149" t="s">
        <v>1955</v>
      </c>
      <c r="B14" s="151" t="str">
        <f>C14</f>
        <v>Constellation Generation Limited</v>
      </c>
      <c r="C14" s="149" t="s">
        <v>342</v>
      </c>
      <c r="D14" s="150">
        <v>0.5</v>
      </c>
      <c r="E14" s="149"/>
      <c r="F14" s="149"/>
      <c r="G14" s="149"/>
      <c r="H14" s="149"/>
      <c r="I14" s="149"/>
    </row>
    <row r="15" spans="1:9">
      <c r="A15" s="145" t="s">
        <v>1947</v>
      </c>
      <c r="B15" s="151"/>
      <c r="C15" s="145" t="s">
        <v>2609</v>
      </c>
      <c r="D15" s="146">
        <v>0.5</v>
      </c>
      <c r="E15" s="145" t="s">
        <v>1365</v>
      </c>
      <c r="F15" s="146">
        <v>0.5</v>
      </c>
      <c r="G15" s="145"/>
      <c r="H15" s="145"/>
      <c r="I15" s="145"/>
    </row>
    <row r="16" spans="1:9">
      <c r="A16" s="149" t="s">
        <v>1966</v>
      </c>
      <c r="B16" s="151" t="str">
        <f>C16</f>
        <v>Copenhagen Infrastructure Partners</v>
      </c>
      <c r="C16" s="149" t="s">
        <v>150</v>
      </c>
      <c r="D16" s="150">
        <v>0.5</v>
      </c>
      <c r="E16" s="149" t="s">
        <v>872</v>
      </c>
      <c r="F16" s="150">
        <v>0.4</v>
      </c>
      <c r="G16" s="149" t="s">
        <v>127</v>
      </c>
      <c r="H16" s="150">
        <v>0.25</v>
      </c>
      <c r="I16" s="149"/>
    </row>
    <row r="17" spans="1:9">
      <c r="A17" s="147" t="s">
        <v>1972</v>
      </c>
      <c r="B17" s="151" t="s">
        <v>67</v>
      </c>
      <c r="C17" s="145" t="s">
        <v>67</v>
      </c>
      <c r="D17" s="146">
        <v>1</v>
      </c>
      <c r="E17" s="145" t="s">
        <v>82</v>
      </c>
      <c r="F17" s="146">
        <v>0.5</v>
      </c>
      <c r="G17" s="145" t="s">
        <v>119</v>
      </c>
      <c r="H17" s="146">
        <v>0.5</v>
      </c>
      <c r="I17" s="145"/>
    </row>
    <row r="18" spans="1:9">
      <c r="A18" s="147" t="s">
        <v>2009</v>
      </c>
      <c r="B18" s="151" t="s">
        <v>95</v>
      </c>
      <c r="C18" s="145" t="s">
        <v>95</v>
      </c>
      <c r="D18" s="146">
        <v>1</v>
      </c>
      <c r="E18" s="145" t="s">
        <v>87</v>
      </c>
      <c r="F18" s="146">
        <v>0.5</v>
      </c>
      <c r="G18" s="145" t="s">
        <v>90</v>
      </c>
      <c r="H18" s="146">
        <v>0.5</v>
      </c>
      <c r="I18" s="145"/>
    </row>
    <row r="19" spans="1:9">
      <c r="A19" s="145" t="s">
        <v>2012</v>
      </c>
      <c r="B19" s="151" t="str">
        <f>C19</f>
        <v>Department for Energy Security &amp; Net Zero</v>
      </c>
      <c r="C19" s="145" t="s">
        <v>151</v>
      </c>
      <c r="D19" s="146">
        <v>0.75</v>
      </c>
      <c r="E19" s="145" t="s">
        <v>528</v>
      </c>
      <c r="F19" s="146">
        <v>0.33</v>
      </c>
      <c r="G19" s="145" t="s">
        <v>1106</v>
      </c>
      <c r="H19" s="146">
        <v>0.33</v>
      </c>
      <c r="I19" s="145"/>
    </row>
    <row r="20" spans="1:9">
      <c r="A20" s="149" t="s">
        <v>1948</v>
      </c>
      <c r="B20" s="151"/>
      <c r="C20" s="149" t="s">
        <v>151</v>
      </c>
      <c r="D20" s="150">
        <v>0.25</v>
      </c>
      <c r="E20" s="149"/>
      <c r="F20" s="149"/>
      <c r="G20" s="149"/>
      <c r="H20" s="149"/>
      <c r="I20" s="149"/>
    </row>
    <row r="21" spans="1:9">
      <c r="A21" s="148" t="s">
        <v>2006</v>
      </c>
      <c r="B21" s="151" t="s">
        <v>2610</v>
      </c>
      <c r="C21" s="145"/>
      <c r="D21" s="145"/>
      <c r="E21" s="145"/>
      <c r="F21" s="145"/>
      <c r="G21" s="145"/>
      <c r="H21" s="145"/>
      <c r="I21" s="145"/>
    </row>
    <row r="22" spans="1:9">
      <c r="A22" s="149" t="s">
        <v>2007</v>
      </c>
      <c r="B22" s="151" t="str">
        <f>E22</f>
        <v>EDF Energy Limited</v>
      </c>
      <c r="C22" s="149" t="s">
        <v>71</v>
      </c>
      <c r="D22" s="150">
        <v>0.5</v>
      </c>
      <c r="E22" s="149" t="s">
        <v>72</v>
      </c>
      <c r="F22" s="150">
        <v>0.5</v>
      </c>
      <c r="G22" s="149" t="s">
        <v>98</v>
      </c>
      <c r="H22" s="150">
        <v>0.5</v>
      </c>
      <c r="I22" s="149"/>
    </row>
    <row r="23" spans="1:9">
      <c r="A23" s="145" t="s">
        <v>1954</v>
      </c>
      <c r="B23" s="151" t="str">
        <f>E23</f>
        <v>Egg Power</v>
      </c>
      <c r="C23" s="145" t="s">
        <v>149</v>
      </c>
      <c r="D23" s="146">
        <v>0.5</v>
      </c>
      <c r="E23" s="145" t="s">
        <v>350</v>
      </c>
      <c r="F23" s="146">
        <v>0.5</v>
      </c>
      <c r="G23" s="145" t="s">
        <v>392</v>
      </c>
      <c r="H23" s="146">
        <v>0.5</v>
      </c>
      <c r="I23" s="145"/>
    </row>
    <row r="24" spans="1:9">
      <c r="A24" s="149" t="s">
        <v>2021</v>
      </c>
      <c r="B24" s="151" t="str">
        <f>G24</f>
        <v>ESB Energy</v>
      </c>
      <c r="C24" s="149" t="s">
        <v>361</v>
      </c>
      <c r="D24" s="150">
        <v>0.5</v>
      </c>
      <c r="E24" s="149" t="s">
        <v>967</v>
      </c>
      <c r="F24" s="150">
        <v>0.5</v>
      </c>
      <c r="G24" s="149" t="s">
        <v>2611</v>
      </c>
      <c r="H24" s="150">
        <v>0.5</v>
      </c>
      <c r="I24" s="149"/>
    </row>
    <row r="25" spans="1:9">
      <c r="A25" s="148" t="s">
        <v>2011</v>
      </c>
      <c r="B25" s="151"/>
      <c r="C25" s="145"/>
      <c r="D25" s="145"/>
      <c r="E25" s="145"/>
      <c r="F25" s="145"/>
      <c r="G25" s="145"/>
      <c r="H25" s="145"/>
      <c r="I25" s="145"/>
    </row>
    <row r="26" spans="1:9">
      <c r="A26" s="147" t="s">
        <v>1986</v>
      </c>
      <c r="B26" s="151" t="s">
        <v>1219</v>
      </c>
      <c r="C26" s="145" t="s">
        <v>1219</v>
      </c>
      <c r="D26" s="146">
        <v>1</v>
      </c>
      <c r="E26" s="145"/>
      <c r="F26" s="145"/>
      <c r="G26" s="145"/>
      <c r="H26" s="145"/>
      <c r="I26" s="145"/>
    </row>
    <row r="27" spans="1:9">
      <c r="A27" s="145" t="s">
        <v>1945</v>
      </c>
      <c r="B27" s="151"/>
      <c r="C27" s="145" t="s">
        <v>1132</v>
      </c>
      <c r="D27" s="146">
        <v>0.67</v>
      </c>
      <c r="E27" s="145" t="s">
        <v>96</v>
      </c>
      <c r="F27" s="146">
        <v>0.33</v>
      </c>
      <c r="G27" s="145" t="s">
        <v>247</v>
      </c>
      <c r="H27" s="146">
        <v>0.33</v>
      </c>
      <c r="I27" s="145"/>
    </row>
    <row r="28" spans="1:9">
      <c r="A28" s="149" t="s">
        <v>2019</v>
      </c>
      <c r="B28" s="151" t="str">
        <f>C28</f>
        <v>Eneco UK Limited</v>
      </c>
      <c r="C28" s="149" t="s">
        <v>156</v>
      </c>
      <c r="D28" s="150">
        <v>0.5</v>
      </c>
      <c r="E28" s="149" t="s">
        <v>1349</v>
      </c>
      <c r="F28" s="150">
        <v>0.33</v>
      </c>
      <c r="G28" s="149"/>
      <c r="H28" s="149"/>
      <c r="I28" s="149"/>
    </row>
    <row r="29" spans="1:9">
      <c r="A29" s="147" t="s">
        <v>1993</v>
      </c>
      <c r="B29" s="151" t="s">
        <v>126</v>
      </c>
      <c r="C29" s="145" t="s">
        <v>126</v>
      </c>
      <c r="D29" s="146">
        <v>1</v>
      </c>
      <c r="E29" s="145"/>
      <c r="F29" s="145"/>
      <c r="G29" s="145"/>
      <c r="H29" s="145"/>
      <c r="I29" s="145"/>
    </row>
    <row r="30" spans="1:9">
      <c r="A30" s="147" t="s">
        <v>2002</v>
      </c>
      <c r="B30" s="151" t="s">
        <v>1225</v>
      </c>
      <c r="C30" s="145" t="s">
        <v>1225</v>
      </c>
      <c r="D30" s="146">
        <v>1</v>
      </c>
      <c r="E30" s="145" t="s">
        <v>111</v>
      </c>
      <c r="F30" s="146">
        <v>0.5</v>
      </c>
      <c r="G30" s="145" t="s">
        <v>426</v>
      </c>
      <c r="H30" s="146">
        <v>0.5</v>
      </c>
      <c r="I30" s="145"/>
    </row>
    <row r="31" spans="1:9">
      <c r="A31" s="147" t="s">
        <v>2013</v>
      </c>
      <c r="B31" s="151" t="s">
        <v>1367</v>
      </c>
      <c r="C31" s="145" t="s">
        <v>1367</v>
      </c>
      <c r="D31" s="146">
        <v>1</v>
      </c>
      <c r="E31" s="145"/>
      <c r="F31" s="145"/>
      <c r="G31" s="145"/>
      <c r="H31" s="145"/>
      <c r="I31" s="145"/>
    </row>
    <row r="32" spans="1:9">
      <c r="A32" s="147" t="s">
        <v>1983</v>
      </c>
      <c r="B32" s="151" t="s">
        <v>355</v>
      </c>
      <c r="C32" s="145" t="s">
        <v>355</v>
      </c>
      <c r="D32" s="146">
        <v>1</v>
      </c>
      <c r="E32" s="145"/>
      <c r="F32" s="145"/>
      <c r="G32" s="145"/>
      <c r="H32" s="145"/>
      <c r="I32" s="145"/>
    </row>
    <row r="33" spans="1:9">
      <c r="A33" s="147" t="s">
        <v>1988</v>
      </c>
      <c r="B33" s="151" t="s">
        <v>233</v>
      </c>
      <c r="C33" s="145" t="s">
        <v>233</v>
      </c>
      <c r="D33" s="146">
        <v>1</v>
      </c>
      <c r="E33" s="145"/>
      <c r="F33" s="145"/>
      <c r="G33" s="145"/>
      <c r="H33" s="145"/>
      <c r="I33" s="145"/>
    </row>
    <row r="34" spans="1:9">
      <c r="A34" s="147" t="s">
        <v>2003</v>
      </c>
      <c r="B34" s="151" t="s">
        <v>974</v>
      </c>
      <c r="C34" s="145" t="s">
        <v>974</v>
      </c>
      <c r="D34" s="146">
        <v>1</v>
      </c>
      <c r="E34" s="145"/>
      <c r="F34" s="145"/>
      <c r="G34" s="145"/>
      <c r="H34" s="145"/>
      <c r="I34" s="145"/>
    </row>
    <row r="35" spans="1:9">
      <c r="A35" s="145" t="s">
        <v>1978</v>
      </c>
      <c r="B35" s="151" t="str">
        <f>E35</f>
        <v>BPG Energy (Evolve Energy)</v>
      </c>
      <c r="C35" s="145" t="s">
        <v>86</v>
      </c>
      <c r="D35" s="146">
        <v>0.5</v>
      </c>
      <c r="E35" s="145" t="s">
        <v>206</v>
      </c>
      <c r="F35" s="146">
        <v>0.5</v>
      </c>
      <c r="G35" s="145" t="s">
        <v>1032</v>
      </c>
      <c r="H35" s="146">
        <v>0.5</v>
      </c>
      <c r="I35" s="145"/>
    </row>
    <row r="36" spans="1:9">
      <c r="A36" s="148" t="s">
        <v>1953</v>
      </c>
      <c r="B36" s="151"/>
      <c r="C36" s="145"/>
      <c r="D36" s="145"/>
      <c r="E36" s="145"/>
      <c r="F36" s="145"/>
      <c r="G36" s="145"/>
      <c r="H36" s="145"/>
      <c r="I36" s="145"/>
    </row>
    <row r="37" spans="1:9">
      <c r="A37" s="148" t="s">
        <v>1991</v>
      </c>
      <c r="B37" s="151"/>
      <c r="C37" s="145"/>
      <c r="D37" s="145"/>
      <c r="E37" s="145"/>
      <c r="F37" s="145"/>
      <c r="G37" s="145"/>
      <c r="H37" s="145"/>
      <c r="I37" s="145"/>
    </row>
    <row r="38" spans="1:9">
      <c r="A38" s="149" t="s">
        <v>1958</v>
      </c>
      <c r="B38" s="151"/>
      <c r="C38" s="149" t="s">
        <v>56</v>
      </c>
      <c r="D38" s="150">
        <v>0.33</v>
      </c>
      <c r="E38" s="149" t="s">
        <v>87</v>
      </c>
      <c r="F38" s="150">
        <v>0.33</v>
      </c>
      <c r="G38" s="149" t="s">
        <v>90</v>
      </c>
      <c r="H38" s="150">
        <v>0.33</v>
      </c>
      <c r="I38" s="149"/>
    </row>
    <row r="39" spans="1:9">
      <c r="A39" s="145" t="s">
        <v>1938</v>
      </c>
      <c r="B39" s="151" t="str">
        <f>C39</f>
        <v>Forsa Energy Gas Holdings Ltd</v>
      </c>
      <c r="C39" s="145" t="s">
        <v>689</v>
      </c>
      <c r="D39" s="146">
        <v>0.67</v>
      </c>
      <c r="E39" s="145" t="s">
        <v>149</v>
      </c>
      <c r="F39" s="146">
        <v>0.5</v>
      </c>
      <c r="G39" s="145" t="s">
        <v>392</v>
      </c>
      <c r="H39" s="146">
        <v>0.5</v>
      </c>
      <c r="I39" s="145"/>
    </row>
    <row r="40" spans="1:9">
      <c r="A40" s="147" t="s">
        <v>1943</v>
      </c>
      <c r="B40" s="151" t="s">
        <v>1249</v>
      </c>
      <c r="C40" s="145" t="s">
        <v>1249</v>
      </c>
      <c r="D40" s="146">
        <v>1</v>
      </c>
      <c r="E40" s="145" t="s">
        <v>690</v>
      </c>
      <c r="F40" s="146">
        <v>0.5</v>
      </c>
      <c r="G40" s="145" t="s">
        <v>1380</v>
      </c>
      <c r="H40" s="146">
        <v>0.5</v>
      </c>
      <c r="I40" s="145"/>
    </row>
    <row r="41" spans="1:9">
      <c r="A41" s="148" t="s">
        <v>1939</v>
      </c>
      <c r="B41" s="151"/>
      <c r="C41" s="145"/>
      <c r="D41" s="145"/>
      <c r="E41" s="145"/>
      <c r="F41" s="145"/>
      <c r="G41" s="145"/>
      <c r="H41" s="145"/>
      <c r="I41" s="145"/>
    </row>
    <row r="42" spans="1:9">
      <c r="A42" s="149" t="s">
        <v>1982</v>
      </c>
      <c r="B42" s="151"/>
      <c r="C42" s="149" t="s">
        <v>1350</v>
      </c>
      <c r="D42" s="150">
        <v>0.5</v>
      </c>
      <c r="E42" s="149" t="s">
        <v>446</v>
      </c>
      <c r="F42" s="150">
        <v>0.25</v>
      </c>
      <c r="G42" s="149" t="s">
        <v>608</v>
      </c>
      <c r="H42" s="150">
        <v>0.25</v>
      </c>
      <c r="I42" s="149"/>
    </row>
    <row r="43" spans="1:9">
      <c r="A43" s="147" t="s">
        <v>1996</v>
      </c>
      <c r="B43" s="151" t="s">
        <v>538</v>
      </c>
      <c r="C43" s="145" t="s">
        <v>538</v>
      </c>
      <c r="D43" s="146">
        <v>1</v>
      </c>
      <c r="E43" s="145" t="s">
        <v>161</v>
      </c>
      <c r="F43" s="146">
        <v>0.5</v>
      </c>
      <c r="G43" s="145" t="s">
        <v>243</v>
      </c>
      <c r="H43" s="146">
        <v>0.5</v>
      </c>
      <c r="I43" s="145"/>
    </row>
    <row r="44" spans="1:9">
      <c r="A44" s="149" t="s">
        <v>1971</v>
      </c>
      <c r="B44" s="151"/>
      <c r="C44" s="149" t="s">
        <v>91</v>
      </c>
      <c r="D44" s="150">
        <v>0.33</v>
      </c>
      <c r="E44" s="149" t="s">
        <v>161</v>
      </c>
      <c r="F44" s="150">
        <v>0.33</v>
      </c>
      <c r="G44" s="149" t="s">
        <v>243</v>
      </c>
      <c r="H44" s="150">
        <v>0.33</v>
      </c>
      <c r="I44" s="149"/>
    </row>
    <row r="45" spans="1:9">
      <c r="A45" s="147" t="s">
        <v>1964</v>
      </c>
      <c r="B45" s="151" t="s">
        <v>372</v>
      </c>
      <c r="C45" s="145" t="s">
        <v>372</v>
      </c>
      <c r="D45" s="146">
        <v>1</v>
      </c>
      <c r="E45" s="145"/>
      <c r="F45" s="145"/>
      <c r="G45" s="145"/>
      <c r="H45" s="145"/>
      <c r="I45" s="145"/>
    </row>
    <row r="46" spans="1:9">
      <c r="A46" s="149" t="s">
        <v>1989</v>
      </c>
      <c r="B46" s="151" t="str">
        <f>C46</f>
        <v>Hartree Partners Power and Gas Company (UK) Limited</v>
      </c>
      <c r="C46" s="149" t="s">
        <v>127</v>
      </c>
      <c r="D46" s="150">
        <v>0.75</v>
      </c>
      <c r="E46" s="149" t="s">
        <v>56</v>
      </c>
      <c r="F46" s="150">
        <v>0.33</v>
      </c>
      <c r="G46" s="149" t="s">
        <v>87</v>
      </c>
      <c r="H46" s="150">
        <v>0.33</v>
      </c>
      <c r="I46" s="149"/>
    </row>
    <row r="47" spans="1:9">
      <c r="A47" s="147" t="s">
        <v>1990</v>
      </c>
      <c r="B47" s="151" t="s">
        <v>558</v>
      </c>
      <c r="C47" s="145" t="s">
        <v>558</v>
      </c>
      <c r="D47" s="146">
        <v>1</v>
      </c>
      <c r="E47" s="145" t="s">
        <v>161</v>
      </c>
      <c r="F47" s="146">
        <v>0.5</v>
      </c>
      <c r="G47" s="145" t="s">
        <v>243</v>
      </c>
      <c r="H47" s="146">
        <v>0.5</v>
      </c>
      <c r="I47" s="145"/>
    </row>
    <row r="48" spans="1:9">
      <c r="A48" s="147" t="s">
        <v>1956</v>
      </c>
      <c r="B48" s="151" t="s">
        <v>392</v>
      </c>
      <c r="C48" s="145" t="s">
        <v>392</v>
      </c>
      <c r="D48" s="146">
        <v>1</v>
      </c>
      <c r="E48" s="145" t="s">
        <v>149</v>
      </c>
      <c r="F48" s="146">
        <v>0.5</v>
      </c>
      <c r="G48" s="145" t="s">
        <v>789</v>
      </c>
      <c r="H48" s="146">
        <v>0.5</v>
      </c>
      <c r="I48" s="145"/>
    </row>
    <row r="49" spans="1:9">
      <c r="A49" s="147" t="s">
        <v>1977</v>
      </c>
      <c r="B49" s="151" t="s">
        <v>262</v>
      </c>
      <c r="C49" s="145" t="s">
        <v>262</v>
      </c>
      <c r="D49" s="146">
        <v>1</v>
      </c>
      <c r="E49" s="145"/>
      <c r="F49" s="145"/>
      <c r="G49" s="145"/>
      <c r="H49" s="145"/>
      <c r="I49" s="145"/>
    </row>
    <row r="50" spans="1:9">
      <c r="A50" s="148" t="s">
        <v>2005</v>
      </c>
      <c r="B50" s="151"/>
      <c r="C50" s="145"/>
      <c r="D50" s="145"/>
      <c r="E50" s="145"/>
      <c r="F50" s="145"/>
      <c r="G50" s="145"/>
      <c r="H50" s="145"/>
      <c r="I50" s="145"/>
    </row>
    <row r="51" spans="1:9">
      <c r="A51" s="147" t="s">
        <v>1992</v>
      </c>
      <c r="B51" s="151" t="s">
        <v>1035</v>
      </c>
      <c r="C51" s="145" t="s">
        <v>1035</v>
      </c>
      <c r="D51" s="146">
        <v>1</v>
      </c>
      <c r="E51" s="145"/>
      <c r="F51" s="145"/>
      <c r="G51" s="145"/>
      <c r="H51" s="145"/>
      <c r="I51" s="145"/>
    </row>
    <row r="52" spans="1:9">
      <c r="A52" s="149" t="s">
        <v>1933</v>
      </c>
      <c r="B52" s="151" t="s">
        <v>269</v>
      </c>
      <c r="C52" s="149" t="s">
        <v>334</v>
      </c>
      <c r="D52" s="150">
        <v>0.4</v>
      </c>
      <c r="E52" s="149" t="s">
        <v>374</v>
      </c>
      <c r="F52" s="150">
        <v>0.4</v>
      </c>
      <c r="G52" s="149" t="s">
        <v>597</v>
      </c>
      <c r="H52" s="150">
        <v>0.4</v>
      </c>
      <c r="I52" s="149"/>
    </row>
    <row r="53" spans="1:9">
      <c r="A53" s="145" t="s">
        <v>2001</v>
      </c>
      <c r="B53" s="151" t="s">
        <v>2612</v>
      </c>
      <c r="C53" s="145" t="s">
        <v>173</v>
      </c>
      <c r="D53" s="146">
        <v>0.33</v>
      </c>
      <c r="E53" s="145" t="s">
        <v>327</v>
      </c>
      <c r="F53" s="146">
        <v>0.33</v>
      </c>
      <c r="G53" s="145" t="s">
        <v>371</v>
      </c>
      <c r="H53" s="146">
        <v>0.33</v>
      </c>
      <c r="I53" s="145"/>
    </row>
    <row r="54" spans="1:9">
      <c r="A54" s="149" t="s">
        <v>1965</v>
      </c>
      <c r="B54" s="151" t="str">
        <f>C54</f>
        <v>National Grid Electricity Distribution plc</v>
      </c>
      <c r="C54" s="149" t="s">
        <v>744</v>
      </c>
      <c r="D54" s="150">
        <v>0.67</v>
      </c>
      <c r="E54" s="149" t="s">
        <v>745</v>
      </c>
      <c r="F54" s="150">
        <v>0.5</v>
      </c>
      <c r="G54" s="149" t="s">
        <v>403</v>
      </c>
      <c r="H54" s="150">
        <v>0.33</v>
      </c>
      <c r="I54" s="149"/>
    </row>
    <row r="55" spans="1:9">
      <c r="A55" s="147" t="s">
        <v>1970</v>
      </c>
      <c r="B55" s="151" t="s">
        <v>1031</v>
      </c>
      <c r="C55" s="145" t="s">
        <v>1031</v>
      </c>
      <c r="D55" s="146">
        <v>1</v>
      </c>
      <c r="E55" s="145" t="s">
        <v>403</v>
      </c>
      <c r="F55" s="146">
        <v>0.67</v>
      </c>
      <c r="G55" s="145" t="s">
        <v>744</v>
      </c>
      <c r="H55" s="146">
        <v>0.5</v>
      </c>
      <c r="I55" s="145"/>
    </row>
    <row r="56" spans="1:9">
      <c r="A56" s="147" t="s">
        <v>1936</v>
      </c>
      <c r="B56" s="151" t="s">
        <v>872</v>
      </c>
      <c r="C56" s="145" t="s">
        <v>872</v>
      </c>
      <c r="D56" s="146">
        <v>1</v>
      </c>
      <c r="E56" s="145" t="s">
        <v>132</v>
      </c>
      <c r="F56" s="146">
        <v>0.2</v>
      </c>
      <c r="G56" s="145" t="s">
        <v>150</v>
      </c>
      <c r="H56" s="146">
        <v>0.2</v>
      </c>
      <c r="I56" s="145"/>
    </row>
    <row r="57" spans="1:9">
      <c r="A57" s="148" t="s">
        <v>1968</v>
      </c>
      <c r="B57" s="151"/>
      <c r="C57" s="145"/>
      <c r="D57" s="145"/>
      <c r="E57" s="145"/>
      <c r="F57" s="145"/>
      <c r="G57" s="145"/>
      <c r="H57" s="145"/>
      <c r="I57" s="145"/>
    </row>
    <row r="58" spans="1:9">
      <c r="A58" s="148" t="s">
        <v>1974</v>
      </c>
      <c r="B58" s="151"/>
      <c r="C58" s="145"/>
      <c r="D58" s="145"/>
      <c r="E58" s="145"/>
      <c r="F58" s="145"/>
      <c r="G58" s="145"/>
      <c r="H58" s="145"/>
      <c r="I58" s="145"/>
    </row>
    <row r="59" spans="1:9">
      <c r="A59" s="148" t="s">
        <v>1935</v>
      </c>
      <c r="B59" s="151" t="s">
        <v>2613</v>
      </c>
      <c r="C59" s="145"/>
      <c r="D59" s="145"/>
      <c r="E59" s="145"/>
      <c r="F59" s="145"/>
      <c r="G59" s="145"/>
      <c r="H59" s="145"/>
      <c r="I59" s="145"/>
    </row>
    <row r="60" spans="1:9">
      <c r="A60" s="147" t="s">
        <v>1995</v>
      </c>
      <c r="B60" s="151" t="s">
        <v>768</v>
      </c>
      <c r="C60" s="145" t="s">
        <v>768</v>
      </c>
      <c r="D60" s="146">
        <v>1</v>
      </c>
      <c r="E60" s="145"/>
      <c r="F60" s="145"/>
      <c r="G60" s="145"/>
      <c r="H60" s="145"/>
      <c r="I60" s="145"/>
    </row>
    <row r="61" spans="1:9">
      <c r="A61" s="147" t="s">
        <v>2018</v>
      </c>
      <c r="B61" s="151" t="s">
        <v>81</v>
      </c>
      <c r="C61" s="145" t="s">
        <v>81</v>
      </c>
      <c r="D61" s="146">
        <v>1</v>
      </c>
      <c r="E61" s="145"/>
      <c r="F61" s="145"/>
      <c r="G61" s="145"/>
      <c r="H61" s="145"/>
      <c r="I61" s="145"/>
    </row>
    <row r="62" spans="1:9">
      <c r="A62" s="148" t="s">
        <v>2014</v>
      </c>
      <c r="B62" s="151"/>
      <c r="C62" s="145"/>
      <c r="D62" s="145"/>
      <c r="E62" s="145"/>
      <c r="F62" s="145"/>
      <c r="G62" s="145"/>
      <c r="H62" s="145"/>
      <c r="I62" s="145"/>
    </row>
    <row r="63" spans="1:9">
      <c r="A63" s="145" t="s">
        <v>1944</v>
      </c>
      <c r="B63" s="151" t="str">
        <f>E63</f>
        <v>SMS Energy (BESS)</v>
      </c>
      <c r="C63" s="145" t="s">
        <v>285</v>
      </c>
      <c r="D63" s="146">
        <v>0.5</v>
      </c>
      <c r="E63" s="145" t="s">
        <v>778</v>
      </c>
      <c r="F63" s="146">
        <v>0.5</v>
      </c>
      <c r="G63" s="145"/>
      <c r="H63" s="145"/>
      <c r="I63" s="145"/>
    </row>
    <row r="64" spans="1:9">
      <c r="A64" s="147" t="s">
        <v>2016</v>
      </c>
      <c r="B64" s="151" t="s">
        <v>444</v>
      </c>
      <c r="C64" s="145" t="s">
        <v>444</v>
      </c>
      <c r="D64" s="146">
        <v>1</v>
      </c>
      <c r="E64" s="145"/>
      <c r="F64" s="145"/>
      <c r="G64" s="145"/>
      <c r="H64" s="145"/>
      <c r="I64" s="145"/>
    </row>
    <row r="65" spans="1:9">
      <c r="A65" s="145" t="s">
        <v>1981</v>
      </c>
      <c r="B65" s="151"/>
      <c r="C65" s="145" t="s">
        <v>871</v>
      </c>
      <c r="D65" s="146">
        <v>0.33</v>
      </c>
      <c r="E65" s="145" t="s">
        <v>745</v>
      </c>
      <c r="F65" s="146">
        <v>0.25</v>
      </c>
      <c r="G65" s="145" t="s">
        <v>1345</v>
      </c>
      <c r="H65" s="146">
        <v>0.25</v>
      </c>
      <c r="I65" s="145"/>
    </row>
    <row r="66" spans="1:9">
      <c r="A66" s="149" t="s">
        <v>1980</v>
      </c>
      <c r="B66" s="151" t="str">
        <f>C66</f>
        <v>STX Commodities BV</v>
      </c>
      <c r="C66" s="149" t="s">
        <v>1077</v>
      </c>
      <c r="D66" s="150">
        <v>0.5</v>
      </c>
      <c r="E66" s="149"/>
      <c r="F66" s="149"/>
      <c r="G66" s="149"/>
      <c r="H66" s="149"/>
      <c r="I66" s="149"/>
    </row>
    <row r="67" spans="1:9">
      <c r="A67" s="145" t="s">
        <v>2017</v>
      </c>
      <c r="B67" s="151"/>
      <c r="C67" s="145" t="s">
        <v>440</v>
      </c>
      <c r="D67" s="146">
        <v>0.2</v>
      </c>
      <c r="E67" s="145" t="s">
        <v>451</v>
      </c>
      <c r="F67" s="146">
        <v>0.2</v>
      </c>
      <c r="G67" s="145" t="s">
        <v>1070</v>
      </c>
      <c r="H67" s="146">
        <v>0.2</v>
      </c>
      <c r="I67" s="145"/>
    </row>
    <row r="68" spans="1:9">
      <c r="A68" s="149" t="s">
        <v>1997</v>
      </c>
      <c r="B68" s="151" t="str">
        <f>C68</f>
        <v>Scottish Water Ltd</v>
      </c>
      <c r="C68" s="149" t="s">
        <v>440</v>
      </c>
      <c r="D68" s="150">
        <v>0.5</v>
      </c>
      <c r="E68" s="149" t="s">
        <v>93</v>
      </c>
      <c r="F68" s="150">
        <v>0.25</v>
      </c>
      <c r="G68" s="149" t="s">
        <v>190</v>
      </c>
      <c r="H68" s="150">
        <v>0.25</v>
      </c>
      <c r="I68" s="149"/>
    </row>
    <row r="69" spans="1:9">
      <c r="A69" s="145" t="s">
        <v>1969</v>
      </c>
      <c r="B69" s="151" t="str">
        <f>C69</f>
        <v>ScottishPower Limited</v>
      </c>
      <c r="C69" s="145" t="s">
        <v>80</v>
      </c>
      <c r="D69" s="146">
        <v>0.5</v>
      </c>
      <c r="E69" s="145" t="s">
        <v>212</v>
      </c>
      <c r="F69" s="146">
        <v>0.5</v>
      </c>
      <c r="G69" s="145" t="s">
        <v>279</v>
      </c>
      <c r="H69" s="146">
        <v>0.5</v>
      </c>
      <c r="I69" s="145"/>
    </row>
    <row r="70" spans="1:9">
      <c r="A70" s="147" t="s">
        <v>1979</v>
      </c>
      <c r="B70" s="151" t="s">
        <v>886</v>
      </c>
      <c r="C70" s="145" t="s">
        <v>886</v>
      </c>
      <c r="D70" s="146">
        <v>1</v>
      </c>
      <c r="E70" s="145" t="s">
        <v>98</v>
      </c>
      <c r="F70" s="146">
        <v>0.5</v>
      </c>
      <c r="G70" s="145" t="s">
        <v>113</v>
      </c>
      <c r="H70" s="146">
        <v>0.5</v>
      </c>
      <c r="I70" s="145"/>
    </row>
    <row r="71" spans="1:9">
      <c r="A71" s="147" t="s">
        <v>1975</v>
      </c>
      <c r="B71" s="151" t="s">
        <v>112</v>
      </c>
      <c r="C71" s="145" t="s">
        <v>112</v>
      </c>
      <c r="D71" s="146">
        <v>1</v>
      </c>
      <c r="E71" s="145" t="s">
        <v>82</v>
      </c>
      <c r="F71" s="146">
        <v>0.5</v>
      </c>
      <c r="G71" s="145" t="s">
        <v>111</v>
      </c>
      <c r="H71" s="146">
        <v>0.5</v>
      </c>
      <c r="I71" s="145"/>
    </row>
    <row r="72" spans="1:9">
      <c r="A72" s="147" t="s">
        <v>1994</v>
      </c>
      <c r="B72" s="151" t="s">
        <v>604</v>
      </c>
      <c r="C72" s="145" t="s">
        <v>604</v>
      </c>
      <c r="D72" s="146">
        <v>1</v>
      </c>
      <c r="E72" s="145" t="s">
        <v>890</v>
      </c>
      <c r="F72" s="146">
        <v>0.5</v>
      </c>
      <c r="G72" s="145" t="s">
        <v>2614</v>
      </c>
      <c r="H72" s="146">
        <v>0.33</v>
      </c>
      <c r="I72" s="145"/>
    </row>
    <row r="73" spans="1:9">
      <c r="A73" s="148" t="s">
        <v>1963</v>
      </c>
      <c r="B73" s="151" t="s">
        <v>2615</v>
      </c>
      <c r="C73" s="145"/>
      <c r="D73" s="145"/>
      <c r="E73" s="145"/>
      <c r="F73" s="145"/>
      <c r="G73" s="145"/>
      <c r="H73" s="145"/>
      <c r="I73" s="145"/>
    </row>
    <row r="74" spans="1:9">
      <c r="A74" s="149" t="s">
        <v>1934</v>
      </c>
      <c r="B74" s="151" t="str">
        <f>C74</f>
        <v>Switch Business Gas &amp; Power Ltd</v>
      </c>
      <c r="C74" s="149" t="s">
        <v>1080</v>
      </c>
      <c r="D74" s="150">
        <v>0.75</v>
      </c>
      <c r="E74" s="149" t="s">
        <v>93</v>
      </c>
      <c r="F74" s="150">
        <v>0.5</v>
      </c>
      <c r="G74" s="149" t="s">
        <v>56</v>
      </c>
      <c r="H74" s="150">
        <v>0.25</v>
      </c>
      <c r="I74" s="149"/>
    </row>
    <row r="75" spans="1:9">
      <c r="A75" s="148" t="s">
        <v>2000</v>
      </c>
      <c r="B75" s="151"/>
      <c r="C75" s="145"/>
      <c r="D75" s="145"/>
      <c r="E75" s="145"/>
      <c r="F75" s="145"/>
      <c r="G75" s="145"/>
      <c r="H75" s="145"/>
      <c r="I75" s="145"/>
    </row>
    <row r="76" spans="1:9">
      <c r="A76" s="147" t="s">
        <v>1949</v>
      </c>
      <c r="B76" s="151" t="s">
        <v>1573</v>
      </c>
      <c r="C76" s="145" t="s">
        <v>1573</v>
      </c>
      <c r="D76" s="146">
        <v>1</v>
      </c>
      <c r="E76" s="145"/>
      <c r="F76" s="145"/>
      <c r="G76" s="145"/>
      <c r="H76" s="145"/>
      <c r="I76" s="145"/>
    </row>
    <row r="77" spans="1:9">
      <c r="A77" s="145" t="s">
        <v>1999</v>
      </c>
      <c r="B77" s="151" t="str">
        <f>C77</f>
        <v>The Association for Decentralised Energy (ADE)</v>
      </c>
      <c r="C77" s="145" t="s">
        <v>1360</v>
      </c>
      <c r="D77" s="146">
        <v>0.67</v>
      </c>
      <c r="E77" s="145" t="s">
        <v>967</v>
      </c>
      <c r="F77" s="146">
        <v>0.5</v>
      </c>
      <c r="G77" s="145" t="s">
        <v>1328</v>
      </c>
      <c r="H77" s="146">
        <v>0.5</v>
      </c>
      <c r="I77" s="145"/>
    </row>
    <row r="78" spans="1:9">
      <c r="A78" s="147" t="s">
        <v>2004</v>
      </c>
      <c r="B78" s="151" t="s">
        <v>1246</v>
      </c>
      <c r="C78" s="145" t="s">
        <v>1246</v>
      </c>
      <c r="D78" s="146">
        <v>1</v>
      </c>
      <c r="E78" s="145"/>
      <c r="F78" s="145"/>
      <c r="G78" s="145"/>
      <c r="H78" s="145"/>
      <c r="I78" s="145"/>
    </row>
    <row r="79" spans="1:9">
      <c r="A79" s="147" t="s">
        <v>1937</v>
      </c>
      <c r="B79" s="151" t="s">
        <v>87</v>
      </c>
      <c r="C79" s="145" t="s">
        <v>87</v>
      </c>
      <c r="D79" s="146">
        <v>1</v>
      </c>
      <c r="E79" s="145" t="s">
        <v>90</v>
      </c>
      <c r="F79" s="146">
        <v>0.5</v>
      </c>
      <c r="G79" s="145" t="s">
        <v>93</v>
      </c>
      <c r="H79" s="146">
        <v>0.5</v>
      </c>
      <c r="I79" s="145"/>
    </row>
    <row r="80" spans="1:9">
      <c r="A80" s="149" t="s">
        <v>1961</v>
      </c>
      <c r="B80" s="151" t="str">
        <f>C80</f>
        <v>Triple Point Investment Management</v>
      </c>
      <c r="C80" s="149" t="s">
        <v>1089</v>
      </c>
      <c r="D80" s="150">
        <v>0.5</v>
      </c>
      <c r="E80" s="149" t="s">
        <v>421</v>
      </c>
      <c r="F80" s="150">
        <v>0.33</v>
      </c>
      <c r="G80" s="149" t="s">
        <v>619</v>
      </c>
      <c r="H80" s="150">
        <v>0.33</v>
      </c>
      <c r="I80" s="149"/>
    </row>
    <row r="81" spans="1:9">
      <c r="A81" s="145" t="s">
        <v>1973</v>
      </c>
      <c r="B81" s="151"/>
      <c r="C81" s="145" t="s">
        <v>106</v>
      </c>
      <c r="D81" s="146">
        <v>0.5</v>
      </c>
      <c r="E81" s="145" t="s">
        <v>110</v>
      </c>
      <c r="F81" s="146">
        <v>0.5</v>
      </c>
      <c r="G81" s="145" t="s">
        <v>124</v>
      </c>
      <c r="H81" s="146">
        <v>0.5</v>
      </c>
      <c r="I81" s="145"/>
    </row>
    <row r="82" spans="1:9">
      <c r="A82" s="147" t="s">
        <v>1962</v>
      </c>
      <c r="B82" s="151" t="s">
        <v>182</v>
      </c>
      <c r="C82" s="145" t="s">
        <v>182</v>
      </c>
      <c r="D82" s="146">
        <v>1</v>
      </c>
      <c r="E82" s="145"/>
      <c r="F82" s="145"/>
      <c r="G82" s="145"/>
      <c r="H82" s="145"/>
      <c r="I82" s="145"/>
    </row>
    <row r="83" spans="1:9">
      <c r="A83" s="145" t="s">
        <v>1959</v>
      </c>
      <c r="B83" s="151" t="str">
        <f>C83</f>
        <v>Uniper Renewables GmbH</v>
      </c>
      <c r="C83" s="145" t="s">
        <v>300</v>
      </c>
      <c r="D83" s="146">
        <v>0.5</v>
      </c>
      <c r="E83" s="145" t="s">
        <v>458</v>
      </c>
      <c r="F83" s="146">
        <v>0.33</v>
      </c>
      <c r="G83" s="145"/>
      <c r="H83" s="145"/>
      <c r="I83" s="145"/>
    </row>
    <row r="84" spans="1:9">
      <c r="A84" s="147" t="s">
        <v>1998</v>
      </c>
      <c r="B84" s="151" t="s">
        <v>460</v>
      </c>
      <c r="C84" s="145" t="s">
        <v>460</v>
      </c>
      <c r="D84" s="146">
        <v>1</v>
      </c>
      <c r="E84" s="145"/>
      <c r="F84" s="145"/>
      <c r="G84" s="145"/>
      <c r="H84" s="145"/>
      <c r="I84" s="145"/>
    </row>
    <row r="85" spans="1:9">
      <c r="A85" s="147" t="s">
        <v>1942</v>
      </c>
      <c r="B85" s="151" t="s">
        <v>1095</v>
      </c>
      <c r="C85" s="145" t="s">
        <v>1095</v>
      </c>
      <c r="D85" s="146">
        <v>1</v>
      </c>
      <c r="E85" s="145" t="s">
        <v>89</v>
      </c>
      <c r="F85" s="146">
        <v>0.5</v>
      </c>
      <c r="G85" s="145" t="s">
        <v>619</v>
      </c>
      <c r="H85" s="146">
        <v>0.5</v>
      </c>
      <c r="I85" s="145"/>
    </row>
    <row r="86" spans="1:9">
      <c r="A86" s="149" t="s">
        <v>1960</v>
      </c>
      <c r="B86" s="151"/>
      <c r="C86" s="149" t="s">
        <v>89</v>
      </c>
      <c r="D86" s="150">
        <v>0.5</v>
      </c>
      <c r="E86" s="149" t="s">
        <v>619</v>
      </c>
      <c r="F86" s="150">
        <v>0.5</v>
      </c>
      <c r="G86" s="149" t="s">
        <v>905</v>
      </c>
      <c r="H86" s="150">
        <v>0.5</v>
      </c>
      <c r="I86" s="149"/>
    </row>
    <row r="87" spans="1:9">
      <c r="A87" s="145" t="s">
        <v>2010</v>
      </c>
      <c r="B87" s="151" t="str">
        <f>C87</f>
        <v>VPI Immingham LLP</v>
      </c>
      <c r="C87" s="145" t="s">
        <v>309</v>
      </c>
      <c r="D87" s="146">
        <v>0.5</v>
      </c>
      <c r="E87" s="145" t="s">
        <v>541</v>
      </c>
      <c r="F87" s="146">
        <v>0.33</v>
      </c>
      <c r="G87" s="145" t="s">
        <v>192</v>
      </c>
      <c r="H87" s="146">
        <v>0.25</v>
      </c>
      <c r="I87" s="145"/>
    </row>
    <row r="88" spans="1:9">
      <c r="A88" s="149" t="s">
        <v>1951</v>
      </c>
      <c r="B88" s="151" t="str">
        <f>C88</f>
        <v>VPI Immingham LLP</v>
      </c>
      <c r="C88" s="149" t="s">
        <v>309</v>
      </c>
      <c r="D88" s="150">
        <v>0.5</v>
      </c>
      <c r="E88" s="149"/>
      <c r="F88" s="149"/>
      <c r="G88" s="149"/>
      <c r="H88" s="149"/>
      <c r="I88" s="149"/>
    </row>
    <row r="89" spans="1:9">
      <c r="A89" s="147" t="s">
        <v>1950</v>
      </c>
      <c r="B89" s="151" t="s">
        <v>116</v>
      </c>
      <c r="C89" s="145" t="s">
        <v>116</v>
      </c>
      <c r="D89" s="146">
        <v>1</v>
      </c>
      <c r="E89" s="145"/>
      <c r="F89" s="145"/>
      <c r="G89" s="145"/>
      <c r="H89" s="145"/>
      <c r="I89" s="145"/>
    </row>
    <row r="90" spans="1:9">
      <c r="A90" s="148" t="s">
        <v>1940</v>
      </c>
      <c r="B90" s="151"/>
      <c r="C90" s="145"/>
      <c r="D90" s="145"/>
      <c r="E90" s="145"/>
      <c r="F90" s="145"/>
      <c r="G90" s="145"/>
      <c r="H90" s="145"/>
      <c r="I90" s="145"/>
    </row>
    <row r="91" spans="1:9">
      <c r="A91" s="148" t="s">
        <v>1941</v>
      </c>
      <c r="B91" s="151"/>
      <c r="C91" s="145"/>
      <c r="D91" s="145"/>
      <c r="E91" s="145"/>
      <c r="F91" s="145"/>
      <c r="G91" s="145"/>
      <c r="H91" s="145"/>
      <c r="I91" s="145"/>
    </row>
    <row r="92" spans="1:9">
      <c r="A92" s="147" t="s">
        <v>1952</v>
      </c>
      <c r="B92" s="151" t="s">
        <v>119</v>
      </c>
      <c r="C92" s="145" t="s">
        <v>119</v>
      </c>
      <c r="D92" s="146">
        <v>1</v>
      </c>
      <c r="E92" s="145" t="s">
        <v>67</v>
      </c>
      <c r="F92" s="146">
        <v>0.5</v>
      </c>
      <c r="G92" s="145" t="s">
        <v>82</v>
      </c>
      <c r="H92" s="146">
        <v>0.5</v>
      </c>
      <c r="I92" s="145"/>
    </row>
  </sheetData>
  <mergeCells count="2">
    <mergeCell ref="A1:I1"/>
    <mergeCell ref="A2:I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41FA-179C-4CB3-858B-A784332E6B14}">
  <dimension ref="A1:J38"/>
  <sheetViews>
    <sheetView workbookViewId="0">
      <selection activeCell="C21" sqref="C21"/>
    </sheetView>
  </sheetViews>
  <sheetFormatPr defaultRowHeight="15"/>
  <cols>
    <col min="1" max="1" width="42.85546875" bestFit="1" customWidth="1"/>
    <col min="2" max="2" width="34.28515625" bestFit="1" customWidth="1"/>
    <col min="3" max="3" width="40.7109375" bestFit="1" customWidth="1"/>
    <col min="4" max="4" width="35.28515625" bestFit="1" customWidth="1"/>
    <col min="5" max="5" width="27.5703125" bestFit="1" customWidth="1"/>
    <col min="6" max="6" width="44.28515625" bestFit="1" customWidth="1"/>
    <col min="7" max="7" width="32.85546875" bestFit="1" customWidth="1"/>
    <col min="8" max="8" width="28.7109375" bestFit="1" customWidth="1"/>
    <col min="9" max="9" width="28" bestFit="1" customWidth="1"/>
    <col min="10" max="10" width="10.42578125" bestFit="1" customWidth="1"/>
  </cols>
  <sheetData>
    <row r="1" spans="1:10" s="76" customFormat="1">
      <c r="A1" s="76" t="s">
        <v>20</v>
      </c>
      <c r="B1" s="76" t="s">
        <v>25</v>
      </c>
      <c r="C1" s="76" t="s">
        <v>27</v>
      </c>
      <c r="D1" s="76" t="s">
        <v>29</v>
      </c>
      <c r="E1" s="76" t="s">
        <v>31</v>
      </c>
      <c r="F1" s="76" t="s">
        <v>21</v>
      </c>
      <c r="G1" s="76" t="s">
        <v>23</v>
      </c>
      <c r="H1" s="76" t="s">
        <v>1931</v>
      </c>
      <c r="I1" s="76" t="s">
        <v>35</v>
      </c>
      <c r="J1" s="76" t="s">
        <v>1695</v>
      </c>
    </row>
    <row r="2" spans="1:10">
      <c r="A2" t="s">
        <v>20</v>
      </c>
      <c r="B2" t="s">
        <v>1918</v>
      </c>
      <c r="C2" t="s">
        <v>1825</v>
      </c>
      <c r="D2" t="s">
        <v>2616</v>
      </c>
      <c r="E2" t="s">
        <v>1845</v>
      </c>
      <c r="F2" t="s">
        <v>1889</v>
      </c>
      <c r="G2" t="s">
        <v>2617</v>
      </c>
      <c r="H2" t="s">
        <v>2112</v>
      </c>
      <c r="I2" t="s">
        <v>1817</v>
      </c>
      <c r="J2" t="s">
        <v>2618</v>
      </c>
    </row>
    <row r="3" spans="1:10">
      <c r="B3" t="s">
        <v>1819</v>
      </c>
      <c r="C3" t="s">
        <v>1794</v>
      </c>
      <c r="D3" t="s">
        <v>1827</v>
      </c>
      <c r="E3" t="s">
        <v>2619</v>
      </c>
      <c r="F3" t="s">
        <v>1886</v>
      </c>
      <c r="G3" t="s">
        <v>2074</v>
      </c>
      <c r="H3" t="s">
        <v>1816</v>
      </c>
      <c r="J3" t="s">
        <v>2620</v>
      </c>
    </row>
    <row r="4" spans="1:10">
      <c r="B4" t="s">
        <v>1838</v>
      </c>
      <c r="C4" t="s">
        <v>1864</v>
      </c>
      <c r="D4" t="s">
        <v>1797</v>
      </c>
      <c r="E4" t="s">
        <v>31</v>
      </c>
      <c r="F4" t="s">
        <v>1810</v>
      </c>
      <c r="G4" t="s">
        <v>1829</v>
      </c>
      <c r="H4" t="s">
        <v>2621</v>
      </c>
      <c r="J4" t="s">
        <v>1842</v>
      </c>
    </row>
    <row r="5" spans="1:10">
      <c r="B5" t="s">
        <v>1820</v>
      </c>
      <c r="C5" t="s">
        <v>2055</v>
      </c>
      <c r="D5" t="s">
        <v>2622</v>
      </c>
      <c r="F5" t="s">
        <v>1843</v>
      </c>
      <c r="G5" t="s">
        <v>1811</v>
      </c>
      <c r="J5" t="s">
        <v>1851</v>
      </c>
    </row>
    <row r="6" spans="1:10">
      <c r="B6" t="s">
        <v>1826</v>
      </c>
      <c r="C6" t="s">
        <v>1815</v>
      </c>
      <c r="D6" t="s">
        <v>29</v>
      </c>
      <c r="F6" t="s">
        <v>1900</v>
      </c>
      <c r="G6" t="s">
        <v>1822</v>
      </c>
      <c r="J6" t="s">
        <v>2623</v>
      </c>
    </row>
    <row r="7" spans="1:10">
      <c r="B7" t="s">
        <v>1904</v>
      </c>
      <c r="C7" t="s">
        <v>2624</v>
      </c>
      <c r="D7" t="s">
        <v>30</v>
      </c>
      <c r="F7" t="s">
        <v>1821</v>
      </c>
      <c r="G7" t="s">
        <v>2142</v>
      </c>
      <c r="J7" t="s">
        <v>24</v>
      </c>
    </row>
    <row r="8" spans="1:10">
      <c r="B8" t="s">
        <v>1808</v>
      </c>
      <c r="C8" t="s">
        <v>2625</v>
      </c>
      <c r="D8" t="s">
        <v>1840</v>
      </c>
      <c r="F8" t="s">
        <v>1813</v>
      </c>
      <c r="G8" t="s">
        <v>2626</v>
      </c>
      <c r="J8" t="s">
        <v>1914</v>
      </c>
    </row>
    <row r="9" spans="1:10">
      <c r="B9" t="s">
        <v>2627</v>
      </c>
      <c r="C9" t="s">
        <v>27</v>
      </c>
      <c r="D9" t="s">
        <v>1898</v>
      </c>
      <c r="F9" t="s">
        <v>1930</v>
      </c>
      <c r="G9" t="s">
        <v>23</v>
      </c>
      <c r="J9" t="s">
        <v>1824</v>
      </c>
    </row>
    <row r="10" spans="1:10">
      <c r="B10" t="s">
        <v>1833</v>
      </c>
      <c r="F10" t="s">
        <v>2217</v>
      </c>
      <c r="G10" t="s">
        <v>1891</v>
      </c>
      <c r="J10" t="s">
        <v>2628</v>
      </c>
    </row>
    <row r="11" spans="1:10">
      <c r="B11" t="s">
        <v>25</v>
      </c>
      <c r="F11" t="s">
        <v>1907</v>
      </c>
      <c r="G11" t="s">
        <v>1894</v>
      </c>
      <c r="J11" t="s">
        <v>1924</v>
      </c>
    </row>
    <row r="12" spans="1:10">
      <c r="B12" t="s">
        <v>26</v>
      </c>
      <c r="F12" t="s">
        <v>2198</v>
      </c>
    </row>
    <row r="13" spans="1:10">
      <c r="B13" t="s">
        <v>1921</v>
      </c>
      <c r="F13" t="s">
        <v>1836</v>
      </c>
    </row>
    <row r="14" spans="1:10">
      <c r="B14" t="s">
        <v>1916</v>
      </c>
      <c r="F14" t="s">
        <v>21</v>
      </c>
    </row>
    <row r="15" spans="1:10">
      <c r="B15" t="s">
        <v>1917</v>
      </c>
      <c r="F15" t="s">
        <v>1828</v>
      </c>
    </row>
    <row r="16" spans="1:10">
      <c r="F16" t="s">
        <v>1906</v>
      </c>
    </row>
    <row r="17" spans="1:10">
      <c r="F17" t="s">
        <v>1823</v>
      </c>
    </row>
    <row r="18" spans="1:10">
      <c r="F18" t="s">
        <v>2629</v>
      </c>
    </row>
    <row r="19" spans="1:10">
      <c r="F19" t="s">
        <v>1830</v>
      </c>
    </row>
    <row r="20" spans="1:10">
      <c r="F20" t="s">
        <v>1926</v>
      </c>
    </row>
    <row r="30" spans="1:10">
      <c r="A30" s="201" t="s">
        <v>2630</v>
      </c>
      <c r="B30" s="201"/>
      <c r="C30" s="201"/>
      <c r="D30" s="201"/>
      <c r="E30" s="201"/>
      <c r="F30" s="201"/>
      <c r="G30" s="201"/>
      <c r="H30" s="201"/>
      <c r="I30" s="201"/>
      <c r="J30" s="201"/>
    </row>
    <row r="31" spans="1:10">
      <c r="B31" t="s">
        <v>1904</v>
      </c>
      <c r="C31" t="s">
        <v>2055</v>
      </c>
      <c r="D31" t="s">
        <v>2631</v>
      </c>
      <c r="E31" t="s">
        <v>31</v>
      </c>
      <c r="F31" t="s">
        <v>1889</v>
      </c>
      <c r="G31" t="s">
        <v>2074</v>
      </c>
      <c r="H31" t="s">
        <v>2112</v>
      </c>
      <c r="J31" t="s">
        <v>2618</v>
      </c>
    </row>
    <row r="32" spans="1:10">
      <c r="B32" t="s">
        <v>1798</v>
      </c>
      <c r="C32" t="s">
        <v>2624</v>
      </c>
      <c r="D32" t="s">
        <v>29</v>
      </c>
      <c r="F32" t="s">
        <v>1886</v>
      </c>
      <c r="G32" t="s">
        <v>2142</v>
      </c>
      <c r="H32" t="s">
        <v>2621</v>
      </c>
      <c r="J32" t="s">
        <v>2620</v>
      </c>
    </row>
    <row r="33" spans="2:10">
      <c r="B33" t="s">
        <v>25</v>
      </c>
      <c r="C33" t="s">
        <v>27</v>
      </c>
      <c r="D33" t="s">
        <v>30</v>
      </c>
      <c r="F33" t="s">
        <v>1900</v>
      </c>
      <c r="G33" t="s">
        <v>23</v>
      </c>
      <c r="J33" t="s">
        <v>24</v>
      </c>
    </row>
    <row r="34" spans="2:10">
      <c r="B34" t="s">
        <v>26</v>
      </c>
      <c r="F34" t="s">
        <v>2217</v>
      </c>
      <c r="J34" t="s">
        <v>1914</v>
      </c>
    </row>
    <row r="35" spans="2:10">
      <c r="F35" t="s">
        <v>2198</v>
      </c>
    </row>
    <row r="36" spans="2:10">
      <c r="F36" t="s">
        <v>21</v>
      </c>
    </row>
    <row r="37" spans="2:10">
      <c r="F37" t="s">
        <v>1823</v>
      </c>
    </row>
    <row r="38" spans="2:10">
      <c r="F38" t="s">
        <v>1926</v>
      </c>
    </row>
  </sheetData>
  <mergeCells count="1">
    <mergeCell ref="A30:J3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80DDB-E589-43BF-86BF-A5E291B3C999}">
  <sheetPr codeName="Sheet8"/>
  <dimension ref="A1:AG1057"/>
  <sheetViews>
    <sheetView topLeftCell="H1" workbookViewId="0">
      <pane ySplit="1" topLeftCell="A2" activePane="bottomLeft" state="frozen"/>
      <selection pane="bottomLeft" activeCell="W5" sqref="W5"/>
    </sheetView>
  </sheetViews>
  <sheetFormatPr defaultRowHeight="15"/>
  <cols>
    <col min="1" max="1" width="56.140625" bestFit="1" customWidth="1"/>
    <col min="2" max="2" width="56.140625" customWidth="1"/>
    <col min="3" max="3" width="56.42578125" bestFit="1" customWidth="1"/>
    <col min="4" max="4" width="47.7109375" bestFit="1" customWidth="1"/>
    <col min="5" max="5" width="31.85546875" bestFit="1" customWidth="1"/>
    <col min="6" max="6" width="12" bestFit="1" customWidth="1"/>
    <col min="7" max="7" width="16.7109375" bestFit="1" customWidth="1"/>
    <col min="8" max="8" width="32.42578125" bestFit="1" customWidth="1"/>
    <col min="9" max="9" width="20.5703125" bestFit="1" customWidth="1"/>
    <col min="10" max="10" width="20.5703125" customWidth="1"/>
    <col min="11" max="11" width="23" bestFit="1" customWidth="1"/>
    <col min="12" max="12" width="7" bestFit="1" customWidth="1"/>
    <col min="15" max="15" width="55.5703125" bestFit="1" customWidth="1"/>
    <col min="19" max="19" width="11.5703125" bestFit="1" customWidth="1"/>
    <col min="21" max="21" width="55.5703125" bestFit="1" customWidth="1"/>
    <col min="26" max="26" width="11.140625" bestFit="1" customWidth="1"/>
    <col min="27" max="27" width="11.5703125" bestFit="1" customWidth="1"/>
    <col min="29" max="29" width="53.42578125" bestFit="1" customWidth="1"/>
    <col min="30" max="30" width="12.5703125" bestFit="1" customWidth="1"/>
    <col min="33" max="33" width="11.5703125" bestFit="1" customWidth="1"/>
  </cols>
  <sheetData>
    <row r="1" spans="1:33" ht="15.75" thickBot="1">
      <c r="A1" s="161" t="s">
        <v>2025</v>
      </c>
      <c r="B1" s="161" t="s">
        <v>2632</v>
      </c>
      <c r="C1" s="161" t="s">
        <v>2633</v>
      </c>
      <c r="D1" s="161" t="s">
        <v>2027</v>
      </c>
      <c r="E1" s="161" t="s">
        <v>2634</v>
      </c>
      <c r="F1" s="161" t="s">
        <v>2635</v>
      </c>
      <c r="G1" s="161" t="s">
        <v>2636</v>
      </c>
      <c r="H1" s="161" t="s">
        <v>2637</v>
      </c>
      <c r="I1" s="161" t="s">
        <v>2638</v>
      </c>
      <c r="J1" s="161"/>
      <c r="K1" s="161" t="s">
        <v>2639</v>
      </c>
      <c r="L1" s="161" t="s">
        <v>2640</v>
      </c>
    </row>
    <row r="2" spans="1:33">
      <c r="A2" t="s">
        <v>913</v>
      </c>
      <c r="B2">
        <f>IF(COUNTIFS($A$2:$A$1053,A2,$E$2:$E$1053,"Industry Essentials")&gt;0, COUNTIF($A$2:$A$1053,A2), 0)</f>
        <v>0</v>
      </c>
      <c r="C2" t="s">
        <v>2641</v>
      </c>
      <c r="D2" t="s">
        <v>1817</v>
      </c>
      <c r="E2" t="s">
        <v>35</v>
      </c>
      <c r="F2" s="162">
        <v>24500</v>
      </c>
      <c r="G2" t="s">
        <v>2642</v>
      </c>
      <c r="H2" s="163">
        <v>46094</v>
      </c>
      <c r="I2" s="163">
        <v>46724</v>
      </c>
      <c r="J2" s="163"/>
      <c r="K2" t="s">
        <v>2643</v>
      </c>
      <c r="L2" t="b">
        <v>0</v>
      </c>
    </row>
    <row r="3" spans="1:33">
      <c r="A3" t="s">
        <v>1115</v>
      </c>
      <c r="B3">
        <f t="shared" ref="B3:B66" si="0">IF(COUNTIFS($A$2:$A$1053,A3,$E$2:$E$1053,"Industry Essentials")&gt;0, COUNTIF($A$2:$A$1053,A3), 0)</f>
        <v>0</v>
      </c>
      <c r="C3" t="s">
        <v>2644</v>
      </c>
      <c r="D3" t="s">
        <v>2645</v>
      </c>
      <c r="E3" t="s">
        <v>1902</v>
      </c>
      <c r="F3" s="162">
        <v>5500</v>
      </c>
      <c r="G3" t="s">
        <v>2646</v>
      </c>
      <c r="H3" s="163">
        <v>45911</v>
      </c>
      <c r="I3" s="163">
        <v>46245</v>
      </c>
      <c r="J3" s="163"/>
      <c r="K3" t="s">
        <v>2647</v>
      </c>
      <c r="L3" t="b">
        <v>0</v>
      </c>
    </row>
    <row r="4" spans="1:33">
      <c r="A4" t="s">
        <v>1115</v>
      </c>
      <c r="B4">
        <f t="shared" si="0"/>
        <v>0</v>
      </c>
      <c r="C4" t="s">
        <v>2644</v>
      </c>
      <c r="D4" t="s">
        <v>1838</v>
      </c>
      <c r="E4" t="s">
        <v>25</v>
      </c>
      <c r="F4" s="162">
        <v>5940</v>
      </c>
      <c r="G4" t="s">
        <v>2646</v>
      </c>
      <c r="H4" s="163">
        <v>45911</v>
      </c>
      <c r="I4" s="163">
        <v>46245</v>
      </c>
      <c r="J4" s="163"/>
      <c r="K4" t="s">
        <v>2647</v>
      </c>
      <c r="L4" t="b">
        <v>0</v>
      </c>
    </row>
    <row r="5" spans="1:33">
      <c r="A5" t="s">
        <v>1115</v>
      </c>
      <c r="B5">
        <f t="shared" si="0"/>
        <v>0</v>
      </c>
      <c r="C5" t="s">
        <v>2644</v>
      </c>
      <c r="D5" t="s">
        <v>1826</v>
      </c>
      <c r="E5" t="s">
        <v>25</v>
      </c>
      <c r="F5" s="162">
        <v>7420</v>
      </c>
      <c r="G5" t="s">
        <v>2646</v>
      </c>
      <c r="H5" s="163">
        <v>45911</v>
      </c>
      <c r="I5" s="163">
        <v>46245</v>
      </c>
      <c r="J5" s="163"/>
      <c r="K5" t="s">
        <v>2647</v>
      </c>
      <c r="L5" t="b">
        <v>0</v>
      </c>
      <c r="O5" t="str" cm="1">
        <f t="array" ref="O5:O136">_xlfn.UNIQUE(_xlfn._xlws.FILTER(A2:A1053,E2:E1053="Industry Essentials"))</f>
        <v>Aggreko IPP Solutions Development Limited</v>
      </c>
      <c r="P5">
        <f ca="1">SUMIF($A$2:$A$1053,O5,$F$5:$F$1053)</f>
        <v>18938</v>
      </c>
      <c r="R5" t="s">
        <v>2648</v>
      </c>
      <c r="S5" s="180">
        <f ca="1">AVERAGE(P5:P171)</f>
        <v>38538.361362988311</v>
      </c>
      <c r="U5" t="str" cm="1">
        <f t="array" ref="U5:U217">_xlfn.UNIQUE(A2:A1053)</f>
        <v>1ENERGY Group Ltd</v>
      </c>
      <c r="V5">
        <f ca="1">SUMIF($A$2:$A$1053,U5,$F$5:$F$1053)</f>
        <v>7420</v>
      </c>
      <c r="W5">
        <f>SUMIFS($F$2:$F$1053,$A$2:$A$1053,U5,$B$2:$B$1053,"&gt;"&amp;0,$I$2:$I$1053,"&lt;"&amp;46575)</f>
        <v>0</v>
      </c>
      <c r="X5">
        <f>SUMIFS($F$2:$F$1053,$A$2:$A$1053,U5,$B$2:$B$1053,"&lt;"&amp;0,$I$2:$I$1053,"&lt;"&amp;46575)</f>
        <v>0</v>
      </c>
      <c r="Y5" s="181"/>
      <c r="Z5" t="s">
        <v>2648</v>
      </c>
      <c r="AA5" s="180">
        <f>AVERAGE(W5:W171)</f>
        <v>23216.224790419161</v>
      </c>
      <c r="AC5" t="str" cm="1">
        <f t="array" ref="AC5:AC23">_xlfn.UNIQUE(_xlfn._xlws.FILTER(A2:A1053,E2:E1053="Renewables Forecasts"))</f>
        <v>Co-operative Group Limited</v>
      </c>
      <c r="AD5" s="180">
        <f ca="1">SUMIF($A$2:$A$1053,AC5,$F$5:$F$1053)</f>
        <v>14327</v>
      </c>
      <c r="AF5" t="s">
        <v>2648</v>
      </c>
      <c r="AG5" s="180">
        <f ca="1">AVERAGE(AD5:AD171)</f>
        <v>52169.497894736836</v>
      </c>
    </row>
    <row r="6" spans="1:33">
      <c r="A6" t="s">
        <v>1946</v>
      </c>
      <c r="B6">
        <f t="shared" si="0"/>
        <v>2</v>
      </c>
      <c r="C6" t="s">
        <v>2649</v>
      </c>
      <c r="D6" t="s">
        <v>1817</v>
      </c>
      <c r="E6" t="s">
        <v>35</v>
      </c>
      <c r="F6" s="162">
        <v>21375</v>
      </c>
      <c r="G6" t="s">
        <v>2642</v>
      </c>
      <c r="H6" s="163">
        <v>45755</v>
      </c>
      <c r="I6" s="163">
        <v>46089</v>
      </c>
      <c r="J6" s="163"/>
      <c r="K6" t="s">
        <v>2643</v>
      </c>
      <c r="L6" t="b">
        <v>0</v>
      </c>
      <c r="O6" t="str">
        <v>Ameresco Limited</v>
      </c>
      <c r="P6">
        <f t="shared" ref="P6:P69" ca="1" si="1">SUMIF($A$2:$A$1053,O6,$F$5:$F$1053)</f>
        <v>8730</v>
      </c>
      <c r="R6" t="s">
        <v>2650</v>
      </c>
      <c r="S6" s="180">
        <f ca="1">MEDIAN(P5:P171)</f>
        <v>13405</v>
      </c>
      <c r="U6" t="str">
        <v>Action Renewables Energy Trading Limited</v>
      </c>
      <c r="V6">
        <f t="shared" ref="V6:V69" ca="1" si="2">SUMIF($A$2:$A$1053,U6,$F$5:$F$1053)</f>
        <v>38425</v>
      </c>
      <c r="W6">
        <f t="shared" ref="W6:W69" si="3">SUMIFS($F$2:$F$1053,$A$2:$A$1053,U6,$B$2:$B$1053,"&gt;"&amp;0,$I$2:$I$1053,"&lt;"&amp;46575)</f>
        <v>0</v>
      </c>
      <c r="X6">
        <f t="shared" ref="X6:X69" si="4">SUMIFS($F$2:$F$1053,$A$2:$A$1053,U6,$B$2:$B$1053,"&lt;"&amp;1,$I$2:$I$1053,"&lt;"&amp;46575)</f>
        <v>18860</v>
      </c>
      <c r="Y6" s="181"/>
      <c r="Z6" t="s">
        <v>2651</v>
      </c>
      <c r="AA6" s="180">
        <f>AVERAGE(X5:X171)</f>
        <v>8225.4191616766475</v>
      </c>
      <c r="AC6" t="str">
        <v>Energy Developments (UK) Limited</v>
      </c>
      <c r="AD6" s="180">
        <f t="shared" ref="AD6:AD23" ca="1" si="5">SUMIF($A$2:$A$1053,AC6,$F$5:$F$1053)</f>
        <v>22232</v>
      </c>
      <c r="AF6" t="s">
        <v>2650</v>
      </c>
      <c r="AG6" s="180">
        <f ca="1">MEDIAN(AD5:AD171)</f>
        <v>22472</v>
      </c>
    </row>
    <row r="7" spans="1:33">
      <c r="A7" t="s">
        <v>1946</v>
      </c>
      <c r="B7">
        <f t="shared" si="0"/>
        <v>2</v>
      </c>
      <c r="C7" t="s">
        <v>2652</v>
      </c>
      <c r="D7" t="s">
        <v>2653</v>
      </c>
      <c r="E7" t="s">
        <v>20</v>
      </c>
      <c r="F7" s="162">
        <v>9700</v>
      </c>
      <c r="G7" t="s">
        <v>2646</v>
      </c>
      <c r="H7" s="163">
        <v>45940</v>
      </c>
      <c r="I7" s="163">
        <v>46275</v>
      </c>
      <c r="J7" s="163"/>
      <c r="K7" t="s">
        <v>2643</v>
      </c>
      <c r="L7" t="b">
        <v>0</v>
      </c>
      <c r="O7" t="str">
        <v>Apple Tree Value Solutions Limited</v>
      </c>
      <c r="P7">
        <f t="shared" ca="1" si="1"/>
        <v>21500</v>
      </c>
      <c r="U7" t="str">
        <v>Aggreko IPP Solutions Development Limited</v>
      </c>
      <c r="V7">
        <f t="shared" ca="1" si="2"/>
        <v>18938</v>
      </c>
      <c r="W7">
        <f t="shared" si="3"/>
        <v>31075</v>
      </c>
      <c r="X7">
        <f t="shared" si="4"/>
        <v>0</v>
      </c>
      <c r="Y7" s="181"/>
      <c r="AC7" t="str">
        <v>Energy Power Resources Limited</v>
      </c>
      <c r="AD7" s="180">
        <f t="shared" ca="1" si="5"/>
        <v>35500</v>
      </c>
    </row>
    <row r="8" spans="1:33">
      <c r="A8" t="s">
        <v>188</v>
      </c>
      <c r="B8">
        <f t="shared" si="0"/>
        <v>0</v>
      </c>
      <c r="C8" t="s">
        <v>2654</v>
      </c>
      <c r="D8" t="s">
        <v>1819</v>
      </c>
      <c r="E8" t="s">
        <v>25</v>
      </c>
      <c r="F8" s="162">
        <v>7350</v>
      </c>
      <c r="G8" t="s">
        <v>2655</v>
      </c>
      <c r="H8" s="163">
        <v>46025</v>
      </c>
      <c r="I8" s="163">
        <v>46446</v>
      </c>
      <c r="J8" s="163"/>
      <c r="K8" t="s">
        <v>2656</v>
      </c>
      <c r="L8" t="b">
        <v>0</v>
      </c>
      <c r="O8" t="str">
        <v>Asper Iona Holding Company Limited</v>
      </c>
      <c r="P8">
        <f t="shared" ca="1" si="1"/>
        <v>12287</v>
      </c>
      <c r="U8" t="str">
        <v>Alpha Real Capital LLP</v>
      </c>
      <c r="V8">
        <f t="shared" ca="1" si="2"/>
        <v>3150</v>
      </c>
      <c r="W8">
        <f t="shared" si="3"/>
        <v>0</v>
      </c>
      <c r="X8">
        <f t="shared" si="4"/>
        <v>7350</v>
      </c>
      <c r="Y8" s="181"/>
      <c r="AC8" t="str">
        <v>Evolve Energy Supply Limited</v>
      </c>
      <c r="AD8" s="180">
        <f t="shared" ca="1" si="5"/>
        <v>100639.51999999999</v>
      </c>
    </row>
    <row r="9" spans="1:33">
      <c r="A9" t="s">
        <v>820</v>
      </c>
      <c r="B9">
        <f t="shared" si="0"/>
        <v>1</v>
      </c>
      <c r="C9" t="s">
        <v>2657</v>
      </c>
      <c r="D9" t="s">
        <v>2653</v>
      </c>
      <c r="E9" t="s">
        <v>20</v>
      </c>
      <c r="F9" s="162">
        <v>3938</v>
      </c>
      <c r="G9" t="s">
        <v>2646</v>
      </c>
      <c r="H9" s="163">
        <v>45667</v>
      </c>
      <c r="I9" s="163">
        <v>46326</v>
      </c>
      <c r="J9" s="163"/>
      <c r="K9" t="s">
        <v>2656</v>
      </c>
      <c r="L9" t="b">
        <v>0</v>
      </c>
      <c r="O9" t="str">
        <v>Axpo UK Limited</v>
      </c>
      <c r="P9">
        <f t="shared" ca="1" si="1"/>
        <v>14635.71428571429</v>
      </c>
      <c r="U9" t="str">
        <v>Ameresco Limited</v>
      </c>
      <c r="V9">
        <f t="shared" ca="1" si="2"/>
        <v>8730</v>
      </c>
      <c r="W9">
        <f t="shared" si="3"/>
        <v>3938</v>
      </c>
      <c r="X9">
        <f t="shared" si="4"/>
        <v>0</v>
      </c>
      <c r="Y9" s="181"/>
      <c r="AC9" t="str">
        <v>J G Pears Holdings (Jersey) Ltd</v>
      </c>
      <c r="AD9" s="180">
        <f t="shared" ca="1" si="5"/>
        <v>38170</v>
      </c>
    </row>
    <row r="10" spans="1:33">
      <c r="A10" t="s">
        <v>2015</v>
      </c>
      <c r="B10">
        <f t="shared" si="0"/>
        <v>0</v>
      </c>
      <c r="C10" t="s">
        <v>2658</v>
      </c>
      <c r="D10" t="s">
        <v>2624</v>
      </c>
      <c r="E10" t="s">
        <v>31</v>
      </c>
      <c r="F10" s="162">
        <v>15000</v>
      </c>
      <c r="G10" t="s">
        <v>1705</v>
      </c>
      <c r="H10" s="163">
        <v>46132</v>
      </c>
      <c r="I10" s="163">
        <v>46496</v>
      </c>
      <c r="J10" s="163"/>
      <c r="K10" t="s">
        <v>2659</v>
      </c>
      <c r="L10" t="b">
        <v>0</v>
      </c>
      <c r="O10" t="str">
        <v>Biffa Waste Services Ltd</v>
      </c>
      <c r="P10">
        <f t="shared" ca="1" si="1"/>
        <v>35891.571428571449</v>
      </c>
      <c r="U10" t="str">
        <v>Anesco Limited</v>
      </c>
      <c r="V10">
        <f t="shared" ca="1" si="2"/>
        <v>8730</v>
      </c>
      <c r="W10">
        <f t="shared" si="3"/>
        <v>0</v>
      </c>
      <c r="X10">
        <f t="shared" si="4"/>
        <v>15000</v>
      </c>
      <c r="Y10" s="181"/>
      <c r="AC10" t="str">
        <v>MAG Airport Limited</v>
      </c>
      <c r="AD10" s="180">
        <f t="shared" ca="1" si="5"/>
        <v>34360</v>
      </c>
    </row>
    <row r="11" spans="1:33">
      <c r="A11" t="s">
        <v>923</v>
      </c>
      <c r="B11">
        <f t="shared" si="0"/>
        <v>1</v>
      </c>
      <c r="C11" t="s">
        <v>2660</v>
      </c>
      <c r="D11" t="s">
        <v>2653</v>
      </c>
      <c r="E11" t="s">
        <v>20</v>
      </c>
      <c r="F11" s="162">
        <v>3150</v>
      </c>
      <c r="G11" t="s">
        <v>1705</v>
      </c>
      <c r="H11" s="163">
        <v>45669</v>
      </c>
      <c r="I11" s="163">
        <v>46356</v>
      </c>
      <c r="J11" s="163"/>
      <c r="K11" t="s">
        <v>2656</v>
      </c>
      <c r="L11" t="b">
        <v>0</v>
      </c>
      <c r="O11" t="str">
        <v>Bluefield Renewables 1 Ltd</v>
      </c>
      <c r="P11">
        <f t="shared" ca="1" si="1"/>
        <v>37113</v>
      </c>
      <c r="U11" t="str">
        <v>Apple Tree Value Solutions Limited</v>
      </c>
      <c r="V11">
        <f t="shared" ca="1" si="2"/>
        <v>21500</v>
      </c>
      <c r="W11">
        <f t="shared" si="3"/>
        <v>3150</v>
      </c>
      <c r="X11">
        <f t="shared" si="4"/>
        <v>0</v>
      </c>
      <c r="Y11" s="181"/>
      <c r="AC11" t="str">
        <v>Manx Utilities</v>
      </c>
      <c r="AD11" s="180">
        <f t="shared" ca="1" si="5"/>
        <v>13360</v>
      </c>
    </row>
    <row r="12" spans="1:33">
      <c r="A12" t="s">
        <v>1985</v>
      </c>
      <c r="B12">
        <f t="shared" si="0"/>
        <v>2</v>
      </c>
      <c r="C12" t="s">
        <v>2661</v>
      </c>
      <c r="D12" t="s">
        <v>2645</v>
      </c>
      <c r="E12" t="s">
        <v>1902</v>
      </c>
      <c r="F12" s="162">
        <v>8730</v>
      </c>
      <c r="G12" t="s">
        <v>2646</v>
      </c>
      <c r="H12" s="163">
        <v>46053</v>
      </c>
      <c r="I12" s="163">
        <v>46417</v>
      </c>
      <c r="J12" s="163"/>
      <c r="K12" t="s">
        <v>2643</v>
      </c>
      <c r="L12" t="b">
        <v>0</v>
      </c>
      <c r="O12" t="str">
        <v>Boston Consulting Group UK LLP</v>
      </c>
      <c r="P12">
        <f t="shared" ca="1" si="1"/>
        <v>17187.5</v>
      </c>
      <c r="U12" t="str">
        <v>Asper Iona Holding Company Limited</v>
      </c>
      <c r="V12">
        <f t="shared" ca="1" si="2"/>
        <v>12287</v>
      </c>
      <c r="W12">
        <f t="shared" si="3"/>
        <v>17460</v>
      </c>
      <c r="X12">
        <f t="shared" si="4"/>
        <v>0</v>
      </c>
      <c r="Y12" s="181"/>
      <c r="AC12" t="str">
        <v>NextEnergy Solar Holdings III Limited</v>
      </c>
      <c r="AD12" s="180">
        <f t="shared" ca="1" si="5"/>
        <v>8162</v>
      </c>
    </row>
    <row r="13" spans="1:33">
      <c r="A13" t="s">
        <v>1985</v>
      </c>
      <c r="B13">
        <f t="shared" si="0"/>
        <v>2</v>
      </c>
      <c r="C13" t="s">
        <v>2661</v>
      </c>
      <c r="D13" t="s">
        <v>2653</v>
      </c>
      <c r="E13" t="s">
        <v>20</v>
      </c>
      <c r="F13" s="162">
        <v>8730</v>
      </c>
      <c r="G13" t="s">
        <v>2646</v>
      </c>
      <c r="H13" s="163">
        <v>46053</v>
      </c>
      <c r="I13" s="163">
        <v>46417</v>
      </c>
      <c r="J13" s="163"/>
      <c r="K13" t="s">
        <v>2643</v>
      </c>
      <c r="L13" t="b">
        <v>0</v>
      </c>
      <c r="O13" t="str">
        <v>Bute Energy Ltd</v>
      </c>
      <c r="P13">
        <f t="shared" ca="1" si="1"/>
        <v>24274.666666666672</v>
      </c>
      <c r="U13" t="str">
        <v>Associated British Ports</v>
      </c>
      <c r="V13">
        <f t="shared" ca="1" si="2"/>
        <v>6237</v>
      </c>
      <c r="W13">
        <f t="shared" si="3"/>
        <v>0</v>
      </c>
      <c r="X13">
        <f t="shared" si="4"/>
        <v>21500</v>
      </c>
      <c r="Y13" s="181"/>
      <c r="AC13" t="str">
        <v>SEFE Energy Limited</v>
      </c>
      <c r="AD13" s="180">
        <f t="shared" ca="1" si="5"/>
        <v>77102.460000000006</v>
      </c>
    </row>
    <row r="14" spans="1:33">
      <c r="A14" t="s">
        <v>193</v>
      </c>
      <c r="B14">
        <f t="shared" si="0"/>
        <v>0</v>
      </c>
      <c r="C14" t="s">
        <v>2662</v>
      </c>
      <c r="D14" t="s">
        <v>1817</v>
      </c>
      <c r="E14" t="s">
        <v>35</v>
      </c>
      <c r="F14" s="162">
        <v>21500</v>
      </c>
      <c r="G14" t="s">
        <v>2655</v>
      </c>
      <c r="H14" s="163">
        <v>45669</v>
      </c>
      <c r="I14" s="163">
        <v>46356</v>
      </c>
      <c r="J14" s="163"/>
      <c r="K14" t="s">
        <v>2643</v>
      </c>
      <c r="L14" t="b">
        <v>0</v>
      </c>
      <c r="O14" t="str">
        <v>Cambridge Economic Policy Associates Limited</v>
      </c>
      <c r="P14">
        <f t="shared" ca="1" si="1"/>
        <v>13333.333333333339</v>
      </c>
      <c r="U14" t="str">
        <v>Axpo UK Limited</v>
      </c>
      <c r="V14">
        <f t="shared" ca="1" si="2"/>
        <v>14635.71428571429</v>
      </c>
      <c r="W14">
        <f t="shared" si="3"/>
        <v>18524</v>
      </c>
      <c r="X14">
        <f t="shared" si="4"/>
        <v>0</v>
      </c>
      <c r="Y14" s="181"/>
      <c r="AC14" t="str">
        <v>Shell International BV</v>
      </c>
      <c r="AD14" s="180">
        <f t="shared" ca="1" si="5"/>
        <v>459773.55999999971</v>
      </c>
    </row>
    <row r="15" spans="1:33">
      <c r="A15" t="s">
        <v>120</v>
      </c>
      <c r="B15">
        <f t="shared" si="0"/>
        <v>3</v>
      </c>
      <c r="C15" t="s">
        <v>2663</v>
      </c>
      <c r="D15" t="s">
        <v>1838</v>
      </c>
      <c r="E15" t="s">
        <v>25</v>
      </c>
      <c r="F15" s="162">
        <v>6050</v>
      </c>
      <c r="G15" t="s">
        <v>2646</v>
      </c>
      <c r="H15" s="163">
        <v>45667</v>
      </c>
      <c r="I15" s="163">
        <v>46295</v>
      </c>
      <c r="J15" s="163"/>
      <c r="K15" t="s">
        <v>2647</v>
      </c>
      <c r="L15" t="b">
        <v>0</v>
      </c>
      <c r="O15" t="str">
        <v>Cicero Consulting Ltd</v>
      </c>
      <c r="P15">
        <f t="shared" ca="1" si="1"/>
        <v>11288</v>
      </c>
      <c r="U15" t="str">
        <v>Bevan Brittan LLP</v>
      </c>
      <c r="V15">
        <f t="shared" ca="1" si="2"/>
        <v>2785.7142857142899</v>
      </c>
      <c r="W15">
        <f t="shared" si="3"/>
        <v>0</v>
      </c>
      <c r="X15">
        <f t="shared" si="4"/>
        <v>6000</v>
      </c>
      <c r="Y15" s="181"/>
      <c r="AC15" t="str">
        <v>SNRG Limited</v>
      </c>
      <c r="AD15" s="180">
        <f t="shared" ca="1" si="5"/>
        <v>22472</v>
      </c>
    </row>
    <row r="16" spans="1:33">
      <c r="A16" t="s">
        <v>120</v>
      </c>
      <c r="B16">
        <f t="shared" si="0"/>
        <v>3</v>
      </c>
      <c r="C16" t="s">
        <v>2663</v>
      </c>
      <c r="D16" t="s">
        <v>2645</v>
      </c>
      <c r="E16" t="s">
        <v>1902</v>
      </c>
      <c r="F16" s="162">
        <v>6237</v>
      </c>
      <c r="G16" t="s">
        <v>2646</v>
      </c>
      <c r="H16" s="163">
        <v>45667</v>
      </c>
      <c r="I16" s="163">
        <v>46295</v>
      </c>
      <c r="J16" s="163"/>
      <c r="K16" t="s">
        <v>2647</v>
      </c>
      <c r="L16" t="b">
        <v>0</v>
      </c>
      <c r="O16" t="str">
        <v>Citizens Advice Limited</v>
      </c>
      <c r="P16">
        <f t="shared" ca="1" si="1"/>
        <v>56621</v>
      </c>
      <c r="U16" t="str">
        <v>Biffa Waste Services Ltd</v>
      </c>
      <c r="V16">
        <f t="shared" ca="1" si="2"/>
        <v>35891.571428571449</v>
      </c>
      <c r="W16">
        <f t="shared" si="3"/>
        <v>25350.000000000029</v>
      </c>
      <c r="X16">
        <f t="shared" si="4"/>
        <v>0</v>
      </c>
      <c r="Y16" s="181"/>
      <c r="AC16" t="str">
        <v>SSEN Transmission</v>
      </c>
      <c r="AD16" s="180">
        <f t="shared" ca="1" si="5"/>
        <v>7749.92</v>
      </c>
    </row>
    <row r="17" spans="1:30">
      <c r="A17" t="s">
        <v>120</v>
      </c>
      <c r="B17">
        <f t="shared" si="0"/>
        <v>3</v>
      </c>
      <c r="C17" t="s">
        <v>2663</v>
      </c>
      <c r="D17" t="s">
        <v>2653</v>
      </c>
      <c r="E17" t="s">
        <v>20</v>
      </c>
      <c r="F17" s="162">
        <v>6237</v>
      </c>
      <c r="G17" t="s">
        <v>2646</v>
      </c>
      <c r="H17" s="163">
        <v>45667</v>
      </c>
      <c r="I17" s="163">
        <v>46295</v>
      </c>
      <c r="J17" s="163"/>
      <c r="K17" t="s">
        <v>2647</v>
      </c>
      <c r="L17" t="b">
        <v>0</v>
      </c>
      <c r="O17" t="str">
        <v>Committee on Climate Change</v>
      </c>
      <c r="P17">
        <f t="shared" ca="1" si="1"/>
        <v>15100</v>
      </c>
      <c r="U17" t="str">
        <v>Bio Capital Ltd</v>
      </c>
      <c r="V17">
        <f t="shared" ca="1" si="2"/>
        <v>10000</v>
      </c>
      <c r="W17">
        <f t="shared" si="3"/>
        <v>0</v>
      </c>
      <c r="X17">
        <f t="shared" si="4"/>
        <v>4463</v>
      </c>
      <c r="Y17" s="181"/>
      <c r="AC17" t="str">
        <v>Switch Business Gas and Power Limited t/a Jellyfish Energy</v>
      </c>
      <c r="AD17" s="180">
        <f t="shared" ca="1" si="5"/>
        <v>10800</v>
      </c>
    </row>
    <row r="18" spans="1:30">
      <c r="A18" t="s">
        <v>2020</v>
      </c>
      <c r="B18">
        <f t="shared" si="0"/>
        <v>0</v>
      </c>
      <c r="C18" t="s">
        <v>2664</v>
      </c>
      <c r="D18" t="s">
        <v>2665</v>
      </c>
      <c r="E18" t="s">
        <v>2666</v>
      </c>
      <c r="F18" s="162">
        <v>6000</v>
      </c>
      <c r="G18" t="s">
        <v>2666</v>
      </c>
      <c r="H18" s="163">
        <v>46203</v>
      </c>
      <c r="I18" s="163">
        <v>46567</v>
      </c>
      <c r="J18" s="163"/>
      <c r="K18" t="s">
        <v>2667</v>
      </c>
      <c r="L18" t="b">
        <v>0</v>
      </c>
      <c r="O18" t="str">
        <v>Conrad Energy (Trading) Limited</v>
      </c>
      <c r="P18">
        <f t="shared" ca="1" si="1"/>
        <v>87117.857142857145</v>
      </c>
      <c r="U18" t="str">
        <v>Bluefield Renewables 1 Ltd</v>
      </c>
      <c r="V18">
        <f t="shared" ca="1" si="2"/>
        <v>37113</v>
      </c>
      <c r="W18">
        <f t="shared" si="3"/>
        <v>27500</v>
      </c>
      <c r="X18">
        <f t="shared" si="4"/>
        <v>0</v>
      </c>
      <c r="Y18" s="181"/>
      <c r="AC18" t="str">
        <v>Thames Water Utilities Limited</v>
      </c>
      <c r="AD18" s="180">
        <f t="shared" ca="1" si="5"/>
        <v>57452</v>
      </c>
    </row>
    <row r="19" spans="1:30">
      <c r="A19" t="s">
        <v>199</v>
      </c>
      <c r="B19">
        <f t="shared" si="0"/>
        <v>8</v>
      </c>
      <c r="C19" t="s">
        <v>2668</v>
      </c>
      <c r="D19" t="s">
        <v>2653</v>
      </c>
      <c r="E19" t="s">
        <v>20</v>
      </c>
      <c r="F19" s="162">
        <v>5850</v>
      </c>
      <c r="G19" t="s">
        <v>2646</v>
      </c>
      <c r="H19" s="163">
        <v>45918</v>
      </c>
      <c r="I19" s="163">
        <v>46282</v>
      </c>
      <c r="J19" s="163"/>
      <c r="K19" t="s">
        <v>2643</v>
      </c>
      <c r="L19" t="b">
        <v>0</v>
      </c>
      <c r="O19" t="str">
        <v>Constellation Energy Limited</v>
      </c>
      <c r="P19">
        <f t="shared" ca="1" si="1"/>
        <v>58606.142857142841</v>
      </c>
      <c r="U19" t="str">
        <v>Boom Power Ltd</v>
      </c>
      <c r="V19">
        <f t="shared" ca="1" si="2"/>
        <v>21250</v>
      </c>
      <c r="W19">
        <f t="shared" si="3"/>
        <v>0</v>
      </c>
      <c r="X19">
        <f t="shared" si="4"/>
        <v>17500</v>
      </c>
      <c r="Y19" s="181"/>
      <c r="AC19" t="str">
        <v>The Energy Consortium</v>
      </c>
      <c r="AD19" s="180">
        <f t="shared" ca="1" si="5"/>
        <v>34380</v>
      </c>
    </row>
    <row r="20" spans="1:30">
      <c r="A20" t="s">
        <v>199</v>
      </c>
      <c r="B20">
        <f t="shared" si="0"/>
        <v>8</v>
      </c>
      <c r="C20" t="s">
        <v>2668</v>
      </c>
      <c r="D20" t="s">
        <v>1808</v>
      </c>
      <c r="E20" t="s">
        <v>25</v>
      </c>
      <c r="F20" s="162">
        <v>2785.7142857142899</v>
      </c>
      <c r="G20" t="s">
        <v>2646</v>
      </c>
      <c r="H20" s="163">
        <v>45918</v>
      </c>
      <c r="I20" s="163">
        <v>46282</v>
      </c>
      <c r="J20" s="163"/>
      <c r="K20" t="s">
        <v>2643</v>
      </c>
      <c r="L20" t="b">
        <v>0</v>
      </c>
      <c r="O20" t="str">
        <v>Consumer Scotland</v>
      </c>
      <c r="P20">
        <f t="shared" ca="1" si="1"/>
        <v>30880</v>
      </c>
      <c r="U20" t="str">
        <v>Boralex Operations &amp; Development</v>
      </c>
      <c r="V20">
        <f t="shared" ca="1" si="2"/>
        <v>17187.5</v>
      </c>
      <c r="W20">
        <f t="shared" si="3"/>
        <v>0</v>
      </c>
      <c r="X20">
        <f t="shared" si="4"/>
        <v>15000</v>
      </c>
      <c r="Y20" s="181"/>
      <c r="AC20" t="str">
        <v>U4LUK RENEWABLES LTD</v>
      </c>
      <c r="AD20" s="180">
        <f t="shared" ca="1" si="5"/>
        <v>5400</v>
      </c>
    </row>
    <row r="21" spans="1:30">
      <c r="A21" t="s">
        <v>199</v>
      </c>
      <c r="B21">
        <f t="shared" si="0"/>
        <v>8</v>
      </c>
      <c r="C21" t="s">
        <v>2668</v>
      </c>
      <c r="D21" t="s">
        <v>1820</v>
      </c>
      <c r="E21" t="s">
        <v>25</v>
      </c>
      <c r="F21" s="162">
        <v>2785.7142857142899</v>
      </c>
      <c r="G21" t="s">
        <v>2646</v>
      </c>
      <c r="H21" s="163">
        <v>45918</v>
      </c>
      <c r="I21" s="163">
        <v>46282</v>
      </c>
      <c r="J21" s="163"/>
      <c r="K21" t="s">
        <v>2643</v>
      </c>
      <c r="L21" t="b">
        <v>0</v>
      </c>
      <c r="O21" t="str">
        <v>Co-operative Group Limited</v>
      </c>
      <c r="P21">
        <f t="shared" ca="1" si="1"/>
        <v>14327</v>
      </c>
      <c r="U21" t="str">
        <v>Boston Consulting Group UK LLP</v>
      </c>
      <c r="V21">
        <f t="shared" ca="1" si="2"/>
        <v>17187.5</v>
      </c>
      <c r="W21">
        <f t="shared" si="3"/>
        <v>4613</v>
      </c>
      <c r="X21">
        <f t="shared" si="4"/>
        <v>0</v>
      </c>
      <c r="Y21" s="181"/>
      <c r="AC21" t="str">
        <v>West of England Combined Authority</v>
      </c>
      <c r="AD21" s="180">
        <f t="shared" ca="1" si="5"/>
        <v>26340</v>
      </c>
    </row>
    <row r="22" spans="1:30">
      <c r="A22" t="s">
        <v>199</v>
      </c>
      <c r="B22">
        <f t="shared" si="0"/>
        <v>8</v>
      </c>
      <c r="C22" t="s">
        <v>2668</v>
      </c>
      <c r="D22" t="s">
        <v>1819</v>
      </c>
      <c r="E22" t="s">
        <v>25</v>
      </c>
      <c r="F22" s="162">
        <v>2785.7142857142899</v>
      </c>
      <c r="G22" t="s">
        <v>2646</v>
      </c>
      <c r="H22" s="163">
        <v>45918</v>
      </c>
      <c r="I22" s="163">
        <v>46282</v>
      </c>
      <c r="J22" s="163"/>
      <c r="K22" t="s">
        <v>2643</v>
      </c>
      <c r="L22" t="b">
        <v>0</v>
      </c>
      <c r="O22" t="str">
        <v>Copenhagen Infrastructure Service Company LTD</v>
      </c>
      <c r="P22">
        <f t="shared" ca="1" si="1"/>
        <v>25142</v>
      </c>
      <c r="U22" t="str">
        <v>British Gas Trading Ltd</v>
      </c>
      <c r="V22">
        <f t="shared" ca="1" si="2"/>
        <v>224507.23000000013</v>
      </c>
      <c r="W22">
        <f t="shared" si="3"/>
        <v>0</v>
      </c>
      <c r="X22">
        <f t="shared" si="4"/>
        <v>193990.00000000017</v>
      </c>
      <c r="Y22" s="181"/>
      <c r="AC22" t="str">
        <v>Xela Energy Ltd</v>
      </c>
      <c r="AD22" s="180">
        <f t="shared" ca="1" si="5"/>
        <v>10000</v>
      </c>
    </row>
    <row r="23" spans="1:30">
      <c r="A23" t="s">
        <v>199</v>
      </c>
      <c r="B23">
        <f t="shared" si="0"/>
        <v>8</v>
      </c>
      <c r="C23" t="s">
        <v>2668</v>
      </c>
      <c r="D23" t="s">
        <v>1826</v>
      </c>
      <c r="E23" t="s">
        <v>25</v>
      </c>
      <c r="F23" s="162">
        <v>2785.7142857142899</v>
      </c>
      <c r="G23" t="s">
        <v>2646</v>
      </c>
      <c r="H23" s="163">
        <v>45918</v>
      </c>
      <c r="I23" s="163">
        <v>46282</v>
      </c>
      <c r="J23" s="163"/>
      <c r="K23" t="s">
        <v>2643</v>
      </c>
      <c r="L23" t="b">
        <v>0</v>
      </c>
      <c r="O23" t="str">
        <v>Corona Energy Retail Ltd</v>
      </c>
      <c r="P23">
        <f t="shared" ca="1" si="1"/>
        <v>96600</v>
      </c>
      <c r="U23" t="str">
        <v>Brook Green Supply Limited</v>
      </c>
      <c r="V23">
        <f t="shared" ca="1" si="2"/>
        <v>78088</v>
      </c>
      <c r="W23">
        <f t="shared" si="3"/>
        <v>0</v>
      </c>
      <c r="X23">
        <f t="shared" si="4"/>
        <v>72646</v>
      </c>
      <c r="Y23" s="181"/>
      <c r="AC23" t="str">
        <v>YnNi Teg</v>
      </c>
      <c r="AD23" s="180">
        <f t="shared" ca="1" si="5"/>
        <v>13000</v>
      </c>
    </row>
    <row r="24" spans="1:30">
      <c r="A24" t="s">
        <v>199</v>
      </c>
      <c r="B24">
        <f t="shared" si="0"/>
        <v>8</v>
      </c>
      <c r="C24" t="s">
        <v>2668</v>
      </c>
      <c r="D24" t="s">
        <v>1916</v>
      </c>
      <c r="E24" t="s">
        <v>25</v>
      </c>
      <c r="F24" s="162">
        <v>2785.7142857142899</v>
      </c>
      <c r="G24" t="s">
        <v>2646</v>
      </c>
      <c r="H24" s="163">
        <v>45918</v>
      </c>
      <c r="I24" s="163">
        <v>46282</v>
      </c>
      <c r="J24" s="163"/>
      <c r="K24" t="s">
        <v>2643</v>
      </c>
      <c r="L24" t="b">
        <v>0</v>
      </c>
      <c r="O24" t="str">
        <v>Crown Gas and Power</v>
      </c>
      <c r="P24">
        <f t="shared" ca="1" si="1"/>
        <v>246309.74999999994</v>
      </c>
      <c r="U24" t="str">
        <v>BSR Group Holdings Limited</v>
      </c>
      <c r="V24">
        <f t="shared" ca="1" si="2"/>
        <v>2500</v>
      </c>
      <c r="W24">
        <f t="shared" si="3"/>
        <v>0</v>
      </c>
      <c r="X24">
        <f t="shared" si="4"/>
        <v>10350</v>
      </c>
      <c r="Y24" s="181"/>
    </row>
    <row r="25" spans="1:30">
      <c r="A25" t="s">
        <v>199</v>
      </c>
      <c r="B25">
        <f t="shared" si="0"/>
        <v>8</v>
      </c>
      <c r="C25" t="s">
        <v>2668</v>
      </c>
      <c r="D25" t="s">
        <v>1833</v>
      </c>
      <c r="E25" t="s">
        <v>25</v>
      </c>
      <c r="F25" s="162">
        <v>2785.7142857142899</v>
      </c>
      <c r="G25" t="s">
        <v>2646</v>
      </c>
      <c r="H25" s="163">
        <v>45918</v>
      </c>
      <c r="I25" s="163">
        <v>46282</v>
      </c>
      <c r="J25" s="163"/>
      <c r="K25" t="s">
        <v>2643</v>
      </c>
      <c r="L25" t="b">
        <v>0</v>
      </c>
      <c r="O25" t="str">
        <v>Department for Energy &amp; Net Zero</v>
      </c>
      <c r="P25">
        <f t="shared" ca="1" si="1"/>
        <v>92688.599999999977</v>
      </c>
      <c r="U25" t="str">
        <v>Bute Energy Ltd</v>
      </c>
      <c r="V25">
        <f t="shared" ca="1" si="2"/>
        <v>24274.666666666672</v>
      </c>
      <c r="W25">
        <f t="shared" si="3"/>
        <v>13350</v>
      </c>
      <c r="X25">
        <f t="shared" si="4"/>
        <v>0</v>
      </c>
      <c r="Y25" s="181"/>
    </row>
    <row r="26" spans="1:30">
      <c r="A26" t="s">
        <v>199</v>
      </c>
      <c r="B26">
        <f t="shared" si="0"/>
        <v>8</v>
      </c>
      <c r="C26" t="s">
        <v>2668</v>
      </c>
      <c r="D26" t="s">
        <v>1838</v>
      </c>
      <c r="E26" t="s">
        <v>25</v>
      </c>
      <c r="F26" s="162">
        <v>2785.7142857142899</v>
      </c>
      <c r="G26" t="s">
        <v>2646</v>
      </c>
      <c r="H26" s="163">
        <v>45918</v>
      </c>
      <c r="I26" s="163">
        <v>46282</v>
      </c>
      <c r="J26" s="163"/>
      <c r="K26" t="s">
        <v>2643</v>
      </c>
      <c r="L26" t="b">
        <v>0</v>
      </c>
      <c r="O26" t="str">
        <v>DNV Services UK Limited</v>
      </c>
      <c r="P26">
        <f t="shared" ca="1" si="1"/>
        <v>8297.6939999999995</v>
      </c>
      <c r="U26" t="str">
        <v>Cambridge Economic Policy Associates Limited</v>
      </c>
      <c r="V26">
        <f t="shared" ca="1" si="2"/>
        <v>13333.333333333339</v>
      </c>
      <c r="W26">
        <f t="shared" si="3"/>
        <v>8642</v>
      </c>
      <c r="X26">
        <f t="shared" si="4"/>
        <v>0</v>
      </c>
      <c r="Y26" s="181"/>
    </row>
    <row r="27" spans="1:30">
      <c r="A27" t="s">
        <v>200</v>
      </c>
      <c r="B27">
        <f t="shared" si="0"/>
        <v>0</v>
      </c>
      <c r="C27" t="s">
        <v>2669</v>
      </c>
      <c r="D27" t="s">
        <v>1808</v>
      </c>
      <c r="E27" t="s">
        <v>25</v>
      </c>
      <c r="F27" s="162">
        <v>4463</v>
      </c>
      <c r="G27" t="s">
        <v>2646</v>
      </c>
      <c r="H27" s="163">
        <v>45665</v>
      </c>
      <c r="I27" s="163">
        <v>46234</v>
      </c>
      <c r="J27" s="163"/>
      <c r="K27" t="s">
        <v>2656</v>
      </c>
      <c r="L27" t="b">
        <v>0</v>
      </c>
      <c r="O27" t="str">
        <v>Drax Corporate Limited</v>
      </c>
      <c r="P27">
        <f t="shared" ca="1" si="1"/>
        <v>63506.940999999897</v>
      </c>
      <c r="U27" t="str">
        <v>Cargill Plc</v>
      </c>
      <c r="V27">
        <f t="shared" ca="1" si="2"/>
        <v>11357.14285714287</v>
      </c>
      <c r="W27">
        <f t="shared" si="3"/>
        <v>0</v>
      </c>
      <c r="X27">
        <f t="shared" si="4"/>
        <v>20000.000000000007</v>
      </c>
      <c r="Y27" s="181"/>
      <c r="AC27" s="163">
        <v>46844</v>
      </c>
    </row>
    <row r="28" spans="1:30">
      <c r="A28" t="s">
        <v>1984</v>
      </c>
      <c r="B28">
        <f t="shared" si="0"/>
        <v>3</v>
      </c>
      <c r="C28" t="s">
        <v>2670</v>
      </c>
      <c r="D28" t="s">
        <v>1819</v>
      </c>
      <c r="E28" t="s">
        <v>25</v>
      </c>
      <c r="F28" s="162">
        <v>7500</v>
      </c>
      <c r="G28" t="s">
        <v>2646</v>
      </c>
      <c r="H28" s="163">
        <v>46046</v>
      </c>
      <c r="I28" s="163">
        <v>46410</v>
      </c>
      <c r="J28" s="163"/>
      <c r="K28" t="s">
        <v>2671</v>
      </c>
      <c r="L28" t="b">
        <v>0</v>
      </c>
      <c r="O28" t="str">
        <v>E.ON Energy Solutions Ltd</v>
      </c>
      <c r="P28">
        <f t="shared" ca="1" si="1"/>
        <v>152947.06499999992</v>
      </c>
      <c r="U28" t="str">
        <v>Centrica Energy Limited</v>
      </c>
      <c r="V28">
        <f t="shared" ca="1" si="2"/>
        <v>61845.857142857159</v>
      </c>
      <c r="W28">
        <f t="shared" si="3"/>
        <v>0</v>
      </c>
      <c r="X28">
        <f t="shared" si="4"/>
        <v>26500.000000000029</v>
      </c>
      <c r="Y28" s="181"/>
    </row>
    <row r="29" spans="1:30">
      <c r="A29" t="s">
        <v>1984</v>
      </c>
      <c r="B29">
        <f t="shared" si="0"/>
        <v>3</v>
      </c>
      <c r="C29" t="s">
        <v>2670</v>
      </c>
      <c r="D29" t="s">
        <v>1820</v>
      </c>
      <c r="E29" t="s">
        <v>25</v>
      </c>
      <c r="F29" s="162">
        <v>10000</v>
      </c>
      <c r="G29" t="s">
        <v>2646</v>
      </c>
      <c r="H29" s="163">
        <v>46046</v>
      </c>
      <c r="I29" s="163">
        <v>46410</v>
      </c>
      <c r="J29" s="163"/>
      <c r="K29" t="s">
        <v>2671</v>
      </c>
      <c r="L29" t="b">
        <v>0</v>
      </c>
      <c r="O29" t="str">
        <v>Ecotricity Group Ltd</v>
      </c>
      <c r="P29">
        <f t="shared" ca="1" si="1"/>
        <v>99772.139999999985</v>
      </c>
      <c r="U29" t="str">
        <v>Cicero Consulting Ltd</v>
      </c>
      <c r="V29">
        <f t="shared" ca="1" si="2"/>
        <v>11288</v>
      </c>
      <c r="W29">
        <f t="shared" si="3"/>
        <v>3924</v>
      </c>
      <c r="X29">
        <f t="shared" si="4"/>
        <v>0</v>
      </c>
      <c r="Y29" s="181"/>
    </row>
    <row r="30" spans="1:30">
      <c r="A30" t="s">
        <v>1984</v>
      </c>
      <c r="B30">
        <f t="shared" si="0"/>
        <v>3</v>
      </c>
      <c r="C30" t="s">
        <v>2670</v>
      </c>
      <c r="D30" t="s">
        <v>2653</v>
      </c>
      <c r="E30" t="s">
        <v>20</v>
      </c>
      <c r="F30" s="162">
        <v>10000</v>
      </c>
      <c r="G30" t="s">
        <v>2646</v>
      </c>
      <c r="H30" s="163">
        <v>46046</v>
      </c>
      <c r="I30" s="163">
        <v>46410</v>
      </c>
      <c r="J30" s="163"/>
      <c r="K30" t="s">
        <v>2671</v>
      </c>
      <c r="L30" t="b">
        <v>0</v>
      </c>
      <c r="O30" t="str">
        <v>EDF Energy Customers Limited</v>
      </c>
      <c r="P30">
        <f t="shared" ca="1" si="1"/>
        <v>377170</v>
      </c>
      <c r="U30" t="str">
        <v>Citizens Advice Limited</v>
      </c>
      <c r="V30">
        <f t="shared" ca="1" si="2"/>
        <v>56621</v>
      </c>
      <c r="W30">
        <f t="shared" si="3"/>
        <v>60000</v>
      </c>
      <c r="X30">
        <f t="shared" si="4"/>
        <v>0</v>
      </c>
      <c r="Y30" s="181"/>
    </row>
    <row r="31" spans="1:30">
      <c r="A31" t="s">
        <v>490</v>
      </c>
      <c r="B31">
        <f t="shared" si="0"/>
        <v>0</v>
      </c>
      <c r="C31" t="s">
        <v>2672</v>
      </c>
      <c r="D31" t="s">
        <v>2624</v>
      </c>
      <c r="E31" t="s">
        <v>31</v>
      </c>
      <c r="F31" s="162">
        <v>17500</v>
      </c>
      <c r="G31" t="s">
        <v>1705</v>
      </c>
      <c r="H31" s="163">
        <v>46025</v>
      </c>
      <c r="I31" s="163">
        <v>46446</v>
      </c>
      <c r="J31" s="163"/>
      <c r="K31" t="s">
        <v>2671</v>
      </c>
      <c r="L31" t="b">
        <v>0</v>
      </c>
      <c r="O31" t="str">
        <v>EDF Power Solutions UK and Ireland</v>
      </c>
      <c r="P31">
        <f t="shared" ca="1" si="1"/>
        <v>51849.989999999983</v>
      </c>
      <c r="U31" t="str">
        <v>Click Energy</v>
      </c>
      <c r="V31">
        <f t="shared" ca="1" si="2"/>
        <v>7300</v>
      </c>
      <c r="W31">
        <f t="shared" si="3"/>
        <v>0</v>
      </c>
      <c r="X31">
        <f t="shared" si="4"/>
        <v>8870</v>
      </c>
      <c r="Y31" s="181"/>
    </row>
    <row r="32" spans="1:30">
      <c r="A32" t="s">
        <v>1967</v>
      </c>
      <c r="B32">
        <f t="shared" si="0"/>
        <v>0</v>
      </c>
      <c r="C32" t="s">
        <v>2673</v>
      </c>
      <c r="D32" t="s">
        <v>2624</v>
      </c>
      <c r="E32" t="s">
        <v>31</v>
      </c>
      <c r="F32" s="162">
        <v>15000</v>
      </c>
      <c r="G32" t="s">
        <v>2642</v>
      </c>
      <c r="H32" s="163">
        <v>46008</v>
      </c>
      <c r="I32" s="163">
        <v>46372</v>
      </c>
      <c r="J32" s="163"/>
      <c r="K32" t="s">
        <v>2656</v>
      </c>
      <c r="L32" t="b">
        <v>0</v>
      </c>
      <c r="O32" t="str">
        <v>EDW Technology Ltd</v>
      </c>
      <c r="P32">
        <f t="shared" ca="1" si="1"/>
        <v>6810</v>
      </c>
      <c r="U32" t="str">
        <v>Committee on Climate Change</v>
      </c>
      <c r="V32">
        <f t="shared" ca="1" si="2"/>
        <v>15100</v>
      </c>
      <c r="W32">
        <f t="shared" si="3"/>
        <v>3938</v>
      </c>
      <c r="X32">
        <f t="shared" si="4"/>
        <v>0</v>
      </c>
      <c r="Y32" s="181"/>
    </row>
    <row r="33" spans="1:25">
      <c r="A33" t="s">
        <v>1154</v>
      </c>
      <c r="B33">
        <f t="shared" si="0"/>
        <v>1</v>
      </c>
      <c r="C33" t="s">
        <v>2674</v>
      </c>
      <c r="D33" t="s">
        <v>2653</v>
      </c>
      <c r="E33" t="s">
        <v>20</v>
      </c>
      <c r="F33" s="162">
        <v>4613</v>
      </c>
      <c r="G33" t="s">
        <v>2646</v>
      </c>
      <c r="H33" s="163">
        <v>45986</v>
      </c>
      <c r="I33" s="163">
        <v>46350</v>
      </c>
      <c r="J33" s="163"/>
      <c r="K33" t="s">
        <v>2656</v>
      </c>
      <c r="L33" t="b">
        <v>0</v>
      </c>
      <c r="O33" t="str">
        <v>ElectraLink Limited</v>
      </c>
      <c r="P33">
        <f t="shared" ca="1" si="1"/>
        <v>15705</v>
      </c>
      <c r="U33" t="str">
        <v>Conrad Energy (Trading) Limited</v>
      </c>
      <c r="V33">
        <f t="shared" ca="1" si="2"/>
        <v>87117.857142857145</v>
      </c>
      <c r="W33">
        <f t="shared" si="3"/>
        <v>86755</v>
      </c>
      <c r="X33">
        <f t="shared" si="4"/>
        <v>0</v>
      </c>
      <c r="Y33" s="181"/>
    </row>
    <row r="34" spans="1:25">
      <c r="A34" t="s">
        <v>56</v>
      </c>
      <c r="B34">
        <f t="shared" si="0"/>
        <v>0</v>
      </c>
      <c r="C34" t="s">
        <v>2675</v>
      </c>
      <c r="D34" t="s">
        <v>1813</v>
      </c>
      <c r="E34" t="s">
        <v>21</v>
      </c>
      <c r="F34" s="162">
        <v>21250</v>
      </c>
      <c r="G34" t="s">
        <v>2646</v>
      </c>
      <c r="H34" s="163">
        <v>45666</v>
      </c>
      <c r="I34" s="163">
        <v>46265</v>
      </c>
      <c r="J34" s="163"/>
      <c r="K34" t="s">
        <v>2667</v>
      </c>
      <c r="L34" t="b">
        <v>0</v>
      </c>
      <c r="O34" t="str">
        <v>Elexon Limited</v>
      </c>
      <c r="P34">
        <f t="shared" ca="1" si="1"/>
        <v>3562</v>
      </c>
      <c r="U34" t="str">
        <v>Constellation Energy Limited</v>
      </c>
      <c r="V34">
        <f t="shared" ca="1" si="2"/>
        <v>58606.142857142841</v>
      </c>
      <c r="W34">
        <f t="shared" si="3"/>
        <v>53299.999999999971</v>
      </c>
      <c r="X34">
        <f t="shared" si="4"/>
        <v>0</v>
      </c>
      <c r="Y34" s="181"/>
    </row>
    <row r="35" spans="1:25">
      <c r="A35" t="s">
        <v>56</v>
      </c>
      <c r="B35">
        <f t="shared" si="0"/>
        <v>0</v>
      </c>
      <c r="C35" t="s">
        <v>2675</v>
      </c>
      <c r="D35" t="s">
        <v>1813</v>
      </c>
      <c r="E35" t="s">
        <v>21</v>
      </c>
      <c r="F35" s="162">
        <v>17187.5</v>
      </c>
      <c r="G35" t="s">
        <v>2646</v>
      </c>
      <c r="H35" s="163">
        <v>45666</v>
      </c>
      <c r="I35" s="163">
        <v>46265</v>
      </c>
      <c r="J35" s="163"/>
      <c r="K35" t="s">
        <v>2667</v>
      </c>
      <c r="L35" t="b">
        <v>0</v>
      </c>
      <c r="O35" t="str">
        <v>Eneco Energy Trade B.V.</v>
      </c>
      <c r="P35">
        <f t="shared" ca="1" si="1"/>
        <v>51386</v>
      </c>
      <c r="U35" t="str">
        <v>Consultus International UK (The Energy Brokers) Limited</v>
      </c>
      <c r="V35">
        <f t="shared" ca="1" si="2"/>
        <v>15000</v>
      </c>
      <c r="W35">
        <f t="shared" si="3"/>
        <v>0</v>
      </c>
      <c r="X35">
        <f t="shared" si="4"/>
        <v>32949</v>
      </c>
      <c r="Y35" s="181"/>
    </row>
    <row r="36" spans="1:25">
      <c r="A36" t="s">
        <v>56</v>
      </c>
      <c r="B36">
        <f t="shared" si="0"/>
        <v>0</v>
      </c>
      <c r="C36" t="s">
        <v>2675</v>
      </c>
      <c r="D36" t="s">
        <v>1823</v>
      </c>
      <c r="E36" t="s">
        <v>21</v>
      </c>
      <c r="F36" s="162">
        <v>17187.5</v>
      </c>
      <c r="G36" t="s">
        <v>2646</v>
      </c>
      <c r="H36" s="163">
        <v>45666</v>
      </c>
      <c r="I36" s="163">
        <v>46265</v>
      </c>
      <c r="J36" s="163"/>
      <c r="K36" t="s">
        <v>2667</v>
      </c>
      <c r="L36" t="b">
        <v>0</v>
      </c>
      <c r="O36" t="str">
        <v>Energia</v>
      </c>
      <c r="P36">
        <f t="shared" ca="1" si="1"/>
        <v>25990</v>
      </c>
      <c r="U36" t="str">
        <v>Consumer Scotland</v>
      </c>
      <c r="V36">
        <f t="shared" ca="1" si="2"/>
        <v>30880</v>
      </c>
      <c r="W36">
        <f t="shared" si="3"/>
        <v>10000</v>
      </c>
      <c r="X36">
        <f t="shared" si="4"/>
        <v>0</v>
      </c>
      <c r="Y36" s="181"/>
    </row>
    <row r="37" spans="1:25">
      <c r="A37" t="s">
        <v>56</v>
      </c>
      <c r="B37">
        <f t="shared" si="0"/>
        <v>0</v>
      </c>
      <c r="C37" t="s">
        <v>2675</v>
      </c>
      <c r="D37" t="s">
        <v>1830</v>
      </c>
      <c r="E37" t="s">
        <v>21</v>
      </c>
      <c r="F37" s="162">
        <v>17187.5</v>
      </c>
      <c r="G37" t="s">
        <v>2646</v>
      </c>
      <c r="H37" s="163">
        <v>45666</v>
      </c>
      <c r="I37" s="163">
        <v>46265</v>
      </c>
      <c r="J37" s="163"/>
      <c r="K37" t="s">
        <v>2667</v>
      </c>
      <c r="L37" t="b">
        <v>0</v>
      </c>
      <c r="O37" t="str">
        <v>Energy Developments (UK) Limited</v>
      </c>
      <c r="P37">
        <f t="shared" ca="1" si="1"/>
        <v>22232</v>
      </c>
      <c r="U37" t="str">
        <v>Co-operative Group Limited</v>
      </c>
      <c r="V37">
        <f t="shared" ca="1" si="2"/>
        <v>14327</v>
      </c>
      <c r="W37">
        <f t="shared" si="3"/>
        <v>40880</v>
      </c>
      <c r="X37">
        <f t="shared" si="4"/>
        <v>0</v>
      </c>
      <c r="Y37" s="181"/>
    </row>
    <row r="38" spans="1:25">
      <c r="A38" t="s">
        <v>56</v>
      </c>
      <c r="B38">
        <f t="shared" si="0"/>
        <v>0</v>
      </c>
      <c r="C38" t="s">
        <v>2675</v>
      </c>
      <c r="D38" t="s">
        <v>1836</v>
      </c>
      <c r="E38" t="s">
        <v>21</v>
      </c>
      <c r="F38" s="162">
        <v>17187.5</v>
      </c>
      <c r="G38" t="s">
        <v>2646</v>
      </c>
      <c r="H38" s="163">
        <v>45666</v>
      </c>
      <c r="I38" s="163">
        <v>46265</v>
      </c>
      <c r="J38" s="163"/>
      <c r="K38" t="s">
        <v>2667</v>
      </c>
      <c r="L38" t="b">
        <v>0</v>
      </c>
      <c r="O38" t="str">
        <v>Energy Exemplar (Europe) Limited</v>
      </c>
      <c r="P38">
        <f t="shared" ca="1" si="1"/>
        <v>16902</v>
      </c>
      <c r="U38" t="str">
        <v>Copenhagen Infrastructure Service Company LTD</v>
      </c>
      <c r="V38">
        <f t="shared" ca="1" si="2"/>
        <v>25142</v>
      </c>
      <c r="W38">
        <f t="shared" si="3"/>
        <v>16005</v>
      </c>
      <c r="X38">
        <f t="shared" si="4"/>
        <v>0</v>
      </c>
      <c r="Y38" s="181"/>
    </row>
    <row r="39" spans="1:25">
      <c r="A39" t="s">
        <v>56</v>
      </c>
      <c r="B39">
        <f t="shared" si="0"/>
        <v>0</v>
      </c>
      <c r="C39" t="s">
        <v>2676</v>
      </c>
      <c r="D39" t="s">
        <v>1810</v>
      </c>
      <c r="E39" t="s">
        <v>21</v>
      </c>
      <c r="F39" s="162">
        <v>11306.666666666701</v>
      </c>
      <c r="G39" t="s">
        <v>2646</v>
      </c>
      <c r="H39" s="163">
        <v>46023</v>
      </c>
      <c r="I39" s="163">
        <v>46387</v>
      </c>
      <c r="J39" s="163"/>
      <c r="K39" t="s">
        <v>2667</v>
      </c>
      <c r="L39" t="b">
        <v>0</v>
      </c>
      <c r="O39" t="str">
        <v>Energy Intensive Users Group (EIUG)</v>
      </c>
      <c r="P39">
        <f t="shared" ca="1" si="1"/>
        <v>24950</v>
      </c>
      <c r="U39" t="str">
        <v>Corona Energy Retail Ltd</v>
      </c>
      <c r="V39">
        <f t="shared" ca="1" si="2"/>
        <v>96600</v>
      </c>
      <c r="W39">
        <f t="shared" si="3"/>
        <v>87564.000000000015</v>
      </c>
      <c r="X39">
        <f t="shared" si="4"/>
        <v>0</v>
      </c>
      <c r="Y39" s="181"/>
    </row>
    <row r="40" spans="1:25">
      <c r="A40" t="s">
        <v>56</v>
      </c>
      <c r="B40">
        <f t="shared" si="0"/>
        <v>0</v>
      </c>
      <c r="C40" t="s">
        <v>2676</v>
      </c>
      <c r="D40" t="s">
        <v>1821</v>
      </c>
      <c r="E40" t="s">
        <v>21</v>
      </c>
      <c r="F40" s="162">
        <v>11306.666666666701</v>
      </c>
      <c r="G40" t="s">
        <v>2646</v>
      </c>
      <c r="H40" s="163">
        <v>46023</v>
      </c>
      <c r="I40" s="163">
        <v>46387</v>
      </c>
      <c r="J40" s="163"/>
      <c r="K40" t="s">
        <v>2667</v>
      </c>
      <c r="L40" t="b">
        <v>0</v>
      </c>
      <c r="O40" t="str">
        <v>Energy Systems Catapult Limited</v>
      </c>
      <c r="P40">
        <f t="shared" ca="1" si="1"/>
        <v>25960</v>
      </c>
      <c r="U40" t="str">
        <v>Crown Gas and Power</v>
      </c>
      <c r="V40">
        <f t="shared" ca="1" si="2"/>
        <v>246309.74999999994</v>
      </c>
      <c r="W40">
        <f t="shared" si="3"/>
        <v>74000.000000000029</v>
      </c>
      <c r="X40">
        <f t="shared" si="4"/>
        <v>0</v>
      </c>
      <c r="Y40" s="181"/>
    </row>
    <row r="41" spans="1:25">
      <c r="A41" t="s">
        <v>56</v>
      </c>
      <c r="B41">
        <f t="shared" si="0"/>
        <v>0</v>
      </c>
      <c r="C41" t="s">
        <v>2676</v>
      </c>
      <c r="D41" t="s">
        <v>1828</v>
      </c>
      <c r="E41" t="s">
        <v>21</v>
      </c>
      <c r="F41" s="162">
        <v>11306.666666666701</v>
      </c>
      <c r="G41" t="s">
        <v>2646</v>
      </c>
      <c r="H41" s="163">
        <v>46023</v>
      </c>
      <c r="I41" s="163">
        <v>46387</v>
      </c>
      <c r="J41" s="163"/>
      <c r="K41" t="s">
        <v>2667</v>
      </c>
      <c r="L41" t="b">
        <v>0</v>
      </c>
      <c r="O41" t="str">
        <v>Enfinium Limited</v>
      </c>
      <c r="P41">
        <f t="shared" ca="1" si="1"/>
        <v>23096.291999999998</v>
      </c>
      <c r="U41" t="str">
        <v>Danske Commodities</v>
      </c>
      <c r="V41">
        <f t="shared" ca="1" si="2"/>
        <v>8821.75</v>
      </c>
      <c r="W41">
        <f t="shared" si="3"/>
        <v>0</v>
      </c>
      <c r="X41">
        <f t="shared" si="4"/>
        <v>9500</v>
      </c>
      <c r="Y41" s="181"/>
    </row>
    <row r="42" spans="1:25">
      <c r="A42" t="s">
        <v>56</v>
      </c>
      <c r="B42">
        <f t="shared" si="0"/>
        <v>0</v>
      </c>
      <c r="C42" t="s">
        <v>2676</v>
      </c>
      <c r="D42" t="s">
        <v>1835</v>
      </c>
      <c r="E42" t="s">
        <v>21</v>
      </c>
      <c r="F42" s="162">
        <v>11306.666666666701</v>
      </c>
      <c r="G42" t="s">
        <v>2646</v>
      </c>
      <c r="H42" s="163">
        <v>46023</v>
      </c>
      <c r="I42" s="163">
        <v>46387</v>
      </c>
      <c r="J42" s="163"/>
      <c r="K42" t="s">
        <v>2667</v>
      </c>
      <c r="L42" t="b">
        <v>0</v>
      </c>
      <c r="O42" t="str">
        <v>ENGIE Power Limited</v>
      </c>
      <c r="P42">
        <f t="shared" ca="1" si="1"/>
        <v>152276.70800000004</v>
      </c>
      <c r="U42" t="str">
        <v>Department for Energy &amp; Net Zero</v>
      </c>
      <c r="V42">
        <f t="shared" ca="1" si="2"/>
        <v>92688.599999999977</v>
      </c>
      <c r="W42">
        <f t="shared" si="3"/>
        <v>0</v>
      </c>
      <c r="X42">
        <f t="shared" si="4"/>
        <v>0</v>
      </c>
      <c r="Y42" s="181"/>
    </row>
    <row r="43" spans="1:25">
      <c r="A43" t="s">
        <v>56</v>
      </c>
      <c r="B43">
        <f t="shared" si="0"/>
        <v>0</v>
      </c>
      <c r="C43" t="s">
        <v>2676</v>
      </c>
      <c r="D43" t="s">
        <v>1841</v>
      </c>
      <c r="E43" t="s">
        <v>21</v>
      </c>
      <c r="F43" s="162">
        <v>11306.666666666701</v>
      </c>
      <c r="G43" t="s">
        <v>2646</v>
      </c>
      <c r="H43" s="163">
        <v>46023</v>
      </c>
      <c r="I43" s="163">
        <v>46387</v>
      </c>
      <c r="J43" s="163"/>
      <c r="K43" t="s">
        <v>2667</v>
      </c>
      <c r="L43" t="b">
        <v>0</v>
      </c>
      <c r="O43" t="str">
        <v>Ensek Limited</v>
      </c>
      <c r="P43">
        <f t="shared" ca="1" si="1"/>
        <v>12666.666666666661</v>
      </c>
      <c r="U43" t="str">
        <v>Department for the Economy (NI)</v>
      </c>
      <c r="V43">
        <f t="shared" ca="1" si="2"/>
        <v>19652.43</v>
      </c>
      <c r="W43">
        <f t="shared" si="3"/>
        <v>0</v>
      </c>
      <c r="X43">
        <f t="shared" si="4"/>
        <v>8070</v>
      </c>
      <c r="Y43" s="181"/>
    </row>
    <row r="44" spans="1:25">
      <c r="A44" t="s">
        <v>56</v>
      </c>
      <c r="B44">
        <f t="shared" si="0"/>
        <v>0</v>
      </c>
      <c r="C44" t="s">
        <v>2676</v>
      </c>
      <c r="D44" t="s">
        <v>1843</v>
      </c>
      <c r="E44" t="s">
        <v>21</v>
      </c>
      <c r="F44" s="162">
        <v>11306.666666666701</v>
      </c>
      <c r="G44" t="s">
        <v>2646</v>
      </c>
      <c r="H44" s="163">
        <v>46023</v>
      </c>
      <c r="I44" s="163">
        <v>46387</v>
      </c>
      <c r="J44" s="163"/>
      <c r="K44" t="s">
        <v>2667</v>
      </c>
      <c r="L44" t="b">
        <v>0</v>
      </c>
      <c r="O44" t="str">
        <v>EPEX SPOT SE</v>
      </c>
      <c r="P44">
        <f t="shared" ca="1" si="1"/>
        <v>6333.3333333333303</v>
      </c>
      <c r="U44" t="str">
        <v>DNV Services UK Limited</v>
      </c>
      <c r="V44">
        <f t="shared" ca="1" si="2"/>
        <v>8297.6939999999995</v>
      </c>
      <c r="W44">
        <f t="shared" si="3"/>
        <v>8610</v>
      </c>
      <c r="X44">
        <f t="shared" si="4"/>
        <v>0</v>
      </c>
      <c r="Y44" s="181"/>
    </row>
    <row r="45" spans="1:25">
      <c r="A45" t="s">
        <v>56</v>
      </c>
      <c r="B45">
        <f t="shared" si="0"/>
        <v>0</v>
      </c>
      <c r="C45" t="s">
        <v>2677</v>
      </c>
      <c r="D45" t="s">
        <v>1811</v>
      </c>
      <c r="E45" t="s">
        <v>23</v>
      </c>
      <c r="F45" s="162">
        <v>12050</v>
      </c>
      <c r="G45" t="s">
        <v>2646</v>
      </c>
      <c r="H45" s="163">
        <v>46025</v>
      </c>
      <c r="I45" s="163">
        <v>46446</v>
      </c>
      <c r="J45" s="163"/>
      <c r="K45" t="s">
        <v>2667</v>
      </c>
      <c r="L45" t="b">
        <v>0</v>
      </c>
      <c r="O45" t="str">
        <v>EPG Energy Limited</v>
      </c>
      <c r="P45">
        <f t="shared" ca="1" si="1"/>
        <v>33000</v>
      </c>
      <c r="U45" t="str">
        <v>Drax Corporate Limited</v>
      </c>
      <c r="V45">
        <f t="shared" ca="1" si="2"/>
        <v>63506.940999999897</v>
      </c>
      <c r="W45">
        <f t="shared" si="3"/>
        <v>80171.000000000015</v>
      </c>
      <c r="X45">
        <f t="shared" si="4"/>
        <v>0</v>
      </c>
      <c r="Y45" s="181"/>
    </row>
    <row r="46" spans="1:25">
      <c r="A46" t="s">
        <v>56</v>
      </c>
      <c r="B46">
        <f t="shared" si="0"/>
        <v>0</v>
      </c>
      <c r="C46" t="s">
        <v>2677</v>
      </c>
      <c r="D46" t="s">
        <v>1822</v>
      </c>
      <c r="E46" t="s">
        <v>23</v>
      </c>
      <c r="F46" s="162">
        <v>12050</v>
      </c>
      <c r="G46" t="s">
        <v>2646</v>
      </c>
      <c r="H46" s="163">
        <v>46025</v>
      </c>
      <c r="I46" s="163">
        <v>46446</v>
      </c>
      <c r="J46" s="163"/>
      <c r="K46" t="s">
        <v>2667</v>
      </c>
      <c r="L46" t="b">
        <v>0</v>
      </c>
      <c r="O46" t="str">
        <v>ERG S.p.A</v>
      </c>
      <c r="P46">
        <f t="shared" ca="1" si="1"/>
        <v>18407</v>
      </c>
      <c r="U46" t="str">
        <v>E.ON Energy Solutions Ltd</v>
      </c>
      <c r="V46">
        <f t="shared" ca="1" si="2"/>
        <v>152947.06499999992</v>
      </c>
      <c r="W46">
        <f t="shared" si="3"/>
        <v>146310.9999999998</v>
      </c>
      <c r="X46">
        <f t="shared" si="4"/>
        <v>0</v>
      </c>
      <c r="Y46" s="181"/>
    </row>
    <row r="47" spans="1:25">
      <c r="A47" t="s">
        <v>56</v>
      </c>
      <c r="B47">
        <f t="shared" si="0"/>
        <v>0</v>
      </c>
      <c r="C47" t="s">
        <v>2677</v>
      </c>
      <c r="D47" t="s">
        <v>1829</v>
      </c>
      <c r="E47" t="s">
        <v>23</v>
      </c>
      <c r="F47" s="162">
        <v>12050</v>
      </c>
      <c r="G47" t="s">
        <v>2646</v>
      </c>
      <c r="H47" s="163">
        <v>46025</v>
      </c>
      <c r="I47" s="163">
        <v>46446</v>
      </c>
      <c r="J47" s="163"/>
      <c r="K47" t="s">
        <v>2667</v>
      </c>
      <c r="L47" t="b">
        <v>0</v>
      </c>
      <c r="O47" t="str">
        <v>Ernst and Young LLP</v>
      </c>
      <c r="P47">
        <f t="shared" ca="1" si="1"/>
        <v>59841</v>
      </c>
      <c r="U47" t="str">
        <v>Eastern Shires Purchasing Organisation</v>
      </c>
      <c r="V47">
        <f t="shared" ca="1" si="2"/>
        <v>4787.8149999999996</v>
      </c>
      <c r="W47">
        <f t="shared" si="3"/>
        <v>0</v>
      </c>
      <c r="X47">
        <f t="shared" si="4"/>
        <v>18000</v>
      </c>
      <c r="Y47" s="181"/>
    </row>
    <row r="48" spans="1:25">
      <c r="A48" t="s">
        <v>56</v>
      </c>
      <c r="B48">
        <f t="shared" si="0"/>
        <v>0</v>
      </c>
      <c r="C48" t="s">
        <v>2678</v>
      </c>
      <c r="D48" t="s">
        <v>1810</v>
      </c>
      <c r="E48" t="s">
        <v>21</v>
      </c>
      <c r="F48" s="162">
        <v>11730.705</v>
      </c>
      <c r="G48" t="s">
        <v>2646</v>
      </c>
      <c r="H48" s="163">
        <v>46388</v>
      </c>
      <c r="I48" s="163">
        <v>46752</v>
      </c>
      <c r="J48" s="163"/>
      <c r="K48" t="s">
        <v>2667</v>
      </c>
      <c r="L48" t="b">
        <v>0</v>
      </c>
      <c r="O48" t="str">
        <v>ESB Trading Limited</v>
      </c>
      <c r="P48">
        <f t="shared" ca="1" si="1"/>
        <v>108221.64</v>
      </c>
      <c r="U48" t="str">
        <v>Echelon Clondalkin DC Services Ltd</v>
      </c>
      <c r="V48">
        <f t="shared" ca="1" si="2"/>
        <v>4787.8149999999996</v>
      </c>
      <c r="W48">
        <f t="shared" si="3"/>
        <v>0</v>
      </c>
      <c r="X48">
        <f t="shared" si="4"/>
        <v>15000</v>
      </c>
      <c r="Y48" s="181"/>
    </row>
    <row r="49" spans="1:25">
      <c r="A49" t="s">
        <v>56</v>
      </c>
      <c r="B49">
        <f t="shared" si="0"/>
        <v>0</v>
      </c>
      <c r="C49" t="s">
        <v>2678</v>
      </c>
      <c r="D49" t="s">
        <v>1821</v>
      </c>
      <c r="E49" t="s">
        <v>21</v>
      </c>
      <c r="F49" s="162">
        <v>11730.705</v>
      </c>
      <c r="G49" t="s">
        <v>2646</v>
      </c>
      <c r="H49" s="163">
        <v>46388</v>
      </c>
      <c r="I49" s="163">
        <v>46752</v>
      </c>
      <c r="J49" s="163"/>
      <c r="K49" t="s">
        <v>2667</v>
      </c>
      <c r="L49" t="b">
        <v>0</v>
      </c>
      <c r="O49" t="str">
        <v>Evolve Energy Supply Limited</v>
      </c>
      <c r="P49">
        <f t="shared" ca="1" si="1"/>
        <v>100639.51999999999</v>
      </c>
      <c r="U49" t="str">
        <v>Ecotricity Group Ltd</v>
      </c>
      <c r="V49">
        <f t="shared" ca="1" si="2"/>
        <v>99772.139999999985</v>
      </c>
      <c r="W49">
        <f t="shared" si="3"/>
        <v>95000.000000000015</v>
      </c>
      <c r="X49">
        <f t="shared" si="4"/>
        <v>0</v>
      </c>
      <c r="Y49" s="181"/>
    </row>
    <row r="50" spans="1:25">
      <c r="A50" t="s">
        <v>56</v>
      </c>
      <c r="B50">
        <f t="shared" si="0"/>
        <v>0</v>
      </c>
      <c r="C50" t="s">
        <v>2678</v>
      </c>
      <c r="D50" t="s">
        <v>1828</v>
      </c>
      <c r="E50" t="s">
        <v>21</v>
      </c>
      <c r="F50" s="162">
        <v>11730.705</v>
      </c>
      <c r="G50" t="s">
        <v>2646</v>
      </c>
      <c r="H50" s="163">
        <v>46388</v>
      </c>
      <c r="I50" s="163">
        <v>46752</v>
      </c>
      <c r="J50" s="163"/>
      <c r="K50" t="s">
        <v>2667</v>
      </c>
      <c r="L50" t="b">
        <v>0</v>
      </c>
      <c r="O50" t="str">
        <v>Fladgate</v>
      </c>
      <c r="P50">
        <f t="shared" ca="1" si="1"/>
        <v>6800</v>
      </c>
      <c r="U50" t="str">
        <v>EDF Energy Customers Limited</v>
      </c>
      <c r="V50">
        <f t="shared" ca="1" si="2"/>
        <v>377170</v>
      </c>
      <c r="W50">
        <f t="shared" si="3"/>
        <v>179700</v>
      </c>
      <c r="X50">
        <f t="shared" si="4"/>
        <v>0</v>
      </c>
      <c r="Y50" s="181"/>
    </row>
    <row r="51" spans="1:25">
      <c r="A51" t="s">
        <v>56</v>
      </c>
      <c r="B51">
        <f t="shared" si="0"/>
        <v>0</v>
      </c>
      <c r="C51" t="s">
        <v>2678</v>
      </c>
      <c r="D51" t="s">
        <v>1835</v>
      </c>
      <c r="E51" t="s">
        <v>21</v>
      </c>
      <c r="F51" s="162">
        <v>11730.705</v>
      </c>
      <c r="G51" t="s">
        <v>2646</v>
      </c>
      <c r="H51" s="163">
        <v>46388</v>
      </c>
      <c r="I51" s="163">
        <v>46752</v>
      </c>
      <c r="J51" s="163"/>
      <c r="K51" t="s">
        <v>2667</v>
      </c>
      <c r="L51" t="b">
        <v>0</v>
      </c>
      <c r="O51" t="str">
        <v>Fred Olsen Renewables Limited</v>
      </c>
      <c r="P51">
        <f t="shared" ca="1" si="1"/>
        <v>30280</v>
      </c>
      <c r="U51" t="str">
        <v>EDF Power Solutions UK and Ireland</v>
      </c>
      <c r="V51">
        <f t="shared" ca="1" si="2"/>
        <v>51849.989999999983</v>
      </c>
      <c r="W51">
        <f t="shared" si="3"/>
        <v>46799.999999999978</v>
      </c>
      <c r="X51">
        <f t="shared" si="4"/>
        <v>0</v>
      </c>
      <c r="Y51" s="181"/>
    </row>
    <row r="52" spans="1:25">
      <c r="A52" t="s">
        <v>56</v>
      </c>
      <c r="B52">
        <f t="shared" si="0"/>
        <v>0</v>
      </c>
      <c r="C52" t="s">
        <v>2678</v>
      </c>
      <c r="D52" t="s">
        <v>1841</v>
      </c>
      <c r="E52" t="s">
        <v>21</v>
      </c>
      <c r="F52" s="162">
        <v>11730.705</v>
      </c>
      <c r="G52" t="s">
        <v>2646</v>
      </c>
      <c r="H52" s="163">
        <v>46388</v>
      </c>
      <c r="I52" s="163">
        <v>46752</v>
      </c>
      <c r="J52" s="163"/>
      <c r="K52" t="s">
        <v>2667</v>
      </c>
      <c r="L52" t="b">
        <v>0</v>
      </c>
      <c r="O52" t="str">
        <v>Frontier Economics</v>
      </c>
      <c r="P52">
        <f t="shared" ca="1" si="1"/>
        <v>9933.3333333333303</v>
      </c>
      <c r="U52" t="str">
        <v>EDW Technology Ltd</v>
      </c>
      <c r="V52">
        <f t="shared" ca="1" si="2"/>
        <v>6810</v>
      </c>
      <c r="W52">
        <f t="shared" si="3"/>
        <v>6799.99</v>
      </c>
      <c r="X52">
        <f t="shared" si="4"/>
        <v>0</v>
      </c>
      <c r="Y52" s="181"/>
    </row>
    <row r="53" spans="1:25">
      <c r="A53" t="s">
        <v>56</v>
      </c>
      <c r="B53">
        <f t="shared" si="0"/>
        <v>0</v>
      </c>
      <c r="C53" t="s">
        <v>2678</v>
      </c>
      <c r="D53" t="s">
        <v>1843</v>
      </c>
      <c r="E53" t="s">
        <v>21</v>
      </c>
      <c r="F53" s="162">
        <v>11730.705</v>
      </c>
      <c r="G53" t="s">
        <v>2646</v>
      </c>
      <c r="H53" s="163">
        <v>46388</v>
      </c>
      <c r="I53" s="163">
        <v>46752</v>
      </c>
      <c r="J53" s="163"/>
      <c r="K53" t="s">
        <v>2667</v>
      </c>
      <c r="L53" t="b">
        <v>0</v>
      </c>
      <c r="O53" t="str">
        <v>FTI Consulting LLP</v>
      </c>
      <c r="P53">
        <f t="shared" ca="1" si="1"/>
        <v>6033.3333333333303</v>
      </c>
      <c r="U53" t="str">
        <v>Eku Energy Ltd</v>
      </c>
      <c r="V53">
        <f t="shared" ca="1" si="2"/>
        <v>3850</v>
      </c>
      <c r="W53">
        <f t="shared" si="3"/>
        <v>0</v>
      </c>
      <c r="X53">
        <f t="shared" si="4"/>
        <v>9950</v>
      </c>
      <c r="Y53" s="181"/>
    </row>
    <row r="54" spans="1:25">
      <c r="A54" t="s">
        <v>91</v>
      </c>
      <c r="B54">
        <f t="shared" si="0"/>
        <v>0</v>
      </c>
      <c r="C54" t="s">
        <v>2679</v>
      </c>
      <c r="D54" t="s">
        <v>1838</v>
      </c>
      <c r="E54" t="s">
        <v>25</v>
      </c>
      <c r="F54" s="162">
        <v>4805</v>
      </c>
      <c r="G54" t="s">
        <v>2646</v>
      </c>
      <c r="H54" s="163">
        <v>45667</v>
      </c>
      <c r="I54" s="163">
        <v>46295</v>
      </c>
      <c r="J54" s="163"/>
      <c r="K54" t="s">
        <v>2680</v>
      </c>
      <c r="L54" t="b">
        <v>0</v>
      </c>
      <c r="O54" t="str">
        <v>Ganninon Limited</v>
      </c>
      <c r="P54">
        <f t="shared" ca="1" si="1"/>
        <v>6033.3333333333303</v>
      </c>
      <c r="U54" t="str">
        <v>ElectraLink Limited</v>
      </c>
      <c r="V54">
        <f t="shared" ca="1" si="2"/>
        <v>15705</v>
      </c>
      <c r="W54">
        <f t="shared" si="3"/>
        <v>16810</v>
      </c>
      <c r="X54">
        <f t="shared" si="4"/>
        <v>0</v>
      </c>
      <c r="Y54" s="181"/>
    </row>
    <row r="55" spans="1:25">
      <c r="A55" t="s">
        <v>91</v>
      </c>
      <c r="B55">
        <f t="shared" si="0"/>
        <v>0</v>
      </c>
      <c r="C55" t="s">
        <v>2679</v>
      </c>
      <c r="D55" t="s">
        <v>1822</v>
      </c>
      <c r="E55" t="s">
        <v>23</v>
      </c>
      <c r="F55" s="162">
        <v>4939</v>
      </c>
      <c r="G55" t="s">
        <v>2646</v>
      </c>
      <c r="H55" s="163">
        <v>45667</v>
      </c>
      <c r="I55" s="163">
        <v>46295</v>
      </c>
      <c r="J55" s="163"/>
      <c r="K55" t="s">
        <v>2680</v>
      </c>
      <c r="L55" t="b">
        <v>0</v>
      </c>
      <c r="O55" t="str">
        <v>Good Energy Limited</v>
      </c>
      <c r="P55">
        <f t="shared" ca="1" si="1"/>
        <v>54470</v>
      </c>
      <c r="U55" t="str">
        <v>Electricity Association of Ireland</v>
      </c>
      <c r="V55">
        <f t="shared" ca="1" si="2"/>
        <v>3562</v>
      </c>
      <c r="W55">
        <f t="shared" si="3"/>
        <v>0</v>
      </c>
      <c r="X55">
        <f t="shared" si="4"/>
        <v>3850</v>
      </c>
      <c r="Y55" s="181"/>
    </row>
    <row r="56" spans="1:25">
      <c r="A56" t="s">
        <v>91</v>
      </c>
      <c r="B56">
        <f t="shared" si="0"/>
        <v>0</v>
      </c>
      <c r="C56" t="s">
        <v>2679</v>
      </c>
      <c r="D56" t="s">
        <v>1826</v>
      </c>
      <c r="E56" t="s">
        <v>25</v>
      </c>
      <c r="F56" s="162">
        <v>6014</v>
      </c>
      <c r="G56" t="s">
        <v>2646</v>
      </c>
      <c r="H56" s="163">
        <v>45667</v>
      </c>
      <c r="I56" s="163">
        <v>46295</v>
      </c>
      <c r="J56" s="163"/>
      <c r="K56" t="s">
        <v>2680</v>
      </c>
      <c r="L56" t="b">
        <v>0</v>
      </c>
      <c r="O56" t="str">
        <v>Gowling WLG (UK) LLP</v>
      </c>
      <c r="P56">
        <f t="shared" ca="1" si="1"/>
        <v>5300</v>
      </c>
      <c r="U56" t="str">
        <v>Elexon Limited</v>
      </c>
      <c r="V56">
        <f t="shared" ca="1" si="2"/>
        <v>3562</v>
      </c>
      <c r="W56">
        <f t="shared" si="3"/>
        <v>9400</v>
      </c>
      <c r="X56">
        <f t="shared" si="4"/>
        <v>0</v>
      </c>
      <c r="Y56" s="181"/>
    </row>
    <row r="57" spans="1:25">
      <c r="A57" t="s">
        <v>91</v>
      </c>
      <c r="B57">
        <f t="shared" si="0"/>
        <v>0</v>
      </c>
      <c r="C57" t="s">
        <v>2679</v>
      </c>
      <c r="D57" t="s">
        <v>1821</v>
      </c>
      <c r="E57" t="s">
        <v>21</v>
      </c>
      <c r="F57" s="162">
        <v>8866</v>
      </c>
      <c r="G57" t="s">
        <v>2646</v>
      </c>
      <c r="H57" s="163">
        <v>45667</v>
      </c>
      <c r="I57" s="163">
        <v>46295</v>
      </c>
      <c r="J57" s="163"/>
      <c r="K57" t="s">
        <v>2680</v>
      </c>
      <c r="L57" t="b">
        <v>0</v>
      </c>
      <c r="O57" t="str">
        <v>Green Energy (UK) Ltd</v>
      </c>
      <c r="P57">
        <f t="shared" ca="1" si="1"/>
        <v>70000</v>
      </c>
      <c r="U57" t="str">
        <v>Eneco Energy Trade B.V.</v>
      </c>
      <c r="V57">
        <f t="shared" ca="1" si="2"/>
        <v>51386</v>
      </c>
      <c r="W57">
        <f t="shared" si="3"/>
        <v>37050</v>
      </c>
      <c r="X57">
        <f t="shared" si="4"/>
        <v>0</v>
      </c>
      <c r="Y57" s="181"/>
    </row>
    <row r="58" spans="1:25">
      <c r="A58" t="s">
        <v>91</v>
      </c>
      <c r="B58">
        <f t="shared" si="0"/>
        <v>0</v>
      </c>
      <c r="C58" t="s">
        <v>2679</v>
      </c>
      <c r="D58" t="s">
        <v>1930</v>
      </c>
      <c r="E58" t="s">
        <v>21</v>
      </c>
      <c r="F58" s="162">
        <v>11285</v>
      </c>
      <c r="G58" t="s">
        <v>2646</v>
      </c>
      <c r="H58" s="163">
        <v>45667</v>
      </c>
      <c r="I58" s="163">
        <v>46295</v>
      </c>
      <c r="J58" s="163"/>
      <c r="K58" t="s">
        <v>2680</v>
      </c>
      <c r="L58" t="b">
        <v>0</v>
      </c>
      <c r="O58" t="str">
        <v>Gren Energy Limited</v>
      </c>
      <c r="P58">
        <f t="shared" ca="1" si="1"/>
        <v>2347</v>
      </c>
      <c r="U58" t="str">
        <v>Energia</v>
      </c>
      <c r="V58">
        <f t="shared" ca="1" si="2"/>
        <v>25990</v>
      </c>
      <c r="W58">
        <f t="shared" si="3"/>
        <v>22500</v>
      </c>
      <c r="X58">
        <f t="shared" si="4"/>
        <v>0</v>
      </c>
      <c r="Y58" s="181"/>
    </row>
    <row r="59" spans="1:25">
      <c r="A59" t="s">
        <v>91</v>
      </c>
      <c r="B59">
        <f t="shared" si="0"/>
        <v>0</v>
      </c>
      <c r="C59" t="s">
        <v>2679</v>
      </c>
      <c r="D59" t="s">
        <v>1829</v>
      </c>
      <c r="E59" t="s">
        <v>23</v>
      </c>
      <c r="F59" s="162">
        <v>11760</v>
      </c>
      <c r="G59" t="s">
        <v>2646</v>
      </c>
      <c r="H59" s="163">
        <v>45667</v>
      </c>
      <c r="I59" s="163">
        <v>46295</v>
      </c>
      <c r="J59" s="163"/>
      <c r="K59" t="s">
        <v>2680</v>
      </c>
      <c r="L59" t="b">
        <v>0</v>
      </c>
      <c r="O59" t="str">
        <v>Hartree Partners Power &amp; Gas (UK) Ltd</v>
      </c>
      <c r="P59">
        <f t="shared" ca="1" si="1"/>
        <v>5266</v>
      </c>
      <c r="U59" t="str">
        <v>Energy Developments (UK) Limited</v>
      </c>
      <c r="V59">
        <f t="shared" ca="1" si="2"/>
        <v>22232</v>
      </c>
      <c r="W59">
        <f t="shared" si="3"/>
        <v>0</v>
      </c>
      <c r="X59">
        <f t="shared" si="4"/>
        <v>0</v>
      </c>
      <c r="Y59" s="181"/>
    </row>
    <row r="60" spans="1:25">
      <c r="A60" t="s">
        <v>91</v>
      </c>
      <c r="B60">
        <f t="shared" si="0"/>
        <v>0</v>
      </c>
      <c r="C60" t="s">
        <v>2679</v>
      </c>
      <c r="D60" t="s">
        <v>1810</v>
      </c>
      <c r="E60" t="s">
        <v>21</v>
      </c>
      <c r="F60" s="162">
        <v>8866</v>
      </c>
      <c r="G60" t="s">
        <v>2646</v>
      </c>
      <c r="H60" s="163">
        <v>45667</v>
      </c>
      <c r="I60" s="163">
        <v>46295</v>
      </c>
      <c r="J60" s="163"/>
      <c r="K60" t="s">
        <v>2680</v>
      </c>
      <c r="L60" t="b">
        <v>0</v>
      </c>
      <c r="O60" t="str">
        <v>Indigo Swan Limited</v>
      </c>
      <c r="P60">
        <f t="shared" ca="1" si="1"/>
        <v>13266</v>
      </c>
      <c r="U60" t="str">
        <v>Energy Exemplar (Europe) Limited</v>
      </c>
      <c r="V60">
        <f t="shared" ca="1" si="2"/>
        <v>16902</v>
      </c>
      <c r="W60">
        <f t="shared" si="3"/>
        <v>13104</v>
      </c>
      <c r="X60">
        <f t="shared" si="4"/>
        <v>0</v>
      </c>
      <c r="Y60" s="181"/>
    </row>
    <row r="61" spans="1:25">
      <c r="A61" t="s">
        <v>91</v>
      </c>
      <c r="B61">
        <f t="shared" si="0"/>
        <v>0</v>
      </c>
      <c r="C61" t="s">
        <v>2679</v>
      </c>
      <c r="D61" t="s">
        <v>1842</v>
      </c>
      <c r="E61" t="s">
        <v>1695</v>
      </c>
      <c r="F61" s="162">
        <v>4872</v>
      </c>
      <c r="G61" t="s">
        <v>2646</v>
      </c>
      <c r="H61" s="163">
        <v>45667</v>
      </c>
      <c r="I61" s="163">
        <v>46295</v>
      </c>
      <c r="J61" s="163"/>
      <c r="K61" t="s">
        <v>2680</v>
      </c>
      <c r="L61" t="b">
        <v>0</v>
      </c>
      <c r="O61" t="str">
        <v>Infinis Energy Services Limited</v>
      </c>
      <c r="P61">
        <f t="shared" ca="1" si="1"/>
        <v>35486.060000000005</v>
      </c>
      <c r="U61" t="str">
        <v>Energy Intensive Users Group (EIUG)</v>
      </c>
      <c r="V61">
        <f t="shared" ca="1" si="2"/>
        <v>24950</v>
      </c>
      <c r="W61">
        <f t="shared" si="3"/>
        <v>1833</v>
      </c>
      <c r="X61">
        <f t="shared" si="4"/>
        <v>0</v>
      </c>
      <c r="Y61" s="181"/>
    </row>
    <row r="62" spans="1:25">
      <c r="A62" t="s">
        <v>91</v>
      </c>
      <c r="B62">
        <f t="shared" si="0"/>
        <v>0</v>
      </c>
      <c r="C62" t="s">
        <v>2679</v>
      </c>
      <c r="D62" t="s">
        <v>1811</v>
      </c>
      <c r="E62" t="s">
        <v>23</v>
      </c>
      <c r="F62" s="162">
        <v>4939</v>
      </c>
      <c r="G62" t="s">
        <v>2646</v>
      </c>
      <c r="H62" s="163">
        <v>45667</v>
      </c>
      <c r="I62" s="163">
        <v>46295</v>
      </c>
      <c r="J62" s="163"/>
      <c r="K62" t="s">
        <v>2680</v>
      </c>
      <c r="L62" t="b">
        <v>0</v>
      </c>
      <c r="O62" t="str">
        <v>Interconnector Limited</v>
      </c>
      <c r="P62">
        <f t="shared" ca="1" si="1"/>
        <v>16627</v>
      </c>
      <c r="U62" t="str">
        <v>Energy Power Resources Limited</v>
      </c>
      <c r="V62">
        <f t="shared" ca="1" si="2"/>
        <v>35500</v>
      </c>
      <c r="W62">
        <f t="shared" si="3"/>
        <v>0</v>
      </c>
      <c r="X62">
        <f t="shared" si="4"/>
        <v>35000</v>
      </c>
      <c r="Y62" s="181"/>
    </row>
    <row r="63" spans="1:25">
      <c r="A63" t="s">
        <v>91</v>
      </c>
      <c r="B63">
        <f t="shared" si="0"/>
        <v>0</v>
      </c>
      <c r="C63" t="s">
        <v>2679</v>
      </c>
      <c r="D63" t="s">
        <v>1845</v>
      </c>
      <c r="E63" t="s">
        <v>31</v>
      </c>
      <c r="F63" s="162">
        <v>6300</v>
      </c>
      <c r="G63" t="s">
        <v>2646</v>
      </c>
      <c r="H63" s="163">
        <v>45667</v>
      </c>
      <c r="I63" s="163">
        <v>46295</v>
      </c>
      <c r="J63" s="163"/>
      <c r="K63" t="s">
        <v>2680</v>
      </c>
      <c r="L63" t="b">
        <v>0</v>
      </c>
      <c r="O63" t="str">
        <v>Island Green Power UK Ltd</v>
      </c>
      <c r="P63">
        <f t="shared" ca="1" si="1"/>
        <v>6000</v>
      </c>
      <c r="U63" t="str">
        <v>Energy Systems Catapult Limited</v>
      </c>
      <c r="V63">
        <f t="shared" ca="1" si="2"/>
        <v>25960</v>
      </c>
      <c r="W63">
        <f t="shared" si="3"/>
        <v>20450</v>
      </c>
      <c r="X63">
        <f t="shared" si="4"/>
        <v>0</v>
      </c>
      <c r="Y63" s="181"/>
    </row>
    <row r="64" spans="1:25">
      <c r="A64" t="s">
        <v>149</v>
      </c>
      <c r="B64">
        <f t="shared" si="0"/>
        <v>0</v>
      </c>
      <c r="C64" t="s">
        <v>2681</v>
      </c>
      <c r="D64" t="s">
        <v>1845</v>
      </c>
      <c r="E64" t="s">
        <v>31</v>
      </c>
      <c r="F64" s="162">
        <v>10350</v>
      </c>
      <c r="G64" t="s">
        <v>1705</v>
      </c>
      <c r="H64" s="163">
        <v>46081</v>
      </c>
      <c r="I64" s="163">
        <v>46445</v>
      </c>
      <c r="J64" s="163"/>
      <c r="K64" t="s">
        <v>2682</v>
      </c>
      <c r="L64" t="b">
        <v>0</v>
      </c>
      <c r="O64" t="str">
        <v>Laser Energy</v>
      </c>
      <c r="P64">
        <f t="shared" ca="1" si="1"/>
        <v>25627.599999999999</v>
      </c>
      <c r="U64" t="str">
        <v>Enfinium Limited</v>
      </c>
      <c r="V64">
        <f t="shared" ca="1" si="2"/>
        <v>23096.291999999998</v>
      </c>
      <c r="W64">
        <f t="shared" si="3"/>
        <v>24960</v>
      </c>
      <c r="X64">
        <f t="shared" si="4"/>
        <v>0</v>
      </c>
      <c r="Y64" s="181"/>
    </row>
    <row r="65" spans="1:25">
      <c r="A65" t="s">
        <v>213</v>
      </c>
      <c r="B65">
        <f t="shared" si="0"/>
        <v>3</v>
      </c>
      <c r="C65" t="s">
        <v>2683</v>
      </c>
      <c r="D65" t="s">
        <v>2653</v>
      </c>
      <c r="E65" t="s">
        <v>20</v>
      </c>
      <c r="F65" s="162">
        <v>4000</v>
      </c>
      <c r="G65" t="s">
        <v>2646</v>
      </c>
      <c r="H65" s="163">
        <v>45928</v>
      </c>
      <c r="I65" s="163">
        <v>46292</v>
      </c>
      <c r="J65" s="163"/>
      <c r="K65" t="s">
        <v>2671</v>
      </c>
      <c r="L65" t="b">
        <v>0</v>
      </c>
      <c r="O65" t="str">
        <v>Last Mile Infrastructure Ltd</v>
      </c>
      <c r="P65">
        <f t="shared" ca="1" si="1"/>
        <v>50930.400000000001</v>
      </c>
      <c r="U65" t="str">
        <v>ENGIE Power Limited</v>
      </c>
      <c r="V65">
        <f t="shared" ca="1" si="2"/>
        <v>152276.70800000004</v>
      </c>
      <c r="W65">
        <f t="shared" si="3"/>
        <v>143461.00000000006</v>
      </c>
      <c r="X65">
        <f t="shared" si="4"/>
        <v>0</v>
      </c>
      <c r="Y65" s="181"/>
    </row>
    <row r="66" spans="1:25">
      <c r="A66" t="s">
        <v>213</v>
      </c>
      <c r="B66">
        <f t="shared" si="0"/>
        <v>3</v>
      </c>
      <c r="C66" t="s">
        <v>2683</v>
      </c>
      <c r="D66" t="s">
        <v>1820</v>
      </c>
      <c r="E66" t="s">
        <v>25</v>
      </c>
      <c r="F66" s="162">
        <v>6850</v>
      </c>
      <c r="G66" t="s">
        <v>2646</v>
      </c>
      <c r="H66" s="163">
        <v>45928</v>
      </c>
      <c r="I66" s="163">
        <v>46292</v>
      </c>
      <c r="J66" s="163"/>
      <c r="K66" t="s">
        <v>2671</v>
      </c>
      <c r="L66" t="b">
        <v>0</v>
      </c>
      <c r="O66" t="str">
        <v>Legal &amp; General Capital Investments Limited</v>
      </c>
      <c r="P66">
        <f t="shared" ca="1" si="1"/>
        <v>12000</v>
      </c>
      <c r="U66" t="str">
        <v>Ensek Limited</v>
      </c>
      <c r="V66">
        <f t="shared" ca="1" si="2"/>
        <v>12666.666666666661</v>
      </c>
      <c r="W66">
        <f t="shared" si="3"/>
        <v>21984</v>
      </c>
      <c r="X66">
        <f t="shared" si="4"/>
        <v>0</v>
      </c>
      <c r="Y66" s="181"/>
    </row>
    <row r="67" spans="1:25">
      <c r="A67" t="s">
        <v>213</v>
      </c>
      <c r="B67">
        <f t="shared" ref="B67:B130" si="6">IF(COUNTIFS($A$2:$A$1053,A67,$E$2:$E$1053,"Industry Essentials")&gt;0, COUNTIF($A$2:$A$1053,A67), 0)</f>
        <v>3</v>
      </c>
      <c r="C67" t="s">
        <v>2683</v>
      </c>
      <c r="D67" t="s">
        <v>1851</v>
      </c>
      <c r="E67" t="s">
        <v>1695</v>
      </c>
      <c r="F67" s="162">
        <v>2500</v>
      </c>
      <c r="G67" t="s">
        <v>2646</v>
      </c>
      <c r="H67" s="163">
        <v>45928</v>
      </c>
      <c r="I67" s="163">
        <v>46292</v>
      </c>
      <c r="J67" s="163"/>
      <c r="K67" t="s">
        <v>2671</v>
      </c>
      <c r="L67" t="b">
        <v>0</v>
      </c>
      <c r="O67" t="str">
        <v>LG Energy Group Limited</v>
      </c>
      <c r="P67">
        <f t="shared" ca="1" si="1"/>
        <v>10500</v>
      </c>
      <c r="U67" t="str">
        <v>EPEX SPOT SE</v>
      </c>
      <c r="V67">
        <f t="shared" ca="1" si="2"/>
        <v>6333.3333333333303</v>
      </c>
      <c r="W67">
        <f t="shared" si="3"/>
        <v>4720</v>
      </c>
      <c r="X67">
        <f t="shared" si="4"/>
        <v>0</v>
      </c>
      <c r="Y67" s="181"/>
    </row>
    <row r="68" spans="1:25">
      <c r="A68" t="s">
        <v>1166</v>
      </c>
      <c r="B68">
        <f t="shared" si="6"/>
        <v>2</v>
      </c>
      <c r="C68" t="s">
        <v>2684</v>
      </c>
      <c r="D68" t="s">
        <v>2653</v>
      </c>
      <c r="E68" t="s">
        <v>20</v>
      </c>
      <c r="F68" s="162">
        <v>8642</v>
      </c>
      <c r="G68" t="s">
        <v>2646</v>
      </c>
      <c r="H68" s="163">
        <v>46027</v>
      </c>
      <c r="I68" s="163">
        <v>46507</v>
      </c>
      <c r="J68" s="163"/>
      <c r="K68" t="s">
        <v>2656</v>
      </c>
      <c r="L68" t="b">
        <v>1</v>
      </c>
      <c r="O68" t="str">
        <v>Low Carbon Contracts Company Ltd</v>
      </c>
      <c r="P68">
        <f t="shared" ca="1" si="1"/>
        <v>40525</v>
      </c>
      <c r="U68" t="str">
        <v>EPG Energy Limited</v>
      </c>
      <c r="V68">
        <f t="shared" ca="1" si="2"/>
        <v>33000</v>
      </c>
      <c r="W68">
        <f t="shared" si="3"/>
        <v>27999.999999999993</v>
      </c>
      <c r="X68">
        <f t="shared" si="4"/>
        <v>0</v>
      </c>
      <c r="Y68" s="181"/>
    </row>
    <row r="69" spans="1:25">
      <c r="A69" t="s">
        <v>1166</v>
      </c>
      <c r="B69">
        <f t="shared" si="6"/>
        <v>2</v>
      </c>
      <c r="C69" t="s">
        <v>2685</v>
      </c>
      <c r="D69" t="s">
        <v>2653</v>
      </c>
      <c r="E69" t="s">
        <v>20</v>
      </c>
      <c r="F69" s="162">
        <v>8966</v>
      </c>
      <c r="G69" t="s">
        <v>2646</v>
      </c>
      <c r="H69" s="163">
        <v>46392</v>
      </c>
      <c r="I69" s="163">
        <v>46873</v>
      </c>
      <c r="J69" s="163"/>
      <c r="K69" t="s">
        <v>2656</v>
      </c>
      <c r="L69" t="b">
        <v>1</v>
      </c>
      <c r="O69" t="str">
        <v>Low Carbon Ltd</v>
      </c>
      <c r="P69">
        <f t="shared" ca="1" si="1"/>
        <v>15821</v>
      </c>
      <c r="U69" t="str">
        <v>Equinix (UK) Limited</v>
      </c>
      <c r="V69">
        <f t="shared" ca="1" si="2"/>
        <v>3900</v>
      </c>
      <c r="W69">
        <f t="shared" si="3"/>
        <v>0</v>
      </c>
      <c r="X69">
        <f t="shared" si="4"/>
        <v>16200</v>
      </c>
      <c r="Y69" s="181"/>
    </row>
    <row r="70" spans="1:25">
      <c r="A70" t="s">
        <v>669</v>
      </c>
      <c r="B70">
        <f t="shared" si="6"/>
        <v>0</v>
      </c>
      <c r="C70" t="s">
        <v>2686</v>
      </c>
      <c r="D70" t="s">
        <v>2619</v>
      </c>
      <c r="E70" t="s">
        <v>31</v>
      </c>
      <c r="F70" s="162">
        <v>6666.6666666666697</v>
      </c>
      <c r="G70" t="s">
        <v>1705</v>
      </c>
      <c r="H70" s="163">
        <v>46142</v>
      </c>
      <c r="I70" s="163">
        <v>46506</v>
      </c>
      <c r="J70" s="163"/>
      <c r="K70" t="s">
        <v>2687</v>
      </c>
      <c r="L70" t="b">
        <v>0</v>
      </c>
      <c r="O70" t="str">
        <v>Manx Utilities</v>
      </c>
      <c r="P70">
        <f t="shared" ref="P70:P133" ca="1" si="7">SUMIF($A$2:$A$1053,O70,$F$5:$F$1053)</f>
        <v>13360</v>
      </c>
      <c r="U70" t="str">
        <v>Equinor UK Limited</v>
      </c>
      <c r="V70">
        <f t="shared" ref="V70:V133" ca="1" si="8">SUMIF($A$2:$A$1053,U70,$F$5:$F$1053)</f>
        <v>67899.999999999971</v>
      </c>
      <c r="W70">
        <f t="shared" ref="W70:W133" si="9">SUMIFS($F$2:$F$1053,$A$2:$A$1053,U70,$B$2:$B$1053,"&gt;"&amp;0,$I$2:$I$1053,"&lt;"&amp;46575)</f>
        <v>0</v>
      </c>
      <c r="X70">
        <f t="shared" ref="X70:X133" si="10">SUMIFS($F$2:$F$1053,$A$2:$A$1053,U70,$B$2:$B$1053,"&lt;"&amp;1,$I$2:$I$1053,"&lt;"&amp;46575)</f>
        <v>27300</v>
      </c>
      <c r="Y70" s="181"/>
    </row>
    <row r="71" spans="1:25">
      <c r="A71" t="s">
        <v>669</v>
      </c>
      <c r="B71">
        <f t="shared" si="6"/>
        <v>0</v>
      </c>
      <c r="C71" t="s">
        <v>2686</v>
      </c>
      <c r="D71" t="s">
        <v>1845</v>
      </c>
      <c r="E71" t="s">
        <v>31</v>
      </c>
      <c r="F71" s="162">
        <v>6666.6666666666697</v>
      </c>
      <c r="G71" t="s">
        <v>1705</v>
      </c>
      <c r="H71" s="163">
        <v>46142</v>
      </c>
      <c r="I71" s="163">
        <v>46506</v>
      </c>
      <c r="J71" s="163"/>
      <c r="K71" t="s">
        <v>2687</v>
      </c>
      <c r="L71" t="b">
        <v>0</v>
      </c>
      <c r="O71" t="str">
        <v>Marble Power Limited</v>
      </c>
      <c r="P71">
        <f t="shared" ca="1" si="7"/>
        <v>92216.000000000015</v>
      </c>
      <c r="U71" t="str">
        <v>Equitix Limited</v>
      </c>
      <c r="V71">
        <f t="shared" ca="1" si="8"/>
        <v>13515</v>
      </c>
      <c r="W71">
        <f t="shared" si="9"/>
        <v>0</v>
      </c>
      <c r="X71">
        <f t="shared" si="10"/>
        <v>10500</v>
      </c>
      <c r="Y71" s="181"/>
    </row>
    <row r="72" spans="1:25">
      <c r="A72" t="s">
        <v>669</v>
      </c>
      <c r="B72">
        <f t="shared" si="6"/>
        <v>0</v>
      </c>
      <c r="C72" t="s">
        <v>2686</v>
      </c>
      <c r="D72" t="s">
        <v>2624</v>
      </c>
      <c r="E72" t="s">
        <v>31</v>
      </c>
      <c r="F72" s="162">
        <v>6666.6666666666697</v>
      </c>
      <c r="G72" t="s">
        <v>1705</v>
      </c>
      <c r="H72" s="163">
        <v>46142</v>
      </c>
      <c r="I72" s="163">
        <v>46506</v>
      </c>
      <c r="J72" s="163"/>
      <c r="K72" t="s">
        <v>2687</v>
      </c>
      <c r="L72" t="b">
        <v>0</v>
      </c>
      <c r="O72" t="str">
        <v>Metka EGN</v>
      </c>
      <c r="P72">
        <f t="shared" ca="1" si="7"/>
        <v>49711</v>
      </c>
      <c r="U72" t="str">
        <v>ERG S.p.A</v>
      </c>
      <c r="V72">
        <f t="shared" ca="1" si="8"/>
        <v>18407</v>
      </c>
      <c r="W72">
        <f t="shared" si="9"/>
        <v>0</v>
      </c>
      <c r="X72">
        <f t="shared" si="10"/>
        <v>0</v>
      </c>
      <c r="Y72" s="181"/>
    </row>
    <row r="73" spans="1:25">
      <c r="A73" t="s">
        <v>64</v>
      </c>
      <c r="B73">
        <f t="shared" si="6"/>
        <v>0</v>
      </c>
      <c r="C73" t="s">
        <v>2688</v>
      </c>
      <c r="D73" t="s">
        <v>1808</v>
      </c>
      <c r="E73" t="s">
        <v>25</v>
      </c>
      <c r="F73" s="162">
        <v>3785.7142857142899</v>
      </c>
      <c r="G73" t="s">
        <v>2646</v>
      </c>
      <c r="H73" s="163">
        <v>46023</v>
      </c>
      <c r="I73" s="163">
        <v>46387</v>
      </c>
      <c r="J73" s="163"/>
      <c r="K73" t="s">
        <v>2667</v>
      </c>
      <c r="L73" t="b">
        <v>0</v>
      </c>
      <c r="O73" t="str">
        <v>Moto Hospitality Ltd</v>
      </c>
      <c r="P73">
        <f t="shared" ca="1" si="7"/>
        <v>19070</v>
      </c>
      <c r="U73" t="str">
        <v>Ernst and Young LLP</v>
      </c>
      <c r="V73">
        <f t="shared" ca="1" si="8"/>
        <v>59841</v>
      </c>
      <c r="W73">
        <f t="shared" si="9"/>
        <v>17596</v>
      </c>
      <c r="X73">
        <f t="shared" si="10"/>
        <v>0</v>
      </c>
      <c r="Y73" s="181"/>
    </row>
    <row r="74" spans="1:25">
      <c r="A74" t="s">
        <v>64</v>
      </c>
      <c r="B74">
        <f t="shared" si="6"/>
        <v>0</v>
      </c>
      <c r="C74" t="s">
        <v>2688</v>
      </c>
      <c r="D74" t="s">
        <v>1820</v>
      </c>
      <c r="E74" t="s">
        <v>25</v>
      </c>
      <c r="F74" s="162">
        <v>3785.7142857142899</v>
      </c>
      <c r="G74" t="s">
        <v>2646</v>
      </c>
      <c r="H74" s="163">
        <v>46023</v>
      </c>
      <c r="I74" s="163">
        <v>46387</v>
      </c>
      <c r="J74" s="163"/>
      <c r="K74" t="s">
        <v>2667</v>
      </c>
      <c r="L74" t="b">
        <v>0</v>
      </c>
      <c r="O74" t="str">
        <v>National Energy Action</v>
      </c>
      <c r="P74">
        <f t="shared" ca="1" si="7"/>
        <v>2088.5</v>
      </c>
      <c r="U74" t="str">
        <v>Erova Energy Limited</v>
      </c>
      <c r="V74">
        <f t="shared" ca="1" si="8"/>
        <v>18000</v>
      </c>
      <c r="W74">
        <f t="shared" si="9"/>
        <v>0</v>
      </c>
      <c r="X74">
        <f t="shared" si="10"/>
        <v>12900</v>
      </c>
      <c r="Y74" s="181"/>
    </row>
    <row r="75" spans="1:25">
      <c r="A75" t="s">
        <v>64</v>
      </c>
      <c r="B75">
        <f t="shared" si="6"/>
        <v>0</v>
      </c>
      <c r="C75" t="s">
        <v>2688</v>
      </c>
      <c r="D75" t="s">
        <v>1819</v>
      </c>
      <c r="E75" t="s">
        <v>25</v>
      </c>
      <c r="F75" s="162">
        <v>3785.7142857142899</v>
      </c>
      <c r="G75" t="s">
        <v>2646</v>
      </c>
      <c r="H75" s="163">
        <v>46023</v>
      </c>
      <c r="I75" s="163">
        <v>46387</v>
      </c>
      <c r="J75" s="163"/>
      <c r="K75" t="s">
        <v>2667</v>
      </c>
      <c r="L75" t="b">
        <v>0</v>
      </c>
      <c r="O75" t="str">
        <v>National Energy Systems Operator Limited</v>
      </c>
      <c r="P75">
        <f t="shared" ca="1" si="7"/>
        <v>140861.50000000003</v>
      </c>
      <c r="U75" t="str">
        <v>ESB Networks</v>
      </c>
      <c r="V75">
        <f t="shared" ca="1" si="8"/>
        <v>22230</v>
      </c>
      <c r="W75">
        <f t="shared" si="9"/>
        <v>0</v>
      </c>
      <c r="X75">
        <f t="shared" si="10"/>
        <v>0</v>
      </c>
      <c r="Y75" s="181"/>
    </row>
    <row r="76" spans="1:25">
      <c r="A76" t="s">
        <v>64</v>
      </c>
      <c r="B76">
        <f t="shared" si="6"/>
        <v>0</v>
      </c>
      <c r="C76" t="s">
        <v>2688</v>
      </c>
      <c r="D76" t="s">
        <v>1826</v>
      </c>
      <c r="E76" t="s">
        <v>25</v>
      </c>
      <c r="F76" s="162">
        <v>3785.7142857142899</v>
      </c>
      <c r="G76" t="s">
        <v>2646</v>
      </c>
      <c r="H76" s="163">
        <v>46023</v>
      </c>
      <c r="I76" s="163">
        <v>46387</v>
      </c>
      <c r="J76" s="163"/>
      <c r="K76" t="s">
        <v>2667</v>
      </c>
      <c r="L76" t="b">
        <v>0</v>
      </c>
      <c r="O76" t="str">
        <v>National Grid Electricity Distribution (West Midlands) Plc</v>
      </c>
      <c r="P76">
        <f t="shared" ca="1" si="7"/>
        <v>22230</v>
      </c>
      <c r="U76" t="str">
        <v>ESB Trading Limited</v>
      </c>
      <c r="V76">
        <f t="shared" ca="1" si="8"/>
        <v>108221.64</v>
      </c>
      <c r="W76">
        <f t="shared" si="9"/>
        <v>53455</v>
      </c>
      <c r="X76">
        <f t="shared" si="10"/>
        <v>0</v>
      </c>
      <c r="Y76" s="181"/>
    </row>
    <row r="77" spans="1:25">
      <c r="A77" t="s">
        <v>64</v>
      </c>
      <c r="B77">
        <f t="shared" si="6"/>
        <v>0</v>
      </c>
      <c r="C77" t="s">
        <v>2688</v>
      </c>
      <c r="D77" t="s">
        <v>1916</v>
      </c>
      <c r="E77" t="s">
        <v>25</v>
      </c>
      <c r="F77" s="162">
        <v>3785.7142857142899</v>
      </c>
      <c r="G77" t="s">
        <v>2646</v>
      </c>
      <c r="H77" s="163">
        <v>46023</v>
      </c>
      <c r="I77" s="163">
        <v>46387</v>
      </c>
      <c r="J77" s="163"/>
      <c r="K77" t="s">
        <v>2667</v>
      </c>
      <c r="L77" t="b">
        <v>0</v>
      </c>
      <c r="O77" t="str">
        <v>National Grid Interconnectors Limited</v>
      </c>
      <c r="P77">
        <f t="shared" ca="1" si="7"/>
        <v>5320</v>
      </c>
      <c r="U77" t="str">
        <v>Evolve Energy Supply Limited</v>
      </c>
      <c r="V77">
        <f t="shared" ca="1" si="8"/>
        <v>100639.51999999999</v>
      </c>
      <c r="W77">
        <f t="shared" si="9"/>
        <v>114936.16</v>
      </c>
      <c r="X77">
        <f t="shared" si="10"/>
        <v>0</v>
      </c>
      <c r="Y77" s="181"/>
    </row>
    <row r="78" spans="1:25">
      <c r="A78" t="s">
        <v>64</v>
      </c>
      <c r="B78">
        <f t="shared" si="6"/>
        <v>0</v>
      </c>
      <c r="C78" t="s">
        <v>2688</v>
      </c>
      <c r="D78" t="s">
        <v>1833</v>
      </c>
      <c r="E78" t="s">
        <v>25</v>
      </c>
      <c r="F78" s="162">
        <v>3785.7142857142899</v>
      </c>
      <c r="G78" t="s">
        <v>2646</v>
      </c>
      <c r="H78" s="163">
        <v>46023</v>
      </c>
      <c r="I78" s="163">
        <v>46387</v>
      </c>
      <c r="J78" s="163"/>
      <c r="K78" t="s">
        <v>2667</v>
      </c>
      <c r="L78" t="b">
        <v>0</v>
      </c>
      <c r="O78" t="str">
        <v>National Infrastructure and Service Transformation Authority</v>
      </c>
      <c r="P78">
        <f t="shared" ca="1" si="7"/>
        <v>4976</v>
      </c>
      <c r="U78" t="str">
        <v>Fichtner Consulting Engineers Ltd</v>
      </c>
      <c r="V78">
        <f t="shared" ca="1" si="8"/>
        <v>11125</v>
      </c>
      <c r="W78">
        <f t="shared" si="9"/>
        <v>0</v>
      </c>
      <c r="X78">
        <f t="shared" si="10"/>
        <v>13420</v>
      </c>
      <c r="Y78" s="181"/>
    </row>
    <row r="79" spans="1:25">
      <c r="A79" t="s">
        <v>64</v>
      </c>
      <c r="B79">
        <f t="shared" si="6"/>
        <v>0</v>
      </c>
      <c r="C79" t="s">
        <v>2688</v>
      </c>
      <c r="D79" t="s">
        <v>1838</v>
      </c>
      <c r="E79" t="s">
        <v>25</v>
      </c>
      <c r="F79" s="162">
        <v>3785.7142857142899</v>
      </c>
      <c r="G79" t="s">
        <v>2646</v>
      </c>
      <c r="H79" s="163">
        <v>46023</v>
      </c>
      <c r="I79" s="163">
        <v>46387</v>
      </c>
      <c r="J79" s="163"/>
      <c r="K79" t="s">
        <v>2667</v>
      </c>
      <c r="L79" t="b">
        <v>0</v>
      </c>
      <c r="O79" t="str">
        <v>NextEnergy Solar Holdings III Limited</v>
      </c>
      <c r="P79">
        <f t="shared" ca="1" si="7"/>
        <v>8162</v>
      </c>
      <c r="U79" t="str">
        <v>Fidelity Energy</v>
      </c>
      <c r="V79">
        <f t="shared" ca="1" si="8"/>
        <v>8400</v>
      </c>
      <c r="W79">
        <f t="shared" si="9"/>
        <v>0</v>
      </c>
      <c r="X79">
        <f t="shared" si="10"/>
        <v>9000</v>
      </c>
      <c r="Y79" s="181"/>
    </row>
    <row r="80" spans="1:25">
      <c r="A80" t="s">
        <v>64</v>
      </c>
      <c r="B80">
        <f t="shared" si="6"/>
        <v>0</v>
      </c>
      <c r="C80" t="s">
        <v>2689</v>
      </c>
      <c r="D80" t="s">
        <v>1808</v>
      </c>
      <c r="E80" t="s">
        <v>25</v>
      </c>
      <c r="F80" s="162">
        <v>4000</v>
      </c>
      <c r="G80" t="s">
        <v>2646</v>
      </c>
      <c r="H80" s="163">
        <v>46388</v>
      </c>
      <c r="I80" s="163">
        <v>46752</v>
      </c>
      <c r="J80" s="163"/>
      <c r="K80" t="s">
        <v>2667</v>
      </c>
      <c r="L80" t="b">
        <v>0</v>
      </c>
      <c r="O80" t="str">
        <v>NFU Energy</v>
      </c>
      <c r="P80">
        <f t="shared" ca="1" si="7"/>
        <v>5268</v>
      </c>
      <c r="U80" t="str">
        <v>Fladgate</v>
      </c>
      <c r="V80">
        <f t="shared" ca="1" si="8"/>
        <v>6800</v>
      </c>
      <c r="W80">
        <f t="shared" si="9"/>
        <v>0</v>
      </c>
      <c r="X80">
        <f t="shared" si="10"/>
        <v>0</v>
      </c>
      <c r="Y80" s="181"/>
    </row>
    <row r="81" spans="1:25">
      <c r="A81" t="s">
        <v>64</v>
      </c>
      <c r="B81">
        <f t="shared" si="6"/>
        <v>0</v>
      </c>
      <c r="C81" t="s">
        <v>2689</v>
      </c>
      <c r="D81" t="s">
        <v>1820</v>
      </c>
      <c r="E81" t="s">
        <v>25</v>
      </c>
      <c r="F81" s="162">
        <v>4000</v>
      </c>
      <c r="G81" t="s">
        <v>2646</v>
      </c>
      <c r="H81" s="163">
        <v>46388</v>
      </c>
      <c r="I81" s="163">
        <v>46752</v>
      </c>
      <c r="J81" s="163"/>
      <c r="K81" t="s">
        <v>2667</v>
      </c>
      <c r="L81" t="b">
        <v>0</v>
      </c>
      <c r="O81" t="str">
        <v>Northern Gas Networks Operations Limited</v>
      </c>
      <c r="P81">
        <f t="shared" ca="1" si="7"/>
        <v>41216.813999999998</v>
      </c>
      <c r="U81" t="str">
        <v>Flogas Natural Gas Limited</v>
      </c>
      <c r="V81">
        <f t="shared" ca="1" si="8"/>
        <v>8400</v>
      </c>
      <c r="W81">
        <f t="shared" si="9"/>
        <v>0</v>
      </c>
      <c r="X81">
        <f t="shared" si="10"/>
        <v>11125</v>
      </c>
      <c r="Y81" s="181"/>
    </row>
    <row r="82" spans="1:25">
      <c r="A82" t="s">
        <v>64</v>
      </c>
      <c r="B82">
        <f t="shared" si="6"/>
        <v>0</v>
      </c>
      <c r="C82" t="s">
        <v>2689</v>
      </c>
      <c r="D82" t="s">
        <v>1819</v>
      </c>
      <c r="E82" t="s">
        <v>25</v>
      </c>
      <c r="F82" s="162">
        <v>4000</v>
      </c>
      <c r="G82" t="s">
        <v>2646</v>
      </c>
      <c r="H82" s="163">
        <v>46388</v>
      </c>
      <c r="I82" s="163">
        <v>46752</v>
      </c>
      <c r="J82" s="163"/>
      <c r="K82" t="s">
        <v>2667</v>
      </c>
      <c r="L82" t="b">
        <v>0</v>
      </c>
      <c r="O82" t="str">
        <v>Ocean Winds UK Limited</v>
      </c>
      <c r="P82">
        <f t="shared" ca="1" si="7"/>
        <v>22429.628000000001</v>
      </c>
      <c r="U82" t="str">
        <v>Forsa Energy Holdings Limited</v>
      </c>
      <c r="V82">
        <f t="shared" ca="1" si="8"/>
        <v>27000</v>
      </c>
      <c r="W82">
        <f t="shared" si="9"/>
        <v>0</v>
      </c>
      <c r="X82">
        <f t="shared" si="10"/>
        <v>23600</v>
      </c>
      <c r="Y82" s="181"/>
    </row>
    <row r="83" spans="1:25">
      <c r="A83" t="s">
        <v>64</v>
      </c>
      <c r="B83">
        <f t="shared" si="6"/>
        <v>0</v>
      </c>
      <c r="C83" t="s">
        <v>2689</v>
      </c>
      <c r="D83" t="s">
        <v>1826</v>
      </c>
      <c r="E83" t="s">
        <v>25</v>
      </c>
      <c r="F83" s="162">
        <v>4000</v>
      </c>
      <c r="G83" t="s">
        <v>2646</v>
      </c>
      <c r="H83" s="163">
        <v>46388</v>
      </c>
      <c r="I83" s="163">
        <v>46752</v>
      </c>
      <c r="J83" s="163"/>
      <c r="K83" t="s">
        <v>2667</v>
      </c>
      <c r="L83" t="b">
        <v>0</v>
      </c>
      <c r="O83" t="str">
        <v>Octopus Energy Ltd</v>
      </c>
      <c r="P83">
        <f t="shared" ca="1" si="7"/>
        <v>285858.658</v>
      </c>
      <c r="U83" t="str">
        <v>Fred Olsen Renewables Limited</v>
      </c>
      <c r="V83">
        <f t="shared" ca="1" si="8"/>
        <v>30280</v>
      </c>
      <c r="W83">
        <f t="shared" si="9"/>
        <v>41000</v>
      </c>
      <c r="X83">
        <f t="shared" si="10"/>
        <v>0</v>
      </c>
      <c r="Y83" s="181"/>
    </row>
    <row r="84" spans="1:25">
      <c r="A84" t="s">
        <v>64</v>
      </c>
      <c r="B84">
        <f t="shared" si="6"/>
        <v>0</v>
      </c>
      <c r="C84" t="s">
        <v>2689</v>
      </c>
      <c r="D84" t="s">
        <v>1916</v>
      </c>
      <c r="E84" t="s">
        <v>25</v>
      </c>
      <c r="F84" s="162">
        <v>4000</v>
      </c>
      <c r="G84" t="s">
        <v>2646</v>
      </c>
      <c r="H84" s="163">
        <v>46388</v>
      </c>
      <c r="I84" s="163">
        <v>46752</v>
      </c>
      <c r="J84" s="163"/>
      <c r="K84" t="s">
        <v>2667</v>
      </c>
      <c r="L84" t="b">
        <v>0</v>
      </c>
      <c r="O84" t="str">
        <v>Ofgem</v>
      </c>
      <c r="P84">
        <f t="shared" ca="1" si="7"/>
        <v>63886.75</v>
      </c>
      <c r="U84" t="str">
        <v>Frontier Economics</v>
      </c>
      <c r="V84">
        <f t="shared" ca="1" si="8"/>
        <v>9933.3333333333303</v>
      </c>
      <c r="W84">
        <f t="shared" si="9"/>
        <v>0</v>
      </c>
      <c r="X84">
        <f t="shared" si="10"/>
        <v>0</v>
      </c>
      <c r="Y84" s="181"/>
    </row>
    <row r="85" spans="1:25">
      <c r="A85" t="s">
        <v>64</v>
      </c>
      <c r="B85">
        <f t="shared" si="6"/>
        <v>0</v>
      </c>
      <c r="C85" t="s">
        <v>2689</v>
      </c>
      <c r="D85" t="s">
        <v>1833</v>
      </c>
      <c r="E85" t="s">
        <v>25</v>
      </c>
      <c r="F85" s="162">
        <v>4000</v>
      </c>
      <c r="G85" t="s">
        <v>2646</v>
      </c>
      <c r="H85" s="163">
        <v>46388</v>
      </c>
      <c r="I85" s="163">
        <v>46752</v>
      </c>
      <c r="J85" s="163"/>
      <c r="K85" t="s">
        <v>2667</v>
      </c>
      <c r="L85" t="b">
        <v>0</v>
      </c>
      <c r="O85" t="str">
        <v>Ohme Operations UK Ltd</v>
      </c>
      <c r="P85">
        <f t="shared" ca="1" si="7"/>
        <v>10250</v>
      </c>
      <c r="U85" t="str">
        <v>FTI Consulting LLP</v>
      </c>
      <c r="V85">
        <f t="shared" ca="1" si="8"/>
        <v>6033.3333333333303</v>
      </c>
      <c r="W85">
        <f t="shared" si="9"/>
        <v>8000</v>
      </c>
      <c r="X85">
        <f t="shared" si="10"/>
        <v>0</v>
      </c>
      <c r="Y85" s="181"/>
    </row>
    <row r="86" spans="1:25">
      <c r="A86" t="s">
        <v>64</v>
      </c>
      <c r="B86">
        <f t="shared" si="6"/>
        <v>0</v>
      </c>
      <c r="C86" t="s">
        <v>2689</v>
      </c>
      <c r="D86" t="s">
        <v>1838</v>
      </c>
      <c r="E86" t="s">
        <v>25</v>
      </c>
      <c r="F86" s="162">
        <v>4000</v>
      </c>
      <c r="G86" t="s">
        <v>2646</v>
      </c>
      <c r="H86" s="163">
        <v>46388</v>
      </c>
      <c r="I86" s="163">
        <v>46752</v>
      </c>
      <c r="J86" s="163"/>
      <c r="K86" t="s">
        <v>2667</v>
      </c>
      <c r="L86" t="b">
        <v>0</v>
      </c>
      <c r="O86" t="str">
        <v>OnPath Energy Limited</v>
      </c>
      <c r="P86">
        <f t="shared" ca="1" si="7"/>
        <v>15600</v>
      </c>
      <c r="U86" t="str">
        <v>Ganninon Limited</v>
      </c>
      <c r="V86">
        <f t="shared" ca="1" si="8"/>
        <v>6033.3333333333303</v>
      </c>
      <c r="W86">
        <f t="shared" si="9"/>
        <v>3900</v>
      </c>
      <c r="X86">
        <f t="shared" si="10"/>
        <v>0</v>
      </c>
      <c r="Y86" s="181"/>
    </row>
    <row r="87" spans="1:25">
      <c r="A87" t="s">
        <v>1178</v>
      </c>
      <c r="B87">
        <f t="shared" si="6"/>
        <v>1</v>
      </c>
      <c r="C87" t="s">
        <v>2690</v>
      </c>
      <c r="D87" t="s">
        <v>2653</v>
      </c>
      <c r="E87" t="s">
        <v>20</v>
      </c>
      <c r="F87" s="162">
        <v>3924</v>
      </c>
      <c r="G87" t="s">
        <v>2646</v>
      </c>
      <c r="H87" s="163">
        <v>45665</v>
      </c>
      <c r="I87" s="163">
        <v>46234</v>
      </c>
      <c r="J87" s="163"/>
      <c r="K87" t="s">
        <v>2656</v>
      </c>
      <c r="L87" t="b">
        <v>0</v>
      </c>
      <c r="O87" t="str">
        <v>Orsted Power (UK) Ltd</v>
      </c>
      <c r="P87">
        <f t="shared" ca="1" si="7"/>
        <v>13000</v>
      </c>
      <c r="U87" t="str">
        <v>Good Energy Limited</v>
      </c>
      <c r="V87">
        <f t="shared" ca="1" si="8"/>
        <v>54470</v>
      </c>
      <c r="W87">
        <f t="shared" si="9"/>
        <v>24769.999999999993</v>
      </c>
      <c r="X87">
        <f t="shared" si="10"/>
        <v>0</v>
      </c>
      <c r="Y87" s="181"/>
    </row>
    <row r="88" spans="1:25">
      <c r="A88" t="s">
        <v>2008</v>
      </c>
      <c r="B88">
        <f t="shared" si="6"/>
        <v>7</v>
      </c>
      <c r="C88" t="s">
        <v>2691</v>
      </c>
      <c r="D88" t="s">
        <v>1898</v>
      </c>
      <c r="E88" t="s">
        <v>29</v>
      </c>
      <c r="F88" s="162">
        <v>4620</v>
      </c>
      <c r="G88" t="s">
        <v>2646</v>
      </c>
      <c r="H88" s="163">
        <v>46026</v>
      </c>
      <c r="I88" s="163">
        <v>46477</v>
      </c>
      <c r="J88" s="163"/>
      <c r="K88" t="s">
        <v>2680</v>
      </c>
      <c r="L88" t="b">
        <v>0</v>
      </c>
      <c r="O88" t="str">
        <v>OVO Energy Limited</v>
      </c>
      <c r="P88">
        <f t="shared" ca="1" si="7"/>
        <v>114590</v>
      </c>
      <c r="U88" t="str">
        <v>Gowling WLG (UK) LLP</v>
      </c>
      <c r="V88">
        <f t="shared" ca="1" si="8"/>
        <v>5300</v>
      </c>
      <c r="W88">
        <f t="shared" si="9"/>
        <v>8100</v>
      </c>
      <c r="X88">
        <f t="shared" si="10"/>
        <v>0</v>
      </c>
      <c r="Y88" s="181"/>
    </row>
    <row r="89" spans="1:25">
      <c r="A89" t="s">
        <v>2008</v>
      </c>
      <c r="B89">
        <f t="shared" si="6"/>
        <v>7</v>
      </c>
      <c r="C89" t="s">
        <v>2691</v>
      </c>
      <c r="D89" t="s">
        <v>2653</v>
      </c>
      <c r="E89" t="s">
        <v>20</v>
      </c>
      <c r="F89" s="162">
        <v>10159</v>
      </c>
      <c r="G89" t="s">
        <v>2646</v>
      </c>
      <c r="H89" s="163">
        <v>46026</v>
      </c>
      <c r="I89" s="163">
        <v>46477</v>
      </c>
      <c r="J89" s="163"/>
      <c r="K89" t="s">
        <v>2680</v>
      </c>
      <c r="L89" t="b">
        <v>0</v>
      </c>
      <c r="O89" t="str">
        <v>Port of Tilbury London Ltd</v>
      </c>
      <c r="P89">
        <f t="shared" ca="1" si="7"/>
        <v>16146</v>
      </c>
      <c r="U89" t="str">
        <v>Greater South East Energy Hub</v>
      </c>
      <c r="V89">
        <f t="shared" ca="1" si="8"/>
        <v>10000</v>
      </c>
      <c r="W89">
        <f t="shared" si="9"/>
        <v>0</v>
      </c>
      <c r="X89">
        <f t="shared" si="10"/>
        <v>25000</v>
      </c>
      <c r="Y89" s="181"/>
    </row>
    <row r="90" spans="1:25">
      <c r="A90" t="s">
        <v>2008</v>
      </c>
      <c r="B90">
        <f t="shared" si="6"/>
        <v>7</v>
      </c>
      <c r="C90" t="s">
        <v>2691</v>
      </c>
      <c r="D90" t="s">
        <v>1823</v>
      </c>
      <c r="E90" t="s">
        <v>21</v>
      </c>
      <c r="F90" s="162">
        <v>11288</v>
      </c>
      <c r="G90" t="s">
        <v>2646</v>
      </c>
      <c r="H90" s="163">
        <v>46026</v>
      </c>
      <c r="I90" s="163">
        <v>46477</v>
      </c>
      <c r="J90" s="163"/>
      <c r="K90" t="s">
        <v>2680</v>
      </c>
      <c r="L90" t="b">
        <v>0</v>
      </c>
      <c r="O90" t="str">
        <v>PricewaterhouseCooper Services Limited</v>
      </c>
      <c r="P90">
        <f t="shared" ca="1" si="7"/>
        <v>20292</v>
      </c>
      <c r="U90" t="str">
        <v>Green Energy (UK) Ltd</v>
      </c>
      <c r="V90">
        <f t="shared" ca="1" si="8"/>
        <v>70000</v>
      </c>
      <c r="W90">
        <f t="shared" si="9"/>
        <v>20000</v>
      </c>
      <c r="X90">
        <f t="shared" si="10"/>
        <v>0</v>
      </c>
      <c r="Y90" s="181"/>
    </row>
    <row r="91" spans="1:25">
      <c r="A91" t="s">
        <v>2008</v>
      </c>
      <c r="B91">
        <f t="shared" si="6"/>
        <v>7</v>
      </c>
      <c r="C91" t="s">
        <v>2691</v>
      </c>
      <c r="D91" t="s">
        <v>1836</v>
      </c>
      <c r="E91" t="s">
        <v>21</v>
      </c>
      <c r="F91" s="162">
        <v>9030</v>
      </c>
      <c r="G91" t="s">
        <v>2646</v>
      </c>
      <c r="H91" s="163">
        <v>46026</v>
      </c>
      <c r="I91" s="163">
        <v>46477</v>
      </c>
      <c r="J91" s="163"/>
      <c r="K91" t="s">
        <v>2680</v>
      </c>
      <c r="L91" t="b">
        <v>0</v>
      </c>
      <c r="O91" t="str">
        <v>Pure Energy Professionals</v>
      </c>
      <c r="P91">
        <f t="shared" ca="1" si="7"/>
        <v>26482</v>
      </c>
      <c r="U91" t="str">
        <v>Green Nation Energy Ltd</v>
      </c>
      <c r="V91">
        <f t="shared" ca="1" si="8"/>
        <v>58000</v>
      </c>
      <c r="W91">
        <f t="shared" si="9"/>
        <v>0</v>
      </c>
      <c r="X91">
        <f t="shared" si="10"/>
        <v>10000</v>
      </c>
      <c r="Y91" s="181"/>
    </row>
    <row r="92" spans="1:25">
      <c r="A92" t="s">
        <v>2008</v>
      </c>
      <c r="B92">
        <f t="shared" si="6"/>
        <v>7</v>
      </c>
      <c r="C92" t="s">
        <v>2691</v>
      </c>
      <c r="D92" t="s">
        <v>1843</v>
      </c>
      <c r="E92" t="s">
        <v>21</v>
      </c>
      <c r="F92" s="162">
        <v>8617</v>
      </c>
      <c r="G92" t="s">
        <v>2646</v>
      </c>
      <c r="H92" s="163">
        <v>46026</v>
      </c>
      <c r="I92" s="163">
        <v>46477</v>
      </c>
      <c r="J92" s="163"/>
      <c r="K92" t="s">
        <v>2680</v>
      </c>
      <c r="L92" t="b">
        <v>0</v>
      </c>
      <c r="O92" t="str">
        <v>Retail Energy Code Company Limited</v>
      </c>
      <c r="P92">
        <f t="shared" ca="1" si="7"/>
        <v>2650</v>
      </c>
      <c r="U92" t="str">
        <v>Green Peak Energy Pty Ltd</v>
      </c>
      <c r="V92">
        <f t="shared" ca="1" si="8"/>
        <v>34020</v>
      </c>
      <c r="W92">
        <f t="shared" si="9"/>
        <v>0</v>
      </c>
      <c r="X92">
        <f t="shared" si="10"/>
        <v>128000</v>
      </c>
      <c r="Y92" s="181"/>
    </row>
    <row r="93" spans="1:25">
      <c r="A93" t="s">
        <v>2008</v>
      </c>
      <c r="B93">
        <f t="shared" si="6"/>
        <v>7</v>
      </c>
      <c r="C93" t="s">
        <v>2691</v>
      </c>
      <c r="D93" t="s">
        <v>1829</v>
      </c>
      <c r="E93" t="s">
        <v>23</v>
      </c>
      <c r="F93" s="162">
        <v>14286</v>
      </c>
      <c r="G93" t="s">
        <v>2646</v>
      </c>
      <c r="H93" s="163">
        <v>46026</v>
      </c>
      <c r="I93" s="163">
        <v>46477</v>
      </c>
      <c r="J93" s="163"/>
      <c r="K93" t="s">
        <v>2680</v>
      </c>
      <c r="L93" t="b">
        <v>0</v>
      </c>
      <c r="O93" t="str">
        <v>RWE Supply &amp; Trading GmbH</v>
      </c>
      <c r="P93">
        <f t="shared" ca="1" si="7"/>
        <v>58363</v>
      </c>
      <c r="U93" t="str">
        <v>Gren Energy Limited</v>
      </c>
      <c r="V93">
        <f t="shared" ca="1" si="8"/>
        <v>2347</v>
      </c>
      <c r="W93">
        <f t="shared" si="9"/>
        <v>28860</v>
      </c>
      <c r="X93">
        <f t="shared" si="10"/>
        <v>0</v>
      </c>
      <c r="Y93" s="181"/>
    </row>
    <row r="94" spans="1:25">
      <c r="A94" t="s">
        <v>2008</v>
      </c>
      <c r="B94">
        <f t="shared" si="6"/>
        <v>7</v>
      </c>
      <c r="C94" t="s">
        <v>2691</v>
      </c>
      <c r="D94" t="s">
        <v>1813</v>
      </c>
      <c r="E94" t="s">
        <v>21</v>
      </c>
      <c r="F94" s="162">
        <v>2000</v>
      </c>
      <c r="G94" t="s">
        <v>2646</v>
      </c>
      <c r="H94" s="163">
        <v>46026</v>
      </c>
      <c r="I94" s="163">
        <v>46477</v>
      </c>
      <c r="J94" s="163"/>
      <c r="K94" t="s">
        <v>2680</v>
      </c>
      <c r="L94" t="b">
        <v>0</v>
      </c>
      <c r="O94" t="str">
        <v>S&amp;P Global UK Limited</v>
      </c>
      <c r="P94">
        <f t="shared" ca="1" si="7"/>
        <v>5670</v>
      </c>
      <c r="U94" t="str">
        <v>Hartree Partners Power &amp; Gas (UK) Ltd</v>
      </c>
      <c r="V94">
        <f t="shared" ca="1" si="8"/>
        <v>5266</v>
      </c>
      <c r="W94">
        <f t="shared" si="9"/>
        <v>5160</v>
      </c>
      <c r="X94">
        <f t="shared" si="10"/>
        <v>0</v>
      </c>
      <c r="Y94" s="181"/>
    </row>
    <row r="95" spans="1:25">
      <c r="A95" t="s">
        <v>1987</v>
      </c>
      <c r="B95">
        <f t="shared" si="6"/>
        <v>0</v>
      </c>
      <c r="C95" t="s">
        <v>2692</v>
      </c>
      <c r="D95" t="s">
        <v>2645</v>
      </c>
      <c r="E95" t="s">
        <v>1902</v>
      </c>
      <c r="F95" s="162">
        <v>8870</v>
      </c>
      <c r="G95" t="s">
        <v>2646</v>
      </c>
      <c r="H95" s="163">
        <v>46024</v>
      </c>
      <c r="I95" s="163">
        <v>46418</v>
      </c>
      <c r="J95" s="163"/>
      <c r="K95" t="s">
        <v>2647</v>
      </c>
      <c r="L95" t="b">
        <v>0</v>
      </c>
      <c r="O95" t="str">
        <v>Schroders Greencoat LLP</v>
      </c>
      <c r="P95">
        <f t="shared" ca="1" si="7"/>
        <v>12700</v>
      </c>
      <c r="U95" t="str">
        <v>Indigo Swan Limited</v>
      </c>
      <c r="V95">
        <f t="shared" ca="1" si="8"/>
        <v>13266</v>
      </c>
      <c r="W95">
        <f t="shared" si="9"/>
        <v>1152</v>
      </c>
      <c r="X95">
        <f t="shared" si="10"/>
        <v>0</v>
      </c>
      <c r="Y95" s="181"/>
    </row>
    <row r="96" spans="1:25">
      <c r="A96" t="s">
        <v>842</v>
      </c>
      <c r="B96">
        <f t="shared" si="6"/>
        <v>1</v>
      </c>
      <c r="C96" t="s">
        <v>2693</v>
      </c>
      <c r="D96" t="s">
        <v>2653</v>
      </c>
      <c r="E96" t="s">
        <v>20</v>
      </c>
      <c r="F96" s="162">
        <v>3938</v>
      </c>
      <c r="G96" t="s">
        <v>2646</v>
      </c>
      <c r="H96" s="163">
        <v>46026</v>
      </c>
      <c r="I96" s="163">
        <v>46477</v>
      </c>
      <c r="J96" s="163"/>
      <c r="K96" t="s">
        <v>2656</v>
      </c>
      <c r="L96" t="b">
        <v>0</v>
      </c>
      <c r="O96" t="str">
        <v>Scotia Gas Networks Limited</v>
      </c>
      <c r="P96">
        <f t="shared" ca="1" si="7"/>
        <v>9500</v>
      </c>
      <c r="U96" t="str">
        <v>Infinis Energy Services Limited</v>
      </c>
      <c r="V96">
        <f t="shared" ca="1" si="8"/>
        <v>35486.060000000005</v>
      </c>
      <c r="W96">
        <f t="shared" si="9"/>
        <v>26875</v>
      </c>
      <c r="X96">
        <f t="shared" si="10"/>
        <v>0</v>
      </c>
      <c r="Y96" s="181"/>
    </row>
    <row r="97" spans="1:25">
      <c r="A97" t="s">
        <v>1957</v>
      </c>
      <c r="B97">
        <f t="shared" si="6"/>
        <v>13</v>
      </c>
      <c r="C97" t="s">
        <v>2694</v>
      </c>
      <c r="D97" t="s">
        <v>1843</v>
      </c>
      <c r="E97" t="s">
        <v>21</v>
      </c>
      <c r="F97" s="162">
        <v>9880</v>
      </c>
      <c r="G97" t="s">
        <v>2642</v>
      </c>
      <c r="H97" s="163">
        <v>45668</v>
      </c>
      <c r="I97" s="163">
        <v>46326</v>
      </c>
      <c r="J97" s="163"/>
      <c r="K97" t="s">
        <v>2671</v>
      </c>
      <c r="L97" t="b">
        <v>0</v>
      </c>
      <c r="O97" t="str">
        <v>Scottish Fuel Poverty Advisory Panel</v>
      </c>
      <c r="P97">
        <f t="shared" ca="1" si="7"/>
        <v>9511.5</v>
      </c>
      <c r="U97" t="str">
        <v>Inspired PLC</v>
      </c>
      <c r="V97">
        <f t="shared" ca="1" si="8"/>
        <v>34701.94</v>
      </c>
      <c r="W97">
        <f t="shared" si="9"/>
        <v>0</v>
      </c>
      <c r="X97">
        <f t="shared" si="10"/>
        <v>40995.000000000015</v>
      </c>
      <c r="Y97" s="181"/>
    </row>
    <row r="98" spans="1:25">
      <c r="A98" t="s">
        <v>1957</v>
      </c>
      <c r="B98">
        <f t="shared" si="6"/>
        <v>13</v>
      </c>
      <c r="C98" t="s">
        <v>2695</v>
      </c>
      <c r="D98" t="s">
        <v>1840</v>
      </c>
      <c r="E98" t="s">
        <v>29</v>
      </c>
      <c r="F98" s="162">
        <v>7300</v>
      </c>
      <c r="G98" t="s">
        <v>2646</v>
      </c>
      <c r="H98" s="163">
        <v>46026</v>
      </c>
      <c r="I98" s="163">
        <v>46477</v>
      </c>
      <c r="J98" s="163"/>
      <c r="K98" t="s">
        <v>2671</v>
      </c>
      <c r="L98" t="b">
        <v>0</v>
      </c>
      <c r="O98" t="str">
        <v>Scottish Water Ltd</v>
      </c>
      <c r="P98">
        <f t="shared" ca="1" si="7"/>
        <v>9203.6299999999992</v>
      </c>
      <c r="U98" t="str">
        <v>Interconnector Limited</v>
      </c>
      <c r="V98">
        <f t="shared" ca="1" si="8"/>
        <v>16627</v>
      </c>
      <c r="W98">
        <f t="shared" si="9"/>
        <v>4150</v>
      </c>
      <c r="X98">
        <f t="shared" si="10"/>
        <v>0</v>
      </c>
      <c r="Y98" s="181"/>
    </row>
    <row r="99" spans="1:25">
      <c r="A99" t="s">
        <v>1957</v>
      </c>
      <c r="B99">
        <f t="shared" si="6"/>
        <v>13</v>
      </c>
      <c r="C99" t="s">
        <v>2695</v>
      </c>
      <c r="D99" t="s">
        <v>1829</v>
      </c>
      <c r="E99" t="s">
        <v>23</v>
      </c>
      <c r="F99" s="162">
        <v>15100</v>
      </c>
      <c r="G99" t="s">
        <v>2646</v>
      </c>
      <c r="H99" s="163">
        <v>46026</v>
      </c>
      <c r="I99" s="163">
        <v>46477</v>
      </c>
      <c r="J99" s="163"/>
      <c r="K99" t="s">
        <v>2671</v>
      </c>
      <c r="L99" t="b">
        <v>0</v>
      </c>
      <c r="O99" t="str">
        <v>ScottishPower Energy Management Limited</v>
      </c>
      <c r="P99">
        <f t="shared" ca="1" si="7"/>
        <v>191944.04000000004</v>
      </c>
      <c r="U99" t="str">
        <v>Island Green Power UK Ltd</v>
      </c>
      <c r="V99">
        <f t="shared" ca="1" si="8"/>
        <v>6000</v>
      </c>
      <c r="W99">
        <f t="shared" si="9"/>
        <v>9700</v>
      </c>
      <c r="X99">
        <f t="shared" si="10"/>
        <v>0</v>
      </c>
      <c r="Y99" s="181"/>
    </row>
    <row r="100" spans="1:25">
      <c r="A100" t="s">
        <v>1957</v>
      </c>
      <c r="B100">
        <f t="shared" si="6"/>
        <v>13</v>
      </c>
      <c r="C100" t="s">
        <v>2695</v>
      </c>
      <c r="D100" t="s">
        <v>2653</v>
      </c>
      <c r="E100" t="s">
        <v>20</v>
      </c>
      <c r="F100" s="162">
        <v>6825</v>
      </c>
      <c r="G100" t="s">
        <v>2646</v>
      </c>
      <c r="H100" s="163">
        <v>46026</v>
      </c>
      <c r="I100" s="163">
        <v>46477</v>
      </c>
      <c r="J100" s="163"/>
      <c r="K100" t="s">
        <v>2671</v>
      </c>
      <c r="L100" t="b">
        <v>0</v>
      </c>
      <c r="O100" t="str">
        <v>Seabank Power Ltd</v>
      </c>
      <c r="P100">
        <f t="shared" ca="1" si="7"/>
        <v>49796</v>
      </c>
      <c r="U100" t="str">
        <v>J G Pears Holdings (Jersey) Ltd</v>
      </c>
      <c r="V100">
        <f t="shared" ca="1" si="8"/>
        <v>38170</v>
      </c>
      <c r="W100">
        <f t="shared" si="9"/>
        <v>0</v>
      </c>
      <c r="X100">
        <f t="shared" si="10"/>
        <v>47127</v>
      </c>
      <c r="Y100" s="181"/>
    </row>
    <row r="101" spans="1:25">
      <c r="A101" t="s">
        <v>1957</v>
      </c>
      <c r="B101">
        <f t="shared" si="6"/>
        <v>13</v>
      </c>
      <c r="C101" t="s">
        <v>2695</v>
      </c>
      <c r="D101" t="s">
        <v>1810</v>
      </c>
      <c r="E101" t="s">
        <v>21</v>
      </c>
      <c r="F101" s="162">
        <v>10500</v>
      </c>
      <c r="G101" t="s">
        <v>2646</v>
      </c>
      <c r="H101" s="163">
        <v>46026</v>
      </c>
      <c r="I101" s="163">
        <v>46477</v>
      </c>
      <c r="J101" s="163"/>
      <c r="K101" t="s">
        <v>2671</v>
      </c>
      <c r="L101" t="b">
        <v>0</v>
      </c>
      <c r="O101" t="str">
        <v>Sedgwick Trading Ltd Group</v>
      </c>
      <c r="P101">
        <f t="shared" ca="1" si="7"/>
        <v>8990</v>
      </c>
      <c r="U101" t="str">
        <v>Jones Lang LaSalle Ltd</v>
      </c>
      <c r="V101">
        <f t="shared" ca="1" si="8"/>
        <v>36949</v>
      </c>
      <c r="W101">
        <f t="shared" si="9"/>
        <v>0</v>
      </c>
      <c r="X101">
        <f t="shared" si="10"/>
        <v>27740</v>
      </c>
      <c r="Y101" s="181"/>
    </row>
    <row r="102" spans="1:25">
      <c r="A102" t="s">
        <v>1957</v>
      </c>
      <c r="B102">
        <f t="shared" si="6"/>
        <v>13</v>
      </c>
      <c r="C102" t="s">
        <v>2695</v>
      </c>
      <c r="D102" t="s">
        <v>1833</v>
      </c>
      <c r="E102" t="s">
        <v>25</v>
      </c>
      <c r="F102" s="162">
        <v>8200</v>
      </c>
      <c r="G102" t="s">
        <v>2646</v>
      </c>
      <c r="H102" s="163">
        <v>46026</v>
      </c>
      <c r="I102" s="163">
        <v>46477</v>
      </c>
      <c r="J102" s="163"/>
      <c r="K102" t="s">
        <v>2671</v>
      </c>
      <c r="L102" t="b">
        <v>0</v>
      </c>
      <c r="O102" t="str">
        <v>Sembcorp Energy UK Ltd</v>
      </c>
      <c r="P102">
        <f t="shared" ca="1" si="7"/>
        <v>5233.7299999999996</v>
      </c>
      <c r="U102" t="str">
        <v>Landmark Power Holdings Limited</v>
      </c>
      <c r="V102">
        <f t="shared" ca="1" si="8"/>
        <v>32261</v>
      </c>
      <c r="W102">
        <f t="shared" si="9"/>
        <v>0</v>
      </c>
      <c r="X102">
        <f t="shared" si="10"/>
        <v>19500</v>
      </c>
      <c r="Y102" s="181"/>
    </row>
    <row r="103" spans="1:25">
      <c r="A103" t="s">
        <v>1957</v>
      </c>
      <c r="B103">
        <f t="shared" si="6"/>
        <v>13</v>
      </c>
      <c r="C103" t="s">
        <v>2695</v>
      </c>
      <c r="D103" t="s">
        <v>1843</v>
      </c>
      <c r="E103" t="s">
        <v>21</v>
      </c>
      <c r="F103" s="162">
        <v>4200</v>
      </c>
      <c r="G103" t="s">
        <v>2646</v>
      </c>
      <c r="H103" s="163">
        <v>46026</v>
      </c>
      <c r="I103" s="163">
        <v>46477</v>
      </c>
      <c r="J103" s="163"/>
      <c r="K103" t="s">
        <v>2671</v>
      </c>
      <c r="L103" t="b">
        <v>0</v>
      </c>
      <c r="O103" t="str">
        <v>Shell International BV</v>
      </c>
      <c r="P103">
        <f t="shared" ca="1" si="7"/>
        <v>459773.55999999971</v>
      </c>
      <c r="U103" t="str">
        <v>Laser Energy</v>
      </c>
      <c r="V103">
        <f t="shared" ca="1" si="8"/>
        <v>25627.599999999999</v>
      </c>
      <c r="W103">
        <f t="shared" si="9"/>
        <v>42640</v>
      </c>
      <c r="X103">
        <f t="shared" si="10"/>
        <v>0</v>
      </c>
      <c r="Y103" s="181"/>
    </row>
    <row r="104" spans="1:25">
      <c r="A104" t="s">
        <v>1957</v>
      </c>
      <c r="B104">
        <f t="shared" si="6"/>
        <v>13</v>
      </c>
      <c r="C104" t="s">
        <v>2695</v>
      </c>
      <c r="D104" t="s">
        <v>1814</v>
      </c>
      <c r="E104" t="s">
        <v>1695</v>
      </c>
      <c r="F104" s="162">
        <v>3450</v>
      </c>
      <c r="G104" t="s">
        <v>2646</v>
      </c>
      <c r="H104" s="163">
        <v>46026</v>
      </c>
      <c r="I104" s="163">
        <v>46477</v>
      </c>
      <c r="J104" s="163"/>
      <c r="K104" t="s">
        <v>2671</v>
      </c>
      <c r="L104" t="b">
        <v>0</v>
      </c>
      <c r="O104" t="str">
        <v>SINQ Power Limited</v>
      </c>
      <c r="P104">
        <f t="shared" ca="1" si="7"/>
        <v>18619.7</v>
      </c>
      <c r="U104" t="str">
        <v>Last Mile Infrastructure Ltd</v>
      </c>
      <c r="V104">
        <f t="shared" ca="1" si="8"/>
        <v>50930.400000000001</v>
      </c>
      <c r="W104">
        <f t="shared" si="9"/>
        <v>47557.999999999993</v>
      </c>
      <c r="X104">
        <f t="shared" si="10"/>
        <v>0</v>
      </c>
      <c r="Y104" s="181"/>
    </row>
    <row r="105" spans="1:25">
      <c r="A105" t="s">
        <v>1957</v>
      </c>
      <c r="B105">
        <f t="shared" si="6"/>
        <v>13</v>
      </c>
      <c r="C105" t="s">
        <v>2695</v>
      </c>
      <c r="D105" t="s">
        <v>1824</v>
      </c>
      <c r="E105" t="s">
        <v>1695</v>
      </c>
      <c r="F105" s="162">
        <v>3450</v>
      </c>
      <c r="G105" t="s">
        <v>2646</v>
      </c>
      <c r="H105" s="163">
        <v>46026</v>
      </c>
      <c r="I105" s="163">
        <v>46477</v>
      </c>
      <c r="J105" s="163"/>
      <c r="K105" t="s">
        <v>2671</v>
      </c>
      <c r="L105" t="b">
        <v>0</v>
      </c>
      <c r="O105" t="str">
        <v>Slaughter and May Limited</v>
      </c>
      <c r="P105">
        <f t="shared" ca="1" si="7"/>
        <v>8718</v>
      </c>
      <c r="U105" t="str">
        <v>Legal &amp; General Capital Investments Limited</v>
      </c>
      <c r="V105">
        <f t="shared" ca="1" si="8"/>
        <v>12000</v>
      </c>
      <c r="W105">
        <f t="shared" si="9"/>
        <v>9000</v>
      </c>
      <c r="X105">
        <f t="shared" si="10"/>
        <v>0</v>
      </c>
      <c r="Y105" s="181"/>
    </row>
    <row r="106" spans="1:25">
      <c r="A106" t="s">
        <v>1957</v>
      </c>
      <c r="B106">
        <f t="shared" si="6"/>
        <v>13</v>
      </c>
      <c r="C106" t="s">
        <v>2695</v>
      </c>
      <c r="D106" t="s">
        <v>1842</v>
      </c>
      <c r="E106" t="s">
        <v>1695</v>
      </c>
      <c r="F106" s="162">
        <v>3450</v>
      </c>
      <c r="G106" t="s">
        <v>2646</v>
      </c>
      <c r="H106" s="163">
        <v>46026</v>
      </c>
      <c r="I106" s="163">
        <v>46477</v>
      </c>
      <c r="J106" s="163"/>
      <c r="K106" t="s">
        <v>2671</v>
      </c>
      <c r="L106" t="b">
        <v>0</v>
      </c>
      <c r="O106" t="str">
        <v>Smart DCC Limited</v>
      </c>
      <c r="P106">
        <f t="shared" ca="1" si="7"/>
        <v>12450</v>
      </c>
      <c r="U106" t="str">
        <v>LG Energy Group Limited</v>
      </c>
      <c r="V106">
        <f t="shared" ca="1" si="8"/>
        <v>10500</v>
      </c>
      <c r="W106">
        <f t="shared" si="9"/>
        <v>8000</v>
      </c>
      <c r="X106">
        <f t="shared" si="10"/>
        <v>0</v>
      </c>
      <c r="Y106" s="181"/>
    </row>
    <row r="107" spans="1:25">
      <c r="A107" t="s">
        <v>1957</v>
      </c>
      <c r="B107">
        <f t="shared" si="6"/>
        <v>13</v>
      </c>
      <c r="C107" t="s">
        <v>2695</v>
      </c>
      <c r="D107" t="s">
        <v>1851</v>
      </c>
      <c r="E107" t="s">
        <v>1695</v>
      </c>
      <c r="F107" s="162">
        <v>3450</v>
      </c>
      <c r="G107" t="s">
        <v>2646</v>
      </c>
      <c r="H107" s="163">
        <v>46026</v>
      </c>
      <c r="I107" s="163">
        <v>46477</v>
      </c>
      <c r="J107" s="163"/>
      <c r="K107" t="s">
        <v>2671</v>
      </c>
      <c r="L107" t="b">
        <v>0</v>
      </c>
      <c r="O107" t="str">
        <v>Smart Energy GB</v>
      </c>
      <c r="P107">
        <f t="shared" ca="1" si="7"/>
        <v>13405</v>
      </c>
      <c r="U107" t="str">
        <v>Low Carbon Contracts Company Ltd</v>
      </c>
      <c r="V107">
        <f t="shared" ca="1" si="8"/>
        <v>40525</v>
      </c>
      <c r="W107">
        <f t="shared" si="9"/>
        <v>12000</v>
      </c>
      <c r="X107">
        <f t="shared" si="10"/>
        <v>0</v>
      </c>
      <c r="Y107" s="181"/>
    </row>
    <row r="108" spans="1:25">
      <c r="A108" t="s">
        <v>1957</v>
      </c>
      <c r="B108">
        <f t="shared" si="6"/>
        <v>13</v>
      </c>
      <c r="C108" t="s">
        <v>2695</v>
      </c>
      <c r="D108" t="s">
        <v>1853</v>
      </c>
      <c r="E108" t="s">
        <v>1695</v>
      </c>
      <c r="F108" s="162">
        <v>3450</v>
      </c>
      <c r="G108" t="s">
        <v>2646</v>
      </c>
      <c r="H108" s="163">
        <v>46026</v>
      </c>
      <c r="I108" s="163">
        <v>46477</v>
      </c>
      <c r="J108" s="163"/>
      <c r="K108" t="s">
        <v>2671</v>
      </c>
      <c r="L108" t="b">
        <v>0</v>
      </c>
      <c r="O108" t="str">
        <v>SmartestEnergy Limited</v>
      </c>
      <c r="P108">
        <f t="shared" ca="1" si="7"/>
        <v>305469.55499999999</v>
      </c>
      <c r="U108" t="str">
        <v>Low Carbon Ltd</v>
      </c>
      <c r="V108">
        <f t="shared" ca="1" si="8"/>
        <v>15821</v>
      </c>
      <c r="W108">
        <f t="shared" si="9"/>
        <v>10500</v>
      </c>
      <c r="X108">
        <f t="shared" si="10"/>
        <v>0</v>
      </c>
      <c r="Y108" s="181"/>
    </row>
    <row r="109" spans="1:25">
      <c r="A109" t="s">
        <v>1957</v>
      </c>
      <c r="B109">
        <f t="shared" si="6"/>
        <v>13</v>
      </c>
      <c r="C109" t="s">
        <v>2695</v>
      </c>
      <c r="D109" t="s">
        <v>1827</v>
      </c>
      <c r="E109" t="s">
        <v>29</v>
      </c>
      <c r="F109" s="162">
        <v>7500</v>
      </c>
      <c r="G109" t="s">
        <v>2646</v>
      </c>
      <c r="H109" s="163">
        <v>46026</v>
      </c>
      <c r="I109" s="163">
        <v>46477</v>
      </c>
      <c r="J109" s="163"/>
      <c r="K109" t="s">
        <v>2671</v>
      </c>
      <c r="L109" t="b">
        <v>0</v>
      </c>
      <c r="O109" t="str">
        <v>SMS Energy Services Ltd</v>
      </c>
      <c r="P109">
        <f t="shared" ca="1" si="7"/>
        <v>117006.44500000001</v>
      </c>
      <c r="U109" t="str">
        <v>Macquarie Energy Leasing Limited</v>
      </c>
      <c r="V109">
        <f t="shared" ca="1" si="8"/>
        <v>31642</v>
      </c>
      <c r="W109">
        <f t="shared" si="9"/>
        <v>0</v>
      </c>
      <c r="X109">
        <f t="shared" si="10"/>
        <v>19530</v>
      </c>
      <c r="Y109" s="181"/>
    </row>
    <row r="110" spans="1:25">
      <c r="A110" t="s">
        <v>1955</v>
      </c>
      <c r="B110">
        <f t="shared" si="6"/>
        <v>9</v>
      </c>
      <c r="C110" t="s">
        <v>2696</v>
      </c>
      <c r="D110" t="s">
        <v>1829</v>
      </c>
      <c r="E110" t="s">
        <v>23</v>
      </c>
      <c r="F110" s="162">
        <v>21800</v>
      </c>
      <c r="G110" t="s">
        <v>2642</v>
      </c>
      <c r="H110" s="163">
        <v>45831</v>
      </c>
      <c r="I110" s="163">
        <v>46317</v>
      </c>
      <c r="J110" s="163"/>
      <c r="K110" t="s">
        <v>2671</v>
      </c>
      <c r="L110" t="b">
        <v>0</v>
      </c>
      <c r="O110" t="str">
        <v>SO Energy Trading Limited</v>
      </c>
      <c r="P110">
        <f t="shared" ca="1" si="7"/>
        <v>52514</v>
      </c>
      <c r="U110" t="str">
        <v>MAG Airport Limited</v>
      </c>
      <c r="V110">
        <f t="shared" ca="1" si="8"/>
        <v>34360</v>
      </c>
      <c r="W110">
        <f t="shared" si="9"/>
        <v>0</v>
      </c>
      <c r="X110">
        <f t="shared" si="10"/>
        <v>47463</v>
      </c>
      <c r="Y110" s="181"/>
    </row>
    <row r="111" spans="1:25">
      <c r="A111" t="s">
        <v>1955</v>
      </c>
      <c r="B111">
        <f t="shared" si="6"/>
        <v>9</v>
      </c>
      <c r="C111" t="s">
        <v>2697</v>
      </c>
      <c r="D111" t="s">
        <v>2653</v>
      </c>
      <c r="E111" t="s">
        <v>20</v>
      </c>
      <c r="F111" s="162">
        <v>7400</v>
      </c>
      <c r="G111" t="s">
        <v>2646</v>
      </c>
      <c r="H111" s="163">
        <v>45668</v>
      </c>
      <c r="I111" s="163">
        <v>46326</v>
      </c>
      <c r="J111" s="163"/>
      <c r="K111" t="s">
        <v>2671</v>
      </c>
      <c r="L111" t="b">
        <v>0</v>
      </c>
      <c r="O111" t="str">
        <v>Squire Patton Boggs (UK) LLP</v>
      </c>
      <c r="P111">
        <f t="shared" ca="1" si="7"/>
        <v>10634.653333333301</v>
      </c>
      <c r="U111" t="str">
        <v>Manx Utilities</v>
      </c>
      <c r="V111">
        <f t="shared" ca="1" si="8"/>
        <v>13360</v>
      </c>
      <c r="W111">
        <f t="shared" si="9"/>
        <v>34360</v>
      </c>
      <c r="X111">
        <f t="shared" si="10"/>
        <v>0</v>
      </c>
      <c r="Y111" s="181"/>
    </row>
    <row r="112" spans="1:25">
      <c r="A112" t="s">
        <v>1955</v>
      </c>
      <c r="B112">
        <f t="shared" si="6"/>
        <v>9</v>
      </c>
      <c r="C112" t="s">
        <v>2697</v>
      </c>
      <c r="D112" t="s">
        <v>1808</v>
      </c>
      <c r="E112" t="s">
        <v>25</v>
      </c>
      <c r="F112" s="162">
        <v>3442.8571428571399</v>
      </c>
      <c r="G112" t="s">
        <v>2646</v>
      </c>
      <c r="H112" s="163">
        <v>45668</v>
      </c>
      <c r="I112" s="163">
        <v>46326</v>
      </c>
      <c r="J112" s="163"/>
      <c r="K112" t="s">
        <v>2671</v>
      </c>
      <c r="L112" t="b">
        <v>0</v>
      </c>
      <c r="O112" t="str">
        <v>SSE plc</v>
      </c>
      <c r="P112">
        <f t="shared" ca="1" si="7"/>
        <v>150749.2166666665</v>
      </c>
      <c r="U112" t="str">
        <v>Marble Power Limited</v>
      </c>
      <c r="V112">
        <f t="shared" ca="1" si="8"/>
        <v>92216.000000000015</v>
      </c>
      <c r="W112">
        <f t="shared" si="9"/>
        <v>75900.000000000015</v>
      </c>
      <c r="X112">
        <f t="shared" si="10"/>
        <v>0</v>
      </c>
      <c r="Y112" s="181"/>
    </row>
    <row r="113" spans="1:25">
      <c r="A113" t="s">
        <v>1955</v>
      </c>
      <c r="B113">
        <f t="shared" si="6"/>
        <v>9</v>
      </c>
      <c r="C113" t="s">
        <v>2697</v>
      </c>
      <c r="D113" t="s">
        <v>1820</v>
      </c>
      <c r="E113" t="s">
        <v>25</v>
      </c>
      <c r="F113" s="162">
        <v>3442.8571428571399</v>
      </c>
      <c r="G113" t="s">
        <v>2646</v>
      </c>
      <c r="H113" s="163">
        <v>45668</v>
      </c>
      <c r="I113" s="163">
        <v>46326</v>
      </c>
      <c r="J113" s="163"/>
      <c r="K113" t="s">
        <v>2671</v>
      </c>
      <c r="L113" t="b">
        <v>0</v>
      </c>
      <c r="O113" t="str">
        <v>Statera Energy Limited</v>
      </c>
      <c r="P113">
        <f t="shared" ca="1" si="7"/>
        <v>12752.67</v>
      </c>
      <c r="U113" t="str">
        <v>Metka EGN</v>
      </c>
      <c r="V113">
        <f t="shared" ca="1" si="8"/>
        <v>49711</v>
      </c>
      <c r="W113">
        <f t="shared" si="9"/>
        <v>16915</v>
      </c>
      <c r="X113">
        <f t="shared" si="10"/>
        <v>0</v>
      </c>
      <c r="Y113" s="181"/>
    </row>
    <row r="114" spans="1:25">
      <c r="A114" t="s">
        <v>1955</v>
      </c>
      <c r="B114">
        <f t="shared" si="6"/>
        <v>9</v>
      </c>
      <c r="C114" t="s">
        <v>2697</v>
      </c>
      <c r="D114" t="s">
        <v>1819</v>
      </c>
      <c r="E114" t="s">
        <v>25</v>
      </c>
      <c r="F114" s="162">
        <v>3442.8571428571399</v>
      </c>
      <c r="G114" t="s">
        <v>2646</v>
      </c>
      <c r="H114" s="163">
        <v>45668</v>
      </c>
      <c r="I114" s="163">
        <v>46326</v>
      </c>
      <c r="J114" s="163"/>
      <c r="K114" t="s">
        <v>2671</v>
      </c>
      <c r="L114" t="b">
        <v>0</v>
      </c>
      <c r="O114" t="str">
        <v>Statkraft UK Ltd</v>
      </c>
      <c r="P114">
        <f t="shared" ca="1" si="7"/>
        <v>80174.929999999993</v>
      </c>
      <c r="U114" t="str">
        <v>Motability Operations</v>
      </c>
      <c r="V114">
        <f t="shared" ca="1" si="8"/>
        <v>4800</v>
      </c>
      <c r="W114">
        <f t="shared" si="9"/>
        <v>0</v>
      </c>
      <c r="X114">
        <f t="shared" si="10"/>
        <v>15865</v>
      </c>
      <c r="Y114" s="181"/>
    </row>
    <row r="115" spans="1:25">
      <c r="A115" t="s">
        <v>1955</v>
      </c>
      <c r="B115">
        <f t="shared" si="6"/>
        <v>9</v>
      </c>
      <c r="C115" t="s">
        <v>2697</v>
      </c>
      <c r="D115" t="s">
        <v>1826</v>
      </c>
      <c r="E115" t="s">
        <v>25</v>
      </c>
      <c r="F115" s="162">
        <v>3442.8571428571399</v>
      </c>
      <c r="G115" t="s">
        <v>2646</v>
      </c>
      <c r="H115" s="163">
        <v>45668</v>
      </c>
      <c r="I115" s="163">
        <v>46326</v>
      </c>
      <c r="J115" s="163"/>
      <c r="K115" t="s">
        <v>2671</v>
      </c>
      <c r="L115" t="b">
        <v>0</v>
      </c>
      <c r="O115" t="str">
        <v>Tesla Motors Netherlands B.V.</v>
      </c>
      <c r="P115">
        <f t="shared" ca="1" si="7"/>
        <v>71868</v>
      </c>
      <c r="U115" t="str">
        <v>Moto Hospitality Ltd</v>
      </c>
      <c r="V115">
        <f t="shared" ca="1" si="8"/>
        <v>19070</v>
      </c>
      <c r="W115">
        <f t="shared" si="9"/>
        <v>28846</v>
      </c>
      <c r="X115">
        <f t="shared" si="10"/>
        <v>0</v>
      </c>
      <c r="Y115" s="181"/>
    </row>
    <row r="116" spans="1:25">
      <c r="A116" t="s">
        <v>1955</v>
      </c>
      <c r="B116">
        <f t="shared" si="6"/>
        <v>9</v>
      </c>
      <c r="C116" t="s">
        <v>2697</v>
      </c>
      <c r="D116" t="s">
        <v>1916</v>
      </c>
      <c r="E116" t="s">
        <v>25</v>
      </c>
      <c r="F116" s="162">
        <v>3442.8571428571399</v>
      </c>
      <c r="G116" t="s">
        <v>2646</v>
      </c>
      <c r="H116" s="163">
        <v>45668</v>
      </c>
      <c r="I116" s="163">
        <v>46326</v>
      </c>
      <c r="J116" s="163"/>
      <c r="K116" t="s">
        <v>2671</v>
      </c>
      <c r="L116" t="b">
        <v>0</v>
      </c>
      <c r="O116" t="str">
        <v>Thames Water Utilities Limited</v>
      </c>
      <c r="P116">
        <f t="shared" ca="1" si="7"/>
        <v>57452</v>
      </c>
      <c r="U116" t="str">
        <v>Mutual Energy Limited</v>
      </c>
      <c r="V116">
        <f t="shared" ca="1" si="8"/>
        <v>4540</v>
      </c>
      <c r="W116">
        <f t="shared" si="9"/>
        <v>0</v>
      </c>
      <c r="X116">
        <f t="shared" si="10"/>
        <v>4800</v>
      </c>
      <c r="Y116" s="181"/>
    </row>
    <row r="117" spans="1:25">
      <c r="A117" t="s">
        <v>1955</v>
      </c>
      <c r="B117">
        <f t="shared" si="6"/>
        <v>9</v>
      </c>
      <c r="C117" t="s">
        <v>2697</v>
      </c>
      <c r="D117" t="s">
        <v>1833</v>
      </c>
      <c r="E117" t="s">
        <v>25</v>
      </c>
      <c r="F117" s="162">
        <v>3442.8571428571399</v>
      </c>
      <c r="G117" t="s">
        <v>2646</v>
      </c>
      <c r="H117" s="163">
        <v>45668</v>
      </c>
      <c r="I117" s="163">
        <v>46326</v>
      </c>
      <c r="J117" s="163"/>
      <c r="K117" t="s">
        <v>2671</v>
      </c>
      <c r="L117" t="b">
        <v>0</v>
      </c>
      <c r="O117" t="str">
        <v>The Association for Decentralised Energy</v>
      </c>
      <c r="P117">
        <f t="shared" ca="1" si="7"/>
        <v>5185</v>
      </c>
      <c r="U117" t="str">
        <v>Nadara Limited</v>
      </c>
      <c r="V117">
        <f t="shared" ca="1" si="8"/>
        <v>17017</v>
      </c>
      <c r="W117">
        <f t="shared" si="9"/>
        <v>0</v>
      </c>
      <c r="X117">
        <f t="shared" si="10"/>
        <v>35650</v>
      </c>
      <c r="Y117" s="181"/>
    </row>
    <row r="118" spans="1:25">
      <c r="A118" t="s">
        <v>1955</v>
      </c>
      <c r="B118">
        <f t="shared" si="6"/>
        <v>9</v>
      </c>
      <c r="C118" t="s">
        <v>2697</v>
      </c>
      <c r="D118" t="s">
        <v>1838</v>
      </c>
      <c r="E118" t="s">
        <v>25</v>
      </c>
      <c r="F118" s="162">
        <v>3442.8571428571399</v>
      </c>
      <c r="G118" t="s">
        <v>2646</v>
      </c>
      <c r="H118" s="163">
        <v>45668</v>
      </c>
      <c r="I118" s="163">
        <v>46326</v>
      </c>
      <c r="J118" s="163"/>
      <c r="K118" t="s">
        <v>2671</v>
      </c>
      <c r="L118" t="b">
        <v>0</v>
      </c>
      <c r="O118" t="str">
        <v>The Crown Estate</v>
      </c>
      <c r="P118">
        <f t="shared" ca="1" si="7"/>
        <v>19235</v>
      </c>
      <c r="U118" t="str">
        <v>National Energy Action</v>
      </c>
      <c r="V118">
        <f t="shared" ca="1" si="8"/>
        <v>2088.5</v>
      </c>
      <c r="W118">
        <f t="shared" si="9"/>
        <v>800</v>
      </c>
      <c r="X118">
        <f t="shared" si="10"/>
        <v>0</v>
      </c>
      <c r="Y118" s="181"/>
    </row>
    <row r="119" spans="1:25">
      <c r="A119" t="s">
        <v>844</v>
      </c>
      <c r="B119">
        <f t="shared" si="6"/>
        <v>0</v>
      </c>
      <c r="C119" t="s">
        <v>2698</v>
      </c>
      <c r="D119" t="s">
        <v>1829</v>
      </c>
      <c r="E119" t="s">
        <v>23</v>
      </c>
      <c r="F119" s="162">
        <v>19673</v>
      </c>
      <c r="G119" t="s">
        <v>2646</v>
      </c>
      <c r="H119" s="163">
        <v>46026</v>
      </c>
      <c r="I119" s="163">
        <v>46477</v>
      </c>
      <c r="J119" s="163"/>
      <c r="K119" t="s">
        <v>2680</v>
      </c>
      <c r="L119" t="b">
        <v>0</v>
      </c>
      <c r="O119" t="str">
        <v>The Energy Consortium</v>
      </c>
      <c r="P119">
        <f t="shared" ca="1" si="7"/>
        <v>34380</v>
      </c>
      <c r="U119" t="str">
        <v>National Energy Systems Operator Limited</v>
      </c>
      <c r="V119">
        <f t="shared" ca="1" si="8"/>
        <v>140861.50000000003</v>
      </c>
      <c r="W119">
        <f t="shared" si="9"/>
        <v>59500</v>
      </c>
      <c r="X119">
        <f t="shared" si="10"/>
        <v>0</v>
      </c>
      <c r="Y119" s="181"/>
    </row>
    <row r="120" spans="1:25">
      <c r="A120" t="s">
        <v>844</v>
      </c>
      <c r="B120">
        <f t="shared" si="6"/>
        <v>0</v>
      </c>
      <c r="C120" t="s">
        <v>2698</v>
      </c>
      <c r="D120" t="s">
        <v>1843</v>
      </c>
      <c r="E120" t="s">
        <v>21</v>
      </c>
      <c r="F120" s="162">
        <v>13276</v>
      </c>
      <c r="G120" t="s">
        <v>2646</v>
      </c>
      <c r="H120" s="163">
        <v>46026</v>
      </c>
      <c r="I120" s="163">
        <v>46477</v>
      </c>
      <c r="J120" s="163"/>
      <c r="K120" t="s">
        <v>2680</v>
      </c>
      <c r="L120" t="b">
        <v>0</v>
      </c>
      <c r="O120" t="str">
        <v>The Food and Drink Federation</v>
      </c>
      <c r="P120">
        <f t="shared" ca="1" si="7"/>
        <v>10278.779999999999</v>
      </c>
      <c r="U120" t="str">
        <v>National Grid Electricity Distribution (West Midlands) Plc</v>
      </c>
      <c r="V120">
        <f t="shared" ca="1" si="8"/>
        <v>22230</v>
      </c>
      <c r="W120">
        <f t="shared" si="9"/>
        <v>7071</v>
      </c>
      <c r="X120">
        <f t="shared" si="10"/>
        <v>0</v>
      </c>
      <c r="Y120" s="181"/>
    </row>
    <row r="121" spans="1:25">
      <c r="A121" t="s">
        <v>1947</v>
      </c>
      <c r="B121">
        <f t="shared" si="6"/>
        <v>2</v>
      </c>
      <c r="C121" t="s">
        <v>2699</v>
      </c>
      <c r="D121" t="s">
        <v>2653</v>
      </c>
      <c r="E121" t="s">
        <v>20</v>
      </c>
      <c r="F121" s="162">
        <v>5000</v>
      </c>
      <c r="G121" t="s">
        <v>1705</v>
      </c>
      <c r="H121" s="163">
        <v>45895</v>
      </c>
      <c r="I121" s="163">
        <v>46259</v>
      </c>
      <c r="J121" s="163"/>
      <c r="K121" t="s">
        <v>2656</v>
      </c>
      <c r="L121" t="b">
        <v>0</v>
      </c>
      <c r="O121" t="str">
        <v>TMA Data Management Limited</v>
      </c>
      <c r="P121">
        <f t="shared" ca="1" si="7"/>
        <v>5325.78</v>
      </c>
      <c r="U121" t="str">
        <v>National Grid Interconnectors Limited</v>
      </c>
      <c r="V121">
        <f t="shared" ca="1" si="8"/>
        <v>5320</v>
      </c>
      <c r="W121">
        <f t="shared" si="9"/>
        <v>10645</v>
      </c>
      <c r="X121">
        <f t="shared" si="10"/>
        <v>0</v>
      </c>
      <c r="Y121" s="181"/>
    </row>
    <row r="122" spans="1:25">
      <c r="A122" t="s">
        <v>1947</v>
      </c>
      <c r="B122">
        <f t="shared" si="6"/>
        <v>2</v>
      </c>
      <c r="C122" t="s">
        <v>2699</v>
      </c>
      <c r="D122" t="s">
        <v>2700</v>
      </c>
      <c r="E122" t="s">
        <v>2701</v>
      </c>
      <c r="F122" s="162">
        <v>5000</v>
      </c>
      <c r="G122" t="s">
        <v>1705</v>
      </c>
      <c r="H122" s="163">
        <v>45895</v>
      </c>
      <c r="I122" s="163">
        <v>46259</v>
      </c>
      <c r="J122" s="163"/>
      <c r="K122" t="s">
        <v>2656</v>
      </c>
      <c r="L122" t="b">
        <v>0</v>
      </c>
      <c r="O122" t="str">
        <v>TotalEnergies Gas &amp; Power Limited</v>
      </c>
      <c r="P122">
        <f t="shared" ca="1" si="7"/>
        <v>101832.66</v>
      </c>
      <c r="U122" t="str">
        <v>National Infrastructure and Service Transformation Authority</v>
      </c>
      <c r="V122">
        <f t="shared" ca="1" si="8"/>
        <v>4976</v>
      </c>
      <c r="W122">
        <f t="shared" si="9"/>
        <v>3750</v>
      </c>
      <c r="X122">
        <f t="shared" si="10"/>
        <v>0</v>
      </c>
      <c r="Y122" s="181"/>
    </row>
    <row r="123" spans="1:25">
      <c r="A123" t="s">
        <v>1976</v>
      </c>
      <c r="B123">
        <f t="shared" si="6"/>
        <v>3</v>
      </c>
      <c r="C123" t="s">
        <v>2702</v>
      </c>
      <c r="D123" t="s">
        <v>2653</v>
      </c>
      <c r="E123" t="s">
        <v>20</v>
      </c>
      <c r="F123" s="162">
        <v>10000</v>
      </c>
      <c r="G123" t="s">
        <v>2646</v>
      </c>
      <c r="H123" s="163">
        <v>46023</v>
      </c>
      <c r="I123" s="163">
        <v>46387</v>
      </c>
      <c r="J123" s="163"/>
      <c r="K123" t="s">
        <v>2643</v>
      </c>
      <c r="L123" t="b">
        <v>0</v>
      </c>
      <c r="O123" t="str">
        <v>Tradelink Solutions Ltd</v>
      </c>
      <c r="P123">
        <f t="shared" ca="1" si="7"/>
        <v>34205</v>
      </c>
      <c r="U123" t="str">
        <v>NextEnergy Solar Holdings III Limited</v>
      </c>
      <c r="V123">
        <f t="shared" ca="1" si="8"/>
        <v>8162</v>
      </c>
      <c r="W123">
        <f t="shared" si="9"/>
        <v>23800</v>
      </c>
      <c r="X123">
        <f t="shared" si="10"/>
        <v>0</v>
      </c>
      <c r="Y123" s="181"/>
    </row>
    <row r="124" spans="1:25">
      <c r="A124" t="s">
        <v>1976</v>
      </c>
      <c r="B124">
        <f t="shared" si="6"/>
        <v>3</v>
      </c>
      <c r="C124" t="s">
        <v>2702</v>
      </c>
      <c r="D124" t="s">
        <v>2625</v>
      </c>
      <c r="E124" t="s">
        <v>27</v>
      </c>
      <c r="F124" s="162">
        <v>15880</v>
      </c>
      <c r="G124" t="s">
        <v>2646</v>
      </c>
      <c r="H124" s="163">
        <v>46023</v>
      </c>
      <c r="I124" s="163">
        <v>46387</v>
      </c>
      <c r="J124" s="163"/>
      <c r="K124" t="s">
        <v>2643</v>
      </c>
      <c r="L124" t="b">
        <v>0</v>
      </c>
      <c r="O124" t="str">
        <v>Unify Energy Limited</v>
      </c>
      <c r="P124">
        <f t="shared" ca="1" si="7"/>
        <v>44575</v>
      </c>
      <c r="U124" t="str">
        <v>NFU Energy</v>
      </c>
      <c r="V124">
        <f t="shared" ca="1" si="8"/>
        <v>5268</v>
      </c>
      <c r="W124">
        <f t="shared" si="9"/>
        <v>4976</v>
      </c>
      <c r="X124">
        <f t="shared" si="10"/>
        <v>0</v>
      </c>
      <c r="Y124" s="181"/>
    </row>
    <row r="125" spans="1:25">
      <c r="A125" t="s">
        <v>1976</v>
      </c>
      <c r="B125">
        <f t="shared" si="6"/>
        <v>3</v>
      </c>
      <c r="C125" t="s">
        <v>2702</v>
      </c>
      <c r="D125" t="s">
        <v>1829</v>
      </c>
      <c r="E125" t="s">
        <v>23</v>
      </c>
      <c r="F125" s="162">
        <v>15000</v>
      </c>
      <c r="G125" t="s">
        <v>2646</v>
      </c>
      <c r="H125" s="163">
        <v>46023</v>
      </c>
      <c r="I125" s="163">
        <v>46387</v>
      </c>
      <c r="J125" s="163"/>
      <c r="K125" t="s">
        <v>2643</v>
      </c>
      <c r="L125" t="b">
        <v>0</v>
      </c>
      <c r="O125" t="str">
        <v>United Gas &amp; Power Ltd</v>
      </c>
      <c r="P125">
        <f t="shared" ca="1" si="7"/>
        <v>75875</v>
      </c>
      <c r="U125" t="str">
        <v>Northern Gas Networks Operations Limited</v>
      </c>
      <c r="V125">
        <f t="shared" ca="1" si="8"/>
        <v>41216.813999999998</v>
      </c>
      <c r="W125">
        <f t="shared" si="9"/>
        <v>16170</v>
      </c>
      <c r="X125">
        <f t="shared" si="10"/>
        <v>0</v>
      </c>
      <c r="Y125" s="181"/>
    </row>
    <row r="126" spans="1:25">
      <c r="A126" t="s">
        <v>1966</v>
      </c>
      <c r="B126">
        <f t="shared" si="6"/>
        <v>4</v>
      </c>
      <c r="C126" t="s">
        <v>2703</v>
      </c>
      <c r="D126" t="s">
        <v>2645</v>
      </c>
      <c r="E126" t="s">
        <v>1902</v>
      </c>
      <c r="F126" s="162">
        <v>6325</v>
      </c>
      <c r="G126" t="s">
        <v>2646</v>
      </c>
      <c r="H126" s="163">
        <v>46003</v>
      </c>
      <c r="I126" s="163">
        <v>46338</v>
      </c>
      <c r="J126" s="163"/>
      <c r="K126" t="s">
        <v>2647</v>
      </c>
      <c r="L126" t="b">
        <v>0</v>
      </c>
      <c r="O126" t="str">
        <v>UrbanChain Ltd.</v>
      </c>
      <c r="P126">
        <f t="shared" ca="1" si="7"/>
        <v>73149.333333333299</v>
      </c>
      <c r="U126" t="str">
        <v>Ocean Winds UK Limited</v>
      </c>
      <c r="V126">
        <f t="shared" ca="1" si="8"/>
        <v>22429.628000000001</v>
      </c>
      <c r="W126">
        <f t="shared" si="9"/>
        <v>22100</v>
      </c>
      <c r="X126">
        <f t="shared" si="10"/>
        <v>0</v>
      </c>
      <c r="Y126" s="181"/>
    </row>
    <row r="127" spans="1:25">
      <c r="A127" t="s">
        <v>1966</v>
      </c>
      <c r="B127">
        <f t="shared" si="6"/>
        <v>4</v>
      </c>
      <c r="C127" t="s">
        <v>2703</v>
      </c>
      <c r="D127" t="s">
        <v>2653</v>
      </c>
      <c r="E127" t="s">
        <v>20</v>
      </c>
      <c r="F127" s="162">
        <v>6325</v>
      </c>
      <c r="G127" t="s">
        <v>2646</v>
      </c>
      <c r="H127" s="163">
        <v>46003</v>
      </c>
      <c r="I127" s="163">
        <v>46338</v>
      </c>
      <c r="J127" s="163"/>
      <c r="K127" t="s">
        <v>2647</v>
      </c>
      <c r="L127" t="b">
        <v>0</v>
      </c>
      <c r="O127" t="str">
        <v>Utilita Energy Limited</v>
      </c>
      <c r="P127">
        <f t="shared" ca="1" si="7"/>
        <v>270035</v>
      </c>
      <c r="U127" t="str">
        <v>Octopus Energy Ltd</v>
      </c>
      <c r="V127">
        <f t="shared" ca="1" si="8"/>
        <v>285858.658</v>
      </c>
      <c r="W127">
        <f t="shared" si="9"/>
        <v>162556.98000000004</v>
      </c>
      <c r="X127">
        <f t="shared" si="10"/>
        <v>0</v>
      </c>
      <c r="Y127" s="181"/>
    </row>
    <row r="128" spans="1:25">
      <c r="A128" t="s">
        <v>1966</v>
      </c>
      <c r="B128">
        <f t="shared" si="6"/>
        <v>4</v>
      </c>
      <c r="C128" t="s">
        <v>2704</v>
      </c>
      <c r="D128" t="s">
        <v>2645</v>
      </c>
      <c r="E128" t="s">
        <v>1902</v>
      </c>
      <c r="F128" s="162">
        <v>1677</v>
      </c>
      <c r="G128" t="s">
        <v>2642</v>
      </c>
      <c r="H128" s="163">
        <v>46142</v>
      </c>
      <c r="I128" s="163">
        <v>46506</v>
      </c>
      <c r="J128" s="163"/>
      <c r="K128" t="s">
        <v>2647</v>
      </c>
      <c r="L128" t="b">
        <v>0</v>
      </c>
      <c r="O128" t="str">
        <v>Utility Aid Limited</v>
      </c>
      <c r="P128">
        <f t="shared" ca="1" si="7"/>
        <v>10469.93</v>
      </c>
      <c r="U128" t="str">
        <v>Ofgem</v>
      </c>
      <c r="V128">
        <f t="shared" ca="1" si="8"/>
        <v>63886.75</v>
      </c>
      <c r="W128">
        <f t="shared" si="9"/>
        <v>45922.5</v>
      </c>
      <c r="X128">
        <f t="shared" si="10"/>
        <v>0</v>
      </c>
      <c r="Y128" s="181"/>
    </row>
    <row r="129" spans="1:25">
      <c r="A129" t="s">
        <v>1966</v>
      </c>
      <c r="B129">
        <f t="shared" si="6"/>
        <v>4</v>
      </c>
      <c r="C129" t="s">
        <v>2704</v>
      </c>
      <c r="D129" t="s">
        <v>2653</v>
      </c>
      <c r="E129" t="s">
        <v>20</v>
      </c>
      <c r="F129" s="162">
        <v>1678</v>
      </c>
      <c r="G129" t="s">
        <v>2642</v>
      </c>
      <c r="H129" s="163">
        <v>46142</v>
      </c>
      <c r="I129" s="163">
        <v>46506</v>
      </c>
      <c r="J129" s="163"/>
      <c r="K129" t="s">
        <v>2647</v>
      </c>
      <c r="L129" t="b">
        <v>0</v>
      </c>
      <c r="O129" t="str">
        <v>Utility Regulator</v>
      </c>
      <c r="P129">
        <f t="shared" ca="1" si="7"/>
        <v>20421.759999999998</v>
      </c>
      <c r="U129" t="str">
        <v>Ohme Operations UK Ltd</v>
      </c>
      <c r="V129">
        <f t="shared" ca="1" si="8"/>
        <v>10250</v>
      </c>
      <c r="W129">
        <f t="shared" si="9"/>
        <v>9000</v>
      </c>
      <c r="X129">
        <f t="shared" si="10"/>
        <v>0</v>
      </c>
      <c r="Y129" s="181"/>
    </row>
    <row r="130" spans="1:25">
      <c r="A130" t="s">
        <v>1972</v>
      </c>
      <c r="B130">
        <f t="shared" si="6"/>
        <v>12</v>
      </c>
      <c r="C130" t="s">
        <v>2705</v>
      </c>
      <c r="D130" t="s">
        <v>2653</v>
      </c>
      <c r="E130" t="s">
        <v>20</v>
      </c>
      <c r="F130" s="162">
        <v>8589.5</v>
      </c>
      <c r="G130" t="s">
        <v>2646</v>
      </c>
      <c r="H130" s="163">
        <v>46023</v>
      </c>
      <c r="I130" s="163">
        <v>46387</v>
      </c>
      <c r="J130" s="163"/>
      <c r="K130" t="s">
        <v>2680</v>
      </c>
      <c r="L130" t="b">
        <v>0</v>
      </c>
      <c r="O130" t="str">
        <v>Utility Warehouse Limited</v>
      </c>
      <c r="P130">
        <f t="shared" ca="1" si="7"/>
        <v>113110.43857142856</v>
      </c>
      <c r="U130" t="str">
        <v>OnPath Energy Limited</v>
      </c>
      <c r="V130">
        <f t="shared" ca="1" si="8"/>
        <v>15600</v>
      </c>
      <c r="W130">
        <f t="shared" si="9"/>
        <v>17800</v>
      </c>
      <c r="X130">
        <f t="shared" si="10"/>
        <v>0</v>
      </c>
      <c r="Y130" s="181"/>
    </row>
    <row r="131" spans="1:25">
      <c r="A131" t="s">
        <v>1972</v>
      </c>
      <c r="B131">
        <f t="shared" ref="B131:B194" si="11">IF(COUNTIFS($A$2:$A$1053,A131,$E$2:$E$1053,"Industry Essentials")&gt;0, COUNTIF($A$2:$A$1053,A131), 0)</f>
        <v>12</v>
      </c>
      <c r="C131" t="s">
        <v>2705</v>
      </c>
      <c r="D131" t="s">
        <v>1838</v>
      </c>
      <c r="E131" t="s">
        <v>25</v>
      </c>
      <c r="F131" s="162">
        <v>6599.25</v>
      </c>
      <c r="G131" t="s">
        <v>2646</v>
      </c>
      <c r="H131" s="163">
        <v>46023</v>
      </c>
      <c r="I131" s="163">
        <v>46387</v>
      </c>
      <c r="J131" s="163"/>
      <c r="K131" t="s">
        <v>2680</v>
      </c>
      <c r="L131" t="b">
        <v>0</v>
      </c>
      <c r="O131" t="str">
        <v>Vattenfall Wind Power Limited</v>
      </c>
      <c r="P131">
        <f t="shared" ca="1" si="7"/>
        <v>17200</v>
      </c>
      <c r="U131" t="str">
        <v>Orsted Power (UK) Ltd</v>
      </c>
      <c r="V131">
        <f t="shared" ca="1" si="8"/>
        <v>13000</v>
      </c>
      <c r="W131">
        <f t="shared" si="9"/>
        <v>10250</v>
      </c>
      <c r="X131">
        <f t="shared" si="10"/>
        <v>0</v>
      </c>
      <c r="Y131" s="181"/>
    </row>
    <row r="132" spans="1:25">
      <c r="A132" t="s">
        <v>1972</v>
      </c>
      <c r="B132">
        <f t="shared" si="11"/>
        <v>12</v>
      </c>
      <c r="C132" t="s">
        <v>2705</v>
      </c>
      <c r="D132" t="s">
        <v>1826</v>
      </c>
      <c r="E132" t="s">
        <v>25</v>
      </c>
      <c r="F132" s="162">
        <v>8275.25</v>
      </c>
      <c r="G132" t="s">
        <v>2646</v>
      </c>
      <c r="H132" s="163">
        <v>46023</v>
      </c>
      <c r="I132" s="163">
        <v>46387</v>
      </c>
      <c r="J132" s="163"/>
      <c r="K132" t="s">
        <v>2680</v>
      </c>
      <c r="L132" t="b">
        <v>0</v>
      </c>
      <c r="O132" t="str">
        <v>VPI Holding Ltd</v>
      </c>
      <c r="P132">
        <f t="shared" ca="1" si="7"/>
        <v>11071</v>
      </c>
      <c r="U132" t="str">
        <v>Orsted Salg &amp; Service A/S</v>
      </c>
      <c r="V132">
        <f t="shared" ca="1" si="8"/>
        <v>15600</v>
      </c>
      <c r="W132">
        <f t="shared" si="9"/>
        <v>0</v>
      </c>
      <c r="X132">
        <f t="shared" si="10"/>
        <v>15600</v>
      </c>
      <c r="Y132" s="181"/>
    </row>
    <row r="133" spans="1:25">
      <c r="A133" t="s">
        <v>1972</v>
      </c>
      <c r="B133">
        <f t="shared" si="11"/>
        <v>12</v>
      </c>
      <c r="C133" t="s">
        <v>2705</v>
      </c>
      <c r="D133" t="s">
        <v>1810</v>
      </c>
      <c r="E133" t="s">
        <v>21</v>
      </c>
      <c r="F133" s="162">
        <v>7000.7916666666697</v>
      </c>
      <c r="G133" t="s">
        <v>2646</v>
      </c>
      <c r="H133" s="163">
        <v>46023</v>
      </c>
      <c r="I133" s="163">
        <v>46387</v>
      </c>
      <c r="J133" s="163"/>
      <c r="K133" t="s">
        <v>2680</v>
      </c>
      <c r="L133" t="b">
        <v>0</v>
      </c>
      <c r="O133" t="str">
        <v>Wales and West Utilities Ltd</v>
      </c>
      <c r="P133">
        <f t="shared" ca="1" si="7"/>
        <v>18487</v>
      </c>
      <c r="U133" t="str">
        <v>OVO Energy Limited</v>
      </c>
      <c r="V133">
        <f t="shared" ca="1" si="8"/>
        <v>114590</v>
      </c>
      <c r="W133">
        <f t="shared" si="9"/>
        <v>111000</v>
      </c>
      <c r="X133">
        <f t="shared" si="10"/>
        <v>0</v>
      </c>
      <c r="Y133" s="181"/>
    </row>
    <row r="134" spans="1:25">
      <c r="A134" t="s">
        <v>1972</v>
      </c>
      <c r="B134">
        <f t="shared" si="11"/>
        <v>12</v>
      </c>
      <c r="C134" t="s">
        <v>2705</v>
      </c>
      <c r="D134" t="s">
        <v>1821</v>
      </c>
      <c r="E134" t="s">
        <v>21</v>
      </c>
      <c r="F134" s="162">
        <v>7000.7916666666697</v>
      </c>
      <c r="G134" t="s">
        <v>2646</v>
      </c>
      <c r="H134" s="163">
        <v>46023</v>
      </c>
      <c r="I134" s="163">
        <v>46387</v>
      </c>
      <c r="J134" s="163"/>
      <c r="K134" t="s">
        <v>2680</v>
      </c>
      <c r="L134" t="b">
        <v>0</v>
      </c>
      <c r="O134" t="str">
        <v>White &amp; Case LLP</v>
      </c>
      <c r="P134">
        <f t="shared" ref="P134:P171" ca="1" si="12">SUMIF($A$2:$A$1053,O134,$F$5:$F$1053)</f>
        <v>7565</v>
      </c>
      <c r="U134" t="str">
        <v>PINERGY</v>
      </c>
      <c r="V134">
        <f t="shared" ref="V134:V197" ca="1" si="13">SUMIF($A$2:$A$1053,U134,$F$5:$F$1053)</f>
        <v>7565</v>
      </c>
      <c r="W134">
        <f t="shared" ref="W134:W197" si="14">SUMIFS($F$2:$F$1053,$A$2:$A$1053,U134,$B$2:$B$1053,"&gt;"&amp;0,$I$2:$I$1053,"&lt;"&amp;46575)</f>
        <v>0</v>
      </c>
      <c r="X134">
        <f t="shared" ref="X134:X197" si="15">SUMIFS($F$2:$F$1053,$A$2:$A$1053,U134,$B$2:$B$1053,"&lt;"&amp;1,$I$2:$I$1053,"&lt;"&amp;46575)</f>
        <v>14190</v>
      </c>
      <c r="Y134" s="181"/>
    </row>
    <row r="135" spans="1:25">
      <c r="A135" t="s">
        <v>1972</v>
      </c>
      <c r="B135">
        <f t="shared" si="11"/>
        <v>12</v>
      </c>
      <c r="C135" t="s">
        <v>2705</v>
      </c>
      <c r="D135" t="s">
        <v>1828</v>
      </c>
      <c r="E135" t="s">
        <v>21</v>
      </c>
      <c r="F135" s="162">
        <v>7000.7916666666697</v>
      </c>
      <c r="G135" t="s">
        <v>2646</v>
      </c>
      <c r="H135" s="163">
        <v>46023</v>
      </c>
      <c r="I135" s="163">
        <v>46387</v>
      </c>
      <c r="J135" s="163"/>
      <c r="K135" t="s">
        <v>2680</v>
      </c>
      <c r="L135" t="b">
        <v>0</v>
      </c>
      <c r="O135" t="str">
        <v>Xoserve Limited</v>
      </c>
      <c r="P135">
        <f t="shared" ca="1" si="12"/>
        <v>12000</v>
      </c>
      <c r="U135" t="str">
        <v>Port of Tilbury London Ltd</v>
      </c>
      <c r="V135">
        <f t="shared" ca="1" si="13"/>
        <v>16146</v>
      </c>
      <c r="W135">
        <f t="shared" si="14"/>
        <v>18000</v>
      </c>
      <c r="X135">
        <f t="shared" si="15"/>
        <v>0</v>
      </c>
      <c r="Y135" s="181"/>
    </row>
    <row r="136" spans="1:25">
      <c r="A136" t="s">
        <v>1972</v>
      </c>
      <c r="B136">
        <f t="shared" si="11"/>
        <v>12</v>
      </c>
      <c r="C136" t="s">
        <v>2705</v>
      </c>
      <c r="D136" t="s">
        <v>1835</v>
      </c>
      <c r="E136" t="s">
        <v>21</v>
      </c>
      <c r="F136" s="162">
        <v>7000.7916666666697</v>
      </c>
      <c r="G136" t="s">
        <v>2646</v>
      </c>
      <c r="H136" s="163">
        <v>46023</v>
      </c>
      <c r="I136" s="163">
        <v>46387</v>
      </c>
      <c r="J136" s="163"/>
      <c r="K136" t="s">
        <v>2680</v>
      </c>
      <c r="L136" t="b">
        <v>0</v>
      </c>
      <c r="O136" t="str">
        <v>Zero Trace Procurement Limited</v>
      </c>
      <c r="P136">
        <f t="shared" ca="1" si="12"/>
        <v>0</v>
      </c>
      <c r="U136" t="str">
        <v>PricewaterhouseCooper Services Limited</v>
      </c>
      <c r="V136">
        <f t="shared" ca="1" si="13"/>
        <v>20292</v>
      </c>
      <c r="W136">
        <f t="shared" si="14"/>
        <v>15489</v>
      </c>
      <c r="X136">
        <f t="shared" si="15"/>
        <v>0</v>
      </c>
      <c r="Y136" s="181"/>
    </row>
    <row r="137" spans="1:25">
      <c r="A137" t="s">
        <v>1972</v>
      </c>
      <c r="B137">
        <f t="shared" si="11"/>
        <v>12</v>
      </c>
      <c r="C137" t="s">
        <v>2705</v>
      </c>
      <c r="D137" t="s">
        <v>1841</v>
      </c>
      <c r="E137" t="s">
        <v>21</v>
      </c>
      <c r="F137" s="162">
        <v>7000.7916666666697</v>
      </c>
      <c r="G137" t="s">
        <v>2646</v>
      </c>
      <c r="H137" s="163">
        <v>46023</v>
      </c>
      <c r="I137" s="163">
        <v>46387</v>
      </c>
      <c r="J137" s="163"/>
      <c r="K137" t="s">
        <v>2680</v>
      </c>
      <c r="L137" t="b">
        <v>0</v>
      </c>
      <c r="P137">
        <f t="shared" ca="1" si="12"/>
        <v>0</v>
      </c>
      <c r="U137" t="str">
        <v>Pure Energy Professionals</v>
      </c>
      <c r="V137">
        <f t="shared" ca="1" si="13"/>
        <v>26482</v>
      </c>
      <c r="W137">
        <f t="shared" si="14"/>
        <v>4070</v>
      </c>
      <c r="X137">
        <f t="shared" si="15"/>
        <v>0</v>
      </c>
      <c r="Y137" s="181"/>
    </row>
    <row r="138" spans="1:25">
      <c r="A138" t="s">
        <v>1972</v>
      </c>
      <c r="B138">
        <f t="shared" si="11"/>
        <v>12</v>
      </c>
      <c r="C138" t="s">
        <v>2705</v>
      </c>
      <c r="D138" t="s">
        <v>1843</v>
      </c>
      <c r="E138" t="s">
        <v>21</v>
      </c>
      <c r="F138" s="162">
        <v>7000.7916666666697</v>
      </c>
      <c r="G138" t="s">
        <v>2646</v>
      </c>
      <c r="H138" s="163">
        <v>46023</v>
      </c>
      <c r="I138" s="163">
        <v>46387</v>
      </c>
      <c r="J138" s="163"/>
      <c r="K138" t="s">
        <v>2680</v>
      </c>
      <c r="L138" t="b">
        <v>0</v>
      </c>
      <c r="P138">
        <f t="shared" ca="1" si="12"/>
        <v>0</v>
      </c>
      <c r="U138" t="str">
        <v>Regent Gas</v>
      </c>
      <c r="V138">
        <f t="shared" ca="1" si="13"/>
        <v>18550</v>
      </c>
      <c r="W138">
        <f t="shared" si="14"/>
        <v>0</v>
      </c>
      <c r="X138">
        <f t="shared" si="15"/>
        <v>12000</v>
      </c>
      <c r="Y138" s="181"/>
    </row>
    <row r="139" spans="1:25">
      <c r="A139" t="s">
        <v>1972</v>
      </c>
      <c r="B139">
        <f t="shared" si="11"/>
        <v>12</v>
      </c>
      <c r="C139" t="s">
        <v>2705</v>
      </c>
      <c r="D139" t="s">
        <v>1811</v>
      </c>
      <c r="E139" t="s">
        <v>23</v>
      </c>
      <c r="F139" s="162">
        <v>7365.0833333333303</v>
      </c>
      <c r="G139" t="s">
        <v>2646</v>
      </c>
      <c r="H139" s="163">
        <v>46023</v>
      </c>
      <c r="I139" s="163">
        <v>46387</v>
      </c>
      <c r="J139" s="163"/>
      <c r="K139" t="s">
        <v>2680</v>
      </c>
      <c r="L139" t="b">
        <v>0</v>
      </c>
      <c r="P139">
        <f t="shared" ca="1" si="12"/>
        <v>0</v>
      </c>
      <c r="U139" t="str">
        <v>Retail Energy Code Company Limited</v>
      </c>
      <c r="V139">
        <f t="shared" ca="1" si="13"/>
        <v>2650</v>
      </c>
      <c r="W139">
        <f t="shared" si="14"/>
        <v>5482</v>
      </c>
      <c r="X139">
        <f t="shared" si="15"/>
        <v>0</v>
      </c>
      <c r="Y139" s="181"/>
    </row>
    <row r="140" spans="1:25">
      <c r="A140" t="s">
        <v>1972</v>
      </c>
      <c r="B140">
        <f t="shared" si="11"/>
        <v>12</v>
      </c>
      <c r="C140" t="s">
        <v>2705</v>
      </c>
      <c r="D140" t="s">
        <v>1822</v>
      </c>
      <c r="E140" t="s">
        <v>23</v>
      </c>
      <c r="F140" s="162">
        <v>7365.0833333333303</v>
      </c>
      <c r="G140" t="s">
        <v>2646</v>
      </c>
      <c r="H140" s="163">
        <v>46023</v>
      </c>
      <c r="I140" s="163">
        <v>46387</v>
      </c>
      <c r="J140" s="163"/>
      <c r="K140" t="s">
        <v>2680</v>
      </c>
      <c r="L140" t="b">
        <v>0</v>
      </c>
      <c r="P140">
        <f t="shared" ca="1" si="12"/>
        <v>0</v>
      </c>
      <c r="U140" t="str">
        <v>Rolls-Royce Plc</v>
      </c>
      <c r="V140">
        <f t="shared" ca="1" si="13"/>
        <v>2650</v>
      </c>
      <c r="W140">
        <f t="shared" si="14"/>
        <v>0</v>
      </c>
      <c r="X140">
        <f t="shared" si="15"/>
        <v>21000</v>
      </c>
      <c r="Y140" s="181"/>
    </row>
    <row r="141" spans="1:25">
      <c r="A141" t="s">
        <v>1972</v>
      </c>
      <c r="B141">
        <f t="shared" si="11"/>
        <v>12</v>
      </c>
      <c r="C141" t="s">
        <v>2705</v>
      </c>
      <c r="D141" t="s">
        <v>1829</v>
      </c>
      <c r="E141" t="s">
        <v>23</v>
      </c>
      <c r="F141" s="162">
        <v>7365.0833333333303</v>
      </c>
      <c r="G141" t="s">
        <v>2646</v>
      </c>
      <c r="H141" s="163">
        <v>46023</v>
      </c>
      <c r="I141" s="163">
        <v>46387</v>
      </c>
      <c r="J141" s="163"/>
      <c r="K141" t="s">
        <v>2680</v>
      </c>
      <c r="L141" t="b">
        <v>0</v>
      </c>
      <c r="P141">
        <f t="shared" ca="1" si="12"/>
        <v>0</v>
      </c>
      <c r="U141" t="str">
        <v>RWE Supply &amp; Trading GmbH</v>
      </c>
      <c r="V141">
        <f t="shared" ca="1" si="13"/>
        <v>58363</v>
      </c>
      <c r="W141">
        <f t="shared" si="14"/>
        <v>56600</v>
      </c>
      <c r="X141">
        <f t="shared" si="15"/>
        <v>0</v>
      </c>
      <c r="Y141" s="181"/>
    </row>
    <row r="142" spans="1:25">
      <c r="A142" t="s">
        <v>2009</v>
      </c>
      <c r="B142">
        <f t="shared" si="11"/>
        <v>45</v>
      </c>
      <c r="C142" t="s">
        <v>2706</v>
      </c>
      <c r="D142" t="s">
        <v>2653</v>
      </c>
      <c r="E142" t="s">
        <v>20</v>
      </c>
      <c r="F142" s="162">
        <v>19500</v>
      </c>
      <c r="G142" t="s">
        <v>2646</v>
      </c>
      <c r="H142" s="163">
        <v>46026</v>
      </c>
      <c r="I142" s="163">
        <v>46477</v>
      </c>
      <c r="J142" s="163"/>
      <c r="K142" t="s">
        <v>2680</v>
      </c>
      <c r="L142" t="b">
        <v>0</v>
      </c>
      <c r="P142">
        <f t="shared" ca="1" si="12"/>
        <v>0</v>
      </c>
      <c r="U142" t="str">
        <v>S&amp;P Global UK Limited</v>
      </c>
      <c r="V142">
        <f t="shared" ca="1" si="13"/>
        <v>5670</v>
      </c>
      <c r="W142">
        <f t="shared" si="14"/>
        <v>4613</v>
      </c>
      <c r="X142">
        <f t="shared" si="15"/>
        <v>0</v>
      </c>
      <c r="Y142" s="181"/>
    </row>
    <row r="143" spans="1:25">
      <c r="A143" t="s">
        <v>2009</v>
      </c>
      <c r="B143">
        <f t="shared" si="11"/>
        <v>45</v>
      </c>
      <c r="C143" t="s">
        <v>2706</v>
      </c>
      <c r="D143" t="s">
        <v>1811</v>
      </c>
      <c r="E143" t="s">
        <v>23</v>
      </c>
      <c r="F143" s="162">
        <v>6500</v>
      </c>
      <c r="G143" t="s">
        <v>2646</v>
      </c>
      <c r="H143" s="163">
        <v>46026</v>
      </c>
      <c r="I143" s="163">
        <v>46477</v>
      </c>
      <c r="J143" s="163"/>
      <c r="K143" t="s">
        <v>2680</v>
      </c>
      <c r="L143" t="b">
        <v>0</v>
      </c>
      <c r="P143">
        <f t="shared" ca="1" si="12"/>
        <v>0</v>
      </c>
      <c r="U143" t="str">
        <v>Schroders Greencoat LLP</v>
      </c>
      <c r="V143">
        <f t="shared" ca="1" si="13"/>
        <v>12700</v>
      </c>
      <c r="W143">
        <f t="shared" si="14"/>
        <v>21000</v>
      </c>
      <c r="X143">
        <f t="shared" si="15"/>
        <v>0</v>
      </c>
      <c r="Y143" s="181"/>
    </row>
    <row r="144" spans="1:25">
      <c r="A144" t="s">
        <v>2009</v>
      </c>
      <c r="B144">
        <f t="shared" si="11"/>
        <v>45</v>
      </c>
      <c r="C144" t="s">
        <v>2706</v>
      </c>
      <c r="D144" t="s">
        <v>1822</v>
      </c>
      <c r="E144" t="s">
        <v>23</v>
      </c>
      <c r="F144" s="162">
        <v>6500</v>
      </c>
      <c r="G144" t="s">
        <v>2646</v>
      </c>
      <c r="H144" s="163">
        <v>46026</v>
      </c>
      <c r="I144" s="163">
        <v>46477</v>
      </c>
      <c r="J144" s="163"/>
      <c r="K144" t="s">
        <v>2680</v>
      </c>
      <c r="L144" t="b">
        <v>0</v>
      </c>
      <c r="P144">
        <f t="shared" ca="1" si="12"/>
        <v>0</v>
      </c>
      <c r="U144" t="str">
        <v>Scotia Gas Networks Limited</v>
      </c>
      <c r="V144">
        <f t="shared" ca="1" si="13"/>
        <v>9500</v>
      </c>
      <c r="W144">
        <f t="shared" si="14"/>
        <v>5670</v>
      </c>
      <c r="X144">
        <f t="shared" si="15"/>
        <v>0</v>
      </c>
      <c r="Y144" s="181"/>
    </row>
    <row r="145" spans="1:25">
      <c r="A145" t="s">
        <v>2009</v>
      </c>
      <c r="B145">
        <f t="shared" si="11"/>
        <v>45</v>
      </c>
      <c r="C145" t="s">
        <v>2706</v>
      </c>
      <c r="D145" t="s">
        <v>1829</v>
      </c>
      <c r="E145" t="s">
        <v>23</v>
      </c>
      <c r="F145" s="162">
        <v>6500</v>
      </c>
      <c r="G145" t="s">
        <v>2646</v>
      </c>
      <c r="H145" s="163">
        <v>46026</v>
      </c>
      <c r="I145" s="163">
        <v>46477</v>
      </c>
      <c r="J145" s="163"/>
      <c r="K145" t="s">
        <v>2680</v>
      </c>
      <c r="L145" t="b">
        <v>0</v>
      </c>
      <c r="P145">
        <f t="shared" ca="1" si="12"/>
        <v>0</v>
      </c>
      <c r="U145" t="str">
        <v>Scottish Fuel Poverty Advisory Panel</v>
      </c>
      <c r="V145">
        <f t="shared" ca="1" si="13"/>
        <v>9511.5</v>
      </c>
      <c r="W145">
        <f t="shared" si="14"/>
        <v>2200</v>
      </c>
      <c r="X145">
        <f t="shared" si="15"/>
        <v>0</v>
      </c>
      <c r="Y145" s="181"/>
    </row>
    <row r="146" spans="1:25">
      <c r="A146" t="s">
        <v>2009</v>
      </c>
      <c r="B146">
        <f t="shared" si="11"/>
        <v>45</v>
      </c>
      <c r="C146" t="s">
        <v>2706</v>
      </c>
      <c r="D146" t="s">
        <v>1814</v>
      </c>
      <c r="E146" t="s">
        <v>1695</v>
      </c>
      <c r="F146" s="162">
        <v>3500</v>
      </c>
      <c r="G146" t="s">
        <v>2646</v>
      </c>
      <c r="H146" s="163">
        <v>46026</v>
      </c>
      <c r="I146" s="163">
        <v>46477</v>
      </c>
      <c r="J146" s="163"/>
      <c r="K146" t="s">
        <v>2680</v>
      </c>
      <c r="L146" t="b">
        <v>0</v>
      </c>
      <c r="P146">
        <f t="shared" ca="1" si="12"/>
        <v>0</v>
      </c>
      <c r="U146" t="str">
        <v>Scottish Water Business Stream Ltd</v>
      </c>
      <c r="V146">
        <f t="shared" ca="1" si="13"/>
        <v>9819.43</v>
      </c>
      <c r="W146">
        <f t="shared" si="14"/>
        <v>0</v>
      </c>
      <c r="X146">
        <f t="shared" si="15"/>
        <v>10500</v>
      </c>
      <c r="Y146" s="181"/>
    </row>
    <row r="147" spans="1:25">
      <c r="A147" t="s">
        <v>2009</v>
      </c>
      <c r="B147">
        <f t="shared" si="11"/>
        <v>45</v>
      </c>
      <c r="C147" t="s">
        <v>2706</v>
      </c>
      <c r="D147" t="s">
        <v>1824</v>
      </c>
      <c r="E147" t="s">
        <v>1695</v>
      </c>
      <c r="F147" s="162">
        <v>3500</v>
      </c>
      <c r="G147" t="s">
        <v>2646</v>
      </c>
      <c r="H147" s="163">
        <v>46026</v>
      </c>
      <c r="I147" s="163">
        <v>46477</v>
      </c>
      <c r="J147" s="163"/>
      <c r="K147" t="s">
        <v>2680</v>
      </c>
      <c r="L147" t="b">
        <v>0</v>
      </c>
      <c r="P147">
        <f t="shared" ca="1" si="12"/>
        <v>0</v>
      </c>
      <c r="U147" t="str">
        <v>Scottish Water Ltd</v>
      </c>
      <c r="V147">
        <f t="shared" ca="1" si="13"/>
        <v>9203.6299999999992</v>
      </c>
      <c r="W147">
        <f t="shared" si="14"/>
        <v>9500</v>
      </c>
      <c r="X147">
        <f t="shared" si="15"/>
        <v>0</v>
      </c>
      <c r="Y147" s="181"/>
    </row>
    <row r="148" spans="1:25">
      <c r="A148" t="s">
        <v>2009</v>
      </c>
      <c r="B148">
        <f t="shared" si="11"/>
        <v>45</v>
      </c>
      <c r="C148" t="s">
        <v>2706</v>
      </c>
      <c r="D148" t="s">
        <v>1842</v>
      </c>
      <c r="E148" t="s">
        <v>1695</v>
      </c>
      <c r="F148" s="162">
        <v>3500</v>
      </c>
      <c r="G148" t="s">
        <v>2646</v>
      </c>
      <c r="H148" s="163">
        <v>46026</v>
      </c>
      <c r="I148" s="163">
        <v>46477</v>
      </c>
      <c r="J148" s="163"/>
      <c r="K148" t="s">
        <v>2680</v>
      </c>
      <c r="L148" t="b">
        <v>0</v>
      </c>
      <c r="P148">
        <f t="shared" ca="1" si="12"/>
        <v>0</v>
      </c>
      <c r="U148" t="str">
        <v>ScottishPower Energy Management Limited</v>
      </c>
      <c r="V148">
        <f t="shared" ca="1" si="13"/>
        <v>191944.04000000004</v>
      </c>
      <c r="W148">
        <f t="shared" si="14"/>
        <v>192728.60000000006</v>
      </c>
      <c r="X148">
        <f t="shared" si="15"/>
        <v>0</v>
      </c>
      <c r="Y148" s="181"/>
    </row>
    <row r="149" spans="1:25">
      <c r="A149" t="s">
        <v>2009</v>
      </c>
      <c r="B149">
        <f t="shared" si="11"/>
        <v>45</v>
      </c>
      <c r="C149" t="s">
        <v>2706</v>
      </c>
      <c r="D149" t="s">
        <v>1851</v>
      </c>
      <c r="E149" t="s">
        <v>1695</v>
      </c>
      <c r="F149" s="162">
        <v>3500</v>
      </c>
      <c r="G149" t="s">
        <v>2646</v>
      </c>
      <c r="H149" s="163">
        <v>46026</v>
      </c>
      <c r="I149" s="163">
        <v>46477</v>
      </c>
      <c r="J149" s="163"/>
      <c r="K149" t="s">
        <v>2680</v>
      </c>
      <c r="L149" t="b">
        <v>0</v>
      </c>
      <c r="P149">
        <f t="shared" ca="1" si="12"/>
        <v>0</v>
      </c>
      <c r="U149" t="str">
        <v>Seabank Power Ltd</v>
      </c>
      <c r="V149">
        <f t="shared" ca="1" si="13"/>
        <v>49796</v>
      </c>
      <c r="W149">
        <f t="shared" si="14"/>
        <v>36750</v>
      </c>
      <c r="X149">
        <f t="shared" si="15"/>
        <v>0</v>
      </c>
      <c r="Y149" s="181"/>
    </row>
    <row r="150" spans="1:25">
      <c r="A150" t="s">
        <v>2009</v>
      </c>
      <c r="B150">
        <f t="shared" si="11"/>
        <v>45</v>
      </c>
      <c r="C150" t="s">
        <v>2706</v>
      </c>
      <c r="D150" t="s">
        <v>1853</v>
      </c>
      <c r="E150" t="s">
        <v>1695</v>
      </c>
      <c r="F150" s="162">
        <v>3500</v>
      </c>
      <c r="G150" t="s">
        <v>2646</v>
      </c>
      <c r="H150" s="163">
        <v>46026</v>
      </c>
      <c r="I150" s="163">
        <v>46477</v>
      </c>
      <c r="J150" s="163"/>
      <c r="K150" t="s">
        <v>2680</v>
      </c>
      <c r="L150" t="b">
        <v>0</v>
      </c>
      <c r="P150">
        <f t="shared" ca="1" si="12"/>
        <v>0</v>
      </c>
      <c r="U150" t="str">
        <v>Sedgwick Trading Ltd Group</v>
      </c>
      <c r="V150">
        <f t="shared" ca="1" si="13"/>
        <v>8990</v>
      </c>
      <c r="W150">
        <f t="shared" si="14"/>
        <v>24671</v>
      </c>
      <c r="X150">
        <f t="shared" si="15"/>
        <v>0</v>
      </c>
      <c r="Y150" s="181"/>
    </row>
    <row r="151" spans="1:25">
      <c r="A151" t="s">
        <v>2009</v>
      </c>
      <c r="B151">
        <f t="shared" si="11"/>
        <v>45</v>
      </c>
      <c r="C151" t="s">
        <v>2706</v>
      </c>
      <c r="D151" t="s">
        <v>1810</v>
      </c>
      <c r="E151" t="s">
        <v>21</v>
      </c>
      <c r="F151" s="162">
        <v>2916.6666666666702</v>
      </c>
      <c r="G151" t="s">
        <v>2646</v>
      </c>
      <c r="H151" s="163">
        <v>46026</v>
      </c>
      <c r="I151" s="163">
        <v>46477</v>
      </c>
      <c r="J151" s="163"/>
      <c r="K151" t="s">
        <v>2680</v>
      </c>
      <c r="L151" t="b">
        <v>0</v>
      </c>
      <c r="P151">
        <f t="shared" ca="1" si="12"/>
        <v>0</v>
      </c>
      <c r="U151" t="str">
        <v>SEFE Energy Limited</v>
      </c>
      <c r="V151">
        <f t="shared" ca="1" si="13"/>
        <v>77102.460000000006</v>
      </c>
      <c r="W151">
        <f t="shared" si="14"/>
        <v>0</v>
      </c>
      <c r="X151">
        <f t="shared" si="15"/>
        <v>82075.000000000015</v>
      </c>
      <c r="Y151" s="181"/>
    </row>
    <row r="152" spans="1:25">
      <c r="A152" t="s">
        <v>2009</v>
      </c>
      <c r="B152">
        <f t="shared" si="11"/>
        <v>45</v>
      </c>
      <c r="C152" t="s">
        <v>2706</v>
      </c>
      <c r="D152" t="s">
        <v>1821</v>
      </c>
      <c r="E152" t="s">
        <v>21</v>
      </c>
      <c r="F152" s="162">
        <v>2916.6666666666702</v>
      </c>
      <c r="G152" t="s">
        <v>2646</v>
      </c>
      <c r="H152" s="163">
        <v>46026</v>
      </c>
      <c r="I152" s="163">
        <v>46477</v>
      </c>
      <c r="J152" s="163"/>
      <c r="K152" t="s">
        <v>2680</v>
      </c>
      <c r="L152" t="b">
        <v>0</v>
      </c>
      <c r="P152">
        <f t="shared" ca="1" si="12"/>
        <v>0</v>
      </c>
      <c r="U152" t="str">
        <v>Sembcorp Energy UK Ltd</v>
      </c>
      <c r="V152">
        <f t="shared" ca="1" si="13"/>
        <v>5233.7299999999996</v>
      </c>
      <c r="W152">
        <f t="shared" si="14"/>
        <v>9675</v>
      </c>
      <c r="X152">
        <f t="shared" si="15"/>
        <v>0</v>
      </c>
      <c r="Y152" s="181"/>
    </row>
    <row r="153" spans="1:25">
      <c r="A153" t="s">
        <v>2009</v>
      </c>
      <c r="B153">
        <f t="shared" si="11"/>
        <v>45</v>
      </c>
      <c r="C153" t="s">
        <v>2706</v>
      </c>
      <c r="D153" t="s">
        <v>1828</v>
      </c>
      <c r="E153" t="s">
        <v>21</v>
      </c>
      <c r="F153" s="162">
        <v>2916.6666666666702</v>
      </c>
      <c r="G153" t="s">
        <v>2646</v>
      </c>
      <c r="H153" s="163">
        <v>46026</v>
      </c>
      <c r="I153" s="163">
        <v>46477</v>
      </c>
      <c r="J153" s="163"/>
      <c r="K153" t="s">
        <v>2680</v>
      </c>
      <c r="L153" t="b">
        <v>0</v>
      </c>
      <c r="P153">
        <f t="shared" ca="1" si="12"/>
        <v>0</v>
      </c>
      <c r="U153" t="str">
        <v>Shell International BV</v>
      </c>
      <c r="V153">
        <f t="shared" ca="1" si="13"/>
        <v>459773.55999999971</v>
      </c>
      <c r="W153">
        <f t="shared" si="14"/>
        <v>219816.64999999988</v>
      </c>
      <c r="X153">
        <f t="shared" si="15"/>
        <v>0</v>
      </c>
      <c r="Y153" s="181"/>
    </row>
    <row r="154" spans="1:25">
      <c r="A154" t="s">
        <v>2009</v>
      </c>
      <c r="B154">
        <f t="shared" si="11"/>
        <v>45</v>
      </c>
      <c r="C154" t="s">
        <v>2706</v>
      </c>
      <c r="D154" t="s">
        <v>1835</v>
      </c>
      <c r="E154" t="s">
        <v>21</v>
      </c>
      <c r="F154" s="162">
        <v>2916.6666666666702</v>
      </c>
      <c r="G154" t="s">
        <v>2646</v>
      </c>
      <c r="H154" s="163">
        <v>46026</v>
      </c>
      <c r="I154" s="163">
        <v>46477</v>
      </c>
      <c r="J154" s="163"/>
      <c r="K154" t="s">
        <v>2680</v>
      </c>
      <c r="L154" t="b">
        <v>0</v>
      </c>
      <c r="P154">
        <f t="shared" ca="1" si="12"/>
        <v>0</v>
      </c>
      <c r="U154" t="str">
        <v>SINQ Power Limited</v>
      </c>
      <c r="V154">
        <f t="shared" ca="1" si="13"/>
        <v>18619.7</v>
      </c>
      <c r="W154">
        <f t="shared" si="14"/>
        <v>17325</v>
      </c>
      <c r="X154">
        <f t="shared" si="15"/>
        <v>0</v>
      </c>
      <c r="Y154" s="181"/>
    </row>
    <row r="155" spans="1:25">
      <c r="A155" t="s">
        <v>2009</v>
      </c>
      <c r="B155">
        <f t="shared" si="11"/>
        <v>45</v>
      </c>
      <c r="C155" t="s">
        <v>2706</v>
      </c>
      <c r="D155" t="s">
        <v>1841</v>
      </c>
      <c r="E155" t="s">
        <v>21</v>
      </c>
      <c r="F155" s="162">
        <v>2916.6666666666702</v>
      </c>
      <c r="G155" t="s">
        <v>2646</v>
      </c>
      <c r="H155" s="163">
        <v>46026</v>
      </c>
      <c r="I155" s="163">
        <v>46477</v>
      </c>
      <c r="J155" s="163"/>
      <c r="K155" t="s">
        <v>2680</v>
      </c>
      <c r="L155" t="b">
        <v>0</v>
      </c>
      <c r="P155">
        <f t="shared" ca="1" si="12"/>
        <v>0</v>
      </c>
      <c r="U155" t="str">
        <v>Slaughter and May Limited</v>
      </c>
      <c r="V155">
        <f t="shared" ca="1" si="13"/>
        <v>8718</v>
      </c>
      <c r="W155">
        <f t="shared" si="14"/>
        <v>8624.7000000000007</v>
      </c>
      <c r="X155">
        <f t="shared" si="15"/>
        <v>0</v>
      </c>
      <c r="Y155" s="181"/>
    </row>
    <row r="156" spans="1:25">
      <c r="A156" t="s">
        <v>2009</v>
      </c>
      <c r="B156">
        <f t="shared" si="11"/>
        <v>45</v>
      </c>
      <c r="C156" t="s">
        <v>2706</v>
      </c>
      <c r="D156" t="s">
        <v>1843</v>
      </c>
      <c r="E156" t="s">
        <v>21</v>
      </c>
      <c r="F156" s="162">
        <v>2916.6666666666702</v>
      </c>
      <c r="G156" t="s">
        <v>2646</v>
      </c>
      <c r="H156" s="163">
        <v>46026</v>
      </c>
      <c r="I156" s="163">
        <v>46477</v>
      </c>
      <c r="J156" s="163"/>
      <c r="K156" t="s">
        <v>2680</v>
      </c>
      <c r="L156" t="b">
        <v>0</v>
      </c>
      <c r="P156">
        <f t="shared" ca="1" si="12"/>
        <v>0</v>
      </c>
      <c r="U156" t="str">
        <v>Smart DCC Limited</v>
      </c>
      <c r="V156">
        <f t="shared" ca="1" si="13"/>
        <v>12450</v>
      </c>
      <c r="W156">
        <f t="shared" si="14"/>
        <v>9995</v>
      </c>
      <c r="X156">
        <f t="shared" si="15"/>
        <v>0</v>
      </c>
      <c r="Y156" s="181"/>
    </row>
    <row r="157" spans="1:25">
      <c r="A157" t="s">
        <v>2009</v>
      </c>
      <c r="B157">
        <f t="shared" si="11"/>
        <v>45</v>
      </c>
      <c r="C157" t="s">
        <v>2707</v>
      </c>
      <c r="D157" t="s">
        <v>2653</v>
      </c>
      <c r="E157" t="s">
        <v>20</v>
      </c>
      <c r="F157" s="162">
        <v>22000</v>
      </c>
      <c r="G157" t="s">
        <v>2646</v>
      </c>
      <c r="H157" s="163">
        <v>46391</v>
      </c>
      <c r="I157" s="163">
        <v>46843</v>
      </c>
      <c r="J157" s="163"/>
      <c r="K157" t="s">
        <v>2680</v>
      </c>
      <c r="L157" t="b">
        <v>0</v>
      </c>
      <c r="P157">
        <f t="shared" ca="1" si="12"/>
        <v>0</v>
      </c>
      <c r="U157" t="str">
        <v>Smart Energy GB</v>
      </c>
      <c r="V157">
        <f t="shared" ca="1" si="13"/>
        <v>13405</v>
      </c>
      <c r="W157">
        <f t="shared" si="14"/>
        <v>4253</v>
      </c>
      <c r="X157">
        <f t="shared" si="15"/>
        <v>0</v>
      </c>
      <c r="Y157" s="181"/>
    </row>
    <row r="158" spans="1:25">
      <c r="A158" t="s">
        <v>2009</v>
      </c>
      <c r="B158">
        <f t="shared" si="11"/>
        <v>45</v>
      </c>
      <c r="C158" t="s">
        <v>2707</v>
      </c>
      <c r="D158" t="s">
        <v>1811</v>
      </c>
      <c r="E158" t="s">
        <v>23</v>
      </c>
      <c r="F158" s="162">
        <v>7333.3333333333303</v>
      </c>
      <c r="G158" t="s">
        <v>2646</v>
      </c>
      <c r="H158" s="163">
        <v>46391</v>
      </c>
      <c r="I158" s="163">
        <v>46843</v>
      </c>
      <c r="J158" s="163"/>
      <c r="K158" t="s">
        <v>2680</v>
      </c>
      <c r="L158" t="b">
        <v>0</v>
      </c>
      <c r="P158">
        <f t="shared" ca="1" si="12"/>
        <v>0</v>
      </c>
      <c r="U158" t="str">
        <v>SmartestEnergy Limited</v>
      </c>
      <c r="V158">
        <f t="shared" ca="1" si="13"/>
        <v>305469.55499999999</v>
      </c>
      <c r="W158">
        <f t="shared" si="14"/>
        <v>149600</v>
      </c>
      <c r="X158">
        <f t="shared" si="15"/>
        <v>0</v>
      </c>
      <c r="Y158" s="181"/>
    </row>
    <row r="159" spans="1:25">
      <c r="A159" t="s">
        <v>2009</v>
      </c>
      <c r="B159">
        <f t="shared" si="11"/>
        <v>45</v>
      </c>
      <c r="C159" t="s">
        <v>2707</v>
      </c>
      <c r="D159" t="s">
        <v>1822</v>
      </c>
      <c r="E159" t="s">
        <v>23</v>
      </c>
      <c r="F159" s="162">
        <v>7333.3333333333303</v>
      </c>
      <c r="G159" t="s">
        <v>2646</v>
      </c>
      <c r="H159" s="163">
        <v>46391</v>
      </c>
      <c r="I159" s="163">
        <v>46843</v>
      </c>
      <c r="J159" s="163"/>
      <c r="K159" t="s">
        <v>2680</v>
      </c>
      <c r="L159" t="b">
        <v>0</v>
      </c>
      <c r="P159">
        <f t="shared" ca="1" si="12"/>
        <v>0</v>
      </c>
      <c r="U159" t="str">
        <v>SMS Energy Services Ltd</v>
      </c>
      <c r="V159">
        <f t="shared" ca="1" si="13"/>
        <v>117006.44500000001</v>
      </c>
      <c r="W159">
        <f t="shared" si="14"/>
        <v>90450</v>
      </c>
      <c r="X159">
        <f t="shared" si="15"/>
        <v>0</v>
      </c>
      <c r="Y159" s="181"/>
    </row>
    <row r="160" spans="1:25">
      <c r="A160" t="s">
        <v>2009</v>
      </c>
      <c r="B160">
        <f t="shared" si="11"/>
        <v>45</v>
      </c>
      <c r="C160" t="s">
        <v>2707</v>
      </c>
      <c r="D160" t="s">
        <v>1829</v>
      </c>
      <c r="E160" t="s">
        <v>23</v>
      </c>
      <c r="F160" s="162">
        <v>7333.3333333333303</v>
      </c>
      <c r="G160" t="s">
        <v>2646</v>
      </c>
      <c r="H160" s="163">
        <v>46391</v>
      </c>
      <c r="I160" s="163">
        <v>46843</v>
      </c>
      <c r="J160" s="163"/>
      <c r="K160" t="s">
        <v>2680</v>
      </c>
      <c r="L160" t="b">
        <v>0</v>
      </c>
      <c r="P160">
        <f t="shared" ca="1" si="12"/>
        <v>0</v>
      </c>
      <c r="U160" t="str">
        <v>SNRG Limited</v>
      </c>
      <c r="V160">
        <f t="shared" ca="1" si="13"/>
        <v>22472</v>
      </c>
      <c r="W160">
        <f t="shared" si="14"/>
        <v>0</v>
      </c>
      <c r="X160">
        <f t="shared" si="15"/>
        <v>40950</v>
      </c>
      <c r="Y160" s="181"/>
    </row>
    <row r="161" spans="1:25">
      <c r="A161" t="s">
        <v>2009</v>
      </c>
      <c r="B161">
        <f t="shared" si="11"/>
        <v>45</v>
      </c>
      <c r="C161" t="s">
        <v>2707</v>
      </c>
      <c r="D161" t="s">
        <v>1814</v>
      </c>
      <c r="E161" t="s">
        <v>1695</v>
      </c>
      <c r="F161" s="162">
        <v>4000</v>
      </c>
      <c r="G161" t="s">
        <v>2646</v>
      </c>
      <c r="H161" s="163">
        <v>46391</v>
      </c>
      <c r="I161" s="163">
        <v>46843</v>
      </c>
      <c r="J161" s="163"/>
      <c r="K161" t="s">
        <v>2680</v>
      </c>
      <c r="L161" t="b">
        <v>0</v>
      </c>
      <c r="P161">
        <f t="shared" ca="1" si="12"/>
        <v>0</v>
      </c>
      <c r="U161" t="str">
        <v>SO Energy Trading Limited</v>
      </c>
      <c r="V161">
        <f t="shared" ca="1" si="13"/>
        <v>52514</v>
      </c>
      <c r="W161">
        <f t="shared" si="14"/>
        <v>43672</v>
      </c>
      <c r="X161">
        <f t="shared" si="15"/>
        <v>0</v>
      </c>
      <c r="Y161" s="181"/>
    </row>
    <row r="162" spans="1:25">
      <c r="A162" t="s">
        <v>2009</v>
      </c>
      <c r="B162">
        <f t="shared" si="11"/>
        <v>45</v>
      </c>
      <c r="C162" t="s">
        <v>2707</v>
      </c>
      <c r="D162" t="s">
        <v>1824</v>
      </c>
      <c r="E162" t="s">
        <v>1695</v>
      </c>
      <c r="F162" s="162">
        <v>4000</v>
      </c>
      <c r="G162" t="s">
        <v>2646</v>
      </c>
      <c r="H162" s="163">
        <v>46391</v>
      </c>
      <c r="I162" s="163">
        <v>46843</v>
      </c>
      <c r="J162" s="163"/>
      <c r="K162" t="s">
        <v>2680</v>
      </c>
      <c r="L162" t="b">
        <v>0</v>
      </c>
      <c r="P162">
        <f t="shared" ca="1" si="12"/>
        <v>0</v>
      </c>
      <c r="U162" t="str">
        <v>Sonnedix UK Services Ltd</v>
      </c>
      <c r="V162">
        <f t="shared" ca="1" si="13"/>
        <v>44036.09</v>
      </c>
      <c r="W162">
        <f t="shared" si="14"/>
        <v>0</v>
      </c>
      <c r="X162">
        <f t="shared" si="15"/>
        <v>21850</v>
      </c>
      <c r="Y162" s="181"/>
    </row>
    <row r="163" spans="1:25">
      <c r="A163" t="s">
        <v>2009</v>
      </c>
      <c r="B163">
        <f t="shared" si="11"/>
        <v>45</v>
      </c>
      <c r="C163" t="s">
        <v>2707</v>
      </c>
      <c r="D163" t="s">
        <v>1842</v>
      </c>
      <c r="E163" t="s">
        <v>1695</v>
      </c>
      <c r="F163" s="162">
        <v>4000</v>
      </c>
      <c r="G163" t="s">
        <v>2646</v>
      </c>
      <c r="H163" s="163">
        <v>46391</v>
      </c>
      <c r="I163" s="163">
        <v>46843</v>
      </c>
      <c r="J163" s="163"/>
      <c r="K163" t="s">
        <v>2680</v>
      </c>
      <c r="L163" t="b">
        <v>0</v>
      </c>
      <c r="P163">
        <f t="shared" ca="1" si="12"/>
        <v>0</v>
      </c>
      <c r="U163" t="str">
        <v>Squeaky Clean Energy Limited</v>
      </c>
      <c r="V163">
        <f t="shared" ca="1" si="13"/>
        <v>17447.48</v>
      </c>
      <c r="W163">
        <f t="shared" si="14"/>
        <v>0</v>
      </c>
      <c r="X163">
        <f t="shared" si="15"/>
        <v>12631</v>
      </c>
      <c r="Y163" s="181"/>
    </row>
    <row r="164" spans="1:25">
      <c r="A164" t="s">
        <v>2009</v>
      </c>
      <c r="B164">
        <f t="shared" si="11"/>
        <v>45</v>
      </c>
      <c r="C164" t="s">
        <v>2707</v>
      </c>
      <c r="D164" t="s">
        <v>1851</v>
      </c>
      <c r="E164" t="s">
        <v>1695</v>
      </c>
      <c r="F164" s="162">
        <v>4000</v>
      </c>
      <c r="G164" t="s">
        <v>2646</v>
      </c>
      <c r="H164" s="163">
        <v>46391</v>
      </c>
      <c r="I164" s="163">
        <v>46843</v>
      </c>
      <c r="J164" s="163"/>
      <c r="K164" t="s">
        <v>2680</v>
      </c>
      <c r="L164" t="b">
        <v>0</v>
      </c>
      <c r="P164">
        <f t="shared" ca="1" si="12"/>
        <v>0</v>
      </c>
      <c r="U164" t="str">
        <v>Squire Patton Boggs (UK) LLP</v>
      </c>
      <c r="V164">
        <f t="shared" ca="1" si="13"/>
        <v>10634.653333333301</v>
      </c>
      <c r="W164">
        <f t="shared" si="14"/>
        <v>9525</v>
      </c>
      <c r="X164">
        <f t="shared" si="15"/>
        <v>0</v>
      </c>
      <c r="Y164" s="181"/>
    </row>
    <row r="165" spans="1:25">
      <c r="A165" t="s">
        <v>2009</v>
      </c>
      <c r="B165">
        <f t="shared" si="11"/>
        <v>45</v>
      </c>
      <c r="C165" t="s">
        <v>2707</v>
      </c>
      <c r="D165" t="s">
        <v>1853</v>
      </c>
      <c r="E165" t="s">
        <v>1695</v>
      </c>
      <c r="F165" s="162">
        <v>4000</v>
      </c>
      <c r="G165" t="s">
        <v>2646</v>
      </c>
      <c r="H165" s="163">
        <v>46391</v>
      </c>
      <c r="I165" s="163">
        <v>46843</v>
      </c>
      <c r="J165" s="163"/>
      <c r="K165" t="s">
        <v>2680</v>
      </c>
      <c r="L165" t="b">
        <v>0</v>
      </c>
      <c r="P165">
        <f t="shared" ca="1" si="12"/>
        <v>0</v>
      </c>
      <c r="U165" t="str">
        <v>SSE plc</v>
      </c>
      <c r="V165">
        <f t="shared" ca="1" si="13"/>
        <v>150749.2166666665</v>
      </c>
      <c r="W165">
        <f t="shared" si="14"/>
        <v>160961.43999999977</v>
      </c>
      <c r="X165">
        <f t="shared" si="15"/>
        <v>0</v>
      </c>
      <c r="Y165" s="181"/>
    </row>
    <row r="166" spans="1:25">
      <c r="A166" t="s">
        <v>2009</v>
      </c>
      <c r="B166">
        <f t="shared" si="11"/>
        <v>45</v>
      </c>
      <c r="C166" t="s">
        <v>2707</v>
      </c>
      <c r="D166" t="s">
        <v>1810</v>
      </c>
      <c r="E166" t="s">
        <v>21</v>
      </c>
      <c r="F166" s="162">
        <v>3333.3333333333298</v>
      </c>
      <c r="G166" t="s">
        <v>2646</v>
      </c>
      <c r="H166" s="163">
        <v>46391</v>
      </c>
      <c r="I166" s="163">
        <v>46843</v>
      </c>
      <c r="J166" s="163"/>
      <c r="K166" t="s">
        <v>2680</v>
      </c>
      <c r="L166" t="b">
        <v>0</v>
      </c>
      <c r="P166">
        <f t="shared" ca="1" si="12"/>
        <v>0</v>
      </c>
      <c r="U166" t="str">
        <v>SSEN Transmission</v>
      </c>
      <c r="V166">
        <f t="shared" ca="1" si="13"/>
        <v>7749.92</v>
      </c>
      <c r="W166">
        <f t="shared" si="14"/>
        <v>0</v>
      </c>
      <c r="X166">
        <f t="shared" si="15"/>
        <v>0</v>
      </c>
      <c r="Y166" s="181"/>
    </row>
    <row r="167" spans="1:25">
      <c r="A167" t="s">
        <v>2009</v>
      </c>
      <c r="B167">
        <f t="shared" si="11"/>
        <v>45</v>
      </c>
      <c r="C167" t="s">
        <v>2707</v>
      </c>
      <c r="D167" t="s">
        <v>1821</v>
      </c>
      <c r="E167" t="s">
        <v>21</v>
      </c>
      <c r="F167" s="162">
        <v>3333.3333333333298</v>
      </c>
      <c r="G167" t="s">
        <v>2646</v>
      </c>
      <c r="H167" s="163">
        <v>46391</v>
      </c>
      <c r="I167" s="163">
        <v>46843</v>
      </c>
      <c r="J167" s="163"/>
      <c r="K167" t="s">
        <v>2680</v>
      </c>
      <c r="L167" t="b">
        <v>0</v>
      </c>
      <c r="P167">
        <f t="shared" ca="1" si="12"/>
        <v>0</v>
      </c>
      <c r="U167" t="str">
        <v>Statera Energy Limited</v>
      </c>
      <c r="V167">
        <f t="shared" ca="1" si="13"/>
        <v>12752.67</v>
      </c>
      <c r="W167">
        <f t="shared" si="14"/>
        <v>19750</v>
      </c>
      <c r="X167">
        <f t="shared" si="15"/>
        <v>0</v>
      </c>
      <c r="Y167" s="181"/>
    </row>
    <row r="168" spans="1:25">
      <c r="A168" t="s">
        <v>2009</v>
      </c>
      <c r="B168">
        <f t="shared" si="11"/>
        <v>45</v>
      </c>
      <c r="C168" t="s">
        <v>2707</v>
      </c>
      <c r="D168" t="s">
        <v>1828</v>
      </c>
      <c r="E168" t="s">
        <v>21</v>
      </c>
      <c r="F168" s="162">
        <v>3333.3333333333298</v>
      </c>
      <c r="G168" t="s">
        <v>2646</v>
      </c>
      <c r="H168" s="163">
        <v>46391</v>
      </c>
      <c r="I168" s="163">
        <v>46843</v>
      </c>
      <c r="J168" s="163"/>
      <c r="K168" t="s">
        <v>2680</v>
      </c>
      <c r="L168" t="b">
        <v>0</v>
      </c>
      <c r="P168">
        <f t="shared" ca="1" si="12"/>
        <v>0</v>
      </c>
      <c r="U168" t="str">
        <v>Statkraft UK Ltd</v>
      </c>
      <c r="V168">
        <f t="shared" ca="1" si="13"/>
        <v>80174.929999999993</v>
      </c>
      <c r="W168">
        <f t="shared" si="14"/>
        <v>80341.51999999999</v>
      </c>
      <c r="X168">
        <f t="shared" si="15"/>
        <v>0</v>
      </c>
      <c r="Y168" s="181"/>
    </row>
    <row r="169" spans="1:25">
      <c r="A169" t="s">
        <v>2009</v>
      </c>
      <c r="B169">
        <f t="shared" si="11"/>
        <v>45</v>
      </c>
      <c r="C169" t="s">
        <v>2707</v>
      </c>
      <c r="D169" t="s">
        <v>1835</v>
      </c>
      <c r="E169" t="s">
        <v>21</v>
      </c>
      <c r="F169" s="162">
        <v>3333.3333333333298</v>
      </c>
      <c r="G169" t="s">
        <v>2646</v>
      </c>
      <c r="H169" s="163">
        <v>46391</v>
      </c>
      <c r="I169" s="163">
        <v>46843</v>
      </c>
      <c r="J169" s="163"/>
      <c r="K169" t="s">
        <v>2680</v>
      </c>
      <c r="L169" t="b">
        <v>0</v>
      </c>
      <c r="P169">
        <f t="shared" ca="1" si="12"/>
        <v>0</v>
      </c>
      <c r="U169" t="str">
        <v>STX Services BV</v>
      </c>
      <c r="V169">
        <f t="shared" ca="1" si="13"/>
        <v>6000</v>
      </c>
      <c r="W169">
        <f t="shared" si="14"/>
        <v>0</v>
      </c>
      <c r="X169">
        <f t="shared" si="15"/>
        <v>7686</v>
      </c>
      <c r="Y169" s="181"/>
    </row>
    <row r="170" spans="1:25">
      <c r="A170" t="s">
        <v>2009</v>
      </c>
      <c r="B170">
        <f t="shared" si="11"/>
        <v>45</v>
      </c>
      <c r="C170" t="s">
        <v>2707</v>
      </c>
      <c r="D170" t="s">
        <v>1841</v>
      </c>
      <c r="E170" t="s">
        <v>21</v>
      </c>
      <c r="F170" s="162">
        <v>3333.3333333333298</v>
      </c>
      <c r="G170" t="s">
        <v>2646</v>
      </c>
      <c r="H170" s="163">
        <v>46391</v>
      </c>
      <c r="I170" s="163">
        <v>46843</v>
      </c>
      <c r="J170" s="163"/>
      <c r="K170" t="s">
        <v>2680</v>
      </c>
      <c r="L170" t="b">
        <v>0</v>
      </c>
      <c r="P170">
        <f t="shared" ca="1" si="12"/>
        <v>0</v>
      </c>
      <c r="U170" t="str">
        <v>SUEZ Recycling and Recovery UK Ltd</v>
      </c>
      <c r="V170">
        <f t="shared" ca="1" si="13"/>
        <v>53100</v>
      </c>
      <c r="W170">
        <f t="shared" si="14"/>
        <v>0</v>
      </c>
      <c r="X170">
        <f t="shared" si="15"/>
        <v>12650</v>
      </c>
      <c r="Y170" s="181"/>
    </row>
    <row r="171" spans="1:25">
      <c r="A171" t="s">
        <v>2009</v>
      </c>
      <c r="B171">
        <f t="shared" si="11"/>
        <v>45</v>
      </c>
      <c r="C171" t="s">
        <v>2707</v>
      </c>
      <c r="D171" t="s">
        <v>1843</v>
      </c>
      <c r="E171" t="s">
        <v>21</v>
      </c>
      <c r="F171" s="162">
        <v>3333.3333333333298</v>
      </c>
      <c r="G171" t="s">
        <v>2646</v>
      </c>
      <c r="H171" s="163">
        <v>46391</v>
      </c>
      <c r="I171" s="163">
        <v>46843</v>
      </c>
      <c r="J171" s="163"/>
      <c r="K171" t="s">
        <v>2680</v>
      </c>
      <c r="L171" t="b">
        <v>0</v>
      </c>
      <c r="P171">
        <f t="shared" ca="1" si="12"/>
        <v>0</v>
      </c>
      <c r="U171" t="str">
        <v>Switch Business Gas and Power Limited t/a Jellyfish Energy</v>
      </c>
      <c r="V171">
        <f t="shared" ca="1" si="13"/>
        <v>10800</v>
      </c>
      <c r="W171">
        <f t="shared" si="14"/>
        <v>0</v>
      </c>
      <c r="X171">
        <f t="shared" si="15"/>
        <v>6450</v>
      </c>
      <c r="Y171" s="181"/>
    </row>
    <row r="172" spans="1:25">
      <c r="A172" t="s">
        <v>2009</v>
      </c>
      <c r="B172">
        <f t="shared" si="11"/>
        <v>45</v>
      </c>
      <c r="C172" t="s">
        <v>2708</v>
      </c>
      <c r="D172" t="s">
        <v>2653</v>
      </c>
      <c r="E172" t="s">
        <v>20</v>
      </c>
      <c r="F172" s="162">
        <v>23250</v>
      </c>
      <c r="G172" t="s">
        <v>2646</v>
      </c>
      <c r="H172" s="163">
        <v>46756</v>
      </c>
      <c r="I172" s="163">
        <v>47208</v>
      </c>
      <c r="J172" s="163"/>
      <c r="K172" t="s">
        <v>2680</v>
      </c>
      <c r="L172" t="b">
        <v>0</v>
      </c>
      <c r="U172" t="str">
        <v>TEDOM Power UK Limited</v>
      </c>
      <c r="V172">
        <f t="shared" ca="1" si="13"/>
        <v>4500</v>
      </c>
      <c r="W172">
        <f t="shared" si="14"/>
        <v>0</v>
      </c>
      <c r="X172">
        <f t="shared" si="15"/>
        <v>20000</v>
      </c>
      <c r="Y172" s="181"/>
    </row>
    <row r="173" spans="1:25">
      <c r="A173" t="s">
        <v>2009</v>
      </c>
      <c r="B173">
        <f t="shared" si="11"/>
        <v>45</v>
      </c>
      <c r="C173" t="s">
        <v>2708</v>
      </c>
      <c r="D173" t="s">
        <v>1811</v>
      </c>
      <c r="E173" t="s">
        <v>23</v>
      </c>
      <c r="F173" s="162">
        <v>7750</v>
      </c>
      <c r="G173" t="s">
        <v>2646</v>
      </c>
      <c r="H173" s="163">
        <v>46756</v>
      </c>
      <c r="I173" s="163">
        <v>47208</v>
      </c>
      <c r="J173" s="163"/>
      <c r="K173" t="s">
        <v>2680</v>
      </c>
      <c r="L173" t="b">
        <v>0</v>
      </c>
      <c r="U173" t="str">
        <v>Tem Energy Ltd</v>
      </c>
      <c r="V173">
        <f t="shared" ca="1" si="13"/>
        <v>4500</v>
      </c>
      <c r="W173">
        <f t="shared" si="14"/>
        <v>0</v>
      </c>
      <c r="X173">
        <f t="shared" si="15"/>
        <v>19500</v>
      </c>
      <c r="Y173" s="181"/>
    </row>
    <row r="174" spans="1:25">
      <c r="A174" t="s">
        <v>2009</v>
      </c>
      <c r="B174">
        <f t="shared" si="11"/>
        <v>45</v>
      </c>
      <c r="C174" t="s">
        <v>2708</v>
      </c>
      <c r="D174" t="s">
        <v>1822</v>
      </c>
      <c r="E174" t="s">
        <v>23</v>
      </c>
      <c r="F174" s="162">
        <v>7750</v>
      </c>
      <c r="G174" t="s">
        <v>2646</v>
      </c>
      <c r="H174" s="163">
        <v>46756</v>
      </c>
      <c r="I174" s="163">
        <v>47208</v>
      </c>
      <c r="J174" s="163"/>
      <c r="K174" t="s">
        <v>2680</v>
      </c>
      <c r="L174" t="b">
        <v>0</v>
      </c>
      <c r="U174" t="str">
        <v>Tesla Motors Netherlands B.V.</v>
      </c>
      <c r="V174">
        <f t="shared" ca="1" si="13"/>
        <v>71868</v>
      </c>
      <c r="W174">
        <f t="shared" si="14"/>
        <v>70800</v>
      </c>
      <c r="X174">
        <f t="shared" si="15"/>
        <v>0</v>
      </c>
      <c r="Y174" s="181"/>
    </row>
    <row r="175" spans="1:25">
      <c r="A175" t="s">
        <v>2009</v>
      </c>
      <c r="B175">
        <f t="shared" si="11"/>
        <v>45</v>
      </c>
      <c r="C175" t="s">
        <v>2708</v>
      </c>
      <c r="D175" t="s">
        <v>1829</v>
      </c>
      <c r="E175" t="s">
        <v>23</v>
      </c>
      <c r="F175" s="162">
        <v>7750</v>
      </c>
      <c r="G175" t="s">
        <v>2646</v>
      </c>
      <c r="H175" s="163">
        <v>46756</v>
      </c>
      <c r="I175" s="163">
        <v>47208</v>
      </c>
      <c r="J175" s="163"/>
      <c r="K175" t="s">
        <v>2680</v>
      </c>
      <c r="L175" t="b">
        <v>0</v>
      </c>
      <c r="U175" t="str">
        <v>Thames Water Utilities Limited</v>
      </c>
      <c r="V175">
        <f t="shared" ca="1" si="13"/>
        <v>57452</v>
      </c>
      <c r="W175">
        <f t="shared" si="14"/>
        <v>52735</v>
      </c>
      <c r="X175">
        <f t="shared" si="15"/>
        <v>0</v>
      </c>
      <c r="Y175" s="181"/>
    </row>
    <row r="176" spans="1:25">
      <c r="A176" t="s">
        <v>2009</v>
      </c>
      <c r="B176">
        <f t="shared" si="11"/>
        <v>45</v>
      </c>
      <c r="C176" t="s">
        <v>2708</v>
      </c>
      <c r="D176" t="s">
        <v>1814</v>
      </c>
      <c r="E176" t="s">
        <v>1695</v>
      </c>
      <c r="F176" s="162">
        <v>4250</v>
      </c>
      <c r="G176" t="s">
        <v>2646</v>
      </c>
      <c r="H176" s="163">
        <v>46756</v>
      </c>
      <c r="I176" s="163">
        <v>47208</v>
      </c>
      <c r="J176" s="163"/>
      <c r="K176" t="s">
        <v>2680</v>
      </c>
      <c r="L176" t="b">
        <v>0</v>
      </c>
      <c r="U176" t="str">
        <v>The Association for Decentralised Energy</v>
      </c>
      <c r="V176">
        <f t="shared" ca="1" si="13"/>
        <v>5185</v>
      </c>
      <c r="W176">
        <f t="shared" si="14"/>
        <v>5805</v>
      </c>
      <c r="X176">
        <f t="shared" si="15"/>
        <v>0</v>
      </c>
      <c r="Y176" s="181"/>
    </row>
    <row r="177" spans="1:25">
      <c r="A177" t="s">
        <v>2009</v>
      </c>
      <c r="B177">
        <f t="shared" si="11"/>
        <v>45</v>
      </c>
      <c r="C177" t="s">
        <v>2708</v>
      </c>
      <c r="D177" t="s">
        <v>1824</v>
      </c>
      <c r="E177" t="s">
        <v>1695</v>
      </c>
      <c r="F177" s="162">
        <v>4250</v>
      </c>
      <c r="G177" t="s">
        <v>2646</v>
      </c>
      <c r="H177" s="163">
        <v>46756</v>
      </c>
      <c r="I177" s="163">
        <v>47208</v>
      </c>
      <c r="J177" s="163"/>
      <c r="K177" t="s">
        <v>2680</v>
      </c>
      <c r="L177" t="b">
        <v>0</v>
      </c>
      <c r="U177" t="str">
        <v>The Crown Estate</v>
      </c>
      <c r="V177">
        <f t="shared" ca="1" si="13"/>
        <v>19235</v>
      </c>
      <c r="W177">
        <f t="shared" si="14"/>
        <v>19780</v>
      </c>
      <c r="X177">
        <f t="shared" si="15"/>
        <v>0</v>
      </c>
      <c r="Y177" s="181"/>
    </row>
    <row r="178" spans="1:25">
      <c r="A178" t="s">
        <v>2009</v>
      </c>
      <c r="B178">
        <f t="shared" si="11"/>
        <v>45</v>
      </c>
      <c r="C178" t="s">
        <v>2708</v>
      </c>
      <c r="D178" t="s">
        <v>1842</v>
      </c>
      <c r="E178" t="s">
        <v>1695</v>
      </c>
      <c r="F178" s="162">
        <v>4250</v>
      </c>
      <c r="G178" t="s">
        <v>2646</v>
      </c>
      <c r="H178" s="163">
        <v>46756</v>
      </c>
      <c r="I178" s="163">
        <v>47208</v>
      </c>
      <c r="J178" s="163"/>
      <c r="K178" t="s">
        <v>2680</v>
      </c>
      <c r="L178" t="b">
        <v>0</v>
      </c>
      <c r="U178" t="str">
        <v>The Energy Consortium</v>
      </c>
      <c r="V178">
        <f t="shared" ca="1" si="13"/>
        <v>34380</v>
      </c>
      <c r="W178">
        <f t="shared" si="14"/>
        <v>24420</v>
      </c>
      <c r="X178">
        <f t="shared" si="15"/>
        <v>0</v>
      </c>
      <c r="Y178" s="181"/>
    </row>
    <row r="179" spans="1:25">
      <c r="A179" t="s">
        <v>2009</v>
      </c>
      <c r="B179">
        <f t="shared" si="11"/>
        <v>45</v>
      </c>
      <c r="C179" t="s">
        <v>2708</v>
      </c>
      <c r="D179" t="s">
        <v>1851</v>
      </c>
      <c r="E179" t="s">
        <v>1695</v>
      </c>
      <c r="F179" s="162">
        <v>4250</v>
      </c>
      <c r="G179" t="s">
        <v>2646</v>
      </c>
      <c r="H179" s="163">
        <v>46756</v>
      </c>
      <c r="I179" s="163">
        <v>47208</v>
      </c>
      <c r="J179" s="163"/>
      <c r="K179" t="s">
        <v>2680</v>
      </c>
      <c r="L179" t="b">
        <v>0</v>
      </c>
      <c r="U179" t="str">
        <v>The Food and Drink Federation</v>
      </c>
      <c r="V179">
        <f t="shared" ca="1" si="13"/>
        <v>10278.779999999999</v>
      </c>
      <c r="W179">
        <f t="shared" si="14"/>
        <v>2200</v>
      </c>
      <c r="X179">
        <f t="shared" si="15"/>
        <v>0</v>
      </c>
      <c r="Y179" s="181"/>
    </row>
    <row r="180" spans="1:25">
      <c r="A180" t="s">
        <v>2009</v>
      </c>
      <c r="B180">
        <f t="shared" si="11"/>
        <v>45</v>
      </c>
      <c r="C180" t="s">
        <v>2708</v>
      </c>
      <c r="D180" t="s">
        <v>1853</v>
      </c>
      <c r="E180" t="s">
        <v>1695</v>
      </c>
      <c r="F180" s="162">
        <v>4250</v>
      </c>
      <c r="G180" t="s">
        <v>2646</v>
      </c>
      <c r="H180" s="163">
        <v>46756</v>
      </c>
      <c r="I180" s="163">
        <v>47208</v>
      </c>
      <c r="J180" s="163"/>
      <c r="K180" t="s">
        <v>2680</v>
      </c>
      <c r="L180" t="b">
        <v>0</v>
      </c>
      <c r="U180" t="str">
        <v>Thrive Renewables PLC</v>
      </c>
      <c r="V180">
        <f t="shared" ca="1" si="13"/>
        <v>5325.78</v>
      </c>
      <c r="W180">
        <f t="shared" si="14"/>
        <v>0</v>
      </c>
      <c r="X180">
        <f t="shared" si="15"/>
        <v>9750</v>
      </c>
      <c r="Y180" s="181"/>
    </row>
    <row r="181" spans="1:25">
      <c r="A181" t="s">
        <v>2009</v>
      </c>
      <c r="B181">
        <f t="shared" si="11"/>
        <v>45</v>
      </c>
      <c r="C181" t="s">
        <v>2708</v>
      </c>
      <c r="D181" t="s">
        <v>1810</v>
      </c>
      <c r="E181" t="s">
        <v>21</v>
      </c>
      <c r="F181" s="162">
        <v>3541.6666666666702</v>
      </c>
      <c r="G181" t="s">
        <v>2646</v>
      </c>
      <c r="H181" s="163">
        <v>46756</v>
      </c>
      <c r="I181" s="163">
        <v>47208</v>
      </c>
      <c r="J181" s="163"/>
      <c r="K181" t="s">
        <v>2680</v>
      </c>
      <c r="L181" t="b">
        <v>0</v>
      </c>
      <c r="U181" t="str">
        <v>TMA Data Management Limited</v>
      </c>
      <c r="V181">
        <f t="shared" ca="1" si="13"/>
        <v>5325.78</v>
      </c>
      <c r="W181">
        <f t="shared" si="14"/>
        <v>4953</v>
      </c>
      <c r="X181">
        <f t="shared" si="15"/>
        <v>0</v>
      </c>
      <c r="Y181" s="181"/>
    </row>
    <row r="182" spans="1:25">
      <c r="A182" t="s">
        <v>2009</v>
      </c>
      <c r="B182">
        <f t="shared" si="11"/>
        <v>45</v>
      </c>
      <c r="C182" t="s">
        <v>2708</v>
      </c>
      <c r="D182" t="s">
        <v>1821</v>
      </c>
      <c r="E182" t="s">
        <v>21</v>
      </c>
      <c r="F182" s="162">
        <v>3541.6666666666702</v>
      </c>
      <c r="G182" t="s">
        <v>2646</v>
      </c>
      <c r="H182" s="163">
        <v>46756</v>
      </c>
      <c r="I182" s="163">
        <v>47208</v>
      </c>
      <c r="J182" s="163"/>
      <c r="K182" t="s">
        <v>2680</v>
      </c>
      <c r="L182" t="b">
        <v>0</v>
      </c>
      <c r="U182" t="str">
        <v>TotalEnergies Gas &amp; Power Limited</v>
      </c>
      <c r="V182">
        <f t="shared" ca="1" si="13"/>
        <v>101832.66</v>
      </c>
      <c r="W182">
        <f t="shared" si="14"/>
        <v>99909.999999999985</v>
      </c>
      <c r="X182">
        <f t="shared" si="15"/>
        <v>0</v>
      </c>
      <c r="Y182" s="181"/>
    </row>
    <row r="183" spans="1:25">
      <c r="A183" t="s">
        <v>2009</v>
      </c>
      <c r="B183">
        <f t="shared" si="11"/>
        <v>45</v>
      </c>
      <c r="C183" t="s">
        <v>2708</v>
      </c>
      <c r="D183" t="s">
        <v>1828</v>
      </c>
      <c r="E183" t="s">
        <v>21</v>
      </c>
      <c r="F183" s="162">
        <v>3541.6666666666702</v>
      </c>
      <c r="G183" t="s">
        <v>2646</v>
      </c>
      <c r="H183" s="163">
        <v>46756</v>
      </c>
      <c r="I183" s="163">
        <v>47208</v>
      </c>
      <c r="J183" s="163"/>
      <c r="K183" t="s">
        <v>2680</v>
      </c>
      <c r="L183" t="b">
        <v>0</v>
      </c>
      <c r="U183" t="str">
        <v>Tradelink Solutions Ltd</v>
      </c>
      <c r="V183">
        <f t="shared" ca="1" si="13"/>
        <v>34205</v>
      </c>
      <c r="W183">
        <f t="shared" si="14"/>
        <v>12950</v>
      </c>
      <c r="X183">
        <f t="shared" si="15"/>
        <v>0</v>
      </c>
      <c r="Y183" s="181"/>
    </row>
    <row r="184" spans="1:25">
      <c r="A184" t="s">
        <v>2009</v>
      </c>
      <c r="B184">
        <f t="shared" si="11"/>
        <v>45</v>
      </c>
      <c r="C184" t="s">
        <v>2708</v>
      </c>
      <c r="D184" t="s">
        <v>1835</v>
      </c>
      <c r="E184" t="s">
        <v>21</v>
      </c>
      <c r="F184" s="162">
        <v>3541.6666666666702</v>
      </c>
      <c r="G184" t="s">
        <v>2646</v>
      </c>
      <c r="H184" s="163">
        <v>46756</v>
      </c>
      <c r="I184" s="163">
        <v>47208</v>
      </c>
      <c r="J184" s="163"/>
      <c r="K184" t="s">
        <v>2680</v>
      </c>
      <c r="L184" t="b">
        <v>0</v>
      </c>
      <c r="U184" t="str">
        <v>Triple Point Servco Ltd</v>
      </c>
      <c r="V184">
        <f t="shared" ca="1" si="13"/>
        <v>5400</v>
      </c>
      <c r="W184">
        <f t="shared" si="14"/>
        <v>0</v>
      </c>
      <c r="X184">
        <f t="shared" si="15"/>
        <v>15000</v>
      </c>
      <c r="Y184" s="181"/>
    </row>
    <row r="185" spans="1:25">
      <c r="A185" t="s">
        <v>2009</v>
      </c>
      <c r="B185">
        <f t="shared" si="11"/>
        <v>45</v>
      </c>
      <c r="C185" t="s">
        <v>2708</v>
      </c>
      <c r="D185" t="s">
        <v>1841</v>
      </c>
      <c r="E185" t="s">
        <v>21</v>
      </c>
      <c r="F185" s="162">
        <v>3541.6666666666702</v>
      </c>
      <c r="G185" t="s">
        <v>2646</v>
      </c>
      <c r="H185" s="163">
        <v>46756</v>
      </c>
      <c r="I185" s="163">
        <v>47208</v>
      </c>
      <c r="J185" s="163"/>
      <c r="K185" t="s">
        <v>2680</v>
      </c>
      <c r="L185" t="b">
        <v>0</v>
      </c>
      <c r="U185" t="str">
        <v>U4LUK RENEWABLES LTD</v>
      </c>
      <c r="V185">
        <f t="shared" ca="1" si="13"/>
        <v>5400</v>
      </c>
      <c r="W185">
        <f t="shared" si="14"/>
        <v>0</v>
      </c>
      <c r="X185">
        <f t="shared" si="15"/>
        <v>5805</v>
      </c>
      <c r="Y185" s="181"/>
    </row>
    <row r="186" spans="1:25">
      <c r="A186" t="s">
        <v>2009</v>
      </c>
      <c r="B186">
        <f t="shared" si="11"/>
        <v>45</v>
      </c>
      <c r="C186" t="s">
        <v>2708</v>
      </c>
      <c r="D186" t="s">
        <v>1843</v>
      </c>
      <c r="E186" t="s">
        <v>21</v>
      </c>
      <c r="F186" s="162">
        <v>3541.6666666666702</v>
      </c>
      <c r="G186" t="s">
        <v>2646</v>
      </c>
      <c r="H186" s="163">
        <v>46756</v>
      </c>
      <c r="I186" s="163">
        <v>47208</v>
      </c>
      <c r="J186" s="163"/>
      <c r="K186" t="s">
        <v>2680</v>
      </c>
      <c r="L186" t="b">
        <v>0</v>
      </c>
      <c r="U186" t="str">
        <v>Unify Energy Limited</v>
      </c>
      <c r="V186">
        <f t="shared" ca="1" si="13"/>
        <v>44575</v>
      </c>
      <c r="W186">
        <f t="shared" si="14"/>
        <v>39150</v>
      </c>
      <c r="X186">
        <f t="shared" si="15"/>
        <v>0</v>
      </c>
      <c r="Y186" s="181"/>
    </row>
    <row r="187" spans="1:25">
      <c r="A187" t="s">
        <v>343</v>
      </c>
      <c r="B187">
        <f t="shared" si="11"/>
        <v>0</v>
      </c>
      <c r="C187" t="s">
        <v>2709</v>
      </c>
      <c r="D187" t="s">
        <v>1826</v>
      </c>
      <c r="E187" t="s">
        <v>25</v>
      </c>
      <c r="F187" s="162">
        <v>9500</v>
      </c>
      <c r="G187" t="s">
        <v>2646</v>
      </c>
      <c r="H187" s="163">
        <v>46109</v>
      </c>
      <c r="I187" s="163">
        <v>46473</v>
      </c>
      <c r="J187" s="163"/>
      <c r="K187" t="s">
        <v>2671</v>
      </c>
      <c r="L187" t="b">
        <v>0</v>
      </c>
      <c r="U187" t="str">
        <v>Uniper UK Limited</v>
      </c>
      <c r="V187">
        <f t="shared" ca="1" si="13"/>
        <v>3750</v>
      </c>
      <c r="W187">
        <f t="shared" si="14"/>
        <v>0</v>
      </c>
      <c r="X187">
        <f t="shared" si="15"/>
        <v>14125</v>
      </c>
      <c r="Y187" s="181"/>
    </row>
    <row r="188" spans="1:25">
      <c r="A188" t="s">
        <v>2012</v>
      </c>
      <c r="B188">
        <f t="shared" si="11"/>
        <v>13</v>
      </c>
      <c r="C188" t="s">
        <v>2710</v>
      </c>
      <c r="D188" t="s">
        <v>1816</v>
      </c>
      <c r="E188" t="s">
        <v>1931</v>
      </c>
      <c r="F188" s="162">
        <v>13488</v>
      </c>
      <c r="G188" t="s">
        <v>2646</v>
      </c>
      <c r="H188" s="163">
        <v>46299</v>
      </c>
      <c r="I188" s="163">
        <v>46634</v>
      </c>
      <c r="J188" s="163"/>
      <c r="K188" t="s">
        <v>2643</v>
      </c>
      <c r="L188" t="b">
        <v>0</v>
      </c>
      <c r="U188" t="str">
        <v>United Gas &amp; Power Ltd</v>
      </c>
      <c r="V188">
        <f t="shared" ca="1" si="13"/>
        <v>75875</v>
      </c>
      <c r="W188">
        <f t="shared" si="14"/>
        <v>48700</v>
      </c>
      <c r="X188">
        <f t="shared" si="15"/>
        <v>0</v>
      </c>
      <c r="Y188" s="181"/>
    </row>
    <row r="189" spans="1:25">
      <c r="A189" t="s">
        <v>2012</v>
      </c>
      <c r="B189">
        <f t="shared" si="11"/>
        <v>13</v>
      </c>
      <c r="C189" t="s">
        <v>2710</v>
      </c>
      <c r="D189" t="s">
        <v>1813</v>
      </c>
      <c r="E189" t="s">
        <v>21</v>
      </c>
      <c r="F189" s="162">
        <v>8821.75</v>
      </c>
      <c r="G189" t="s">
        <v>2646</v>
      </c>
      <c r="H189" s="163">
        <v>46299</v>
      </c>
      <c r="I189" s="163">
        <v>46634</v>
      </c>
      <c r="J189" s="163"/>
      <c r="K189" t="s">
        <v>2643</v>
      </c>
      <c r="L189" t="b">
        <v>0</v>
      </c>
      <c r="U189" t="str">
        <v>United Utilities Water Limited</v>
      </c>
      <c r="V189">
        <f t="shared" ca="1" si="13"/>
        <v>16863</v>
      </c>
      <c r="W189">
        <f t="shared" si="14"/>
        <v>0</v>
      </c>
      <c r="X189">
        <f t="shared" si="15"/>
        <v>22425</v>
      </c>
      <c r="Y189" s="181"/>
    </row>
    <row r="190" spans="1:25">
      <c r="A190" t="s">
        <v>2012</v>
      </c>
      <c r="B190">
        <f t="shared" si="11"/>
        <v>13</v>
      </c>
      <c r="C190" t="s">
        <v>2710</v>
      </c>
      <c r="D190" t="s">
        <v>1823</v>
      </c>
      <c r="E190" t="s">
        <v>21</v>
      </c>
      <c r="F190" s="162">
        <v>8821.75</v>
      </c>
      <c r="G190" t="s">
        <v>2646</v>
      </c>
      <c r="H190" s="163">
        <v>46299</v>
      </c>
      <c r="I190" s="163">
        <v>46634</v>
      </c>
      <c r="J190" s="163"/>
      <c r="K190" t="s">
        <v>2643</v>
      </c>
      <c r="L190" t="b">
        <v>0</v>
      </c>
      <c r="U190" t="str">
        <v>UPM-Kymmene (UK) Ltd</v>
      </c>
      <c r="V190">
        <f t="shared" ca="1" si="13"/>
        <v>15326.666666666661</v>
      </c>
      <c r="W190">
        <f t="shared" si="14"/>
        <v>0</v>
      </c>
      <c r="X190">
        <f t="shared" si="15"/>
        <v>16000</v>
      </c>
      <c r="Y190" s="181"/>
    </row>
    <row r="191" spans="1:25">
      <c r="A191" t="s">
        <v>2012</v>
      </c>
      <c r="B191">
        <f t="shared" si="11"/>
        <v>13</v>
      </c>
      <c r="C191" t="s">
        <v>2710</v>
      </c>
      <c r="D191" t="s">
        <v>1830</v>
      </c>
      <c r="E191" t="s">
        <v>21</v>
      </c>
      <c r="F191" s="162">
        <v>8821.75</v>
      </c>
      <c r="G191" t="s">
        <v>2646</v>
      </c>
      <c r="H191" s="163">
        <v>46299</v>
      </c>
      <c r="I191" s="163">
        <v>46634</v>
      </c>
      <c r="J191" s="163"/>
      <c r="K191" t="s">
        <v>2643</v>
      </c>
      <c r="L191" t="b">
        <v>0</v>
      </c>
      <c r="U191" t="str">
        <v>UrbanChain Ltd.</v>
      </c>
      <c r="V191">
        <f t="shared" ca="1" si="13"/>
        <v>73149.333333333299</v>
      </c>
      <c r="W191">
        <f t="shared" si="14"/>
        <v>49067.999999999985</v>
      </c>
      <c r="X191">
        <f t="shared" si="15"/>
        <v>0</v>
      </c>
      <c r="Y191" s="181"/>
    </row>
    <row r="192" spans="1:25">
      <c r="A192" t="s">
        <v>2012</v>
      </c>
      <c r="B192">
        <f t="shared" si="11"/>
        <v>13</v>
      </c>
      <c r="C192" t="s">
        <v>2710</v>
      </c>
      <c r="D192" t="s">
        <v>1836</v>
      </c>
      <c r="E192" t="s">
        <v>21</v>
      </c>
      <c r="F192" s="162">
        <v>8821.75</v>
      </c>
      <c r="G192" t="s">
        <v>2646</v>
      </c>
      <c r="H192" s="163">
        <v>46299</v>
      </c>
      <c r="I192" s="163">
        <v>46634</v>
      </c>
      <c r="J192" s="163"/>
      <c r="K192" t="s">
        <v>2643</v>
      </c>
      <c r="L192" t="b">
        <v>0</v>
      </c>
      <c r="U192" t="str">
        <v>Utilita Energy Limited</v>
      </c>
      <c r="V192">
        <f t="shared" ca="1" si="13"/>
        <v>270035</v>
      </c>
      <c r="W192">
        <f t="shared" si="14"/>
        <v>119499.99999999997</v>
      </c>
      <c r="X192">
        <f t="shared" si="15"/>
        <v>0</v>
      </c>
      <c r="Y192" s="181"/>
    </row>
    <row r="193" spans="1:25">
      <c r="A193" t="s">
        <v>2012</v>
      </c>
      <c r="B193">
        <f t="shared" si="11"/>
        <v>13</v>
      </c>
      <c r="C193" t="s">
        <v>2710</v>
      </c>
      <c r="D193" t="s">
        <v>2653</v>
      </c>
      <c r="E193" t="s">
        <v>20</v>
      </c>
      <c r="F193" s="162">
        <v>9346</v>
      </c>
      <c r="G193" t="s">
        <v>2646</v>
      </c>
      <c r="H193" s="163">
        <v>46299</v>
      </c>
      <c r="I193" s="163">
        <v>46634</v>
      </c>
      <c r="J193" s="163"/>
      <c r="K193" t="s">
        <v>2643</v>
      </c>
      <c r="L193" t="b">
        <v>0</v>
      </c>
      <c r="U193" t="str">
        <v>Utility Aid Limited</v>
      </c>
      <c r="V193">
        <f t="shared" ca="1" si="13"/>
        <v>10469.93</v>
      </c>
      <c r="W193">
        <f t="shared" si="14"/>
        <v>3000</v>
      </c>
      <c r="X193">
        <f t="shared" si="15"/>
        <v>0</v>
      </c>
      <c r="Y193" s="181"/>
    </row>
    <row r="194" spans="1:25">
      <c r="A194" t="s">
        <v>2012</v>
      </c>
      <c r="B194">
        <f t="shared" si="11"/>
        <v>13</v>
      </c>
      <c r="C194" t="s">
        <v>2710</v>
      </c>
      <c r="D194" t="s">
        <v>1810</v>
      </c>
      <c r="E194" t="s">
        <v>21</v>
      </c>
      <c r="F194" s="162">
        <v>4664.8333333333303</v>
      </c>
      <c r="G194" t="s">
        <v>2646</v>
      </c>
      <c r="H194" s="163">
        <v>46299</v>
      </c>
      <c r="I194" s="163">
        <v>46634</v>
      </c>
      <c r="J194" s="163"/>
      <c r="K194" t="s">
        <v>2643</v>
      </c>
      <c r="L194" t="b">
        <v>0</v>
      </c>
      <c r="U194" t="str">
        <v>Utility Regulator</v>
      </c>
      <c r="V194">
        <f t="shared" ca="1" si="13"/>
        <v>20421.759999999998</v>
      </c>
      <c r="W194">
        <f t="shared" si="14"/>
        <v>25610</v>
      </c>
      <c r="X194">
        <f t="shared" si="15"/>
        <v>0</v>
      </c>
      <c r="Y194" s="181"/>
    </row>
    <row r="195" spans="1:25">
      <c r="A195" t="s">
        <v>2012</v>
      </c>
      <c r="B195">
        <f t="shared" ref="B195:B258" si="16">IF(COUNTIFS($A$2:$A$1053,A195,$E$2:$E$1053,"Industry Essentials")&gt;0, COUNTIF($A$2:$A$1053,A195), 0)</f>
        <v>13</v>
      </c>
      <c r="C195" t="s">
        <v>2710</v>
      </c>
      <c r="D195" t="s">
        <v>1821</v>
      </c>
      <c r="E195" t="s">
        <v>21</v>
      </c>
      <c r="F195" s="162">
        <v>4664.8333333333303</v>
      </c>
      <c r="G195" t="s">
        <v>2646</v>
      </c>
      <c r="H195" s="163">
        <v>46299</v>
      </c>
      <c r="I195" s="163">
        <v>46634</v>
      </c>
      <c r="J195" s="163"/>
      <c r="K195" t="s">
        <v>2643</v>
      </c>
      <c r="L195" t="b">
        <v>0</v>
      </c>
      <c r="U195" t="str">
        <v>Utility Warehouse Limited</v>
      </c>
      <c r="V195">
        <f t="shared" ca="1" si="13"/>
        <v>113110.43857142856</v>
      </c>
      <c r="W195">
        <f t="shared" si="14"/>
        <v>119540.69999999997</v>
      </c>
      <c r="X195">
        <f t="shared" si="15"/>
        <v>0</v>
      </c>
      <c r="Y195" s="181"/>
    </row>
    <row r="196" spans="1:25">
      <c r="A196" t="s">
        <v>2012</v>
      </c>
      <c r="B196">
        <f t="shared" si="16"/>
        <v>13</v>
      </c>
      <c r="C196" t="s">
        <v>2710</v>
      </c>
      <c r="D196" t="s">
        <v>1828</v>
      </c>
      <c r="E196" t="s">
        <v>21</v>
      </c>
      <c r="F196" s="162">
        <v>4664.8333333333303</v>
      </c>
      <c r="G196" t="s">
        <v>2646</v>
      </c>
      <c r="H196" s="163">
        <v>46299</v>
      </c>
      <c r="I196" s="163">
        <v>46634</v>
      </c>
      <c r="J196" s="163"/>
      <c r="K196" t="s">
        <v>2643</v>
      </c>
      <c r="L196" t="b">
        <v>0</v>
      </c>
      <c r="U196" t="str">
        <v>Valda Energy Ltd</v>
      </c>
      <c r="V196">
        <f t="shared" ca="1" si="13"/>
        <v>3685.7142857142899</v>
      </c>
      <c r="W196">
        <f t="shared" si="14"/>
        <v>0</v>
      </c>
      <c r="X196">
        <f t="shared" si="15"/>
        <v>17090</v>
      </c>
      <c r="Y196" s="181"/>
    </row>
    <row r="197" spans="1:25">
      <c r="A197" t="s">
        <v>2012</v>
      </c>
      <c r="B197">
        <f t="shared" si="16"/>
        <v>13</v>
      </c>
      <c r="C197" t="s">
        <v>2710</v>
      </c>
      <c r="D197" t="s">
        <v>1835</v>
      </c>
      <c r="E197" t="s">
        <v>21</v>
      </c>
      <c r="F197" s="162">
        <v>4664.8333333333303</v>
      </c>
      <c r="G197" t="s">
        <v>2646</v>
      </c>
      <c r="H197" s="163">
        <v>46299</v>
      </c>
      <c r="I197" s="163">
        <v>46634</v>
      </c>
      <c r="J197" s="163"/>
      <c r="K197" t="s">
        <v>2643</v>
      </c>
      <c r="L197" t="b">
        <v>0</v>
      </c>
      <c r="U197" t="str">
        <v>Vattenfall Energy Trading GmbH</v>
      </c>
      <c r="V197">
        <f t="shared" ca="1" si="13"/>
        <v>55392.857142857159</v>
      </c>
      <c r="W197">
        <f t="shared" si="14"/>
        <v>0</v>
      </c>
      <c r="X197">
        <f t="shared" si="15"/>
        <v>32300.000000000029</v>
      </c>
      <c r="Y197" s="181"/>
    </row>
    <row r="198" spans="1:25">
      <c r="A198" t="s">
        <v>2012</v>
      </c>
      <c r="B198">
        <f t="shared" si="16"/>
        <v>13</v>
      </c>
      <c r="C198" t="s">
        <v>2710</v>
      </c>
      <c r="D198" t="s">
        <v>1841</v>
      </c>
      <c r="E198" t="s">
        <v>21</v>
      </c>
      <c r="F198" s="162">
        <v>4664.8333333333303</v>
      </c>
      <c r="G198" t="s">
        <v>2646</v>
      </c>
      <c r="H198" s="163">
        <v>46299</v>
      </c>
      <c r="I198" s="163">
        <v>46634</v>
      </c>
      <c r="J198" s="163"/>
      <c r="K198" t="s">
        <v>2643</v>
      </c>
      <c r="L198" t="b">
        <v>0</v>
      </c>
      <c r="U198" t="str">
        <v>Vattenfall Wind Power Limited</v>
      </c>
      <c r="V198">
        <f t="shared" ref="V198:V217" ca="1" si="17">SUMIF($A$2:$A$1053,U198,$F$5:$F$1053)</f>
        <v>17200</v>
      </c>
      <c r="W198">
        <f t="shared" ref="W198:W217" si="18">SUMIFS($F$2:$F$1053,$A$2:$A$1053,U198,$B$2:$B$1053,"&gt;"&amp;0,$I$2:$I$1053,"&lt;"&amp;46575)</f>
        <v>10250</v>
      </c>
      <c r="X198">
        <f t="shared" ref="X198:X217" si="19">SUMIFS($F$2:$F$1053,$A$2:$A$1053,U198,$B$2:$B$1053,"&lt;"&amp;1,$I$2:$I$1053,"&lt;"&amp;46575)</f>
        <v>0</v>
      </c>
      <c r="Y198" s="181"/>
    </row>
    <row r="199" spans="1:25">
      <c r="A199" t="s">
        <v>2012</v>
      </c>
      <c r="B199">
        <f t="shared" si="16"/>
        <v>13</v>
      </c>
      <c r="C199" t="s">
        <v>2710</v>
      </c>
      <c r="D199" t="s">
        <v>1843</v>
      </c>
      <c r="E199" t="s">
        <v>21</v>
      </c>
      <c r="F199" s="162">
        <v>4664.8333333333303</v>
      </c>
      <c r="G199" t="s">
        <v>2646</v>
      </c>
      <c r="H199" s="163">
        <v>46299</v>
      </c>
      <c r="I199" s="163">
        <v>46634</v>
      </c>
      <c r="J199" s="163"/>
      <c r="K199" t="s">
        <v>2643</v>
      </c>
      <c r="L199" t="b">
        <v>0</v>
      </c>
      <c r="U199" t="str">
        <v>Vestas Northern Europe</v>
      </c>
      <c r="V199">
        <f t="shared" ca="1" si="17"/>
        <v>20000</v>
      </c>
      <c r="W199">
        <f t="shared" si="18"/>
        <v>0</v>
      </c>
      <c r="X199">
        <f t="shared" si="19"/>
        <v>11900</v>
      </c>
      <c r="Y199" s="181"/>
    </row>
    <row r="200" spans="1:25">
      <c r="A200" t="s">
        <v>2012</v>
      </c>
      <c r="B200">
        <f t="shared" si="16"/>
        <v>13</v>
      </c>
      <c r="C200" t="s">
        <v>2710</v>
      </c>
      <c r="D200" t="s">
        <v>1813</v>
      </c>
      <c r="E200" t="s">
        <v>21</v>
      </c>
      <c r="F200" s="162">
        <v>2000</v>
      </c>
      <c r="G200" t="s">
        <v>2646</v>
      </c>
      <c r="H200" s="163">
        <v>46299</v>
      </c>
      <c r="I200" s="163">
        <v>46634</v>
      </c>
      <c r="J200" s="163"/>
      <c r="K200" t="s">
        <v>2643</v>
      </c>
      <c r="L200" t="b">
        <v>0</v>
      </c>
      <c r="U200" t="str">
        <v>Viridor Energy Limited</v>
      </c>
      <c r="V200">
        <f t="shared" ca="1" si="17"/>
        <v>9340</v>
      </c>
      <c r="W200">
        <f t="shared" si="18"/>
        <v>0</v>
      </c>
      <c r="X200">
        <f t="shared" si="19"/>
        <v>12000</v>
      </c>
      <c r="Y200" s="181"/>
    </row>
    <row r="201" spans="1:25">
      <c r="A201" t="s">
        <v>1948</v>
      </c>
      <c r="B201">
        <f t="shared" si="16"/>
        <v>0</v>
      </c>
      <c r="C201" t="s">
        <v>2711</v>
      </c>
      <c r="D201" t="s">
        <v>2645</v>
      </c>
      <c r="E201" t="s">
        <v>1902</v>
      </c>
      <c r="F201" s="162">
        <v>8070</v>
      </c>
      <c r="G201" t="s">
        <v>1705</v>
      </c>
      <c r="H201" s="163">
        <v>45666</v>
      </c>
      <c r="I201" s="163">
        <v>46265</v>
      </c>
      <c r="J201" s="163"/>
      <c r="K201" t="s">
        <v>2647</v>
      </c>
      <c r="L201" t="b">
        <v>0</v>
      </c>
      <c r="U201" t="str">
        <v>Virmati Energy Ltd</v>
      </c>
      <c r="V201">
        <f t="shared" ca="1" si="17"/>
        <v>11685</v>
      </c>
      <c r="W201">
        <f t="shared" si="18"/>
        <v>0</v>
      </c>
      <c r="X201">
        <f t="shared" si="19"/>
        <v>17200</v>
      </c>
      <c r="Y201" s="181"/>
    </row>
    <row r="202" spans="1:25">
      <c r="A202" t="s">
        <v>1213</v>
      </c>
      <c r="B202">
        <f t="shared" si="16"/>
        <v>1</v>
      </c>
      <c r="C202" t="s">
        <v>2712</v>
      </c>
      <c r="D202" t="s">
        <v>2653</v>
      </c>
      <c r="E202" t="s">
        <v>20</v>
      </c>
      <c r="F202" s="162">
        <v>8610</v>
      </c>
      <c r="G202" t="s">
        <v>2646</v>
      </c>
      <c r="H202" s="163">
        <v>46026</v>
      </c>
      <c r="I202" s="163">
        <v>46477</v>
      </c>
      <c r="J202" s="163"/>
      <c r="K202" t="s">
        <v>2656</v>
      </c>
      <c r="L202" t="b">
        <v>0</v>
      </c>
      <c r="U202" t="str">
        <v>Vodafone Ltd</v>
      </c>
      <c r="V202">
        <f t="shared" ca="1" si="17"/>
        <v>10500</v>
      </c>
      <c r="W202">
        <f t="shared" si="18"/>
        <v>0</v>
      </c>
      <c r="X202">
        <f t="shared" si="19"/>
        <v>20000</v>
      </c>
      <c r="Y202" s="181"/>
    </row>
    <row r="203" spans="1:25">
      <c r="A203" t="s">
        <v>155</v>
      </c>
      <c r="B203">
        <f t="shared" si="16"/>
        <v>7</v>
      </c>
      <c r="C203" t="s">
        <v>2713</v>
      </c>
      <c r="D203" t="s">
        <v>1810</v>
      </c>
      <c r="E203" t="s">
        <v>21</v>
      </c>
      <c r="F203" s="162">
        <v>19030.099999999999</v>
      </c>
      <c r="G203" t="s">
        <v>2646</v>
      </c>
      <c r="H203" s="163">
        <v>46026</v>
      </c>
      <c r="I203" s="163">
        <v>46477</v>
      </c>
      <c r="J203" s="163"/>
      <c r="K203" t="s">
        <v>2667</v>
      </c>
      <c r="L203" t="b">
        <v>0</v>
      </c>
      <c r="U203" t="str">
        <v>VPI Holding Ltd</v>
      </c>
      <c r="V203">
        <f t="shared" ca="1" si="17"/>
        <v>11071</v>
      </c>
      <c r="W203">
        <f t="shared" si="18"/>
        <v>9340</v>
      </c>
      <c r="X203">
        <f t="shared" si="19"/>
        <v>0</v>
      </c>
      <c r="Y203" s="181"/>
    </row>
    <row r="204" spans="1:25">
      <c r="A204" t="s">
        <v>155</v>
      </c>
      <c r="B204">
        <f t="shared" si="16"/>
        <v>7</v>
      </c>
      <c r="C204" t="s">
        <v>2713</v>
      </c>
      <c r="D204" t="s">
        <v>2653</v>
      </c>
      <c r="E204" t="s">
        <v>20</v>
      </c>
      <c r="F204" s="162">
        <v>19652.43</v>
      </c>
      <c r="G204" t="s">
        <v>2646</v>
      </c>
      <c r="H204" s="163">
        <v>46026</v>
      </c>
      <c r="I204" s="163">
        <v>46477</v>
      </c>
      <c r="J204" s="163"/>
      <c r="K204" t="s">
        <v>2667</v>
      </c>
      <c r="L204" t="b">
        <v>0</v>
      </c>
      <c r="U204" t="str">
        <v>VPI Power Ltd</v>
      </c>
      <c r="V204">
        <f t="shared" ca="1" si="17"/>
        <v>13632</v>
      </c>
      <c r="W204">
        <f t="shared" si="18"/>
        <v>0</v>
      </c>
      <c r="X204">
        <f t="shared" si="19"/>
        <v>11685</v>
      </c>
      <c r="Y204" s="181"/>
    </row>
    <row r="205" spans="1:25">
      <c r="A205" t="s">
        <v>155</v>
      </c>
      <c r="B205">
        <f t="shared" si="16"/>
        <v>7</v>
      </c>
      <c r="C205" t="s">
        <v>2713</v>
      </c>
      <c r="D205" t="s">
        <v>1808</v>
      </c>
      <c r="E205" t="s">
        <v>25</v>
      </c>
      <c r="F205" s="162">
        <v>8297.6939999999995</v>
      </c>
      <c r="G205" t="s">
        <v>2646</v>
      </c>
      <c r="H205" s="163">
        <v>46026</v>
      </c>
      <c r="I205" s="163">
        <v>46477</v>
      </c>
      <c r="J205" s="163"/>
      <c r="K205" t="s">
        <v>2667</v>
      </c>
      <c r="L205" t="b">
        <v>0</v>
      </c>
      <c r="U205" t="str">
        <v>Wales and West Utilities Ltd</v>
      </c>
      <c r="V205">
        <f t="shared" ca="1" si="17"/>
        <v>18487</v>
      </c>
      <c r="W205">
        <f t="shared" si="18"/>
        <v>21571</v>
      </c>
      <c r="X205">
        <f t="shared" si="19"/>
        <v>0</v>
      </c>
      <c r="Y205" s="181"/>
    </row>
    <row r="206" spans="1:25">
      <c r="A206" t="s">
        <v>155</v>
      </c>
      <c r="B206">
        <f t="shared" si="16"/>
        <v>7</v>
      </c>
      <c r="C206" t="s">
        <v>2713</v>
      </c>
      <c r="D206" t="s">
        <v>1819</v>
      </c>
      <c r="E206" t="s">
        <v>25</v>
      </c>
      <c r="F206" s="162">
        <v>8297.6939999999995</v>
      </c>
      <c r="G206" t="s">
        <v>2646</v>
      </c>
      <c r="H206" s="163">
        <v>46026</v>
      </c>
      <c r="I206" s="163">
        <v>46477</v>
      </c>
      <c r="J206" s="163"/>
      <c r="K206" t="s">
        <v>2667</v>
      </c>
      <c r="L206" t="b">
        <v>0</v>
      </c>
      <c r="U206" t="str">
        <v>West Mercia Energy</v>
      </c>
      <c r="V206">
        <f t="shared" ca="1" si="17"/>
        <v>6750</v>
      </c>
      <c r="W206">
        <f t="shared" si="18"/>
        <v>0</v>
      </c>
      <c r="X206">
        <f t="shared" si="19"/>
        <v>13632</v>
      </c>
      <c r="Y206" s="181"/>
    </row>
    <row r="207" spans="1:25">
      <c r="A207" t="s">
        <v>155</v>
      </c>
      <c r="B207">
        <f t="shared" si="16"/>
        <v>7</v>
      </c>
      <c r="C207" t="s">
        <v>2713</v>
      </c>
      <c r="D207" t="s">
        <v>1826</v>
      </c>
      <c r="E207" t="s">
        <v>25</v>
      </c>
      <c r="F207" s="162">
        <v>8297.6939999999995</v>
      </c>
      <c r="G207" t="s">
        <v>2646</v>
      </c>
      <c r="H207" s="163">
        <v>46026</v>
      </c>
      <c r="I207" s="163">
        <v>46477</v>
      </c>
      <c r="J207" s="163"/>
      <c r="K207" t="s">
        <v>2667</v>
      </c>
      <c r="L207" t="b">
        <v>0</v>
      </c>
      <c r="U207" t="str">
        <v>West of England Combined Authority</v>
      </c>
      <c r="V207">
        <f t="shared" ca="1" si="17"/>
        <v>26340</v>
      </c>
      <c r="W207">
        <f t="shared" si="18"/>
        <v>0</v>
      </c>
      <c r="X207">
        <f t="shared" si="19"/>
        <v>18487</v>
      </c>
      <c r="Y207" s="181"/>
    </row>
    <row r="208" spans="1:25">
      <c r="A208" t="s">
        <v>155</v>
      </c>
      <c r="B208">
        <f t="shared" si="16"/>
        <v>7</v>
      </c>
      <c r="C208" t="s">
        <v>2713</v>
      </c>
      <c r="D208" t="s">
        <v>1833</v>
      </c>
      <c r="E208" t="s">
        <v>25</v>
      </c>
      <c r="F208" s="162">
        <v>8297.6939999999995</v>
      </c>
      <c r="G208" t="s">
        <v>2646</v>
      </c>
      <c r="H208" s="163">
        <v>46026</v>
      </c>
      <c r="I208" s="163">
        <v>46477</v>
      </c>
      <c r="J208" s="163"/>
      <c r="K208" t="s">
        <v>2667</v>
      </c>
      <c r="L208" t="b">
        <v>0</v>
      </c>
      <c r="U208" t="str">
        <v>White &amp; Case LLP</v>
      </c>
      <c r="V208">
        <f t="shared" ca="1" si="17"/>
        <v>7565</v>
      </c>
      <c r="W208">
        <f t="shared" si="18"/>
        <v>6750</v>
      </c>
      <c r="X208">
        <f t="shared" si="19"/>
        <v>0</v>
      </c>
      <c r="Y208" s="181"/>
    </row>
    <row r="209" spans="1:25">
      <c r="A209" t="s">
        <v>155</v>
      </c>
      <c r="B209">
        <f t="shared" si="16"/>
        <v>7</v>
      </c>
      <c r="C209" t="s">
        <v>2713</v>
      </c>
      <c r="D209" t="s">
        <v>1838</v>
      </c>
      <c r="E209" t="s">
        <v>25</v>
      </c>
      <c r="F209" s="162">
        <v>8297.6939999999995</v>
      </c>
      <c r="G209" t="s">
        <v>2646</v>
      </c>
      <c r="H209" s="163">
        <v>46026</v>
      </c>
      <c r="I209" s="163">
        <v>46477</v>
      </c>
      <c r="J209" s="163"/>
      <c r="K209" t="s">
        <v>2667</v>
      </c>
      <c r="L209" t="b">
        <v>0</v>
      </c>
      <c r="U209" t="str">
        <v>Windcluster 2000 Ltd</v>
      </c>
      <c r="V209">
        <f t="shared" ca="1" si="17"/>
        <v>12500</v>
      </c>
      <c r="W209">
        <f t="shared" si="18"/>
        <v>0</v>
      </c>
      <c r="X209">
        <f t="shared" si="19"/>
        <v>6990</v>
      </c>
      <c r="Y209" s="181"/>
    </row>
    <row r="210" spans="1:25">
      <c r="A210" t="s">
        <v>2006</v>
      </c>
      <c r="B210">
        <f t="shared" si="16"/>
        <v>10</v>
      </c>
      <c r="C210" t="s">
        <v>2714</v>
      </c>
      <c r="D210" t="s">
        <v>1810</v>
      </c>
      <c r="E210" t="s">
        <v>21</v>
      </c>
      <c r="F210" s="162">
        <v>10105.3883333333</v>
      </c>
      <c r="G210" t="s">
        <v>2646</v>
      </c>
      <c r="H210" s="163">
        <v>46026</v>
      </c>
      <c r="I210" s="163">
        <v>46477</v>
      </c>
      <c r="J210" s="163"/>
      <c r="K210" t="s">
        <v>2667</v>
      </c>
      <c r="L210" t="b">
        <v>0</v>
      </c>
      <c r="U210" t="str">
        <v>Xela Energy Ltd</v>
      </c>
      <c r="V210">
        <f t="shared" ca="1" si="17"/>
        <v>10000</v>
      </c>
      <c r="W210">
        <f t="shared" si="18"/>
        <v>0</v>
      </c>
      <c r="X210">
        <f t="shared" si="19"/>
        <v>19350</v>
      </c>
      <c r="Y210" s="181"/>
    </row>
    <row r="211" spans="1:25">
      <c r="A211" t="s">
        <v>2006</v>
      </c>
      <c r="B211">
        <f t="shared" si="16"/>
        <v>10</v>
      </c>
      <c r="C211" t="s">
        <v>2714</v>
      </c>
      <c r="D211" t="s">
        <v>1821</v>
      </c>
      <c r="E211" t="s">
        <v>21</v>
      </c>
      <c r="F211" s="162">
        <v>10105.3883333333</v>
      </c>
      <c r="G211" t="s">
        <v>2646</v>
      </c>
      <c r="H211" s="163">
        <v>46026</v>
      </c>
      <c r="I211" s="163">
        <v>46477</v>
      </c>
      <c r="J211" s="163"/>
      <c r="K211" t="s">
        <v>2667</v>
      </c>
      <c r="L211" t="b">
        <v>0</v>
      </c>
      <c r="U211" t="str">
        <v>Xoserve Limited</v>
      </c>
      <c r="V211">
        <f t="shared" ca="1" si="17"/>
        <v>12000</v>
      </c>
      <c r="W211">
        <f t="shared" si="18"/>
        <v>7565</v>
      </c>
      <c r="X211">
        <f t="shared" si="19"/>
        <v>0</v>
      </c>
      <c r="Y211" s="181"/>
    </row>
    <row r="212" spans="1:25">
      <c r="A212" t="s">
        <v>2006</v>
      </c>
      <c r="B212">
        <f t="shared" si="16"/>
        <v>10</v>
      </c>
      <c r="C212" t="s">
        <v>2714</v>
      </c>
      <c r="D212" t="s">
        <v>1828</v>
      </c>
      <c r="E212" t="s">
        <v>21</v>
      </c>
      <c r="F212" s="162">
        <v>10105.3883333333</v>
      </c>
      <c r="G212" t="s">
        <v>2646</v>
      </c>
      <c r="H212" s="163">
        <v>46026</v>
      </c>
      <c r="I212" s="163">
        <v>46477</v>
      </c>
      <c r="J212" s="163"/>
      <c r="K212" t="s">
        <v>2667</v>
      </c>
      <c r="L212" t="b">
        <v>0</v>
      </c>
      <c r="U212" t="str">
        <v>YnNi Teg</v>
      </c>
      <c r="V212">
        <f t="shared" ca="1" si="17"/>
        <v>13000</v>
      </c>
      <c r="W212">
        <f t="shared" si="18"/>
        <v>0</v>
      </c>
      <c r="X212">
        <f t="shared" si="19"/>
        <v>12500</v>
      </c>
      <c r="Y212" s="181"/>
    </row>
    <row r="213" spans="1:25">
      <c r="A213" t="s">
        <v>2006</v>
      </c>
      <c r="B213">
        <f t="shared" si="16"/>
        <v>10</v>
      </c>
      <c r="C213" t="s">
        <v>2714</v>
      </c>
      <c r="D213" t="s">
        <v>1835</v>
      </c>
      <c r="E213" t="s">
        <v>21</v>
      </c>
      <c r="F213" s="162">
        <v>10105.3883333333</v>
      </c>
      <c r="G213" t="s">
        <v>2646</v>
      </c>
      <c r="H213" s="163">
        <v>46026</v>
      </c>
      <c r="I213" s="163">
        <v>46477</v>
      </c>
      <c r="J213" s="163"/>
      <c r="K213" t="s">
        <v>2667</v>
      </c>
      <c r="L213" t="b">
        <v>0</v>
      </c>
      <c r="U213" t="str">
        <v>Yorkshire Gas and Power</v>
      </c>
      <c r="V213">
        <f t="shared" ca="1" si="17"/>
        <v>18361</v>
      </c>
      <c r="W213">
        <f t="shared" si="18"/>
        <v>0</v>
      </c>
      <c r="X213">
        <f t="shared" si="19"/>
        <v>10000</v>
      </c>
      <c r="Y213" s="181"/>
    </row>
    <row r="214" spans="1:25">
      <c r="A214" t="s">
        <v>2006</v>
      </c>
      <c r="B214">
        <f t="shared" si="16"/>
        <v>10</v>
      </c>
      <c r="C214" t="s">
        <v>2714</v>
      </c>
      <c r="D214" t="s">
        <v>1841</v>
      </c>
      <c r="E214" t="s">
        <v>21</v>
      </c>
      <c r="F214" s="162">
        <v>10105.3883333333</v>
      </c>
      <c r="G214" t="s">
        <v>2646</v>
      </c>
      <c r="H214" s="163">
        <v>46026</v>
      </c>
      <c r="I214" s="163">
        <v>46477</v>
      </c>
      <c r="J214" s="163"/>
      <c r="K214" t="s">
        <v>2667</v>
      </c>
      <c r="L214" t="b">
        <v>0</v>
      </c>
      <c r="U214" t="str">
        <v>Yorkshire Water Services Limited</v>
      </c>
      <c r="V214">
        <f t="shared" ca="1" si="17"/>
        <v>8000</v>
      </c>
      <c r="W214">
        <f t="shared" si="18"/>
        <v>0</v>
      </c>
      <c r="X214">
        <f t="shared" si="19"/>
        <v>14361</v>
      </c>
      <c r="Y214" s="181"/>
    </row>
    <row r="215" spans="1:25">
      <c r="A215" t="s">
        <v>2006</v>
      </c>
      <c r="B215">
        <f t="shared" si="16"/>
        <v>10</v>
      </c>
      <c r="C215" t="s">
        <v>2714</v>
      </c>
      <c r="D215" t="s">
        <v>1843</v>
      </c>
      <c r="E215" t="s">
        <v>21</v>
      </c>
      <c r="F215" s="162">
        <v>10105.3883333333</v>
      </c>
      <c r="G215" t="s">
        <v>2646</v>
      </c>
      <c r="H215" s="163">
        <v>46026</v>
      </c>
      <c r="I215" s="163">
        <v>46477</v>
      </c>
      <c r="J215" s="163"/>
      <c r="K215" t="s">
        <v>2667</v>
      </c>
      <c r="L215" t="b">
        <v>0</v>
      </c>
      <c r="U215" t="str">
        <v>Yü Energy Retail Limited</v>
      </c>
      <c r="V215">
        <f t="shared" ca="1" si="17"/>
        <v>125964.99999999996</v>
      </c>
      <c r="W215">
        <f t="shared" si="18"/>
        <v>0</v>
      </c>
      <c r="X215">
        <f t="shared" si="19"/>
        <v>48573.999999999985</v>
      </c>
      <c r="Y215" s="181"/>
    </row>
    <row r="216" spans="1:25">
      <c r="A216" t="s">
        <v>2006</v>
      </c>
      <c r="B216">
        <f t="shared" si="16"/>
        <v>10</v>
      </c>
      <c r="C216" t="s">
        <v>2714</v>
      </c>
      <c r="D216" t="s">
        <v>1816</v>
      </c>
      <c r="E216" t="s">
        <v>1931</v>
      </c>
      <c r="F216" s="162">
        <v>17526.650000000001</v>
      </c>
      <c r="G216" t="s">
        <v>2646</v>
      </c>
      <c r="H216" s="163">
        <v>46026</v>
      </c>
      <c r="I216" s="163">
        <v>46477</v>
      </c>
      <c r="J216" s="163"/>
      <c r="K216" t="s">
        <v>2667</v>
      </c>
      <c r="L216" t="b">
        <v>0</v>
      </c>
      <c r="U216" t="str">
        <v>Zenergi Limited</v>
      </c>
      <c r="V216">
        <f t="shared" ca="1" si="17"/>
        <v>5724</v>
      </c>
      <c r="W216">
        <f t="shared" si="18"/>
        <v>0</v>
      </c>
      <c r="X216">
        <f t="shared" si="19"/>
        <v>18938</v>
      </c>
      <c r="Y216" s="181"/>
    </row>
    <row r="217" spans="1:25">
      <c r="A217" t="s">
        <v>2006</v>
      </c>
      <c r="B217">
        <f t="shared" si="16"/>
        <v>10</v>
      </c>
      <c r="C217" t="s">
        <v>2714</v>
      </c>
      <c r="D217" t="s">
        <v>2653</v>
      </c>
      <c r="E217" t="s">
        <v>20</v>
      </c>
      <c r="F217" s="162">
        <v>16579.150000000001</v>
      </c>
      <c r="G217" t="s">
        <v>2646</v>
      </c>
      <c r="H217" s="163">
        <v>46026</v>
      </c>
      <c r="I217" s="163">
        <v>46477</v>
      </c>
      <c r="J217" s="163"/>
      <c r="K217" t="s">
        <v>2667</v>
      </c>
      <c r="L217" t="b">
        <v>0</v>
      </c>
      <c r="U217" t="str">
        <v>Zero Trace Procurement Limited</v>
      </c>
      <c r="V217">
        <f t="shared" ca="1" si="17"/>
        <v>0</v>
      </c>
      <c r="W217">
        <f t="shared" si="18"/>
        <v>21677</v>
      </c>
      <c r="X217">
        <f t="shared" si="19"/>
        <v>0</v>
      </c>
      <c r="Y217" s="181"/>
    </row>
    <row r="218" spans="1:25">
      <c r="A218" t="s">
        <v>2006</v>
      </c>
      <c r="B218">
        <f t="shared" si="16"/>
        <v>10</v>
      </c>
      <c r="C218" t="s">
        <v>2714</v>
      </c>
      <c r="D218" t="s">
        <v>1829</v>
      </c>
      <c r="E218" t="s">
        <v>23</v>
      </c>
      <c r="F218" s="162">
        <v>15098.73</v>
      </c>
      <c r="G218" t="s">
        <v>2646</v>
      </c>
      <c r="H218" s="163">
        <v>46026</v>
      </c>
      <c r="I218" s="163">
        <v>46477</v>
      </c>
      <c r="J218" s="163"/>
      <c r="K218" t="s">
        <v>2667</v>
      </c>
      <c r="L218" t="b">
        <v>0</v>
      </c>
    </row>
    <row r="219" spans="1:25">
      <c r="A219" t="s">
        <v>2006</v>
      </c>
      <c r="B219">
        <f t="shared" si="16"/>
        <v>10</v>
      </c>
      <c r="C219" t="s">
        <v>2714</v>
      </c>
      <c r="D219" t="s">
        <v>1823</v>
      </c>
      <c r="E219" t="s">
        <v>21</v>
      </c>
      <c r="F219" s="162">
        <v>36474.14</v>
      </c>
      <c r="G219" t="s">
        <v>2646</v>
      </c>
      <c r="H219" s="163">
        <v>46026</v>
      </c>
      <c r="I219" s="163">
        <v>46477</v>
      </c>
      <c r="J219" s="163"/>
      <c r="K219" t="s">
        <v>2667</v>
      </c>
      <c r="L219" t="b">
        <v>0</v>
      </c>
    </row>
    <row r="220" spans="1:25">
      <c r="A220" t="s">
        <v>960</v>
      </c>
      <c r="B220">
        <f t="shared" si="16"/>
        <v>0</v>
      </c>
      <c r="C220" t="s">
        <v>2715</v>
      </c>
      <c r="D220" t="s">
        <v>1829</v>
      </c>
      <c r="E220" t="s">
        <v>23</v>
      </c>
      <c r="F220" s="162">
        <v>18000</v>
      </c>
      <c r="G220" t="s">
        <v>2646</v>
      </c>
      <c r="H220" s="163">
        <v>46026</v>
      </c>
      <c r="I220" s="163">
        <v>46477</v>
      </c>
      <c r="J220" s="163"/>
      <c r="K220" t="s">
        <v>2643</v>
      </c>
      <c r="L220" t="b">
        <v>0</v>
      </c>
    </row>
    <row r="221" spans="1:25">
      <c r="A221" t="s">
        <v>2011</v>
      </c>
      <c r="B221">
        <f t="shared" si="16"/>
        <v>0</v>
      </c>
      <c r="C221" t="s">
        <v>2716</v>
      </c>
      <c r="D221" t="s">
        <v>1874</v>
      </c>
      <c r="E221" t="s">
        <v>2717</v>
      </c>
      <c r="F221" s="162">
        <v>15000</v>
      </c>
      <c r="G221" t="s">
        <v>2646</v>
      </c>
      <c r="H221" s="163">
        <v>46026</v>
      </c>
      <c r="I221" s="163">
        <v>46477</v>
      </c>
      <c r="J221" s="163"/>
      <c r="K221" t="s">
        <v>2647</v>
      </c>
      <c r="L221" t="b">
        <v>0</v>
      </c>
    </row>
    <row r="222" spans="1:25">
      <c r="A222" t="s">
        <v>97</v>
      </c>
      <c r="B222">
        <f t="shared" si="16"/>
        <v>18</v>
      </c>
      <c r="C222" t="s">
        <v>2718</v>
      </c>
      <c r="D222" t="s">
        <v>2653</v>
      </c>
      <c r="E222" t="s">
        <v>20</v>
      </c>
      <c r="F222" s="162">
        <v>3952.23</v>
      </c>
      <c r="G222" t="s">
        <v>2646</v>
      </c>
      <c r="H222" s="163">
        <v>45663</v>
      </c>
      <c r="I222" s="163">
        <v>46173</v>
      </c>
      <c r="J222" s="163"/>
      <c r="K222" t="s">
        <v>2667</v>
      </c>
      <c r="L222" t="b">
        <v>0</v>
      </c>
    </row>
    <row r="223" spans="1:25">
      <c r="A223" t="s">
        <v>97</v>
      </c>
      <c r="B223">
        <f t="shared" si="16"/>
        <v>18</v>
      </c>
      <c r="C223" t="s">
        <v>2718</v>
      </c>
      <c r="D223" t="s">
        <v>1810</v>
      </c>
      <c r="E223" t="s">
        <v>21</v>
      </c>
      <c r="F223" s="162">
        <v>4787.8149999999996</v>
      </c>
      <c r="G223" t="s">
        <v>2646</v>
      </c>
      <c r="H223" s="163">
        <v>45663</v>
      </c>
      <c r="I223" s="163">
        <v>46173</v>
      </c>
      <c r="J223" s="163"/>
      <c r="K223" t="s">
        <v>2667</v>
      </c>
      <c r="L223" t="b">
        <v>0</v>
      </c>
    </row>
    <row r="224" spans="1:25">
      <c r="A224" t="s">
        <v>97</v>
      </c>
      <c r="B224">
        <f t="shared" si="16"/>
        <v>18</v>
      </c>
      <c r="C224" t="s">
        <v>2718</v>
      </c>
      <c r="D224" t="s">
        <v>1821</v>
      </c>
      <c r="E224" t="s">
        <v>21</v>
      </c>
      <c r="F224" s="162">
        <v>4787.8149999999996</v>
      </c>
      <c r="G224" t="s">
        <v>2646</v>
      </c>
      <c r="H224" s="163">
        <v>45663</v>
      </c>
      <c r="I224" s="163">
        <v>46173</v>
      </c>
      <c r="J224" s="163"/>
      <c r="K224" t="s">
        <v>2667</v>
      </c>
      <c r="L224" t="b">
        <v>0</v>
      </c>
    </row>
    <row r="225" spans="1:12">
      <c r="A225" t="s">
        <v>97</v>
      </c>
      <c r="B225">
        <f t="shared" si="16"/>
        <v>18</v>
      </c>
      <c r="C225" t="s">
        <v>2718</v>
      </c>
      <c r="D225" t="s">
        <v>1828</v>
      </c>
      <c r="E225" t="s">
        <v>21</v>
      </c>
      <c r="F225" s="162">
        <v>4787.8149999999996</v>
      </c>
      <c r="G225" t="s">
        <v>2646</v>
      </c>
      <c r="H225" s="163">
        <v>45663</v>
      </c>
      <c r="I225" s="163">
        <v>46173</v>
      </c>
      <c r="J225" s="163"/>
      <c r="K225" t="s">
        <v>2667</v>
      </c>
      <c r="L225" t="b">
        <v>0</v>
      </c>
    </row>
    <row r="226" spans="1:12">
      <c r="A226" t="s">
        <v>97</v>
      </c>
      <c r="B226">
        <f t="shared" si="16"/>
        <v>18</v>
      </c>
      <c r="C226" t="s">
        <v>2718</v>
      </c>
      <c r="D226" t="s">
        <v>1835</v>
      </c>
      <c r="E226" t="s">
        <v>21</v>
      </c>
      <c r="F226" s="162">
        <v>4787.8149999999996</v>
      </c>
      <c r="G226" t="s">
        <v>2646</v>
      </c>
      <c r="H226" s="163">
        <v>45663</v>
      </c>
      <c r="I226" s="163">
        <v>46173</v>
      </c>
      <c r="J226" s="163"/>
      <c r="K226" t="s">
        <v>2667</v>
      </c>
      <c r="L226" t="b">
        <v>0</v>
      </c>
    </row>
    <row r="227" spans="1:12">
      <c r="A227" t="s">
        <v>97</v>
      </c>
      <c r="B227">
        <f t="shared" si="16"/>
        <v>18</v>
      </c>
      <c r="C227" t="s">
        <v>2718</v>
      </c>
      <c r="D227" t="s">
        <v>1841</v>
      </c>
      <c r="E227" t="s">
        <v>21</v>
      </c>
      <c r="F227" s="162">
        <v>4787.8149999999996</v>
      </c>
      <c r="G227" t="s">
        <v>2646</v>
      </c>
      <c r="H227" s="163">
        <v>45663</v>
      </c>
      <c r="I227" s="163">
        <v>46173</v>
      </c>
      <c r="J227" s="163"/>
      <c r="K227" t="s">
        <v>2667</v>
      </c>
      <c r="L227" t="b">
        <v>0</v>
      </c>
    </row>
    <row r="228" spans="1:12">
      <c r="A228" t="s">
        <v>97</v>
      </c>
      <c r="B228">
        <f t="shared" si="16"/>
        <v>18</v>
      </c>
      <c r="C228" t="s">
        <v>2718</v>
      </c>
      <c r="D228" t="s">
        <v>1843</v>
      </c>
      <c r="E228" t="s">
        <v>21</v>
      </c>
      <c r="F228" s="162">
        <v>4787.8149999999996</v>
      </c>
      <c r="G228" t="s">
        <v>2646</v>
      </c>
      <c r="H228" s="163">
        <v>45663</v>
      </c>
      <c r="I228" s="163">
        <v>46173</v>
      </c>
      <c r="J228" s="163"/>
      <c r="K228" t="s">
        <v>2667</v>
      </c>
      <c r="L228" t="b">
        <v>0</v>
      </c>
    </row>
    <row r="229" spans="1:12">
      <c r="A229" t="s">
        <v>97</v>
      </c>
      <c r="B229">
        <f t="shared" si="16"/>
        <v>18</v>
      </c>
      <c r="C229" t="s">
        <v>2718</v>
      </c>
      <c r="D229" t="s">
        <v>1808</v>
      </c>
      <c r="E229" t="s">
        <v>25</v>
      </c>
      <c r="F229" s="162">
        <v>3227.6579999999999</v>
      </c>
      <c r="G229" t="s">
        <v>2646</v>
      </c>
      <c r="H229" s="163">
        <v>45663</v>
      </c>
      <c r="I229" s="163">
        <v>46173</v>
      </c>
      <c r="J229" s="163"/>
      <c r="K229" t="s">
        <v>2667</v>
      </c>
      <c r="L229" t="b">
        <v>0</v>
      </c>
    </row>
    <row r="230" spans="1:12">
      <c r="A230" t="s">
        <v>97</v>
      </c>
      <c r="B230">
        <f t="shared" si="16"/>
        <v>18</v>
      </c>
      <c r="C230" t="s">
        <v>2718</v>
      </c>
      <c r="D230" t="s">
        <v>1819</v>
      </c>
      <c r="E230" t="s">
        <v>25</v>
      </c>
      <c r="F230" s="162">
        <v>3227.6579999999999</v>
      </c>
      <c r="G230" t="s">
        <v>2646</v>
      </c>
      <c r="H230" s="163">
        <v>45663</v>
      </c>
      <c r="I230" s="163">
        <v>46173</v>
      </c>
      <c r="J230" s="163"/>
      <c r="K230" t="s">
        <v>2667</v>
      </c>
      <c r="L230" t="b">
        <v>0</v>
      </c>
    </row>
    <row r="231" spans="1:12">
      <c r="A231" t="s">
        <v>97</v>
      </c>
      <c r="B231">
        <f t="shared" si="16"/>
        <v>18</v>
      </c>
      <c r="C231" t="s">
        <v>2718</v>
      </c>
      <c r="D231" t="s">
        <v>1826</v>
      </c>
      <c r="E231" t="s">
        <v>25</v>
      </c>
      <c r="F231" s="162">
        <v>3227.6579999999999</v>
      </c>
      <c r="G231" t="s">
        <v>2646</v>
      </c>
      <c r="H231" s="163">
        <v>45663</v>
      </c>
      <c r="I231" s="163">
        <v>46173</v>
      </c>
      <c r="J231" s="163"/>
      <c r="K231" t="s">
        <v>2667</v>
      </c>
      <c r="L231" t="b">
        <v>0</v>
      </c>
    </row>
    <row r="232" spans="1:12">
      <c r="A232" t="s">
        <v>97</v>
      </c>
      <c r="B232">
        <f t="shared" si="16"/>
        <v>18</v>
      </c>
      <c r="C232" t="s">
        <v>2718</v>
      </c>
      <c r="D232" t="s">
        <v>1833</v>
      </c>
      <c r="E232" t="s">
        <v>25</v>
      </c>
      <c r="F232" s="162">
        <v>3227.6579999999999</v>
      </c>
      <c r="G232" t="s">
        <v>2646</v>
      </c>
      <c r="H232" s="163">
        <v>45663</v>
      </c>
      <c r="I232" s="163">
        <v>46173</v>
      </c>
      <c r="J232" s="163"/>
      <c r="K232" t="s">
        <v>2667</v>
      </c>
      <c r="L232" t="b">
        <v>0</v>
      </c>
    </row>
    <row r="233" spans="1:12">
      <c r="A233" t="s">
        <v>97</v>
      </c>
      <c r="B233">
        <f t="shared" si="16"/>
        <v>18</v>
      </c>
      <c r="C233" t="s">
        <v>2718</v>
      </c>
      <c r="D233" t="s">
        <v>1838</v>
      </c>
      <c r="E233" t="s">
        <v>25</v>
      </c>
      <c r="F233" s="162">
        <v>3227.6579999999999</v>
      </c>
      <c r="G233" t="s">
        <v>2646</v>
      </c>
      <c r="H233" s="163">
        <v>45663</v>
      </c>
      <c r="I233" s="163">
        <v>46173</v>
      </c>
      <c r="J233" s="163"/>
      <c r="K233" t="s">
        <v>2667</v>
      </c>
      <c r="L233" t="b">
        <v>0</v>
      </c>
    </row>
    <row r="234" spans="1:12">
      <c r="A234" t="s">
        <v>97</v>
      </c>
      <c r="B234">
        <f t="shared" si="16"/>
        <v>18</v>
      </c>
      <c r="C234" t="s">
        <v>2718</v>
      </c>
      <c r="D234" t="s">
        <v>1814</v>
      </c>
      <c r="E234" t="s">
        <v>1695</v>
      </c>
      <c r="F234" s="162">
        <v>6455.3159999999998</v>
      </c>
      <c r="G234" t="s">
        <v>2646</v>
      </c>
      <c r="H234" s="163">
        <v>45663</v>
      </c>
      <c r="I234" s="163">
        <v>46173</v>
      </c>
      <c r="J234" s="163"/>
      <c r="K234" t="s">
        <v>2667</v>
      </c>
      <c r="L234" t="b">
        <v>0</v>
      </c>
    </row>
    <row r="235" spans="1:12">
      <c r="A235" t="s">
        <v>97</v>
      </c>
      <c r="B235">
        <f t="shared" si="16"/>
        <v>18</v>
      </c>
      <c r="C235" t="s">
        <v>2718</v>
      </c>
      <c r="D235" t="s">
        <v>1824</v>
      </c>
      <c r="E235" t="s">
        <v>1695</v>
      </c>
      <c r="F235" s="162">
        <v>6455.3159999999998</v>
      </c>
      <c r="G235" t="s">
        <v>2646</v>
      </c>
      <c r="H235" s="163">
        <v>45663</v>
      </c>
      <c r="I235" s="163">
        <v>46173</v>
      </c>
      <c r="J235" s="163"/>
      <c r="K235" t="s">
        <v>2667</v>
      </c>
      <c r="L235" t="b">
        <v>0</v>
      </c>
    </row>
    <row r="236" spans="1:12">
      <c r="A236" t="s">
        <v>97</v>
      </c>
      <c r="B236">
        <f t="shared" si="16"/>
        <v>18</v>
      </c>
      <c r="C236" t="s">
        <v>2718</v>
      </c>
      <c r="D236" t="s">
        <v>1842</v>
      </c>
      <c r="E236" t="s">
        <v>1695</v>
      </c>
      <c r="F236" s="162">
        <v>6455.3159999999998</v>
      </c>
      <c r="G236" t="s">
        <v>2646</v>
      </c>
      <c r="H236" s="163">
        <v>45663</v>
      </c>
      <c r="I236" s="163">
        <v>46173</v>
      </c>
      <c r="J236" s="163"/>
      <c r="K236" t="s">
        <v>2667</v>
      </c>
      <c r="L236" t="b">
        <v>0</v>
      </c>
    </row>
    <row r="237" spans="1:12">
      <c r="A237" t="s">
        <v>97</v>
      </c>
      <c r="B237">
        <f t="shared" si="16"/>
        <v>18</v>
      </c>
      <c r="C237" t="s">
        <v>2718</v>
      </c>
      <c r="D237" t="s">
        <v>1851</v>
      </c>
      <c r="E237" t="s">
        <v>1695</v>
      </c>
      <c r="F237" s="162">
        <v>6455.3159999999998</v>
      </c>
      <c r="G237" t="s">
        <v>2646</v>
      </c>
      <c r="H237" s="163">
        <v>45663</v>
      </c>
      <c r="I237" s="163">
        <v>46173</v>
      </c>
      <c r="J237" s="163"/>
      <c r="K237" t="s">
        <v>2667</v>
      </c>
      <c r="L237" t="b">
        <v>0</v>
      </c>
    </row>
    <row r="238" spans="1:12">
      <c r="A238" t="s">
        <v>97</v>
      </c>
      <c r="B238">
        <f t="shared" si="16"/>
        <v>18</v>
      </c>
      <c r="C238" t="s">
        <v>2718</v>
      </c>
      <c r="D238" t="s">
        <v>1853</v>
      </c>
      <c r="E238" t="s">
        <v>1695</v>
      </c>
      <c r="F238" s="162">
        <v>6455.3159999999998</v>
      </c>
      <c r="G238" t="s">
        <v>2646</v>
      </c>
      <c r="H238" s="163">
        <v>45663</v>
      </c>
      <c r="I238" s="163">
        <v>46173</v>
      </c>
      <c r="J238" s="163"/>
      <c r="K238" t="s">
        <v>2667</v>
      </c>
      <c r="L238" t="b">
        <v>0</v>
      </c>
    </row>
    <row r="239" spans="1:12">
      <c r="A239" t="s">
        <v>97</v>
      </c>
      <c r="B239">
        <f t="shared" si="16"/>
        <v>18</v>
      </c>
      <c r="C239" t="s">
        <v>2718</v>
      </c>
      <c r="D239" t="s">
        <v>2719</v>
      </c>
      <c r="E239" t="s">
        <v>2701</v>
      </c>
      <c r="F239" s="162">
        <v>13906.01</v>
      </c>
      <c r="G239" t="s">
        <v>2646</v>
      </c>
      <c r="H239" s="163">
        <v>45663</v>
      </c>
      <c r="I239" s="163">
        <v>46173</v>
      </c>
      <c r="J239" s="163"/>
      <c r="K239" t="s">
        <v>2667</v>
      </c>
      <c r="L239" t="b">
        <v>0</v>
      </c>
    </row>
    <row r="240" spans="1:12">
      <c r="A240" t="s">
        <v>71</v>
      </c>
      <c r="B240">
        <f t="shared" si="16"/>
        <v>48</v>
      </c>
      <c r="C240" t="s">
        <v>2720</v>
      </c>
      <c r="D240" t="s">
        <v>1808</v>
      </c>
      <c r="E240" t="s">
        <v>25</v>
      </c>
      <c r="F240" s="162">
        <v>6100</v>
      </c>
      <c r="G240" t="s">
        <v>2646</v>
      </c>
      <c r="H240" s="163">
        <v>46023</v>
      </c>
      <c r="I240" s="163">
        <v>46387</v>
      </c>
      <c r="J240" s="163"/>
      <c r="K240" t="s">
        <v>2671</v>
      </c>
      <c r="L240" t="b">
        <v>0</v>
      </c>
    </row>
    <row r="241" spans="1:12">
      <c r="A241" t="s">
        <v>71</v>
      </c>
      <c r="B241">
        <f t="shared" si="16"/>
        <v>48</v>
      </c>
      <c r="C241" t="s">
        <v>2720</v>
      </c>
      <c r="D241" t="s">
        <v>1819</v>
      </c>
      <c r="E241" t="s">
        <v>25</v>
      </c>
      <c r="F241" s="162">
        <v>6100</v>
      </c>
      <c r="G241" t="s">
        <v>2646</v>
      </c>
      <c r="H241" s="163">
        <v>46023</v>
      </c>
      <c r="I241" s="163">
        <v>46387</v>
      </c>
      <c r="J241" s="163"/>
      <c r="K241" t="s">
        <v>2671</v>
      </c>
      <c r="L241" t="b">
        <v>0</v>
      </c>
    </row>
    <row r="242" spans="1:12">
      <c r="A242" t="s">
        <v>71</v>
      </c>
      <c r="B242">
        <f t="shared" si="16"/>
        <v>48</v>
      </c>
      <c r="C242" t="s">
        <v>2720</v>
      </c>
      <c r="D242" t="s">
        <v>1826</v>
      </c>
      <c r="E242" t="s">
        <v>25</v>
      </c>
      <c r="F242" s="162">
        <v>6100</v>
      </c>
      <c r="G242" t="s">
        <v>2646</v>
      </c>
      <c r="H242" s="163">
        <v>46023</v>
      </c>
      <c r="I242" s="163">
        <v>46387</v>
      </c>
      <c r="J242" s="163"/>
      <c r="K242" t="s">
        <v>2671</v>
      </c>
      <c r="L242" t="b">
        <v>0</v>
      </c>
    </row>
    <row r="243" spans="1:12">
      <c r="A243" t="s">
        <v>71</v>
      </c>
      <c r="B243">
        <f t="shared" si="16"/>
        <v>48</v>
      </c>
      <c r="C243" t="s">
        <v>2720</v>
      </c>
      <c r="D243" t="s">
        <v>1833</v>
      </c>
      <c r="E243" t="s">
        <v>25</v>
      </c>
      <c r="F243" s="162">
        <v>6100</v>
      </c>
      <c r="G243" t="s">
        <v>2646</v>
      </c>
      <c r="H243" s="163">
        <v>46023</v>
      </c>
      <c r="I243" s="163">
        <v>46387</v>
      </c>
      <c r="J243" s="163"/>
      <c r="K243" t="s">
        <v>2671</v>
      </c>
      <c r="L243" t="b">
        <v>0</v>
      </c>
    </row>
    <row r="244" spans="1:12">
      <c r="A244" t="s">
        <v>71</v>
      </c>
      <c r="B244">
        <f t="shared" si="16"/>
        <v>48</v>
      </c>
      <c r="C244" t="s">
        <v>2720</v>
      </c>
      <c r="D244" t="s">
        <v>1838</v>
      </c>
      <c r="E244" t="s">
        <v>25</v>
      </c>
      <c r="F244" s="162">
        <v>6100</v>
      </c>
      <c r="G244" t="s">
        <v>2646</v>
      </c>
      <c r="H244" s="163">
        <v>46023</v>
      </c>
      <c r="I244" s="163">
        <v>46387</v>
      </c>
      <c r="J244" s="163"/>
      <c r="K244" t="s">
        <v>2671</v>
      </c>
      <c r="L244" t="b">
        <v>0</v>
      </c>
    </row>
    <row r="245" spans="1:12">
      <c r="A245" t="s">
        <v>71</v>
      </c>
      <c r="B245">
        <f t="shared" si="16"/>
        <v>48</v>
      </c>
      <c r="C245" t="s">
        <v>2720</v>
      </c>
      <c r="D245" t="s">
        <v>1813</v>
      </c>
      <c r="E245" t="s">
        <v>21</v>
      </c>
      <c r="F245" s="162">
        <v>7000</v>
      </c>
      <c r="G245" t="s">
        <v>2646</v>
      </c>
      <c r="H245" s="163">
        <v>46023</v>
      </c>
      <c r="I245" s="163">
        <v>46387</v>
      </c>
      <c r="J245" s="163"/>
      <c r="K245" t="s">
        <v>2671</v>
      </c>
      <c r="L245" t="b">
        <v>0</v>
      </c>
    </row>
    <row r="246" spans="1:12">
      <c r="A246" t="s">
        <v>71</v>
      </c>
      <c r="B246">
        <f t="shared" si="16"/>
        <v>48</v>
      </c>
      <c r="C246" t="s">
        <v>2720</v>
      </c>
      <c r="D246" t="s">
        <v>1823</v>
      </c>
      <c r="E246" t="s">
        <v>21</v>
      </c>
      <c r="F246" s="162">
        <v>7000</v>
      </c>
      <c r="G246" t="s">
        <v>2646</v>
      </c>
      <c r="H246" s="163">
        <v>46023</v>
      </c>
      <c r="I246" s="163">
        <v>46387</v>
      </c>
      <c r="J246" s="163"/>
      <c r="K246" t="s">
        <v>2671</v>
      </c>
      <c r="L246" t="b">
        <v>0</v>
      </c>
    </row>
    <row r="247" spans="1:12">
      <c r="A247" t="s">
        <v>71</v>
      </c>
      <c r="B247">
        <f t="shared" si="16"/>
        <v>48</v>
      </c>
      <c r="C247" t="s">
        <v>2720</v>
      </c>
      <c r="D247" t="s">
        <v>1830</v>
      </c>
      <c r="E247" t="s">
        <v>21</v>
      </c>
      <c r="F247" s="162">
        <v>7000</v>
      </c>
      <c r="G247" t="s">
        <v>2646</v>
      </c>
      <c r="H247" s="163">
        <v>46023</v>
      </c>
      <c r="I247" s="163">
        <v>46387</v>
      </c>
      <c r="J247" s="163"/>
      <c r="K247" t="s">
        <v>2671</v>
      </c>
      <c r="L247" t="b">
        <v>0</v>
      </c>
    </row>
    <row r="248" spans="1:12">
      <c r="A248" t="s">
        <v>71</v>
      </c>
      <c r="B248">
        <f t="shared" si="16"/>
        <v>48</v>
      </c>
      <c r="C248" t="s">
        <v>2720</v>
      </c>
      <c r="D248" t="s">
        <v>1836</v>
      </c>
      <c r="E248" t="s">
        <v>21</v>
      </c>
      <c r="F248" s="162">
        <v>7000</v>
      </c>
      <c r="G248" t="s">
        <v>2646</v>
      </c>
      <c r="H248" s="163">
        <v>46023</v>
      </c>
      <c r="I248" s="163">
        <v>46387</v>
      </c>
      <c r="J248" s="163"/>
      <c r="K248" t="s">
        <v>2671</v>
      </c>
      <c r="L248" t="b">
        <v>0</v>
      </c>
    </row>
    <row r="249" spans="1:12">
      <c r="A249" t="s">
        <v>71</v>
      </c>
      <c r="B249">
        <f t="shared" si="16"/>
        <v>48</v>
      </c>
      <c r="C249" t="s">
        <v>2720</v>
      </c>
      <c r="D249" t="s">
        <v>1810</v>
      </c>
      <c r="E249" t="s">
        <v>21</v>
      </c>
      <c r="F249" s="162">
        <v>7916.6666666666697</v>
      </c>
      <c r="G249" t="s">
        <v>2646</v>
      </c>
      <c r="H249" s="163">
        <v>46023</v>
      </c>
      <c r="I249" s="163">
        <v>46387</v>
      </c>
      <c r="J249" s="163"/>
      <c r="K249" t="s">
        <v>2671</v>
      </c>
      <c r="L249" t="b">
        <v>0</v>
      </c>
    </row>
    <row r="250" spans="1:12">
      <c r="A250" t="s">
        <v>71</v>
      </c>
      <c r="B250">
        <f t="shared" si="16"/>
        <v>48</v>
      </c>
      <c r="C250" t="s">
        <v>2720</v>
      </c>
      <c r="D250" t="s">
        <v>1821</v>
      </c>
      <c r="E250" t="s">
        <v>21</v>
      </c>
      <c r="F250" s="162">
        <v>7916.6666666666697</v>
      </c>
      <c r="G250" t="s">
        <v>2646</v>
      </c>
      <c r="H250" s="163">
        <v>46023</v>
      </c>
      <c r="I250" s="163">
        <v>46387</v>
      </c>
      <c r="J250" s="163"/>
      <c r="K250" t="s">
        <v>2671</v>
      </c>
      <c r="L250" t="b">
        <v>0</v>
      </c>
    </row>
    <row r="251" spans="1:12">
      <c r="A251" t="s">
        <v>71</v>
      </c>
      <c r="B251">
        <f t="shared" si="16"/>
        <v>48</v>
      </c>
      <c r="C251" t="s">
        <v>2720</v>
      </c>
      <c r="D251" t="s">
        <v>1828</v>
      </c>
      <c r="E251" t="s">
        <v>21</v>
      </c>
      <c r="F251" s="162">
        <v>7916.6666666666697</v>
      </c>
      <c r="G251" t="s">
        <v>2646</v>
      </c>
      <c r="H251" s="163">
        <v>46023</v>
      </c>
      <c r="I251" s="163">
        <v>46387</v>
      </c>
      <c r="J251" s="163"/>
      <c r="K251" t="s">
        <v>2671</v>
      </c>
      <c r="L251" t="b">
        <v>0</v>
      </c>
    </row>
    <row r="252" spans="1:12">
      <c r="A252" t="s">
        <v>71</v>
      </c>
      <c r="B252">
        <f t="shared" si="16"/>
        <v>48</v>
      </c>
      <c r="C252" t="s">
        <v>2720</v>
      </c>
      <c r="D252" t="s">
        <v>1835</v>
      </c>
      <c r="E252" t="s">
        <v>21</v>
      </c>
      <c r="F252" s="162">
        <v>7916.6666666666697</v>
      </c>
      <c r="G252" t="s">
        <v>2646</v>
      </c>
      <c r="H252" s="163">
        <v>46023</v>
      </c>
      <c r="I252" s="163">
        <v>46387</v>
      </c>
      <c r="J252" s="163"/>
      <c r="K252" t="s">
        <v>2671</v>
      </c>
      <c r="L252" t="b">
        <v>0</v>
      </c>
    </row>
    <row r="253" spans="1:12">
      <c r="A253" t="s">
        <v>71</v>
      </c>
      <c r="B253">
        <f t="shared" si="16"/>
        <v>48</v>
      </c>
      <c r="C253" t="s">
        <v>2720</v>
      </c>
      <c r="D253" t="s">
        <v>1841</v>
      </c>
      <c r="E253" t="s">
        <v>21</v>
      </c>
      <c r="F253" s="162">
        <v>7916.6666666666697</v>
      </c>
      <c r="G253" t="s">
        <v>2646</v>
      </c>
      <c r="H253" s="163">
        <v>46023</v>
      </c>
      <c r="I253" s="163">
        <v>46387</v>
      </c>
      <c r="J253" s="163"/>
      <c r="K253" t="s">
        <v>2671</v>
      </c>
      <c r="L253" t="b">
        <v>0</v>
      </c>
    </row>
    <row r="254" spans="1:12">
      <c r="A254" t="s">
        <v>71</v>
      </c>
      <c r="B254">
        <f t="shared" si="16"/>
        <v>48</v>
      </c>
      <c r="C254" t="s">
        <v>2720</v>
      </c>
      <c r="D254" t="s">
        <v>1843</v>
      </c>
      <c r="E254" t="s">
        <v>21</v>
      </c>
      <c r="F254" s="162">
        <v>7916.6666666666697</v>
      </c>
      <c r="G254" t="s">
        <v>2646</v>
      </c>
      <c r="H254" s="163">
        <v>46023</v>
      </c>
      <c r="I254" s="163">
        <v>46387</v>
      </c>
      <c r="J254" s="163"/>
      <c r="K254" t="s">
        <v>2671</v>
      </c>
      <c r="L254" t="b">
        <v>0</v>
      </c>
    </row>
    <row r="255" spans="1:12">
      <c r="A255" t="s">
        <v>71</v>
      </c>
      <c r="B255">
        <f t="shared" si="16"/>
        <v>48</v>
      </c>
      <c r="C255" t="s">
        <v>2720</v>
      </c>
      <c r="D255" t="s">
        <v>1811</v>
      </c>
      <c r="E255" t="s">
        <v>23</v>
      </c>
      <c r="F255" s="162">
        <v>7633.3333333333303</v>
      </c>
      <c r="G255" t="s">
        <v>2646</v>
      </c>
      <c r="H255" s="163">
        <v>46023</v>
      </c>
      <c r="I255" s="163">
        <v>46387</v>
      </c>
      <c r="J255" s="163"/>
      <c r="K255" t="s">
        <v>2671</v>
      </c>
      <c r="L255" t="b">
        <v>0</v>
      </c>
    </row>
    <row r="256" spans="1:12">
      <c r="A256" t="s">
        <v>71</v>
      </c>
      <c r="B256">
        <f t="shared" si="16"/>
        <v>48</v>
      </c>
      <c r="C256" t="s">
        <v>2720</v>
      </c>
      <c r="D256" t="s">
        <v>1822</v>
      </c>
      <c r="E256" t="s">
        <v>23</v>
      </c>
      <c r="F256" s="162">
        <v>7633.3333333333303</v>
      </c>
      <c r="G256" t="s">
        <v>2646</v>
      </c>
      <c r="H256" s="163">
        <v>46023</v>
      </c>
      <c r="I256" s="163">
        <v>46387</v>
      </c>
      <c r="J256" s="163"/>
      <c r="K256" t="s">
        <v>2671</v>
      </c>
      <c r="L256" t="b">
        <v>0</v>
      </c>
    </row>
    <row r="257" spans="1:12">
      <c r="A257" t="s">
        <v>71</v>
      </c>
      <c r="B257">
        <f t="shared" si="16"/>
        <v>48</v>
      </c>
      <c r="C257" t="s">
        <v>2720</v>
      </c>
      <c r="D257" t="s">
        <v>1829</v>
      </c>
      <c r="E257" t="s">
        <v>23</v>
      </c>
      <c r="F257" s="162">
        <v>7633.3333333333303</v>
      </c>
      <c r="G257" t="s">
        <v>2646</v>
      </c>
      <c r="H257" s="163">
        <v>46023</v>
      </c>
      <c r="I257" s="163">
        <v>46387</v>
      </c>
      <c r="J257" s="163"/>
      <c r="K257" t="s">
        <v>2671</v>
      </c>
      <c r="L257" t="b">
        <v>0</v>
      </c>
    </row>
    <row r="258" spans="1:12">
      <c r="A258" t="s">
        <v>71</v>
      </c>
      <c r="B258">
        <f t="shared" si="16"/>
        <v>48</v>
      </c>
      <c r="C258" t="s">
        <v>2720</v>
      </c>
      <c r="D258" t="s">
        <v>1816</v>
      </c>
      <c r="E258" t="s">
        <v>1931</v>
      </c>
      <c r="F258" s="162">
        <v>13500</v>
      </c>
      <c r="G258" t="s">
        <v>2646</v>
      </c>
      <c r="H258" s="163">
        <v>46023</v>
      </c>
      <c r="I258" s="163">
        <v>46387</v>
      </c>
      <c r="J258" s="163"/>
      <c r="K258" t="s">
        <v>2671</v>
      </c>
      <c r="L258" t="b">
        <v>0</v>
      </c>
    </row>
    <row r="259" spans="1:12">
      <c r="A259" t="s">
        <v>71</v>
      </c>
      <c r="B259">
        <f t="shared" ref="B259:B322" si="20">IF(COUNTIFS($A$2:$A$1053,A259,$E$2:$E$1053,"Industry Essentials")&gt;0, COUNTIF($A$2:$A$1053,A259), 0)</f>
        <v>48</v>
      </c>
      <c r="C259" t="s">
        <v>2720</v>
      </c>
      <c r="D259" t="s">
        <v>1797</v>
      </c>
      <c r="E259" t="s">
        <v>29</v>
      </c>
      <c r="F259" s="162">
        <v>6100</v>
      </c>
      <c r="G259" t="s">
        <v>2646</v>
      </c>
      <c r="H259" s="163">
        <v>46023</v>
      </c>
      <c r="I259" s="163">
        <v>46387</v>
      </c>
      <c r="J259" s="163"/>
      <c r="K259" t="s">
        <v>2671</v>
      </c>
      <c r="L259" t="b">
        <v>0</v>
      </c>
    </row>
    <row r="260" spans="1:12">
      <c r="A260" t="s">
        <v>71</v>
      </c>
      <c r="B260">
        <f t="shared" si="20"/>
        <v>48</v>
      </c>
      <c r="C260" t="s">
        <v>2720</v>
      </c>
      <c r="D260" t="s">
        <v>1827</v>
      </c>
      <c r="E260" t="s">
        <v>29</v>
      </c>
      <c r="F260" s="162">
        <v>6100</v>
      </c>
      <c r="G260" t="s">
        <v>2646</v>
      </c>
      <c r="H260" s="163">
        <v>46023</v>
      </c>
      <c r="I260" s="163">
        <v>46387</v>
      </c>
      <c r="J260" s="163"/>
      <c r="K260" t="s">
        <v>2671</v>
      </c>
      <c r="L260" t="b">
        <v>0</v>
      </c>
    </row>
    <row r="261" spans="1:12">
      <c r="A261" t="s">
        <v>71</v>
      </c>
      <c r="B261">
        <f t="shared" si="20"/>
        <v>48</v>
      </c>
      <c r="C261" t="s">
        <v>2720</v>
      </c>
      <c r="D261" t="s">
        <v>1898</v>
      </c>
      <c r="E261" t="s">
        <v>29</v>
      </c>
      <c r="F261" s="162">
        <v>6100</v>
      </c>
      <c r="G261" t="s">
        <v>2646</v>
      </c>
      <c r="H261" s="163">
        <v>46023</v>
      </c>
      <c r="I261" s="163">
        <v>46387</v>
      </c>
      <c r="J261" s="163"/>
      <c r="K261" t="s">
        <v>2671</v>
      </c>
      <c r="L261" t="b">
        <v>0</v>
      </c>
    </row>
    <row r="262" spans="1:12">
      <c r="A262" t="s">
        <v>71</v>
      </c>
      <c r="B262">
        <f t="shared" si="20"/>
        <v>48</v>
      </c>
      <c r="C262" t="s">
        <v>2720</v>
      </c>
      <c r="D262" t="s">
        <v>1840</v>
      </c>
      <c r="E262" t="s">
        <v>29</v>
      </c>
      <c r="F262" s="162">
        <v>6100</v>
      </c>
      <c r="G262" t="s">
        <v>2646</v>
      </c>
      <c r="H262" s="163">
        <v>46023</v>
      </c>
      <c r="I262" s="163">
        <v>46387</v>
      </c>
      <c r="J262" s="163"/>
      <c r="K262" t="s">
        <v>2671</v>
      </c>
      <c r="L262" t="b">
        <v>0</v>
      </c>
    </row>
    <row r="263" spans="1:12">
      <c r="A263" t="s">
        <v>71</v>
      </c>
      <c r="B263">
        <f t="shared" si="20"/>
        <v>48</v>
      </c>
      <c r="C263" t="s">
        <v>2720</v>
      </c>
      <c r="D263" t="s">
        <v>2653</v>
      </c>
      <c r="E263" t="s">
        <v>20</v>
      </c>
      <c r="F263" s="162">
        <v>12900</v>
      </c>
      <c r="G263" t="s">
        <v>2646</v>
      </c>
      <c r="H263" s="163">
        <v>46023</v>
      </c>
      <c r="I263" s="163">
        <v>46387</v>
      </c>
      <c r="J263" s="163"/>
      <c r="K263" t="s">
        <v>2671</v>
      </c>
      <c r="L263" t="b">
        <v>0</v>
      </c>
    </row>
    <row r="264" spans="1:12">
      <c r="A264" t="s">
        <v>71</v>
      </c>
      <c r="B264">
        <f t="shared" si="20"/>
        <v>48</v>
      </c>
      <c r="C264" t="s">
        <v>2721</v>
      </c>
      <c r="D264" t="s">
        <v>1808</v>
      </c>
      <c r="E264" t="s">
        <v>25</v>
      </c>
      <c r="F264" s="162">
        <v>6414</v>
      </c>
      <c r="G264" t="s">
        <v>2646</v>
      </c>
      <c r="H264" s="163">
        <v>46388</v>
      </c>
      <c r="I264" s="163">
        <v>46752</v>
      </c>
      <c r="J264" s="163"/>
      <c r="K264" t="s">
        <v>2671</v>
      </c>
      <c r="L264" t="b">
        <v>0</v>
      </c>
    </row>
    <row r="265" spans="1:12">
      <c r="A265" t="s">
        <v>71</v>
      </c>
      <c r="B265">
        <f t="shared" si="20"/>
        <v>48</v>
      </c>
      <c r="C265" t="s">
        <v>2721</v>
      </c>
      <c r="D265" t="s">
        <v>1819</v>
      </c>
      <c r="E265" t="s">
        <v>25</v>
      </c>
      <c r="F265" s="162">
        <v>6414</v>
      </c>
      <c r="G265" t="s">
        <v>2646</v>
      </c>
      <c r="H265" s="163">
        <v>46388</v>
      </c>
      <c r="I265" s="163">
        <v>46752</v>
      </c>
      <c r="J265" s="163"/>
      <c r="K265" t="s">
        <v>2671</v>
      </c>
      <c r="L265" t="b">
        <v>0</v>
      </c>
    </row>
    <row r="266" spans="1:12">
      <c r="A266" t="s">
        <v>71</v>
      </c>
      <c r="B266">
        <f t="shared" si="20"/>
        <v>48</v>
      </c>
      <c r="C266" t="s">
        <v>2721</v>
      </c>
      <c r="D266" t="s">
        <v>1826</v>
      </c>
      <c r="E266" t="s">
        <v>25</v>
      </c>
      <c r="F266" s="162">
        <v>6414</v>
      </c>
      <c r="G266" t="s">
        <v>2646</v>
      </c>
      <c r="H266" s="163">
        <v>46388</v>
      </c>
      <c r="I266" s="163">
        <v>46752</v>
      </c>
      <c r="J266" s="163"/>
      <c r="K266" t="s">
        <v>2671</v>
      </c>
      <c r="L266" t="b">
        <v>0</v>
      </c>
    </row>
    <row r="267" spans="1:12">
      <c r="A267" t="s">
        <v>71</v>
      </c>
      <c r="B267">
        <f t="shared" si="20"/>
        <v>48</v>
      </c>
      <c r="C267" t="s">
        <v>2721</v>
      </c>
      <c r="D267" t="s">
        <v>1833</v>
      </c>
      <c r="E267" t="s">
        <v>25</v>
      </c>
      <c r="F267" s="162">
        <v>6414</v>
      </c>
      <c r="G267" t="s">
        <v>2646</v>
      </c>
      <c r="H267" s="163">
        <v>46388</v>
      </c>
      <c r="I267" s="163">
        <v>46752</v>
      </c>
      <c r="J267" s="163"/>
      <c r="K267" t="s">
        <v>2671</v>
      </c>
      <c r="L267" t="b">
        <v>0</v>
      </c>
    </row>
    <row r="268" spans="1:12">
      <c r="A268" t="s">
        <v>71</v>
      </c>
      <c r="B268">
        <f t="shared" si="20"/>
        <v>48</v>
      </c>
      <c r="C268" t="s">
        <v>2721</v>
      </c>
      <c r="D268" t="s">
        <v>1838</v>
      </c>
      <c r="E268" t="s">
        <v>25</v>
      </c>
      <c r="F268" s="162">
        <v>6414</v>
      </c>
      <c r="G268" t="s">
        <v>2646</v>
      </c>
      <c r="H268" s="163">
        <v>46388</v>
      </c>
      <c r="I268" s="163">
        <v>46752</v>
      </c>
      <c r="J268" s="163"/>
      <c r="K268" t="s">
        <v>2671</v>
      </c>
      <c r="L268" t="b">
        <v>0</v>
      </c>
    </row>
    <row r="269" spans="1:12">
      <c r="A269" t="s">
        <v>71</v>
      </c>
      <c r="B269">
        <f t="shared" si="20"/>
        <v>48</v>
      </c>
      <c r="C269" t="s">
        <v>2721</v>
      </c>
      <c r="D269" t="s">
        <v>1813</v>
      </c>
      <c r="E269" t="s">
        <v>21</v>
      </c>
      <c r="F269" s="162">
        <v>7250</v>
      </c>
      <c r="G269" t="s">
        <v>2646</v>
      </c>
      <c r="H269" s="163">
        <v>46388</v>
      </c>
      <c r="I269" s="163">
        <v>46752</v>
      </c>
      <c r="J269" s="163"/>
      <c r="K269" t="s">
        <v>2671</v>
      </c>
      <c r="L269" t="b">
        <v>0</v>
      </c>
    </row>
    <row r="270" spans="1:12">
      <c r="A270" t="s">
        <v>71</v>
      </c>
      <c r="B270">
        <f t="shared" si="20"/>
        <v>48</v>
      </c>
      <c r="C270" t="s">
        <v>2721</v>
      </c>
      <c r="D270" t="s">
        <v>1823</v>
      </c>
      <c r="E270" t="s">
        <v>21</v>
      </c>
      <c r="F270" s="162">
        <v>7250</v>
      </c>
      <c r="G270" t="s">
        <v>2646</v>
      </c>
      <c r="H270" s="163">
        <v>46388</v>
      </c>
      <c r="I270" s="163">
        <v>46752</v>
      </c>
      <c r="J270" s="163"/>
      <c r="K270" t="s">
        <v>2671</v>
      </c>
      <c r="L270" t="b">
        <v>0</v>
      </c>
    </row>
    <row r="271" spans="1:12">
      <c r="A271" t="s">
        <v>71</v>
      </c>
      <c r="B271">
        <f t="shared" si="20"/>
        <v>48</v>
      </c>
      <c r="C271" t="s">
        <v>2721</v>
      </c>
      <c r="D271" t="s">
        <v>1830</v>
      </c>
      <c r="E271" t="s">
        <v>21</v>
      </c>
      <c r="F271" s="162">
        <v>7250</v>
      </c>
      <c r="G271" t="s">
        <v>2646</v>
      </c>
      <c r="H271" s="163">
        <v>46388</v>
      </c>
      <c r="I271" s="163">
        <v>46752</v>
      </c>
      <c r="J271" s="163"/>
      <c r="K271" t="s">
        <v>2671</v>
      </c>
      <c r="L271" t="b">
        <v>0</v>
      </c>
    </row>
    <row r="272" spans="1:12">
      <c r="A272" t="s">
        <v>71</v>
      </c>
      <c r="B272">
        <f t="shared" si="20"/>
        <v>48</v>
      </c>
      <c r="C272" t="s">
        <v>2721</v>
      </c>
      <c r="D272" t="s">
        <v>1836</v>
      </c>
      <c r="E272" t="s">
        <v>21</v>
      </c>
      <c r="F272" s="162">
        <v>7250</v>
      </c>
      <c r="G272" t="s">
        <v>2646</v>
      </c>
      <c r="H272" s="163">
        <v>46388</v>
      </c>
      <c r="I272" s="163">
        <v>46752</v>
      </c>
      <c r="J272" s="163"/>
      <c r="K272" t="s">
        <v>2671</v>
      </c>
      <c r="L272" t="b">
        <v>0</v>
      </c>
    </row>
    <row r="273" spans="1:12">
      <c r="A273" t="s">
        <v>71</v>
      </c>
      <c r="B273">
        <f t="shared" si="20"/>
        <v>48</v>
      </c>
      <c r="C273" t="s">
        <v>2721</v>
      </c>
      <c r="D273" t="s">
        <v>1810</v>
      </c>
      <c r="E273" t="s">
        <v>21</v>
      </c>
      <c r="F273" s="162">
        <v>8166.6666666666697</v>
      </c>
      <c r="G273" t="s">
        <v>2646</v>
      </c>
      <c r="H273" s="163">
        <v>46388</v>
      </c>
      <c r="I273" s="163">
        <v>46752</v>
      </c>
      <c r="J273" s="163"/>
      <c r="K273" t="s">
        <v>2671</v>
      </c>
      <c r="L273" t="b">
        <v>0</v>
      </c>
    </row>
    <row r="274" spans="1:12">
      <c r="A274" t="s">
        <v>71</v>
      </c>
      <c r="B274">
        <f t="shared" si="20"/>
        <v>48</v>
      </c>
      <c r="C274" t="s">
        <v>2721</v>
      </c>
      <c r="D274" t="s">
        <v>1821</v>
      </c>
      <c r="E274" t="s">
        <v>21</v>
      </c>
      <c r="F274" s="162">
        <v>8166.6666666666697</v>
      </c>
      <c r="G274" t="s">
        <v>2646</v>
      </c>
      <c r="H274" s="163">
        <v>46388</v>
      </c>
      <c r="I274" s="163">
        <v>46752</v>
      </c>
      <c r="J274" s="163"/>
      <c r="K274" t="s">
        <v>2671</v>
      </c>
      <c r="L274" t="b">
        <v>0</v>
      </c>
    </row>
    <row r="275" spans="1:12">
      <c r="A275" t="s">
        <v>71</v>
      </c>
      <c r="B275">
        <f t="shared" si="20"/>
        <v>48</v>
      </c>
      <c r="C275" t="s">
        <v>2721</v>
      </c>
      <c r="D275" t="s">
        <v>1828</v>
      </c>
      <c r="E275" t="s">
        <v>21</v>
      </c>
      <c r="F275" s="162">
        <v>8166.6666666666697</v>
      </c>
      <c r="G275" t="s">
        <v>2646</v>
      </c>
      <c r="H275" s="163">
        <v>46388</v>
      </c>
      <c r="I275" s="163">
        <v>46752</v>
      </c>
      <c r="J275" s="163"/>
      <c r="K275" t="s">
        <v>2671</v>
      </c>
      <c r="L275" t="b">
        <v>0</v>
      </c>
    </row>
    <row r="276" spans="1:12">
      <c r="A276" t="s">
        <v>71</v>
      </c>
      <c r="B276">
        <f t="shared" si="20"/>
        <v>48</v>
      </c>
      <c r="C276" t="s">
        <v>2721</v>
      </c>
      <c r="D276" t="s">
        <v>1835</v>
      </c>
      <c r="E276" t="s">
        <v>21</v>
      </c>
      <c r="F276" s="162">
        <v>8166.6666666666697</v>
      </c>
      <c r="G276" t="s">
        <v>2646</v>
      </c>
      <c r="H276" s="163">
        <v>46388</v>
      </c>
      <c r="I276" s="163">
        <v>46752</v>
      </c>
      <c r="J276" s="163"/>
      <c r="K276" t="s">
        <v>2671</v>
      </c>
      <c r="L276" t="b">
        <v>0</v>
      </c>
    </row>
    <row r="277" spans="1:12">
      <c r="A277" t="s">
        <v>71</v>
      </c>
      <c r="B277">
        <f t="shared" si="20"/>
        <v>48</v>
      </c>
      <c r="C277" t="s">
        <v>2721</v>
      </c>
      <c r="D277" t="s">
        <v>1841</v>
      </c>
      <c r="E277" t="s">
        <v>21</v>
      </c>
      <c r="F277" s="162">
        <v>8166.6666666666697</v>
      </c>
      <c r="G277" t="s">
        <v>2646</v>
      </c>
      <c r="H277" s="163">
        <v>46388</v>
      </c>
      <c r="I277" s="163">
        <v>46752</v>
      </c>
      <c r="J277" s="163"/>
      <c r="K277" t="s">
        <v>2671</v>
      </c>
      <c r="L277" t="b">
        <v>0</v>
      </c>
    </row>
    <row r="278" spans="1:12">
      <c r="A278" t="s">
        <v>71</v>
      </c>
      <c r="B278">
        <f t="shared" si="20"/>
        <v>48</v>
      </c>
      <c r="C278" t="s">
        <v>2721</v>
      </c>
      <c r="D278" t="s">
        <v>1843</v>
      </c>
      <c r="E278" t="s">
        <v>21</v>
      </c>
      <c r="F278" s="162">
        <v>8166.6666666666697</v>
      </c>
      <c r="G278" t="s">
        <v>2646</v>
      </c>
      <c r="H278" s="163">
        <v>46388</v>
      </c>
      <c r="I278" s="163">
        <v>46752</v>
      </c>
      <c r="J278" s="163"/>
      <c r="K278" t="s">
        <v>2671</v>
      </c>
      <c r="L278" t="b">
        <v>0</v>
      </c>
    </row>
    <row r="279" spans="1:12">
      <c r="A279" t="s">
        <v>71</v>
      </c>
      <c r="B279">
        <f t="shared" si="20"/>
        <v>48</v>
      </c>
      <c r="C279" t="s">
        <v>2721</v>
      </c>
      <c r="D279" t="s">
        <v>1811</v>
      </c>
      <c r="E279" t="s">
        <v>23</v>
      </c>
      <c r="F279" s="162">
        <v>10000</v>
      </c>
      <c r="G279" t="s">
        <v>2646</v>
      </c>
      <c r="H279" s="163">
        <v>46388</v>
      </c>
      <c r="I279" s="163">
        <v>46752</v>
      </c>
      <c r="J279" s="163"/>
      <c r="K279" t="s">
        <v>2671</v>
      </c>
      <c r="L279" t="b">
        <v>0</v>
      </c>
    </row>
    <row r="280" spans="1:12">
      <c r="A280" t="s">
        <v>71</v>
      </c>
      <c r="B280">
        <f t="shared" si="20"/>
        <v>48</v>
      </c>
      <c r="C280" t="s">
        <v>2721</v>
      </c>
      <c r="D280" t="s">
        <v>1822</v>
      </c>
      <c r="E280" t="s">
        <v>23</v>
      </c>
      <c r="F280" s="162">
        <v>10000</v>
      </c>
      <c r="G280" t="s">
        <v>2646</v>
      </c>
      <c r="H280" s="163">
        <v>46388</v>
      </c>
      <c r="I280" s="163">
        <v>46752</v>
      </c>
      <c r="J280" s="163"/>
      <c r="K280" t="s">
        <v>2671</v>
      </c>
      <c r="L280" t="b">
        <v>0</v>
      </c>
    </row>
    <row r="281" spans="1:12">
      <c r="A281" t="s">
        <v>71</v>
      </c>
      <c r="B281">
        <f t="shared" si="20"/>
        <v>48</v>
      </c>
      <c r="C281" t="s">
        <v>2721</v>
      </c>
      <c r="D281" t="s">
        <v>1829</v>
      </c>
      <c r="E281" t="s">
        <v>23</v>
      </c>
      <c r="F281" s="162">
        <v>10000</v>
      </c>
      <c r="G281" t="s">
        <v>2646</v>
      </c>
      <c r="H281" s="163">
        <v>46388</v>
      </c>
      <c r="I281" s="163">
        <v>46752</v>
      </c>
      <c r="J281" s="163"/>
      <c r="K281" t="s">
        <v>2671</v>
      </c>
      <c r="L281" t="b">
        <v>0</v>
      </c>
    </row>
    <row r="282" spans="1:12">
      <c r="A282" t="s">
        <v>71</v>
      </c>
      <c r="B282">
        <f t="shared" si="20"/>
        <v>48</v>
      </c>
      <c r="C282" t="s">
        <v>2721</v>
      </c>
      <c r="D282" t="s">
        <v>1816</v>
      </c>
      <c r="E282" t="s">
        <v>1931</v>
      </c>
      <c r="F282" s="162">
        <v>14000</v>
      </c>
      <c r="G282" t="s">
        <v>2646</v>
      </c>
      <c r="H282" s="163">
        <v>46388</v>
      </c>
      <c r="I282" s="163">
        <v>46752</v>
      </c>
      <c r="J282" s="163"/>
      <c r="K282" t="s">
        <v>2671</v>
      </c>
      <c r="L282" t="b">
        <v>0</v>
      </c>
    </row>
    <row r="283" spans="1:12">
      <c r="A283" t="s">
        <v>71</v>
      </c>
      <c r="B283">
        <f t="shared" si="20"/>
        <v>48</v>
      </c>
      <c r="C283" t="s">
        <v>2721</v>
      </c>
      <c r="D283" t="s">
        <v>1797</v>
      </c>
      <c r="E283" t="s">
        <v>29</v>
      </c>
      <c r="F283" s="162">
        <v>6250</v>
      </c>
      <c r="G283" t="s">
        <v>2646</v>
      </c>
      <c r="H283" s="163">
        <v>46388</v>
      </c>
      <c r="I283" s="163">
        <v>46752</v>
      </c>
      <c r="J283" s="163"/>
      <c r="K283" t="s">
        <v>2671</v>
      </c>
      <c r="L283" t="b">
        <v>0</v>
      </c>
    </row>
    <row r="284" spans="1:12">
      <c r="A284" t="s">
        <v>71</v>
      </c>
      <c r="B284">
        <f t="shared" si="20"/>
        <v>48</v>
      </c>
      <c r="C284" t="s">
        <v>2721</v>
      </c>
      <c r="D284" t="s">
        <v>1827</v>
      </c>
      <c r="E284" t="s">
        <v>29</v>
      </c>
      <c r="F284" s="162">
        <v>6250</v>
      </c>
      <c r="G284" t="s">
        <v>2646</v>
      </c>
      <c r="H284" s="163">
        <v>46388</v>
      </c>
      <c r="I284" s="163">
        <v>46752</v>
      </c>
      <c r="J284" s="163"/>
      <c r="K284" t="s">
        <v>2671</v>
      </c>
      <c r="L284" t="b">
        <v>0</v>
      </c>
    </row>
    <row r="285" spans="1:12">
      <c r="A285" t="s">
        <v>71</v>
      </c>
      <c r="B285">
        <f t="shared" si="20"/>
        <v>48</v>
      </c>
      <c r="C285" t="s">
        <v>2721</v>
      </c>
      <c r="D285" t="s">
        <v>1898</v>
      </c>
      <c r="E285" t="s">
        <v>29</v>
      </c>
      <c r="F285" s="162">
        <v>6250</v>
      </c>
      <c r="G285" t="s">
        <v>2646</v>
      </c>
      <c r="H285" s="163">
        <v>46388</v>
      </c>
      <c r="I285" s="163">
        <v>46752</v>
      </c>
      <c r="J285" s="163"/>
      <c r="K285" t="s">
        <v>2671</v>
      </c>
      <c r="L285" t="b">
        <v>0</v>
      </c>
    </row>
    <row r="286" spans="1:12">
      <c r="A286" t="s">
        <v>71</v>
      </c>
      <c r="B286">
        <f t="shared" si="20"/>
        <v>48</v>
      </c>
      <c r="C286" t="s">
        <v>2721</v>
      </c>
      <c r="D286" t="s">
        <v>1840</v>
      </c>
      <c r="E286" t="s">
        <v>29</v>
      </c>
      <c r="F286" s="162">
        <v>6250</v>
      </c>
      <c r="G286" t="s">
        <v>2646</v>
      </c>
      <c r="H286" s="163">
        <v>46388</v>
      </c>
      <c r="I286" s="163">
        <v>46752</v>
      </c>
      <c r="J286" s="163"/>
      <c r="K286" t="s">
        <v>2671</v>
      </c>
      <c r="L286" t="b">
        <v>0</v>
      </c>
    </row>
    <row r="287" spans="1:12">
      <c r="A287" t="s">
        <v>71</v>
      </c>
      <c r="B287">
        <f t="shared" si="20"/>
        <v>48</v>
      </c>
      <c r="C287" t="s">
        <v>2721</v>
      </c>
      <c r="D287" t="s">
        <v>2653</v>
      </c>
      <c r="E287" t="s">
        <v>20</v>
      </c>
      <c r="F287" s="162">
        <v>15000</v>
      </c>
      <c r="G287" t="s">
        <v>2646</v>
      </c>
      <c r="H287" s="163">
        <v>46388</v>
      </c>
      <c r="I287" s="163">
        <v>46752</v>
      </c>
      <c r="J287" s="163"/>
      <c r="K287" t="s">
        <v>2671</v>
      </c>
      <c r="L287" t="b">
        <v>0</v>
      </c>
    </row>
    <row r="288" spans="1:12">
      <c r="A288" t="s">
        <v>2007</v>
      </c>
      <c r="B288">
        <f t="shared" si="20"/>
        <v>11</v>
      </c>
      <c r="C288" t="s">
        <v>2722</v>
      </c>
      <c r="D288" t="s">
        <v>1898</v>
      </c>
      <c r="E288" t="s">
        <v>29</v>
      </c>
      <c r="F288" s="162">
        <v>7300</v>
      </c>
      <c r="G288" t="s">
        <v>1705</v>
      </c>
      <c r="H288" s="163">
        <v>46026</v>
      </c>
      <c r="I288" s="163">
        <v>46477</v>
      </c>
      <c r="J288" s="163"/>
      <c r="K288" t="s">
        <v>2671</v>
      </c>
      <c r="L288" t="b">
        <v>0</v>
      </c>
    </row>
    <row r="289" spans="1:12">
      <c r="A289" t="s">
        <v>2007</v>
      </c>
      <c r="B289">
        <f t="shared" si="20"/>
        <v>11</v>
      </c>
      <c r="C289" t="s">
        <v>2722</v>
      </c>
      <c r="D289" t="s">
        <v>2653</v>
      </c>
      <c r="E289" t="s">
        <v>20</v>
      </c>
      <c r="F289" s="162">
        <v>7100</v>
      </c>
      <c r="G289" t="s">
        <v>1705</v>
      </c>
      <c r="H289" s="163">
        <v>46026</v>
      </c>
      <c r="I289" s="163">
        <v>46477</v>
      </c>
      <c r="J289" s="163"/>
      <c r="K289" t="s">
        <v>2671</v>
      </c>
      <c r="L289" t="b">
        <v>0</v>
      </c>
    </row>
    <row r="290" spans="1:12">
      <c r="A290" t="s">
        <v>2007</v>
      </c>
      <c r="B290">
        <f t="shared" si="20"/>
        <v>11</v>
      </c>
      <c r="C290" t="s">
        <v>2722</v>
      </c>
      <c r="D290" t="s">
        <v>1836</v>
      </c>
      <c r="E290" t="s">
        <v>21</v>
      </c>
      <c r="F290" s="162">
        <v>7300</v>
      </c>
      <c r="G290" t="s">
        <v>1705</v>
      </c>
      <c r="H290" s="163">
        <v>46026</v>
      </c>
      <c r="I290" s="163">
        <v>46477</v>
      </c>
      <c r="J290" s="163"/>
      <c r="K290" t="s">
        <v>2671</v>
      </c>
      <c r="L290" t="b">
        <v>0</v>
      </c>
    </row>
    <row r="291" spans="1:12">
      <c r="A291" t="s">
        <v>2007</v>
      </c>
      <c r="B291">
        <f t="shared" si="20"/>
        <v>11</v>
      </c>
      <c r="C291" t="s">
        <v>2722</v>
      </c>
      <c r="D291" t="s">
        <v>1808</v>
      </c>
      <c r="E291" t="s">
        <v>25</v>
      </c>
      <c r="F291" s="162">
        <v>2742.8571428571399</v>
      </c>
      <c r="G291" t="s">
        <v>1705</v>
      </c>
      <c r="H291" s="163">
        <v>46026</v>
      </c>
      <c r="I291" s="163">
        <v>46477</v>
      </c>
      <c r="J291" s="163"/>
      <c r="K291" t="s">
        <v>2671</v>
      </c>
      <c r="L291" t="b">
        <v>0</v>
      </c>
    </row>
    <row r="292" spans="1:12">
      <c r="A292" t="s">
        <v>2007</v>
      </c>
      <c r="B292">
        <f t="shared" si="20"/>
        <v>11</v>
      </c>
      <c r="C292" t="s">
        <v>2722</v>
      </c>
      <c r="D292" t="s">
        <v>1820</v>
      </c>
      <c r="E292" t="s">
        <v>25</v>
      </c>
      <c r="F292" s="162">
        <v>2742.8571428571399</v>
      </c>
      <c r="G292" t="s">
        <v>1705</v>
      </c>
      <c r="H292" s="163">
        <v>46026</v>
      </c>
      <c r="I292" s="163">
        <v>46477</v>
      </c>
      <c r="J292" s="163"/>
      <c r="K292" t="s">
        <v>2671</v>
      </c>
      <c r="L292" t="b">
        <v>0</v>
      </c>
    </row>
    <row r="293" spans="1:12">
      <c r="A293" t="s">
        <v>2007</v>
      </c>
      <c r="B293">
        <f t="shared" si="20"/>
        <v>11</v>
      </c>
      <c r="C293" t="s">
        <v>2722</v>
      </c>
      <c r="D293" t="s">
        <v>1819</v>
      </c>
      <c r="E293" t="s">
        <v>25</v>
      </c>
      <c r="F293" s="162">
        <v>2742.8571428571399</v>
      </c>
      <c r="G293" t="s">
        <v>1705</v>
      </c>
      <c r="H293" s="163">
        <v>46026</v>
      </c>
      <c r="I293" s="163">
        <v>46477</v>
      </c>
      <c r="J293" s="163"/>
      <c r="K293" t="s">
        <v>2671</v>
      </c>
      <c r="L293" t="b">
        <v>0</v>
      </c>
    </row>
    <row r="294" spans="1:12">
      <c r="A294" t="s">
        <v>2007</v>
      </c>
      <c r="B294">
        <f t="shared" si="20"/>
        <v>11</v>
      </c>
      <c r="C294" t="s">
        <v>2722</v>
      </c>
      <c r="D294" t="s">
        <v>1826</v>
      </c>
      <c r="E294" t="s">
        <v>25</v>
      </c>
      <c r="F294" s="162">
        <v>2742.8571428571399</v>
      </c>
      <c r="G294" t="s">
        <v>1705</v>
      </c>
      <c r="H294" s="163">
        <v>46026</v>
      </c>
      <c r="I294" s="163">
        <v>46477</v>
      </c>
      <c r="J294" s="163"/>
      <c r="K294" t="s">
        <v>2671</v>
      </c>
      <c r="L294" t="b">
        <v>0</v>
      </c>
    </row>
    <row r="295" spans="1:12">
      <c r="A295" t="s">
        <v>2007</v>
      </c>
      <c r="B295">
        <f t="shared" si="20"/>
        <v>11</v>
      </c>
      <c r="C295" t="s">
        <v>2722</v>
      </c>
      <c r="D295" t="s">
        <v>1916</v>
      </c>
      <c r="E295" t="s">
        <v>25</v>
      </c>
      <c r="F295" s="162">
        <v>2742.8571428571399</v>
      </c>
      <c r="G295" t="s">
        <v>1705</v>
      </c>
      <c r="H295" s="163">
        <v>46026</v>
      </c>
      <c r="I295" s="163">
        <v>46477</v>
      </c>
      <c r="J295" s="163"/>
      <c r="K295" t="s">
        <v>2671</v>
      </c>
      <c r="L295" t="b">
        <v>0</v>
      </c>
    </row>
    <row r="296" spans="1:12">
      <c r="A296" t="s">
        <v>2007</v>
      </c>
      <c r="B296">
        <f t="shared" si="20"/>
        <v>11</v>
      </c>
      <c r="C296" t="s">
        <v>2722</v>
      </c>
      <c r="D296" t="s">
        <v>1833</v>
      </c>
      <c r="E296" t="s">
        <v>25</v>
      </c>
      <c r="F296" s="162">
        <v>2742.8571428571399</v>
      </c>
      <c r="G296" t="s">
        <v>1705</v>
      </c>
      <c r="H296" s="163">
        <v>46026</v>
      </c>
      <c r="I296" s="163">
        <v>46477</v>
      </c>
      <c r="J296" s="163"/>
      <c r="K296" t="s">
        <v>2671</v>
      </c>
      <c r="L296" t="b">
        <v>0</v>
      </c>
    </row>
    <row r="297" spans="1:12">
      <c r="A297" t="s">
        <v>2007</v>
      </c>
      <c r="B297">
        <f t="shared" si="20"/>
        <v>11</v>
      </c>
      <c r="C297" t="s">
        <v>2722</v>
      </c>
      <c r="D297" t="s">
        <v>1838</v>
      </c>
      <c r="E297" t="s">
        <v>25</v>
      </c>
      <c r="F297" s="162">
        <v>2742.8571428571399</v>
      </c>
      <c r="G297" t="s">
        <v>1705</v>
      </c>
      <c r="H297" s="163">
        <v>46026</v>
      </c>
      <c r="I297" s="163">
        <v>46477</v>
      </c>
      <c r="J297" s="163"/>
      <c r="K297" t="s">
        <v>2671</v>
      </c>
      <c r="L297" t="b">
        <v>0</v>
      </c>
    </row>
    <row r="298" spans="1:12">
      <c r="A298" t="s">
        <v>2007</v>
      </c>
      <c r="B298">
        <f t="shared" si="20"/>
        <v>11</v>
      </c>
      <c r="C298" t="s">
        <v>2722</v>
      </c>
      <c r="D298" t="s">
        <v>1797</v>
      </c>
      <c r="E298" t="s">
        <v>29</v>
      </c>
      <c r="F298" s="162">
        <v>5900</v>
      </c>
      <c r="G298" t="s">
        <v>1705</v>
      </c>
      <c r="H298" s="163">
        <v>46026</v>
      </c>
      <c r="I298" s="163">
        <v>46477</v>
      </c>
      <c r="J298" s="163"/>
      <c r="K298" t="s">
        <v>2671</v>
      </c>
      <c r="L298" t="b">
        <v>0</v>
      </c>
    </row>
    <row r="299" spans="1:12">
      <c r="A299" t="s">
        <v>963</v>
      </c>
      <c r="B299">
        <f t="shared" si="20"/>
        <v>1</v>
      </c>
      <c r="C299" t="s">
        <v>2723</v>
      </c>
      <c r="D299" t="s">
        <v>2653</v>
      </c>
      <c r="E299" t="s">
        <v>20</v>
      </c>
      <c r="F299" s="162">
        <v>6799.99</v>
      </c>
      <c r="G299" t="s">
        <v>2646</v>
      </c>
      <c r="H299" s="163">
        <v>45664</v>
      </c>
      <c r="I299" s="163">
        <v>46203</v>
      </c>
      <c r="J299" s="163"/>
      <c r="K299" t="s">
        <v>2680</v>
      </c>
      <c r="L299" t="b">
        <v>0</v>
      </c>
    </row>
    <row r="300" spans="1:12">
      <c r="A300" t="s">
        <v>351</v>
      </c>
      <c r="B300">
        <f t="shared" si="20"/>
        <v>0</v>
      </c>
      <c r="C300" t="s">
        <v>2724</v>
      </c>
      <c r="D300" t="s">
        <v>1827</v>
      </c>
      <c r="E300" t="s">
        <v>29</v>
      </c>
      <c r="F300" s="162">
        <v>9950</v>
      </c>
      <c r="G300" t="s">
        <v>2646</v>
      </c>
      <c r="H300" s="163">
        <v>45665</v>
      </c>
      <c r="I300" s="163">
        <v>46234</v>
      </c>
      <c r="J300" s="163"/>
      <c r="K300" t="s">
        <v>2671</v>
      </c>
      <c r="L300" t="b">
        <v>0</v>
      </c>
    </row>
    <row r="301" spans="1:12">
      <c r="A301" t="s">
        <v>1986</v>
      </c>
      <c r="B301">
        <f t="shared" si="20"/>
        <v>2</v>
      </c>
      <c r="C301" t="s">
        <v>2725</v>
      </c>
      <c r="D301" t="s">
        <v>1843</v>
      </c>
      <c r="E301" t="s">
        <v>21</v>
      </c>
      <c r="F301" s="162">
        <v>10000</v>
      </c>
      <c r="G301" t="s">
        <v>2646</v>
      </c>
      <c r="H301" s="163">
        <v>46024</v>
      </c>
      <c r="I301" s="163">
        <v>46418</v>
      </c>
      <c r="J301" s="163"/>
      <c r="K301" t="s">
        <v>2680</v>
      </c>
      <c r="L301" t="b">
        <v>0</v>
      </c>
    </row>
    <row r="302" spans="1:12">
      <c r="A302" t="s">
        <v>1986</v>
      </c>
      <c r="B302">
        <f t="shared" si="20"/>
        <v>2</v>
      </c>
      <c r="C302" t="s">
        <v>2725</v>
      </c>
      <c r="D302" t="s">
        <v>2653</v>
      </c>
      <c r="E302" t="s">
        <v>20</v>
      </c>
      <c r="F302" s="162">
        <v>6810</v>
      </c>
      <c r="G302" t="s">
        <v>2646</v>
      </c>
      <c r="H302" s="163">
        <v>46024</v>
      </c>
      <c r="I302" s="163">
        <v>46418</v>
      </c>
      <c r="J302" s="163"/>
      <c r="K302" t="s">
        <v>2680</v>
      </c>
      <c r="L302" t="b">
        <v>0</v>
      </c>
    </row>
    <row r="303" spans="1:12">
      <c r="A303" t="s">
        <v>1945</v>
      </c>
      <c r="B303">
        <f t="shared" si="20"/>
        <v>0</v>
      </c>
      <c r="C303" t="s">
        <v>2726</v>
      </c>
      <c r="D303" t="s">
        <v>1858</v>
      </c>
      <c r="E303" t="s">
        <v>2717</v>
      </c>
      <c r="F303" s="162">
        <v>3850</v>
      </c>
      <c r="G303" t="s">
        <v>2646</v>
      </c>
      <c r="H303" s="163">
        <v>45665</v>
      </c>
      <c r="I303" s="163">
        <v>46234</v>
      </c>
      <c r="J303" s="163"/>
      <c r="K303" t="s">
        <v>2647</v>
      </c>
      <c r="L303" t="b">
        <v>0</v>
      </c>
    </row>
    <row r="304" spans="1:12">
      <c r="A304" t="s">
        <v>966</v>
      </c>
      <c r="B304">
        <f t="shared" si="20"/>
        <v>1</v>
      </c>
      <c r="C304" t="s">
        <v>2727</v>
      </c>
      <c r="D304" t="s">
        <v>2653</v>
      </c>
      <c r="E304" t="s">
        <v>20</v>
      </c>
      <c r="F304" s="162">
        <v>9400</v>
      </c>
      <c r="G304" t="s">
        <v>2646</v>
      </c>
      <c r="H304" s="163">
        <v>45667</v>
      </c>
      <c r="I304" s="163">
        <v>46295</v>
      </c>
      <c r="J304" s="163"/>
      <c r="K304" t="s">
        <v>2643</v>
      </c>
      <c r="L304" t="b">
        <v>0</v>
      </c>
    </row>
    <row r="305" spans="1:12">
      <c r="A305" t="s">
        <v>2019</v>
      </c>
      <c r="B305">
        <f t="shared" si="20"/>
        <v>10</v>
      </c>
      <c r="C305" t="s">
        <v>2728</v>
      </c>
      <c r="D305" t="s">
        <v>2653</v>
      </c>
      <c r="E305" t="s">
        <v>20</v>
      </c>
      <c r="F305" s="162">
        <v>6305</v>
      </c>
      <c r="G305" t="s">
        <v>2646</v>
      </c>
      <c r="H305" s="163">
        <v>46027</v>
      </c>
      <c r="I305" s="163">
        <v>46507</v>
      </c>
      <c r="J305" s="163"/>
      <c r="K305" t="s">
        <v>2656</v>
      </c>
      <c r="L305" t="b">
        <v>0</v>
      </c>
    </row>
    <row r="306" spans="1:12">
      <c r="A306" t="s">
        <v>2019</v>
      </c>
      <c r="B306">
        <f t="shared" si="20"/>
        <v>10</v>
      </c>
      <c r="C306" t="s">
        <v>2728</v>
      </c>
      <c r="D306" t="s">
        <v>1808</v>
      </c>
      <c r="E306" t="s">
        <v>25</v>
      </c>
      <c r="F306" s="162">
        <v>3562</v>
      </c>
      <c r="G306" t="s">
        <v>2646</v>
      </c>
      <c r="H306" s="163">
        <v>46027</v>
      </c>
      <c r="I306" s="163">
        <v>46507</v>
      </c>
      <c r="J306" s="163"/>
      <c r="K306" t="s">
        <v>2656</v>
      </c>
      <c r="L306" t="b">
        <v>0</v>
      </c>
    </row>
    <row r="307" spans="1:12">
      <c r="A307" t="s">
        <v>2019</v>
      </c>
      <c r="B307">
        <f t="shared" si="20"/>
        <v>10</v>
      </c>
      <c r="C307" t="s">
        <v>2728</v>
      </c>
      <c r="D307" t="s">
        <v>1819</v>
      </c>
      <c r="E307" t="s">
        <v>25</v>
      </c>
      <c r="F307" s="162">
        <v>3562</v>
      </c>
      <c r="G307" t="s">
        <v>2646</v>
      </c>
      <c r="H307" s="163">
        <v>46027</v>
      </c>
      <c r="I307" s="163">
        <v>46507</v>
      </c>
      <c r="J307" s="163"/>
      <c r="K307" t="s">
        <v>2656</v>
      </c>
      <c r="L307" t="b">
        <v>0</v>
      </c>
    </row>
    <row r="308" spans="1:12">
      <c r="A308" t="s">
        <v>2019</v>
      </c>
      <c r="B308">
        <f t="shared" si="20"/>
        <v>10</v>
      </c>
      <c r="C308" t="s">
        <v>2728</v>
      </c>
      <c r="D308" t="s">
        <v>1826</v>
      </c>
      <c r="E308" t="s">
        <v>25</v>
      </c>
      <c r="F308" s="162">
        <v>3562</v>
      </c>
      <c r="G308" t="s">
        <v>2646</v>
      </c>
      <c r="H308" s="163">
        <v>46027</v>
      </c>
      <c r="I308" s="163">
        <v>46507</v>
      </c>
      <c r="J308" s="163"/>
      <c r="K308" t="s">
        <v>2656</v>
      </c>
      <c r="L308" t="b">
        <v>0</v>
      </c>
    </row>
    <row r="309" spans="1:12">
      <c r="A309" t="s">
        <v>2019</v>
      </c>
      <c r="B309">
        <f t="shared" si="20"/>
        <v>10</v>
      </c>
      <c r="C309" t="s">
        <v>2728</v>
      </c>
      <c r="D309" t="s">
        <v>1833</v>
      </c>
      <c r="E309" t="s">
        <v>25</v>
      </c>
      <c r="F309" s="162">
        <v>3562</v>
      </c>
      <c r="G309" t="s">
        <v>2646</v>
      </c>
      <c r="H309" s="163">
        <v>46027</v>
      </c>
      <c r="I309" s="163">
        <v>46507</v>
      </c>
      <c r="J309" s="163"/>
      <c r="K309" t="s">
        <v>2656</v>
      </c>
      <c r="L309" t="b">
        <v>0</v>
      </c>
    </row>
    <row r="310" spans="1:12">
      <c r="A310" t="s">
        <v>2019</v>
      </c>
      <c r="B310">
        <f t="shared" si="20"/>
        <v>10</v>
      </c>
      <c r="C310" t="s">
        <v>2728</v>
      </c>
      <c r="D310" t="s">
        <v>1838</v>
      </c>
      <c r="E310" t="s">
        <v>25</v>
      </c>
      <c r="F310" s="162">
        <v>3562</v>
      </c>
      <c r="G310" t="s">
        <v>2646</v>
      </c>
      <c r="H310" s="163">
        <v>46027</v>
      </c>
      <c r="I310" s="163">
        <v>46507</v>
      </c>
      <c r="J310" s="163"/>
      <c r="K310" t="s">
        <v>2656</v>
      </c>
      <c r="L310" t="b">
        <v>0</v>
      </c>
    </row>
    <row r="311" spans="1:12">
      <c r="A311" t="s">
        <v>2019</v>
      </c>
      <c r="B311">
        <f t="shared" si="20"/>
        <v>10</v>
      </c>
      <c r="C311" t="s">
        <v>2728</v>
      </c>
      <c r="D311" t="s">
        <v>1797</v>
      </c>
      <c r="E311" t="s">
        <v>29</v>
      </c>
      <c r="F311" s="162">
        <v>3233.75</v>
      </c>
      <c r="G311" t="s">
        <v>2646</v>
      </c>
      <c r="H311" s="163">
        <v>46027</v>
      </c>
      <c r="I311" s="163">
        <v>46507</v>
      </c>
      <c r="J311" s="163"/>
      <c r="K311" t="s">
        <v>2656</v>
      </c>
      <c r="L311" t="b">
        <v>0</v>
      </c>
    </row>
    <row r="312" spans="1:12">
      <c r="A312" t="s">
        <v>2019</v>
      </c>
      <c r="B312">
        <f t="shared" si="20"/>
        <v>10</v>
      </c>
      <c r="C312" t="s">
        <v>2728</v>
      </c>
      <c r="D312" t="s">
        <v>1827</v>
      </c>
      <c r="E312" t="s">
        <v>29</v>
      </c>
      <c r="F312" s="162">
        <v>3233.75</v>
      </c>
      <c r="G312" t="s">
        <v>2646</v>
      </c>
      <c r="H312" s="163">
        <v>46027</v>
      </c>
      <c r="I312" s="163">
        <v>46507</v>
      </c>
      <c r="J312" s="163"/>
      <c r="K312" t="s">
        <v>2656</v>
      </c>
      <c r="L312" t="b">
        <v>0</v>
      </c>
    </row>
    <row r="313" spans="1:12">
      <c r="A313" t="s">
        <v>2019</v>
      </c>
      <c r="B313">
        <f t="shared" si="20"/>
        <v>10</v>
      </c>
      <c r="C313" t="s">
        <v>2728</v>
      </c>
      <c r="D313" t="s">
        <v>1898</v>
      </c>
      <c r="E313" t="s">
        <v>29</v>
      </c>
      <c r="F313" s="162">
        <v>3233.75</v>
      </c>
      <c r="G313" t="s">
        <v>2646</v>
      </c>
      <c r="H313" s="163">
        <v>46027</v>
      </c>
      <c r="I313" s="163">
        <v>46507</v>
      </c>
      <c r="J313" s="163"/>
      <c r="K313" t="s">
        <v>2656</v>
      </c>
      <c r="L313" t="b">
        <v>0</v>
      </c>
    </row>
    <row r="314" spans="1:12">
      <c r="A314" t="s">
        <v>2019</v>
      </c>
      <c r="B314">
        <f t="shared" si="20"/>
        <v>10</v>
      </c>
      <c r="C314" t="s">
        <v>2728</v>
      </c>
      <c r="D314" t="s">
        <v>1840</v>
      </c>
      <c r="E314" t="s">
        <v>29</v>
      </c>
      <c r="F314" s="162">
        <v>3233.75</v>
      </c>
      <c r="G314" t="s">
        <v>2646</v>
      </c>
      <c r="H314" s="163">
        <v>46027</v>
      </c>
      <c r="I314" s="163">
        <v>46507</v>
      </c>
      <c r="J314" s="163"/>
      <c r="K314" t="s">
        <v>2656</v>
      </c>
      <c r="L314" t="b">
        <v>0</v>
      </c>
    </row>
    <row r="315" spans="1:12">
      <c r="A315" t="s">
        <v>1993</v>
      </c>
      <c r="B315">
        <f t="shared" si="20"/>
        <v>2</v>
      </c>
      <c r="C315" t="s">
        <v>2729</v>
      </c>
      <c r="D315" t="s">
        <v>2653</v>
      </c>
      <c r="E315" t="s">
        <v>20</v>
      </c>
      <c r="F315" s="162">
        <v>11442</v>
      </c>
      <c r="G315" t="s">
        <v>2646</v>
      </c>
      <c r="H315" s="163">
        <v>46025</v>
      </c>
      <c r="I315" s="163">
        <v>46446</v>
      </c>
      <c r="J315" s="163"/>
      <c r="K315" t="s">
        <v>2647</v>
      </c>
      <c r="L315" t="b">
        <v>0</v>
      </c>
    </row>
    <row r="316" spans="1:12">
      <c r="A316" t="s">
        <v>1993</v>
      </c>
      <c r="B316">
        <f t="shared" si="20"/>
        <v>2</v>
      </c>
      <c r="C316" t="s">
        <v>2729</v>
      </c>
      <c r="D316" t="s">
        <v>2645</v>
      </c>
      <c r="E316" t="s">
        <v>1902</v>
      </c>
      <c r="F316" s="162">
        <v>11058</v>
      </c>
      <c r="G316" t="s">
        <v>2646</v>
      </c>
      <c r="H316" s="163">
        <v>46025</v>
      </c>
      <c r="I316" s="163">
        <v>46446</v>
      </c>
      <c r="J316" s="163"/>
      <c r="K316" t="s">
        <v>2647</v>
      </c>
      <c r="L316" t="b">
        <v>0</v>
      </c>
    </row>
    <row r="317" spans="1:12">
      <c r="A317" t="s">
        <v>230</v>
      </c>
      <c r="B317">
        <f t="shared" si="20"/>
        <v>4</v>
      </c>
      <c r="C317" t="s">
        <v>2730</v>
      </c>
      <c r="D317" t="s">
        <v>1808</v>
      </c>
      <c r="E317" t="s">
        <v>25</v>
      </c>
      <c r="F317" s="162">
        <v>5265</v>
      </c>
      <c r="G317" t="s">
        <v>2646</v>
      </c>
      <c r="H317" s="163">
        <v>46358</v>
      </c>
      <c r="I317" s="163">
        <v>46693</v>
      </c>
      <c r="J317" s="163"/>
      <c r="K317" t="s">
        <v>2671</v>
      </c>
      <c r="L317" t="b">
        <v>0</v>
      </c>
    </row>
    <row r="318" spans="1:12">
      <c r="A318" t="s">
        <v>230</v>
      </c>
      <c r="B318">
        <f t="shared" si="20"/>
        <v>4</v>
      </c>
      <c r="C318" t="s">
        <v>2730</v>
      </c>
      <c r="D318" t="s">
        <v>2625</v>
      </c>
      <c r="E318" t="s">
        <v>27</v>
      </c>
      <c r="F318" s="162">
        <v>17890</v>
      </c>
      <c r="G318" t="s">
        <v>2646</v>
      </c>
      <c r="H318" s="163">
        <v>46358</v>
      </c>
      <c r="I318" s="163">
        <v>46693</v>
      </c>
      <c r="J318" s="163"/>
      <c r="K318" t="s">
        <v>2671</v>
      </c>
      <c r="L318" t="b">
        <v>0</v>
      </c>
    </row>
    <row r="319" spans="1:12">
      <c r="A319" t="s">
        <v>230</v>
      </c>
      <c r="B319">
        <f t="shared" si="20"/>
        <v>4</v>
      </c>
      <c r="C319" t="s">
        <v>2730</v>
      </c>
      <c r="D319" t="s">
        <v>2653</v>
      </c>
      <c r="E319" t="s">
        <v>20</v>
      </c>
      <c r="F319" s="162">
        <v>8100</v>
      </c>
      <c r="G319" t="s">
        <v>2646</v>
      </c>
      <c r="H319" s="163">
        <v>46358</v>
      </c>
      <c r="I319" s="163">
        <v>46693</v>
      </c>
      <c r="J319" s="163"/>
      <c r="K319" t="s">
        <v>2671</v>
      </c>
      <c r="L319" t="b">
        <v>0</v>
      </c>
    </row>
    <row r="320" spans="1:12">
      <c r="A320" t="s">
        <v>230</v>
      </c>
      <c r="B320">
        <f t="shared" si="20"/>
        <v>4</v>
      </c>
      <c r="C320" t="s">
        <v>2730</v>
      </c>
      <c r="D320" t="s">
        <v>1826</v>
      </c>
      <c r="E320" t="s">
        <v>25</v>
      </c>
      <c r="F320" s="162">
        <v>7295</v>
      </c>
      <c r="G320" t="s">
        <v>2646</v>
      </c>
      <c r="H320" s="163">
        <v>46358</v>
      </c>
      <c r="I320" s="163">
        <v>46693</v>
      </c>
      <c r="J320" s="163"/>
      <c r="K320" t="s">
        <v>2671</v>
      </c>
      <c r="L320" t="b">
        <v>0</v>
      </c>
    </row>
    <row r="321" spans="1:12">
      <c r="A321" t="s">
        <v>2002</v>
      </c>
      <c r="B321">
        <f t="shared" si="20"/>
        <v>2</v>
      </c>
      <c r="C321" t="s">
        <v>2731</v>
      </c>
      <c r="D321" t="s">
        <v>2653</v>
      </c>
      <c r="E321" t="s">
        <v>20</v>
      </c>
      <c r="F321" s="162">
        <v>4536</v>
      </c>
      <c r="G321" t="s">
        <v>2646</v>
      </c>
      <c r="H321" s="163">
        <v>46026</v>
      </c>
      <c r="I321" s="163">
        <v>46477</v>
      </c>
      <c r="J321" s="163"/>
      <c r="K321" t="s">
        <v>2656</v>
      </c>
      <c r="L321" t="b">
        <v>0</v>
      </c>
    </row>
    <row r="322" spans="1:12">
      <c r="A322" t="s">
        <v>2002</v>
      </c>
      <c r="B322">
        <f t="shared" si="20"/>
        <v>2</v>
      </c>
      <c r="C322" t="s">
        <v>2731</v>
      </c>
      <c r="D322" t="s">
        <v>2653</v>
      </c>
      <c r="E322" t="s">
        <v>20</v>
      </c>
      <c r="F322" s="162">
        <v>8568</v>
      </c>
      <c r="G322" t="s">
        <v>2646</v>
      </c>
      <c r="H322" s="163">
        <v>46026</v>
      </c>
      <c r="I322" s="163">
        <v>46477</v>
      </c>
      <c r="J322" s="163"/>
      <c r="K322" t="s">
        <v>2656</v>
      </c>
      <c r="L322" t="b">
        <v>0</v>
      </c>
    </row>
    <row r="323" spans="1:12">
      <c r="A323" t="s">
        <v>2013</v>
      </c>
      <c r="B323">
        <f t="shared" ref="B323:B386" si="21">IF(COUNTIFS($A$2:$A$1053,A323,$E$2:$E$1053,"Industry Essentials")&gt;0, COUNTIF($A$2:$A$1053,A323), 0)</f>
        <v>2</v>
      </c>
      <c r="C323" t="s">
        <v>2732</v>
      </c>
      <c r="D323" t="s">
        <v>2653</v>
      </c>
      <c r="E323" t="s">
        <v>20</v>
      </c>
      <c r="F323" s="162">
        <v>1833</v>
      </c>
      <c r="G323" t="s">
        <v>2646</v>
      </c>
      <c r="H323" s="163">
        <v>46126</v>
      </c>
      <c r="I323" s="163">
        <v>46490</v>
      </c>
      <c r="J323" s="163"/>
      <c r="K323" t="s">
        <v>2656</v>
      </c>
      <c r="L323" t="b">
        <v>0</v>
      </c>
    </row>
    <row r="324" spans="1:12">
      <c r="A324" t="s">
        <v>2013</v>
      </c>
      <c r="B324">
        <f t="shared" si="21"/>
        <v>2</v>
      </c>
      <c r="C324" t="s">
        <v>2733</v>
      </c>
      <c r="D324" t="s">
        <v>2653</v>
      </c>
      <c r="E324" t="s">
        <v>20</v>
      </c>
      <c r="F324" s="162">
        <v>1902</v>
      </c>
      <c r="G324" t="s">
        <v>2646</v>
      </c>
      <c r="H324" s="163">
        <v>46491</v>
      </c>
      <c r="I324" s="163">
        <v>46856</v>
      </c>
      <c r="J324" s="163"/>
      <c r="K324" t="s">
        <v>2656</v>
      </c>
      <c r="L324" t="b">
        <v>0</v>
      </c>
    </row>
    <row r="325" spans="1:12">
      <c r="A325" t="s">
        <v>354</v>
      </c>
      <c r="B325">
        <f t="shared" si="21"/>
        <v>0</v>
      </c>
      <c r="C325" t="s">
        <v>2734</v>
      </c>
      <c r="D325" t="s">
        <v>2625</v>
      </c>
      <c r="E325" t="s">
        <v>27</v>
      </c>
      <c r="F325" s="162">
        <v>15000</v>
      </c>
      <c r="G325" t="s">
        <v>2655</v>
      </c>
      <c r="H325" s="163">
        <v>46176</v>
      </c>
      <c r="I325" s="163">
        <v>46510</v>
      </c>
      <c r="J325" s="163"/>
      <c r="K325" t="s">
        <v>2643</v>
      </c>
      <c r="L325" t="b">
        <v>1</v>
      </c>
    </row>
    <row r="326" spans="1:12">
      <c r="A326" t="s">
        <v>354</v>
      </c>
      <c r="B326">
        <f t="shared" si="21"/>
        <v>0</v>
      </c>
      <c r="C326" t="s">
        <v>2734</v>
      </c>
      <c r="D326" t="s">
        <v>1817</v>
      </c>
      <c r="E326" t="s">
        <v>35</v>
      </c>
      <c r="F326" s="162">
        <v>20000</v>
      </c>
      <c r="G326" t="s">
        <v>2655</v>
      </c>
      <c r="H326" s="163">
        <v>46176</v>
      </c>
      <c r="I326" s="163">
        <v>46510</v>
      </c>
      <c r="J326" s="163"/>
      <c r="K326" t="s">
        <v>2643</v>
      </c>
      <c r="L326" t="b">
        <v>1</v>
      </c>
    </row>
    <row r="327" spans="1:12">
      <c r="A327" t="s">
        <v>1228</v>
      </c>
      <c r="B327">
        <f t="shared" si="21"/>
        <v>2</v>
      </c>
      <c r="C327" t="s">
        <v>2735</v>
      </c>
      <c r="D327" t="s">
        <v>1820</v>
      </c>
      <c r="E327" t="s">
        <v>25</v>
      </c>
      <c r="F327" s="162">
        <v>4950</v>
      </c>
      <c r="G327" t="s">
        <v>2646</v>
      </c>
      <c r="H327" s="163">
        <v>45667</v>
      </c>
      <c r="I327" s="163">
        <v>46295</v>
      </c>
      <c r="J327" s="163"/>
      <c r="K327" t="s">
        <v>2671</v>
      </c>
      <c r="L327" t="b">
        <v>0</v>
      </c>
    </row>
    <row r="328" spans="1:12">
      <c r="A328" t="s">
        <v>1228</v>
      </c>
      <c r="B328">
        <f t="shared" si="21"/>
        <v>2</v>
      </c>
      <c r="C328" t="s">
        <v>2736</v>
      </c>
      <c r="D328" t="s">
        <v>2653</v>
      </c>
      <c r="E328" t="s">
        <v>20</v>
      </c>
      <c r="F328" s="162">
        <v>15500</v>
      </c>
      <c r="G328" t="s">
        <v>2646</v>
      </c>
      <c r="H328" s="163">
        <v>46026</v>
      </c>
      <c r="I328" s="163">
        <v>46477</v>
      </c>
      <c r="J328" s="163"/>
      <c r="K328" t="s">
        <v>2671</v>
      </c>
      <c r="L328" t="b">
        <v>0</v>
      </c>
    </row>
    <row r="329" spans="1:12">
      <c r="A329" t="s">
        <v>1983</v>
      </c>
      <c r="B329">
        <f t="shared" si="21"/>
        <v>4</v>
      </c>
      <c r="C329" t="s">
        <v>2737</v>
      </c>
      <c r="D329" t="s">
        <v>1817</v>
      </c>
      <c r="E329" t="s">
        <v>35</v>
      </c>
      <c r="F329" s="162">
        <v>20000</v>
      </c>
      <c r="G329" t="s">
        <v>2655</v>
      </c>
      <c r="H329" s="163">
        <v>46042</v>
      </c>
      <c r="I329" s="163">
        <v>46406</v>
      </c>
      <c r="J329" s="163"/>
      <c r="K329" t="s">
        <v>2643</v>
      </c>
      <c r="L329" t="b">
        <v>0</v>
      </c>
    </row>
    <row r="330" spans="1:12">
      <c r="A330" t="s">
        <v>1983</v>
      </c>
      <c r="B330">
        <f t="shared" si="21"/>
        <v>4</v>
      </c>
      <c r="C330" t="s">
        <v>2737</v>
      </c>
      <c r="D330" t="s">
        <v>2653</v>
      </c>
      <c r="E330" t="s">
        <v>20</v>
      </c>
      <c r="F330" s="162">
        <v>4960</v>
      </c>
      <c r="G330" t="s">
        <v>2655</v>
      </c>
      <c r="H330" s="163">
        <v>46042</v>
      </c>
      <c r="I330" s="163">
        <v>46406</v>
      </c>
      <c r="J330" s="163"/>
      <c r="K330" t="s">
        <v>2643</v>
      </c>
      <c r="L330" t="b">
        <v>0</v>
      </c>
    </row>
    <row r="331" spans="1:12">
      <c r="A331" t="s">
        <v>1983</v>
      </c>
      <c r="B331">
        <f t="shared" si="21"/>
        <v>4</v>
      </c>
      <c r="C331" t="s">
        <v>2738</v>
      </c>
      <c r="D331" t="s">
        <v>1817</v>
      </c>
      <c r="E331" t="s">
        <v>35</v>
      </c>
      <c r="F331" s="162">
        <v>21000</v>
      </c>
      <c r="G331" t="s">
        <v>2646</v>
      </c>
      <c r="H331" s="163">
        <v>46407</v>
      </c>
      <c r="I331" s="163">
        <v>46771</v>
      </c>
      <c r="J331" s="163"/>
      <c r="K331" t="s">
        <v>2643</v>
      </c>
      <c r="L331" t="b">
        <v>0</v>
      </c>
    </row>
    <row r="332" spans="1:12">
      <c r="A332" t="s">
        <v>1983</v>
      </c>
      <c r="B332">
        <f t="shared" si="21"/>
        <v>4</v>
      </c>
      <c r="C332" t="s">
        <v>2738</v>
      </c>
      <c r="D332" t="s">
        <v>2653</v>
      </c>
      <c r="E332" t="s">
        <v>20</v>
      </c>
      <c r="F332" s="162">
        <v>5208</v>
      </c>
      <c r="G332" t="s">
        <v>2646</v>
      </c>
      <c r="H332" s="163">
        <v>46407</v>
      </c>
      <c r="I332" s="163">
        <v>46771</v>
      </c>
      <c r="J332" s="163"/>
      <c r="K332" t="s">
        <v>2643</v>
      </c>
      <c r="L332" t="b">
        <v>0</v>
      </c>
    </row>
    <row r="333" spans="1:12">
      <c r="A333" t="s">
        <v>73</v>
      </c>
      <c r="B333">
        <f t="shared" si="21"/>
        <v>24</v>
      </c>
      <c r="C333" t="s">
        <v>2739</v>
      </c>
      <c r="D333" t="s">
        <v>1814</v>
      </c>
      <c r="E333" t="s">
        <v>1695</v>
      </c>
      <c r="F333" s="162">
        <v>5962.7640000000001</v>
      </c>
      <c r="G333" t="s">
        <v>2646</v>
      </c>
      <c r="H333" s="163">
        <v>46023</v>
      </c>
      <c r="I333" s="163">
        <v>46387</v>
      </c>
      <c r="J333" s="163"/>
      <c r="K333" t="s">
        <v>2667</v>
      </c>
      <c r="L333" t="b">
        <v>0</v>
      </c>
    </row>
    <row r="334" spans="1:12">
      <c r="A334" t="s">
        <v>73</v>
      </c>
      <c r="B334">
        <f t="shared" si="21"/>
        <v>24</v>
      </c>
      <c r="C334" t="s">
        <v>2739</v>
      </c>
      <c r="D334" t="s">
        <v>1824</v>
      </c>
      <c r="E334" t="s">
        <v>1695</v>
      </c>
      <c r="F334" s="162">
        <v>5962.7640000000001</v>
      </c>
      <c r="G334" t="s">
        <v>2646</v>
      </c>
      <c r="H334" s="163">
        <v>46023</v>
      </c>
      <c r="I334" s="163">
        <v>46387</v>
      </c>
      <c r="J334" s="163"/>
      <c r="K334" t="s">
        <v>2667</v>
      </c>
      <c r="L334" t="b">
        <v>0</v>
      </c>
    </row>
    <row r="335" spans="1:12">
      <c r="A335" t="s">
        <v>73</v>
      </c>
      <c r="B335">
        <f t="shared" si="21"/>
        <v>24</v>
      </c>
      <c r="C335" t="s">
        <v>2739</v>
      </c>
      <c r="D335" t="s">
        <v>1842</v>
      </c>
      <c r="E335" t="s">
        <v>1695</v>
      </c>
      <c r="F335" s="162">
        <v>5962.7640000000001</v>
      </c>
      <c r="G335" t="s">
        <v>2646</v>
      </c>
      <c r="H335" s="163">
        <v>46023</v>
      </c>
      <c r="I335" s="163">
        <v>46387</v>
      </c>
      <c r="J335" s="163"/>
      <c r="K335" t="s">
        <v>2667</v>
      </c>
      <c r="L335" t="b">
        <v>0</v>
      </c>
    </row>
    <row r="336" spans="1:12">
      <c r="A336" t="s">
        <v>73</v>
      </c>
      <c r="B336">
        <f t="shared" si="21"/>
        <v>24</v>
      </c>
      <c r="C336" t="s">
        <v>2739</v>
      </c>
      <c r="D336" t="s">
        <v>1851</v>
      </c>
      <c r="E336" t="s">
        <v>1695</v>
      </c>
      <c r="F336" s="162">
        <v>5962.7640000000001</v>
      </c>
      <c r="G336" t="s">
        <v>2646</v>
      </c>
      <c r="H336" s="163">
        <v>46023</v>
      </c>
      <c r="I336" s="163">
        <v>46387</v>
      </c>
      <c r="J336" s="163"/>
      <c r="K336" t="s">
        <v>2667</v>
      </c>
      <c r="L336" t="b">
        <v>0</v>
      </c>
    </row>
    <row r="337" spans="1:12">
      <c r="A337" t="s">
        <v>73</v>
      </c>
      <c r="B337">
        <f t="shared" si="21"/>
        <v>24</v>
      </c>
      <c r="C337" t="s">
        <v>2739</v>
      </c>
      <c r="D337" t="s">
        <v>1853</v>
      </c>
      <c r="E337" t="s">
        <v>1695</v>
      </c>
      <c r="F337" s="162">
        <v>5962.7640000000001</v>
      </c>
      <c r="G337" t="s">
        <v>2646</v>
      </c>
      <c r="H337" s="163">
        <v>46023</v>
      </c>
      <c r="I337" s="163">
        <v>46387</v>
      </c>
      <c r="J337" s="163"/>
      <c r="K337" t="s">
        <v>2667</v>
      </c>
      <c r="L337" t="b">
        <v>0</v>
      </c>
    </row>
    <row r="338" spans="1:12">
      <c r="A338" t="s">
        <v>73</v>
      </c>
      <c r="B338">
        <f t="shared" si="21"/>
        <v>24</v>
      </c>
      <c r="C338" t="s">
        <v>2739</v>
      </c>
      <c r="D338" t="s">
        <v>1811</v>
      </c>
      <c r="E338" t="s">
        <v>23</v>
      </c>
      <c r="F338" s="162">
        <v>6034.0166666666701</v>
      </c>
      <c r="G338" t="s">
        <v>2646</v>
      </c>
      <c r="H338" s="163">
        <v>46023</v>
      </c>
      <c r="I338" s="163">
        <v>46387</v>
      </c>
      <c r="J338" s="163"/>
      <c r="K338" t="s">
        <v>2667</v>
      </c>
      <c r="L338" t="b">
        <v>0</v>
      </c>
    </row>
    <row r="339" spans="1:12">
      <c r="A339" t="s">
        <v>73</v>
      </c>
      <c r="B339">
        <f t="shared" si="21"/>
        <v>24</v>
      </c>
      <c r="C339" t="s">
        <v>2739</v>
      </c>
      <c r="D339" t="s">
        <v>1822</v>
      </c>
      <c r="E339" t="s">
        <v>23</v>
      </c>
      <c r="F339" s="162">
        <v>6034.0166666666701</v>
      </c>
      <c r="G339" t="s">
        <v>2646</v>
      </c>
      <c r="H339" s="163">
        <v>46023</v>
      </c>
      <c r="I339" s="163">
        <v>46387</v>
      </c>
      <c r="J339" s="163"/>
      <c r="K339" t="s">
        <v>2667</v>
      </c>
      <c r="L339" t="b">
        <v>0</v>
      </c>
    </row>
    <row r="340" spans="1:12">
      <c r="A340" t="s">
        <v>73</v>
      </c>
      <c r="B340">
        <f t="shared" si="21"/>
        <v>24</v>
      </c>
      <c r="C340" t="s">
        <v>2739</v>
      </c>
      <c r="D340" t="s">
        <v>1829</v>
      </c>
      <c r="E340" t="s">
        <v>23</v>
      </c>
      <c r="F340" s="162">
        <v>6034.0166666666701</v>
      </c>
      <c r="G340" t="s">
        <v>2646</v>
      </c>
      <c r="H340" s="163">
        <v>46023</v>
      </c>
      <c r="I340" s="163">
        <v>46387</v>
      </c>
      <c r="J340" s="163"/>
      <c r="K340" t="s">
        <v>2667</v>
      </c>
      <c r="L340" t="b">
        <v>0</v>
      </c>
    </row>
    <row r="341" spans="1:12">
      <c r="A341" t="s">
        <v>73</v>
      </c>
      <c r="B341">
        <f t="shared" si="21"/>
        <v>24</v>
      </c>
      <c r="C341" t="s">
        <v>2739</v>
      </c>
      <c r="D341" t="s">
        <v>1808</v>
      </c>
      <c r="E341" t="s">
        <v>25</v>
      </c>
      <c r="F341" s="162">
        <v>4939.4359999999997</v>
      </c>
      <c r="G341" t="s">
        <v>2646</v>
      </c>
      <c r="H341" s="163">
        <v>46023</v>
      </c>
      <c r="I341" s="163">
        <v>46387</v>
      </c>
      <c r="J341" s="163"/>
      <c r="K341" t="s">
        <v>2667</v>
      </c>
      <c r="L341" t="b">
        <v>0</v>
      </c>
    </row>
    <row r="342" spans="1:12">
      <c r="A342" t="s">
        <v>73</v>
      </c>
      <c r="B342">
        <f t="shared" si="21"/>
        <v>24</v>
      </c>
      <c r="C342" t="s">
        <v>2739</v>
      </c>
      <c r="D342" t="s">
        <v>1819</v>
      </c>
      <c r="E342" t="s">
        <v>25</v>
      </c>
      <c r="F342" s="162">
        <v>4939.4359999999997</v>
      </c>
      <c r="G342" t="s">
        <v>2646</v>
      </c>
      <c r="H342" s="163">
        <v>46023</v>
      </c>
      <c r="I342" s="163">
        <v>46387</v>
      </c>
      <c r="J342" s="163"/>
      <c r="K342" t="s">
        <v>2667</v>
      </c>
      <c r="L342" t="b">
        <v>0</v>
      </c>
    </row>
    <row r="343" spans="1:12">
      <c r="A343" t="s">
        <v>73</v>
      </c>
      <c r="B343">
        <f t="shared" si="21"/>
        <v>24</v>
      </c>
      <c r="C343" t="s">
        <v>2739</v>
      </c>
      <c r="D343" t="s">
        <v>1826</v>
      </c>
      <c r="E343" t="s">
        <v>25</v>
      </c>
      <c r="F343" s="162">
        <v>4939.4359999999997</v>
      </c>
      <c r="G343" t="s">
        <v>2646</v>
      </c>
      <c r="H343" s="163">
        <v>46023</v>
      </c>
      <c r="I343" s="163">
        <v>46387</v>
      </c>
      <c r="J343" s="163"/>
      <c r="K343" t="s">
        <v>2667</v>
      </c>
      <c r="L343" t="b">
        <v>0</v>
      </c>
    </row>
    <row r="344" spans="1:12">
      <c r="A344" t="s">
        <v>73</v>
      </c>
      <c r="B344">
        <f t="shared" si="21"/>
        <v>24</v>
      </c>
      <c r="C344" t="s">
        <v>2739</v>
      </c>
      <c r="D344" t="s">
        <v>1833</v>
      </c>
      <c r="E344" t="s">
        <v>25</v>
      </c>
      <c r="F344" s="162">
        <v>4939.4359999999997</v>
      </c>
      <c r="G344" t="s">
        <v>2646</v>
      </c>
      <c r="H344" s="163">
        <v>46023</v>
      </c>
      <c r="I344" s="163">
        <v>46387</v>
      </c>
      <c r="J344" s="163"/>
      <c r="K344" t="s">
        <v>2667</v>
      </c>
      <c r="L344" t="b">
        <v>0</v>
      </c>
    </row>
    <row r="345" spans="1:12">
      <c r="A345" t="s">
        <v>73</v>
      </c>
      <c r="B345">
        <f t="shared" si="21"/>
        <v>24</v>
      </c>
      <c r="C345" t="s">
        <v>2739</v>
      </c>
      <c r="D345" t="s">
        <v>1838</v>
      </c>
      <c r="E345" t="s">
        <v>25</v>
      </c>
      <c r="F345" s="162">
        <v>4939.4359999999997</v>
      </c>
      <c r="G345" t="s">
        <v>2646</v>
      </c>
      <c r="H345" s="163">
        <v>46023</v>
      </c>
      <c r="I345" s="163">
        <v>46387</v>
      </c>
      <c r="J345" s="163"/>
      <c r="K345" t="s">
        <v>2667</v>
      </c>
      <c r="L345" t="b">
        <v>0</v>
      </c>
    </row>
    <row r="346" spans="1:12">
      <c r="A346" t="s">
        <v>73</v>
      </c>
      <c r="B346">
        <f t="shared" si="21"/>
        <v>24</v>
      </c>
      <c r="C346" t="s">
        <v>2739</v>
      </c>
      <c r="D346" t="s">
        <v>1810</v>
      </c>
      <c r="E346" t="s">
        <v>21</v>
      </c>
      <c r="F346" s="162">
        <v>4344.8733333333303</v>
      </c>
      <c r="G346" t="s">
        <v>2646</v>
      </c>
      <c r="H346" s="163">
        <v>46023</v>
      </c>
      <c r="I346" s="163">
        <v>46387</v>
      </c>
      <c r="J346" s="163"/>
      <c r="K346" t="s">
        <v>2667</v>
      </c>
      <c r="L346" t="b">
        <v>0</v>
      </c>
    </row>
    <row r="347" spans="1:12">
      <c r="A347" t="s">
        <v>73</v>
      </c>
      <c r="B347">
        <f t="shared" si="21"/>
        <v>24</v>
      </c>
      <c r="C347" t="s">
        <v>2739</v>
      </c>
      <c r="D347" t="s">
        <v>1821</v>
      </c>
      <c r="E347" t="s">
        <v>21</v>
      </c>
      <c r="F347" s="162">
        <v>4344.8733333333303</v>
      </c>
      <c r="G347" t="s">
        <v>2646</v>
      </c>
      <c r="H347" s="163">
        <v>46023</v>
      </c>
      <c r="I347" s="163">
        <v>46387</v>
      </c>
      <c r="J347" s="163"/>
      <c r="K347" t="s">
        <v>2667</v>
      </c>
      <c r="L347" t="b">
        <v>0</v>
      </c>
    </row>
    <row r="348" spans="1:12">
      <c r="A348" t="s">
        <v>73</v>
      </c>
      <c r="B348">
        <f t="shared" si="21"/>
        <v>24</v>
      </c>
      <c r="C348" t="s">
        <v>2739</v>
      </c>
      <c r="D348" t="s">
        <v>1828</v>
      </c>
      <c r="E348" t="s">
        <v>21</v>
      </c>
      <c r="F348" s="162">
        <v>4344.8733333333303</v>
      </c>
      <c r="G348" t="s">
        <v>2646</v>
      </c>
      <c r="H348" s="163">
        <v>46023</v>
      </c>
      <c r="I348" s="163">
        <v>46387</v>
      </c>
      <c r="J348" s="163"/>
      <c r="K348" t="s">
        <v>2667</v>
      </c>
      <c r="L348" t="b">
        <v>0</v>
      </c>
    </row>
    <row r="349" spans="1:12">
      <c r="A349" t="s">
        <v>73</v>
      </c>
      <c r="B349">
        <f t="shared" si="21"/>
        <v>24</v>
      </c>
      <c r="C349" t="s">
        <v>2739</v>
      </c>
      <c r="D349" t="s">
        <v>1835</v>
      </c>
      <c r="E349" t="s">
        <v>21</v>
      </c>
      <c r="F349" s="162">
        <v>4344.8733333333303</v>
      </c>
      <c r="G349" t="s">
        <v>2646</v>
      </c>
      <c r="H349" s="163">
        <v>46023</v>
      </c>
      <c r="I349" s="163">
        <v>46387</v>
      </c>
      <c r="J349" s="163"/>
      <c r="K349" t="s">
        <v>2667</v>
      </c>
      <c r="L349" t="b">
        <v>0</v>
      </c>
    </row>
    <row r="350" spans="1:12">
      <c r="A350" t="s">
        <v>73</v>
      </c>
      <c r="B350">
        <f t="shared" si="21"/>
        <v>24</v>
      </c>
      <c r="C350" t="s">
        <v>2739</v>
      </c>
      <c r="D350" t="s">
        <v>1841</v>
      </c>
      <c r="E350" t="s">
        <v>21</v>
      </c>
      <c r="F350" s="162">
        <v>4344.8733333333303</v>
      </c>
      <c r="G350" t="s">
        <v>2646</v>
      </c>
      <c r="H350" s="163">
        <v>46023</v>
      </c>
      <c r="I350" s="163">
        <v>46387</v>
      </c>
      <c r="J350" s="163"/>
      <c r="K350" t="s">
        <v>2667</v>
      </c>
      <c r="L350" t="b">
        <v>0</v>
      </c>
    </row>
    <row r="351" spans="1:12">
      <c r="A351" t="s">
        <v>73</v>
      </c>
      <c r="B351">
        <f t="shared" si="21"/>
        <v>24</v>
      </c>
      <c r="C351" t="s">
        <v>2739</v>
      </c>
      <c r="D351" t="s">
        <v>1843</v>
      </c>
      <c r="E351" t="s">
        <v>21</v>
      </c>
      <c r="F351" s="162">
        <v>4344.8733333333303</v>
      </c>
      <c r="G351" t="s">
        <v>2646</v>
      </c>
      <c r="H351" s="163">
        <v>46023</v>
      </c>
      <c r="I351" s="163">
        <v>46387</v>
      </c>
      <c r="J351" s="163"/>
      <c r="K351" t="s">
        <v>2667</v>
      </c>
      <c r="L351" t="b">
        <v>0</v>
      </c>
    </row>
    <row r="352" spans="1:12">
      <c r="A352" t="s">
        <v>73</v>
      </c>
      <c r="B352">
        <f t="shared" si="21"/>
        <v>24</v>
      </c>
      <c r="C352" t="s">
        <v>2739</v>
      </c>
      <c r="D352" t="s">
        <v>2645</v>
      </c>
      <c r="E352" t="s">
        <v>1902</v>
      </c>
      <c r="F352" s="162">
        <v>11997.57</v>
      </c>
      <c r="G352" t="s">
        <v>2646</v>
      </c>
      <c r="H352" s="163">
        <v>46023</v>
      </c>
      <c r="I352" s="163">
        <v>46387</v>
      </c>
      <c r="J352" s="163"/>
      <c r="K352" t="s">
        <v>2667</v>
      </c>
      <c r="L352" t="b">
        <v>0</v>
      </c>
    </row>
    <row r="353" spans="1:12">
      <c r="A353" t="s">
        <v>73</v>
      </c>
      <c r="B353">
        <f t="shared" si="21"/>
        <v>24</v>
      </c>
      <c r="C353" t="s">
        <v>2739</v>
      </c>
      <c r="D353" t="s">
        <v>1843</v>
      </c>
      <c r="E353" t="s">
        <v>21</v>
      </c>
      <c r="F353" s="162">
        <v>11327.52</v>
      </c>
      <c r="G353" t="s">
        <v>2646</v>
      </c>
      <c r="H353" s="163">
        <v>46023</v>
      </c>
      <c r="I353" s="163">
        <v>46387</v>
      </c>
      <c r="J353" s="163"/>
      <c r="K353" t="s">
        <v>2667</v>
      </c>
      <c r="L353" t="b">
        <v>0</v>
      </c>
    </row>
    <row r="354" spans="1:12">
      <c r="A354" t="s">
        <v>73</v>
      </c>
      <c r="B354">
        <f t="shared" si="21"/>
        <v>24</v>
      </c>
      <c r="C354" t="s">
        <v>2739</v>
      </c>
      <c r="D354" t="s">
        <v>1842</v>
      </c>
      <c r="E354" t="s">
        <v>1695</v>
      </c>
      <c r="F354" s="162">
        <v>6956.05</v>
      </c>
      <c r="G354" t="s">
        <v>2646</v>
      </c>
      <c r="H354" s="163">
        <v>46023</v>
      </c>
      <c r="I354" s="163">
        <v>46387</v>
      </c>
      <c r="J354" s="163"/>
      <c r="K354" t="s">
        <v>2667</v>
      </c>
      <c r="L354" t="b">
        <v>0</v>
      </c>
    </row>
    <row r="355" spans="1:12">
      <c r="A355" t="s">
        <v>73</v>
      </c>
      <c r="B355">
        <f t="shared" si="21"/>
        <v>24</v>
      </c>
      <c r="C355" t="s">
        <v>2739</v>
      </c>
      <c r="D355" t="s">
        <v>2653</v>
      </c>
      <c r="E355" t="s">
        <v>20</v>
      </c>
      <c r="F355" s="162">
        <v>11997.57</v>
      </c>
      <c r="G355" t="s">
        <v>2646</v>
      </c>
      <c r="H355" s="163">
        <v>46023</v>
      </c>
      <c r="I355" s="163">
        <v>46387</v>
      </c>
      <c r="J355" s="163"/>
      <c r="K355" t="s">
        <v>2667</v>
      </c>
      <c r="L355" t="b">
        <v>0</v>
      </c>
    </row>
    <row r="356" spans="1:12">
      <c r="A356" t="s">
        <v>73</v>
      </c>
      <c r="B356">
        <f t="shared" si="21"/>
        <v>24</v>
      </c>
      <c r="C356" t="s">
        <v>2739</v>
      </c>
      <c r="D356" t="s">
        <v>2626</v>
      </c>
      <c r="E356" t="s">
        <v>23</v>
      </c>
      <c r="F356" s="162">
        <v>2500</v>
      </c>
      <c r="G356" t="s">
        <v>2646</v>
      </c>
      <c r="H356" s="163">
        <v>46023</v>
      </c>
      <c r="I356" s="163">
        <v>46387</v>
      </c>
      <c r="J356" s="163"/>
      <c r="K356" t="s">
        <v>2667</v>
      </c>
      <c r="L356" t="b">
        <v>0</v>
      </c>
    </row>
    <row r="357" spans="1:12">
      <c r="A357" t="s">
        <v>970</v>
      </c>
      <c r="B357">
        <f t="shared" si="21"/>
        <v>2</v>
      </c>
      <c r="C357" t="s">
        <v>2740</v>
      </c>
      <c r="D357" t="s">
        <v>2653</v>
      </c>
      <c r="E357" t="s">
        <v>20</v>
      </c>
      <c r="F357" s="162">
        <v>5805</v>
      </c>
      <c r="G357" t="s">
        <v>2646</v>
      </c>
      <c r="H357" s="163">
        <v>46026</v>
      </c>
      <c r="I357" s="163">
        <v>46477</v>
      </c>
      <c r="J357" s="163"/>
      <c r="K357" t="s">
        <v>2667</v>
      </c>
      <c r="L357" t="b">
        <v>0</v>
      </c>
    </row>
    <row r="358" spans="1:12">
      <c r="A358" t="s">
        <v>970</v>
      </c>
      <c r="B358">
        <f t="shared" si="21"/>
        <v>2</v>
      </c>
      <c r="C358" t="s">
        <v>2740</v>
      </c>
      <c r="D358" t="s">
        <v>1829</v>
      </c>
      <c r="E358" t="s">
        <v>23</v>
      </c>
      <c r="F358" s="162">
        <v>16179</v>
      </c>
      <c r="G358" t="s">
        <v>2646</v>
      </c>
      <c r="H358" s="163">
        <v>46026</v>
      </c>
      <c r="I358" s="163">
        <v>46477</v>
      </c>
      <c r="J358" s="163"/>
      <c r="K358" t="s">
        <v>2667</v>
      </c>
      <c r="L358" t="b">
        <v>0</v>
      </c>
    </row>
    <row r="359" spans="1:12">
      <c r="A359" t="s">
        <v>972</v>
      </c>
      <c r="B359">
        <f t="shared" si="21"/>
        <v>1</v>
      </c>
      <c r="C359" t="s">
        <v>2741</v>
      </c>
      <c r="D359" t="s">
        <v>2653</v>
      </c>
      <c r="E359" t="s">
        <v>20</v>
      </c>
      <c r="F359" s="162">
        <v>4720</v>
      </c>
      <c r="G359" t="s">
        <v>2646</v>
      </c>
      <c r="H359" s="163">
        <v>45669</v>
      </c>
      <c r="I359" s="163">
        <v>46356</v>
      </c>
      <c r="J359" s="163"/>
      <c r="K359" t="s">
        <v>2656</v>
      </c>
      <c r="L359" t="b">
        <v>0</v>
      </c>
    </row>
    <row r="360" spans="1:12">
      <c r="A360" t="s">
        <v>100</v>
      </c>
      <c r="B360">
        <f t="shared" si="21"/>
        <v>4</v>
      </c>
      <c r="C360" t="s">
        <v>2742</v>
      </c>
      <c r="D360" t="s">
        <v>1811</v>
      </c>
      <c r="E360" t="s">
        <v>23</v>
      </c>
      <c r="F360" s="162">
        <v>6333.3333333333303</v>
      </c>
      <c r="G360" t="s">
        <v>2646</v>
      </c>
      <c r="H360" s="163">
        <v>45667</v>
      </c>
      <c r="I360" s="163">
        <v>46295</v>
      </c>
      <c r="J360" s="163"/>
      <c r="K360" t="s">
        <v>2643</v>
      </c>
      <c r="L360" t="b">
        <v>0</v>
      </c>
    </row>
    <row r="361" spans="1:12">
      <c r="A361" t="s">
        <v>100</v>
      </c>
      <c r="B361">
        <f t="shared" si="21"/>
        <v>4</v>
      </c>
      <c r="C361" t="s">
        <v>2742</v>
      </c>
      <c r="D361" t="s">
        <v>1822</v>
      </c>
      <c r="E361" t="s">
        <v>23</v>
      </c>
      <c r="F361" s="162">
        <v>6333.3333333333303</v>
      </c>
      <c r="G361" t="s">
        <v>2646</v>
      </c>
      <c r="H361" s="163">
        <v>45667</v>
      </c>
      <c r="I361" s="163">
        <v>46295</v>
      </c>
      <c r="J361" s="163"/>
      <c r="K361" t="s">
        <v>2643</v>
      </c>
      <c r="L361" t="b">
        <v>0</v>
      </c>
    </row>
    <row r="362" spans="1:12">
      <c r="A362" t="s">
        <v>100</v>
      </c>
      <c r="B362">
        <f t="shared" si="21"/>
        <v>4</v>
      </c>
      <c r="C362" t="s">
        <v>2742</v>
      </c>
      <c r="D362" t="s">
        <v>1829</v>
      </c>
      <c r="E362" t="s">
        <v>23</v>
      </c>
      <c r="F362" s="162">
        <v>6333.3333333333303</v>
      </c>
      <c r="G362" t="s">
        <v>2646</v>
      </c>
      <c r="H362" s="163">
        <v>45667</v>
      </c>
      <c r="I362" s="163">
        <v>46295</v>
      </c>
      <c r="J362" s="163"/>
      <c r="K362" t="s">
        <v>2643</v>
      </c>
      <c r="L362" t="b">
        <v>0</v>
      </c>
    </row>
    <row r="363" spans="1:12">
      <c r="A363" t="s">
        <v>100</v>
      </c>
      <c r="B363">
        <f t="shared" si="21"/>
        <v>4</v>
      </c>
      <c r="C363" t="s">
        <v>2742</v>
      </c>
      <c r="D363" t="s">
        <v>2653</v>
      </c>
      <c r="E363" t="s">
        <v>20</v>
      </c>
      <c r="F363" s="162">
        <v>9000</v>
      </c>
      <c r="G363" t="s">
        <v>2646</v>
      </c>
      <c r="H363" s="163">
        <v>45667</v>
      </c>
      <c r="I363" s="163">
        <v>46295</v>
      </c>
      <c r="J363" s="163"/>
      <c r="K363" t="s">
        <v>2643</v>
      </c>
      <c r="L363" t="b">
        <v>0</v>
      </c>
    </row>
    <row r="364" spans="1:12">
      <c r="A364" t="s">
        <v>1988</v>
      </c>
      <c r="B364">
        <f t="shared" si="21"/>
        <v>0</v>
      </c>
      <c r="C364" t="s">
        <v>2743</v>
      </c>
      <c r="D364" t="s">
        <v>1829</v>
      </c>
      <c r="E364" t="s">
        <v>23</v>
      </c>
      <c r="F364" s="162">
        <v>16200</v>
      </c>
      <c r="G364" t="s">
        <v>2646</v>
      </c>
      <c r="H364" s="163">
        <v>46024</v>
      </c>
      <c r="I364" s="163">
        <v>46418</v>
      </c>
      <c r="J364" s="163"/>
      <c r="K364" t="s">
        <v>2643</v>
      </c>
      <c r="L364" t="b">
        <v>0</v>
      </c>
    </row>
    <row r="365" spans="1:12">
      <c r="A365" t="s">
        <v>103</v>
      </c>
      <c r="B365">
        <f t="shared" si="21"/>
        <v>0</v>
      </c>
      <c r="C365" t="s">
        <v>2744</v>
      </c>
      <c r="D365" t="s">
        <v>1808</v>
      </c>
      <c r="E365" t="s">
        <v>25</v>
      </c>
      <c r="F365" s="162">
        <v>3900</v>
      </c>
      <c r="G365" t="s">
        <v>2646</v>
      </c>
      <c r="H365" s="163">
        <v>45665</v>
      </c>
      <c r="I365" s="163">
        <v>46234</v>
      </c>
      <c r="J365" s="163"/>
      <c r="K365" t="s">
        <v>2671</v>
      </c>
      <c r="L365" t="b">
        <v>0</v>
      </c>
    </row>
    <row r="366" spans="1:12">
      <c r="A366" t="s">
        <v>103</v>
      </c>
      <c r="B366">
        <f t="shared" si="21"/>
        <v>0</v>
      </c>
      <c r="C366" t="s">
        <v>2744</v>
      </c>
      <c r="D366" t="s">
        <v>1820</v>
      </c>
      <c r="E366" t="s">
        <v>25</v>
      </c>
      <c r="F366" s="162">
        <v>3900</v>
      </c>
      <c r="G366" t="s">
        <v>2646</v>
      </c>
      <c r="H366" s="163">
        <v>45665</v>
      </c>
      <c r="I366" s="163">
        <v>46234</v>
      </c>
      <c r="J366" s="163"/>
      <c r="K366" t="s">
        <v>2671</v>
      </c>
      <c r="L366" t="b">
        <v>0</v>
      </c>
    </row>
    <row r="367" spans="1:12">
      <c r="A367" t="s">
        <v>103</v>
      </c>
      <c r="B367">
        <f t="shared" si="21"/>
        <v>0</v>
      </c>
      <c r="C367" t="s">
        <v>2744</v>
      </c>
      <c r="D367" t="s">
        <v>1819</v>
      </c>
      <c r="E367" t="s">
        <v>25</v>
      </c>
      <c r="F367" s="162">
        <v>3900</v>
      </c>
      <c r="G367" t="s">
        <v>2646</v>
      </c>
      <c r="H367" s="163">
        <v>45665</v>
      </c>
      <c r="I367" s="163">
        <v>46234</v>
      </c>
      <c r="J367" s="163"/>
      <c r="K367" t="s">
        <v>2671</v>
      </c>
      <c r="L367" t="b">
        <v>0</v>
      </c>
    </row>
    <row r="368" spans="1:12">
      <c r="A368" t="s">
        <v>103</v>
      </c>
      <c r="B368">
        <f t="shared" si="21"/>
        <v>0</v>
      </c>
      <c r="C368" t="s">
        <v>2744</v>
      </c>
      <c r="D368" t="s">
        <v>1826</v>
      </c>
      <c r="E368" t="s">
        <v>25</v>
      </c>
      <c r="F368" s="162">
        <v>3900</v>
      </c>
      <c r="G368" t="s">
        <v>2646</v>
      </c>
      <c r="H368" s="163">
        <v>45665</v>
      </c>
      <c r="I368" s="163">
        <v>46234</v>
      </c>
      <c r="J368" s="163"/>
      <c r="K368" t="s">
        <v>2671</v>
      </c>
      <c r="L368" t="b">
        <v>0</v>
      </c>
    </row>
    <row r="369" spans="1:12">
      <c r="A369" t="s">
        <v>103</v>
      </c>
      <c r="B369">
        <f t="shared" si="21"/>
        <v>0</v>
      </c>
      <c r="C369" t="s">
        <v>2744</v>
      </c>
      <c r="D369" t="s">
        <v>1916</v>
      </c>
      <c r="E369" t="s">
        <v>25</v>
      </c>
      <c r="F369" s="162">
        <v>3900</v>
      </c>
      <c r="G369" t="s">
        <v>2646</v>
      </c>
      <c r="H369" s="163">
        <v>45665</v>
      </c>
      <c r="I369" s="163">
        <v>46234</v>
      </c>
      <c r="J369" s="163"/>
      <c r="K369" t="s">
        <v>2671</v>
      </c>
      <c r="L369" t="b">
        <v>0</v>
      </c>
    </row>
    <row r="370" spans="1:12">
      <c r="A370" t="s">
        <v>103</v>
      </c>
      <c r="B370">
        <f t="shared" si="21"/>
        <v>0</v>
      </c>
      <c r="C370" t="s">
        <v>2744</v>
      </c>
      <c r="D370" t="s">
        <v>1833</v>
      </c>
      <c r="E370" t="s">
        <v>25</v>
      </c>
      <c r="F370" s="162">
        <v>3900</v>
      </c>
      <c r="G370" t="s">
        <v>2646</v>
      </c>
      <c r="H370" s="163">
        <v>45665</v>
      </c>
      <c r="I370" s="163">
        <v>46234</v>
      </c>
      <c r="J370" s="163"/>
      <c r="K370" t="s">
        <v>2671</v>
      </c>
      <c r="L370" t="b">
        <v>0</v>
      </c>
    </row>
    <row r="371" spans="1:12">
      <c r="A371" t="s">
        <v>103</v>
      </c>
      <c r="B371">
        <f t="shared" si="21"/>
        <v>0</v>
      </c>
      <c r="C371" t="s">
        <v>2744</v>
      </c>
      <c r="D371" t="s">
        <v>1838</v>
      </c>
      <c r="E371" t="s">
        <v>25</v>
      </c>
      <c r="F371" s="162">
        <v>3900</v>
      </c>
      <c r="G371" t="s">
        <v>2646</v>
      </c>
      <c r="H371" s="163">
        <v>45665</v>
      </c>
      <c r="I371" s="163">
        <v>46234</v>
      </c>
      <c r="J371" s="163"/>
      <c r="K371" t="s">
        <v>2671</v>
      </c>
      <c r="L371" t="b">
        <v>0</v>
      </c>
    </row>
    <row r="372" spans="1:12">
      <c r="A372" t="s">
        <v>103</v>
      </c>
      <c r="B372">
        <f t="shared" si="21"/>
        <v>0</v>
      </c>
      <c r="C372" t="s">
        <v>2745</v>
      </c>
      <c r="D372" t="s">
        <v>1808</v>
      </c>
      <c r="E372" t="s">
        <v>25</v>
      </c>
      <c r="F372" s="162">
        <v>4042.8571428571399</v>
      </c>
      <c r="G372" t="s">
        <v>2646</v>
      </c>
      <c r="H372" s="163">
        <v>46030</v>
      </c>
      <c r="I372" s="163">
        <v>46599</v>
      </c>
      <c r="J372" s="163"/>
      <c r="K372" t="s">
        <v>2671</v>
      </c>
      <c r="L372" t="b">
        <v>0</v>
      </c>
    </row>
    <row r="373" spans="1:12">
      <c r="A373" t="s">
        <v>103</v>
      </c>
      <c r="B373">
        <f t="shared" si="21"/>
        <v>0</v>
      </c>
      <c r="C373" t="s">
        <v>2745</v>
      </c>
      <c r="D373" t="s">
        <v>1820</v>
      </c>
      <c r="E373" t="s">
        <v>25</v>
      </c>
      <c r="F373" s="162">
        <v>4042.8571428571399</v>
      </c>
      <c r="G373" t="s">
        <v>2646</v>
      </c>
      <c r="H373" s="163">
        <v>46030</v>
      </c>
      <c r="I373" s="163">
        <v>46599</v>
      </c>
      <c r="J373" s="163"/>
      <c r="K373" t="s">
        <v>2671</v>
      </c>
      <c r="L373" t="b">
        <v>0</v>
      </c>
    </row>
    <row r="374" spans="1:12">
      <c r="A374" t="s">
        <v>103</v>
      </c>
      <c r="B374">
        <f t="shared" si="21"/>
        <v>0</v>
      </c>
      <c r="C374" t="s">
        <v>2745</v>
      </c>
      <c r="D374" t="s">
        <v>1819</v>
      </c>
      <c r="E374" t="s">
        <v>25</v>
      </c>
      <c r="F374" s="162">
        <v>4042.8571428571399</v>
      </c>
      <c r="G374" t="s">
        <v>2646</v>
      </c>
      <c r="H374" s="163">
        <v>46030</v>
      </c>
      <c r="I374" s="163">
        <v>46599</v>
      </c>
      <c r="J374" s="163"/>
      <c r="K374" t="s">
        <v>2671</v>
      </c>
      <c r="L374" t="b">
        <v>0</v>
      </c>
    </row>
    <row r="375" spans="1:12">
      <c r="A375" t="s">
        <v>103</v>
      </c>
      <c r="B375">
        <f t="shared" si="21"/>
        <v>0</v>
      </c>
      <c r="C375" t="s">
        <v>2745</v>
      </c>
      <c r="D375" t="s">
        <v>1826</v>
      </c>
      <c r="E375" t="s">
        <v>25</v>
      </c>
      <c r="F375" s="162">
        <v>4042.8571428571399</v>
      </c>
      <c r="G375" t="s">
        <v>2646</v>
      </c>
      <c r="H375" s="163">
        <v>46030</v>
      </c>
      <c r="I375" s="163">
        <v>46599</v>
      </c>
      <c r="J375" s="163"/>
      <c r="K375" t="s">
        <v>2671</v>
      </c>
      <c r="L375" t="b">
        <v>0</v>
      </c>
    </row>
    <row r="376" spans="1:12">
      <c r="A376" t="s">
        <v>103</v>
      </c>
      <c r="B376">
        <f t="shared" si="21"/>
        <v>0</v>
      </c>
      <c r="C376" t="s">
        <v>2745</v>
      </c>
      <c r="D376" t="s">
        <v>1916</v>
      </c>
      <c r="E376" t="s">
        <v>25</v>
      </c>
      <c r="F376" s="162">
        <v>4042.8571428571399</v>
      </c>
      <c r="G376" t="s">
        <v>2646</v>
      </c>
      <c r="H376" s="163">
        <v>46030</v>
      </c>
      <c r="I376" s="163">
        <v>46599</v>
      </c>
      <c r="J376" s="163"/>
      <c r="K376" t="s">
        <v>2671</v>
      </c>
      <c r="L376" t="b">
        <v>0</v>
      </c>
    </row>
    <row r="377" spans="1:12">
      <c r="A377" t="s">
        <v>103</v>
      </c>
      <c r="B377">
        <f t="shared" si="21"/>
        <v>0</v>
      </c>
      <c r="C377" t="s">
        <v>2745</v>
      </c>
      <c r="D377" t="s">
        <v>1833</v>
      </c>
      <c r="E377" t="s">
        <v>25</v>
      </c>
      <c r="F377" s="162">
        <v>4042.8571428571399</v>
      </c>
      <c r="G377" t="s">
        <v>2646</v>
      </c>
      <c r="H377" s="163">
        <v>46030</v>
      </c>
      <c r="I377" s="163">
        <v>46599</v>
      </c>
      <c r="J377" s="163"/>
      <c r="K377" t="s">
        <v>2671</v>
      </c>
      <c r="L377" t="b">
        <v>0</v>
      </c>
    </row>
    <row r="378" spans="1:12">
      <c r="A378" t="s">
        <v>103</v>
      </c>
      <c r="B378">
        <f t="shared" si="21"/>
        <v>0</v>
      </c>
      <c r="C378" t="s">
        <v>2745</v>
      </c>
      <c r="D378" t="s">
        <v>1838</v>
      </c>
      <c r="E378" t="s">
        <v>25</v>
      </c>
      <c r="F378" s="162">
        <v>4042.8571428571399</v>
      </c>
      <c r="G378" t="s">
        <v>2646</v>
      </c>
      <c r="H378" s="163">
        <v>46030</v>
      </c>
      <c r="I378" s="163">
        <v>46599</v>
      </c>
      <c r="J378" s="163"/>
      <c r="K378" t="s">
        <v>2671</v>
      </c>
      <c r="L378" t="b">
        <v>0</v>
      </c>
    </row>
    <row r="379" spans="1:12">
      <c r="A379" t="s">
        <v>157</v>
      </c>
      <c r="B379">
        <f t="shared" si="21"/>
        <v>0</v>
      </c>
      <c r="C379" t="s">
        <v>2746</v>
      </c>
      <c r="D379" t="s">
        <v>1820</v>
      </c>
      <c r="E379" t="s">
        <v>25</v>
      </c>
      <c r="F379" s="162">
        <v>10500</v>
      </c>
      <c r="G379" t="s">
        <v>2646</v>
      </c>
      <c r="H379" s="163">
        <v>45666</v>
      </c>
      <c r="I379" s="163">
        <v>46265</v>
      </c>
      <c r="J379" s="163"/>
      <c r="K379" t="s">
        <v>2671</v>
      </c>
      <c r="L379" t="b">
        <v>1</v>
      </c>
    </row>
    <row r="380" spans="1:12">
      <c r="A380" t="s">
        <v>158</v>
      </c>
      <c r="B380">
        <f t="shared" si="21"/>
        <v>2</v>
      </c>
      <c r="C380" t="s">
        <v>2747</v>
      </c>
      <c r="D380" t="s">
        <v>2653</v>
      </c>
      <c r="E380" t="s">
        <v>20</v>
      </c>
      <c r="F380" s="162">
        <v>4500</v>
      </c>
      <c r="G380" t="s">
        <v>2646</v>
      </c>
      <c r="H380" s="163">
        <v>46066</v>
      </c>
      <c r="I380" s="163">
        <v>46723</v>
      </c>
      <c r="J380" s="163"/>
      <c r="K380" t="s">
        <v>2671</v>
      </c>
      <c r="L380" t="b">
        <v>0</v>
      </c>
    </row>
    <row r="381" spans="1:12">
      <c r="A381" t="s">
        <v>158</v>
      </c>
      <c r="B381">
        <f t="shared" si="21"/>
        <v>2</v>
      </c>
      <c r="C381" t="s">
        <v>2747</v>
      </c>
      <c r="D381" t="s">
        <v>1827</v>
      </c>
      <c r="E381" t="s">
        <v>29</v>
      </c>
      <c r="F381" s="162">
        <v>9000</v>
      </c>
      <c r="G381" t="s">
        <v>2646</v>
      </c>
      <c r="H381" s="163">
        <v>46066</v>
      </c>
      <c r="I381" s="163">
        <v>46723</v>
      </c>
      <c r="J381" s="163"/>
      <c r="K381" t="s">
        <v>2671</v>
      </c>
      <c r="L381" t="b">
        <v>0</v>
      </c>
    </row>
    <row r="382" spans="1:12">
      <c r="A382" t="s">
        <v>2003</v>
      </c>
      <c r="B382">
        <f t="shared" si="21"/>
        <v>4</v>
      </c>
      <c r="C382" t="s">
        <v>2748</v>
      </c>
      <c r="D382" t="s">
        <v>2653</v>
      </c>
      <c r="E382" t="s">
        <v>20</v>
      </c>
      <c r="F382" s="162">
        <v>13515</v>
      </c>
      <c r="G382" t="s">
        <v>2646</v>
      </c>
      <c r="H382" s="163">
        <v>46026</v>
      </c>
      <c r="I382" s="163">
        <v>46477</v>
      </c>
      <c r="J382" s="163"/>
      <c r="K382" t="s">
        <v>2656</v>
      </c>
      <c r="L382" t="b">
        <v>0</v>
      </c>
    </row>
    <row r="383" spans="1:12">
      <c r="A383" t="s">
        <v>2003</v>
      </c>
      <c r="B383">
        <f t="shared" si="21"/>
        <v>4</v>
      </c>
      <c r="C383" t="s">
        <v>2748</v>
      </c>
      <c r="D383" t="s">
        <v>2653</v>
      </c>
      <c r="E383" t="s">
        <v>20</v>
      </c>
      <c r="F383" s="162">
        <v>4081</v>
      </c>
      <c r="G383" t="s">
        <v>2646</v>
      </c>
      <c r="H383" s="163">
        <v>46026</v>
      </c>
      <c r="I383" s="163">
        <v>46477</v>
      </c>
      <c r="J383" s="163"/>
      <c r="K383" t="s">
        <v>2656</v>
      </c>
      <c r="L383" t="b">
        <v>0</v>
      </c>
    </row>
    <row r="384" spans="1:12">
      <c r="A384" t="s">
        <v>2003</v>
      </c>
      <c r="B384">
        <f t="shared" si="21"/>
        <v>4</v>
      </c>
      <c r="C384" t="s">
        <v>2749</v>
      </c>
      <c r="D384" t="s">
        <v>2653</v>
      </c>
      <c r="E384" t="s">
        <v>20</v>
      </c>
      <c r="F384" s="162">
        <v>14326</v>
      </c>
      <c r="G384" t="s">
        <v>2646</v>
      </c>
      <c r="H384" s="163">
        <v>46391</v>
      </c>
      <c r="I384" s="163">
        <v>46843</v>
      </c>
      <c r="J384" s="163"/>
      <c r="K384" t="s">
        <v>2656</v>
      </c>
      <c r="L384" t="b">
        <v>0</v>
      </c>
    </row>
    <row r="385" spans="1:12">
      <c r="A385" t="s">
        <v>2003</v>
      </c>
      <c r="B385">
        <f t="shared" si="21"/>
        <v>4</v>
      </c>
      <c r="C385" t="s">
        <v>2749</v>
      </c>
      <c r="D385" t="s">
        <v>2653</v>
      </c>
      <c r="E385" t="s">
        <v>20</v>
      </c>
      <c r="F385" s="162">
        <v>4326</v>
      </c>
      <c r="G385" t="s">
        <v>2646</v>
      </c>
      <c r="H385" s="163">
        <v>46391</v>
      </c>
      <c r="I385" s="163">
        <v>46843</v>
      </c>
      <c r="J385" s="163"/>
      <c r="K385" t="s">
        <v>2656</v>
      </c>
      <c r="L385" t="b">
        <v>0</v>
      </c>
    </row>
    <row r="386" spans="1:12">
      <c r="A386" t="s">
        <v>522</v>
      </c>
      <c r="B386">
        <f t="shared" si="21"/>
        <v>0</v>
      </c>
      <c r="C386" t="s">
        <v>2750</v>
      </c>
      <c r="D386" t="s">
        <v>2645</v>
      </c>
      <c r="E386" t="s">
        <v>1902</v>
      </c>
      <c r="F386" s="162">
        <v>12900</v>
      </c>
      <c r="G386" t="s">
        <v>2646</v>
      </c>
      <c r="H386" s="163">
        <v>45975</v>
      </c>
      <c r="I386" s="163">
        <v>46339</v>
      </c>
      <c r="J386" s="163"/>
      <c r="K386" t="s">
        <v>2647</v>
      </c>
      <c r="L386" t="b">
        <v>0</v>
      </c>
    </row>
    <row r="387" spans="1:12">
      <c r="A387" t="s">
        <v>2021</v>
      </c>
      <c r="B387">
        <f t="shared" ref="B387:B450" si="22">IF(COUNTIFS($A$2:$A$1053,A387,$E$2:$E$1053,"Industry Essentials")&gt;0, COUNTIF($A$2:$A$1053,A387), 0)</f>
        <v>0</v>
      </c>
      <c r="C387" t="s">
        <v>2751</v>
      </c>
      <c r="D387" t="s">
        <v>2645</v>
      </c>
      <c r="E387" t="s">
        <v>1902</v>
      </c>
      <c r="F387" s="162">
        <v>20293</v>
      </c>
      <c r="G387" t="s">
        <v>2655</v>
      </c>
      <c r="H387" s="163">
        <v>46101</v>
      </c>
      <c r="I387" s="163">
        <v>46831</v>
      </c>
      <c r="J387" s="163"/>
      <c r="K387" t="s">
        <v>2647</v>
      </c>
      <c r="L387" t="b">
        <v>0</v>
      </c>
    </row>
    <row r="388" spans="1:12">
      <c r="A388" t="s">
        <v>2021</v>
      </c>
      <c r="B388">
        <f t="shared" si="22"/>
        <v>0</v>
      </c>
      <c r="C388" t="s">
        <v>2751</v>
      </c>
      <c r="D388" t="s">
        <v>1898</v>
      </c>
      <c r="E388" t="s">
        <v>29</v>
      </c>
      <c r="F388" s="162">
        <v>22322</v>
      </c>
      <c r="G388" t="s">
        <v>2655</v>
      </c>
      <c r="H388" s="163">
        <v>46101</v>
      </c>
      <c r="I388" s="163">
        <v>46831</v>
      </c>
      <c r="J388" s="163"/>
      <c r="K388" t="s">
        <v>2647</v>
      </c>
      <c r="L388" t="b">
        <v>0</v>
      </c>
    </row>
    <row r="389" spans="1:12">
      <c r="A389" t="s">
        <v>361</v>
      </c>
      <c r="B389">
        <f t="shared" si="22"/>
        <v>5</v>
      </c>
      <c r="C389" t="s">
        <v>2752</v>
      </c>
      <c r="D389" t="s">
        <v>1873</v>
      </c>
      <c r="E389" t="s">
        <v>2717</v>
      </c>
      <c r="F389" s="162">
        <v>18000</v>
      </c>
      <c r="G389" t="s">
        <v>2642</v>
      </c>
      <c r="H389" s="163">
        <v>45798</v>
      </c>
      <c r="I389" s="163">
        <v>46162</v>
      </c>
      <c r="J389" s="163"/>
      <c r="K389" t="s">
        <v>2647</v>
      </c>
      <c r="L389" t="b">
        <v>0</v>
      </c>
    </row>
    <row r="390" spans="1:12">
      <c r="A390" t="s">
        <v>361</v>
      </c>
      <c r="B390">
        <f t="shared" si="22"/>
        <v>5</v>
      </c>
      <c r="C390" t="s">
        <v>2753</v>
      </c>
      <c r="D390" t="s">
        <v>2645</v>
      </c>
      <c r="E390" t="s">
        <v>1902</v>
      </c>
      <c r="F390" s="162">
        <v>11780</v>
      </c>
      <c r="G390" t="s">
        <v>2646</v>
      </c>
      <c r="H390" s="163">
        <v>45668</v>
      </c>
      <c r="I390" s="163">
        <v>46326</v>
      </c>
      <c r="J390" s="163"/>
      <c r="K390" t="s">
        <v>2647</v>
      </c>
      <c r="L390" t="b">
        <v>0</v>
      </c>
    </row>
    <row r="391" spans="1:12">
      <c r="A391" t="s">
        <v>361</v>
      </c>
      <c r="B391">
        <f t="shared" si="22"/>
        <v>5</v>
      </c>
      <c r="C391" t="s">
        <v>2753</v>
      </c>
      <c r="D391" t="s">
        <v>2653</v>
      </c>
      <c r="E391" t="s">
        <v>20</v>
      </c>
      <c r="F391" s="162">
        <v>10450</v>
      </c>
      <c r="G391" t="s">
        <v>2646</v>
      </c>
      <c r="H391" s="163">
        <v>45668</v>
      </c>
      <c r="I391" s="163">
        <v>46326</v>
      </c>
      <c r="J391" s="163"/>
      <c r="K391" t="s">
        <v>2647</v>
      </c>
      <c r="L391" t="b">
        <v>0</v>
      </c>
    </row>
    <row r="392" spans="1:12">
      <c r="A392" t="s">
        <v>361</v>
      </c>
      <c r="B392">
        <f t="shared" si="22"/>
        <v>5</v>
      </c>
      <c r="C392" t="s">
        <v>2754</v>
      </c>
      <c r="D392" t="s">
        <v>1845</v>
      </c>
      <c r="E392" t="s">
        <v>31</v>
      </c>
      <c r="F392" s="162">
        <v>13225</v>
      </c>
      <c r="G392" t="s">
        <v>2642</v>
      </c>
      <c r="H392" s="163">
        <v>46108</v>
      </c>
      <c r="I392" s="163">
        <v>46472</v>
      </c>
      <c r="J392" s="163"/>
      <c r="K392" t="s">
        <v>2647</v>
      </c>
      <c r="L392" t="b">
        <v>0</v>
      </c>
    </row>
    <row r="393" spans="1:12">
      <c r="A393" t="s">
        <v>361</v>
      </c>
      <c r="B393">
        <f t="shared" si="22"/>
        <v>5</v>
      </c>
      <c r="C393" t="s">
        <v>2755</v>
      </c>
      <c r="D393" t="s">
        <v>2624</v>
      </c>
      <c r="E393" t="s">
        <v>31</v>
      </c>
      <c r="F393" s="162">
        <v>49280</v>
      </c>
      <c r="G393" t="s">
        <v>2655</v>
      </c>
      <c r="H393" s="163">
        <v>46176</v>
      </c>
      <c r="I393" s="163">
        <v>46876</v>
      </c>
      <c r="J393" s="163"/>
      <c r="K393" t="s">
        <v>2647</v>
      </c>
      <c r="L393" t="b">
        <v>0</v>
      </c>
    </row>
    <row r="394" spans="1:12">
      <c r="A394" t="s">
        <v>1978</v>
      </c>
      <c r="B394">
        <f t="shared" si="22"/>
        <v>8</v>
      </c>
      <c r="C394" t="s">
        <v>2756</v>
      </c>
      <c r="D394" t="s">
        <v>1829</v>
      </c>
      <c r="E394" t="s">
        <v>23</v>
      </c>
      <c r="F394" s="162">
        <v>16783.36</v>
      </c>
      <c r="G394" t="s">
        <v>2646</v>
      </c>
      <c r="H394" s="163">
        <v>46023</v>
      </c>
      <c r="I394" s="163">
        <v>46387</v>
      </c>
      <c r="J394" s="163"/>
      <c r="K394" t="s">
        <v>2667</v>
      </c>
      <c r="L394" t="b">
        <v>0</v>
      </c>
    </row>
    <row r="395" spans="1:12">
      <c r="A395" t="s">
        <v>1978</v>
      </c>
      <c r="B395">
        <f t="shared" si="22"/>
        <v>8</v>
      </c>
      <c r="C395" t="s">
        <v>2756</v>
      </c>
      <c r="D395" t="s">
        <v>2625</v>
      </c>
      <c r="E395" t="s">
        <v>27</v>
      </c>
      <c r="F395" s="162">
        <v>22909.8</v>
      </c>
      <c r="G395" t="s">
        <v>2646</v>
      </c>
      <c r="H395" s="163">
        <v>46023</v>
      </c>
      <c r="I395" s="163">
        <v>46387</v>
      </c>
      <c r="J395" s="163"/>
      <c r="K395" t="s">
        <v>2667</v>
      </c>
      <c r="L395" t="b">
        <v>0</v>
      </c>
    </row>
    <row r="396" spans="1:12">
      <c r="A396" t="s">
        <v>1978</v>
      </c>
      <c r="B396">
        <f t="shared" si="22"/>
        <v>8</v>
      </c>
      <c r="C396" t="s">
        <v>2756</v>
      </c>
      <c r="D396" t="s">
        <v>2653</v>
      </c>
      <c r="E396" t="s">
        <v>20</v>
      </c>
      <c r="F396" s="162">
        <v>6023.48</v>
      </c>
      <c r="G396" t="s">
        <v>2646</v>
      </c>
      <c r="H396" s="163">
        <v>46023</v>
      </c>
      <c r="I396" s="163">
        <v>46387</v>
      </c>
      <c r="J396" s="163"/>
      <c r="K396" t="s">
        <v>2667</v>
      </c>
      <c r="L396" t="b">
        <v>0</v>
      </c>
    </row>
    <row r="397" spans="1:12">
      <c r="A397" t="s">
        <v>1978</v>
      </c>
      <c r="B397">
        <f t="shared" si="22"/>
        <v>8</v>
      </c>
      <c r="C397" t="s">
        <v>2756</v>
      </c>
      <c r="D397" t="s">
        <v>1843</v>
      </c>
      <c r="E397" t="s">
        <v>21</v>
      </c>
      <c r="F397" s="162">
        <v>9987.64</v>
      </c>
      <c r="G397" t="s">
        <v>2646</v>
      </c>
      <c r="H397" s="163">
        <v>46023</v>
      </c>
      <c r="I397" s="163">
        <v>46387</v>
      </c>
      <c r="J397" s="163"/>
      <c r="K397" t="s">
        <v>2667</v>
      </c>
      <c r="L397" t="b">
        <v>0</v>
      </c>
    </row>
    <row r="398" spans="1:12">
      <c r="A398" t="s">
        <v>1978</v>
      </c>
      <c r="B398">
        <f t="shared" si="22"/>
        <v>8</v>
      </c>
      <c r="C398" t="s">
        <v>2756</v>
      </c>
      <c r="D398" t="s">
        <v>1828</v>
      </c>
      <c r="E398" t="s">
        <v>21</v>
      </c>
      <c r="F398" s="162">
        <v>9524.2999999999993</v>
      </c>
      <c r="G398" t="s">
        <v>2646</v>
      </c>
      <c r="H398" s="163">
        <v>46023</v>
      </c>
      <c r="I398" s="163">
        <v>46387</v>
      </c>
      <c r="J398" s="163"/>
      <c r="K398" t="s">
        <v>2667</v>
      </c>
      <c r="L398" t="b">
        <v>0</v>
      </c>
    </row>
    <row r="399" spans="1:12">
      <c r="A399" t="s">
        <v>1978</v>
      </c>
      <c r="B399">
        <f t="shared" si="22"/>
        <v>8</v>
      </c>
      <c r="C399" t="s">
        <v>2756</v>
      </c>
      <c r="D399" t="s">
        <v>2626</v>
      </c>
      <c r="E399" t="s">
        <v>23</v>
      </c>
      <c r="F399" s="162">
        <v>2500</v>
      </c>
      <c r="G399" t="s">
        <v>2646</v>
      </c>
      <c r="H399" s="163">
        <v>46023</v>
      </c>
      <c r="I399" s="163">
        <v>46387</v>
      </c>
      <c r="J399" s="163"/>
      <c r="K399" t="s">
        <v>2667</v>
      </c>
      <c r="L399" t="b">
        <v>0</v>
      </c>
    </row>
    <row r="400" spans="1:12">
      <c r="A400" t="s">
        <v>1978</v>
      </c>
      <c r="B400">
        <f t="shared" si="22"/>
        <v>8</v>
      </c>
      <c r="C400" t="s">
        <v>2756</v>
      </c>
      <c r="D400" t="s">
        <v>1794</v>
      </c>
      <c r="E400" t="s">
        <v>27</v>
      </c>
      <c r="F400" s="162">
        <v>7207.58</v>
      </c>
      <c r="G400" t="s">
        <v>2646</v>
      </c>
      <c r="H400" s="163">
        <v>46023</v>
      </c>
      <c r="I400" s="163">
        <v>46387</v>
      </c>
      <c r="J400" s="163"/>
      <c r="K400" t="s">
        <v>2667</v>
      </c>
      <c r="L400" t="b">
        <v>0</v>
      </c>
    </row>
    <row r="401" spans="1:12">
      <c r="A401" t="s">
        <v>1978</v>
      </c>
      <c r="B401">
        <f t="shared" si="22"/>
        <v>8</v>
      </c>
      <c r="C401" t="s">
        <v>2757</v>
      </c>
      <c r="D401" t="s">
        <v>2758</v>
      </c>
      <c r="E401" t="s">
        <v>2666</v>
      </c>
      <c r="F401" s="162">
        <v>40000</v>
      </c>
      <c r="G401" t="s">
        <v>2666</v>
      </c>
      <c r="H401" s="163">
        <v>46123</v>
      </c>
      <c r="I401" s="163">
        <v>46457</v>
      </c>
      <c r="J401" s="163"/>
      <c r="K401" t="s">
        <v>2667</v>
      </c>
      <c r="L401" t="b">
        <v>0</v>
      </c>
    </row>
    <row r="402" spans="1:12">
      <c r="A402" t="s">
        <v>1230</v>
      </c>
      <c r="B402">
        <f t="shared" si="22"/>
        <v>0</v>
      </c>
      <c r="C402" t="s">
        <v>2759</v>
      </c>
      <c r="D402" t="s">
        <v>1820</v>
      </c>
      <c r="E402" t="s">
        <v>25</v>
      </c>
      <c r="F402" s="162">
        <v>13420</v>
      </c>
      <c r="G402" t="s">
        <v>2646</v>
      </c>
      <c r="H402" s="163">
        <v>46025</v>
      </c>
      <c r="I402" s="163">
        <v>46446</v>
      </c>
      <c r="J402" s="163"/>
      <c r="K402" t="s">
        <v>2647</v>
      </c>
      <c r="L402" t="b">
        <v>0</v>
      </c>
    </row>
    <row r="403" spans="1:12">
      <c r="A403" t="s">
        <v>1953</v>
      </c>
      <c r="B403">
        <f t="shared" si="22"/>
        <v>0</v>
      </c>
      <c r="C403" t="s">
        <v>2760</v>
      </c>
      <c r="D403" t="s">
        <v>1843</v>
      </c>
      <c r="E403" t="s">
        <v>21</v>
      </c>
      <c r="F403" s="162">
        <v>9000</v>
      </c>
      <c r="G403" t="s">
        <v>2646</v>
      </c>
      <c r="H403" s="163">
        <v>45848</v>
      </c>
      <c r="I403" s="163">
        <v>46183</v>
      </c>
      <c r="J403" s="163"/>
      <c r="K403" t="s">
        <v>2656</v>
      </c>
      <c r="L403" t="b">
        <v>0</v>
      </c>
    </row>
    <row r="404" spans="1:12">
      <c r="A404" t="s">
        <v>1991</v>
      </c>
      <c r="B404">
        <f t="shared" si="22"/>
        <v>1</v>
      </c>
      <c r="C404" t="s">
        <v>2761</v>
      </c>
      <c r="D404" t="s">
        <v>2653</v>
      </c>
      <c r="E404" t="s">
        <v>20</v>
      </c>
      <c r="F404" s="162">
        <v>9000</v>
      </c>
      <c r="G404" t="s">
        <v>1705</v>
      </c>
      <c r="H404" s="163">
        <v>46267</v>
      </c>
      <c r="I404" s="163">
        <v>46601</v>
      </c>
      <c r="J404" s="163"/>
      <c r="K404" t="s">
        <v>2656</v>
      </c>
      <c r="L404" t="b">
        <v>0</v>
      </c>
    </row>
    <row r="405" spans="1:12">
      <c r="A405" t="s">
        <v>1958</v>
      </c>
      <c r="B405">
        <f t="shared" si="22"/>
        <v>0</v>
      </c>
      <c r="C405" t="s">
        <v>2762</v>
      </c>
      <c r="D405" t="s">
        <v>2645</v>
      </c>
      <c r="E405" t="s">
        <v>1902</v>
      </c>
      <c r="F405" s="162">
        <v>11125</v>
      </c>
      <c r="G405" t="s">
        <v>2646</v>
      </c>
      <c r="H405" s="163">
        <v>45668</v>
      </c>
      <c r="I405" s="163">
        <v>46326</v>
      </c>
      <c r="J405" s="163"/>
      <c r="K405" t="s">
        <v>2647</v>
      </c>
      <c r="L405" t="b">
        <v>0</v>
      </c>
    </row>
    <row r="406" spans="1:12">
      <c r="A406" t="s">
        <v>1938</v>
      </c>
      <c r="B406">
        <f t="shared" si="22"/>
        <v>0</v>
      </c>
      <c r="C406" t="s">
        <v>2763</v>
      </c>
      <c r="D406" t="s">
        <v>1827</v>
      </c>
      <c r="E406" t="s">
        <v>29</v>
      </c>
      <c r="F406" s="162">
        <v>8400</v>
      </c>
      <c r="G406" t="s">
        <v>2646</v>
      </c>
      <c r="H406" s="163">
        <v>45664</v>
      </c>
      <c r="I406" s="163">
        <v>46203</v>
      </c>
      <c r="J406" s="163"/>
      <c r="K406" t="s">
        <v>2671</v>
      </c>
      <c r="L406" t="b">
        <v>0</v>
      </c>
    </row>
    <row r="407" spans="1:12">
      <c r="A407" t="s">
        <v>1938</v>
      </c>
      <c r="B407">
        <f t="shared" si="22"/>
        <v>0</v>
      </c>
      <c r="C407" t="s">
        <v>2763</v>
      </c>
      <c r="D407" t="s">
        <v>1819</v>
      </c>
      <c r="E407" t="s">
        <v>25</v>
      </c>
      <c r="F407" s="162">
        <v>6800</v>
      </c>
      <c r="G407" t="s">
        <v>2646</v>
      </c>
      <c r="H407" s="163">
        <v>45664</v>
      </c>
      <c r="I407" s="163">
        <v>46203</v>
      </c>
      <c r="J407" s="163"/>
      <c r="K407" t="s">
        <v>2671</v>
      </c>
      <c r="L407" t="b">
        <v>0</v>
      </c>
    </row>
    <row r="408" spans="1:12">
      <c r="A408" t="s">
        <v>1938</v>
      </c>
      <c r="B408">
        <f t="shared" si="22"/>
        <v>0</v>
      </c>
      <c r="C408" t="s">
        <v>2763</v>
      </c>
      <c r="D408" t="s">
        <v>1820</v>
      </c>
      <c r="E408" t="s">
        <v>25</v>
      </c>
      <c r="F408" s="162">
        <v>8400</v>
      </c>
      <c r="G408" t="s">
        <v>2646</v>
      </c>
      <c r="H408" s="163">
        <v>45664</v>
      </c>
      <c r="I408" s="163">
        <v>46203</v>
      </c>
      <c r="J408" s="163"/>
      <c r="K408" t="s">
        <v>2671</v>
      </c>
      <c r="L408" t="b">
        <v>0</v>
      </c>
    </row>
    <row r="409" spans="1:12">
      <c r="A409" t="s">
        <v>241</v>
      </c>
      <c r="B409">
        <f t="shared" si="22"/>
        <v>7</v>
      </c>
      <c r="C409" t="s">
        <v>2764</v>
      </c>
      <c r="D409" t="s">
        <v>2653</v>
      </c>
      <c r="E409" t="s">
        <v>20</v>
      </c>
      <c r="F409" s="162">
        <v>9000</v>
      </c>
      <c r="G409" t="s">
        <v>2646</v>
      </c>
      <c r="H409" s="163">
        <v>46026</v>
      </c>
      <c r="I409" s="163">
        <v>46477</v>
      </c>
      <c r="J409" s="163"/>
      <c r="K409" t="s">
        <v>2671</v>
      </c>
      <c r="L409" t="b">
        <v>0</v>
      </c>
    </row>
    <row r="410" spans="1:12">
      <c r="A410" t="s">
        <v>241</v>
      </c>
      <c r="B410">
        <f t="shared" si="22"/>
        <v>7</v>
      </c>
      <c r="C410" t="s">
        <v>2764</v>
      </c>
      <c r="D410" t="s">
        <v>2624</v>
      </c>
      <c r="E410" t="s">
        <v>31</v>
      </c>
      <c r="F410" s="162">
        <v>14500</v>
      </c>
      <c r="G410" t="s">
        <v>2646</v>
      </c>
      <c r="H410" s="163">
        <v>46026</v>
      </c>
      <c r="I410" s="163">
        <v>46477</v>
      </c>
      <c r="J410" s="163"/>
      <c r="K410" t="s">
        <v>2671</v>
      </c>
      <c r="L410" t="b">
        <v>0</v>
      </c>
    </row>
    <row r="411" spans="1:12">
      <c r="A411" t="s">
        <v>241</v>
      </c>
      <c r="B411">
        <f t="shared" si="22"/>
        <v>7</v>
      </c>
      <c r="C411" t="s">
        <v>2764</v>
      </c>
      <c r="D411" t="s">
        <v>1814</v>
      </c>
      <c r="E411" t="s">
        <v>1695</v>
      </c>
      <c r="F411" s="162">
        <v>3500</v>
      </c>
      <c r="G411" t="s">
        <v>2646</v>
      </c>
      <c r="H411" s="163">
        <v>46026</v>
      </c>
      <c r="I411" s="163">
        <v>46477</v>
      </c>
      <c r="J411" s="163"/>
      <c r="K411" t="s">
        <v>2671</v>
      </c>
      <c r="L411" t="b">
        <v>0</v>
      </c>
    </row>
    <row r="412" spans="1:12">
      <c r="A412" t="s">
        <v>241</v>
      </c>
      <c r="B412">
        <f t="shared" si="22"/>
        <v>7</v>
      </c>
      <c r="C412" t="s">
        <v>2764</v>
      </c>
      <c r="D412" t="s">
        <v>1824</v>
      </c>
      <c r="E412" t="s">
        <v>1695</v>
      </c>
      <c r="F412" s="162">
        <v>3500</v>
      </c>
      <c r="G412" t="s">
        <v>2646</v>
      </c>
      <c r="H412" s="163">
        <v>46026</v>
      </c>
      <c r="I412" s="163">
        <v>46477</v>
      </c>
      <c r="J412" s="163"/>
      <c r="K412" t="s">
        <v>2671</v>
      </c>
      <c r="L412" t="b">
        <v>0</v>
      </c>
    </row>
    <row r="413" spans="1:12">
      <c r="A413" t="s">
        <v>241</v>
      </c>
      <c r="B413">
        <f t="shared" si="22"/>
        <v>7</v>
      </c>
      <c r="C413" t="s">
        <v>2764</v>
      </c>
      <c r="D413" t="s">
        <v>1842</v>
      </c>
      <c r="E413" t="s">
        <v>1695</v>
      </c>
      <c r="F413" s="162">
        <v>3500</v>
      </c>
      <c r="G413" t="s">
        <v>2646</v>
      </c>
      <c r="H413" s="163">
        <v>46026</v>
      </c>
      <c r="I413" s="163">
        <v>46477</v>
      </c>
      <c r="J413" s="163"/>
      <c r="K413" t="s">
        <v>2671</v>
      </c>
      <c r="L413" t="b">
        <v>0</v>
      </c>
    </row>
    <row r="414" spans="1:12">
      <c r="A414" t="s">
        <v>241</v>
      </c>
      <c r="B414">
        <f t="shared" si="22"/>
        <v>7</v>
      </c>
      <c r="C414" t="s">
        <v>2764</v>
      </c>
      <c r="D414" t="s">
        <v>1851</v>
      </c>
      <c r="E414" t="s">
        <v>1695</v>
      </c>
      <c r="F414" s="162">
        <v>3500</v>
      </c>
      <c r="G414" t="s">
        <v>2646</v>
      </c>
      <c r="H414" s="163">
        <v>46026</v>
      </c>
      <c r="I414" s="163">
        <v>46477</v>
      </c>
      <c r="J414" s="163"/>
      <c r="K414" t="s">
        <v>2671</v>
      </c>
      <c r="L414" t="b">
        <v>0</v>
      </c>
    </row>
    <row r="415" spans="1:12">
      <c r="A415" t="s">
        <v>241</v>
      </c>
      <c r="B415">
        <f t="shared" si="22"/>
        <v>7</v>
      </c>
      <c r="C415" t="s">
        <v>2764</v>
      </c>
      <c r="D415" t="s">
        <v>1853</v>
      </c>
      <c r="E415" t="s">
        <v>1695</v>
      </c>
      <c r="F415" s="162">
        <v>3500</v>
      </c>
      <c r="G415" t="s">
        <v>2646</v>
      </c>
      <c r="H415" s="163">
        <v>46026</v>
      </c>
      <c r="I415" s="163">
        <v>46477</v>
      </c>
      <c r="J415" s="163"/>
      <c r="K415" t="s">
        <v>2671</v>
      </c>
      <c r="L415" t="b">
        <v>0</v>
      </c>
    </row>
    <row r="416" spans="1:12">
      <c r="A416" t="s">
        <v>1943</v>
      </c>
      <c r="B416">
        <f t="shared" si="22"/>
        <v>2</v>
      </c>
      <c r="C416" t="s">
        <v>2765</v>
      </c>
      <c r="D416" t="s">
        <v>2653</v>
      </c>
      <c r="E416" t="s">
        <v>20</v>
      </c>
      <c r="F416" s="162">
        <v>4140</v>
      </c>
      <c r="G416" t="s">
        <v>2646</v>
      </c>
      <c r="H416" s="163">
        <v>46030</v>
      </c>
      <c r="I416" s="163">
        <v>46599</v>
      </c>
      <c r="J416" s="163"/>
      <c r="K416" t="s">
        <v>2656</v>
      </c>
      <c r="L416" t="b">
        <v>0</v>
      </c>
    </row>
    <row r="417" spans="1:12">
      <c r="A417" t="s">
        <v>1943</v>
      </c>
      <c r="B417">
        <f t="shared" si="22"/>
        <v>2</v>
      </c>
      <c r="C417" t="s">
        <v>2765</v>
      </c>
      <c r="D417" t="s">
        <v>2653</v>
      </c>
      <c r="E417" t="s">
        <v>20</v>
      </c>
      <c r="F417" s="162">
        <v>4140</v>
      </c>
      <c r="G417" t="s">
        <v>2646</v>
      </c>
      <c r="H417" s="163">
        <v>46030</v>
      </c>
      <c r="I417" s="163">
        <v>46599</v>
      </c>
      <c r="J417" s="163"/>
      <c r="K417" t="s">
        <v>2656</v>
      </c>
      <c r="L417" t="b">
        <v>0</v>
      </c>
    </row>
    <row r="418" spans="1:12">
      <c r="A418" t="s">
        <v>993</v>
      </c>
      <c r="B418">
        <f t="shared" si="22"/>
        <v>1</v>
      </c>
      <c r="C418" t="s">
        <v>2766</v>
      </c>
      <c r="D418" t="s">
        <v>2653</v>
      </c>
      <c r="E418" t="s">
        <v>20</v>
      </c>
      <c r="F418" s="162">
        <v>8000</v>
      </c>
      <c r="G418" t="s">
        <v>2646</v>
      </c>
      <c r="H418" s="163">
        <v>46026</v>
      </c>
      <c r="I418" s="163">
        <v>46477</v>
      </c>
      <c r="J418" s="163"/>
      <c r="K418" t="s">
        <v>2656</v>
      </c>
      <c r="L418" t="b">
        <v>0</v>
      </c>
    </row>
    <row r="419" spans="1:12">
      <c r="A419" t="s">
        <v>1939</v>
      </c>
      <c r="B419">
        <f t="shared" si="22"/>
        <v>1</v>
      </c>
      <c r="C419" t="s">
        <v>2767</v>
      </c>
      <c r="D419" t="s">
        <v>2653</v>
      </c>
      <c r="E419" t="s">
        <v>20</v>
      </c>
      <c r="F419" s="162">
        <v>3900</v>
      </c>
      <c r="G419" t="s">
        <v>2646</v>
      </c>
      <c r="H419" s="163">
        <v>45664</v>
      </c>
      <c r="I419" s="163">
        <v>46203</v>
      </c>
      <c r="J419" s="163"/>
      <c r="K419" t="s">
        <v>2656</v>
      </c>
      <c r="L419" t="b">
        <v>0</v>
      </c>
    </row>
    <row r="420" spans="1:12">
      <c r="A420" t="s">
        <v>105</v>
      </c>
      <c r="B420">
        <f t="shared" si="22"/>
        <v>4</v>
      </c>
      <c r="C420" t="s">
        <v>2768</v>
      </c>
      <c r="D420" t="s">
        <v>1811</v>
      </c>
      <c r="E420" t="s">
        <v>23</v>
      </c>
      <c r="F420" s="162">
        <v>6033.3333333333303</v>
      </c>
      <c r="G420" t="s">
        <v>2646</v>
      </c>
      <c r="H420" s="163">
        <v>46026</v>
      </c>
      <c r="I420" s="163">
        <v>46477</v>
      </c>
      <c r="J420" s="163"/>
      <c r="K420" t="s">
        <v>2643</v>
      </c>
      <c r="L420" t="b">
        <v>0</v>
      </c>
    </row>
    <row r="421" spans="1:12">
      <c r="A421" t="s">
        <v>105</v>
      </c>
      <c r="B421">
        <f t="shared" si="22"/>
        <v>4</v>
      </c>
      <c r="C421" t="s">
        <v>2768</v>
      </c>
      <c r="D421" t="s">
        <v>1822</v>
      </c>
      <c r="E421" t="s">
        <v>23</v>
      </c>
      <c r="F421" s="162">
        <v>6033.3333333333303</v>
      </c>
      <c r="G421" t="s">
        <v>2646</v>
      </c>
      <c r="H421" s="163">
        <v>46026</v>
      </c>
      <c r="I421" s="163">
        <v>46477</v>
      </c>
      <c r="J421" s="163"/>
      <c r="K421" t="s">
        <v>2643</v>
      </c>
      <c r="L421" t="b">
        <v>0</v>
      </c>
    </row>
    <row r="422" spans="1:12">
      <c r="A422" t="s">
        <v>105</v>
      </c>
      <c r="B422">
        <f t="shared" si="22"/>
        <v>4</v>
      </c>
      <c r="C422" t="s">
        <v>2768</v>
      </c>
      <c r="D422" t="s">
        <v>1829</v>
      </c>
      <c r="E422" t="s">
        <v>23</v>
      </c>
      <c r="F422" s="162">
        <v>6033.3333333333303</v>
      </c>
      <c r="G422" t="s">
        <v>2646</v>
      </c>
      <c r="H422" s="163">
        <v>46026</v>
      </c>
      <c r="I422" s="163">
        <v>46477</v>
      </c>
      <c r="J422" s="163"/>
      <c r="K422" t="s">
        <v>2643</v>
      </c>
      <c r="L422" t="b">
        <v>0</v>
      </c>
    </row>
    <row r="423" spans="1:12">
      <c r="A423" t="s">
        <v>105</v>
      </c>
      <c r="B423">
        <f t="shared" si="22"/>
        <v>4</v>
      </c>
      <c r="C423" t="s">
        <v>2768</v>
      </c>
      <c r="D423" t="s">
        <v>2653</v>
      </c>
      <c r="E423" t="s">
        <v>20</v>
      </c>
      <c r="F423" s="162">
        <v>6670</v>
      </c>
      <c r="G423" t="s">
        <v>2646</v>
      </c>
      <c r="H423" s="163">
        <v>46026</v>
      </c>
      <c r="I423" s="163">
        <v>46477</v>
      </c>
      <c r="J423" s="163"/>
      <c r="K423" t="s">
        <v>2643</v>
      </c>
      <c r="L423" t="b">
        <v>0</v>
      </c>
    </row>
    <row r="424" spans="1:12">
      <c r="A424" t="s">
        <v>999</v>
      </c>
      <c r="B424">
        <f t="shared" si="22"/>
        <v>1</v>
      </c>
      <c r="C424" t="s">
        <v>2769</v>
      </c>
      <c r="D424" t="s">
        <v>2653</v>
      </c>
      <c r="E424" t="s">
        <v>20</v>
      </c>
      <c r="F424" s="162">
        <v>8100</v>
      </c>
      <c r="G424" t="s">
        <v>2646</v>
      </c>
      <c r="H424" s="163">
        <v>45664</v>
      </c>
      <c r="I424" s="163">
        <v>46203</v>
      </c>
      <c r="J424" s="163"/>
      <c r="K424" t="s">
        <v>2656</v>
      </c>
      <c r="L424" t="b">
        <v>0</v>
      </c>
    </row>
    <row r="425" spans="1:12">
      <c r="A425" t="s">
        <v>1982</v>
      </c>
      <c r="B425">
        <f t="shared" si="22"/>
        <v>0</v>
      </c>
      <c r="C425" t="s">
        <v>2770</v>
      </c>
      <c r="D425" t="s">
        <v>1817</v>
      </c>
      <c r="E425" t="s">
        <v>35</v>
      </c>
      <c r="F425" s="162">
        <v>25000</v>
      </c>
      <c r="G425" t="s">
        <v>1705</v>
      </c>
      <c r="H425" s="163">
        <v>46038</v>
      </c>
      <c r="I425" s="163">
        <v>46402</v>
      </c>
      <c r="J425" s="163"/>
      <c r="K425" t="s">
        <v>2643</v>
      </c>
      <c r="L425" t="b">
        <v>0</v>
      </c>
    </row>
    <row r="426" spans="1:12">
      <c r="A426" t="s">
        <v>161</v>
      </c>
      <c r="B426">
        <f t="shared" si="22"/>
        <v>2</v>
      </c>
      <c r="C426" t="s">
        <v>2771</v>
      </c>
      <c r="D426" t="s">
        <v>1829</v>
      </c>
      <c r="E426" t="s">
        <v>23</v>
      </c>
      <c r="F426" s="162">
        <v>14700</v>
      </c>
      <c r="G426" t="s">
        <v>2646</v>
      </c>
      <c r="H426" s="163">
        <v>46026</v>
      </c>
      <c r="I426" s="163">
        <v>46477</v>
      </c>
      <c r="J426" s="163"/>
      <c r="K426" t="s">
        <v>2680</v>
      </c>
      <c r="L426" t="b">
        <v>0</v>
      </c>
    </row>
    <row r="427" spans="1:12">
      <c r="A427" t="s">
        <v>161</v>
      </c>
      <c r="B427">
        <f t="shared" si="22"/>
        <v>2</v>
      </c>
      <c r="C427" t="s">
        <v>2771</v>
      </c>
      <c r="D427" t="s">
        <v>2653</v>
      </c>
      <c r="E427" t="s">
        <v>20</v>
      </c>
      <c r="F427" s="162">
        <v>5300</v>
      </c>
      <c r="G427" t="s">
        <v>2646</v>
      </c>
      <c r="H427" s="163">
        <v>46026</v>
      </c>
      <c r="I427" s="163">
        <v>46477</v>
      </c>
      <c r="J427" s="163"/>
      <c r="K427" t="s">
        <v>2680</v>
      </c>
      <c r="L427" t="b">
        <v>0</v>
      </c>
    </row>
    <row r="428" spans="1:12">
      <c r="A428" t="s">
        <v>1996</v>
      </c>
      <c r="B428">
        <f t="shared" si="22"/>
        <v>0</v>
      </c>
      <c r="C428" t="s">
        <v>2772</v>
      </c>
      <c r="D428" t="s">
        <v>1845</v>
      </c>
      <c r="E428" t="s">
        <v>31</v>
      </c>
      <c r="F428" s="162">
        <v>10000</v>
      </c>
      <c r="G428" t="s">
        <v>1705</v>
      </c>
      <c r="H428" s="163">
        <v>46176</v>
      </c>
      <c r="I428" s="163">
        <v>46510</v>
      </c>
      <c r="J428" s="163"/>
      <c r="K428" t="s">
        <v>2773</v>
      </c>
      <c r="L428" t="b">
        <v>0</v>
      </c>
    </row>
    <row r="429" spans="1:12">
      <c r="A429" t="s">
        <v>1971</v>
      </c>
      <c r="B429">
        <f t="shared" si="22"/>
        <v>0</v>
      </c>
      <c r="C429" t="s">
        <v>2774</v>
      </c>
      <c r="D429" t="s">
        <v>2775</v>
      </c>
      <c r="E429" t="s">
        <v>2776</v>
      </c>
      <c r="F429" s="162">
        <v>36000</v>
      </c>
      <c r="H429" s="163">
        <v>45658</v>
      </c>
      <c r="I429" s="163">
        <v>46387</v>
      </c>
      <c r="J429" s="163"/>
      <c r="K429" t="s">
        <v>2667</v>
      </c>
      <c r="L429" t="b">
        <v>0</v>
      </c>
    </row>
    <row r="430" spans="1:12">
      <c r="A430" t="s">
        <v>1971</v>
      </c>
      <c r="B430">
        <f t="shared" si="22"/>
        <v>0</v>
      </c>
      <c r="C430" t="s">
        <v>2774</v>
      </c>
      <c r="D430" t="s">
        <v>2777</v>
      </c>
      <c r="E430" t="s">
        <v>2776</v>
      </c>
      <c r="F430" s="162">
        <v>34000</v>
      </c>
      <c r="H430" s="163">
        <v>45658</v>
      </c>
      <c r="I430" s="163">
        <v>46387</v>
      </c>
      <c r="J430" s="163"/>
      <c r="K430" t="s">
        <v>2667</v>
      </c>
      <c r="L430" t="b">
        <v>0</v>
      </c>
    </row>
    <row r="431" spans="1:12">
      <c r="A431" t="s">
        <v>1971</v>
      </c>
      <c r="B431">
        <f t="shared" si="22"/>
        <v>0</v>
      </c>
      <c r="C431" t="s">
        <v>2774</v>
      </c>
      <c r="D431" t="s">
        <v>2778</v>
      </c>
      <c r="E431" t="s">
        <v>2776</v>
      </c>
      <c r="F431" s="162">
        <v>58000</v>
      </c>
      <c r="H431" s="163">
        <v>45658</v>
      </c>
      <c r="I431" s="163">
        <v>46387</v>
      </c>
      <c r="J431" s="163"/>
      <c r="K431" t="s">
        <v>2667</v>
      </c>
      <c r="L431" t="b">
        <v>0</v>
      </c>
    </row>
    <row r="432" spans="1:12">
      <c r="A432" t="s">
        <v>1964</v>
      </c>
      <c r="B432">
        <f t="shared" si="22"/>
        <v>2</v>
      </c>
      <c r="C432" t="s">
        <v>2779</v>
      </c>
      <c r="D432" t="s">
        <v>1817</v>
      </c>
      <c r="E432" t="s">
        <v>35</v>
      </c>
      <c r="F432" s="162">
        <v>26000</v>
      </c>
      <c r="G432" t="s">
        <v>2646</v>
      </c>
      <c r="H432" s="163">
        <v>45789</v>
      </c>
      <c r="I432" s="163">
        <v>46124</v>
      </c>
      <c r="J432" s="163"/>
      <c r="K432" t="s">
        <v>2643</v>
      </c>
      <c r="L432" t="b">
        <v>0</v>
      </c>
    </row>
    <row r="433" spans="1:12">
      <c r="A433" t="s">
        <v>1964</v>
      </c>
      <c r="B433">
        <f t="shared" si="22"/>
        <v>2</v>
      </c>
      <c r="C433" t="s">
        <v>2779</v>
      </c>
      <c r="D433" t="s">
        <v>2653</v>
      </c>
      <c r="E433" t="s">
        <v>20</v>
      </c>
      <c r="F433" s="162">
        <v>2860</v>
      </c>
      <c r="G433" t="s">
        <v>2646</v>
      </c>
      <c r="H433" s="163">
        <v>45789</v>
      </c>
      <c r="I433" s="163">
        <v>46124</v>
      </c>
      <c r="J433" s="163"/>
      <c r="K433" t="s">
        <v>2643</v>
      </c>
      <c r="L433" t="b">
        <v>0</v>
      </c>
    </row>
    <row r="434" spans="1:12">
      <c r="A434" t="s">
        <v>1989</v>
      </c>
      <c r="B434">
        <f t="shared" si="22"/>
        <v>1</v>
      </c>
      <c r="C434" t="s">
        <v>2780</v>
      </c>
      <c r="D434" t="s">
        <v>2653</v>
      </c>
      <c r="E434" t="s">
        <v>20</v>
      </c>
      <c r="F434" s="162">
        <v>5160</v>
      </c>
      <c r="G434" t="s">
        <v>2646</v>
      </c>
      <c r="H434" s="163">
        <v>46024</v>
      </c>
      <c r="I434" s="163">
        <v>46418</v>
      </c>
      <c r="J434" s="163"/>
      <c r="K434" t="s">
        <v>2656</v>
      </c>
      <c r="L434" t="b">
        <v>1</v>
      </c>
    </row>
    <row r="435" spans="1:12">
      <c r="A435" t="s">
        <v>1009</v>
      </c>
      <c r="B435">
        <f t="shared" si="22"/>
        <v>2</v>
      </c>
      <c r="C435" t="s">
        <v>2781</v>
      </c>
      <c r="D435" t="s">
        <v>2653</v>
      </c>
      <c r="E435" t="s">
        <v>20</v>
      </c>
      <c r="F435" s="162">
        <v>1152</v>
      </c>
      <c r="G435" t="s">
        <v>2646</v>
      </c>
      <c r="H435" s="163">
        <v>46026</v>
      </c>
      <c r="I435" s="163">
        <v>46477</v>
      </c>
      <c r="J435" s="163"/>
      <c r="K435" t="s">
        <v>2656</v>
      </c>
      <c r="L435" t="b">
        <v>0</v>
      </c>
    </row>
    <row r="436" spans="1:12">
      <c r="A436" t="s">
        <v>1009</v>
      </c>
      <c r="B436">
        <f t="shared" si="22"/>
        <v>2</v>
      </c>
      <c r="C436" t="s">
        <v>2782</v>
      </c>
      <c r="D436" t="s">
        <v>2653</v>
      </c>
      <c r="E436" t="s">
        <v>20</v>
      </c>
      <c r="F436" s="162">
        <v>1195</v>
      </c>
      <c r="G436" t="s">
        <v>2646</v>
      </c>
      <c r="H436" s="163">
        <v>46391</v>
      </c>
      <c r="I436" s="163">
        <v>46843</v>
      </c>
      <c r="J436" s="163"/>
      <c r="K436" t="s">
        <v>2656</v>
      </c>
      <c r="L436" t="b">
        <v>0</v>
      </c>
    </row>
    <row r="437" spans="1:12">
      <c r="A437" t="s">
        <v>553</v>
      </c>
      <c r="B437">
        <f t="shared" si="22"/>
        <v>4</v>
      </c>
      <c r="C437" t="s">
        <v>2783</v>
      </c>
      <c r="D437" t="s">
        <v>1838</v>
      </c>
      <c r="E437" t="s">
        <v>25</v>
      </c>
      <c r="F437" s="162">
        <v>5266</v>
      </c>
      <c r="G437" t="s">
        <v>2646</v>
      </c>
      <c r="H437" s="163">
        <v>46026</v>
      </c>
      <c r="I437" s="163">
        <v>46477</v>
      </c>
      <c r="J437" s="163"/>
      <c r="K437" t="s">
        <v>2643</v>
      </c>
      <c r="L437" t="b">
        <v>0</v>
      </c>
    </row>
    <row r="438" spans="1:12">
      <c r="A438" t="s">
        <v>553</v>
      </c>
      <c r="B438">
        <f t="shared" si="22"/>
        <v>4</v>
      </c>
      <c r="C438" t="s">
        <v>2783</v>
      </c>
      <c r="D438" t="s">
        <v>1845</v>
      </c>
      <c r="E438" t="s">
        <v>31</v>
      </c>
      <c r="F438" s="162">
        <v>6633</v>
      </c>
      <c r="G438" t="s">
        <v>2646</v>
      </c>
      <c r="H438" s="163">
        <v>46026</v>
      </c>
      <c r="I438" s="163">
        <v>46477</v>
      </c>
      <c r="J438" s="163"/>
      <c r="K438" t="s">
        <v>2643</v>
      </c>
      <c r="L438" t="b">
        <v>0</v>
      </c>
    </row>
    <row r="439" spans="1:12">
      <c r="A439" t="s">
        <v>553</v>
      </c>
      <c r="B439">
        <f t="shared" si="22"/>
        <v>4</v>
      </c>
      <c r="C439" t="s">
        <v>2783</v>
      </c>
      <c r="D439" t="s">
        <v>2653</v>
      </c>
      <c r="E439" t="s">
        <v>20</v>
      </c>
      <c r="F439" s="162">
        <v>6633</v>
      </c>
      <c r="G439" t="s">
        <v>2646</v>
      </c>
      <c r="H439" s="163">
        <v>46026</v>
      </c>
      <c r="I439" s="163">
        <v>46477</v>
      </c>
      <c r="J439" s="163"/>
      <c r="K439" t="s">
        <v>2643</v>
      </c>
      <c r="L439" t="b">
        <v>0</v>
      </c>
    </row>
    <row r="440" spans="1:12">
      <c r="A440" t="s">
        <v>553</v>
      </c>
      <c r="B440">
        <f t="shared" si="22"/>
        <v>4</v>
      </c>
      <c r="C440" t="s">
        <v>2783</v>
      </c>
      <c r="D440" t="s">
        <v>1820</v>
      </c>
      <c r="E440" t="s">
        <v>25</v>
      </c>
      <c r="F440" s="162">
        <v>8343</v>
      </c>
      <c r="G440" t="s">
        <v>2646</v>
      </c>
      <c r="H440" s="163">
        <v>46026</v>
      </c>
      <c r="I440" s="163">
        <v>46477</v>
      </c>
      <c r="J440" s="163"/>
      <c r="K440" t="s">
        <v>2643</v>
      </c>
      <c r="L440" t="b">
        <v>0</v>
      </c>
    </row>
    <row r="441" spans="1:12">
      <c r="A441" t="s">
        <v>862</v>
      </c>
      <c r="B441">
        <f t="shared" si="22"/>
        <v>0</v>
      </c>
      <c r="C441" t="s">
        <v>2784</v>
      </c>
      <c r="D441" t="s">
        <v>1811</v>
      </c>
      <c r="E441" t="s">
        <v>23</v>
      </c>
      <c r="F441" s="162">
        <v>9047.6866666666701</v>
      </c>
      <c r="G441" t="s">
        <v>2646</v>
      </c>
      <c r="H441" s="163">
        <v>45666</v>
      </c>
      <c r="I441" s="163">
        <v>46265</v>
      </c>
      <c r="J441" s="163"/>
      <c r="K441" t="s">
        <v>2680</v>
      </c>
      <c r="L441" t="b">
        <v>0</v>
      </c>
    </row>
    <row r="442" spans="1:12">
      <c r="A442" t="s">
        <v>862</v>
      </c>
      <c r="B442">
        <f t="shared" si="22"/>
        <v>0</v>
      </c>
      <c r="C442" t="s">
        <v>2784</v>
      </c>
      <c r="D442" t="s">
        <v>1822</v>
      </c>
      <c r="E442" t="s">
        <v>23</v>
      </c>
      <c r="F442" s="162">
        <v>9047.6866666666701</v>
      </c>
      <c r="G442" t="s">
        <v>2646</v>
      </c>
      <c r="H442" s="163">
        <v>45666</v>
      </c>
      <c r="I442" s="163">
        <v>46265</v>
      </c>
      <c r="J442" s="163"/>
      <c r="K442" t="s">
        <v>2680</v>
      </c>
      <c r="L442" t="b">
        <v>0</v>
      </c>
    </row>
    <row r="443" spans="1:12">
      <c r="A443" t="s">
        <v>862</v>
      </c>
      <c r="B443">
        <f t="shared" si="22"/>
        <v>0</v>
      </c>
      <c r="C443" t="s">
        <v>2784</v>
      </c>
      <c r="D443" t="s">
        <v>1829</v>
      </c>
      <c r="E443" t="s">
        <v>23</v>
      </c>
      <c r="F443" s="162">
        <v>9047.6866666666701</v>
      </c>
      <c r="G443" t="s">
        <v>2646</v>
      </c>
      <c r="H443" s="163">
        <v>45666</v>
      </c>
      <c r="I443" s="163">
        <v>46265</v>
      </c>
      <c r="J443" s="163"/>
      <c r="K443" t="s">
        <v>2680</v>
      </c>
      <c r="L443" t="b">
        <v>0</v>
      </c>
    </row>
    <row r="444" spans="1:12">
      <c r="A444" t="s">
        <v>862</v>
      </c>
      <c r="B444">
        <f t="shared" si="22"/>
        <v>0</v>
      </c>
      <c r="C444" t="s">
        <v>2784</v>
      </c>
      <c r="D444" t="s">
        <v>1843</v>
      </c>
      <c r="E444" t="s">
        <v>21</v>
      </c>
      <c r="F444" s="162">
        <v>13851.94</v>
      </c>
      <c r="G444" t="s">
        <v>2646</v>
      </c>
      <c r="H444" s="163">
        <v>45666</v>
      </c>
      <c r="I444" s="163">
        <v>46265</v>
      </c>
      <c r="J444" s="163"/>
      <c r="K444" t="s">
        <v>2680</v>
      </c>
      <c r="L444" t="b">
        <v>0</v>
      </c>
    </row>
    <row r="445" spans="1:12">
      <c r="A445" t="s">
        <v>1011</v>
      </c>
      <c r="B445">
        <f t="shared" si="22"/>
        <v>1</v>
      </c>
      <c r="C445" t="s">
        <v>2785</v>
      </c>
      <c r="D445" t="s">
        <v>2653</v>
      </c>
      <c r="E445" t="s">
        <v>20</v>
      </c>
      <c r="F445" s="162">
        <v>4150</v>
      </c>
      <c r="G445" t="s">
        <v>2646</v>
      </c>
      <c r="H445" s="163">
        <v>46027</v>
      </c>
      <c r="I445" s="163">
        <v>46507</v>
      </c>
      <c r="J445" s="163"/>
      <c r="K445" t="s">
        <v>2656</v>
      </c>
      <c r="L445" t="b">
        <v>0</v>
      </c>
    </row>
    <row r="446" spans="1:12">
      <c r="A446" t="s">
        <v>1990</v>
      </c>
      <c r="B446">
        <f t="shared" si="22"/>
        <v>1</v>
      </c>
      <c r="C446" t="s">
        <v>2786</v>
      </c>
      <c r="D446" t="s">
        <v>2653</v>
      </c>
      <c r="E446" t="s">
        <v>20</v>
      </c>
      <c r="F446" s="162">
        <v>9700</v>
      </c>
      <c r="G446" t="s">
        <v>1705</v>
      </c>
      <c r="H446" s="163">
        <v>46024</v>
      </c>
      <c r="I446" s="163">
        <v>46418</v>
      </c>
      <c r="J446" s="163"/>
      <c r="K446" t="s">
        <v>2671</v>
      </c>
      <c r="L446" t="b">
        <v>0</v>
      </c>
    </row>
    <row r="447" spans="1:12">
      <c r="A447" t="s">
        <v>388</v>
      </c>
      <c r="B447">
        <f t="shared" si="22"/>
        <v>0</v>
      </c>
      <c r="C447" t="s">
        <v>2787</v>
      </c>
      <c r="D447" t="s">
        <v>1819</v>
      </c>
      <c r="E447" t="s">
        <v>25</v>
      </c>
      <c r="F447" s="162">
        <v>7000</v>
      </c>
      <c r="G447" t="s">
        <v>2646</v>
      </c>
      <c r="H447" s="163">
        <v>46006</v>
      </c>
      <c r="I447" s="163">
        <v>46370</v>
      </c>
      <c r="J447" s="163"/>
      <c r="K447" t="s">
        <v>2643</v>
      </c>
      <c r="L447" t="b">
        <v>0</v>
      </c>
    </row>
    <row r="448" spans="1:12">
      <c r="A448" t="s">
        <v>388</v>
      </c>
      <c r="B448">
        <f t="shared" si="22"/>
        <v>0</v>
      </c>
      <c r="C448" t="s">
        <v>2787</v>
      </c>
      <c r="D448" t="s">
        <v>2625</v>
      </c>
      <c r="E448" t="s">
        <v>27</v>
      </c>
      <c r="F448" s="162">
        <v>16627</v>
      </c>
      <c r="G448" t="s">
        <v>2646</v>
      </c>
      <c r="H448" s="163">
        <v>46006</v>
      </c>
      <c r="I448" s="163">
        <v>46370</v>
      </c>
      <c r="J448" s="163"/>
      <c r="K448" t="s">
        <v>2643</v>
      </c>
      <c r="L448" t="b">
        <v>0</v>
      </c>
    </row>
    <row r="449" spans="1:12">
      <c r="A449" t="s">
        <v>388</v>
      </c>
      <c r="B449">
        <f t="shared" si="22"/>
        <v>0</v>
      </c>
      <c r="C449" t="s">
        <v>2787</v>
      </c>
      <c r="D449" t="s">
        <v>1808</v>
      </c>
      <c r="E449" t="s">
        <v>25</v>
      </c>
      <c r="F449" s="162">
        <v>6000</v>
      </c>
      <c r="G449" t="s">
        <v>2646</v>
      </c>
      <c r="H449" s="163">
        <v>46006</v>
      </c>
      <c r="I449" s="163">
        <v>46370</v>
      </c>
      <c r="J449" s="163"/>
      <c r="K449" t="s">
        <v>2643</v>
      </c>
      <c r="L449" t="b">
        <v>0</v>
      </c>
    </row>
    <row r="450" spans="1:12">
      <c r="A450" t="s">
        <v>388</v>
      </c>
      <c r="B450">
        <f t="shared" si="22"/>
        <v>0</v>
      </c>
      <c r="C450" t="s">
        <v>2787</v>
      </c>
      <c r="D450" t="s">
        <v>1817</v>
      </c>
      <c r="E450" t="s">
        <v>35</v>
      </c>
      <c r="F450" s="162">
        <v>17500</v>
      </c>
      <c r="G450" t="s">
        <v>2646</v>
      </c>
      <c r="H450" s="163">
        <v>46006</v>
      </c>
      <c r="I450" s="163">
        <v>46370</v>
      </c>
      <c r="J450" s="163"/>
      <c r="K450" t="s">
        <v>2643</v>
      </c>
      <c r="L450" t="b">
        <v>0</v>
      </c>
    </row>
    <row r="451" spans="1:12">
      <c r="A451" t="s">
        <v>1014</v>
      </c>
      <c r="B451">
        <f t="shared" ref="B451:B514" si="23">IF(COUNTIFS($A$2:$A$1053,A451,$E$2:$E$1053,"Industry Essentials")&gt;0, COUNTIF($A$2:$A$1053,A451), 0)</f>
        <v>0</v>
      </c>
      <c r="C451" t="s">
        <v>2788</v>
      </c>
      <c r="D451" t="s">
        <v>1819</v>
      </c>
      <c r="E451" t="s">
        <v>25</v>
      </c>
      <c r="F451" s="162">
        <v>6800</v>
      </c>
      <c r="G451" t="s">
        <v>2646</v>
      </c>
      <c r="H451" s="163">
        <v>45664</v>
      </c>
      <c r="I451" s="163">
        <v>46203</v>
      </c>
      <c r="J451" s="163"/>
      <c r="K451" t="s">
        <v>2671</v>
      </c>
      <c r="L451" t="b">
        <v>0</v>
      </c>
    </row>
    <row r="452" spans="1:12">
      <c r="A452" t="s">
        <v>1014</v>
      </c>
      <c r="B452">
        <f t="shared" si="23"/>
        <v>0</v>
      </c>
      <c r="C452" t="s">
        <v>2788</v>
      </c>
      <c r="D452" t="s">
        <v>1820</v>
      </c>
      <c r="E452" t="s">
        <v>25</v>
      </c>
      <c r="F452" s="162">
        <v>6800</v>
      </c>
      <c r="G452" t="s">
        <v>2646</v>
      </c>
      <c r="H452" s="163">
        <v>45664</v>
      </c>
      <c r="I452" s="163">
        <v>46203</v>
      </c>
      <c r="J452" s="163"/>
      <c r="K452" t="s">
        <v>2671</v>
      </c>
      <c r="L452" t="b">
        <v>0</v>
      </c>
    </row>
    <row r="453" spans="1:12">
      <c r="A453" t="s">
        <v>1014</v>
      </c>
      <c r="B453">
        <f t="shared" si="23"/>
        <v>0</v>
      </c>
      <c r="C453" t="s">
        <v>2789</v>
      </c>
      <c r="D453" t="s">
        <v>1820</v>
      </c>
      <c r="E453" t="s">
        <v>25</v>
      </c>
      <c r="F453" s="162">
        <v>7070</v>
      </c>
      <c r="G453" t="s">
        <v>2646</v>
      </c>
      <c r="H453" s="163">
        <v>46029</v>
      </c>
      <c r="I453" s="163">
        <v>46568</v>
      </c>
      <c r="J453" s="163"/>
      <c r="K453" t="s">
        <v>2671</v>
      </c>
      <c r="L453" t="b">
        <v>0</v>
      </c>
    </row>
    <row r="454" spans="1:12">
      <c r="A454" t="s">
        <v>1014</v>
      </c>
      <c r="B454">
        <f t="shared" si="23"/>
        <v>0</v>
      </c>
      <c r="C454" t="s">
        <v>2789</v>
      </c>
      <c r="D454" t="s">
        <v>1819</v>
      </c>
      <c r="E454" t="s">
        <v>25</v>
      </c>
      <c r="F454" s="162">
        <v>7070</v>
      </c>
      <c r="G454" t="s">
        <v>2646</v>
      </c>
      <c r="H454" s="163">
        <v>46029</v>
      </c>
      <c r="I454" s="163">
        <v>46568</v>
      </c>
      <c r="J454" s="163"/>
      <c r="K454" t="s">
        <v>2671</v>
      </c>
      <c r="L454" t="b">
        <v>0</v>
      </c>
    </row>
    <row r="455" spans="1:12">
      <c r="A455" t="s">
        <v>1956</v>
      </c>
      <c r="B455">
        <f t="shared" si="23"/>
        <v>0</v>
      </c>
      <c r="C455" t="s">
        <v>2790</v>
      </c>
      <c r="D455" t="s">
        <v>1817</v>
      </c>
      <c r="E455" t="s">
        <v>35</v>
      </c>
      <c r="F455" s="162">
        <v>13500</v>
      </c>
      <c r="G455" t="s">
        <v>2646</v>
      </c>
      <c r="H455" s="163">
        <v>45668</v>
      </c>
      <c r="I455" s="163">
        <v>46326</v>
      </c>
      <c r="J455" s="163"/>
      <c r="K455" t="s">
        <v>2671</v>
      </c>
      <c r="L455" t="b">
        <v>0</v>
      </c>
    </row>
    <row r="456" spans="1:12">
      <c r="A456" t="s">
        <v>1956</v>
      </c>
      <c r="B456">
        <f t="shared" si="23"/>
        <v>0</v>
      </c>
      <c r="C456" t="s">
        <v>2791</v>
      </c>
      <c r="D456" t="s">
        <v>1817</v>
      </c>
      <c r="E456" t="s">
        <v>35</v>
      </c>
      <c r="F456" s="162">
        <v>6000</v>
      </c>
      <c r="G456" t="s">
        <v>2646</v>
      </c>
      <c r="H456" s="163">
        <v>46115</v>
      </c>
      <c r="I456" s="163">
        <v>46092</v>
      </c>
      <c r="J456" s="163"/>
      <c r="K456" t="s">
        <v>2671</v>
      </c>
      <c r="L456" t="b">
        <v>0</v>
      </c>
    </row>
    <row r="457" spans="1:12">
      <c r="A457" t="s">
        <v>1019</v>
      </c>
      <c r="B457">
        <f t="shared" si="23"/>
        <v>3</v>
      </c>
      <c r="C457" t="s">
        <v>2792</v>
      </c>
      <c r="D457" t="s">
        <v>2653</v>
      </c>
      <c r="E457" t="s">
        <v>20</v>
      </c>
      <c r="F457" s="162">
        <v>10379</v>
      </c>
      <c r="G457" t="s">
        <v>2646</v>
      </c>
      <c r="H457" s="163">
        <v>46026</v>
      </c>
      <c r="I457" s="163">
        <v>46477</v>
      </c>
      <c r="J457" s="163"/>
      <c r="K457" t="s">
        <v>2643</v>
      </c>
      <c r="L457" t="b">
        <v>0</v>
      </c>
    </row>
    <row r="458" spans="1:12">
      <c r="A458" t="s">
        <v>1019</v>
      </c>
      <c r="B458">
        <f t="shared" si="23"/>
        <v>3</v>
      </c>
      <c r="C458" t="s">
        <v>2792</v>
      </c>
      <c r="D458" t="s">
        <v>1829</v>
      </c>
      <c r="E458" t="s">
        <v>23</v>
      </c>
      <c r="F458" s="162">
        <v>19581</v>
      </c>
      <c r="G458" t="s">
        <v>2646</v>
      </c>
      <c r="H458" s="163">
        <v>46026</v>
      </c>
      <c r="I458" s="163">
        <v>46477</v>
      </c>
      <c r="J458" s="163"/>
      <c r="K458" t="s">
        <v>2643</v>
      </c>
      <c r="L458" t="b">
        <v>0</v>
      </c>
    </row>
    <row r="459" spans="1:12">
      <c r="A459" t="s">
        <v>1019</v>
      </c>
      <c r="B459">
        <f t="shared" si="23"/>
        <v>3</v>
      </c>
      <c r="C459" t="s">
        <v>2792</v>
      </c>
      <c r="D459" t="s">
        <v>2653</v>
      </c>
      <c r="E459" t="s">
        <v>20</v>
      </c>
      <c r="F459" s="162">
        <v>12680</v>
      </c>
      <c r="G459" t="s">
        <v>2646</v>
      </c>
      <c r="H459" s="163">
        <v>46026</v>
      </c>
      <c r="I459" s="163">
        <v>46477</v>
      </c>
      <c r="J459" s="163"/>
      <c r="K459" t="s">
        <v>2643</v>
      </c>
      <c r="L459" t="b">
        <v>0</v>
      </c>
    </row>
    <row r="460" spans="1:12">
      <c r="A460" t="s">
        <v>1020</v>
      </c>
      <c r="B460">
        <f t="shared" si="23"/>
        <v>7</v>
      </c>
      <c r="C460" t="s">
        <v>2793</v>
      </c>
      <c r="D460" t="s">
        <v>1816</v>
      </c>
      <c r="E460" t="s">
        <v>1931</v>
      </c>
      <c r="F460" s="162">
        <v>11900</v>
      </c>
      <c r="G460" t="s">
        <v>2646</v>
      </c>
      <c r="H460" s="163">
        <v>45667</v>
      </c>
      <c r="I460" s="163">
        <v>46295</v>
      </c>
      <c r="J460" s="163"/>
      <c r="K460" t="s">
        <v>2643</v>
      </c>
      <c r="L460" t="b">
        <v>0</v>
      </c>
    </row>
    <row r="461" spans="1:12">
      <c r="A461" t="s">
        <v>1020</v>
      </c>
      <c r="B461">
        <f t="shared" si="23"/>
        <v>7</v>
      </c>
      <c r="C461" t="s">
        <v>2793</v>
      </c>
      <c r="D461" t="s">
        <v>2653</v>
      </c>
      <c r="E461" t="s">
        <v>20</v>
      </c>
      <c r="F461" s="162">
        <v>8245</v>
      </c>
      <c r="G461" t="s">
        <v>2646</v>
      </c>
      <c r="H461" s="163">
        <v>45667</v>
      </c>
      <c r="I461" s="163">
        <v>46295</v>
      </c>
      <c r="J461" s="163"/>
      <c r="K461" t="s">
        <v>2643</v>
      </c>
      <c r="L461" t="b">
        <v>0</v>
      </c>
    </row>
    <row r="462" spans="1:12">
      <c r="A462" t="s">
        <v>1020</v>
      </c>
      <c r="B462">
        <f t="shared" si="23"/>
        <v>7</v>
      </c>
      <c r="C462" t="s">
        <v>2793</v>
      </c>
      <c r="D462" t="s">
        <v>1814</v>
      </c>
      <c r="E462" t="s">
        <v>1695</v>
      </c>
      <c r="F462" s="162">
        <v>5482.6</v>
      </c>
      <c r="G462" t="s">
        <v>2646</v>
      </c>
      <c r="H462" s="163">
        <v>45667</v>
      </c>
      <c r="I462" s="163">
        <v>46295</v>
      </c>
      <c r="J462" s="163"/>
      <c r="K462" t="s">
        <v>2643</v>
      </c>
      <c r="L462" t="b">
        <v>0</v>
      </c>
    </row>
    <row r="463" spans="1:12">
      <c r="A463" t="s">
        <v>1020</v>
      </c>
      <c r="B463">
        <f t="shared" si="23"/>
        <v>7</v>
      </c>
      <c r="C463" t="s">
        <v>2793</v>
      </c>
      <c r="D463" t="s">
        <v>1824</v>
      </c>
      <c r="E463" t="s">
        <v>1695</v>
      </c>
      <c r="F463" s="162">
        <v>5482.6</v>
      </c>
      <c r="G463" t="s">
        <v>2646</v>
      </c>
      <c r="H463" s="163">
        <v>45667</v>
      </c>
      <c r="I463" s="163">
        <v>46295</v>
      </c>
      <c r="J463" s="163"/>
      <c r="K463" t="s">
        <v>2643</v>
      </c>
      <c r="L463" t="b">
        <v>0</v>
      </c>
    </row>
    <row r="464" spans="1:12">
      <c r="A464" t="s">
        <v>1020</v>
      </c>
      <c r="B464">
        <f t="shared" si="23"/>
        <v>7</v>
      </c>
      <c r="C464" t="s">
        <v>2793</v>
      </c>
      <c r="D464" t="s">
        <v>1842</v>
      </c>
      <c r="E464" t="s">
        <v>1695</v>
      </c>
      <c r="F464" s="162">
        <v>5482.6</v>
      </c>
      <c r="G464" t="s">
        <v>2646</v>
      </c>
      <c r="H464" s="163">
        <v>45667</v>
      </c>
      <c r="I464" s="163">
        <v>46295</v>
      </c>
      <c r="J464" s="163"/>
      <c r="K464" t="s">
        <v>2643</v>
      </c>
      <c r="L464" t="b">
        <v>0</v>
      </c>
    </row>
    <row r="465" spans="1:12">
      <c r="A465" t="s">
        <v>1020</v>
      </c>
      <c r="B465">
        <f t="shared" si="23"/>
        <v>7</v>
      </c>
      <c r="C465" t="s">
        <v>2793</v>
      </c>
      <c r="D465" t="s">
        <v>1851</v>
      </c>
      <c r="E465" t="s">
        <v>1695</v>
      </c>
      <c r="F465" s="162">
        <v>5482.6</v>
      </c>
      <c r="G465" t="s">
        <v>2646</v>
      </c>
      <c r="H465" s="163">
        <v>45667</v>
      </c>
      <c r="I465" s="163">
        <v>46295</v>
      </c>
      <c r="J465" s="163"/>
      <c r="K465" t="s">
        <v>2643</v>
      </c>
      <c r="L465" t="b">
        <v>0</v>
      </c>
    </row>
    <row r="466" spans="1:12">
      <c r="A466" t="s">
        <v>1020</v>
      </c>
      <c r="B466">
        <f t="shared" si="23"/>
        <v>7</v>
      </c>
      <c r="C466" t="s">
        <v>2793</v>
      </c>
      <c r="D466" t="s">
        <v>1853</v>
      </c>
      <c r="E466" t="s">
        <v>1695</v>
      </c>
      <c r="F466" s="162">
        <v>5482.6</v>
      </c>
      <c r="G466" t="s">
        <v>2646</v>
      </c>
      <c r="H466" s="163">
        <v>45667</v>
      </c>
      <c r="I466" s="163">
        <v>46295</v>
      </c>
      <c r="J466" s="163"/>
      <c r="K466" t="s">
        <v>2643</v>
      </c>
      <c r="L466" t="b">
        <v>0</v>
      </c>
    </row>
    <row r="467" spans="1:12">
      <c r="A467" t="s">
        <v>729</v>
      </c>
      <c r="B467">
        <f t="shared" si="23"/>
        <v>1</v>
      </c>
      <c r="C467" t="s">
        <v>2794</v>
      </c>
      <c r="D467" t="s">
        <v>2653</v>
      </c>
      <c r="E467" t="s">
        <v>20</v>
      </c>
      <c r="F467" s="162">
        <v>9000</v>
      </c>
      <c r="G467" t="s">
        <v>1705</v>
      </c>
      <c r="H467" s="163">
        <v>46013</v>
      </c>
      <c r="I467" s="163">
        <v>46377</v>
      </c>
      <c r="J467" s="163"/>
      <c r="K467" t="s">
        <v>2643</v>
      </c>
      <c r="L467" t="b">
        <v>0</v>
      </c>
    </row>
    <row r="468" spans="1:12">
      <c r="A468" t="s">
        <v>867</v>
      </c>
      <c r="B468">
        <f t="shared" si="23"/>
        <v>1</v>
      </c>
      <c r="C468" t="s">
        <v>2795</v>
      </c>
      <c r="D468" t="s">
        <v>2653</v>
      </c>
      <c r="E468" t="s">
        <v>20</v>
      </c>
      <c r="F468" s="162">
        <v>8000</v>
      </c>
      <c r="G468" t="s">
        <v>2646</v>
      </c>
      <c r="H468" s="163">
        <v>45869</v>
      </c>
      <c r="I468" s="163">
        <v>46233</v>
      </c>
      <c r="J468" s="163"/>
      <c r="K468" t="s">
        <v>2656</v>
      </c>
      <c r="L468" t="b">
        <v>0</v>
      </c>
    </row>
    <row r="469" spans="1:12">
      <c r="A469" t="s">
        <v>563</v>
      </c>
      <c r="B469">
        <f t="shared" si="23"/>
        <v>2</v>
      </c>
      <c r="C469" t="s">
        <v>2796</v>
      </c>
      <c r="D469" t="s">
        <v>2653</v>
      </c>
      <c r="E469" t="s">
        <v>20</v>
      </c>
      <c r="F469" s="162">
        <v>12000</v>
      </c>
      <c r="G469" t="s">
        <v>2646</v>
      </c>
      <c r="H469" s="163">
        <v>45666</v>
      </c>
      <c r="I469" s="163">
        <v>46265</v>
      </c>
      <c r="J469" s="163"/>
      <c r="K469" t="s">
        <v>2680</v>
      </c>
      <c r="L469" t="b">
        <v>0</v>
      </c>
    </row>
    <row r="470" spans="1:12">
      <c r="A470" t="s">
        <v>563</v>
      </c>
      <c r="B470">
        <f t="shared" si="23"/>
        <v>2</v>
      </c>
      <c r="C470" t="s">
        <v>2797</v>
      </c>
      <c r="D470" t="s">
        <v>2653</v>
      </c>
      <c r="E470" t="s">
        <v>20</v>
      </c>
      <c r="F470" s="162">
        <v>12000</v>
      </c>
      <c r="G470" t="s">
        <v>2646</v>
      </c>
      <c r="H470" s="163">
        <v>46031</v>
      </c>
      <c r="I470" s="163">
        <v>46630</v>
      </c>
      <c r="J470" s="163"/>
      <c r="K470" t="s">
        <v>2680</v>
      </c>
      <c r="L470" t="b">
        <v>0</v>
      </c>
    </row>
    <row r="471" spans="1:12">
      <c r="A471" t="s">
        <v>166</v>
      </c>
      <c r="B471">
        <f t="shared" si="23"/>
        <v>1</v>
      </c>
      <c r="C471" t="s">
        <v>2798</v>
      </c>
      <c r="D471" t="s">
        <v>2653</v>
      </c>
      <c r="E471" t="s">
        <v>20</v>
      </c>
      <c r="F471" s="162">
        <v>10500</v>
      </c>
      <c r="G471" t="s">
        <v>2646</v>
      </c>
      <c r="H471" s="163">
        <v>45728</v>
      </c>
      <c r="I471" s="163">
        <v>46065</v>
      </c>
      <c r="J471" s="163"/>
      <c r="K471" t="s">
        <v>2643</v>
      </c>
      <c r="L471" t="b">
        <v>0</v>
      </c>
    </row>
    <row r="472" spans="1:12">
      <c r="A472" t="s">
        <v>167</v>
      </c>
      <c r="B472">
        <f t="shared" si="23"/>
        <v>0</v>
      </c>
      <c r="C472" t="s">
        <v>2799</v>
      </c>
      <c r="D472" t="s">
        <v>1830</v>
      </c>
      <c r="E472" t="s">
        <v>21</v>
      </c>
      <c r="F472" s="162">
        <v>19530</v>
      </c>
      <c r="G472" t="s">
        <v>2646</v>
      </c>
      <c r="H472" s="163">
        <v>46026</v>
      </c>
      <c r="I472" s="163">
        <v>46477</v>
      </c>
      <c r="J472" s="163"/>
      <c r="K472" t="s">
        <v>2680</v>
      </c>
      <c r="L472" t="b">
        <v>0</v>
      </c>
    </row>
    <row r="473" spans="1:12">
      <c r="A473" t="s">
        <v>167</v>
      </c>
      <c r="B473">
        <f t="shared" si="23"/>
        <v>0</v>
      </c>
      <c r="C473" t="s">
        <v>2800</v>
      </c>
      <c r="D473" t="s">
        <v>1830</v>
      </c>
      <c r="E473" t="s">
        <v>21</v>
      </c>
      <c r="F473" s="162">
        <v>20995</v>
      </c>
      <c r="G473" t="s">
        <v>2646</v>
      </c>
      <c r="H473" s="163">
        <v>46391</v>
      </c>
      <c r="I473" s="163">
        <v>46843</v>
      </c>
      <c r="J473" s="163"/>
      <c r="K473" t="s">
        <v>2680</v>
      </c>
      <c r="L473" t="b">
        <v>0</v>
      </c>
    </row>
    <row r="474" spans="1:12">
      <c r="A474" t="s">
        <v>260</v>
      </c>
      <c r="B474">
        <f t="shared" si="23"/>
        <v>0</v>
      </c>
      <c r="C474" t="s">
        <v>2801</v>
      </c>
      <c r="D474" t="s">
        <v>2625</v>
      </c>
      <c r="E474" t="s">
        <v>27</v>
      </c>
      <c r="F474" s="162">
        <v>15821</v>
      </c>
      <c r="G474" t="s">
        <v>2646</v>
      </c>
      <c r="H474" s="163">
        <v>45961</v>
      </c>
      <c r="I474" s="163">
        <v>46325</v>
      </c>
      <c r="J474" s="163"/>
      <c r="K474" t="s">
        <v>2643</v>
      </c>
      <c r="L474" t="b">
        <v>0</v>
      </c>
    </row>
    <row r="475" spans="1:12">
      <c r="A475" t="s">
        <v>260</v>
      </c>
      <c r="B475">
        <f t="shared" si="23"/>
        <v>0</v>
      </c>
      <c r="C475" t="s">
        <v>2801</v>
      </c>
      <c r="D475" t="s">
        <v>2802</v>
      </c>
      <c r="E475" t="s">
        <v>2803</v>
      </c>
      <c r="F475" s="162">
        <v>15821</v>
      </c>
      <c r="G475" t="s">
        <v>2646</v>
      </c>
      <c r="H475" s="163">
        <v>45961</v>
      </c>
      <c r="I475" s="163">
        <v>46325</v>
      </c>
      <c r="J475" s="163"/>
      <c r="K475" t="s">
        <v>2643</v>
      </c>
      <c r="L475" t="b">
        <v>0</v>
      </c>
    </row>
    <row r="476" spans="1:12">
      <c r="A476" t="s">
        <v>260</v>
      </c>
      <c r="B476">
        <f t="shared" si="23"/>
        <v>0</v>
      </c>
      <c r="C476" t="s">
        <v>2801</v>
      </c>
      <c r="D476" t="s">
        <v>1829</v>
      </c>
      <c r="E476" t="s">
        <v>23</v>
      </c>
      <c r="F476" s="162">
        <v>15821</v>
      </c>
      <c r="G476" t="s">
        <v>2646</v>
      </c>
      <c r="H476" s="163">
        <v>45961</v>
      </c>
      <c r="I476" s="163">
        <v>46325</v>
      </c>
      <c r="J476" s="163"/>
      <c r="K476" t="s">
        <v>2643</v>
      </c>
      <c r="L476" t="b">
        <v>0</v>
      </c>
    </row>
    <row r="477" spans="1:12">
      <c r="A477" t="s">
        <v>129</v>
      </c>
      <c r="B477">
        <f t="shared" si="23"/>
        <v>3</v>
      </c>
      <c r="C477" t="s">
        <v>2804</v>
      </c>
      <c r="D477" t="s">
        <v>2653</v>
      </c>
      <c r="E477" t="s">
        <v>20</v>
      </c>
      <c r="F477" s="162">
        <v>8400</v>
      </c>
      <c r="G477" t="s">
        <v>2646</v>
      </c>
      <c r="H477" s="163">
        <v>45665</v>
      </c>
      <c r="I477" s="163">
        <v>46234</v>
      </c>
      <c r="J477" s="163"/>
      <c r="K477" t="s">
        <v>2680</v>
      </c>
      <c r="L477" t="b">
        <v>0</v>
      </c>
    </row>
    <row r="478" spans="1:12">
      <c r="A478" t="s">
        <v>129</v>
      </c>
      <c r="B478">
        <f t="shared" si="23"/>
        <v>3</v>
      </c>
      <c r="C478" t="s">
        <v>2804</v>
      </c>
      <c r="D478" t="s">
        <v>1808</v>
      </c>
      <c r="E478" t="s">
        <v>25</v>
      </c>
      <c r="F478" s="162">
        <v>7600</v>
      </c>
      <c r="G478" t="s">
        <v>2646</v>
      </c>
      <c r="H478" s="163">
        <v>45665</v>
      </c>
      <c r="I478" s="163">
        <v>46234</v>
      </c>
      <c r="J478" s="163"/>
      <c r="K478" t="s">
        <v>2680</v>
      </c>
      <c r="L478" t="b">
        <v>0</v>
      </c>
    </row>
    <row r="479" spans="1:12">
      <c r="A479" t="s">
        <v>129</v>
      </c>
      <c r="B479">
        <f t="shared" si="23"/>
        <v>3</v>
      </c>
      <c r="C479" t="s">
        <v>2804</v>
      </c>
      <c r="D479" t="s">
        <v>2625</v>
      </c>
      <c r="E479" t="s">
        <v>27</v>
      </c>
      <c r="F479" s="162">
        <v>18360</v>
      </c>
      <c r="G479" t="s">
        <v>2646</v>
      </c>
      <c r="H479" s="163">
        <v>45665</v>
      </c>
      <c r="I479" s="163">
        <v>46234</v>
      </c>
      <c r="J479" s="163"/>
      <c r="K479" t="s">
        <v>2680</v>
      </c>
      <c r="L479" t="b">
        <v>0</v>
      </c>
    </row>
    <row r="480" spans="1:12">
      <c r="A480" t="s">
        <v>168</v>
      </c>
      <c r="B480">
        <f t="shared" si="23"/>
        <v>15</v>
      </c>
      <c r="C480" t="s">
        <v>2805</v>
      </c>
      <c r="D480" t="s">
        <v>2653</v>
      </c>
      <c r="E480" t="s">
        <v>20</v>
      </c>
      <c r="F480" s="162">
        <v>4500</v>
      </c>
      <c r="G480" t="s">
        <v>2646</v>
      </c>
      <c r="H480" s="163">
        <v>45663</v>
      </c>
      <c r="I480" s="163">
        <v>46173</v>
      </c>
      <c r="J480" s="163"/>
      <c r="K480" t="s">
        <v>2680</v>
      </c>
      <c r="L480" t="b">
        <v>0</v>
      </c>
    </row>
    <row r="481" spans="1:12">
      <c r="A481" t="s">
        <v>168</v>
      </c>
      <c r="B481">
        <f t="shared" si="23"/>
        <v>15</v>
      </c>
      <c r="C481" t="s">
        <v>2805</v>
      </c>
      <c r="D481" t="s">
        <v>1814</v>
      </c>
      <c r="E481" t="s">
        <v>1695</v>
      </c>
      <c r="F481" s="162">
        <v>4430</v>
      </c>
      <c r="G481" t="s">
        <v>2646</v>
      </c>
      <c r="H481" s="163">
        <v>45663</v>
      </c>
      <c r="I481" s="163">
        <v>46173</v>
      </c>
      <c r="J481" s="163"/>
      <c r="K481" t="s">
        <v>2680</v>
      </c>
      <c r="L481" t="b">
        <v>0</v>
      </c>
    </row>
    <row r="482" spans="1:12">
      <c r="A482" t="s">
        <v>168</v>
      </c>
      <c r="B482">
        <f t="shared" si="23"/>
        <v>15</v>
      </c>
      <c r="C482" t="s">
        <v>2805</v>
      </c>
      <c r="D482" t="s">
        <v>1824</v>
      </c>
      <c r="E482" t="s">
        <v>1695</v>
      </c>
      <c r="F482" s="162">
        <v>4430</v>
      </c>
      <c r="G482" t="s">
        <v>2646</v>
      </c>
      <c r="H482" s="163">
        <v>45663</v>
      </c>
      <c r="I482" s="163">
        <v>46173</v>
      </c>
      <c r="J482" s="163"/>
      <c r="K482" t="s">
        <v>2680</v>
      </c>
      <c r="L482" t="b">
        <v>0</v>
      </c>
    </row>
    <row r="483" spans="1:12">
      <c r="A483" t="s">
        <v>168</v>
      </c>
      <c r="B483">
        <f t="shared" si="23"/>
        <v>15</v>
      </c>
      <c r="C483" t="s">
        <v>2805</v>
      </c>
      <c r="D483" t="s">
        <v>1842</v>
      </c>
      <c r="E483" t="s">
        <v>1695</v>
      </c>
      <c r="F483" s="162">
        <v>4430</v>
      </c>
      <c r="G483" t="s">
        <v>2646</v>
      </c>
      <c r="H483" s="163">
        <v>45663</v>
      </c>
      <c r="I483" s="163">
        <v>46173</v>
      </c>
      <c r="J483" s="163"/>
      <c r="K483" t="s">
        <v>2680</v>
      </c>
      <c r="L483" t="b">
        <v>0</v>
      </c>
    </row>
    <row r="484" spans="1:12">
      <c r="A484" t="s">
        <v>168</v>
      </c>
      <c r="B484">
        <f t="shared" si="23"/>
        <v>15</v>
      </c>
      <c r="C484" t="s">
        <v>2805</v>
      </c>
      <c r="D484" t="s">
        <v>1851</v>
      </c>
      <c r="E484" t="s">
        <v>1695</v>
      </c>
      <c r="F484" s="162">
        <v>4430</v>
      </c>
      <c r="G484" t="s">
        <v>2646</v>
      </c>
      <c r="H484" s="163">
        <v>45663</v>
      </c>
      <c r="I484" s="163">
        <v>46173</v>
      </c>
      <c r="J484" s="163"/>
      <c r="K484" t="s">
        <v>2680</v>
      </c>
      <c r="L484" t="b">
        <v>0</v>
      </c>
    </row>
    <row r="485" spans="1:12">
      <c r="A485" t="s">
        <v>168</v>
      </c>
      <c r="B485">
        <f t="shared" si="23"/>
        <v>15</v>
      </c>
      <c r="C485" t="s">
        <v>2805</v>
      </c>
      <c r="D485" t="s">
        <v>1853</v>
      </c>
      <c r="E485" t="s">
        <v>1695</v>
      </c>
      <c r="F485" s="162">
        <v>4430</v>
      </c>
      <c r="G485" t="s">
        <v>2646</v>
      </c>
      <c r="H485" s="163">
        <v>45663</v>
      </c>
      <c r="I485" s="163">
        <v>46173</v>
      </c>
      <c r="J485" s="163"/>
      <c r="K485" t="s">
        <v>2680</v>
      </c>
      <c r="L485" t="b">
        <v>0</v>
      </c>
    </row>
    <row r="486" spans="1:12">
      <c r="A486" t="s">
        <v>168</v>
      </c>
      <c r="B486">
        <f t="shared" si="23"/>
        <v>15</v>
      </c>
      <c r="C486" t="s">
        <v>2805</v>
      </c>
      <c r="D486" t="s">
        <v>1811</v>
      </c>
      <c r="E486" t="s">
        <v>23</v>
      </c>
      <c r="F486" s="162">
        <v>5433.3333333333303</v>
      </c>
      <c r="G486" t="s">
        <v>2646</v>
      </c>
      <c r="H486" s="163">
        <v>45663</v>
      </c>
      <c r="I486" s="163">
        <v>46173</v>
      </c>
      <c r="J486" s="163"/>
      <c r="K486" t="s">
        <v>2680</v>
      </c>
      <c r="L486" t="b">
        <v>0</v>
      </c>
    </row>
    <row r="487" spans="1:12">
      <c r="A487" t="s">
        <v>168</v>
      </c>
      <c r="B487">
        <f t="shared" si="23"/>
        <v>15</v>
      </c>
      <c r="C487" t="s">
        <v>2805</v>
      </c>
      <c r="D487" t="s">
        <v>1822</v>
      </c>
      <c r="E487" t="s">
        <v>23</v>
      </c>
      <c r="F487" s="162">
        <v>5433.3333333333303</v>
      </c>
      <c r="G487" t="s">
        <v>2646</v>
      </c>
      <c r="H487" s="163">
        <v>45663</v>
      </c>
      <c r="I487" s="163">
        <v>46173</v>
      </c>
      <c r="J487" s="163"/>
      <c r="K487" t="s">
        <v>2680</v>
      </c>
      <c r="L487" t="b">
        <v>0</v>
      </c>
    </row>
    <row r="488" spans="1:12">
      <c r="A488" t="s">
        <v>168</v>
      </c>
      <c r="B488">
        <f t="shared" si="23"/>
        <v>15</v>
      </c>
      <c r="C488" t="s">
        <v>2805</v>
      </c>
      <c r="D488" t="s">
        <v>1829</v>
      </c>
      <c r="E488" t="s">
        <v>23</v>
      </c>
      <c r="F488" s="162">
        <v>5433.3333333333303</v>
      </c>
      <c r="G488" t="s">
        <v>2646</v>
      </c>
      <c r="H488" s="163">
        <v>45663</v>
      </c>
      <c r="I488" s="163">
        <v>46173</v>
      </c>
      <c r="J488" s="163"/>
      <c r="K488" t="s">
        <v>2680</v>
      </c>
      <c r="L488" t="b">
        <v>0</v>
      </c>
    </row>
    <row r="489" spans="1:12">
      <c r="A489" t="s">
        <v>168</v>
      </c>
      <c r="B489">
        <f t="shared" si="23"/>
        <v>15</v>
      </c>
      <c r="C489" t="s">
        <v>2805</v>
      </c>
      <c r="D489" t="s">
        <v>1810</v>
      </c>
      <c r="E489" t="s">
        <v>21</v>
      </c>
      <c r="F489" s="162">
        <v>5491.6666666666697</v>
      </c>
      <c r="G489" t="s">
        <v>2646</v>
      </c>
      <c r="H489" s="163">
        <v>45663</v>
      </c>
      <c r="I489" s="163">
        <v>46173</v>
      </c>
      <c r="J489" s="163"/>
      <c r="K489" t="s">
        <v>2680</v>
      </c>
      <c r="L489" t="b">
        <v>0</v>
      </c>
    </row>
    <row r="490" spans="1:12">
      <c r="A490" t="s">
        <v>168</v>
      </c>
      <c r="B490">
        <f t="shared" si="23"/>
        <v>15</v>
      </c>
      <c r="C490" t="s">
        <v>2805</v>
      </c>
      <c r="D490" t="s">
        <v>1821</v>
      </c>
      <c r="E490" t="s">
        <v>21</v>
      </c>
      <c r="F490" s="162">
        <v>5491.6666666666697</v>
      </c>
      <c r="G490" t="s">
        <v>2646</v>
      </c>
      <c r="H490" s="163">
        <v>45663</v>
      </c>
      <c r="I490" s="163">
        <v>46173</v>
      </c>
      <c r="J490" s="163"/>
      <c r="K490" t="s">
        <v>2680</v>
      </c>
      <c r="L490" t="b">
        <v>0</v>
      </c>
    </row>
    <row r="491" spans="1:12">
      <c r="A491" t="s">
        <v>168</v>
      </c>
      <c r="B491">
        <f t="shared" si="23"/>
        <v>15</v>
      </c>
      <c r="C491" t="s">
        <v>2805</v>
      </c>
      <c r="D491" t="s">
        <v>1828</v>
      </c>
      <c r="E491" t="s">
        <v>21</v>
      </c>
      <c r="F491" s="162">
        <v>5491.6666666666697</v>
      </c>
      <c r="G491" t="s">
        <v>2646</v>
      </c>
      <c r="H491" s="163">
        <v>45663</v>
      </c>
      <c r="I491" s="163">
        <v>46173</v>
      </c>
      <c r="J491" s="163"/>
      <c r="K491" t="s">
        <v>2680</v>
      </c>
      <c r="L491" t="b">
        <v>0</v>
      </c>
    </row>
    <row r="492" spans="1:12">
      <c r="A492" t="s">
        <v>168</v>
      </c>
      <c r="B492">
        <f t="shared" si="23"/>
        <v>15</v>
      </c>
      <c r="C492" t="s">
        <v>2805</v>
      </c>
      <c r="D492" t="s">
        <v>1835</v>
      </c>
      <c r="E492" t="s">
        <v>21</v>
      </c>
      <c r="F492" s="162">
        <v>5491.6666666666697</v>
      </c>
      <c r="G492" t="s">
        <v>2646</v>
      </c>
      <c r="H492" s="163">
        <v>45663</v>
      </c>
      <c r="I492" s="163">
        <v>46173</v>
      </c>
      <c r="J492" s="163"/>
      <c r="K492" t="s">
        <v>2680</v>
      </c>
      <c r="L492" t="b">
        <v>0</v>
      </c>
    </row>
    <row r="493" spans="1:12">
      <c r="A493" t="s">
        <v>168</v>
      </c>
      <c r="B493">
        <f t="shared" si="23"/>
        <v>15</v>
      </c>
      <c r="C493" t="s">
        <v>2805</v>
      </c>
      <c r="D493" t="s">
        <v>1841</v>
      </c>
      <c r="E493" t="s">
        <v>21</v>
      </c>
      <c r="F493" s="162">
        <v>5491.6666666666697</v>
      </c>
      <c r="G493" t="s">
        <v>2646</v>
      </c>
      <c r="H493" s="163">
        <v>45663</v>
      </c>
      <c r="I493" s="163">
        <v>46173</v>
      </c>
      <c r="J493" s="163"/>
      <c r="K493" t="s">
        <v>2680</v>
      </c>
      <c r="L493" t="b">
        <v>0</v>
      </c>
    </row>
    <row r="494" spans="1:12">
      <c r="A494" t="s">
        <v>168</v>
      </c>
      <c r="B494">
        <f t="shared" si="23"/>
        <v>15</v>
      </c>
      <c r="C494" t="s">
        <v>2805</v>
      </c>
      <c r="D494" t="s">
        <v>1843</v>
      </c>
      <c r="E494" t="s">
        <v>21</v>
      </c>
      <c r="F494" s="162">
        <v>5491.6666666666697</v>
      </c>
      <c r="G494" t="s">
        <v>2646</v>
      </c>
      <c r="H494" s="163">
        <v>45663</v>
      </c>
      <c r="I494" s="163">
        <v>46173</v>
      </c>
      <c r="J494" s="163"/>
      <c r="K494" t="s">
        <v>2680</v>
      </c>
      <c r="L494" t="b">
        <v>0</v>
      </c>
    </row>
    <row r="495" spans="1:12">
      <c r="A495" t="s">
        <v>1977</v>
      </c>
      <c r="B495">
        <f t="shared" si="23"/>
        <v>4</v>
      </c>
      <c r="C495" t="s">
        <v>2806</v>
      </c>
      <c r="D495" t="s">
        <v>2624</v>
      </c>
      <c r="E495" t="s">
        <v>31</v>
      </c>
      <c r="F495" s="162">
        <v>11915</v>
      </c>
      <c r="G495" t="s">
        <v>2646</v>
      </c>
      <c r="H495" s="163">
        <v>46023</v>
      </c>
      <c r="I495" s="163">
        <v>46387</v>
      </c>
      <c r="J495" s="163"/>
      <c r="K495" t="s">
        <v>2643</v>
      </c>
      <c r="L495" t="b">
        <v>1</v>
      </c>
    </row>
    <row r="496" spans="1:12">
      <c r="A496" t="s">
        <v>1977</v>
      </c>
      <c r="B496">
        <f t="shared" si="23"/>
        <v>4</v>
      </c>
      <c r="C496" t="s">
        <v>2806</v>
      </c>
      <c r="D496" t="s">
        <v>2653</v>
      </c>
      <c r="E496" t="s">
        <v>20</v>
      </c>
      <c r="F496" s="162">
        <v>5000</v>
      </c>
      <c r="G496" t="s">
        <v>2646</v>
      </c>
      <c r="H496" s="163">
        <v>46023</v>
      </c>
      <c r="I496" s="163">
        <v>46387</v>
      </c>
      <c r="J496" s="163"/>
      <c r="K496" t="s">
        <v>2643</v>
      </c>
      <c r="L496" t="b">
        <v>1</v>
      </c>
    </row>
    <row r="497" spans="1:12">
      <c r="A497" t="s">
        <v>1977</v>
      </c>
      <c r="B497">
        <f t="shared" si="23"/>
        <v>4</v>
      </c>
      <c r="C497" t="s">
        <v>2807</v>
      </c>
      <c r="D497" t="s">
        <v>2624</v>
      </c>
      <c r="E497" t="s">
        <v>31</v>
      </c>
      <c r="F497" s="162">
        <v>12761</v>
      </c>
      <c r="G497" t="s">
        <v>2646</v>
      </c>
      <c r="H497" s="163">
        <v>46388</v>
      </c>
      <c r="I497" s="163">
        <v>46752</v>
      </c>
      <c r="J497" s="163"/>
      <c r="K497" t="s">
        <v>2643</v>
      </c>
      <c r="L497" t="b">
        <v>0</v>
      </c>
    </row>
    <row r="498" spans="1:12">
      <c r="A498" t="s">
        <v>1977</v>
      </c>
      <c r="B498">
        <f t="shared" si="23"/>
        <v>4</v>
      </c>
      <c r="C498" t="s">
        <v>2807</v>
      </c>
      <c r="D498" t="s">
        <v>2653</v>
      </c>
      <c r="E498" t="s">
        <v>20</v>
      </c>
      <c r="F498" s="162">
        <v>5000</v>
      </c>
      <c r="G498" t="s">
        <v>2646</v>
      </c>
      <c r="H498" s="163">
        <v>46388</v>
      </c>
      <c r="I498" s="163">
        <v>46752</v>
      </c>
      <c r="J498" s="163"/>
      <c r="K498" t="s">
        <v>2643</v>
      </c>
      <c r="L498" t="b">
        <v>0</v>
      </c>
    </row>
    <row r="499" spans="1:12">
      <c r="A499" t="s">
        <v>399</v>
      </c>
      <c r="B499">
        <f t="shared" si="23"/>
        <v>0</v>
      </c>
      <c r="C499" t="s">
        <v>2808</v>
      </c>
      <c r="D499" t="s">
        <v>1816</v>
      </c>
      <c r="E499" t="s">
        <v>1931</v>
      </c>
      <c r="F499" s="162">
        <v>15865</v>
      </c>
      <c r="G499" t="s">
        <v>2655</v>
      </c>
      <c r="H499" s="163">
        <v>46104</v>
      </c>
      <c r="I499" s="163">
        <v>46468</v>
      </c>
      <c r="J499" s="163"/>
      <c r="K499" t="s">
        <v>2643</v>
      </c>
      <c r="L499" t="b">
        <v>0</v>
      </c>
    </row>
    <row r="500" spans="1:12">
      <c r="A500" t="s">
        <v>400</v>
      </c>
      <c r="B500">
        <f t="shared" si="23"/>
        <v>2</v>
      </c>
      <c r="C500" t="s">
        <v>2809</v>
      </c>
      <c r="D500" t="s">
        <v>1817</v>
      </c>
      <c r="E500" t="s">
        <v>35</v>
      </c>
      <c r="F500" s="162">
        <v>20746</v>
      </c>
      <c r="G500" t="s">
        <v>2646</v>
      </c>
      <c r="H500" s="163">
        <v>46026</v>
      </c>
      <c r="I500" s="163">
        <v>46477</v>
      </c>
      <c r="J500" s="163"/>
      <c r="K500" t="s">
        <v>2643</v>
      </c>
      <c r="L500" t="b">
        <v>0</v>
      </c>
    </row>
    <row r="501" spans="1:12">
      <c r="A501" t="s">
        <v>400</v>
      </c>
      <c r="B501">
        <f t="shared" si="23"/>
        <v>2</v>
      </c>
      <c r="C501" t="s">
        <v>2809</v>
      </c>
      <c r="D501" t="s">
        <v>2653</v>
      </c>
      <c r="E501" t="s">
        <v>20</v>
      </c>
      <c r="F501" s="162">
        <v>8100</v>
      </c>
      <c r="G501" t="s">
        <v>2646</v>
      </c>
      <c r="H501" s="163">
        <v>46026</v>
      </c>
      <c r="I501" s="163">
        <v>46477</v>
      </c>
      <c r="J501" s="163"/>
      <c r="K501" t="s">
        <v>2643</v>
      </c>
      <c r="L501" t="b">
        <v>0</v>
      </c>
    </row>
    <row r="502" spans="1:12">
      <c r="A502" t="s">
        <v>2005</v>
      </c>
      <c r="B502">
        <f t="shared" si="23"/>
        <v>0</v>
      </c>
      <c r="C502" t="s">
        <v>2810</v>
      </c>
      <c r="D502" t="s">
        <v>2645</v>
      </c>
      <c r="E502" t="s">
        <v>1902</v>
      </c>
      <c r="F502" s="162">
        <v>4800</v>
      </c>
      <c r="G502" t="s">
        <v>2646</v>
      </c>
      <c r="H502" s="163">
        <v>46026</v>
      </c>
      <c r="I502" s="163">
        <v>46477</v>
      </c>
      <c r="J502" s="163"/>
      <c r="K502" t="s">
        <v>2647</v>
      </c>
      <c r="L502" t="b">
        <v>0</v>
      </c>
    </row>
    <row r="503" spans="1:12">
      <c r="A503" t="s">
        <v>169</v>
      </c>
      <c r="B503">
        <f t="shared" si="23"/>
        <v>0</v>
      </c>
      <c r="C503" t="s">
        <v>2811</v>
      </c>
      <c r="D503" t="s">
        <v>1797</v>
      </c>
      <c r="E503" t="s">
        <v>29</v>
      </c>
      <c r="F503" s="162">
        <v>6650</v>
      </c>
      <c r="G503" t="s">
        <v>2642</v>
      </c>
      <c r="H503" s="163">
        <v>45878</v>
      </c>
      <c r="I503" s="163">
        <v>46212</v>
      </c>
      <c r="J503" s="163"/>
      <c r="K503" t="s">
        <v>2671</v>
      </c>
      <c r="L503" t="b">
        <v>0</v>
      </c>
    </row>
    <row r="504" spans="1:12">
      <c r="A504" t="s">
        <v>169</v>
      </c>
      <c r="B504">
        <f t="shared" si="23"/>
        <v>0</v>
      </c>
      <c r="C504" t="s">
        <v>2811</v>
      </c>
      <c r="D504" t="s">
        <v>2624</v>
      </c>
      <c r="E504" t="s">
        <v>31</v>
      </c>
      <c r="F504" s="162">
        <v>12420</v>
      </c>
      <c r="G504" t="s">
        <v>2642</v>
      </c>
      <c r="H504" s="163">
        <v>45878</v>
      </c>
      <c r="I504" s="163">
        <v>46212</v>
      </c>
      <c r="J504" s="163"/>
      <c r="K504" t="s">
        <v>2671</v>
      </c>
      <c r="L504" t="b">
        <v>0</v>
      </c>
    </row>
    <row r="505" spans="1:12">
      <c r="A505" t="s">
        <v>169</v>
      </c>
      <c r="B505">
        <f t="shared" si="23"/>
        <v>0</v>
      </c>
      <c r="C505" t="s">
        <v>2811</v>
      </c>
      <c r="D505" t="s">
        <v>1820</v>
      </c>
      <c r="E505" t="s">
        <v>25</v>
      </c>
      <c r="F505" s="162">
        <v>4540</v>
      </c>
      <c r="G505" t="s">
        <v>2642</v>
      </c>
      <c r="H505" s="163">
        <v>45878</v>
      </c>
      <c r="I505" s="163">
        <v>46212</v>
      </c>
      <c r="J505" s="163"/>
      <c r="K505" t="s">
        <v>2671</v>
      </c>
      <c r="L505" t="b">
        <v>0</v>
      </c>
    </row>
    <row r="506" spans="1:12">
      <c r="A506" t="s">
        <v>169</v>
      </c>
      <c r="B506">
        <f t="shared" si="23"/>
        <v>0</v>
      </c>
      <c r="C506" t="s">
        <v>2811</v>
      </c>
      <c r="D506" t="s">
        <v>2619</v>
      </c>
      <c r="E506" t="s">
        <v>31</v>
      </c>
      <c r="F506" s="162">
        <v>12040</v>
      </c>
      <c r="G506" t="s">
        <v>2642</v>
      </c>
      <c r="H506" s="163">
        <v>45878</v>
      </c>
      <c r="I506" s="163">
        <v>46212</v>
      </c>
      <c r="J506" s="163"/>
      <c r="K506" t="s">
        <v>2671</v>
      </c>
      <c r="L506" t="b">
        <v>0</v>
      </c>
    </row>
    <row r="507" spans="1:12">
      <c r="A507" t="s">
        <v>1442</v>
      </c>
      <c r="B507">
        <f t="shared" si="23"/>
        <v>1</v>
      </c>
      <c r="C507" t="s">
        <v>2812</v>
      </c>
      <c r="D507" t="s">
        <v>2653</v>
      </c>
      <c r="E507" t="s">
        <v>20</v>
      </c>
      <c r="F507" s="162">
        <v>800</v>
      </c>
      <c r="G507" t="s">
        <v>2646</v>
      </c>
      <c r="H507" s="163">
        <v>46025</v>
      </c>
      <c r="I507" s="163">
        <v>46446</v>
      </c>
      <c r="J507" s="163"/>
      <c r="K507" t="s">
        <v>2656</v>
      </c>
      <c r="L507" t="b">
        <v>0</v>
      </c>
    </row>
    <row r="508" spans="1:12">
      <c r="A508" t="s">
        <v>2001</v>
      </c>
      <c r="B508">
        <f t="shared" si="23"/>
        <v>18</v>
      </c>
      <c r="C508" t="s">
        <v>2813</v>
      </c>
      <c r="D508" t="s">
        <v>1810</v>
      </c>
      <c r="E508" t="s">
        <v>21</v>
      </c>
      <c r="F508" s="162">
        <v>2088.5</v>
      </c>
      <c r="G508" t="s">
        <v>2646</v>
      </c>
      <c r="H508" s="163">
        <v>46026</v>
      </c>
      <c r="I508" s="163">
        <v>46477</v>
      </c>
      <c r="J508" s="163"/>
      <c r="K508" t="s">
        <v>2643</v>
      </c>
      <c r="L508" t="b">
        <v>0</v>
      </c>
    </row>
    <row r="509" spans="1:12">
      <c r="A509" t="s">
        <v>2001</v>
      </c>
      <c r="B509">
        <f t="shared" si="23"/>
        <v>18</v>
      </c>
      <c r="C509" t="s">
        <v>2813</v>
      </c>
      <c r="D509" t="s">
        <v>1821</v>
      </c>
      <c r="E509" t="s">
        <v>21</v>
      </c>
      <c r="F509" s="162">
        <v>2088.5</v>
      </c>
      <c r="G509" t="s">
        <v>2646</v>
      </c>
      <c r="H509" s="163">
        <v>46026</v>
      </c>
      <c r="I509" s="163">
        <v>46477</v>
      </c>
      <c r="J509" s="163"/>
      <c r="K509" t="s">
        <v>2643</v>
      </c>
      <c r="L509" t="b">
        <v>0</v>
      </c>
    </row>
    <row r="510" spans="1:12">
      <c r="A510" t="s">
        <v>2001</v>
      </c>
      <c r="B510">
        <f t="shared" si="23"/>
        <v>18</v>
      </c>
      <c r="C510" t="s">
        <v>2813</v>
      </c>
      <c r="D510" t="s">
        <v>1828</v>
      </c>
      <c r="E510" t="s">
        <v>21</v>
      </c>
      <c r="F510" s="162">
        <v>2088.5</v>
      </c>
      <c r="G510" t="s">
        <v>2646</v>
      </c>
      <c r="H510" s="163">
        <v>46026</v>
      </c>
      <c r="I510" s="163">
        <v>46477</v>
      </c>
      <c r="J510" s="163"/>
      <c r="K510" t="s">
        <v>2643</v>
      </c>
      <c r="L510" t="b">
        <v>0</v>
      </c>
    </row>
    <row r="511" spans="1:12">
      <c r="A511" t="s">
        <v>2001</v>
      </c>
      <c r="B511">
        <f t="shared" si="23"/>
        <v>18</v>
      </c>
      <c r="C511" t="s">
        <v>2813</v>
      </c>
      <c r="D511" t="s">
        <v>1835</v>
      </c>
      <c r="E511" t="s">
        <v>21</v>
      </c>
      <c r="F511" s="162">
        <v>2088.5</v>
      </c>
      <c r="G511" t="s">
        <v>2646</v>
      </c>
      <c r="H511" s="163">
        <v>46026</v>
      </c>
      <c r="I511" s="163">
        <v>46477</v>
      </c>
      <c r="J511" s="163"/>
      <c r="K511" t="s">
        <v>2643</v>
      </c>
      <c r="L511" t="b">
        <v>0</v>
      </c>
    </row>
    <row r="512" spans="1:12">
      <c r="A512" t="s">
        <v>2001</v>
      </c>
      <c r="B512">
        <f t="shared" si="23"/>
        <v>18</v>
      </c>
      <c r="C512" t="s">
        <v>2813</v>
      </c>
      <c r="D512" t="s">
        <v>1841</v>
      </c>
      <c r="E512" t="s">
        <v>21</v>
      </c>
      <c r="F512" s="162">
        <v>2088.5</v>
      </c>
      <c r="G512" t="s">
        <v>2646</v>
      </c>
      <c r="H512" s="163">
        <v>46026</v>
      </c>
      <c r="I512" s="163">
        <v>46477</v>
      </c>
      <c r="J512" s="163"/>
      <c r="K512" t="s">
        <v>2643</v>
      </c>
      <c r="L512" t="b">
        <v>0</v>
      </c>
    </row>
    <row r="513" spans="1:12">
      <c r="A513" t="s">
        <v>2001</v>
      </c>
      <c r="B513">
        <f t="shared" si="23"/>
        <v>18</v>
      </c>
      <c r="C513" t="s">
        <v>2813</v>
      </c>
      <c r="D513" t="s">
        <v>1843</v>
      </c>
      <c r="E513" t="s">
        <v>21</v>
      </c>
      <c r="F513" s="162">
        <v>2088.5</v>
      </c>
      <c r="G513" t="s">
        <v>2646</v>
      </c>
      <c r="H513" s="163">
        <v>46026</v>
      </c>
      <c r="I513" s="163">
        <v>46477</v>
      </c>
      <c r="J513" s="163"/>
      <c r="K513" t="s">
        <v>2643</v>
      </c>
      <c r="L513" t="b">
        <v>0</v>
      </c>
    </row>
    <row r="514" spans="1:12">
      <c r="A514" t="s">
        <v>2001</v>
      </c>
      <c r="B514">
        <f t="shared" si="23"/>
        <v>18</v>
      </c>
      <c r="C514" t="s">
        <v>2813</v>
      </c>
      <c r="D514" t="s">
        <v>2653</v>
      </c>
      <c r="E514" t="s">
        <v>20</v>
      </c>
      <c r="F514" s="162">
        <v>13956</v>
      </c>
      <c r="G514" t="s">
        <v>2646</v>
      </c>
      <c r="H514" s="163">
        <v>46026</v>
      </c>
      <c r="I514" s="163">
        <v>46477</v>
      </c>
      <c r="J514" s="163"/>
      <c r="K514" t="s">
        <v>2643</v>
      </c>
      <c r="L514" t="b">
        <v>0</v>
      </c>
    </row>
    <row r="515" spans="1:12">
      <c r="A515" t="s">
        <v>2001</v>
      </c>
      <c r="B515">
        <f t="shared" ref="B515:B578" si="24">IF(COUNTIFS($A$2:$A$1053,A515,$E$2:$E$1053,"Industry Essentials")&gt;0, COUNTIF($A$2:$A$1053,A515), 0)</f>
        <v>18</v>
      </c>
      <c r="C515" t="s">
        <v>2813</v>
      </c>
      <c r="D515" t="s">
        <v>1823</v>
      </c>
      <c r="E515" t="s">
        <v>21</v>
      </c>
      <c r="F515" s="162">
        <v>17198</v>
      </c>
      <c r="G515" t="s">
        <v>2646</v>
      </c>
      <c r="H515" s="163">
        <v>46026</v>
      </c>
      <c r="I515" s="163">
        <v>46477</v>
      </c>
      <c r="J515" s="163"/>
      <c r="K515" t="s">
        <v>2643</v>
      </c>
      <c r="L515" t="b">
        <v>0</v>
      </c>
    </row>
    <row r="516" spans="1:12">
      <c r="A516" t="s">
        <v>2001</v>
      </c>
      <c r="B516">
        <f t="shared" si="24"/>
        <v>18</v>
      </c>
      <c r="C516" t="s">
        <v>2813</v>
      </c>
      <c r="D516" t="s">
        <v>1816</v>
      </c>
      <c r="E516" t="s">
        <v>1931</v>
      </c>
      <c r="F516" s="162">
        <v>15815</v>
      </c>
      <c r="G516" t="s">
        <v>2646</v>
      </c>
      <c r="H516" s="163">
        <v>46026</v>
      </c>
      <c r="I516" s="163">
        <v>46477</v>
      </c>
      <c r="J516" s="163"/>
      <c r="K516" t="s">
        <v>2643</v>
      </c>
      <c r="L516" t="b">
        <v>0</v>
      </c>
    </row>
    <row r="517" spans="1:12">
      <c r="A517" t="s">
        <v>2001</v>
      </c>
      <c r="B517">
        <f t="shared" si="24"/>
        <v>18</v>
      </c>
      <c r="C517" t="s">
        <v>2814</v>
      </c>
      <c r="D517" t="s">
        <v>1810</v>
      </c>
      <c r="E517" t="s">
        <v>21</v>
      </c>
      <c r="F517" s="162">
        <v>2267.6666666666702</v>
      </c>
      <c r="G517" t="s">
        <v>2646</v>
      </c>
      <c r="H517" s="163">
        <v>46391</v>
      </c>
      <c r="I517" s="163">
        <v>46843</v>
      </c>
      <c r="J517" s="163"/>
      <c r="K517" t="s">
        <v>2643</v>
      </c>
      <c r="L517" t="b">
        <v>0</v>
      </c>
    </row>
    <row r="518" spans="1:12">
      <c r="A518" t="s">
        <v>2001</v>
      </c>
      <c r="B518">
        <f t="shared" si="24"/>
        <v>18</v>
      </c>
      <c r="C518" t="s">
        <v>2814</v>
      </c>
      <c r="D518" t="s">
        <v>1821</v>
      </c>
      <c r="E518" t="s">
        <v>21</v>
      </c>
      <c r="F518" s="162">
        <v>2267.6666666666702</v>
      </c>
      <c r="G518" t="s">
        <v>2646</v>
      </c>
      <c r="H518" s="163">
        <v>46391</v>
      </c>
      <c r="I518" s="163">
        <v>46843</v>
      </c>
      <c r="J518" s="163"/>
      <c r="K518" t="s">
        <v>2643</v>
      </c>
      <c r="L518" t="b">
        <v>0</v>
      </c>
    </row>
    <row r="519" spans="1:12">
      <c r="A519" t="s">
        <v>2001</v>
      </c>
      <c r="B519">
        <f t="shared" si="24"/>
        <v>18</v>
      </c>
      <c r="C519" t="s">
        <v>2814</v>
      </c>
      <c r="D519" t="s">
        <v>1828</v>
      </c>
      <c r="E519" t="s">
        <v>21</v>
      </c>
      <c r="F519" s="162">
        <v>2267.6666666666702</v>
      </c>
      <c r="G519" t="s">
        <v>2646</v>
      </c>
      <c r="H519" s="163">
        <v>46391</v>
      </c>
      <c r="I519" s="163">
        <v>46843</v>
      </c>
      <c r="J519" s="163"/>
      <c r="K519" t="s">
        <v>2643</v>
      </c>
      <c r="L519" t="b">
        <v>0</v>
      </c>
    </row>
    <row r="520" spans="1:12">
      <c r="A520" t="s">
        <v>2001</v>
      </c>
      <c r="B520">
        <f t="shared" si="24"/>
        <v>18</v>
      </c>
      <c r="C520" t="s">
        <v>2814</v>
      </c>
      <c r="D520" t="s">
        <v>1835</v>
      </c>
      <c r="E520" t="s">
        <v>21</v>
      </c>
      <c r="F520" s="162">
        <v>2267.6666666666702</v>
      </c>
      <c r="G520" t="s">
        <v>2646</v>
      </c>
      <c r="H520" s="163">
        <v>46391</v>
      </c>
      <c r="I520" s="163">
        <v>46843</v>
      </c>
      <c r="J520" s="163"/>
      <c r="K520" t="s">
        <v>2643</v>
      </c>
      <c r="L520" t="b">
        <v>0</v>
      </c>
    </row>
    <row r="521" spans="1:12">
      <c r="A521" t="s">
        <v>2001</v>
      </c>
      <c r="B521">
        <f t="shared" si="24"/>
        <v>18</v>
      </c>
      <c r="C521" t="s">
        <v>2814</v>
      </c>
      <c r="D521" t="s">
        <v>1841</v>
      </c>
      <c r="E521" t="s">
        <v>21</v>
      </c>
      <c r="F521" s="162">
        <v>2267.6666666666702</v>
      </c>
      <c r="G521" t="s">
        <v>2646</v>
      </c>
      <c r="H521" s="163">
        <v>46391</v>
      </c>
      <c r="I521" s="163">
        <v>46843</v>
      </c>
      <c r="J521" s="163"/>
      <c r="K521" t="s">
        <v>2643</v>
      </c>
      <c r="L521" t="b">
        <v>0</v>
      </c>
    </row>
    <row r="522" spans="1:12">
      <c r="A522" t="s">
        <v>2001</v>
      </c>
      <c r="B522">
        <f t="shared" si="24"/>
        <v>18</v>
      </c>
      <c r="C522" t="s">
        <v>2814</v>
      </c>
      <c r="D522" t="s">
        <v>1843</v>
      </c>
      <c r="E522" t="s">
        <v>21</v>
      </c>
      <c r="F522" s="162">
        <v>2267.6666666666702</v>
      </c>
      <c r="G522" t="s">
        <v>2646</v>
      </c>
      <c r="H522" s="163">
        <v>46391</v>
      </c>
      <c r="I522" s="163">
        <v>46843</v>
      </c>
      <c r="J522" s="163"/>
      <c r="K522" t="s">
        <v>2643</v>
      </c>
      <c r="L522" t="b">
        <v>0</v>
      </c>
    </row>
    <row r="523" spans="1:12">
      <c r="A523" t="s">
        <v>2001</v>
      </c>
      <c r="B523">
        <f t="shared" si="24"/>
        <v>18</v>
      </c>
      <c r="C523" t="s">
        <v>2814</v>
      </c>
      <c r="D523" t="s">
        <v>2653</v>
      </c>
      <c r="E523" t="s">
        <v>20</v>
      </c>
      <c r="F523" s="162">
        <v>14956</v>
      </c>
      <c r="G523" t="s">
        <v>2646</v>
      </c>
      <c r="H523" s="163">
        <v>46391</v>
      </c>
      <c r="I523" s="163">
        <v>46843</v>
      </c>
      <c r="J523" s="163"/>
      <c r="K523" t="s">
        <v>2643</v>
      </c>
      <c r="L523" t="b">
        <v>0</v>
      </c>
    </row>
    <row r="524" spans="1:12">
      <c r="A524" t="s">
        <v>2001</v>
      </c>
      <c r="B524">
        <f t="shared" si="24"/>
        <v>18</v>
      </c>
      <c r="C524" t="s">
        <v>2814</v>
      </c>
      <c r="D524" t="s">
        <v>1823</v>
      </c>
      <c r="E524" t="s">
        <v>21</v>
      </c>
      <c r="F524" s="162">
        <v>18198</v>
      </c>
      <c r="G524" t="s">
        <v>2646</v>
      </c>
      <c r="H524" s="163">
        <v>46391</v>
      </c>
      <c r="I524" s="163">
        <v>46843</v>
      </c>
      <c r="J524" s="163"/>
      <c r="K524" t="s">
        <v>2643</v>
      </c>
      <c r="L524" t="b">
        <v>0</v>
      </c>
    </row>
    <row r="525" spans="1:12">
      <c r="A525" t="s">
        <v>2001</v>
      </c>
      <c r="B525">
        <f t="shared" si="24"/>
        <v>18</v>
      </c>
      <c r="C525" t="s">
        <v>2814</v>
      </c>
      <c r="D525" t="s">
        <v>1816</v>
      </c>
      <c r="E525" t="s">
        <v>1931</v>
      </c>
      <c r="F525" s="162">
        <v>15815</v>
      </c>
      <c r="G525" t="s">
        <v>2646</v>
      </c>
      <c r="H525" s="163">
        <v>46391</v>
      </c>
      <c r="I525" s="163">
        <v>46843</v>
      </c>
      <c r="J525" s="163"/>
      <c r="K525" t="s">
        <v>2643</v>
      </c>
      <c r="L525" t="b">
        <v>0</v>
      </c>
    </row>
    <row r="526" spans="1:12">
      <c r="A526" t="s">
        <v>1965</v>
      </c>
      <c r="B526">
        <f t="shared" si="24"/>
        <v>2</v>
      </c>
      <c r="C526" t="s">
        <v>2815</v>
      </c>
      <c r="D526" t="s">
        <v>2653</v>
      </c>
      <c r="E526" t="s">
        <v>20</v>
      </c>
      <c r="F526" s="162">
        <v>7071</v>
      </c>
      <c r="G526" t="s">
        <v>2646</v>
      </c>
      <c r="H526" s="163">
        <v>45881</v>
      </c>
      <c r="I526" s="163">
        <v>46215</v>
      </c>
      <c r="J526" s="163"/>
      <c r="K526" t="s">
        <v>2656</v>
      </c>
      <c r="L526" t="b">
        <v>0</v>
      </c>
    </row>
    <row r="527" spans="1:12">
      <c r="A527" t="s">
        <v>1965</v>
      </c>
      <c r="B527">
        <f t="shared" si="24"/>
        <v>2</v>
      </c>
      <c r="C527" t="s">
        <v>2816</v>
      </c>
      <c r="D527" t="s">
        <v>2653</v>
      </c>
      <c r="E527" t="s">
        <v>20</v>
      </c>
      <c r="F527" s="162">
        <v>7336</v>
      </c>
      <c r="G527" t="s">
        <v>2646</v>
      </c>
      <c r="H527" s="163">
        <v>46246</v>
      </c>
      <c r="I527" s="163">
        <v>46580</v>
      </c>
      <c r="J527" s="163"/>
      <c r="K527" t="s">
        <v>2656</v>
      </c>
      <c r="L527" t="b">
        <v>0</v>
      </c>
    </row>
    <row r="528" spans="1:12">
      <c r="A528" t="s">
        <v>1970</v>
      </c>
      <c r="B528">
        <f t="shared" si="24"/>
        <v>1</v>
      </c>
      <c r="C528" t="s">
        <v>2817</v>
      </c>
      <c r="D528" t="s">
        <v>2653</v>
      </c>
      <c r="E528" t="s">
        <v>20</v>
      </c>
      <c r="F528" s="162">
        <v>10645</v>
      </c>
      <c r="G528" t="s">
        <v>2646</v>
      </c>
      <c r="H528" s="163">
        <v>46023</v>
      </c>
      <c r="I528" s="163">
        <v>46387</v>
      </c>
      <c r="J528" s="163"/>
      <c r="K528" t="s">
        <v>2643</v>
      </c>
      <c r="L528" t="b">
        <v>0</v>
      </c>
    </row>
    <row r="529" spans="1:12">
      <c r="A529" t="s">
        <v>1936</v>
      </c>
      <c r="B529">
        <f t="shared" si="24"/>
        <v>1</v>
      </c>
      <c r="C529" t="s">
        <v>2818</v>
      </c>
      <c r="D529" t="s">
        <v>2653</v>
      </c>
      <c r="E529" t="s">
        <v>20</v>
      </c>
      <c r="F529" s="162">
        <v>3750</v>
      </c>
      <c r="G529" t="s">
        <v>2646</v>
      </c>
      <c r="H529" s="163">
        <v>45832</v>
      </c>
      <c r="I529" s="163">
        <v>46196</v>
      </c>
      <c r="J529" s="163"/>
      <c r="K529" t="s">
        <v>2656</v>
      </c>
      <c r="L529" t="b">
        <v>0</v>
      </c>
    </row>
    <row r="530" spans="1:12">
      <c r="A530" t="s">
        <v>170</v>
      </c>
      <c r="B530">
        <f t="shared" si="24"/>
        <v>2</v>
      </c>
      <c r="C530" t="s">
        <v>2819</v>
      </c>
      <c r="D530" t="s">
        <v>2625</v>
      </c>
      <c r="E530" t="s">
        <v>27</v>
      </c>
      <c r="F530" s="162">
        <v>18480</v>
      </c>
      <c r="G530" t="s">
        <v>2646</v>
      </c>
      <c r="H530" s="163">
        <v>45665</v>
      </c>
      <c r="I530" s="163">
        <v>46234</v>
      </c>
      <c r="J530" s="163"/>
      <c r="K530" t="s">
        <v>2671</v>
      </c>
      <c r="L530" t="b">
        <v>0</v>
      </c>
    </row>
    <row r="531" spans="1:12">
      <c r="A531" t="s">
        <v>170</v>
      </c>
      <c r="B531">
        <f t="shared" si="24"/>
        <v>2</v>
      </c>
      <c r="C531" t="s">
        <v>2820</v>
      </c>
      <c r="D531" t="s">
        <v>2653</v>
      </c>
      <c r="E531" t="s">
        <v>20</v>
      </c>
      <c r="F531" s="162">
        <v>5320</v>
      </c>
      <c r="G531" t="s">
        <v>2646</v>
      </c>
      <c r="H531" s="163">
        <v>46023</v>
      </c>
      <c r="I531" s="163">
        <v>46234</v>
      </c>
      <c r="J531" s="163"/>
      <c r="K531" t="s">
        <v>2671</v>
      </c>
      <c r="L531" t="b">
        <v>0</v>
      </c>
    </row>
    <row r="532" spans="1:12">
      <c r="A532" t="s">
        <v>1992</v>
      </c>
      <c r="B532">
        <f t="shared" si="24"/>
        <v>2</v>
      </c>
      <c r="C532" t="s">
        <v>2821</v>
      </c>
      <c r="D532" t="s">
        <v>2653</v>
      </c>
      <c r="E532" t="s">
        <v>20</v>
      </c>
      <c r="F532" s="162">
        <v>4976</v>
      </c>
      <c r="G532" t="s">
        <v>2646</v>
      </c>
      <c r="H532" s="163">
        <v>46076</v>
      </c>
      <c r="I532" s="163">
        <v>46440</v>
      </c>
      <c r="J532" s="163"/>
      <c r="K532" t="s">
        <v>2656</v>
      </c>
      <c r="L532" t="b">
        <v>0</v>
      </c>
    </row>
    <row r="533" spans="1:12">
      <c r="A533" t="s">
        <v>1992</v>
      </c>
      <c r="B533">
        <f t="shared" si="24"/>
        <v>2</v>
      </c>
      <c r="C533" t="s">
        <v>2822</v>
      </c>
      <c r="D533" t="s">
        <v>2653</v>
      </c>
      <c r="E533" t="s">
        <v>20</v>
      </c>
      <c r="F533" s="162">
        <v>5162</v>
      </c>
      <c r="G533" t="s">
        <v>2646</v>
      </c>
      <c r="H533" s="163">
        <v>46441</v>
      </c>
      <c r="I533" s="163">
        <v>46805</v>
      </c>
      <c r="J533" s="163"/>
      <c r="K533" t="s">
        <v>2656</v>
      </c>
      <c r="L533" t="b">
        <v>0</v>
      </c>
    </row>
    <row r="534" spans="1:12">
      <c r="A534" t="s">
        <v>1039</v>
      </c>
      <c r="B534">
        <f t="shared" si="24"/>
        <v>6</v>
      </c>
      <c r="C534" t="s">
        <v>2823</v>
      </c>
      <c r="D534" t="s">
        <v>2653</v>
      </c>
      <c r="E534" t="s">
        <v>20</v>
      </c>
      <c r="F534" s="162">
        <v>3000</v>
      </c>
      <c r="G534" t="s">
        <v>2646</v>
      </c>
      <c r="H534" s="163">
        <v>46027</v>
      </c>
      <c r="I534" s="163">
        <v>46507</v>
      </c>
      <c r="J534" s="163"/>
      <c r="K534" t="s">
        <v>2643</v>
      </c>
      <c r="L534" t="b">
        <v>0</v>
      </c>
    </row>
    <row r="535" spans="1:12">
      <c r="A535" t="s">
        <v>1039</v>
      </c>
      <c r="B535">
        <f t="shared" si="24"/>
        <v>6</v>
      </c>
      <c r="C535" t="s">
        <v>2823</v>
      </c>
      <c r="D535" t="s">
        <v>1814</v>
      </c>
      <c r="E535" t="s">
        <v>1695</v>
      </c>
      <c r="F535" s="162">
        <v>2634</v>
      </c>
      <c r="G535" t="s">
        <v>2646</v>
      </c>
      <c r="H535" s="163">
        <v>46027</v>
      </c>
      <c r="I535" s="163">
        <v>46507</v>
      </c>
      <c r="J535" s="163"/>
      <c r="K535" t="s">
        <v>2643</v>
      </c>
      <c r="L535" t="b">
        <v>0</v>
      </c>
    </row>
    <row r="536" spans="1:12">
      <c r="A536" t="s">
        <v>1039</v>
      </c>
      <c r="B536">
        <f t="shared" si="24"/>
        <v>6</v>
      </c>
      <c r="C536" t="s">
        <v>2823</v>
      </c>
      <c r="D536" t="s">
        <v>1824</v>
      </c>
      <c r="E536" t="s">
        <v>1695</v>
      </c>
      <c r="F536" s="162">
        <v>2634</v>
      </c>
      <c r="G536" t="s">
        <v>2646</v>
      </c>
      <c r="H536" s="163">
        <v>46027</v>
      </c>
      <c r="I536" s="163">
        <v>46507</v>
      </c>
      <c r="J536" s="163"/>
      <c r="K536" t="s">
        <v>2643</v>
      </c>
      <c r="L536" t="b">
        <v>0</v>
      </c>
    </row>
    <row r="537" spans="1:12">
      <c r="A537" t="s">
        <v>1039</v>
      </c>
      <c r="B537">
        <f t="shared" si="24"/>
        <v>6</v>
      </c>
      <c r="C537" t="s">
        <v>2823</v>
      </c>
      <c r="D537" t="s">
        <v>1842</v>
      </c>
      <c r="E537" t="s">
        <v>1695</v>
      </c>
      <c r="F537" s="162">
        <v>2634</v>
      </c>
      <c r="G537" t="s">
        <v>2646</v>
      </c>
      <c r="H537" s="163">
        <v>46027</v>
      </c>
      <c r="I537" s="163">
        <v>46507</v>
      </c>
      <c r="J537" s="163"/>
      <c r="K537" t="s">
        <v>2643</v>
      </c>
      <c r="L537" t="b">
        <v>0</v>
      </c>
    </row>
    <row r="538" spans="1:12">
      <c r="A538" t="s">
        <v>1039</v>
      </c>
      <c r="B538">
        <f t="shared" si="24"/>
        <v>6</v>
      </c>
      <c r="C538" t="s">
        <v>2823</v>
      </c>
      <c r="D538" t="s">
        <v>1851</v>
      </c>
      <c r="E538" t="s">
        <v>1695</v>
      </c>
      <c r="F538" s="162">
        <v>2634</v>
      </c>
      <c r="G538" t="s">
        <v>2646</v>
      </c>
      <c r="H538" s="163">
        <v>46027</v>
      </c>
      <c r="I538" s="163">
        <v>46507</v>
      </c>
      <c r="J538" s="163"/>
      <c r="K538" t="s">
        <v>2643</v>
      </c>
      <c r="L538" t="b">
        <v>0</v>
      </c>
    </row>
    <row r="539" spans="1:12">
      <c r="A539" t="s">
        <v>1039</v>
      </c>
      <c r="B539">
        <f t="shared" si="24"/>
        <v>6</v>
      </c>
      <c r="C539" t="s">
        <v>2823</v>
      </c>
      <c r="D539" t="s">
        <v>1853</v>
      </c>
      <c r="E539" t="s">
        <v>1695</v>
      </c>
      <c r="F539" s="162">
        <v>2634</v>
      </c>
      <c r="G539" t="s">
        <v>2646</v>
      </c>
      <c r="H539" s="163">
        <v>46027</v>
      </c>
      <c r="I539" s="163">
        <v>46507</v>
      </c>
      <c r="J539" s="163"/>
      <c r="K539" t="s">
        <v>2643</v>
      </c>
      <c r="L539" t="b">
        <v>0</v>
      </c>
    </row>
    <row r="540" spans="1:12">
      <c r="A540" t="s">
        <v>171</v>
      </c>
      <c r="B540">
        <f t="shared" si="24"/>
        <v>2</v>
      </c>
      <c r="C540" t="s">
        <v>2824</v>
      </c>
      <c r="D540" t="s">
        <v>1820</v>
      </c>
      <c r="E540" t="s">
        <v>25</v>
      </c>
      <c r="F540" s="162">
        <v>12100</v>
      </c>
      <c r="G540" t="s">
        <v>2646</v>
      </c>
      <c r="H540" s="163">
        <v>46023</v>
      </c>
      <c r="I540" s="163">
        <v>46387</v>
      </c>
      <c r="J540" s="163"/>
      <c r="K540" t="s">
        <v>2671</v>
      </c>
      <c r="L540" t="b">
        <v>0</v>
      </c>
    </row>
    <row r="541" spans="1:12">
      <c r="A541" t="s">
        <v>171</v>
      </c>
      <c r="B541">
        <f t="shared" si="24"/>
        <v>2</v>
      </c>
      <c r="C541" t="s">
        <v>2824</v>
      </c>
      <c r="D541" t="s">
        <v>2653</v>
      </c>
      <c r="E541" t="s">
        <v>20</v>
      </c>
      <c r="F541" s="162">
        <v>10000</v>
      </c>
      <c r="G541" t="s">
        <v>2646</v>
      </c>
      <c r="H541" s="163">
        <v>46023</v>
      </c>
      <c r="I541" s="163">
        <v>46387</v>
      </c>
      <c r="J541" s="163"/>
      <c r="K541" t="s">
        <v>2671</v>
      </c>
      <c r="L541" t="b">
        <v>0</v>
      </c>
    </row>
    <row r="542" spans="1:12">
      <c r="A542" t="s">
        <v>75</v>
      </c>
      <c r="B542">
        <f t="shared" si="24"/>
        <v>35</v>
      </c>
      <c r="C542" t="s">
        <v>2825</v>
      </c>
      <c r="D542" t="s">
        <v>1814</v>
      </c>
      <c r="E542" t="s">
        <v>1695</v>
      </c>
      <c r="F542" s="162">
        <v>11214.814</v>
      </c>
      <c r="G542" t="s">
        <v>2646</v>
      </c>
      <c r="H542" s="163">
        <v>46023</v>
      </c>
      <c r="I542" s="163">
        <v>46387</v>
      </c>
      <c r="J542" s="163"/>
      <c r="K542" t="s">
        <v>2667</v>
      </c>
      <c r="L542" t="b">
        <v>0</v>
      </c>
    </row>
    <row r="543" spans="1:12">
      <c r="A543" t="s">
        <v>75</v>
      </c>
      <c r="B543">
        <f t="shared" si="24"/>
        <v>35</v>
      </c>
      <c r="C543" t="s">
        <v>2825</v>
      </c>
      <c r="D543" t="s">
        <v>1824</v>
      </c>
      <c r="E543" t="s">
        <v>1695</v>
      </c>
      <c r="F543" s="162">
        <v>11214.814</v>
      </c>
      <c r="G543" t="s">
        <v>2646</v>
      </c>
      <c r="H543" s="163">
        <v>46023</v>
      </c>
      <c r="I543" s="163">
        <v>46387</v>
      </c>
      <c r="J543" s="163"/>
      <c r="K543" t="s">
        <v>2667</v>
      </c>
      <c r="L543" t="b">
        <v>0</v>
      </c>
    </row>
    <row r="544" spans="1:12">
      <c r="A544" t="s">
        <v>75</v>
      </c>
      <c r="B544">
        <f t="shared" si="24"/>
        <v>35</v>
      </c>
      <c r="C544" t="s">
        <v>2825</v>
      </c>
      <c r="D544" t="s">
        <v>1842</v>
      </c>
      <c r="E544" t="s">
        <v>1695</v>
      </c>
      <c r="F544" s="162">
        <v>11214.814</v>
      </c>
      <c r="G544" t="s">
        <v>2646</v>
      </c>
      <c r="H544" s="163">
        <v>46023</v>
      </c>
      <c r="I544" s="163">
        <v>46387</v>
      </c>
      <c r="J544" s="163"/>
      <c r="K544" t="s">
        <v>2667</v>
      </c>
      <c r="L544" t="b">
        <v>0</v>
      </c>
    </row>
    <row r="545" spans="1:12">
      <c r="A545" t="s">
        <v>75</v>
      </c>
      <c r="B545">
        <f t="shared" si="24"/>
        <v>35</v>
      </c>
      <c r="C545" t="s">
        <v>2825</v>
      </c>
      <c r="D545" t="s">
        <v>1851</v>
      </c>
      <c r="E545" t="s">
        <v>1695</v>
      </c>
      <c r="F545" s="162">
        <v>11214.814</v>
      </c>
      <c r="G545" t="s">
        <v>2646</v>
      </c>
      <c r="H545" s="163">
        <v>46023</v>
      </c>
      <c r="I545" s="163">
        <v>46387</v>
      </c>
      <c r="J545" s="163"/>
      <c r="K545" t="s">
        <v>2667</v>
      </c>
      <c r="L545" t="b">
        <v>0</v>
      </c>
    </row>
    <row r="546" spans="1:12">
      <c r="A546" t="s">
        <v>75</v>
      </c>
      <c r="B546">
        <f t="shared" si="24"/>
        <v>35</v>
      </c>
      <c r="C546" t="s">
        <v>2825</v>
      </c>
      <c r="D546" t="s">
        <v>1853</v>
      </c>
      <c r="E546" t="s">
        <v>1695</v>
      </c>
      <c r="F546" s="162">
        <v>11214.814</v>
      </c>
      <c r="G546" t="s">
        <v>2646</v>
      </c>
      <c r="H546" s="163">
        <v>46023</v>
      </c>
      <c r="I546" s="163">
        <v>46387</v>
      </c>
      <c r="J546" s="163"/>
      <c r="K546" t="s">
        <v>2667</v>
      </c>
      <c r="L546" t="b">
        <v>0</v>
      </c>
    </row>
    <row r="547" spans="1:12">
      <c r="A547" t="s">
        <v>75</v>
      </c>
      <c r="B547">
        <f t="shared" si="24"/>
        <v>35</v>
      </c>
      <c r="C547" t="s">
        <v>2825</v>
      </c>
      <c r="D547" t="s">
        <v>1813</v>
      </c>
      <c r="E547" t="s">
        <v>21</v>
      </c>
      <c r="F547" s="162">
        <v>7552.01</v>
      </c>
      <c r="G547" t="s">
        <v>2646</v>
      </c>
      <c r="H547" s="163">
        <v>46023</v>
      </c>
      <c r="I547" s="163">
        <v>46387</v>
      </c>
      <c r="J547" s="163"/>
      <c r="K547" t="s">
        <v>2667</v>
      </c>
      <c r="L547" t="b">
        <v>0</v>
      </c>
    </row>
    <row r="548" spans="1:12">
      <c r="A548" t="s">
        <v>75</v>
      </c>
      <c r="B548">
        <f t="shared" si="24"/>
        <v>35</v>
      </c>
      <c r="C548" t="s">
        <v>2825</v>
      </c>
      <c r="D548" t="s">
        <v>1823</v>
      </c>
      <c r="E548" t="s">
        <v>21</v>
      </c>
      <c r="F548" s="162">
        <v>7552.01</v>
      </c>
      <c r="G548" t="s">
        <v>2646</v>
      </c>
      <c r="H548" s="163">
        <v>46023</v>
      </c>
      <c r="I548" s="163">
        <v>46387</v>
      </c>
      <c r="J548" s="163"/>
      <c r="K548" t="s">
        <v>2667</v>
      </c>
      <c r="L548" t="b">
        <v>0</v>
      </c>
    </row>
    <row r="549" spans="1:12">
      <c r="A549" t="s">
        <v>75</v>
      </c>
      <c r="B549">
        <f t="shared" si="24"/>
        <v>35</v>
      </c>
      <c r="C549" t="s">
        <v>2825</v>
      </c>
      <c r="D549" t="s">
        <v>1830</v>
      </c>
      <c r="E549" t="s">
        <v>21</v>
      </c>
      <c r="F549" s="162">
        <v>7552.01</v>
      </c>
      <c r="G549" t="s">
        <v>2646</v>
      </c>
      <c r="H549" s="163">
        <v>46023</v>
      </c>
      <c r="I549" s="163">
        <v>46387</v>
      </c>
      <c r="J549" s="163"/>
      <c r="K549" t="s">
        <v>2667</v>
      </c>
      <c r="L549" t="b">
        <v>0</v>
      </c>
    </row>
    <row r="550" spans="1:12">
      <c r="A550" t="s">
        <v>75</v>
      </c>
      <c r="B550">
        <f t="shared" si="24"/>
        <v>35</v>
      </c>
      <c r="C550" t="s">
        <v>2825</v>
      </c>
      <c r="D550" t="s">
        <v>1836</v>
      </c>
      <c r="E550" t="s">
        <v>21</v>
      </c>
      <c r="F550" s="162">
        <v>7552.01</v>
      </c>
      <c r="G550" t="s">
        <v>2646</v>
      </c>
      <c r="H550" s="163">
        <v>46023</v>
      </c>
      <c r="I550" s="163">
        <v>46387</v>
      </c>
      <c r="J550" s="163"/>
      <c r="K550" t="s">
        <v>2667</v>
      </c>
      <c r="L550" t="b">
        <v>0</v>
      </c>
    </row>
    <row r="551" spans="1:12">
      <c r="A551" t="s">
        <v>75</v>
      </c>
      <c r="B551">
        <f t="shared" si="24"/>
        <v>35</v>
      </c>
      <c r="C551" t="s">
        <v>2825</v>
      </c>
      <c r="D551" t="s">
        <v>1810</v>
      </c>
      <c r="E551" t="s">
        <v>21</v>
      </c>
      <c r="F551" s="162">
        <v>4967.7016666666696</v>
      </c>
      <c r="G551" t="s">
        <v>2646</v>
      </c>
      <c r="H551" s="163">
        <v>46023</v>
      </c>
      <c r="I551" s="163">
        <v>46387</v>
      </c>
      <c r="J551" s="163"/>
      <c r="K551" t="s">
        <v>2667</v>
      </c>
      <c r="L551" t="b">
        <v>0</v>
      </c>
    </row>
    <row r="552" spans="1:12">
      <c r="A552" t="s">
        <v>75</v>
      </c>
      <c r="B552">
        <f t="shared" si="24"/>
        <v>35</v>
      </c>
      <c r="C552" t="s">
        <v>2825</v>
      </c>
      <c r="D552" t="s">
        <v>1821</v>
      </c>
      <c r="E552" t="s">
        <v>21</v>
      </c>
      <c r="F552" s="162">
        <v>4967.7016666666696</v>
      </c>
      <c r="G552" t="s">
        <v>2646</v>
      </c>
      <c r="H552" s="163">
        <v>46023</v>
      </c>
      <c r="I552" s="163">
        <v>46387</v>
      </c>
      <c r="J552" s="163"/>
      <c r="K552" t="s">
        <v>2667</v>
      </c>
      <c r="L552" t="b">
        <v>0</v>
      </c>
    </row>
    <row r="553" spans="1:12">
      <c r="A553" t="s">
        <v>75</v>
      </c>
      <c r="B553">
        <f t="shared" si="24"/>
        <v>35</v>
      </c>
      <c r="C553" t="s">
        <v>2825</v>
      </c>
      <c r="D553" t="s">
        <v>1828</v>
      </c>
      <c r="E553" t="s">
        <v>21</v>
      </c>
      <c r="F553" s="162">
        <v>4967.7016666666696</v>
      </c>
      <c r="G553" t="s">
        <v>2646</v>
      </c>
      <c r="H553" s="163">
        <v>46023</v>
      </c>
      <c r="I553" s="163">
        <v>46387</v>
      </c>
      <c r="J553" s="163"/>
      <c r="K553" t="s">
        <v>2667</v>
      </c>
      <c r="L553" t="b">
        <v>0</v>
      </c>
    </row>
    <row r="554" spans="1:12">
      <c r="A554" t="s">
        <v>75</v>
      </c>
      <c r="B554">
        <f t="shared" si="24"/>
        <v>35</v>
      </c>
      <c r="C554" t="s">
        <v>2825</v>
      </c>
      <c r="D554" t="s">
        <v>1835</v>
      </c>
      <c r="E554" t="s">
        <v>21</v>
      </c>
      <c r="F554" s="162">
        <v>4967.7016666666696</v>
      </c>
      <c r="G554" t="s">
        <v>2646</v>
      </c>
      <c r="H554" s="163">
        <v>46023</v>
      </c>
      <c r="I554" s="163">
        <v>46387</v>
      </c>
      <c r="J554" s="163"/>
      <c r="K554" t="s">
        <v>2667</v>
      </c>
      <c r="L554" t="b">
        <v>0</v>
      </c>
    </row>
    <row r="555" spans="1:12">
      <c r="A555" t="s">
        <v>75</v>
      </c>
      <c r="B555">
        <f t="shared" si="24"/>
        <v>35</v>
      </c>
      <c r="C555" t="s">
        <v>2825</v>
      </c>
      <c r="D555" t="s">
        <v>1841</v>
      </c>
      <c r="E555" t="s">
        <v>21</v>
      </c>
      <c r="F555" s="162">
        <v>4967.7016666666696</v>
      </c>
      <c r="G555" t="s">
        <v>2646</v>
      </c>
      <c r="H555" s="163">
        <v>46023</v>
      </c>
      <c r="I555" s="163">
        <v>46387</v>
      </c>
      <c r="J555" s="163"/>
      <c r="K555" t="s">
        <v>2667</v>
      </c>
      <c r="L555" t="b">
        <v>0</v>
      </c>
    </row>
    <row r="556" spans="1:12">
      <c r="A556" t="s">
        <v>75</v>
      </c>
      <c r="B556">
        <f t="shared" si="24"/>
        <v>35</v>
      </c>
      <c r="C556" t="s">
        <v>2825</v>
      </c>
      <c r="D556" t="s">
        <v>1843</v>
      </c>
      <c r="E556" t="s">
        <v>21</v>
      </c>
      <c r="F556" s="162">
        <v>4967.7016666666696</v>
      </c>
      <c r="G556" t="s">
        <v>2646</v>
      </c>
      <c r="H556" s="163">
        <v>46023</v>
      </c>
      <c r="I556" s="163">
        <v>46387</v>
      </c>
      <c r="J556" s="163"/>
      <c r="K556" t="s">
        <v>2667</v>
      </c>
      <c r="L556" t="b">
        <v>0</v>
      </c>
    </row>
    <row r="557" spans="1:12">
      <c r="A557" t="s">
        <v>75</v>
      </c>
      <c r="B557">
        <f t="shared" si="24"/>
        <v>35</v>
      </c>
      <c r="C557" t="s">
        <v>2825</v>
      </c>
      <c r="D557" t="s">
        <v>1843</v>
      </c>
      <c r="E557" t="s">
        <v>21</v>
      </c>
      <c r="F557" s="162">
        <v>12951</v>
      </c>
      <c r="G557" t="s">
        <v>2646</v>
      </c>
      <c r="H557" s="163">
        <v>46023</v>
      </c>
      <c r="I557" s="163">
        <v>46387</v>
      </c>
      <c r="J557" s="163"/>
      <c r="K557" t="s">
        <v>2667</v>
      </c>
      <c r="L557" t="b">
        <v>0</v>
      </c>
    </row>
    <row r="558" spans="1:12">
      <c r="A558" t="s">
        <v>75</v>
      </c>
      <c r="B558">
        <f t="shared" si="24"/>
        <v>35</v>
      </c>
      <c r="C558" t="s">
        <v>2825</v>
      </c>
      <c r="D558" t="s">
        <v>2653</v>
      </c>
      <c r="E558" t="s">
        <v>20</v>
      </c>
      <c r="F558" s="162">
        <v>13717.66</v>
      </c>
      <c r="G558" t="s">
        <v>2646</v>
      </c>
      <c r="H558" s="163">
        <v>46023</v>
      </c>
      <c r="I558" s="163">
        <v>46387</v>
      </c>
      <c r="J558" s="163"/>
      <c r="K558" t="s">
        <v>2667</v>
      </c>
      <c r="L558" t="b">
        <v>0</v>
      </c>
    </row>
    <row r="559" spans="1:12">
      <c r="A559" t="s">
        <v>75</v>
      </c>
      <c r="B559">
        <f t="shared" si="24"/>
        <v>35</v>
      </c>
      <c r="C559" t="s">
        <v>2826</v>
      </c>
      <c r="D559" t="s">
        <v>1829</v>
      </c>
      <c r="E559" t="s">
        <v>23</v>
      </c>
      <c r="F559" s="162">
        <v>19800</v>
      </c>
      <c r="G559" t="s">
        <v>2646</v>
      </c>
      <c r="H559" s="163">
        <v>46026</v>
      </c>
      <c r="I559" s="163">
        <v>46477</v>
      </c>
      <c r="J559" s="163"/>
      <c r="K559" t="s">
        <v>2667</v>
      </c>
      <c r="L559" t="b">
        <v>0</v>
      </c>
    </row>
    <row r="560" spans="1:12">
      <c r="A560" t="s">
        <v>75</v>
      </c>
      <c r="B560">
        <f t="shared" si="24"/>
        <v>35</v>
      </c>
      <c r="C560" t="s">
        <v>2827</v>
      </c>
      <c r="D560" t="s">
        <v>1814</v>
      </c>
      <c r="E560" t="s">
        <v>1695</v>
      </c>
      <c r="F560" s="162">
        <v>11635.37</v>
      </c>
      <c r="G560" t="s">
        <v>2646</v>
      </c>
      <c r="H560" s="163">
        <v>46388</v>
      </c>
      <c r="I560" s="163">
        <v>46752</v>
      </c>
      <c r="J560" s="163"/>
      <c r="K560" t="s">
        <v>2667</v>
      </c>
      <c r="L560" t="b">
        <v>0</v>
      </c>
    </row>
    <row r="561" spans="1:12">
      <c r="A561" t="s">
        <v>75</v>
      </c>
      <c r="B561">
        <f t="shared" si="24"/>
        <v>35</v>
      </c>
      <c r="C561" t="s">
        <v>2827</v>
      </c>
      <c r="D561" t="s">
        <v>1824</v>
      </c>
      <c r="E561" t="s">
        <v>1695</v>
      </c>
      <c r="F561" s="162">
        <v>11635.37</v>
      </c>
      <c r="G561" t="s">
        <v>2646</v>
      </c>
      <c r="H561" s="163">
        <v>46388</v>
      </c>
      <c r="I561" s="163">
        <v>46752</v>
      </c>
      <c r="J561" s="163"/>
      <c r="K561" t="s">
        <v>2667</v>
      </c>
      <c r="L561" t="b">
        <v>0</v>
      </c>
    </row>
    <row r="562" spans="1:12">
      <c r="A562" t="s">
        <v>75</v>
      </c>
      <c r="B562">
        <f t="shared" si="24"/>
        <v>35</v>
      </c>
      <c r="C562" t="s">
        <v>2827</v>
      </c>
      <c r="D562" t="s">
        <v>1842</v>
      </c>
      <c r="E562" t="s">
        <v>1695</v>
      </c>
      <c r="F562" s="162">
        <v>11635.37</v>
      </c>
      <c r="G562" t="s">
        <v>2646</v>
      </c>
      <c r="H562" s="163">
        <v>46388</v>
      </c>
      <c r="I562" s="163">
        <v>46752</v>
      </c>
      <c r="J562" s="163"/>
      <c r="K562" t="s">
        <v>2667</v>
      </c>
      <c r="L562" t="b">
        <v>0</v>
      </c>
    </row>
    <row r="563" spans="1:12">
      <c r="A563" t="s">
        <v>75</v>
      </c>
      <c r="B563">
        <f t="shared" si="24"/>
        <v>35</v>
      </c>
      <c r="C563" t="s">
        <v>2827</v>
      </c>
      <c r="D563" t="s">
        <v>1851</v>
      </c>
      <c r="E563" t="s">
        <v>1695</v>
      </c>
      <c r="F563" s="162">
        <v>11635.37</v>
      </c>
      <c r="G563" t="s">
        <v>2646</v>
      </c>
      <c r="H563" s="163">
        <v>46388</v>
      </c>
      <c r="I563" s="163">
        <v>46752</v>
      </c>
      <c r="J563" s="163"/>
      <c r="K563" t="s">
        <v>2667</v>
      </c>
      <c r="L563" t="b">
        <v>0</v>
      </c>
    </row>
    <row r="564" spans="1:12">
      <c r="A564" t="s">
        <v>75</v>
      </c>
      <c r="B564">
        <f t="shared" si="24"/>
        <v>35</v>
      </c>
      <c r="C564" t="s">
        <v>2827</v>
      </c>
      <c r="D564" t="s">
        <v>1853</v>
      </c>
      <c r="E564" t="s">
        <v>1695</v>
      </c>
      <c r="F564" s="162">
        <v>11635.37</v>
      </c>
      <c r="G564" t="s">
        <v>2646</v>
      </c>
      <c r="H564" s="163">
        <v>46388</v>
      </c>
      <c r="I564" s="163">
        <v>46752</v>
      </c>
      <c r="J564" s="163"/>
      <c r="K564" t="s">
        <v>2667</v>
      </c>
      <c r="L564" t="b">
        <v>0</v>
      </c>
    </row>
    <row r="565" spans="1:12">
      <c r="A565" t="s">
        <v>75</v>
      </c>
      <c r="B565">
        <f t="shared" si="24"/>
        <v>35</v>
      </c>
      <c r="C565" t="s">
        <v>2827</v>
      </c>
      <c r="D565" t="s">
        <v>1810</v>
      </c>
      <c r="E565" t="s">
        <v>21</v>
      </c>
      <c r="F565" s="162">
        <v>5153.9916666666704</v>
      </c>
      <c r="G565" t="s">
        <v>2646</v>
      </c>
      <c r="H565" s="163">
        <v>46388</v>
      </c>
      <c r="I565" s="163">
        <v>46752</v>
      </c>
      <c r="J565" s="163"/>
      <c r="K565" t="s">
        <v>2667</v>
      </c>
      <c r="L565" t="b">
        <v>0</v>
      </c>
    </row>
    <row r="566" spans="1:12">
      <c r="A566" t="s">
        <v>75</v>
      </c>
      <c r="B566">
        <f t="shared" si="24"/>
        <v>35</v>
      </c>
      <c r="C566" t="s">
        <v>2827</v>
      </c>
      <c r="D566" t="s">
        <v>1821</v>
      </c>
      <c r="E566" t="s">
        <v>21</v>
      </c>
      <c r="F566" s="162">
        <v>5153.9916666666704</v>
      </c>
      <c r="G566" t="s">
        <v>2646</v>
      </c>
      <c r="H566" s="163">
        <v>46388</v>
      </c>
      <c r="I566" s="163">
        <v>46752</v>
      </c>
      <c r="J566" s="163"/>
      <c r="K566" t="s">
        <v>2667</v>
      </c>
      <c r="L566" t="b">
        <v>0</v>
      </c>
    </row>
    <row r="567" spans="1:12">
      <c r="A567" t="s">
        <v>75</v>
      </c>
      <c r="B567">
        <f t="shared" si="24"/>
        <v>35</v>
      </c>
      <c r="C567" t="s">
        <v>2827</v>
      </c>
      <c r="D567" t="s">
        <v>1828</v>
      </c>
      <c r="E567" t="s">
        <v>21</v>
      </c>
      <c r="F567" s="162">
        <v>5153.9916666666704</v>
      </c>
      <c r="G567" t="s">
        <v>2646</v>
      </c>
      <c r="H567" s="163">
        <v>46388</v>
      </c>
      <c r="I567" s="163">
        <v>46752</v>
      </c>
      <c r="J567" s="163"/>
      <c r="K567" t="s">
        <v>2667</v>
      </c>
      <c r="L567" t="b">
        <v>0</v>
      </c>
    </row>
    <row r="568" spans="1:12">
      <c r="A568" t="s">
        <v>75</v>
      </c>
      <c r="B568">
        <f t="shared" si="24"/>
        <v>35</v>
      </c>
      <c r="C568" t="s">
        <v>2827</v>
      </c>
      <c r="D568" t="s">
        <v>1835</v>
      </c>
      <c r="E568" t="s">
        <v>21</v>
      </c>
      <c r="F568" s="162">
        <v>5153.9916666666704</v>
      </c>
      <c r="G568" t="s">
        <v>2646</v>
      </c>
      <c r="H568" s="163">
        <v>46388</v>
      </c>
      <c r="I568" s="163">
        <v>46752</v>
      </c>
      <c r="J568" s="163"/>
      <c r="K568" t="s">
        <v>2667</v>
      </c>
      <c r="L568" t="b">
        <v>0</v>
      </c>
    </row>
    <row r="569" spans="1:12">
      <c r="A569" t="s">
        <v>75</v>
      </c>
      <c r="B569">
        <f t="shared" si="24"/>
        <v>35</v>
      </c>
      <c r="C569" t="s">
        <v>2827</v>
      </c>
      <c r="D569" t="s">
        <v>1841</v>
      </c>
      <c r="E569" t="s">
        <v>21</v>
      </c>
      <c r="F569" s="162">
        <v>5153.9916666666704</v>
      </c>
      <c r="G569" t="s">
        <v>2646</v>
      </c>
      <c r="H569" s="163">
        <v>46388</v>
      </c>
      <c r="I569" s="163">
        <v>46752</v>
      </c>
      <c r="J569" s="163"/>
      <c r="K569" t="s">
        <v>2667</v>
      </c>
      <c r="L569" t="b">
        <v>0</v>
      </c>
    </row>
    <row r="570" spans="1:12">
      <c r="A570" t="s">
        <v>75</v>
      </c>
      <c r="B570">
        <f t="shared" si="24"/>
        <v>35</v>
      </c>
      <c r="C570" t="s">
        <v>2827</v>
      </c>
      <c r="D570" t="s">
        <v>1843</v>
      </c>
      <c r="E570" t="s">
        <v>21</v>
      </c>
      <c r="F570" s="162">
        <v>5153.9916666666704</v>
      </c>
      <c r="G570" t="s">
        <v>2646</v>
      </c>
      <c r="H570" s="163">
        <v>46388</v>
      </c>
      <c r="I570" s="163">
        <v>46752</v>
      </c>
      <c r="J570" s="163"/>
      <c r="K570" t="s">
        <v>2667</v>
      </c>
      <c r="L570" t="b">
        <v>0</v>
      </c>
    </row>
    <row r="571" spans="1:12">
      <c r="A571" t="s">
        <v>75</v>
      </c>
      <c r="B571">
        <f t="shared" si="24"/>
        <v>35</v>
      </c>
      <c r="C571" t="s">
        <v>2827</v>
      </c>
      <c r="D571" t="s">
        <v>1813</v>
      </c>
      <c r="E571" t="s">
        <v>21</v>
      </c>
      <c r="F571" s="162">
        <v>7835.21</v>
      </c>
      <c r="G571" t="s">
        <v>2646</v>
      </c>
      <c r="H571" s="163">
        <v>46388</v>
      </c>
      <c r="I571" s="163">
        <v>46752</v>
      </c>
      <c r="J571" s="163"/>
      <c r="K571" t="s">
        <v>2667</v>
      </c>
      <c r="L571" t="b">
        <v>0</v>
      </c>
    </row>
    <row r="572" spans="1:12">
      <c r="A572" t="s">
        <v>75</v>
      </c>
      <c r="B572">
        <f t="shared" si="24"/>
        <v>35</v>
      </c>
      <c r="C572" t="s">
        <v>2827</v>
      </c>
      <c r="D572" t="s">
        <v>1823</v>
      </c>
      <c r="E572" t="s">
        <v>21</v>
      </c>
      <c r="F572" s="162">
        <v>7835.21</v>
      </c>
      <c r="G572" t="s">
        <v>2646</v>
      </c>
      <c r="H572" s="163">
        <v>46388</v>
      </c>
      <c r="I572" s="163">
        <v>46752</v>
      </c>
      <c r="J572" s="163"/>
      <c r="K572" t="s">
        <v>2667</v>
      </c>
      <c r="L572" t="b">
        <v>0</v>
      </c>
    </row>
    <row r="573" spans="1:12">
      <c r="A573" t="s">
        <v>75</v>
      </c>
      <c r="B573">
        <f t="shared" si="24"/>
        <v>35</v>
      </c>
      <c r="C573" t="s">
        <v>2827</v>
      </c>
      <c r="D573" t="s">
        <v>1830</v>
      </c>
      <c r="E573" t="s">
        <v>21</v>
      </c>
      <c r="F573" s="162">
        <v>7835.21</v>
      </c>
      <c r="G573" t="s">
        <v>2646</v>
      </c>
      <c r="H573" s="163">
        <v>46388</v>
      </c>
      <c r="I573" s="163">
        <v>46752</v>
      </c>
      <c r="J573" s="163"/>
      <c r="K573" t="s">
        <v>2667</v>
      </c>
      <c r="L573" t="b">
        <v>0</v>
      </c>
    </row>
    <row r="574" spans="1:12">
      <c r="A574" t="s">
        <v>75</v>
      </c>
      <c r="B574">
        <f t="shared" si="24"/>
        <v>35</v>
      </c>
      <c r="C574" t="s">
        <v>2827</v>
      </c>
      <c r="D574" t="s">
        <v>1836</v>
      </c>
      <c r="E574" t="s">
        <v>21</v>
      </c>
      <c r="F574" s="162">
        <v>7835.21</v>
      </c>
      <c r="G574" t="s">
        <v>2646</v>
      </c>
      <c r="H574" s="163">
        <v>46388</v>
      </c>
      <c r="I574" s="163">
        <v>46752</v>
      </c>
      <c r="J574" s="163"/>
      <c r="K574" t="s">
        <v>2667</v>
      </c>
      <c r="L574" t="b">
        <v>0</v>
      </c>
    </row>
    <row r="575" spans="1:12">
      <c r="A575" t="s">
        <v>75</v>
      </c>
      <c r="B575">
        <f t="shared" si="24"/>
        <v>35</v>
      </c>
      <c r="C575" t="s">
        <v>2827</v>
      </c>
      <c r="D575" t="s">
        <v>1843</v>
      </c>
      <c r="E575" t="s">
        <v>21</v>
      </c>
      <c r="F575" s="162">
        <v>13436.66</v>
      </c>
      <c r="G575" t="s">
        <v>2646</v>
      </c>
      <c r="H575" s="163">
        <v>46388</v>
      </c>
      <c r="I575" s="163">
        <v>46752</v>
      </c>
      <c r="J575" s="163"/>
      <c r="K575" t="s">
        <v>2667</v>
      </c>
      <c r="L575" t="b">
        <v>0</v>
      </c>
    </row>
    <row r="576" spans="1:12">
      <c r="A576" t="s">
        <v>75</v>
      </c>
      <c r="B576">
        <f t="shared" si="24"/>
        <v>35</v>
      </c>
      <c r="C576" t="s">
        <v>2827</v>
      </c>
      <c r="D576" t="s">
        <v>2653</v>
      </c>
      <c r="E576" t="s">
        <v>20</v>
      </c>
      <c r="F576" s="162">
        <v>14232.07</v>
      </c>
      <c r="G576" t="s">
        <v>2646</v>
      </c>
      <c r="H576" s="163">
        <v>46388</v>
      </c>
      <c r="I576" s="163">
        <v>46752</v>
      </c>
      <c r="J576" s="163"/>
      <c r="K576" t="s">
        <v>2667</v>
      </c>
      <c r="L576" t="b">
        <v>0</v>
      </c>
    </row>
    <row r="577" spans="1:12">
      <c r="A577" t="s">
        <v>408</v>
      </c>
      <c r="B577">
        <f t="shared" si="24"/>
        <v>12</v>
      </c>
      <c r="C577" t="s">
        <v>2828</v>
      </c>
      <c r="D577" t="s">
        <v>1813</v>
      </c>
      <c r="E577" t="s">
        <v>21</v>
      </c>
      <c r="F577" s="162">
        <v>2945.25</v>
      </c>
      <c r="G577" t="s">
        <v>2646</v>
      </c>
      <c r="H577" s="163">
        <v>46007</v>
      </c>
      <c r="I577" s="163">
        <v>46371</v>
      </c>
      <c r="J577" s="163"/>
      <c r="K577" t="s">
        <v>2667</v>
      </c>
      <c r="L577" t="b">
        <v>0</v>
      </c>
    </row>
    <row r="578" spans="1:12">
      <c r="A578" t="s">
        <v>408</v>
      </c>
      <c r="B578">
        <f t="shared" si="24"/>
        <v>12</v>
      </c>
      <c r="C578" t="s">
        <v>2828</v>
      </c>
      <c r="D578" t="s">
        <v>1823</v>
      </c>
      <c r="E578" t="s">
        <v>21</v>
      </c>
      <c r="F578" s="162">
        <v>2945.25</v>
      </c>
      <c r="G578" t="s">
        <v>2646</v>
      </c>
      <c r="H578" s="163">
        <v>46007</v>
      </c>
      <c r="I578" s="163">
        <v>46371</v>
      </c>
      <c r="J578" s="163"/>
      <c r="K578" t="s">
        <v>2667</v>
      </c>
      <c r="L578" t="b">
        <v>0</v>
      </c>
    </row>
    <row r="579" spans="1:12">
      <c r="A579" t="s">
        <v>408</v>
      </c>
      <c r="B579">
        <f t="shared" ref="B579:B642" si="25">IF(COUNTIFS($A$2:$A$1053,A579,$E$2:$E$1053,"Industry Essentials")&gt;0, COUNTIF($A$2:$A$1053,A579), 0)</f>
        <v>12</v>
      </c>
      <c r="C579" t="s">
        <v>2828</v>
      </c>
      <c r="D579" t="s">
        <v>1830</v>
      </c>
      <c r="E579" t="s">
        <v>21</v>
      </c>
      <c r="F579" s="162">
        <v>2945.25</v>
      </c>
      <c r="G579" t="s">
        <v>2646</v>
      </c>
      <c r="H579" s="163">
        <v>46007</v>
      </c>
      <c r="I579" s="163">
        <v>46371</v>
      </c>
      <c r="J579" s="163"/>
      <c r="K579" t="s">
        <v>2667</v>
      </c>
      <c r="L579" t="b">
        <v>0</v>
      </c>
    </row>
    <row r="580" spans="1:12">
      <c r="A580" t="s">
        <v>408</v>
      </c>
      <c r="B580">
        <f t="shared" si="25"/>
        <v>12</v>
      </c>
      <c r="C580" t="s">
        <v>2828</v>
      </c>
      <c r="D580" t="s">
        <v>1836</v>
      </c>
      <c r="E580" t="s">
        <v>21</v>
      </c>
      <c r="F580" s="162">
        <v>2945.25</v>
      </c>
      <c r="G580" t="s">
        <v>2646</v>
      </c>
      <c r="H580" s="163">
        <v>46007</v>
      </c>
      <c r="I580" s="163">
        <v>46371</v>
      </c>
      <c r="J580" s="163"/>
      <c r="K580" t="s">
        <v>2667</v>
      </c>
      <c r="L580" t="b">
        <v>0</v>
      </c>
    </row>
    <row r="581" spans="1:12">
      <c r="A581" t="s">
        <v>408</v>
      </c>
      <c r="B581">
        <f t="shared" si="25"/>
        <v>12</v>
      </c>
      <c r="C581" t="s">
        <v>2828</v>
      </c>
      <c r="D581" t="s">
        <v>2653</v>
      </c>
      <c r="E581" t="s">
        <v>20</v>
      </c>
      <c r="F581" s="162">
        <v>16200</v>
      </c>
      <c r="G581" t="s">
        <v>2646</v>
      </c>
      <c r="H581" s="163">
        <v>46007</v>
      </c>
      <c r="I581" s="163">
        <v>46371</v>
      </c>
      <c r="J581" s="163"/>
      <c r="K581" t="s">
        <v>2667</v>
      </c>
      <c r="L581" t="b">
        <v>0</v>
      </c>
    </row>
    <row r="582" spans="1:12">
      <c r="A582" t="s">
        <v>408</v>
      </c>
      <c r="B582">
        <f t="shared" si="25"/>
        <v>12</v>
      </c>
      <c r="C582" t="s">
        <v>2828</v>
      </c>
      <c r="D582" t="s">
        <v>1810</v>
      </c>
      <c r="E582" t="s">
        <v>21</v>
      </c>
      <c r="F582" s="162">
        <v>1559.25</v>
      </c>
      <c r="G582" t="s">
        <v>2646</v>
      </c>
      <c r="H582" s="163">
        <v>46007</v>
      </c>
      <c r="I582" s="163">
        <v>46371</v>
      </c>
      <c r="J582" s="163"/>
      <c r="K582" t="s">
        <v>2667</v>
      </c>
      <c r="L582" t="b">
        <v>0</v>
      </c>
    </row>
    <row r="583" spans="1:12">
      <c r="A583" t="s">
        <v>408</v>
      </c>
      <c r="B583">
        <f t="shared" si="25"/>
        <v>12</v>
      </c>
      <c r="C583" t="s">
        <v>2828</v>
      </c>
      <c r="D583" t="s">
        <v>1821</v>
      </c>
      <c r="E583" t="s">
        <v>21</v>
      </c>
      <c r="F583" s="162">
        <v>1559.25</v>
      </c>
      <c r="G583" t="s">
        <v>2646</v>
      </c>
      <c r="H583" s="163">
        <v>46007</v>
      </c>
      <c r="I583" s="163">
        <v>46371</v>
      </c>
      <c r="J583" s="163"/>
      <c r="K583" t="s">
        <v>2667</v>
      </c>
      <c r="L583" t="b">
        <v>0</v>
      </c>
    </row>
    <row r="584" spans="1:12">
      <c r="A584" t="s">
        <v>408</v>
      </c>
      <c r="B584">
        <f t="shared" si="25"/>
        <v>12</v>
      </c>
      <c r="C584" t="s">
        <v>2828</v>
      </c>
      <c r="D584" t="s">
        <v>1828</v>
      </c>
      <c r="E584" t="s">
        <v>21</v>
      </c>
      <c r="F584" s="162">
        <v>1559.25</v>
      </c>
      <c r="G584" t="s">
        <v>2646</v>
      </c>
      <c r="H584" s="163">
        <v>46007</v>
      </c>
      <c r="I584" s="163">
        <v>46371</v>
      </c>
      <c r="J584" s="163"/>
      <c r="K584" t="s">
        <v>2667</v>
      </c>
      <c r="L584" t="b">
        <v>0</v>
      </c>
    </row>
    <row r="585" spans="1:12">
      <c r="A585" t="s">
        <v>408</v>
      </c>
      <c r="B585">
        <f t="shared" si="25"/>
        <v>12</v>
      </c>
      <c r="C585" t="s">
        <v>2828</v>
      </c>
      <c r="D585" t="s">
        <v>1835</v>
      </c>
      <c r="E585" t="s">
        <v>21</v>
      </c>
      <c r="F585" s="162">
        <v>1559.25</v>
      </c>
      <c r="G585" t="s">
        <v>2646</v>
      </c>
      <c r="H585" s="163">
        <v>46007</v>
      </c>
      <c r="I585" s="163">
        <v>46371</v>
      </c>
      <c r="J585" s="163"/>
      <c r="K585" t="s">
        <v>2667</v>
      </c>
      <c r="L585" t="b">
        <v>0</v>
      </c>
    </row>
    <row r="586" spans="1:12">
      <c r="A586" t="s">
        <v>408</v>
      </c>
      <c r="B586">
        <f t="shared" si="25"/>
        <v>12</v>
      </c>
      <c r="C586" t="s">
        <v>2828</v>
      </c>
      <c r="D586" t="s">
        <v>1841</v>
      </c>
      <c r="E586" t="s">
        <v>21</v>
      </c>
      <c r="F586" s="162">
        <v>1559.25</v>
      </c>
      <c r="G586" t="s">
        <v>2646</v>
      </c>
      <c r="H586" s="163">
        <v>46007</v>
      </c>
      <c r="I586" s="163">
        <v>46371</v>
      </c>
      <c r="J586" s="163"/>
      <c r="K586" t="s">
        <v>2667</v>
      </c>
      <c r="L586" t="b">
        <v>0</v>
      </c>
    </row>
    <row r="587" spans="1:12">
      <c r="A587" t="s">
        <v>408</v>
      </c>
      <c r="B587">
        <f t="shared" si="25"/>
        <v>12</v>
      </c>
      <c r="C587" t="s">
        <v>2828</v>
      </c>
      <c r="D587" t="s">
        <v>1843</v>
      </c>
      <c r="E587" t="s">
        <v>21</v>
      </c>
      <c r="F587" s="162">
        <v>1559.25</v>
      </c>
      <c r="G587" t="s">
        <v>2646</v>
      </c>
      <c r="H587" s="163">
        <v>46007</v>
      </c>
      <c r="I587" s="163">
        <v>46371</v>
      </c>
      <c r="J587" s="163"/>
      <c r="K587" t="s">
        <v>2667</v>
      </c>
      <c r="L587" t="b">
        <v>0</v>
      </c>
    </row>
    <row r="588" spans="1:12">
      <c r="A588" t="s">
        <v>408</v>
      </c>
      <c r="B588">
        <f t="shared" si="25"/>
        <v>12</v>
      </c>
      <c r="C588" t="s">
        <v>2828</v>
      </c>
      <c r="D588" t="s">
        <v>1836</v>
      </c>
      <c r="E588" t="s">
        <v>21</v>
      </c>
      <c r="F588" s="162">
        <v>8586</v>
      </c>
      <c r="G588" t="s">
        <v>2646</v>
      </c>
      <c r="H588" s="163">
        <v>46007</v>
      </c>
      <c r="I588" s="163">
        <v>46371</v>
      </c>
      <c r="J588" s="163"/>
      <c r="K588" t="s">
        <v>2667</v>
      </c>
      <c r="L588" t="b">
        <v>0</v>
      </c>
    </row>
    <row r="589" spans="1:12">
      <c r="A589" t="s">
        <v>409</v>
      </c>
      <c r="B589">
        <f t="shared" si="25"/>
        <v>1</v>
      </c>
      <c r="C589" t="s">
        <v>2829</v>
      </c>
      <c r="D589" t="s">
        <v>2653</v>
      </c>
      <c r="E589" t="s">
        <v>20</v>
      </c>
      <c r="F589" s="162">
        <v>9000</v>
      </c>
      <c r="G589" t="s">
        <v>1705</v>
      </c>
      <c r="H589" s="163">
        <v>45665</v>
      </c>
      <c r="I589" s="163">
        <v>46234</v>
      </c>
      <c r="J589" s="163"/>
      <c r="K589" t="s">
        <v>2671</v>
      </c>
      <c r="L589" t="b">
        <v>0</v>
      </c>
    </row>
    <row r="590" spans="1:12">
      <c r="A590" t="s">
        <v>172</v>
      </c>
      <c r="B590">
        <f t="shared" si="25"/>
        <v>2</v>
      </c>
      <c r="C590" t="s">
        <v>2830</v>
      </c>
      <c r="D590" t="s">
        <v>2653</v>
      </c>
      <c r="E590" t="s">
        <v>20</v>
      </c>
      <c r="F590" s="162">
        <v>6800</v>
      </c>
      <c r="G590" t="s">
        <v>2646</v>
      </c>
      <c r="H590" s="163">
        <v>46049</v>
      </c>
      <c r="I590" s="163">
        <v>46413</v>
      </c>
      <c r="J590" s="163"/>
      <c r="K590" t="s">
        <v>2671</v>
      </c>
      <c r="L590" t="b">
        <v>0</v>
      </c>
    </row>
    <row r="591" spans="1:12">
      <c r="A591" t="s">
        <v>172</v>
      </c>
      <c r="B591">
        <f t="shared" si="25"/>
        <v>2</v>
      </c>
      <c r="C591" t="s">
        <v>2830</v>
      </c>
      <c r="D591" t="s">
        <v>1820</v>
      </c>
      <c r="E591" t="s">
        <v>25</v>
      </c>
      <c r="F591" s="162">
        <v>11000</v>
      </c>
      <c r="G591" t="s">
        <v>2646</v>
      </c>
      <c r="H591" s="163">
        <v>46049</v>
      </c>
      <c r="I591" s="163">
        <v>46413</v>
      </c>
      <c r="J591" s="163"/>
      <c r="K591" t="s">
        <v>2671</v>
      </c>
      <c r="L591" t="b">
        <v>0</v>
      </c>
    </row>
    <row r="592" spans="1:12">
      <c r="A592" t="s">
        <v>131</v>
      </c>
      <c r="B592">
        <f t="shared" si="25"/>
        <v>1</v>
      </c>
      <c r="C592" t="s">
        <v>2831</v>
      </c>
      <c r="D592" t="s">
        <v>2653</v>
      </c>
      <c r="E592" t="s">
        <v>20</v>
      </c>
      <c r="F592" s="162">
        <v>10250</v>
      </c>
      <c r="G592" t="s">
        <v>2646</v>
      </c>
      <c r="H592" s="163">
        <v>46026</v>
      </c>
      <c r="I592" s="163">
        <v>46477</v>
      </c>
      <c r="J592" s="163"/>
      <c r="K592" t="s">
        <v>2671</v>
      </c>
      <c r="L592" t="b">
        <v>0</v>
      </c>
    </row>
    <row r="593" spans="1:12">
      <c r="A593" t="s">
        <v>132</v>
      </c>
      <c r="B593">
        <f t="shared" si="25"/>
        <v>0</v>
      </c>
      <c r="C593" t="s">
        <v>2832</v>
      </c>
      <c r="D593" t="s">
        <v>1838</v>
      </c>
      <c r="E593" t="s">
        <v>25</v>
      </c>
      <c r="F593" s="162">
        <v>7100</v>
      </c>
      <c r="G593" t="s">
        <v>2646</v>
      </c>
      <c r="H593" s="163">
        <v>45666</v>
      </c>
      <c r="I593" s="163">
        <v>46265</v>
      </c>
      <c r="J593" s="163"/>
      <c r="K593" t="s">
        <v>2671</v>
      </c>
      <c r="L593" t="b">
        <v>0</v>
      </c>
    </row>
    <row r="594" spans="1:12">
      <c r="A594" t="s">
        <v>132</v>
      </c>
      <c r="B594">
        <f t="shared" si="25"/>
        <v>0</v>
      </c>
      <c r="C594" t="s">
        <v>2832</v>
      </c>
      <c r="D594" t="s">
        <v>1826</v>
      </c>
      <c r="E594" t="s">
        <v>25</v>
      </c>
      <c r="F594" s="162">
        <v>8500</v>
      </c>
      <c r="G594" t="s">
        <v>2646</v>
      </c>
      <c r="H594" s="163">
        <v>45666</v>
      </c>
      <c r="I594" s="163">
        <v>46265</v>
      </c>
      <c r="J594" s="163"/>
      <c r="K594" t="s">
        <v>2671</v>
      </c>
      <c r="L594" t="b">
        <v>0</v>
      </c>
    </row>
    <row r="595" spans="1:12">
      <c r="A595" t="s">
        <v>78</v>
      </c>
      <c r="B595">
        <f t="shared" si="25"/>
        <v>14</v>
      </c>
      <c r="C595" t="s">
        <v>2833</v>
      </c>
      <c r="D595" t="s">
        <v>2653</v>
      </c>
      <c r="E595" t="s">
        <v>20</v>
      </c>
      <c r="F595" s="162">
        <v>13000</v>
      </c>
      <c r="G595" t="s">
        <v>1705</v>
      </c>
      <c r="H595" s="163">
        <v>45665</v>
      </c>
      <c r="I595" s="163">
        <v>46234</v>
      </c>
      <c r="J595" s="163"/>
      <c r="K595" t="s">
        <v>2667</v>
      </c>
      <c r="L595" t="b">
        <v>0</v>
      </c>
    </row>
    <row r="596" spans="1:12">
      <c r="A596" t="s">
        <v>78</v>
      </c>
      <c r="B596">
        <f t="shared" si="25"/>
        <v>14</v>
      </c>
      <c r="C596" t="s">
        <v>2833</v>
      </c>
      <c r="D596" t="s">
        <v>1811</v>
      </c>
      <c r="E596" t="s">
        <v>23</v>
      </c>
      <c r="F596" s="162">
        <v>7800</v>
      </c>
      <c r="G596" t="s">
        <v>1705</v>
      </c>
      <c r="H596" s="163">
        <v>45665</v>
      </c>
      <c r="I596" s="163">
        <v>46234</v>
      </c>
      <c r="J596" s="163"/>
      <c r="K596" t="s">
        <v>2667</v>
      </c>
      <c r="L596" t="b">
        <v>0</v>
      </c>
    </row>
    <row r="597" spans="1:12">
      <c r="A597" t="s">
        <v>78</v>
      </c>
      <c r="B597">
        <f t="shared" si="25"/>
        <v>14</v>
      </c>
      <c r="C597" t="s">
        <v>2833</v>
      </c>
      <c r="D597" t="s">
        <v>1822</v>
      </c>
      <c r="E597" t="s">
        <v>23</v>
      </c>
      <c r="F597" s="162">
        <v>7800</v>
      </c>
      <c r="G597" t="s">
        <v>1705</v>
      </c>
      <c r="H597" s="163">
        <v>45665</v>
      </c>
      <c r="I597" s="163">
        <v>46234</v>
      </c>
      <c r="J597" s="163"/>
      <c r="K597" t="s">
        <v>2667</v>
      </c>
      <c r="L597" t="b">
        <v>0</v>
      </c>
    </row>
    <row r="598" spans="1:12">
      <c r="A598" t="s">
        <v>78</v>
      </c>
      <c r="B598">
        <f t="shared" si="25"/>
        <v>14</v>
      </c>
      <c r="C598" t="s">
        <v>2833</v>
      </c>
      <c r="D598" t="s">
        <v>1829</v>
      </c>
      <c r="E598" t="s">
        <v>23</v>
      </c>
      <c r="F598" s="162">
        <v>7800</v>
      </c>
      <c r="G598" t="s">
        <v>1705</v>
      </c>
      <c r="H598" s="163">
        <v>45665</v>
      </c>
      <c r="I598" s="163">
        <v>46234</v>
      </c>
      <c r="J598" s="163"/>
      <c r="K598" t="s">
        <v>2667</v>
      </c>
      <c r="L598" t="b">
        <v>0</v>
      </c>
    </row>
    <row r="599" spans="1:12">
      <c r="A599" t="s">
        <v>78</v>
      </c>
      <c r="B599">
        <f t="shared" si="25"/>
        <v>14</v>
      </c>
      <c r="C599" t="s">
        <v>2833</v>
      </c>
      <c r="D599" t="s">
        <v>2834</v>
      </c>
      <c r="E599" t="s">
        <v>2803</v>
      </c>
      <c r="F599" s="162">
        <v>14800</v>
      </c>
      <c r="G599" t="s">
        <v>1705</v>
      </c>
      <c r="H599" s="163">
        <v>45665</v>
      </c>
      <c r="I599" s="163">
        <v>46234</v>
      </c>
      <c r="J599" s="163"/>
      <c r="K599" t="s">
        <v>2667</v>
      </c>
      <c r="L599" t="b">
        <v>0</v>
      </c>
    </row>
    <row r="600" spans="1:12">
      <c r="A600" t="s">
        <v>78</v>
      </c>
      <c r="B600">
        <f t="shared" si="25"/>
        <v>14</v>
      </c>
      <c r="C600" t="s">
        <v>2833</v>
      </c>
      <c r="D600" t="s">
        <v>1813</v>
      </c>
      <c r="E600" t="s">
        <v>21</v>
      </c>
      <c r="F600" s="162">
        <v>7150</v>
      </c>
      <c r="G600" t="s">
        <v>1705</v>
      </c>
      <c r="H600" s="163">
        <v>45665</v>
      </c>
      <c r="I600" s="163">
        <v>46234</v>
      </c>
      <c r="J600" s="163"/>
      <c r="K600" t="s">
        <v>2667</v>
      </c>
      <c r="L600" t="b">
        <v>0</v>
      </c>
    </row>
    <row r="601" spans="1:12">
      <c r="A601" t="s">
        <v>78</v>
      </c>
      <c r="B601">
        <f t="shared" si="25"/>
        <v>14</v>
      </c>
      <c r="C601" t="s">
        <v>2833</v>
      </c>
      <c r="D601" t="s">
        <v>1823</v>
      </c>
      <c r="E601" t="s">
        <v>21</v>
      </c>
      <c r="F601" s="162">
        <v>7150</v>
      </c>
      <c r="G601" t="s">
        <v>1705</v>
      </c>
      <c r="H601" s="163">
        <v>45665</v>
      </c>
      <c r="I601" s="163">
        <v>46234</v>
      </c>
      <c r="J601" s="163"/>
      <c r="K601" t="s">
        <v>2667</v>
      </c>
      <c r="L601" t="b">
        <v>0</v>
      </c>
    </row>
    <row r="602" spans="1:12">
      <c r="A602" t="s">
        <v>78</v>
      </c>
      <c r="B602">
        <f t="shared" si="25"/>
        <v>14</v>
      </c>
      <c r="C602" t="s">
        <v>2833</v>
      </c>
      <c r="D602" t="s">
        <v>1830</v>
      </c>
      <c r="E602" t="s">
        <v>21</v>
      </c>
      <c r="F602" s="162">
        <v>7150</v>
      </c>
      <c r="G602" t="s">
        <v>1705</v>
      </c>
      <c r="H602" s="163">
        <v>45665</v>
      </c>
      <c r="I602" s="163">
        <v>46234</v>
      </c>
      <c r="J602" s="163"/>
      <c r="K602" t="s">
        <v>2667</v>
      </c>
      <c r="L602" t="b">
        <v>0</v>
      </c>
    </row>
    <row r="603" spans="1:12">
      <c r="A603" t="s">
        <v>78</v>
      </c>
      <c r="B603">
        <f t="shared" si="25"/>
        <v>14</v>
      </c>
      <c r="C603" t="s">
        <v>2833</v>
      </c>
      <c r="D603" t="s">
        <v>1836</v>
      </c>
      <c r="E603" t="s">
        <v>21</v>
      </c>
      <c r="F603" s="162">
        <v>7150</v>
      </c>
      <c r="G603" t="s">
        <v>1705</v>
      </c>
      <c r="H603" s="163">
        <v>45665</v>
      </c>
      <c r="I603" s="163">
        <v>46234</v>
      </c>
      <c r="J603" s="163"/>
      <c r="K603" t="s">
        <v>2667</v>
      </c>
      <c r="L603" t="b">
        <v>0</v>
      </c>
    </row>
    <row r="604" spans="1:12">
      <c r="A604" t="s">
        <v>78</v>
      </c>
      <c r="B604">
        <f t="shared" si="25"/>
        <v>14</v>
      </c>
      <c r="C604" t="s">
        <v>2833</v>
      </c>
      <c r="D604" t="s">
        <v>1814</v>
      </c>
      <c r="E604" t="s">
        <v>1695</v>
      </c>
      <c r="F604" s="162">
        <v>6240</v>
      </c>
      <c r="G604" t="s">
        <v>1705</v>
      </c>
      <c r="H604" s="163">
        <v>45665</v>
      </c>
      <c r="I604" s="163">
        <v>46234</v>
      </c>
      <c r="J604" s="163"/>
      <c r="K604" t="s">
        <v>2667</v>
      </c>
      <c r="L604" t="b">
        <v>0</v>
      </c>
    </row>
    <row r="605" spans="1:12">
      <c r="A605" t="s">
        <v>78</v>
      </c>
      <c r="B605">
        <f t="shared" si="25"/>
        <v>14</v>
      </c>
      <c r="C605" t="s">
        <v>2833</v>
      </c>
      <c r="D605" t="s">
        <v>1824</v>
      </c>
      <c r="E605" t="s">
        <v>1695</v>
      </c>
      <c r="F605" s="162">
        <v>6240</v>
      </c>
      <c r="G605" t="s">
        <v>1705</v>
      </c>
      <c r="H605" s="163">
        <v>45665</v>
      </c>
      <c r="I605" s="163">
        <v>46234</v>
      </c>
      <c r="J605" s="163"/>
      <c r="K605" t="s">
        <v>2667</v>
      </c>
      <c r="L605" t="b">
        <v>0</v>
      </c>
    </row>
    <row r="606" spans="1:12">
      <c r="A606" t="s">
        <v>78</v>
      </c>
      <c r="B606">
        <f t="shared" si="25"/>
        <v>14</v>
      </c>
      <c r="C606" t="s">
        <v>2833</v>
      </c>
      <c r="D606" t="s">
        <v>1842</v>
      </c>
      <c r="E606" t="s">
        <v>1695</v>
      </c>
      <c r="F606" s="162">
        <v>6240</v>
      </c>
      <c r="G606" t="s">
        <v>1705</v>
      </c>
      <c r="H606" s="163">
        <v>45665</v>
      </c>
      <c r="I606" s="163">
        <v>46234</v>
      </c>
      <c r="J606" s="163"/>
      <c r="K606" t="s">
        <v>2667</v>
      </c>
      <c r="L606" t="b">
        <v>0</v>
      </c>
    </row>
    <row r="607" spans="1:12">
      <c r="A607" t="s">
        <v>78</v>
      </c>
      <c r="B607">
        <f t="shared" si="25"/>
        <v>14</v>
      </c>
      <c r="C607" t="s">
        <v>2833</v>
      </c>
      <c r="D607" t="s">
        <v>1851</v>
      </c>
      <c r="E607" t="s">
        <v>1695</v>
      </c>
      <c r="F607" s="162">
        <v>6240</v>
      </c>
      <c r="G607" t="s">
        <v>1705</v>
      </c>
      <c r="H607" s="163">
        <v>45665</v>
      </c>
      <c r="I607" s="163">
        <v>46234</v>
      </c>
      <c r="J607" s="163"/>
      <c r="K607" t="s">
        <v>2667</v>
      </c>
      <c r="L607" t="b">
        <v>0</v>
      </c>
    </row>
    <row r="608" spans="1:12">
      <c r="A608" t="s">
        <v>78</v>
      </c>
      <c r="B608">
        <f t="shared" si="25"/>
        <v>14</v>
      </c>
      <c r="C608" t="s">
        <v>2833</v>
      </c>
      <c r="D608" t="s">
        <v>1853</v>
      </c>
      <c r="E608" t="s">
        <v>1695</v>
      </c>
      <c r="F608" s="162">
        <v>6240</v>
      </c>
      <c r="G608" t="s">
        <v>1705</v>
      </c>
      <c r="H608" s="163">
        <v>45665</v>
      </c>
      <c r="I608" s="163">
        <v>46234</v>
      </c>
      <c r="J608" s="163"/>
      <c r="K608" t="s">
        <v>2667</v>
      </c>
      <c r="L608" t="b">
        <v>0</v>
      </c>
    </row>
    <row r="609" spans="1:12">
      <c r="A609" t="s">
        <v>1974</v>
      </c>
      <c r="B609">
        <f t="shared" si="25"/>
        <v>0</v>
      </c>
      <c r="C609" t="s">
        <v>2835</v>
      </c>
      <c r="D609" t="s">
        <v>2645</v>
      </c>
      <c r="E609" t="s">
        <v>1902</v>
      </c>
      <c r="F609" s="162">
        <v>14190</v>
      </c>
      <c r="G609" t="s">
        <v>2646</v>
      </c>
      <c r="H609" s="163">
        <v>46023</v>
      </c>
      <c r="I609" s="163">
        <v>46387</v>
      </c>
      <c r="J609" s="163"/>
      <c r="K609" t="s">
        <v>2647</v>
      </c>
      <c r="L609" t="b">
        <v>0</v>
      </c>
    </row>
    <row r="610" spans="1:12">
      <c r="A610" t="s">
        <v>422</v>
      </c>
      <c r="B610">
        <f t="shared" si="25"/>
        <v>2</v>
      </c>
      <c r="C610" t="s">
        <v>2836</v>
      </c>
      <c r="D610" t="s">
        <v>2653</v>
      </c>
      <c r="E610" t="s">
        <v>20</v>
      </c>
      <c r="F610" s="162">
        <v>9900</v>
      </c>
      <c r="G610" t="s">
        <v>2646</v>
      </c>
      <c r="H610" s="163">
        <v>46023</v>
      </c>
      <c r="I610" s="163">
        <v>46387</v>
      </c>
      <c r="J610" s="163"/>
      <c r="K610" t="s">
        <v>2643</v>
      </c>
      <c r="L610" t="b">
        <v>0</v>
      </c>
    </row>
    <row r="611" spans="1:12">
      <c r="A611" t="s">
        <v>422</v>
      </c>
      <c r="B611">
        <f t="shared" si="25"/>
        <v>2</v>
      </c>
      <c r="C611" t="s">
        <v>2836</v>
      </c>
      <c r="D611" t="s">
        <v>2653</v>
      </c>
      <c r="E611" t="s">
        <v>20</v>
      </c>
      <c r="F611" s="162">
        <v>8100</v>
      </c>
      <c r="G611" t="s">
        <v>2646</v>
      </c>
      <c r="H611" s="163">
        <v>46023</v>
      </c>
      <c r="I611" s="163">
        <v>46387</v>
      </c>
      <c r="J611" s="163"/>
      <c r="K611" t="s">
        <v>2643</v>
      </c>
      <c r="L611" t="b">
        <v>0</v>
      </c>
    </row>
    <row r="612" spans="1:12">
      <c r="A612" t="s">
        <v>1935</v>
      </c>
      <c r="B612">
        <f t="shared" si="25"/>
        <v>3</v>
      </c>
      <c r="C612" t="s">
        <v>2837</v>
      </c>
      <c r="D612" t="s">
        <v>2653</v>
      </c>
      <c r="E612" t="s">
        <v>20</v>
      </c>
      <c r="F612" s="162">
        <v>7565</v>
      </c>
      <c r="G612" t="s">
        <v>2646</v>
      </c>
      <c r="H612" s="163">
        <v>45663</v>
      </c>
      <c r="I612" s="163">
        <v>46173</v>
      </c>
      <c r="J612" s="163"/>
      <c r="K612" t="s">
        <v>2656</v>
      </c>
      <c r="L612" t="b">
        <v>0</v>
      </c>
    </row>
    <row r="613" spans="1:12">
      <c r="A613" t="s">
        <v>1935</v>
      </c>
      <c r="B613">
        <f t="shared" si="25"/>
        <v>3</v>
      </c>
      <c r="C613" t="s">
        <v>2838</v>
      </c>
      <c r="D613" t="s">
        <v>2653</v>
      </c>
      <c r="E613" t="s">
        <v>20</v>
      </c>
      <c r="F613" s="162">
        <v>7924</v>
      </c>
      <c r="G613" t="s">
        <v>2646</v>
      </c>
      <c r="H613" s="163">
        <v>46028</v>
      </c>
      <c r="I613" s="163">
        <v>46538</v>
      </c>
      <c r="J613" s="163"/>
      <c r="K613" t="s">
        <v>2656</v>
      </c>
      <c r="L613" t="b">
        <v>0</v>
      </c>
    </row>
    <row r="614" spans="1:12">
      <c r="A614" t="s">
        <v>1935</v>
      </c>
      <c r="B614">
        <f t="shared" si="25"/>
        <v>3</v>
      </c>
      <c r="C614" t="s">
        <v>2839</v>
      </c>
      <c r="D614" t="s">
        <v>2653</v>
      </c>
      <c r="E614" t="s">
        <v>20</v>
      </c>
      <c r="F614" s="162">
        <v>8222</v>
      </c>
      <c r="G614" t="s">
        <v>2646</v>
      </c>
      <c r="H614" s="163">
        <v>46393</v>
      </c>
      <c r="I614" s="163">
        <v>46904</v>
      </c>
      <c r="J614" s="163"/>
      <c r="K614" t="s">
        <v>2656</v>
      </c>
      <c r="L614" t="b">
        <v>0</v>
      </c>
    </row>
    <row r="615" spans="1:12">
      <c r="A615" t="s">
        <v>425</v>
      </c>
      <c r="B615">
        <f t="shared" si="25"/>
        <v>2</v>
      </c>
      <c r="C615" t="s">
        <v>2840</v>
      </c>
      <c r="D615" t="s">
        <v>2653</v>
      </c>
      <c r="E615" t="s">
        <v>20</v>
      </c>
      <c r="F615" s="162">
        <v>4070</v>
      </c>
      <c r="G615" t="s">
        <v>2646</v>
      </c>
      <c r="H615" s="163">
        <v>46026</v>
      </c>
      <c r="I615" s="163">
        <v>46477</v>
      </c>
      <c r="J615" s="163"/>
      <c r="K615" t="s">
        <v>2656</v>
      </c>
      <c r="L615" t="b">
        <v>0</v>
      </c>
    </row>
    <row r="616" spans="1:12">
      <c r="A616" t="s">
        <v>425</v>
      </c>
      <c r="B616">
        <f t="shared" si="25"/>
        <v>2</v>
      </c>
      <c r="C616" t="s">
        <v>2841</v>
      </c>
      <c r="D616" t="s">
        <v>2653</v>
      </c>
      <c r="E616" t="s">
        <v>20</v>
      </c>
      <c r="F616" s="162">
        <v>4222</v>
      </c>
      <c r="G616" t="s">
        <v>2646</v>
      </c>
      <c r="H616" s="163">
        <v>46391</v>
      </c>
      <c r="I616" s="163">
        <v>46843</v>
      </c>
      <c r="J616" s="163"/>
      <c r="K616" t="s">
        <v>2656</v>
      </c>
      <c r="L616" t="b">
        <v>0</v>
      </c>
    </row>
    <row r="617" spans="1:12">
      <c r="A617" t="s">
        <v>431</v>
      </c>
      <c r="B617">
        <f t="shared" si="25"/>
        <v>0</v>
      </c>
      <c r="C617" t="s">
        <v>265</v>
      </c>
      <c r="D617" t="s">
        <v>1843</v>
      </c>
      <c r="E617" t="s">
        <v>21</v>
      </c>
      <c r="F617" s="162">
        <v>12000</v>
      </c>
      <c r="G617" t="s">
        <v>1705</v>
      </c>
      <c r="H617" s="163">
        <v>45852</v>
      </c>
      <c r="I617" s="163">
        <v>46216</v>
      </c>
      <c r="J617" s="163"/>
      <c r="K617" t="s">
        <v>2656</v>
      </c>
      <c r="L617" t="b">
        <v>0</v>
      </c>
    </row>
    <row r="618" spans="1:12">
      <c r="A618" t="s">
        <v>766</v>
      </c>
      <c r="B618">
        <f t="shared" si="25"/>
        <v>1</v>
      </c>
      <c r="C618" t="s">
        <v>2842</v>
      </c>
      <c r="D618" t="s">
        <v>2653</v>
      </c>
      <c r="E618" t="s">
        <v>20</v>
      </c>
      <c r="F618" s="162">
        <v>5482</v>
      </c>
      <c r="G618" t="s">
        <v>2646</v>
      </c>
      <c r="H618" s="163">
        <v>46026</v>
      </c>
      <c r="I618" s="163">
        <v>46477</v>
      </c>
      <c r="J618" s="163"/>
      <c r="K618" t="s">
        <v>2656</v>
      </c>
      <c r="L618" t="b">
        <v>0</v>
      </c>
    </row>
    <row r="619" spans="1:12">
      <c r="A619" t="s">
        <v>1995</v>
      </c>
      <c r="B619">
        <f t="shared" si="25"/>
        <v>0</v>
      </c>
      <c r="C619" t="s">
        <v>2843</v>
      </c>
      <c r="D619" t="s">
        <v>1817</v>
      </c>
      <c r="E619" t="s">
        <v>35</v>
      </c>
      <c r="F619" s="162">
        <v>21000</v>
      </c>
      <c r="G619" t="s">
        <v>1705</v>
      </c>
      <c r="H619" s="163">
        <v>46025</v>
      </c>
      <c r="I619" s="163">
        <v>46446</v>
      </c>
      <c r="J619" s="163"/>
      <c r="K619" t="s">
        <v>2671</v>
      </c>
      <c r="L619" t="b">
        <v>0</v>
      </c>
    </row>
    <row r="620" spans="1:12">
      <c r="A620" t="s">
        <v>79</v>
      </c>
      <c r="B620">
        <f t="shared" si="25"/>
        <v>9</v>
      </c>
      <c r="C620" t="s">
        <v>2844</v>
      </c>
      <c r="D620" t="s">
        <v>2653</v>
      </c>
      <c r="E620" t="s">
        <v>20</v>
      </c>
      <c r="F620" s="162">
        <v>18550</v>
      </c>
      <c r="G620" t="s">
        <v>2646</v>
      </c>
      <c r="H620" s="163">
        <v>46023</v>
      </c>
      <c r="I620" s="163">
        <v>46387</v>
      </c>
      <c r="J620" s="163"/>
      <c r="K620" t="s">
        <v>2671</v>
      </c>
      <c r="L620" t="b">
        <v>0</v>
      </c>
    </row>
    <row r="621" spans="1:12">
      <c r="A621" t="s">
        <v>79</v>
      </c>
      <c r="B621">
        <f t="shared" si="25"/>
        <v>9</v>
      </c>
      <c r="C621" t="s">
        <v>2844</v>
      </c>
      <c r="D621" t="s">
        <v>1808</v>
      </c>
      <c r="E621" t="s">
        <v>25</v>
      </c>
      <c r="F621" s="162">
        <v>2650</v>
      </c>
      <c r="G621" t="s">
        <v>2646</v>
      </c>
      <c r="H621" s="163">
        <v>46023</v>
      </c>
      <c r="I621" s="163">
        <v>46387</v>
      </c>
      <c r="J621" s="163"/>
      <c r="K621" t="s">
        <v>2671</v>
      </c>
      <c r="L621" t="b">
        <v>0</v>
      </c>
    </row>
    <row r="622" spans="1:12">
      <c r="A622" t="s">
        <v>79</v>
      </c>
      <c r="B622">
        <f t="shared" si="25"/>
        <v>9</v>
      </c>
      <c r="C622" t="s">
        <v>2844</v>
      </c>
      <c r="D622" t="s">
        <v>1820</v>
      </c>
      <c r="E622" t="s">
        <v>25</v>
      </c>
      <c r="F622" s="162">
        <v>2650</v>
      </c>
      <c r="G622" t="s">
        <v>2646</v>
      </c>
      <c r="H622" s="163">
        <v>46023</v>
      </c>
      <c r="I622" s="163">
        <v>46387</v>
      </c>
      <c r="J622" s="163"/>
      <c r="K622" t="s">
        <v>2671</v>
      </c>
      <c r="L622" t="b">
        <v>0</v>
      </c>
    </row>
    <row r="623" spans="1:12">
      <c r="A623" t="s">
        <v>79</v>
      </c>
      <c r="B623">
        <f t="shared" si="25"/>
        <v>9</v>
      </c>
      <c r="C623" t="s">
        <v>2844</v>
      </c>
      <c r="D623" t="s">
        <v>1819</v>
      </c>
      <c r="E623" t="s">
        <v>25</v>
      </c>
      <c r="F623" s="162">
        <v>2650</v>
      </c>
      <c r="G623" t="s">
        <v>2646</v>
      </c>
      <c r="H623" s="163">
        <v>46023</v>
      </c>
      <c r="I623" s="163">
        <v>46387</v>
      </c>
      <c r="J623" s="163"/>
      <c r="K623" t="s">
        <v>2671</v>
      </c>
      <c r="L623" t="b">
        <v>0</v>
      </c>
    </row>
    <row r="624" spans="1:12">
      <c r="A624" t="s">
        <v>79</v>
      </c>
      <c r="B624">
        <f t="shared" si="25"/>
        <v>9</v>
      </c>
      <c r="C624" t="s">
        <v>2844</v>
      </c>
      <c r="D624" t="s">
        <v>1826</v>
      </c>
      <c r="E624" t="s">
        <v>25</v>
      </c>
      <c r="F624" s="162">
        <v>2650</v>
      </c>
      <c r="G624" t="s">
        <v>2646</v>
      </c>
      <c r="H624" s="163">
        <v>46023</v>
      </c>
      <c r="I624" s="163">
        <v>46387</v>
      </c>
      <c r="J624" s="163"/>
      <c r="K624" t="s">
        <v>2671</v>
      </c>
      <c r="L624" t="b">
        <v>0</v>
      </c>
    </row>
    <row r="625" spans="1:12">
      <c r="A625" t="s">
        <v>79</v>
      </c>
      <c r="B625">
        <f t="shared" si="25"/>
        <v>9</v>
      </c>
      <c r="C625" t="s">
        <v>2844</v>
      </c>
      <c r="D625" t="s">
        <v>1916</v>
      </c>
      <c r="E625" t="s">
        <v>25</v>
      </c>
      <c r="F625" s="162">
        <v>2650</v>
      </c>
      <c r="G625" t="s">
        <v>2646</v>
      </c>
      <c r="H625" s="163">
        <v>46023</v>
      </c>
      <c r="I625" s="163">
        <v>46387</v>
      </c>
      <c r="J625" s="163"/>
      <c r="K625" t="s">
        <v>2671</v>
      </c>
      <c r="L625" t="b">
        <v>0</v>
      </c>
    </row>
    <row r="626" spans="1:12">
      <c r="A626" t="s">
        <v>79</v>
      </c>
      <c r="B626">
        <f t="shared" si="25"/>
        <v>9</v>
      </c>
      <c r="C626" t="s">
        <v>2844</v>
      </c>
      <c r="D626" t="s">
        <v>1833</v>
      </c>
      <c r="E626" t="s">
        <v>25</v>
      </c>
      <c r="F626" s="162">
        <v>2650</v>
      </c>
      <c r="G626" t="s">
        <v>2646</v>
      </c>
      <c r="H626" s="163">
        <v>46023</v>
      </c>
      <c r="I626" s="163">
        <v>46387</v>
      </c>
      <c r="J626" s="163"/>
      <c r="K626" t="s">
        <v>2671</v>
      </c>
      <c r="L626" t="b">
        <v>0</v>
      </c>
    </row>
    <row r="627" spans="1:12">
      <c r="A627" t="s">
        <v>79</v>
      </c>
      <c r="B627">
        <f t="shared" si="25"/>
        <v>9</v>
      </c>
      <c r="C627" t="s">
        <v>2844</v>
      </c>
      <c r="D627" t="s">
        <v>1838</v>
      </c>
      <c r="E627" t="s">
        <v>25</v>
      </c>
      <c r="F627" s="162">
        <v>2650</v>
      </c>
      <c r="G627" t="s">
        <v>2646</v>
      </c>
      <c r="H627" s="163">
        <v>46023</v>
      </c>
      <c r="I627" s="163">
        <v>46387</v>
      </c>
      <c r="J627" s="163"/>
      <c r="K627" t="s">
        <v>2671</v>
      </c>
      <c r="L627" t="b">
        <v>0</v>
      </c>
    </row>
    <row r="628" spans="1:12">
      <c r="A628" t="s">
        <v>79</v>
      </c>
      <c r="B628">
        <f t="shared" si="25"/>
        <v>9</v>
      </c>
      <c r="C628" t="s">
        <v>2845</v>
      </c>
      <c r="D628" t="s">
        <v>1817</v>
      </c>
      <c r="E628" t="s">
        <v>35</v>
      </c>
      <c r="F628" s="162">
        <v>19500</v>
      </c>
      <c r="G628" t="s">
        <v>2642</v>
      </c>
      <c r="H628" s="163">
        <v>46127</v>
      </c>
      <c r="I628" s="163">
        <v>46491</v>
      </c>
      <c r="J628" s="163"/>
      <c r="K628" t="s">
        <v>2671</v>
      </c>
      <c r="L628" t="b">
        <v>1</v>
      </c>
    </row>
    <row r="629" spans="1:12">
      <c r="A629" t="s">
        <v>1066</v>
      </c>
      <c r="B629">
        <f t="shared" si="25"/>
        <v>1</v>
      </c>
      <c r="C629" t="s">
        <v>2846</v>
      </c>
      <c r="D629" t="s">
        <v>2653</v>
      </c>
      <c r="E629" t="s">
        <v>20</v>
      </c>
      <c r="F629" s="162">
        <v>4613</v>
      </c>
      <c r="G629" t="s">
        <v>2646</v>
      </c>
      <c r="H629" s="163">
        <v>45664</v>
      </c>
      <c r="I629" s="163">
        <v>46203</v>
      </c>
      <c r="J629" s="163"/>
      <c r="K629" t="s">
        <v>2656</v>
      </c>
      <c r="L629" t="b">
        <v>0</v>
      </c>
    </row>
    <row r="630" spans="1:12">
      <c r="A630" t="s">
        <v>175</v>
      </c>
      <c r="B630">
        <f t="shared" si="25"/>
        <v>2</v>
      </c>
      <c r="C630" t="s">
        <v>2847</v>
      </c>
      <c r="D630" t="s">
        <v>2653</v>
      </c>
      <c r="E630" t="s">
        <v>20</v>
      </c>
      <c r="F630" s="162">
        <v>10500</v>
      </c>
      <c r="G630" t="s">
        <v>2646</v>
      </c>
      <c r="H630" s="163">
        <v>46026</v>
      </c>
      <c r="I630" s="163">
        <v>46477</v>
      </c>
      <c r="J630" s="163"/>
      <c r="K630" t="s">
        <v>2671</v>
      </c>
      <c r="L630" t="b">
        <v>0</v>
      </c>
    </row>
    <row r="631" spans="1:12">
      <c r="A631" t="s">
        <v>175</v>
      </c>
      <c r="B631">
        <f t="shared" si="25"/>
        <v>2</v>
      </c>
      <c r="C631" t="s">
        <v>2847</v>
      </c>
      <c r="D631" t="s">
        <v>2645</v>
      </c>
      <c r="E631" t="s">
        <v>1902</v>
      </c>
      <c r="F631" s="162">
        <v>10500</v>
      </c>
      <c r="G631" t="s">
        <v>2646</v>
      </c>
      <c r="H631" s="163">
        <v>46026</v>
      </c>
      <c r="I631" s="163">
        <v>46477</v>
      </c>
      <c r="J631" s="163"/>
      <c r="K631" t="s">
        <v>2671</v>
      </c>
      <c r="L631" t="b">
        <v>0</v>
      </c>
    </row>
    <row r="632" spans="1:12">
      <c r="A632" t="s">
        <v>1069</v>
      </c>
      <c r="B632">
        <f t="shared" si="25"/>
        <v>1</v>
      </c>
      <c r="C632" t="s">
        <v>2848</v>
      </c>
      <c r="D632" t="s">
        <v>2653</v>
      </c>
      <c r="E632" t="s">
        <v>20</v>
      </c>
      <c r="F632" s="162">
        <v>5670</v>
      </c>
      <c r="G632" t="s">
        <v>2646</v>
      </c>
      <c r="H632" s="163">
        <v>46026</v>
      </c>
      <c r="I632" s="163">
        <v>46477</v>
      </c>
      <c r="J632" s="163"/>
      <c r="K632" t="s">
        <v>2656</v>
      </c>
      <c r="L632" t="b">
        <v>0</v>
      </c>
    </row>
    <row r="633" spans="1:12">
      <c r="A633" t="s">
        <v>2017</v>
      </c>
      <c r="B633">
        <f t="shared" si="25"/>
        <v>1</v>
      </c>
      <c r="C633" t="s">
        <v>2849</v>
      </c>
      <c r="D633" t="s">
        <v>2653</v>
      </c>
      <c r="E633" t="s">
        <v>20</v>
      </c>
      <c r="F633" s="162">
        <v>2200</v>
      </c>
      <c r="G633" t="s">
        <v>2646</v>
      </c>
      <c r="H633" s="163">
        <v>46027</v>
      </c>
      <c r="I633" s="163">
        <v>46507</v>
      </c>
      <c r="J633" s="163"/>
      <c r="K633" t="s">
        <v>2656</v>
      </c>
      <c r="L633" t="b">
        <v>0</v>
      </c>
    </row>
    <row r="634" spans="1:12">
      <c r="A634" t="s">
        <v>1997</v>
      </c>
      <c r="B634">
        <f t="shared" si="25"/>
        <v>0</v>
      </c>
      <c r="C634" t="s">
        <v>2850</v>
      </c>
      <c r="D634" t="s">
        <v>1843</v>
      </c>
      <c r="E634" t="s">
        <v>21</v>
      </c>
      <c r="F634" s="162">
        <v>10500</v>
      </c>
      <c r="G634" t="s">
        <v>1705</v>
      </c>
      <c r="H634" s="163">
        <v>46108</v>
      </c>
      <c r="I634" s="163">
        <v>46472</v>
      </c>
      <c r="J634" s="163"/>
      <c r="K634" t="s">
        <v>2773</v>
      </c>
      <c r="L634" t="b">
        <v>0</v>
      </c>
    </row>
    <row r="635" spans="1:12">
      <c r="A635" t="s">
        <v>440</v>
      </c>
      <c r="B635">
        <f t="shared" si="25"/>
        <v>1</v>
      </c>
      <c r="C635" t="s">
        <v>2851</v>
      </c>
      <c r="D635" t="s">
        <v>2653</v>
      </c>
      <c r="E635" t="s">
        <v>20</v>
      </c>
      <c r="F635" s="162">
        <v>9500</v>
      </c>
      <c r="G635" t="s">
        <v>2646</v>
      </c>
      <c r="H635" s="163">
        <v>45664</v>
      </c>
      <c r="I635" s="163">
        <v>46203</v>
      </c>
      <c r="J635" s="163"/>
      <c r="K635" t="s">
        <v>2643</v>
      </c>
      <c r="L635" t="b">
        <v>0</v>
      </c>
    </row>
    <row r="636" spans="1:12">
      <c r="A636" t="s">
        <v>1969</v>
      </c>
      <c r="B636">
        <f t="shared" si="25"/>
        <v>22</v>
      </c>
      <c r="C636" t="s">
        <v>2852</v>
      </c>
      <c r="D636" t="s">
        <v>2645</v>
      </c>
      <c r="E636" t="s">
        <v>1902</v>
      </c>
      <c r="F636" s="162">
        <v>9511.5</v>
      </c>
      <c r="G636" t="s">
        <v>2646</v>
      </c>
      <c r="H636" s="163">
        <v>46023</v>
      </c>
      <c r="I636" s="163">
        <v>46387</v>
      </c>
      <c r="J636" s="163"/>
      <c r="K636" t="s">
        <v>2667</v>
      </c>
      <c r="L636" t="b">
        <v>0</v>
      </c>
    </row>
    <row r="637" spans="1:12">
      <c r="A637" t="s">
        <v>1969</v>
      </c>
      <c r="B637">
        <f t="shared" si="25"/>
        <v>22</v>
      </c>
      <c r="C637" t="s">
        <v>2852</v>
      </c>
      <c r="D637" t="s">
        <v>1833</v>
      </c>
      <c r="E637" t="s">
        <v>25</v>
      </c>
      <c r="F637" s="162">
        <v>9819.43</v>
      </c>
      <c r="G637" t="s">
        <v>2646</v>
      </c>
      <c r="H637" s="163">
        <v>46023</v>
      </c>
      <c r="I637" s="163">
        <v>46387</v>
      </c>
      <c r="J637" s="163"/>
      <c r="K637" t="s">
        <v>2667</v>
      </c>
      <c r="L637" t="b">
        <v>0</v>
      </c>
    </row>
    <row r="638" spans="1:12">
      <c r="A638" t="s">
        <v>1969</v>
      </c>
      <c r="B638">
        <f t="shared" si="25"/>
        <v>22</v>
      </c>
      <c r="C638" t="s">
        <v>2852</v>
      </c>
      <c r="D638" t="s">
        <v>1826</v>
      </c>
      <c r="E638" t="s">
        <v>25</v>
      </c>
      <c r="F638" s="162">
        <v>9203.6299999999992</v>
      </c>
      <c r="G638" t="s">
        <v>2646</v>
      </c>
      <c r="H638" s="163">
        <v>46023</v>
      </c>
      <c r="I638" s="163">
        <v>46387</v>
      </c>
      <c r="J638" s="163"/>
      <c r="K638" t="s">
        <v>2667</v>
      </c>
      <c r="L638" t="b">
        <v>0</v>
      </c>
    </row>
    <row r="639" spans="1:12">
      <c r="A639" t="s">
        <v>1969</v>
      </c>
      <c r="B639">
        <f t="shared" si="25"/>
        <v>22</v>
      </c>
      <c r="C639" t="s">
        <v>2852</v>
      </c>
      <c r="D639" t="s">
        <v>1820</v>
      </c>
      <c r="E639" t="s">
        <v>25</v>
      </c>
      <c r="F639" s="162">
        <v>11701.26</v>
      </c>
      <c r="G639" t="s">
        <v>2646</v>
      </c>
      <c r="H639" s="163">
        <v>46023</v>
      </c>
      <c r="I639" s="163">
        <v>46387</v>
      </c>
      <c r="J639" s="163"/>
      <c r="K639" t="s">
        <v>2667</v>
      </c>
      <c r="L639" t="b">
        <v>0</v>
      </c>
    </row>
    <row r="640" spans="1:12">
      <c r="A640" t="s">
        <v>1969</v>
      </c>
      <c r="B640">
        <f t="shared" si="25"/>
        <v>22</v>
      </c>
      <c r="C640" t="s">
        <v>2852</v>
      </c>
      <c r="D640" t="s">
        <v>1822</v>
      </c>
      <c r="E640" t="s">
        <v>23</v>
      </c>
      <c r="F640" s="162">
        <v>7561.34</v>
      </c>
      <c r="G640" t="s">
        <v>2646</v>
      </c>
      <c r="H640" s="163">
        <v>46023</v>
      </c>
      <c r="I640" s="163">
        <v>46387</v>
      </c>
      <c r="J640" s="163"/>
      <c r="K640" t="s">
        <v>2667</v>
      </c>
      <c r="L640" t="b">
        <v>0</v>
      </c>
    </row>
    <row r="641" spans="1:12">
      <c r="A641" t="s">
        <v>1969</v>
      </c>
      <c r="B641">
        <f t="shared" si="25"/>
        <v>22</v>
      </c>
      <c r="C641" t="s">
        <v>2852</v>
      </c>
      <c r="D641" t="s">
        <v>1845</v>
      </c>
      <c r="E641" t="s">
        <v>31</v>
      </c>
      <c r="F641" s="162">
        <v>9579.98</v>
      </c>
      <c r="G641" t="s">
        <v>2646</v>
      </c>
      <c r="H641" s="163">
        <v>46023</v>
      </c>
      <c r="I641" s="163">
        <v>46387</v>
      </c>
      <c r="J641" s="163"/>
      <c r="K641" t="s">
        <v>2667</v>
      </c>
      <c r="L641" t="b">
        <v>0</v>
      </c>
    </row>
    <row r="642" spans="1:12">
      <c r="A642" t="s">
        <v>1969</v>
      </c>
      <c r="B642">
        <f t="shared" si="25"/>
        <v>22</v>
      </c>
      <c r="C642" t="s">
        <v>2852</v>
      </c>
      <c r="D642" t="s">
        <v>1813</v>
      </c>
      <c r="E642" t="s">
        <v>21</v>
      </c>
      <c r="F642" s="162">
        <v>7082.3450000000003</v>
      </c>
      <c r="G642" t="s">
        <v>2646</v>
      </c>
      <c r="H642" s="163">
        <v>46023</v>
      </c>
      <c r="I642" s="163">
        <v>46387</v>
      </c>
      <c r="J642" s="163"/>
      <c r="K642" t="s">
        <v>2667</v>
      </c>
      <c r="L642" t="b">
        <v>0</v>
      </c>
    </row>
    <row r="643" spans="1:12">
      <c r="A643" t="s">
        <v>1969</v>
      </c>
      <c r="B643">
        <f t="shared" ref="B643:B706" si="26">IF(COUNTIFS($A$2:$A$1053,A643,$E$2:$E$1053,"Industry Essentials")&gt;0, COUNTIF($A$2:$A$1053,A643), 0)</f>
        <v>22</v>
      </c>
      <c r="C643" t="s">
        <v>2852</v>
      </c>
      <c r="D643" t="s">
        <v>1823</v>
      </c>
      <c r="E643" t="s">
        <v>21</v>
      </c>
      <c r="F643" s="162">
        <v>7082.3450000000003</v>
      </c>
      <c r="G643" t="s">
        <v>2646</v>
      </c>
      <c r="H643" s="163">
        <v>46023</v>
      </c>
      <c r="I643" s="163">
        <v>46387</v>
      </c>
      <c r="J643" s="163"/>
      <c r="K643" t="s">
        <v>2667</v>
      </c>
      <c r="L643" t="b">
        <v>0</v>
      </c>
    </row>
    <row r="644" spans="1:12">
      <c r="A644" t="s">
        <v>1969</v>
      </c>
      <c r="B644">
        <f t="shared" si="26"/>
        <v>22</v>
      </c>
      <c r="C644" t="s">
        <v>2852</v>
      </c>
      <c r="D644" t="s">
        <v>1830</v>
      </c>
      <c r="E644" t="s">
        <v>21</v>
      </c>
      <c r="F644" s="162">
        <v>7082.3450000000003</v>
      </c>
      <c r="G644" t="s">
        <v>2646</v>
      </c>
      <c r="H644" s="163">
        <v>46023</v>
      </c>
      <c r="I644" s="163">
        <v>46387</v>
      </c>
      <c r="J644" s="163"/>
      <c r="K644" t="s">
        <v>2667</v>
      </c>
      <c r="L644" t="b">
        <v>0</v>
      </c>
    </row>
    <row r="645" spans="1:12">
      <c r="A645" t="s">
        <v>1969</v>
      </c>
      <c r="B645">
        <f t="shared" si="26"/>
        <v>22</v>
      </c>
      <c r="C645" t="s">
        <v>2852</v>
      </c>
      <c r="D645" t="s">
        <v>1836</v>
      </c>
      <c r="E645" t="s">
        <v>21</v>
      </c>
      <c r="F645" s="162">
        <v>7082.3450000000003</v>
      </c>
      <c r="G645" t="s">
        <v>2646</v>
      </c>
      <c r="H645" s="163">
        <v>46023</v>
      </c>
      <c r="I645" s="163">
        <v>46387</v>
      </c>
      <c r="J645" s="163"/>
      <c r="K645" t="s">
        <v>2667</v>
      </c>
      <c r="L645" t="b">
        <v>0</v>
      </c>
    </row>
    <row r="646" spans="1:12">
      <c r="A646" t="s">
        <v>1969</v>
      </c>
      <c r="B646">
        <f t="shared" si="26"/>
        <v>22</v>
      </c>
      <c r="C646" t="s">
        <v>2852</v>
      </c>
      <c r="D646" t="s">
        <v>1810</v>
      </c>
      <c r="E646" t="s">
        <v>21</v>
      </c>
      <c r="F646" s="162">
        <v>7846.4616666666698</v>
      </c>
      <c r="G646" t="s">
        <v>2646</v>
      </c>
      <c r="H646" s="163">
        <v>46023</v>
      </c>
      <c r="I646" s="163">
        <v>46387</v>
      </c>
      <c r="J646" s="163"/>
      <c r="K646" t="s">
        <v>2667</v>
      </c>
      <c r="L646" t="b">
        <v>0</v>
      </c>
    </row>
    <row r="647" spans="1:12">
      <c r="A647" t="s">
        <v>1969</v>
      </c>
      <c r="B647">
        <f t="shared" si="26"/>
        <v>22</v>
      </c>
      <c r="C647" t="s">
        <v>2852</v>
      </c>
      <c r="D647" t="s">
        <v>1821</v>
      </c>
      <c r="E647" t="s">
        <v>21</v>
      </c>
      <c r="F647" s="162">
        <v>7846.4616666666698</v>
      </c>
      <c r="G647" t="s">
        <v>2646</v>
      </c>
      <c r="H647" s="163">
        <v>46023</v>
      </c>
      <c r="I647" s="163">
        <v>46387</v>
      </c>
      <c r="J647" s="163"/>
      <c r="K647" t="s">
        <v>2667</v>
      </c>
      <c r="L647" t="b">
        <v>0</v>
      </c>
    </row>
    <row r="648" spans="1:12">
      <c r="A648" t="s">
        <v>1969</v>
      </c>
      <c r="B648">
        <f t="shared" si="26"/>
        <v>22</v>
      </c>
      <c r="C648" t="s">
        <v>2852</v>
      </c>
      <c r="D648" t="s">
        <v>1828</v>
      </c>
      <c r="E648" t="s">
        <v>21</v>
      </c>
      <c r="F648" s="162">
        <v>7846.4616666666698</v>
      </c>
      <c r="G648" t="s">
        <v>2646</v>
      </c>
      <c r="H648" s="163">
        <v>46023</v>
      </c>
      <c r="I648" s="163">
        <v>46387</v>
      </c>
      <c r="J648" s="163"/>
      <c r="K648" t="s">
        <v>2667</v>
      </c>
      <c r="L648" t="b">
        <v>0</v>
      </c>
    </row>
    <row r="649" spans="1:12">
      <c r="A649" t="s">
        <v>1969</v>
      </c>
      <c r="B649">
        <f t="shared" si="26"/>
        <v>22</v>
      </c>
      <c r="C649" t="s">
        <v>2852</v>
      </c>
      <c r="D649" t="s">
        <v>1835</v>
      </c>
      <c r="E649" t="s">
        <v>21</v>
      </c>
      <c r="F649" s="162">
        <v>7846.4616666666698</v>
      </c>
      <c r="G649" t="s">
        <v>2646</v>
      </c>
      <c r="H649" s="163">
        <v>46023</v>
      </c>
      <c r="I649" s="163">
        <v>46387</v>
      </c>
      <c r="J649" s="163"/>
      <c r="K649" t="s">
        <v>2667</v>
      </c>
      <c r="L649" t="b">
        <v>0</v>
      </c>
    </row>
    <row r="650" spans="1:12">
      <c r="A650" t="s">
        <v>1969</v>
      </c>
      <c r="B650">
        <f t="shared" si="26"/>
        <v>22</v>
      </c>
      <c r="C650" t="s">
        <v>2852</v>
      </c>
      <c r="D650" t="s">
        <v>1841</v>
      </c>
      <c r="E650" t="s">
        <v>21</v>
      </c>
      <c r="F650" s="162">
        <v>7846.4616666666698</v>
      </c>
      <c r="G650" t="s">
        <v>2646</v>
      </c>
      <c r="H650" s="163">
        <v>46023</v>
      </c>
      <c r="I650" s="163">
        <v>46387</v>
      </c>
      <c r="J650" s="163"/>
      <c r="K650" t="s">
        <v>2667</v>
      </c>
      <c r="L650" t="b">
        <v>0</v>
      </c>
    </row>
    <row r="651" spans="1:12">
      <c r="A651" t="s">
        <v>1969</v>
      </c>
      <c r="B651">
        <f t="shared" si="26"/>
        <v>22</v>
      </c>
      <c r="C651" t="s">
        <v>2852</v>
      </c>
      <c r="D651" t="s">
        <v>1843</v>
      </c>
      <c r="E651" t="s">
        <v>21</v>
      </c>
      <c r="F651" s="162">
        <v>7846.4616666666698</v>
      </c>
      <c r="G651" t="s">
        <v>2646</v>
      </c>
      <c r="H651" s="163">
        <v>46023</v>
      </c>
      <c r="I651" s="163">
        <v>46387</v>
      </c>
      <c r="J651" s="163"/>
      <c r="K651" t="s">
        <v>2667</v>
      </c>
      <c r="L651" t="b">
        <v>0</v>
      </c>
    </row>
    <row r="652" spans="1:12">
      <c r="A652" t="s">
        <v>1969</v>
      </c>
      <c r="B652">
        <f t="shared" si="26"/>
        <v>22</v>
      </c>
      <c r="C652" t="s">
        <v>2852</v>
      </c>
      <c r="D652" t="s">
        <v>1816</v>
      </c>
      <c r="E652" t="s">
        <v>1931</v>
      </c>
      <c r="F652" s="162">
        <v>13377.76</v>
      </c>
      <c r="G652" t="s">
        <v>2646</v>
      </c>
      <c r="H652" s="163">
        <v>46023</v>
      </c>
      <c r="I652" s="163">
        <v>46387</v>
      </c>
      <c r="J652" s="163"/>
      <c r="K652" t="s">
        <v>2667</v>
      </c>
      <c r="L652" t="b">
        <v>0</v>
      </c>
    </row>
    <row r="653" spans="1:12">
      <c r="A653" t="s">
        <v>1969</v>
      </c>
      <c r="B653">
        <f t="shared" si="26"/>
        <v>22</v>
      </c>
      <c r="C653" t="s">
        <v>2852</v>
      </c>
      <c r="D653" t="s">
        <v>1838</v>
      </c>
      <c r="E653" t="s">
        <v>25</v>
      </c>
      <c r="F653" s="162">
        <v>7356.06</v>
      </c>
      <c r="G653" t="s">
        <v>2646</v>
      </c>
      <c r="H653" s="163">
        <v>46023</v>
      </c>
      <c r="I653" s="163">
        <v>46387</v>
      </c>
      <c r="J653" s="163"/>
      <c r="K653" t="s">
        <v>2667</v>
      </c>
      <c r="L653" t="b">
        <v>0</v>
      </c>
    </row>
    <row r="654" spans="1:12">
      <c r="A654" t="s">
        <v>1969</v>
      </c>
      <c r="B654">
        <f t="shared" si="26"/>
        <v>22</v>
      </c>
      <c r="C654" t="s">
        <v>2852</v>
      </c>
      <c r="D654" t="s">
        <v>2653</v>
      </c>
      <c r="E654" t="s">
        <v>20</v>
      </c>
      <c r="F654" s="162">
        <v>9511.5499999999993</v>
      </c>
      <c r="G654" t="s">
        <v>2646</v>
      </c>
      <c r="H654" s="163">
        <v>46023</v>
      </c>
      <c r="I654" s="163">
        <v>46387</v>
      </c>
      <c r="J654" s="163"/>
      <c r="K654" t="s">
        <v>2667</v>
      </c>
      <c r="L654" t="b">
        <v>0</v>
      </c>
    </row>
    <row r="655" spans="1:12">
      <c r="A655" t="s">
        <v>1969</v>
      </c>
      <c r="B655">
        <f t="shared" si="26"/>
        <v>22</v>
      </c>
      <c r="C655" t="s">
        <v>2852</v>
      </c>
      <c r="D655" t="s">
        <v>1819</v>
      </c>
      <c r="E655" t="s">
        <v>25</v>
      </c>
      <c r="F655" s="162">
        <v>9100.98</v>
      </c>
      <c r="G655" t="s">
        <v>2646</v>
      </c>
      <c r="H655" s="163">
        <v>46023</v>
      </c>
      <c r="I655" s="163">
        <v>46387</v>
      </c>
      <c r="J655" s="163"/>
      <c r="K655" t="s">
        <v>2667</v>
      </c>
      <c r="L655" t="b">
        <v>0</v>
      </c>
    </row>
    <row r="656" spans="1:12">
      <c r="A656" t="s">
        <v>1969</v>
      </c>
      <c r="B656">
        <f t="shared" si="26"/>
        <v>22</v>
      </c>
      <c r="C656" t="s">
        <v>2852</v>
      </c>
      <c r="D656" t="s">
        <v>1898</v>
      </c>
      <c r="E656" t="s">
        <v>29</v>
      </c>
      <c r="F656" s="162">
        <v>8895.7000000000007</v>
      </c>
      <c r="G656" t="s">
        <v>2646</v>
      </c>
      <c r="H656" s="163">
        <v>46023</v>
      </c>
      <c r="I656" s="163">
        <v>46387</v>
      </c>
      <c r="J656" s="163"/>
      <c r="K656" t="s">
        <v>2667</v>
      </c>
      <c r="L656" t="b">
        <v>0</v>
      </c>
    </row>
    <row r="657" spans="1:12">
      <c r="A657" t="s">
        <v>1969</v>
      </c>
      <c r="B657">
        <f t="shared" si="26"/>
        <v>22</v>
      </c>
      <c r="C657" t="s">
        <v>2852</v>
      </c>
      <c r="D657" t="s">
        <v>1827</v>
      </c>
      <c r="E657" t="s">
        <v>29</v>
      </c>
      <c r="F657" s="162">
        <v>11701.26</v>
      </c>
      <c r="G657" t="s">
        <v>2646</v>
      </c>
      <c r="H657" s="163">
        <v>46023</v>
      </c>
      <c r="I657" s="163">
        <v>46387</v>
      </c>
      <c r="J657" s="163"/>
      <c r="K657" t="s">
        <v>2667</v>
      </c>
      <c r="L657" t="b">
        <v>0</v>
      </c>
    </row>
    <row r="658" spans="1:12">
      <c r="A658" t="s">
        <v>601</v>
      </c>
      <c r="B658">
        <f t="shared" si="26"/>
        <v>4</v>
      </c>
      <c r="C658" t="s">
        <v>2853</v>
      </c>
      <c r="D658" t="s">
        <v>1845</v>
      </c>
      <c r="E658" t="s">
        <v>31</v>
      </c>
      <c r="F658" s="162">
        <v>9700</v>
      </c>
      <c r="G658" t="s">
        <v>2646</v>
      </c>
      <c r="H658" s="163">
        <v>45663</v>
      </c>
      <c r="I658" s="163">
        <v>46173</v>
      </c>
      <c r="J658" s="163"/>
      <c r="K658" t="s">
        <v>2643</v>
      </c>
      <c r="L658" t="b">
        <v>0</v>
      </c>
    </row>
    <row r="659" spans="1:12">
      <c r="A659" t="s">
        <v>601</v>
      </c>
      <c r="B659">
        <f t="shared" si="26"/>
        <v>4</v>
      </c>
      <c r="C659" t="s">
        <v>2853</v>
      </c>
      <c r="D659" t="s">
        <v>2653</v>
      </c>
      <c r="E659" t="s">
        <v>20</v>
      </c>
      <c r="F659" s="162">
        <v>8050</v>
      </c>
      <c r="G659" t="s">
        <v>2646</v>
      </c>
      <c r="H659" s="163">
        <v>45663</v>
      </c>
      <c r="I659" s="163">
        <v>46173</v>
      </c>
      <c r="J659" s="163"/>
      <c r="K659" t="s">
        <v>2643</v>
      </c>
      <c r="L659" t="b">
        <v>0</v>
      </c>
    </row>
    <row r="660" spans="1:12">
      <c r="A660" t="s">
        <v>601</v>
      </c>
      <c r="B660">
        <f t="shared" si="26"/>
        <v>4</v>
      </c>
      <c r="C660" t="s">
        <v>2854</v>
      </c>
      <c r="D660" t="s">
        <v>2653</v>
      </c>
      <c r="E660" t="s">
        <v>20</v>
      </c>
      <c r="F660" s="162">
        <v>10000</v>
      </c>
      <c r="G660" t="s">
        <v>2646</v>
      </c>
      <c r="H660" s="163">
        <v>46028</v>
      </c>
      <c r="I660" s="163">
        <v>46538</v>
      </c>
      <c r="J660" s="163"/>
      <c r="K660" t="s">
        <v>2643</v>
      </c>
      <c r="L660" t="b">
        <v>0</v>
      </c>
    </row>
    <row r="661" spans="1:12">
      <c r="A661" t="s">
        <v>601</v>
      </c>
      <c r="B661">
        <f t="shared" si="26"/>
        <v>4</v>
      </c>
      <c r="C661" t="s">
        <v>2854</v>
      </c>
      <c r="D661" t="s">
        <v>1845</v>
      </c>
      <c r="E661" t="s">
        <v>31</v>
      </c>
      <c r="F661" s="162">
        <v>9000</v>
      </c>
      <c r="G661" t="s">
        <v>2646</v>
      </c>
      <c r="H661" s="163">
        <v>46028</v>
      </c>
      <c r="I661" s="163">
        <v>46538</v>
      </c>
      <c r="J661" s="163"/>
      <c r="K661" t="s">
        <v>2643</v>
      </c>
      <c r="L661" t="b">
        <v>0</v>
      </c>
    </row>
    <row r="662" spans="1:12">
      <c r="A662" t="s">
        <v>1979</v>
      </c>
      <c r="B662">
        <f t="shared" si="26"/>
        <v>2</v>
      </c>
      <c r="C662" t="s">
        <v>2855</v>
      </c>
      <c r="D662" t="s">
        <v>2624</v>
      </c>
      <c r="E662" t="s">
        <v>31</v>
      </c>
      <c r="F662" s="162">
        <v>15711</v>
      </c>
      <c r="G662" t="s">
        <v>2646</v>
      </c>
      <c r="H662" s="163">
        <v>46023</v>
      </c>
      <c r="I662" s="163">
        <v>46387</v>
      </c>
      <c r="J662" s="163"/>
      <c r="K662" t="s">
        <v>2667</v>
      </c>
      <c r="L662" t="b">
        <v>0</v>
      </c>
    </row>
    <row r="663" spans="1:12">
      <c r="A663" t="s">
        <v>1979</v>
      </c>
      <c r="B663">
        <f t="shared" si="26"/>
        <v>2</v>
      </c>
      <c r="C663" t="s">
        <v>2855</v>
      </c>
      <c r="D663" t="s">
        <v>2653</v>
      </c>
      <c r="E663" t="s">
        <v>20</v>
      </c>
      <c r="F663" s="162">
        <v>8960</v>
      </c>
      <c r="G663" t="s">
        <v>2646</v>
      </c>
      <c r="H663" s="163">
        <v>46023</v>
      </c>
      <c r="I663" s="163">
        <v>46387</v>
      </c>
      <c r="J663" s="163"/>
      <c r="K663" t="s">
        <v>2667</v>
      </c>
      <c r="L663" t="b">
        <v>0</v>
      </c>
    </row>
    <row r="664" spans="1:12">
      <c r="A664" t="s">
        <v>2018</v>
      </c>
      <c r="B664">
        <f t="shared" si="26"/>
        <v>0</v>
      </c>
      <c r="C664" t="s">
        <v>2856</v>
      </c>
      <c r="D664" t="s">
        <v>2625</v>
      </c>
      <c r="E664" t="s">
        <v>27</v>
      </c>
      <c r="F664" s="162">
        <v>16125</v>
      </c>
      <c r="G664" t="s">
        <v>2646</v>
      </c>
      <c r="H664" s="163">
        <v>46027</v>
      </c>
      <c r="I664" s="163">
        <v>46507</v>
      </c>
      <c r="J664" s="163"/>
      <c r="K664" t="s">
        <v>2680</v>
      </c>
      <c r="L664" t="b">
        <v>0</v>
      </c>
    </row>
    <row r="665" spans="1:12">
      <c r="A665" t="s">
        <v>2018</v>
      </c>
      <c r="B665">
        <f t="shared" si="26"/>
        <v>0</v>
      </c>
      <c r="C665" t="s">
        <v>2856</v>
      </c>
      <c r="D665" t="s">
        <v>1808</v>
      </c>
      <c r="E665" t="s">
        <v>25</v>
      </c>
      <c r="F665" s="162">
        <v>4495</v>
      </c>
      <c r="G665" t="s">
        <v>2646</v>
      </c>
      <c r="H665" s="163">
        <v>46027</v>
      </c>
      <c r="I665" s="163">
        <v>46507</v>
      </c>
      <c r="J665" s="163"/>
      <c r="K665" t="s">
        <v>2680</v>
      </c>
      <c r="L665" t="b">
        <v>0</v>
      </c>
    </row>
    <row r="666" spans="1:12">
      <c r="A666" t="s">
        <v>2018</v>
      </c>
      <c r="B666">
        <f t="shared" si="26"/>
        <v>0</v>
      </c>
      <c r="C666" t="s">
        <v>2856</v>
      </c>
      <c r="D666" t="s">
        <v>1819</v>
      </c>
      <c r="E666" t="s">
        <v>25</v>
      </c>
      <c r="F666" s="162">
        <v>4495</v>
      </c>
      <c r="G666" t="s">
        <v>2646</v>
      </c>
      <c r="H666" s="163">
        <v>46027</v>
      </c>
      <c r="I666" s="163">
        <v>46507</v>
      </c>
      <c r="J666" s="163"/>
      <c r="K666" t="s">
        <v>2680</v>
      </c>
      <c r="L666" t="b">
        <v>0</v>
      </c>
    </row>
    <row r="667" spans="1:12">
      <c r="A667" t="s">
        <v>2018</v>
      </c>
      <c r="B667">
        <f t="shared" si="26"/>
        <v>0</v>
      </c>
      <c r="C667" t="s">
        <v>2856</v>
      </c>
      <c r="D667" t="s">
        <v>1826</v>
      </c>
      <c r="E667" t="s">
        <v>25</v>
      </c>
      <c r="F667" s="162">
        <v>4495</v>
      </c>
      <c r="G667" t="s">
        <v>2646</v>
      </c>
      <c r="H667" s="163">
        <v>46027</v>
      </c>
      <c r="I667" s="163">
        <v>46507</v>
      </c>
      <c r="J667" s="163"/>
      <c r="K667" t="s">
        <v>2680</v>
      </c>
      <c r="L667" t="b">
        <v>0</v>
      </c>
    </row>
    <row r="668" spans="1:12">
      <c r="A668" t="s">
        <v>2018</v>
      </c>
      <c r="B668">
        <f t="shared" si="26"/>
        <v>0</v>
      </c>
      <c r="C668" t="s">
        <v>2856</v>
      </c>
      <c r="D668" t="s">
        <v>1833</v>
      </c>
      <c r="E668" t="s">
        <v>25</v>
      </c>
      <c r="F668" s="162">
        <v>4495</v>
      </c>
      <c r="G668" t="s">
        <v>2646</v>
      </c>
      <c r="H668" s="163">
        <v>46027</v>
      </c>
      <c r="I668" s="163">
        <v>46507</v>
      </c>
      <c r="J668" s="163"/>
      <c r="K668" t="s">
        <v>2680</v>
      </c>
      <c r="L668" t="b">
        <v>0</v>
      </c>
    </row>
    <row r="669" spans="1:12">
      <c r="A669" t="s">
        <v>2018</v>
      </c>
      <c r="B669">
        <f t="shared" si="26"/>
        <v>0</v>
      </c>
      <c r="C669" t="s">
        <v>2856</v>
      </c>
      <c r="D669" t="s">
        <v>1838</v>
      </c>
      <c r="E669" t="s">
        <v>25</v>
      </c>
      <c r="F669" s="162">
        <v>4495</v>
      </c>
      <c r="G669" t="s">
        <v>2646</v>
      </c>
      <c r="H669" s="163">
        <v>46027</v>
      </c>
      <c r="I669" s="163">
        <v>46507</v>
      </c>
      <c r="J669" s="163"/>
      <c r="K669" t="s">
        <v>2680</v>
      </c>
      <c r="L669" t="b">
        <v>0</v>
      </c>
    </row>
    <row r="670" spans="1:12">
      <c r="A670" t="s">
        <v>2018</v>
      </c>
      <c r="B670">
        <f t="shared" si="26"/>
        <v>0</v>
      </c>
      <c r="C670" t="s">
        <v>2856</v>
      </c>
      <c r="D670" t="s">
        <v>1810</v>
      </c>
      <c r="E670" t="s">
        <v>21</v>
      </c>
      <c r="F670" s="162">
        <v>3800</v>
      </c>
      <c r="G670" t="s">
        <v>2646</v>
      </c>
      <c r="H670" s="163">
        <v>46027</v>
      </c>
      <c r="I670" s="163">
        <v>46507</v>
      </c>
      <c r="J670" s="163"/>
      <c r="K670" t="s">
        <v>2680</v>
      </c>
      <c r="L670" t="b">
        <v>0</v>
      </c>
    </row>
    <row r="671" spans="1:12">
      <c r="A671" t="s">
        <v>2018</v>
      </c>
      <c r="B671">
        <f t="shared" si="26"/>
        <v>0</v>
      </c>
      <c r="C671" t="s">
        <v>2856</v>
      </c>
      <c r="D671" t="s">
        <v>1821</v>
      </c>
      <c r="E671" t="s">
        <v>21</v>
      </c>
      <c r="F671" s="162">
        <v>3800</v>
      </c>
      <c r="G671" t="s">
        <v>2646</v>
      </c>
      <c r="H671" s="163">
        <v>46027</v>
      </c>
      <c r="I671" s="163">
        <v>46507</v>
      </c>
      <c r="J671" s="163"/>
      <c r="K671" t="s">
        <v>2680</v>
      </c>
      <c r="L671" t="b">
        <v>0</v>
      </c>
    </row>
    <row r="672" spans="1:12">
      <c r="A672" t="s">
        <v>2018</v>
      </c>
      <c r="B672">
        <f t="shared" si="26"/>
        <v>0</v>
      </c>
      <c r="C672" t="s">
        <v>2856</v>
      </c>
      <c r="D672" t="s">
        <v>1828</v>
      </c>
      <c r="E672" t="s">
        <v>21</v>
      </c>
      <c r="F672" s="162">
        <v>3800</v>
      </c>
      <c r="G672" t="s">
        <v>2646</v>
      </c>
      <c r="H672" s="163">
        <v>46027</v>
      </c>
      <c r="I672" s="163">
        <v>46507</v>
      </c>
      <c r="J672" s="163"/>
      <c r="K672" t="s">
        <v>2680</v>
      </c>
      <c r="L672" t="b">
        <v>0</v>
      </c>
    </row>
    <row r="673" spans="1:12">
      <c r="A673" t="s">
        <v>2018</v>
      </c>
      <c r="B673">
        <f t="shared" si="26"/>
        <v>0</v>
      </c>
      <c r="C673" t="s">
        <v>2856</v>
      </c>
      <c r="D673" t="s">
        <v>1835</v>
      </c>
      <c r="E673" t="s">
        <v>21</v>
      </c>
      <c r="F673" s="162">
        <v>3800</v>
      </c>
      <c r="G673" t="s">
        <v>2646</v>
      </c>
      <c r="H673" s="163">
        <v>46027</v>
      </c>
      <c r="I673" s="163">
        <v>46507</v>
      </c>
      <c r="J673" s="163"/>
      <c r="K673" t="s">
        <v>2680</v>
      </c>
      <c r="L673" t="b">
        <v>0</v>
      </c>
    </row>
    <row r="674" spans="1:12">
      <c r="A674" t="s">
        <v>2018</v>
      </c>
      <c r="B674">
        <f t="shared" si="26"/>
        <v>0</v>
      </c>
      <c r="C674" t="s">
        <v>2856</v>
      </c>
      <c r="D674" t="s">
        <v>1841</v>
      </c>
      <c r="E674" t="s">
        <v>21</v>
      </c>
      <c r="F674" s="162">
        <v>3800</v>
      </c>
      <c r="G674" t="s">
        <v>2646</v>
      </c>
      <c r="H674" s="163">
        <v>46027</v>
      </c>
      <c r="I674" s="163">
        <v>46507</v>
      </c>
      <c r="J674" s="163"/>
      <c r="K674" t="s">
        <v>2680</v>
      </c>
      <c r="L674" t="b">
        <v>0</v>
      </c>
    </row>
    <row r="675" spans="1:12">
      <c r="A675" t="s">
        <v>2018</v>
      </c>
      <c r="B675">
        <f t="shared" si="26"/>
        <v>0</v>
      </c>
      <c r="C675" t="s">
        <v>2856</v>
      </c>
      <c r="D675" t="s">
        <v>1843</v>
      </c>
      <c r="E675" t="s">
        <v>21</v>
      </c>
      <c r="F675" s="162">
        <v>3800</v>
      </c>
      <c r="G675" t="s">
        <v>2646</v>
      </c>
      <c r="H675" s="163">
        <v>46027</v>
      </c>
      <c r="I675" s="163">
        <v>46507</v>
      </c>
      <c r="J675" s="163"/>
      <c r="K675" t="s">
        <v>2680</v>
      </c>
      <c r="L675" t="b">
        <v>0</v>
      </c>
    </row>
    <row r="676" spans="1:12">
      <c r="A676" t="s">
        <v>2018</v>
      </c>
      <c r="B676">
        <f t="shared" si="26"/>
        <v>0</v>
      </c>
      <c r="C676" t="s">
        <v>2856</v>
      </c>
      <c r="D676" t="s">
        <v>1811</v>
      </c>
      <c r="E676" t="s">
        <v>23</v>
      </c>
      <c r="F676" s="162">
        <v>6891.6666666666697</v>
      </c>
      <c r="G676" t="s">
        <v>2646</v>
      </c>
      <c r="H676" s="163">
        <v>46027</v>
      </c>
      <c r="I676" s="163">
        <v>46507</v>
      </c>
      <c r="J676" s="163"/>
      <c r="K676" t="s">
        <v>2680</v>
      </c>
      <c r="L676" t="b">
        <v>0</v>
      </c>
    </row>
    <row r="677" spans="1:12">
      <c r="A677" t="s">
        <v>2018</v>
      </c>
      <c r="B677">
        <f t="shared" si="26"/>
        <v>0</v>
      </c>
      <c r="C677" t="s">
        <v>2856</v>
      </c>
      <c r="D677" t="s">
        <v>1822</v>
      </c>
      <c r="E677" t="s">
        <v>23</v>
      </c>
      <c r="F677" s="162">
        <v>6891.6666666666697</v>
      </c>
      <c r="G677" t="s">
        <v>2646</v>
      </c>
      <c r="H677" s="163">
        <v>46027</v>
      </c>
      <c r="I677" s="163">
        <v>46507</v>
      </c>
      <c r="J677" s="163"/>
      <c r="K677" t="s">
        <v>2680</v>
      </c>
      <c r="L677" t="b">
        <v>0</v>
      </c>
    </row>
    <row r="678" spans="1:12">
      <c r="A678" t="s">
        <v>2018</v>
      </c>
      <c r="B678">
        <f t="shared" si="26"/>
        <v>0</v>
      </c>
      <c r="C678" t="s">
        <v>2856</v>
      </c>
      <c r="D678" t="s">
        <v>1829</v>
      </c>
      <c r="E678" t="s">
        <v>23</v>
      </c>
      <c r="F678" s="162">
        <v>6891.6666666666697</v>
      </c>
      <c r="G678" t="s">
        <v>2646</v>
      </c>
      <c r="H678" s="163">
        <v>46027</v>
      </c>
      <c r="I678" s="163">
        <v>46507</v>
      </c>
      <c r="J678" s="163"/>
      <c r="K678" t="s">
        <v>2680</v>
      </c>
      <c r="L678" t="b">
        <v>0</v>
      </c>
    </row>
    <row r="679" spans="1:12">
      <c r="A679" t="s">
        <v>602</v>
      </c>
      <c r="B679">
        <f t="shared" si="26"/>
        <v>1</v>
      </c>
      <c r="C679" t="s">
        <v>2857</v>
      </c>
      <c r="D679" t="s">
        <v>2653</v>
      </c>
      <c r="E679" t="s">
        <v>20</v>
      </c>
      <c r="F679" s="162">
        <v>9675</v>
      </c>
      <c r="G679" t="s">
        <v>2646</v>
      </c>
      <c r="H679" s="163">
        <v>46023</v>
      </c>
      <c r="I679" s="163">
        <v>46387</v>
      </c>
      <c r="J679" s="163"/>
      <c r="K679" t="s">
        <v>2656</v>
      </c>
      <c r="L679" t="b">
        <v>0</v>
      </c>
    </row>
    <row r="680" spans="1:12">
      <c r="A680" t="s">
        <v>1975</v>
      </c>
      <c r="B680">
        <f t="shared" si="26"/>
        <v>86</v>
      </c>
      <c r="C680" t="s">
        <v>2858</v>
      </c>
      <c r="D680" t="s">
        <v>1797</v>
      </c>
      <c r="E680" t="s">
        <v>29</v>
      </c>
      <c r="F680" s="162">
        <v>5233.7299999999996</v>
      </c>
      <c r="G680" t="s">
        <v>2646</v>
      </c>
      <c r="H680" s="163">
        <v>46023</v>
      </c>
      <c r="I680" s="163">
        <v>46387</v>
      </c>
      <c r="J680" s="163"/>
      <c r="K680" t="s">
        <v>2667</v>
      </c>
      <c r="L680" t="b">
        <v>0</v>
      </c>
    </row>
    <row r="681" spans="1:12">
      <c r="A681" t="s">
        <v>1975</v>
      </c>
      <c r="B681">
        <f t="shared" si="26"/>
        <v>86</v>
      </c>
      <c r="C681" t="s">
        <v>2858</v>
      </c>
      <c r="D681" t="s">
        <v>1827</v>
      </c>
      <c r="E681" t="s">
        <v>29</v>
      </c>
      <c r="F681" s="162">
        <v>5233.7299999999996</v>
      </c>
      <c r="G681" t="s">
        <v>2646</v>
      </c>
      <c r="H681" s="163">
        <v>46023</v>
      </c>
      <c r="I681" s="163">
        <v>46387</v>
      </c>
      <c r="J681" s="163"/>
      <c r="K681" t="s">
        <v>2667</v>
      </c>
      <c r="L681" t="b">
        <v>0</v>
      </c>
    </row>
    <row r="682" spans="1:12">
      <c r="A682" t="s">
        <v>1975</v>
      </c>
      <c r="B682">
        <f t="shared" si="26"/>
        <v>86</v>
      </c>
      <c r="C682" t="s">
        <v>2858</v>
      </c>
      <c r="D682" t="s">
        <v>1898</v>
      </c>
      <c r="E682" t="s">
        <v>29</v>
      </c>
      <c r="F682" s="162">
        <v>5233.7299999999996</v>
      </c>
      <c r="G682" t="s">
        <v>2646</v>
      </c>
      <c r="H682" s="163">
        <v>46023</v>
      </c>
      <c r="I682" s="163">
        <v>46387</v>
      </c>
      <c r="J682" s="163"/>
      <c r="K682" t="s">
        <v>2667</v>
      </c>
      <c r="L682" t="b">
        <v>0</v>
      </c>
    </row>
    <row r="683" spans="1:12">
      <c r="A683" t="s">
        <v>1975</v>
      </c>
      <c r="B683">
        <f t="shared" si="26"/>
        <v>86</v>
      </c>
      <c r="C683" t="s">
        <v>2858</v>
      </c>
      <c r="D683" t="s">
        <v>1840</v>
      </c>
      <c r="E683" t="s">
        <v>29</v>
      </c>
      <c r="F683" s="162">
        <v>5233.7299999999996</v>
      </c>
      <c r="G683" t="s">
        <v>2646</v>
      </c>
      <c r="H683" s="163">
        <v>46023</v>
      </c>
      <c r="I683" s="163">
        <v>46387</v>
      </c>
      <c r="J683" s="163"/>
      <c r="K683" t="s">
        <v>2667</v>
      </c>
      <c r="L683" t="b">
        <v>0</v>
      </c>
    </row>
    <row r="684" spans="1:12">
      <c r="A684" t="s">
        <v>1975</v>
      </c>
      <c r="B684">
        <f t="shared" si="26"/>
        <v>86</v>
      </c>
      <c r="C684" t="s">
        <v>2858</v>
      </c>
      <c r="D684" t="s">
        <v>1810</v>
      </c>
      <c r="E684" t="s">
        <v>21</v>
      </c>
      <c r="F684" s="162">
        <v>2093.4920000000002</v>
      </c>
      <c r="G684" t="s">
        <v>2646</v>
      </c>
      <c r="H684" s="163">
        <v>46023</v>
      </c>
      <c r="I684" s="163">
        <v>46387</v>
      </c>
      <c r="J684" s="163"/>
      <c r="K684" t="s">
        <v>2667</v>
      </c>
      <c r="L684" t="b">
        <v>0</v>
      </c>
    </row>
    <row r="685" spans="1:12">
      <c r="A685" t="s">
        <v>1975</v>
      </c>
      <c r="B685">
        <f t="shared" si="26"/>
        <v>86</v>
      </c>
      <c r="C685" t="s">
        <v>2858</v>
      </c>
      <c r="D685" t="s">
        <v>1821</v>
      </c>
      <c r="E685" t="s">
        <v>21</v>
      </c>
      <c r="F685" s="162">
        <v>2093.4920000000002</v>
      </c>
      <c r="G685" t="s">
        <v>2646</v>
      </c>
      <c r="H685" s="163">
        <v>46023</v>
      </c>
      <c r="I685" s="163">
        <v>46387</v>
      </c>
      <c r="J685" s="163"/>
      <c r="K685" t="s">
        <v>2667</v>
      </c>
      <c r="L685" t="b">
        <v>0</v>
      </c>
    </row>
    <row r="686" spans="1:12">
      <c r="A686" t="s">
        <v>1975</v>
      </c>
      <c r="B686">
        <f t="shared" si="26"/>
        <v>86</v>
      </c>
      <c r="C686" t="s">
        <v>2858</v>
      </c>
      <c r="D686" t="s">
        <v>1813</v>
      </c>
      <c r="E686" t="s">
        <v>21</v>
      </c>
      <c r="F686" s="162">
        <v>2093.4920000000002</v>
      </c>
      <c r="G686" t="s">
        <v>2646</v>
      </c>
      <c r="H686" s="163">
        <v>46023</v>
      </c>
      <c r="I686" s="163">
        <v>46387</v>
      </c>
      <c r="J686" s="163"/>
      <c r="K686" t="s">
        <v>2667</v>
      </c>
      <c r="L686" t="b">
        <v>0</v>
      </c>
    </row>
    <row r="687" spans="1:12">
      <c r="A687" t="s">
        <v>1975</v>
      </c>
      <c r="B687">
        <f t="shared" si="26"/>
        <v>86</v>
      </c>
      <c r="C687" t="s">
        <v>2858</v>
      </c>
      <c r="D687" t="s">
        <v>1830</v>
      </c>
      <c r="E687" t="s">
        <v>21</v>
      </c>
      <c r="F687" s="162">
        <v>2093.4920000000002</v>
      </c>
      <c r="G687" t="s">
        <v>2646</v>
      </c>
      <c r="H687" s="163">
        <v>46023</v>
      </c>
      <c r="I687" s="163">
        <v>46387</v>
      </c>
      <c r="J687" s="163"/>
      <c r="K687" t="s">
        <v>2667</v>
      </c>
      <c r="L687" t="b">
        <v>0</v>
      </c>
    </row>
    <row r="688" spans="1:12">
      <c r="A688" t="s">
        <v>1975</v>
      </c>
      <c r="B688">
        <f t="shared" si="26"/>
        <v>86</v>
      </c>
      <c r="C688" t="s">
        <v>2858</v>
      </c>
      <c r="D688" t="s">
        <v>1823</v>
      </c>
      <c r="E688" t="s">
        <v>21</v>
      </c>
      <c r="F688" s="162">
        <v>2093.4920000000002</v>
      </c>
      <c r="G688" t="s">
        <v>2646</v>
      </c>
      <c r="H688" s="163">
        <v>46023</v>
      </c>
      <c r="I688" s="163">
        <v>46387</v>
      </c>
      <c r="J688" s="163"/>
      <c r="K688" t="s">
        <v>2667</v>
      </c>
      <c r="L688" t="b">
        <v>0</v>
      </c>
    </row>
    <row r="689" spans="1:12">
      <c r="A689" t="s">
        <v>1975</v>
      </c>
      <c r="B689">
        <f t="shared" si="26"/>
        <v>86</v>
      </c>
      <c r="C689" t="s">
        <v>2858</v>
      </c>
      <c r="D689" t="s">
        <v>1836</v>
      </c>
      <c r="E689" t="s">
        <v>21</v>
      </c>
      <c r="F689" s="162">
        <v>2093.4920000000002</v>
      </c>
      <c r="G689" t="s">
        <v>2646</v>
      </c>
      <c r="H689" s="163">
        <v>46023</v>
      </c>
      <c r="I689" s="163">
        <v>46387</v>
      </c>
      <c r="J689" s="163"/>
      <c r="K689" t="s">
        <v>2667</v>
      </c>
      <c r="L689" t="b">
        <v>0</v>
      </c>
    </row>
    <row r="690" spans="1:12">
      <c r="A690" t="s">
        <v>1975</v>
      </c>
      <c r="B690">
        <f t="shared" si="26"/>
        <v>86</v>
      </c>
      <c r="C690" t="s">
        <v>2858</v>
      </c>
      <c r="D690" t="s">
        <v>1810</v>
      </c>
      <c r="E690" t="s">
        <v>21</v>
      </c>
      <c r="F690" s="162">
        <v>2093.4920000000002</v>
      </c>
      <c r="G690" t="s">
        <v>2646</v>
      </c>
      <c r="H690" s="163">
        <v>46023</v>
      </c>
      <c r="I690" s="163">
        <v>46387</v>
      </c>
      <c r="J690" s="163"/>
      <c r="K690" t="s">
        <v>2667</v>
      </c>
      <c r="L690" t="b">
        <v>0</v>
      </c>
    </row>
    <row r="691" spans="1:12">
      <c r="A691" t="s">
        <v>1975</v>
      </c>
      <c r="B691">
        <f t="shared" si="26"/>
        <v>86</v>
      </c>
      <c r="C691" t="s">
        <v>2858</v>
      </c>
      <c r="D691" t="s">
        <v>1821</v>
      </c>
      <c r="E691" t="s">
        <v>21</v>
      </c>
      <c r="F691" s="162">
        <v>2093.4920000000002</v>
      </c>
      <c r="G691" t="s">
        <v>2646</v>
      </c>
      <c r="H691" s="163">
        <v>46023</v>
      </c>
      <c r="I691" s="163">
        <v>46387</v>
      </c>
      <c r="J691" s="163"/>
      <c r="K691" t="s">
        <v>2667</v>
      </c>
      <c r="L691" t="b">
        <v>0</v>
      </c>
    </row>
    <row r="692" spans="1:12">
      <c r="A692" t="s">
        <v>1975</v>
      </c>
      <c r="B692">
        <f t="shared" si="26"/>
        <v>86</v>
      </c>
      <c r="C692" t="s">
        <v>2858</v>
      </c>
      <c r="D692" t="s">
        <v>1828</v>
      </c>
      <c r="E692" t="s">
        <v>21</v>
      </c>
      <c r="F692" s="162">
        <v>2093.4920000000002</v>
      </c>
      <c r="G692" t="s">
        <v>2646</v>
      </c>
      <c r="H692" s="163">
        <v>46023</v>
      </c>
      <c r="I692" s="163">
        <v>46387</v>
      </c>
      <c r="J692" s="163"/>
      <c r="K692" t="s">
        <v>2667</v>
      </c>
      <c r="L692" t="b">
        <v>0</v>
      </c>
    </row>
    <row r="693" spans="1:12">
      <c r="A693" t="s">
        <v>1975</v>
      </c>
      <c r="B693">
        <f t="shared" si="26"/>
        <v>86</v>
      </c>
      <c r="C693" t="s">
        <v>2858</v>
      </c>
      <c r="D693" t="s">
        <v>1835</v>
      </c>
      <c r="E693" t="s">
        <v>21</v>
      </c>
      <c r="F693" s="162">
        <v>2093.4920000000002</v>
      </c>
      <c r="G693" t="s">
        <v>2646</v>
      </c>
      <c r="H693" s="163">
        <v>46023</v>
      </c>
      <c r="I693" s="163">
        <v>46387</v>
      </c>
      <c r="J693" s="163"/>
      <c r="K693" t="s">
        <v>2667</v>
      </c>
      <c r="L693" t="b">
        <v>0</v>
      </c>
    </row>
    <row r="694" spans="1:12">
      <c r="A694" t="s">
        <v>1975</v>
      </c>
      <c r="B694">
        <f t="shared" si="26"/>
        <v>86</v>
      </c>
      <c r="C694" t="s">
        <v>2858</v>
      </c>
      <c r="D694" t="s">
        <v>1841</v>
      </c>
      <c r="E694" t="s">
        <v>21</v>
      </c>
      <c r="F694" s="162">
        <v>2093.4920000000002</v>
      </c>
      <c r="G694" t="s">
        <v>2646</v>
      </c>
      <c r="H694" s="163">
        <v>46023</v>
      </c>
      <c r="I694" s="163">
        <v>46387</v>
      </c>
      <c r="J694" s="163"/>
      <c r="K694" t="s">
        <v>2667</v>
      </c>
      <c r="L694" t="b">
        <v>0</v>
      </c>
    </row>
    <row r="695" spans="1:12">
      <c r="A695" t="s">
        <v>1975</v>
      </c>
      <c r="B695">
        <f t="shared" si="26"/>
        <v>86</v>
      </c>
      <c r="C695" t="s">
        <v>2858</v>
      </c>
      <c r="D695" t="s">
        <v>1823</v>
      </c>
      <c r="E695" t="s">
        <v>21</v>
      </c>
      <c r="F695" s="162">
        <v>2093.4920000000002</v>
      </c>
      <c r="G695" t="s">
        <v>2646</v>
      </c>
      <c r="H695" s="163">
        <v>46023</v>
      </c>
      <c r="I695" s="163">
        <v>46387</v>
      </c>
      <c r="J695" s="163"/>
      <c r="K695" t="s">
        <v>2667</v>
      </c>
      <c r="L695" t="b">
        <v>0</v>
      </c>
    </row>
    <row r="696" spans="1:12">
      <c r="A696" t="s">
        <v>1975</v>
      </c>
      <c r="B696">
        <f t="shared" si="26"/>
        <v>86</v>
      </c>
      <c r="C696" t="s">
        <v>2858</v>
      </c>
      <c r="D696" t="s">
        <v>1823</v>
      </c>
      <c r="E696" t="s">
        <v>21</v>
      </c>
      <c r="F696" s="162">
        <v>2093.4920000000002</v>
      </c>
      <c r="G696" t="s">
        <v>2646</v>
      </c>
      <c r="H696" s="163">
        <v>46023</v>
      </c>
      <c r="I696" s="163">
        <v>46387</v>
      </c>
      <c r="J696" s="163"/>
      <c r="K696" t="s">
        <v>2667</v>
      </c>
      <c r="L696" t="b">
        <v>0</v>
      </c>
    </row>
    <row r="697" spans="1:12">
      <c r="A697" t="s">
        <v>1975</v>
      </c>
      <c r="B697">
        <f t="shared" si="26"/>
        <v>86</v>
      </c>
      <c r="C697" t="s">
        <v>2858</v>
      </c>
      <c r="D697" t="s">
        <v>1843</v>
      </c>
      <c r="E697" t="s">
        <v>21</v>
      </c>
      <c r="F697" s="162">
        <v>2093.4920000000002</v>
      </c>
      <c r="G697" t="s">
        <v>2646</v>
      </c>
      <c r="H697" s="163">
        <v>46023</v>
      </c>
      <c r="I697" s="163">
        <v>46387</v>
      </c>
      <c r="J697" s="163"/>
      <c r="K697" t="s">
        <v>2667</v>
      </c>
      <c r="L697" t="b">
        <v>0</v>
      </c>
    </row>
    <row r="698" spans="1:12">
      <c r="A698" t="s">
        <v>1975</v>
      </c>
      <c r="B698">
        <f t="shared" si="26"/>
        <v>86</v>
      </c>
      <c r="C698" t="s">
        <v>2858</v>
      </c>
      <c r="D698" t="s">
        <v>1930</v>
      </c>
      <c r="E698" t="s">
        <v>21</v>
      </c>
      <c r="F698" s="162">
        <v>2093.4920000000002</v>
      </c>
      <c r="G698" t="s">
        <v>2646</v>
      </c>
      <c r="H698" s="163">
        <v>46023</v>
      </c>
      <c r="I698" s="163">
        <v>46387</v>
      </c>
      <c r="J698" s="163"/>
      <c r="K698" t="s">
        <v>2667</v>
      </c>
      <c r="L698" t="b">
        <v>0</v>
      </c>
    </row>
    <row r="699" spans="1:12">
      <c r="A699" t="s">
        <v>1975</v>
      </c>
      <c r="B699">
        <f t="shared" si="26"/>
        <v>86</v>
      </c>
      <c r="C699" t="s">
        <v>2858</v>
      </c>
      <c r="D699" t="s">
        <v>1808</v>
      </c>
      <c r="E699" t="s">
        <v>25</v>
      </c>
      <c r="F699" s="162">
        <v>1416.64857142857</v>
      </c>
      <c r="G699" t="s">
        <v>2646</v>
      </c>
      <c r="H699" s="163">
        <v>46023</v>
      </c>
      <c r="I699" s="163">
        <v>46387</v>
      </c>
      <c r="J699" s="163"/>
      <c r="K699" t="s">
        <v>2667</v>
      </c>
      <c r="L699" t="b">
        <v>0</v>
      </c>
    </row>
    <row r="700" spans="1:12">
      <c r="A700" t="s">
        <v>1975</v>
      </c>
      <c r="B700">
        <f t="shared" si="26"/>
        <v>86</v>
      </c>
      <c r="C700" t="s">
        <v>2858</v>
      </c>
      <c r="D700" t="s">
        <v>1820</v>
      </c>
      <c r="E700" t="s">
        <v>25</v>
      </c>
      <c r="F700" s="162">
        <v>1416.64857142857</v>
      </c>
      <c r="G700" t="s">
        <v>2646</v>
      </c>
      <c r="H700" s="163">
        <v>46023</v>
      </c>
      <c r="I700" s="163">
        <v>46387</v>
      </c>
      <c r="J700" s="163"/>
      <c r="K700" t="s">
        <v>2667</v>
      </c>
      <c r="L700" t="b">
        <v>0</v>
      </c>
    </row>
    <row r="701" spans="1:12">
      <c r="A701" t="s">
        <v>1975</v>
      </c>
      <c r="B701">
        <f t="shared" si="26"/>
        <v>86</v>
      </c>
      <c r="C701" t="s">
        <v>2858</v>
      </c>
      <c r="D701" t="s">
        <v>1819</v>
      </c>
      <c r="E701" t="s">
        <v>25</v>
      </c>
      <c r="F701" s="162">
        <v>1416.64857142857</v>
      </c>
      <c r="G701" t="s">
        <v>2646</v>
      </c>
      <c r="H701" s="163">
        <v>46023</v>
      </c>
      <c r="I701" s="163">
        <v>46387</v>
      </c>
      <c r="J701" s="163"/>
      <c r="K701" t="s">
        <v>2667</v>
      </c>
      <c r="L701" t="b">
        <v>0</v>
      </c>
    </row>
    <row r="702" spans="1:12">
      <c r="A702" t="s">
        <v>1975</v>
      </c>
      <c r="B702">
        <f t="shared" si="26"/>
        <v>86</v>
      </c>
      <c r="C702" t="s">
        <v>2858</v>
      </c>
      <c r="D702" t="s">
        <v>1826</v>
      </c>
      <c r="E702" t="s">
        <v>25</v>
      </c>
      <c r="F702" s="162">
        <v>1416.64857142857</v>
      </c>
      <c r="G702" t="s">
        <v>2646</v>
      </c>
      <c r="H702" s="163">
        <v>46023</v>
      </c>
      <c r="I702" s="163">
        <v>46387</v>
      </c>
      <c r="J702" s="163"/>
      <c r="K702" t="s">
        <v>2667</v>
      </c>
      <c r="L702" t="b">
        <v>0</v>
      </c>
    </row>
    <row r="703" spans="1:12">
      <c r="A703" t="s">
        <v>1975</v>
      </c>
      <c r="B703">
        <f t="shared" si="26"/>
        <v>86</v>
      </c>
      <c r="C703" t="s">
        <v>2858</v>
      </c>
      <c r="D703" t="s">
        <v>1833</v>
      </c>
      <c r="E703" t="s">
        <v>25</v>
      </c>
      <c r="F703" s="162">
        <v>1416.64857142857</v>
      </c>
      <c r="G703" t="s">
        <v>2646</v>
      </c>
      <c r="H703" s="163">
        <v>46023</v>
      </c>
      <c r="I703" s="163">
        <v>46387</v>
      </c>
      <c r="J703" s="163"/>
      <c r="K703" t="s">
        <v>2667</v>
      </c>
      <c r="L703" t="b">
        <v>0</v>
      </c>
    </row>
    <row r="704" spans="1:12">
      <c r="A704" t="s">
        <v>1975</v>
      </c>
      <c r="B704">
        <f t="shared" si="26"/>
        <v>86</v>
      </c>
      <c r="C704" t="s">
        <v>2858</v>
      </c>
      <c r="D704" t="s">
        <v>1916</v>
      </c>
      <c r="E704" t="s">
        <v>25</v>
      </c>
      <c r="F704" s="162">
        <v>1416.64857142857</v>
      </c>
      <c r="G704" t="s">
        <v>2646</v>
      </c>
      <c r="H704" s="163">
        <v>46023</v>
      </c>
      <c r="I704" s="163">
        <v>46387</v>
      </c>
      <c r="J704" s="163"/>
      <c r="K704" t="s">
        <v>2667</v>
      </c>
      <c r="L704" t="b">
        <v>0</v>
      </c>
    </row>
    <row r="705" spans="1:12">
      <c r="A705" t="s">
        <v>1975</v>
      </c>
      <c r="B705">
        <f t="shared" si="26"/>
        <v>86</v>
      </c>
      <c r="C705" t="s">
        <v>2858</v>
      </c>
      <c r="D705" t="s">
        <v>1838</v>
      </c>
      <c r="E705" t="s">
        <v>25</v>
      </c>
      <c r="F705" s="162">
        <v>1416.64857142857</v>
      </c>
      <c r="G705" t="s">
        <v>2646</v>
      </c>
      <c r="H705" s="163">
        <v>46023</v>
      </c>
      <c r="I705" s="163">
        <v>46387</v>
      </c>
      <c r="J705" s="163"/>
      <c r="K705" t="s">
        <v>2667</v>
      </c>
      <c r="L705" t="b">
        <v>0</v>
      </c>
    </row>
    <row r="706" spans="1:12">
      <c r="A706" t="s">
        <v>1975</v>
      </c>
      <c r="B706">
        <f t="shared" si="26"/>
        <v>86</v>
      </c>
      <c r="C706" t="s">
        <v>2858</v>
      </c>
      <c r="D706" t="s">
        <v>2626</v>
      </c>
      <c r="E706" t="s">
        <v>23</v>
      </c>
      <c r="F706" s="162">
        <v>8814.7024999999994</v>
      </c>
      <c r="G706" t="s">
        <v>2646</v>
      </c>
      <c r="H706" s="163">
        <v>46023</v>
      </c>
      <c r="I706" s="163">
        <v>46387</v>
      </c>
      <c r="J706" s="163"/>
      <c r="K706" t="s">
        <v>2667</v>
      </c>
      <c r="L706" t="b">
        <v>0</v>
      </c>
    </row>
    <row r="707" spans="1:12">
      <c r="A707" t="s">
        <v>1975</v>
      </c>
      <c r="B707">
        <f t="shared" ref="B707:B770" si="27">IF(COUNTIFS($A$2:$A$1053,A707,$E$2:$E$1053,"Industry Essentials")&gt;0, COUNTIF($A$2:$A$1053,A707), 0)</f>
        <v>86</v>
      </c>
      <c r="C707" t="s">
        <v>2858</v>
      </c>
      <c r="D707" t="s">
        <v>1811</v>
      </c>
      <c r="E707" t="s">
        <v>23</v>
      </c>
      <c r="F707" s="162">
        <v>8814.7024999999994</v>
      </c>
      <c r="G707" t="s">
        <v>2646</v>
      </c>
      <c r="H707" s="163">
        <v>46023</v>
      </c>
      <c r="I707" s="163">
        <v>46387</v>
      </c>
      <c r="J707" s="163"/>
      <c r="K707" t="s">
        <v>2667</v>
      </c>
      <c r="L707" t="b">
        <v>0</v>
      </c>
    </row>
    <row r="708" spans="1:12">
      <c r="A708" t="s">
        <v>1975</v>
      </c>
      <c r="B708">
        <f t="shared" si="27"/>
        <v>86</v>
      </c>
      <c r="C708" t="s">
        <v>2858</v>
      </c>
      <c r="D708" t="s">
        <v>1822</v>
      </c>
      <c r="E708" t="s">
        <v>23</v>
      </c>
      <c r="F708" s="162">
        <v>8814.7024999999994</v>
      </c>
      <c r="G708" t="s">
        <v>2646</v>
      </c>
      <c r="H708" s="163">
        <v>46023</v>
      </c>
      <c r="I708" s="163">
        <v>46387</v>
      </c>
      <c r="J708" s="163"/>
      <c r="K708" t="s">
        <v>2667</v>
      </c>
      <c r="L708" t="b">
        <v>0</v>
      </c>
    </row>
    <row r="709" spans="1:12">
      <c r="A709" t="s">
        <v>1975</v>
      </c>
      <c r="B709">
        <f t="shared" si="27"/>
        <v>86</v>
      </c>
      <c r="C709" t="s">
        <v>2858</v>
      </c>
      <c r="D709" t="s">
        <v>1829</v>
      </c>
      <c r="E709" t="s">
        <v>23</v>
      </c>
      <c r="F709" s="162">
        <v>8814.7024999999994</v>
      </c>
      <c r="G709" t="s">
        <v>2646</v>
      </c>
      <c r="H709" s="163">
        <v>46023</v>
      </c>
      <c r="I709" s="163">
        <v>46387</v>
      </c>
      <c r="J709" s="163"/>
      <c r="K709" t="s">
        <v>2667</v>
      </c>
      <c r="L709" t="b">
        <v>0</v>
      </c>
    </row>
    <row r="710" spans="1:12">
      <c r="A710" t="s">
        <v>1975</v>
      </c>
      <c r="B710">
        <f t="shared" si="27"/>
        <v>86</v>
      </c>
      <c r="C710" t="s">
        <v>2858</v>
      </c>
      <c r="D710" t="s">
        <v>1794</v>
      </c>
      <c r="E710" t="s">
        <v>27</v>
      </c>
      <c r="F710" s="162">
        <v>10742.92</v>
      </c>
      <c r="G710" t="s">
        <v>2646</v>
      </c>
      <c r="H710" s="163">
        <v>46023</v>
      </c>
      <c r="I710" s="163">
        <v>46387</v>
      </c>
      <c r="J710" s="163"/>
      <c r="K710" t="s">
        <v>2667</v>
      </c>
      <c r="L710" t="b">
        <v>0</v>
      </c>
    </row>
    <row r="711" spans="1:12">
      <c r="A711" t="s">
        <v>1975</v>
      </c>
      <c r="B711">
        <f t="shared" si="27"/>
        <v>86</v>
      </c>
      <c r="C711" t="s">
        <v>2858</v>
      </c>
      <c r="D711" t="s">
        <v>2625</v>
      </c>
      <c r="E711" t="s">
        <v>27</v>
      </c>
      <c r="F711" s="162">
        <v>10742.92</v>
      </c>
      <c r="G711" t="s">
        <v>2646</v>
      </c>
      <c r="H711" s="163">
        <v>46023</v>
      </c>
      <c r="I711" s="163">
        <v>46387</v>
      </c>
      <c r="J711" s="163"/>
      <c r="K711" t="s">
        <v>2667</v>
      </c>
      <c r="L711" t="b">
        <v>0</v>
      </c>
    </row>
    <row r="712" spans="1:12">
      <c r="A712" t="s">
        <v>1975</v>
      </c>
      <c r="B712">
        <f t="shared" si="27"/>
        <v>86</v>
      </c>
      <c r="C712" t="s">
        <v>2858</v>
      </c>
      <c r="D712" t="s">
        <v>2624</v>
      </c>
      <c r="E712" t="s">
        <v>27</v>
      </c>
      <c r="F712" s="162">
        <v>10742.92</v>
      </c>
      <c r="G712" t="s">
        <v>2646</v>
      </c>
      <c r="H712" s="163">
        <v>46023</v>
      </c>
      <c r="I712" s="163">
        <v>46387</v>
      </c>
      <c r="J712" s="163"/>
      <c r="K712" t="s">
        <v>2667</v>
      </c>
      <c r="L712" t="b">
        <v>0</v>
      </c>
    </row>
    <row r="713" spans="1:12">
      <c r="A713" t="s">
        <v>1975</v>
      </c>
      <c r="B713">
        <f t="shared" si="27"/>
        <v>86</v>
      </c>
      <c r="C713" t="s">
        <v>2858</v>
      </c>
      <c r="D713" t="s">
        <v>2625</v>
      </c>
      <c r="E713" t="s">
        <v>27</v>
      </c>
      <c r="F713" s="162">
        <v>10742.92</v>
      </c>
      <c r="G713" t="s">
        <v>2646</v>
      </c>
      <c r="H713" s="163">
        <v>46023</v>
      </c>
      <c r="I713" s="163">
        <v>46387</v>
      </c>
      <c r="J713" s="163"/>
      <c r="K713" t="s">
        <v>2667</v>
      </c>
      <c r="L713" t="b">
        <v>0</v>
      </c>
    </row>
    <row r="714" spans="1:12">
      <c r="A714" t="s">
        <v>1975</v>
      </c>
      <c r="B714">
        <f t="shared" si="27"/>
        <v>86</v>
      </c>
      <c r="C714" t="s">
        <v>2858</v>
      </c>
      <c r="D714" t="s">
        <v>2653</v>
      </c>
      <c r="E714" t="s">
        <v>20</v>
      </c>
      <c r="F714" s="162">
        <v>7712.86</v>
      </c>
      <c r="G714" t="s">
        <v>2646</v>
      </c>
      <c r="H714" s="163">
        <v>46023</v>
      </c>
      <c r="I714" s="163">
        <v>46387</v>
      </c>
      <c r="J714" s="163"/>
      <c r="K714" t="s">
        <v>2667</v>
      </c>
      <c r="L714" t="b">
        <v>0</v>
      </c>
    </row>
    <row r="715" spans="1:12">
      <c r="A715" t="s">
        <v>1975</v>
      </c>
      <c r="B715">
        <f t="shared" si="27"/>
        <v>86</v>
      </c>
      <c r="C715" t="s">
        <v>2858</v>
      </c>
      <c r="D715" t="s">
        <v>1814</v>
      </c>
      <c r="E715" t="s">
        <v>1695</v>
      </c>
      <c r="F715" s="162">
        <v>7933.232</v>
      </c>
      <c r="G715" t="s">
        <v>2646</v>
      </c>
      <c r="H715" s="163">
        <v>46023</v>
      </c>
      <c r="I715" s="163">
        <v>46387</v>
      </c>
      <c r="J715" s="163"/>
      <c r="K715" t="s">
        <v>2667</v>
      </c>
      <c r="L715" t="b">
        <v>0</v>
      </c>
    </row>
    <row r="716" spans="1:12">
      <c r="A716" t="s">
        <v>1975</v>
      </c>
      <c r="B716">
        <f t="shared" si="27"/>
        <v>86</v>
      </c>
      <c r="C716" t="s">
        <v>2858</v>
      </c>
      <c r="D716" t="s">
        <v>1824</v>
      </c>
      <c r="E716" t="s">
        <v>1695</v>
      </c>
      <c r="F716" s="162">
        <v>7933.232</v>
      </c>
      <c r="G716" t="s">
        <v>2646</v>
      </c>
      <c r="H716" s="163">
        <v>46023</v>
      </c>
      <c r="I716" s="163">
        <v>46387</v>
      </c>
      <c r="J716" s="163"/>
      <c r="K716" t="s">
        <v>2667</v>
      </c>
      <c r="L716" t="b">
        <v>0</v>
      </c>
    </row>
    <row r="717" spans="1:12">
      <c r="A717" t="s">
        <v>1975</v>
      </c>
      <c r="B717">
        <f t="shared" si="27"/>
        <v>86</v>
      </c>
      <c r="C717" t="s">
        <v>2858</v>
      </c>
      <c r="D717" t="s">
        <v>1842</v>
      </c>
      <c r="E717" t="s">
        <v>1695</v>
      </c>
      <c r="F717" s="162">
        <v>7933.232</v>
      </c>
      <c r="G717" t="s">
        <v>2646</v>
      </c>
      <c r="H717" s="163">
        <v>46023</v>
      </c>
      <c r="I717" s="163">
        <v>46387</v>
      </c>
      <c r="J717" s="163"/>
      <c r="K717" t="s">
        <v>2667</v>
      </c>
      <c r="L717" t="b">
        <v>0</v>
      </c>
    </row>
    <row r="718" spans="1:12">
      <c r="A718" t="s">
        <v>1975</v>
      </c>
      <c r="B718">
        <f t="shared" si="27"/>
        <v>86</v>
      </c>
      <c r="C718" t="s">
        <v>2858</v>
      </c>
      <c r="D718" t="s">
        <v>1851</v>
      </c>
      <c r="E718" t="s">
        <v>1695</v>
      </c>
      <c r="F718" s="162">
        <v>7933.232</v>
      </c>
      <c r="G718" t="s">
        <v>2646</v>
      </c>
      <c r="H718" s="163">
        <v>46023</v>
      </c>
      <c r="I718" s="163">
        <v>46387</v>
      </c>
      <c r="J718" s="163"/>
      <c r="K718" t="s">
        <v>2667</v>
      </c>
      <c r="L718" t="b">
        <v>0</v>
      </c>
    </row>
    <row r="719" spans="1:12">
      <c r="A719" t="s">
        <v>1975</v>
      </c>
      <c r="B719">
        <f t="shared" si="27"/>
        <v>86</v>
      </c>
      <c r="C719" t="s">
        <v>2858</v>
      </c>
      <c r="D719" t="s">
        <v>1853</v>
      </c>
      <c r="E719" t="s">
        <v>1695</v>
      </c>
      <c r="F719" s="162">
        <v>7933.232</v>
      </c>
      <c r="G719" t="s">
        <v>2646</v>
      </c>
      <c r="H719" s="163">
        <v>46023</v>
      </c>
      <c r="I719" s="163">
        <v>46387</v>
      </c>
      <c r="J719" s="163"/>
      <c r="K719" t="s">
        <v>2667</v>
      </c>
      <c r="L719" t="b">
        <v>0</v>
      </c>
    </row>
    <row r="720" spans="1:12">
      <c r="A720" t="s">
        <v>1975</v>
      </c>
      <c r="B720">
        <f t="shared" si="27"/>
        <v>86</v>
      </c>
      <c r="C720" t="s">
        <v>2858</v>
      </c>
      <c r="D720" t="s">
        <v>2619</v>
      </c>
      <c r="E720" t="s">
        <v>31</v>
      </c>
      <c r="F720" s="162">
        <v>10651.1</v>
      </c>
      <c r="G720" t="s">
        <v>2646</v>
      </c>
      <c r="H720" s="163">
        <v>46023</v>
      </c>
      <c r="I720" s="163">
        <v>46387</v>
      </c>
      <c r="J720" s="163"/>
      <c r="K720" t="s">
        <v>2667</v>
      </c>
      <c r="L720" t="b">
        <v>0</v>
      </c>
    </row>
    <row r="721" spans="1:12">
      <c r="A721" t="s">
        <v>1975</v>
      </c>
      <c r="B721">
        <f t="shared" si="27"/>
        <v>86</v>
      </c>
      <c r="C721" t="s">
        <v>2858</v>
      </c>
      <c r="D721" t="s">
        <v>1845</v>
      </c>
      <c r="E721" t="s">
        <v>31</v>
      </c>
      <c r="F721" s="162">
        <v>10651.1</v>
      </c>
      <c r="G721" t="s">
        <v>2646</v>
      </c>
      <c r="H721" s="163">
        <v>46023</v>
      </c>
      <c r="I721" s="163">
        <v>46387</v>
      </c>
      <c r="J721" s="163"/>
      <c r="K721" t="s">
        <v>2667</v>
      </c>
      <c r="L721" t="b">
        <v>0</v>
      </c>
    </row>
    <row r="722" spans="1:12">
      <c r="A722" t="s">
        <v>1975</v>
      </c>
      <c r="B722">
        <f t="shared" si="27"/>
        <v>86</v>
      </c>
      <c r="C722" t="s">
        <v>2858</v>
      </c>
      <c r="D722" t="s">
        <v>2624</v>
      </c>
      <c r="E722" t="s">
        <v>31</v>
      </c>
      <c r="F722" s="162">
        <v>10651.1</v>
      </c>
      <c r="G722" t="s">
        <v>2646</v>
      </c>
      <c r="H722" s="163">
        <v>46023</v>
      </c>
      <c r="I722" s="163">
        <v>46387</v>
      </c>
      <c r="J722" s="163"/>
      <c r="K722" t="s">
        <v>2667</v>
      </c>
      <c r="L722" t="b">
        <v>0</v>
      </c>
    </row>
    <row r="723" spans="1:12">
      <c r="A723" t="s">
        <v>1975</v>
      </c>
      <c r="B723">
        <f t="shared" si="27"/>
        <v>86</v>
      </c>
      <c r="C723" t="s">
        <v>2859</v>
      </c>
      <c r="D723" t="s">
        <v>1797</v>
      </c>
      <c r="E723" t="s">
        <v>29</v>
      </c>
      <c r="F723" s="162">
        <v>5469.2475000000004</v>
      </c>
      <c r="G723" t="s">
        <v>2646</v>
      </c>
      <c r="H723" s="163">
        <v>46388</v>
      </c>
      <c r="I723" s="163">
        <v>46752</v>
      </c>
      <c r="J723" s="163"/>
      <c r="K723" t="s">
        <v>2667</v>
      </c>
      <c r="L723" t="b">
        <v>0</v>
      </c>
    </row>
    <row r="724" spans="1:12">
      <c r="A724" t="s">
        <v>1975</v>
      </c>
      <c r="B724">
        <f t="shared" si="27"/>
        <v>86</v>
      </c>
      <c r="C724" t="s">
        <v>2859</v>
      </c>
      <c r="D724" t="s">
        <v>1827</v>
      </c>
      <c r="E724" t="s">
        <v>29</v>
      </c>
      <c r="F724" s="162">
        <v>5469.2475000000004</v>
      </c>
      <c r="G724" t="s">
        <v>2646</v>
      </c>
      <c r="H724" s="163">
        <v>46388</v>
      </c>
      <c r="I724" s="163">
        <v>46752</v>
      </c>
      <c r="J724" s="163"/>
      <c r="K724" t="s">
        <v>2667</v>
      </c>
      <c r="L724" t="b">
        <v>0</v>
      </c>
    </row>
    <row r="725" spans="1:12">
      <c r="A725" t="s">
        <v>1975</v>
      </c>
      <c r="B725">
        <f t="shared" si="27"/>
        <v>86</v>
      </c>
      <c r="C725" t="s">
        <v>2859</v>
      </c>
      <c r="D725" t="s">
        <v>1898</v>
      </c>
      <c r="E725" t="s">
        <v>29</v>
      </c>
      <c r="F725" s="162">
        <v>5469.2475000000004</v>
      </c>
      <c r="G725" t="s">
        <v>2646</v>
      </c>
      <c r="H725" s="163">
        <v>46388</v>
      </c>
      <c r="I725" s="163">
        <v>46752</v>
      </c>
      <c r="J725" s="163"/>
      <c r="K725" t="s">
        <v>2667</v>
      </c>
      <c r="L725" t="b">
        <v>0</v>
      </c>
    </row>
    <row r="726" spans="1:12">
      <c r="A726" t="s">
        <v>1975</v>
      </c>
      <c r="B726">
        <f t="shared" si="27"/>
        <v>86</v>
      </c>
      <c r="C726" t="s">
        <v>2859</v>
      </c>
      <c r="D726" t="s">
        <v>1840</v>
      </c>
      <c r="E726" t="s">
        <v>29</v>
      </c>
      <c r="F726" s="162">
        <v>5469.2475000000004</v>
      </c>
      <c r="G726" t="s">
        <v>2646</v>
      </c>
      <c r="H726" s="163">
        <v>46388</v>
      </c>
      <c r="I726" s="163">
        <v>46752</v>
      </c>
      <c r="J726" s="163"/>
      <c r="K726" t="s">
        <v>2667</v>
      </c>
      <c r="L726" t="b">
        <v>0</v>
      </c>
    </row>
    <row r="727" spans="1:12">
      <c r="A727" t="s">
        <v>1975</v>
      </c>
      <c r="B727">
        <f t="shared" si="27"/>
        <v>86</v>
      </c>
      <c r="C727" t="s">
        <v>2859</v>
      </c>
      <c r="D727" t="s">
        <v>1810</v>
      </c>
      <c r="E727" t="s">
        <v>21</v>
      </c>
      <c r="F727" s="162">
        <v>2187.6993333333298</v>
      </c>
      <c r="G727" t="s">
        <v>2646</v>
      </c>
      <c r="H727" s="163">
        <v>46388</v>
      </c>
      <c r="I727" s="163">
        <v>46752</v>
      </c>
      <c r="J727" s="163"/>
      <c r="K727" t="s">
        <v>2667</v>
      </c>
      <c r="L727" t="b">
        <v>0</v>
      </c>
    </row>
    <row r="728" spans="1:12">
      <c r="A728" t="s">
        <v>1975</v>
      </c>
      <c r="B728">
        <f t="shared" si="27"/>
        <v>86</v>
      </c>
      <c r="C728" t="s">
        <v>2859</v>
      </c>
      <c r="D728" t="s">
        <v>1821</v>
      </c>
      <c r="E728" t="s">
        <v>21</v>
      </c>
      <c r="F728" s="162">
        <v>2187.6993333333298</v>
      </c>
      <c r="G728" t="s">
        <v>2646</v>
      </c>
      <c r="H728" s="163">
        <v>46388</v>
      </c>
      <c r="I728" s="163">
        <v>46752</v>
      </c>
      <c r="J728" s="163"/>
      <c r="K728" t="s">
        <v>2667</v>
      </c>
      <c r="L728" t="b">
        <v>0</v>
      </c>
    </row>
    <row r="729" spans="1:12">
      <c r="A729" t="s">
        <v>1975</v>
      </c>
      <c r="B729">
        <f t="shared" si="27"/>
        <v>86</v>
      </c>
      <c r="C729" t="s">
        <v>2859</v>
      </c>
      <c r="D729" t="s">
        <v>1813</v>
      </c>
      <c r="E729" t="s">
        <v>21</v>
      </c>
      <c r="F729" s="162">
        <v>2187.6993333333298</v>
      </c>
      <c r="G729" t="s">
        <v>2646</v>
      </c>
      <c r="H729" s="163">
        <v>46388</v>
      </c>
      <c r="I729" s="163">
        <v>46752</v>
      </c>
      <c r="J729" s="163"/>
      <c r="K729" t="s">
        <v>2667</v>
      </c>
      <c r="L729" t="b">
        <v>0</v>
      </c>
    </row>
    <row r="730" spans="1:12">
      <c r="A730" t="s">
        <v>1975</v>
      </c>
      <c r="B730">
        <f t="shared" si="27"/>
        <v>86</v>
      </c>
      <c r="C730" t="s">
        <v>2859</v>
      </c>
      <c r="D730" t="s">
        <v>1830</v>
      </c>
      <c r="E730" t="s">
        <v>21</v>
      </c>
      <c r="F730" s="162">
        <v>2187.6993333333298</v>
      </c>
      <c r="G730" t="s">
        <v>2646</v>
      </c>
      <c r="H730" s="163">
        <v>46388</v>
      </c>
      <c r="I730" s="163">
        <v>46752</v>
      </c>
      <c r="J730" s="163"/>
      <c r="K730" t="s">
        <v>2667</v>
      </c>
      <c r="L730" t="b">
        <v>0</v>
      </c>
    </row>
    <row r="731" spans="1:12">
      <c r="A731" t="s">
        <v>1975</v>
      </c>
      <c r="B731">
        <f t="shared" si="27"/>
        <v>86</v>
      </c>
      <c r="C731" t="s">
        <v>2859</v>
      </c>
      <c r="D731" t="s">
        <v>1823</v>
      </c>
      <c r="E731" t="s">
        <v>21</v>
      </c>
      <c r="F731" s="162">
        <v>2187.6993333333298</v>
      </c>
      <c r="G731" t="s">
        <v>2646</v>
      </c>
      <c r="H731" s="163">
        <v>46388</v>
      </c>
      <c r="I731" s="163">
        <v>46752</v>
      </c>
      <c r="J731" s="163"/>
      <c r="K731" t="s">
        <v>2667</v>
      </c>
      <c r="L731" t="b">
        <v>0</v>
      </c>
    </row>
    <row r="732" spans="1:12">
      <c r="A732" t="s">
        <v>1975</v>
      </c>
      <c r="B732">
        <f t="shared" si="27"/>
        <v>86</v>
      </c>
      <c r="C732" t="s">
        <v>2859</v>
      </c>
      <c r="D732" t="s">
        <v>1836</v>
      </c>
      <c r="E732" t="s">
        <v>21</v>
      </c>
      <c r="F732" s="162">
        <v>2187.6993333333298</v>
      </c>
      <c r="G732" t="s">
        <v>2646</v>
      </c>
      <c r="H732" s="163">
        <v>46388</v>
      </c>
      <c r="I732" s="163">
        <v>46752</v>
      </c>
      <c r="J732" s="163"/>
      <c r="K732" t="s">
        <v>2667</v>
      </c>
      <c r="L732" t="b">
        <v>0</v>
      </c>
    </row>
    <row r="733" spans="1:12">
      <c r="A733" t="s">
        <v>1975</v>
      </c>
      <c r="B733">
        <f t="shared" si="27"/>
        <v>86</v>
      </c>
      <c r="C733" t="s">
        <v>2859</v>
      </c>
      <c r="D733" t="s">
        <v>1810</v>
      </c>
      <c r="E733" t="s">
        <v>21</v>
      </c>
      <c r="F733" s="162">
        <v>2187.6993333333298</v>
      </c>
      <c r="G733" t="s">
        <v>2646</v>
      </c>
      <c r="H733" s="163">
        <v>46388</v>
      </c>
      <c r="I733" s="163">
        <v>46752</v>
      </c>
      <c r="J733" s="163"/>
      <c r="K733" t="s">
        <v>2667</v>
      </c>
      <c r="L733" t="b">
        <v>0</v>
      </c>
    </row>
    <row r="734" spans="1:12">
      <c r="A734" t="s">
        <v>1975</v>
      </c>
      <c r="B734">
        <f t="shared" si="27"/>
        <v>86</v>
      </c>
      <c r="C734" t="s">
        <v>2859</v>
      </c>
      <c r="D734" t="s">
        <v>1821</v>
      </c>
      <c r="E734" t="s">
        <v>21</v>
      </c>
      <c r="F734" s="162">
        <v>2187.6993333333298</v>
      </c>
      <c r="G734" t="s">
        <v>2646</v>
      </c>
      <c r="H734" s="163">
        <v>46388</v>
      </c>
      <c r="I734" s="163">
        <v>46752</v>
      </c>
      <c r="J734" s="163"/>
      <c r="K734" t="s">
        <v>2667</v>
      </c>
      <c r="L734" t="b">
        <v>0</v>
      </c>
    </row>
    <row r="735" spans="1:12">
      <c r="A735" t="s">
        <v>1975</v>
      </c>
      <c r="B735">
        <f t="shared" si="27"/>
        <v>86</v>
      </c>
      <c r="C735" t="s">
        <v>2859</v>
      </c>
      <c r="D735" t="s">
        <v>1828</v>
      </c>
      <c r="E735" t="s">
        <v>21</v>
      </c>
      <c r="F735" s="162">
        <v>2187.6993333333298</v>
      </c>
      <c r="G735" t="s">
        <v>2646</v>
      </c>
      <c r="H735" s="163">
        <v>46388</v>
      </c>
      <c r="I735" s="163">
        <v>46752</v>
      </c>
      <c r="J735" s="163"/>
      <c r="K735" t="s">
        <v>2667</v>
      </c>
      <c r="L735" t="b">
        <v>0</v>
      </c>
    </row>
    <row r="736" spans="1:12">
      <c r="A736" t="s">
        <v>1975</v>
      </c>
      <c r="B736">
        <f t="shared" si="27"/>
        <v>86</v>
      </c>
      <c r="C736" t="s">
        <v>2859</v>
      </c>
      <c r="D736" t="s">
        <v>1835</v>
      </c>
      <c r="E736" t="s">
        <v>21</v>
      </c>
      <c r="F736" s="162">
        <v>2187.6993333333298</v>
      </c>
      <c r="G736" t="s">
        <v>2646</v>
      </c>
      <c r="H736" s="163">
        <v>46388</v>
      </c>
      <c r="I736" s="163">
        <v>46752</v>
      </c>
      <c r="J736" s="163"/>
      <c r="K736" t="s">
        <v>2667</v>
      </c>
      <c r="L736" t="b">
        <v>0</v>
      </c>
    </row>
    <row r="737" spans="1:12">
      <c r="A737" t="s">
        <v>1975</v>
      </c>
      <c r="B737">
        <f t="shared" si="27"/>
        <v>86</v>
      </c>
      <c r="C737" t="s">
        <v>2859</v>
      </c>
      <c r="D737" t="s">
        <v>1841</v>
      </c>
      <c r="E737" t="s">
        <v>21</v>
      </c>
      <c r="F737" s="162">
        <v>2187.6993333333298</v>
      </c>
      <c r="G737" t="s">
        <v>2646</v>
      </c>
      <c r="H737" s="163">
        <v>46388</v>
      </c>
      <c r="I737" s="163">
        <v>46752</v>
      </c>
      <c r="J737" s="163"/>
      <c r="K737" t="s">
        <v>2667</v>
      </c>
      <c r="L737" t="b">
        <v>0</v>
      </c>
    </row>
    <row r="738" spans="1:12">
      <c r="A738" t="s">
        <v>1975</v>
      </c>
      <c r="B738">
        <f t="shared" si="27"/>
        <v>86</v>
      </c>
      <c r="C738" t="s">
        <v>2859</v>
      </c>
      <c r="D738" t="s">
        <v>1823</v>
      </c>
      <c r="E738" t="s">
        <v>21</v>
      </c>
      <c r="F738" s="162">
        <v>2187.6993333333298</v>
      </c>
      <c r="G738" t="s">
        <v>2646</v>
      </c>
      <c r="H738" s="163">
        <v>46388</v>
      </c>
      <c r="I738" s="163">
        <v>46752</v>
      </c>
      <c r="J738" s="163"/>
      <c r="K738" t="s">
        <v>2667</v>
      </c>
      <c r="L738" t="b">
        <v>0</v>
      </c>
    </row>
    <row r="739" spans="1:12">
      <c r="A739" t="s">
        <v>1975</v>
      </c>
      <c r="B739">
        <f t="shared" si="27"/>
        <v>86</v>
      </c>
      <c r="C739" t="s">
        <v>2859</v>
      </c>
      <c r="D739" t="s">
        <v>1823</v>
      </c>
      <c r="E739" t="s">
        <v>21</v>
      </c>
      <c r="F739" s="162">
        <v>2187.6993333333298</v>
      </c>
      <c r="G739" t="s">
        <v>2646</v>
      </c>
      <c r="H739" s="163">
        <v>46388</v>
      </c>
      <c r="I739" s="163">
        <v>46752</v>
      </c>
      <c r="J739" s="163"/>
      <c r="K739" t="s">
        <v>2667</v>
      </c>
      <c r="L739" t="b">
        <v>0</v>
      </c>
    </row>
    <row r="740" spans="1:12">
      <c r="A740" t="s">
        <v>1975</v>
      </c>
      <c r="B740">
        <f t="shared" si="27"/>
        <v>86</v>
      </c>
      <c r="C740" t="s">
        <v>2859</v>
      </c>
      <c r="D740" t="s">
        <v>1843</v>
      </c>
      <c r="E740" t="s">
        <v>21</v>
      </c>
      <c r="F740" s="162">
        <v>2187.6993333333298</v>
      </c>
      <c r="G740" t="s">
        <v>2646</v>
      </c>
      <c r="H740" s="163">
        <v>46388</v>
      </c>
      <c r="I740" s="163">
        <v>46752</v>
      </c>
      <c r="J740" s="163"/>
      <c r="K740" t="s">
        <v>2667</v>
      </c>
      <c r="L740" t="b">
        <v>0</v>
      </c>
    </row>
    <row r="741" spans="1:12">
      <c r="A741" t="s">
        <v>1975</v>
      </c>
      <c r="B741">
        <f t="shared" si="27"/>
        <v>86</v>
      </c>
      <c r="C741" t="s">
        <v>2859</v>
      </c>
      <c r="D741" t="s">
        <v>1930</v>
      </c>
      <c r="E741" t="s">
        <v>21</v>
      </c>
      <c r="F741" s="162">
        <v>2187.6993333333298</v>
      </c>
      <c r="G741" t="s">
        <v>2646</v>
      </c>
      <c r="H741" s="163">
        <v>46388</v>
      </c>
      <c r="I741" s="163">
        <v>46752</v>
      </c>
      <c r="J741" s="163"/>
      <c r="K741" t="s">
        <v>2667</v>
      </c>
      <c r="L741" t="b">
        <v>0</v>
      </c>
    </row>
    <row r="742" spans="1:12">
      <c r="A742" t="s">
        <v>1975</v>
      </c>
      <c r="B742">
        <f t="shared" si="27"/>
        <v>86</v>
      </c>
      <c r="C742" t="s">
        <v>2859</v>
      </c>
      <c r="D742" t="s">
        <v>1808</v>
      </c>
      <c r="E742" t="s">
        <v>25</v>
      </c>
      <c r="F742" s="162">
        <v>1480.3971428571399</v>
      </c>
      <c r="G742" t="s">
        <v>2646</v>
      </c>
      <c r="H742" s="163">
        <v>46388</v>
      </c>
      <c r="I742" s="163">
        <v>46752</v>
      </c>
      <c r="J742" s="163"/>
      <c r="K742" t="s">
        <v>2667</v>
      </c>
      <c r="L742" t="b">
        <v>0</v>
      </c>
    </row>
    <row r="743" spans="1:12">
      <c r="A743" t="s">
        <v>1975</v>
      </c>
      <c r="B743">
        <f t="shared" si="27"/>
        <v>86</v>
      </c>
      <c r="C743" t="s">
        <v>2859</v>
      </c>
      <c r="D743" t="s">
        <v>1820</v>
      </c>
      <c r="E743" t="s">
        <v>25</v>
      </c>
      <c r="F743" s="162">
        <v>1480.3971428571399</v>
      </c>
      <c r="G743" t="s">
        <v>2646</v>
      </c>
      <c r="H743" s="163">
        <v>46388</v>
      </c>
      <c r="I743" s="163">
        <v>46752</v>
      </c>
      <c r="J743" s="163"/>
      <c r="K743" t="s">
        <v>2667</v>
      </c>
      <c r="L743" t="b">
        <v>0</v>
      </c>
    </row>
    <row r="744" spans="1:12">
      <c r="A744" t="s">
        <v>1975</v>
      </c>
      <c r="B744">
        <f t="shared" si="27"/>
        <v>86</v>
      </c>
      <c r="C744" t="s">
        <v>2859</v>
      </c>
      <c r="D744" t="s">
        <v>1819</v>
      </c>
      <c r="E744" t="s">
        <v>25</v>
      </c>
      <c r="F744" s="162">
        <v>1480.3971428571399</v>
      </c>
      <c r="G744" t="s">
        <v>2646</v>
      </c>
      <c r="H744" s="163">
        <v>46388</v>
      </c>
      <c r="I744" s="163">
        <v>46752</v>
      </c>
      <c r="J744" s="163"/>
      <c r="K744" t="s">
        <v>2667</v>
      </c>
      <c r="L744" t="b">
        <v>0</v>
      </c>
    </row>
    <row r="745" spans="1:12">
      <c r="A745" t="s">
        <v>1975</v>
      </c>
      <c r="B745">
        <f t="shared" si="27"/>
        <v>86</v>
      </c>
      <c r="C745" t="s">
        <v>2859</v>
      </c>
      <c r="D745" t="s">
        <v>1826</v>
      </c>
      <c r="E745" t="s">
        <v>25</v>
      </c>
      <c r="F745" s="162">
        <v>1480.3971428571399</v>
      </c>
      <c r="G745" t="s">
        <v>2646</v>
      </c>
      <c r="H745" s="163">
        <v>46388</v>
      </c>
      <c r="I745" s="163">
        <v>46752</v>
      </c>
      <c r="J745" s="163"/>
      <c r="K745" t="s">
        <v>2667</v>
      </c>
      <c r="L745" t="b">
        <v>0</v>
      </c>
    </row>
    <row r="746" spans="1:12">
      <c r="A746" t="s">
        <v>1975</v>
      </c>
      <c r="B746">
        <f t="shared" si="27"/>
        <v>86</v>
      </c>
      <c r="C746" t="s">
        <v>2859</v>
      </c>
      <c r="D746" t="s">
        <v>1833</v>
      </c>
      <c r="E746" t="s">
        <v>25</v>
      </c>
      <c r="F746" s="162">
        <v>1480.3971428571399</v>
      </c>
      <c r="G746" t="s">
        <v>2646</v>
      </c>
      <c r="H746" s="163">
        <v>46388</v>
      </c>
      <c r="I746" s="163">
        <v>46752</v>
      </c>
      <c r="J746" s="163"/>
      <c r="K746" t="s">
        <v>2667</v>
      </c>
      <c r="L746" t="b">
        <v>0</v>
      </c>
    </row>
    <row r="747" spans="1:12">
      <c r="A747" t="s">
        <v>1975</v>
      </c>
      <c r="B747">
        <f t="shared" si="27"/>
        <v>86</v>
      </c>
      <c r="C747" t="s">
        <v>2859</v>
      </c>
      <c r="D747" t="s">
        <v>1916</v>
      </c>
      <c r="E747" t="s">
        <v>25</v>
      </c>
      <c r="F747" s="162">
        <v>1480.3971428571399</v>
      </c>
      <c r="G747" t="s">
        <v>2646</v>
      </c>
      <c r="H747" s="163">
        <v>46388</v>
      </c>
      <c r="I747" s="163">
        <v>46752</v>
      </c>
      <c r="J747" s="163"/>
      <c r="K747" t="s">
        <v>2667</v>
      </c>
      <c r="L747" t="b">
        <v>0</v>
      </c>
    </row>
    <row r="748" spans="1:12">
      <c r="A748" t="s">
        <v>1975</v>
      </c>
      <c r="B748">
        <f t="shared" si="27"/>
        <v>86</v>
      </c>
      <c r="C748" t="s">
        <v>2859</v>
      </c>
      <c r="D748" t="s">
        <v>1838</v>
      </c>
      <c r="E748" t="s">
        <v>25</v>
      </c>
      <c r="F748" s="162">
        <v>1480.3971428571399</v>
      </c>
      <c r="G748" t="s">
        <v>2646</v>
      </c>
      <c r="H748" s="163">
        <v>46388</v>
      </c>
      <c r="I748" s="163">
        <v>46752</v>
      </c>
      <c r="J748" s="163"/>
      <c r="K748" t="s">
        <v>2667</v>
      </c>
      <c r="L748" t="b">
        <v>0</v>
      </c>
    </row>
    <row r="749" spans="1:12">
      <c r="A749" t="s">
        <v>1975</v>
      </c>
      <c r="B749">
        <f t="shared" si="27"/>
        <v>86</v>
      </c>
      <c r="C749" t="s">
        <v>2859</v>
      </c>
      <c r="D749" t="s">
        <v>2626</v>
      </c>
      <c r="E749" t="s">
        <v>23</v>
      </c>
      <c r="F749" s="162">
        <v>9211.3649999999998</v>
      </c>
      <c r="G749" t="s">
        <v>2646</v>
      </c>
      <c r="H749" s="163">
        <v>46388</v>
      </c>
      <c r="I749" s="163">
        <v>46752</v>
      </c>
      <c r="J749" s="163"/>
      <c r="K749" t="s">
        <v>2667</v>
      </c>
      <c r="L749" t="b">
        <v>0</v>
      </c>
    </row>
    <row r="750" spans="1:12">
      <c r="A750" t="s">
        <v>1975</v>
      </c>
      <c r="B750">
        <f t="shared" si="27"/>
        <v>86</v>
      </c>
      <c r="C750" t="s">
        <v>2859</v>
      </c>
      <c r="D750" t="s">
        <v>1811</v>
      </c>
      <c r="E750" t="s">
        <v>23</v>
      </c>
      <c r="F750" s="162">
        <v>9211.3649999999998</v>
      </c>
      <c r="G750" t="s">
        <v>2646</v>
      </c>
      <c r="H750" s="163">
        <v>46388</v>
      </c>
      <c r="I750" s="163">
        <v>46752</v>
      </c>
      <c r="J750" s="163"/>
      <c r="K750" t="s">
        <v>2667</v>
      </c>
      <c r="L750" t="b">
        <v>0</v>
      </c>
    </row>
    <row r="751" spans="1:12">
      <c r="A751" t="s">
        <v>1975</v>
      </c>
      <c r="B751">
        <f t="shared" si="27"/>
        <v>86</v>
      </c>
      <c r="C751" t="s">
        <v>2859</v>
      </c>
      <c r="D751" t="s">
        <v>1822</v>
      </c>
      <c r="E751" t="s">
        <v>23</v>
      </c>
      <c r="F751" s="162">
        <v>9211.3649999999998</v>
      </c>
      <c r="G751" t="s">
        <v>2646</v>
      </c>
      <c r="H751" s="163">
        <v>46388</v>
      </c>
      <c r="I751" s="163">
        <v>46752</v>
      </c>
      <c r="J751" s="163"/>
      <c r="K751" t="s">
        <v>2667</v>
      </c>
      <c r="L751" t="b">
        <v>0</v>
      </c>
    </row>
    <row r="752" spans="1:12">
      <c r="A752" t="s">
        <v>1975</v>
      </c>
      <c r="B752">
        <f t="shared" si="27"/>
        <v>86</v>
      </c>
      <c r="C752" t="s">
        <v>2859</v>
      </c>
      <c r="D752" t="s">
        <v>1829</v>
      </c>
      <c r="E752" t="s">
        <v>23</v>
      </c>
      <c r="F752" s="162">
        <v>9211.3649999999998</v>
      </c>
      <c r="G752" t="s">
        <v>2646</v>
      </c>
      <c r="H752" s="163">
        <v>46388</v>
      </c>
      <c r="I752" s="163">
        <v>46752</v>
      </c>
      <c r="J752" s="163"/>
      <c r="K752" t="s">
        <v>2667</v>
      </c>
      <c r="L752" t="b">
        <v>0</v>
      </c>
    </row>
    <row r="753" spans="1:12">
      <c r="A753" t="s">
        <v>1975</v>
      </c>
      <c r="B753">
        <f t="shared" si="27"/>
        <v>86</v>
      </c>
      <c r="C753" t="s">
        <v>2859</v>
      </c>
      <c r="D753" t="s">
        <v>1794</v>
      </c>
      <c r="E753" t="s">
        <v>27</v>
      </c>
      <c r="F753" s="162">
        <v>11226.35</v>
      </c>
      <c r="G753" t="s">
        <v>2646</v>
      </c>
      <c r="H753" s="163">
        <v>46388</v>
      </c>
      <c r="I753" s="163">
        <v>46752</v>
      </c>
      <c r="J753" s="163"/>
      <c r="K753" t="s">
        <v>2667</v>
      </c>
      <c r="L753" t="b">
        <v>0</v>
      </c>
    </row>
    <row r="754" spans="1:12">
      <c r="A754" t="s">
        <v>1975</v>
      </c>
      <c r="B754">
        <f t="shared" si="27"/>
        <v>86</v>
      </c>
      <c r="C754" t="s">
        <v>2859</v>
      </c>
      <c r="D754" t="s">
        <v>2625</v>
      </c>
      <c r="E754" t="s">
        <v>27</v>
      </c>
      <c r="F754" s="162">
        <v>11226.35</v>
      </c>
      <c r="G754" t="s">
        <v>2646</v>
      </c>
      <c r="H754" s="163">
        <v>46388</v>
      </c>
      <c r="I754" s="163">
        <v>46752</v>
      </c>
      <c r="J754" s="163"/>
      <c r="K754" t="s">
        <v>2667</v>
      </c>
      <c r="L754" t="b">
        <v>0</v>
      </c>
    </row>
    <row r="755" spans="1:12">
      <c r="A755" t="s">
        <v>1975</v>
      </c>
      <c r="B755">
        <f t="shared" si="27"/>
        <v>86</v>
      </c>
      <c r="C755" t="s">
        <v>2859</v>
      </c>
      <c r="D755" t="s">
        <v>2624</v>
      </c>
      <c r="E755" t="s">
        <v>27</v>
      </c>
      <c r="F755" s="162">
        <v>11226.35</v>
      </c>
      <c r="G755" t="s">
        <v>2646</v>
      </c>
      <c r="H755" s="163">
        <v>46388</v>
      </c>
      <c r="I755" s="163">
        <v>46752</v>
      </c>
      <c r="J755" s="163"/>
      <c r="K755" t="s">
        <v>2667</v>
      </c>
      <c r="L755" t="b">
        <v>0</v>
      </c>
    </row>
    <row r="756" spans="1:12">
      <c r="A756" t="s">
        <v>1975</v>
      </c>
      <c r="B756">
        <f t="shared" si="27"/>
        <v>86</v>
      </c>
      <c r="C756" t="s">
        <v>2859</v>
      </c>
      <c r="D756" t="s">
        <v>2625</v>
      </c>
      <c r="E756" t="s">
        <v>27</v>
      </c>
      <c r="F756" s="162">
        <v>11226.35</v>
      </c>
      <c r="G756" t="s">
        <v>2646</v>
      </c>
      <c r="H756" s="163">
        <v>46388</v>
      </c>
      <c r="I756" s="163">
        <v>46752</v>
      </c>
      <c r="J756" s="163"/>
      <c r="K756" t="s">
        <v>2667</v>
      </c>
      <c r="L756" t="b">
        <v>0</v>
      </c>
    </row>
    <row r="757" spans="1:12">
      <c r="A757" t="s">
        <v>1975</v>
      </c>
      <c r="B757">
        <f t="shared" si="27"/>
        <v>86</v>
      </c>
      <c r="C757" t="s">
        <v>2859</v>
      </c>
      <c r="D757" t="s">
        <v>2653</v>
      </c>
      <c r="E757" t="s">
        <v>20</v>
      </c>
      <c r="F757" s="162">
        <v>8059.94</v>
      </c>
      <c r="G757" t="s">
        <v>2646</v>
      </c>
      <c r="H757" s="163">
        <v>46388</v>
      </c>
      <c r="I757" s="163">
        <v>46752</v>
      </c>
      <c r="J757" s="163"/>
      <c r="K757" t="s">
        <v>2667</v>
      </c>
      <c r="L757" t="b">
        <v>0</v>
      </c>
    </row>
    <row r="758" spans="1:12">
      <c r="A758" t="s">
        <v>1975</v>
      </c>
      <c r="B758">
        <f t="shared" si="27"/>
        <v>86</v>
      </c>
      <c r="C758" t="s">
        <v>2859</v>
      </c>
      <c r="D758" t="s">
        <v>1814</v>
      </c>
      <c r="E758" t="s">
        <v>1695</v>
      </c>
      <c r="F758" s="162">
        <v>8290.2279999999992</v>
      </c>
      <c r="G758" t="s">
        <v>2646</v>
      </c>
      <c r="H758" s="163">
        <v>46388</v>
      </c>
      <c r="I758" s="163">
        <v>46752</v>
      </c>
      <c r="J758" s="163"/>
      <c r="K758" t="s">
        <v>2667</v>
      </c>
      <c r="L758" t="b">
        <v>0</v>
      </c>
    </row>
    <row r="759" spans="1:12">
      <c r="A759" t="s">
        <v>1975</v>
      </c>
      <c r="B759">
        <f t="shared" si="27"/>
        <v>86</v>
      </c>
      <c r="C759" t="s">
        <v>2859</v>
      </c>
      <c r="D759" t="s">
        <v>1824</v>
      </c>
      <c r="E759" t="s">
        <v>1695</v>
      </c>
      <c r="F759" s="162">
        <v>8290.2279999999992</v>
      </c>
      <c r="G759" t="s">
        <v>2646</v>
      </c>
      <c r="H759" s="163">
        <v>46388</v>
      </c>
      <c r="I759" s="163">
        <v>46752</v>
      </c>
      <c r="J759" s="163"/>
      <c r="K759" t="s">
        <v>2667</v>
      </c>
      <c r="L759" t="b">
        <v>0</v>
      </c>
    </row>
    <row r="760" spans="1:12">
      <c r="A760" t="s">
        <v>1975</v>
      </c>
      <c r="B760">
        <f t="shared" si="27"/>
        <v>86</v>
      </c>
      <c r="C760" t="s">
        <v>2859</v>
      </c>
      <c r="D760" t="s">
        <v>1842</v>
      </c>
      <c r="E760" t="s">
        <v>1695</v>
      </c>
      <c r="F760" s="162">
        <v>8290.2279999999992</v>
      </c>
      <c r="G760" t="s">
        <v>2646</v>
      </c>
      <c r="H760" s="163">
        <v>46388</v>
      </c>
      <c r="I760" s="163">
        <v>46752</v>
      </c>
      <c r="J760" s="163"/>
      <c r="K760" t="s">
        <v>2667</v>
      </c>
      <c r="L760" t="b">
        <v>0</v>
      </c>
    </row>
    <row r="761" spans="1:12">
      <c r="A761" t="s">
        <v>1975</v>
      </c>
      <c r="B761">
        <f t="shared" si="27"/>
        <v>86</v>
      </c>
      <c r="C761" t="s">
        <v>2859</v>
      </c>
      <c r="D761" t="s">
        <v>1851</v>
      </c>
      <c r="E761" t="s">
        <v>1695</v>
      </c>
      <c r="F761" s="162">
        <v>8290.2279999999992</v>
      </c>
      <c r="G761" t="s">
        <v>2646</v>
      </c>
      <c r="H761" s="163">
        <v>46388</v>
      </c>
      <c r="I761" s="163">
        <v>46752</v>
      </c>
      <c r="J761" s="163"/>
      <c r="K761" t="s">
        <v>2667</v>
      </c>
      <c r="L761" t="b">
        <v>0</v>
      </c>
    </row>
    <row r="762" spans="1:12">
      <c r="A762" t="s">
        <v>1975</v>
      </c>
      <c r="B762">
        <f t="shared" si="27"/>
        <v>86</v>
      </c>
      <c r="C762" t="s">
        <v>2859</v>
      </c>
      <c r="D762" t="s">
        <v>1853</v>
      </c>
      <c r="E762" t="s">
        <v>1695</v>
      </c>
      <c r="F762" s="162">
        <v>8290.2279999999992</v>
      </c>
      <c r="G762" t="s">
        <v>2646</v>
      </c>
      <c r="H762" s="163">
        <v>46388</v>
      </c>
      <c r="I762" s="163">
        <v>46752</v>
      </c>
      <c r="J762" s="163"/>
      <c r="K762" t="s">
        <v>2667</v>
      </c>
      <c r="L762" t="b">
        <v>0</v>
      </c>
    </row>
    <row r="763" spans="1:12">
      <c r="A763" t="s">
        <v>1975</v>
      </c>
      <c r="B763">
        <f t="shared" si="27"/>
        <v>86</v>
      </c>
      <c r="C763" t="s">
        <v>2859</v>
      </c>
      <c r="D763" t="s">
        <v>2619</v>
      </c>
      <c r="E763" t="s">
        <v>31</v>
      </c>
      <c r="F763" s="162">
        <v>11130.4</v>
      </c>
      <c r="G763" t="s">
        <v>2646</v>
      </c>
      <c r="H763" s="163">
        <v>46388</v>
      </c>
      <c r="I763" s="163">
        <v>46752</v>
      </c>
      <c r="J763" s="163"/>
      <c r="K763" t="s">
        <v>2667</v>
      </c>
      <c r="L763" t="b">
        <v>0</v>
      </c>
    </row>
    <row r="764" spans="1:12">
      <c r="A764" t="s">
        <v>1975</v>
      </c>
      <c r="B764">
        <f t="shared" si="27"/>
        <v>86</v>
      </c>
      <c r="C764" t="s">
        <v>2859</v>
      </c>
      <c r="D764" t="s">
        <v>1845</v>
      </c>
      <c r="E764" t="s">
        <v>31</v>
      </c>
      <c r="F764" s="162">
        <v>11130.4</v>
      </c>
      <c r="G764" t="s">
        <v>2646</v>
      </c>
      <c r="H764" s="163">
        <v>46388</v>
      </c>
      <c r="I764" s="163">
        <v>46752</v>
      </c>
      <c r="J764" s="163"/>
      <c r="K764" t="s">
        <v>2667</v>
      </c>
      <c r="L764" t="b">
        <v>0</v>
      </c>
    </row>
    <row r="765" spans="1:12">
      <c r="A765" t="s">
        <v>1975</v>
      </c>
      <c r="B765">
        <f t="shared" si="27"/>
        <v>86</v>
      </c>
      <c r="C765" t="s">
        <v>2859</v>
      </c>
      <c r="D765" t="s">
        <v>2624</v>
      </c>
      <c r="E765" t="s">
        <v>31</v>
      </c>
      <c r="F765" s="162">
        <v>11130.4</v>
      </c>
      <c r="G765" t="s">
        <v>2646</v>
      </c>
      <c r="H765" s="163">
        <v>46388</v>
      </c>
      <c r="I765" s="163">
        <v>46752</v>
      </c>
      <c r="J765" s="163"/>
      <c r="K765" t="s">
        <v>2667</v>
      </c>
      <c r="L765" t="b">
        <v>0</v>
      </c>
    </row>
    <row r="766" spans="1:12">
      <c r="A766" t="s">
        <v>2014</v>
      </c>
      <c r="B766">
        <f t="shared" si="27"/>
        <v>2</v>
      </c>
      <c r="C766" t="s">
        <v>2860</v>
      </c>
      <c r="D766" t="s">
        <v>1829</v>
      </c>
      <c r="E766" t="s">
        <v>23</v>
      </c>
      <c r="F766" s="162">
        <v>14000</v>
      </c>
      <c r="G766" t="s">
        <v>2646</v>
      </c>
      <c r="H766" s="163">
        <v>46128</v>
      </c>
      <c r="I766" s="163">
        <v>46492</v>
      </c>
      <c r="J766" s="163"/>
      <c r="K766" t="s">
        <v>2643</v>
      </c>
      <c r="L766" t="b">
        <v>1</v>
      </c>
    </row>
    <row r="767" spans="1:12">
      <c r="A767" t="s">
        <v>2014</v>
      </c>
      <c r="B767">
        <f t="shared" si="27"/>
        <v>2</v>
      </c>
      <c r="C767" t="s">
        <v>2860</v>
      </c>
      <c r="D767" t="s">
        <v>2653</v>
      </c>
      <c r="E767" t="s">
        <v>20</v>
      </c>
      <c r="F767" s="162">
        <v>3325</v>
      </c>
      <c r="G767" t="s">
        <v>2646</v>
      </c>
      <c r="H767" s="163">
        <v>46128</v>
      </c>
      <c r="I767" s="163">
        <v>46492</v>
      </c>
      <c r="J767" s="163"/>
      <c r="K767" t="s">
        <v>2643</v>
      </c>
      <c r="L767" t="b">
        <v>1</v>
      </c>
    </row>
    <row r="768" spans="1:12">
      <c r="A768" t="s">
        <v>1074</v>
      </c>
      <c r="B768">
        <f t="shared" si="27"/>
        <v>2</v>
      </c>
      <c r="C768" t="s">
        <v>2861</v>
      </c>
      <c r="D768" t="s">
        <v>2653</v>
      </c>
      <c r="E768" t="s">
        <v>20</v>
      </c>
      <c r="F768" s="162">
        <v>8624.7000000000007</v>
      </c>
      <c r="G768" t="s">
        <v>2646</v>
      </c>
      <c r="H768" s="163">
        <v>46026</v>
      </c>
      <c r="I768" s="163">
        <v>46477</v>
      </c>
      <c r="J768" s="163"/>
      <c r="K768" t="s">
        <v>2656</v>
      </c>
      <c r="L768" t="b">
        <v>1</v>
      </c>
    </row>
    <row r="769" spans="1:12">
      <c r="A769" t="s">
        <v>1074</v>
      </c>
      <c r="B769">
        <f t="shared" si="27"/>
        <v>2</v>
      </c>
      <c r="C769" t="s">
        <v>2862</v>
      </c>
      <c r="D769" t="s">
        <v>2653</v>
      </c>
      <c r="E769" t="s">
        <v>20</v>
      </c>
      <c r="F769" s="162">
        <v>8624.7000000000007</v>
      </c>
      <c r="G769" t="s">
        <v>2646</v>
      </c>
      <c r="H769" s="163">
        <v>46391</v>
      </c>
      <c r="I769" s="163">
        <v>46843</v>
      </c>
      <c r="J769" s="163"/>
      <c r="K769" t="s">
        <v>2656</v>
      </c>
      <c r="L769" t="b">
        <v>1</v>
      </c>
    </row>
    <row r="770" spans="1:12">
      <c r="A770" t="s">
        <v>890</v>
      </c>
      <c r="B770">
        <f t="shared" si="27"/>
        <v>1</v>
      </c>
      <c r="C770" t="s">
        <v>2863</v>
      </c>
      <c r="D770" t="s">
        <v>2653</v>
      </c>
      <c r="E770" t="s">
        <v>20</v>
      </c>
      <c r="F770" s="162">
        <v>9995</v>
      </c>
      <c r="G770" t="s">
        <v>2655</v>
      </c>
      <c r="H770" s="163">
        <v>46143</v>
      </c>
      <c r="I770" s="163">
        <v>46478</v>
      </c>
      <c r="J770" s="163"/>
      <c r="K770" t="s">
        <v>2656</v>
      </c>
      <c r="L770" t="b">
        <v>0</v>
      </c>
    </row>
    <row r="771" spans="1:12">
      <c r="A771" t="s">
        <v>1994</v>
      </c>
      <c r="B771">
        <f t="shared" ref="B771:B834" si="28">IF(COUNTIFS($A$2:$A$1053,A771,$E$2:$E$1053,"Industry Essentials")&gt;0, COUNTIF($A$2:$A$1053,A771), 0)</f>
        <v>2</v>
      </c>
      <c r="C771" t="s">
        <v>2864</v>
      </c>
      <c r="D771" t="s">
        <v>2653</v>
      </c>
      <c r="E771" t="s">
        <v>20</v>
      </c>
      <c r="F771" s="162">
        <v>4253</v>
      </c>
      <c r="G771" t="s">
        <v>2646</v>
      </c>
      <c r="H771" s="163">
        <v>46025</v>
      </c>
      <c r="I771" s="163">
        <v>46446</v>
      </c>
      <c r="J771" s="163"/>
      <c r="K771" t="s">
        <v>2656</v>
      </c>
      <c r="L771" t="b">
        <v>0</v>
      </c>
    </row>
    <row r="772" spans="1:12">
      <c r="A772" t="s">
        <v>1994</v>
      </c>
      <c r="B772">
        <f t="shared" si="28"/>
        <v>2</v>
      </c>
      <c r="C772" t="s">
        <v>2865</v>
      </c>
      <c r="D772" t="s">
        <v>2653</v>
      </c>
      <c r="E772" t="s">
        <v>20</v>
      </c>
      <c r="F772" s="162">
        <v>4465</v>
      </c>
      <c r="G772" t="s">
        <v>2646</v>
      </c>
      <c r="H772" s="163">
        <v>46390</v>
      </c>
      <c r="I772" s="163">
        <v>46812</v>
      </c>
      <c r="J772" s="163"/>
      <c r="K772" t="s">
        <v>2656</v>
      </c>
      <c r="L772" t="b">
        <v>0</v>
      </c>
    </row>
    <row r="773" spans="1:12">
      <c r="A773" t="s">
        <v>1963</v>
      </c>
      <c r="B773">
        <f t="shared" si="28"/>
        <v>31</v>
      </c>
      <c r="C773" t="s">
        <v>2866</v>
      </c>
      <c r="D773" t="s">
        <v>1821</v>
      </c>
      <c r="E773" t="s">
        <v>21</v>
      </c>
      <c r="F773" s="162">
        <v>12450</v>
      </c>
      <c r="G773" t="s">
        <v>2642</v>
      </c>
      <c r="H773" s="163">
        <v>45669</v>
      </c>
      <c r="I773" s="163">
        <v>46356</v>
      </c>
      <c r="J773" s="163"/>
      <c r="K773" t="s">
        <v>2680</v>
      </c>
      <c r="L773" t="b">
        <v>0</v>
      </c>
    </row>
    <row r="774" spans="1:12">
      <c r="A774" t="s">
        <v>1963</v>
      </c>
      <c r="B774">
        <f t="shared" si="28"/>
        <v>31</v>
      </c>
      <c r="C774" t="s">
        <v>2867</v>
      </c>
      <c r="D774" t="s">
        <v>1838</v>
      </c>
      <c r="E774" t="s">
        <v>25</v>
      </c>
      <c r="F774" s="162">
        <v>6610</v>
      </c>
      <c r="G774" t="s">
        <v>2646</v>
      </c>
      <c r="H774" s="163">
        <v>46026</v>
      </c>
      <c r="I774" s="163">
        <v>46477</v>
      </c>
      <c r="J774" s="163"/>
      <c r="K774" t="s">
        <v>2680</v>
      </c>
      <c r="L774" t="b">
        <v>0</v>
      </c>
    </row>
    <row r="775" spans="1:12">
      <c r="A775" t="s">
        <v>1963</v>
      </c>
      <c r="B775">
        <f t="shared" si="28"/>
        <v>31</v>
      </c>
      <c r="C775" t="s">
        <v>2867</v>
      </c>
      <c r="D775" t="s">
        <v>1811</v>
      </c>
      <c r="E775" t="s">
        <v>23</v>
      </c>
      <c r="F775" s="162">
        <v>6795</v>
      </c>
      <c r="G775" t="s">
        <v>2646</v>
      </c>
      <c r="H775" s="163">
        <v>46026</v>
      </c>
      <c r="I775" s="163">
        <v>46477</v>
      </c>
      <c r="J775" s="163"/>
      <c r="K775" t="s">
        <v>2680</v>
      </c>
      <c r="L775" t="b">
        <v>0</v>
      </c>
    </row>
    <row r="776" spans="1:12">
      <c r="A776" t="s">
        <v>1963</v>
      </c>
      <c r="B776">
        <f t="shared" si="28"/>
        <v>31</v>
      </c>
      <c r="C776" t="s">
        <v>2867</v>
      </c>
      <c r="D776" t="s">
        <v>1822</v>
      </c>
      <c r="E776" t="s">
        <v>23</v>
      </c>
      <c r="F776" s="162">
        <v>6795</v>
      </c>
      <c r="G776" t="s">
        <v>2646</v>
      </c>
      <c r="H776" s="163">
        <v>46026</v>
      </c>
      <c r="I776" s="163">
        <v>46477</v>
      </c>
      <c r="J776" s="163"/>
      <c r="K776" t="s">
        <v>2680</v>
      </c>
      <c r="L776" t="b">
        <v>0</v>
      </c>
    </row>
    <row r="777" spans="1:12">
      <c r="A777" t="s">
        <v>1963</v>
      </c>
      <c r="B777">
        <f t="shared" si="28"/>
        <v>31</v>
      </c>
      <c r="C777" t="s">
        <v>2867</v>
      </c>
      <c r="D777" t="s">
        <v>1916</v>
      </c>
      <c r="E777" t="s">
        <v>25</v>
      </c>
      <c r="F777" s="162">
        <v>6934</v>
      </c>
      <c r="G777" t="s">
        <v>2646</v>
      </c>
      <c r="H777" s="163">
        <v>46026</v>
      </c>
      <c r="I777" s="163">
        <v>46477</v>
      </c>
      <c r="J777" s="163"/>
      <c r="K777" t="s">
        <v>2680</v>
      </c>
      <c r="L777" t="b">
        <v>0</v>
      </c>
    </row>
    <row r="778" spans="1:12">
      <c r="A778" t="s">
        <v>1963</v>
      </c>
      <c r="B778">
        <f t="shared" si="28"/>
        <v>31</v>
      </c>
      <c r="C778" t="s">
        <v>2867</v>
      </c>
      <c r="D778" t="s">
        <v>1820</v>
      </c>
      <c r="E778" t="s">
        <v>25</v>
      </c>
      <c r="F778" s="162">
        <v>10493</v>
      </c>
      <c r="G778" t="s">
        <v>2646</v>
      </c>
      <c r="H778" s="163">
        <v>46026</v>
      </c>
      <c r="I778" s="163">
        <v>46477</v>
      </c>
      <c r="J778" s="163"/>
      <c r="K778" t="s">
        <v>2680</v>
      </c>
      <c r="L778" t="b">
        <v>0</v>
      </c>
    </row>
    <row r="779" spans="1:12">
      <c r="A779" t="s">
        <v>1963</v>
      </c>
      <c r="B779">
        <f t="shared" si="28"/>
        <v>31</v>
      </c>
      <c r="C779" t="s">
        <v>2867</v>
      </c>
      <c r="D779" t="s">
        <v>1810</v>
      </c>
      <c r="E779" t="s">
        <v>21</v>
      </c>
      <c r="F779" s="162">
        <v>11626</v>
      </c>
      <c r="G779" t="s">
        <v>2646</v>
      </c>
      <c r="H779" s="163">
        <v>46026</v>
      </c>
      <c r="I779" s="163">
        <v>46477</v>
      </c>
      <c r="J779" s="163"/>
      <c r="K779" t="s">
        <v>2680</v>
      </c>
      <c r="L779" t="b">
        <v>0</v>
      </c>
    </row>
    <row r="780" spans="1:12">
      <c r="A780" t="s">
        <v>1963</v>
      </c>
      <c r="B780">
        <f t="shared" si="28"/>
        <v>31</v>
      </c>
      <c r="C780" t="s">
        <v>2867</v>
      </c>
      <c r="D780" t="s">
        <v>1843</v>
      </c>
      <c r="E780" t="s">
        <v>21</v>
      </c>
      <c r="F780" s="162">
        <v>10632</v>
      </c>
      <c r="G780" t="s">
        <v>2646</v>
      </c>
      <c r="H780" s="163">
        <v>46026</v>
      </c>
      <c r="I780" s="163">
        <v>46477</v>
      </c>
      <c r="J780" s="163"/>
      <c r="K780" t="s">
        <v>2680</v>
      </c>
      <c r="L780" t="b">
        <v>0</v>
      </c>
    </row>
    <row r="781" spans="1:12">
      <c r="A781" t="s">
        <v>1963</v>
      </c>
      <c r="B781">
        <f t="shared" si="28"/>
        <v>31</v>
      </c>
      <c r="C781" t="s">
        <v>2867</v>
      </c>
      <c r="D781" t="s">
        <v>2653</v>
      </c>
      <c r="E781" t="s">
        <v>20</v>
      </c>
      <c r="F781" s="162">
        <v>17612</v>
      </c>
      <c r="G781" t="s">
        <v>2646</v>
      </c>
      <c r="H781" s="163">
        <v>46026</v>
      </c>
      <c r="I781" s="163">
        <v>46477</v>
      </c>
      <c r="J781" s="163"/>
      <c r="K781" t="s">
        <v>2680</v>
      </c>
      <c r="L781" t="b">
        <v>0</v>
      </c>
    </row>
    <row r="782" spans="1:12">
      <c r="A782" t="s">
        <v>1963</v>
      </c>
      <c r="B782">
        <f t="shared" si="28"/>
        <v>31</v>
      </c>
      <c r="C782" t="s">
        <v>2867</v>
      </c>
      <c r="D782" t="s">
        <v>1833</v>
      </c>
      <c r="E782" t="s">
        <v>25</v>
      </c>
      <c r="F782" s="162">
        <v>8829</v>
      </c>
      <c r="G782" t="s">
        <v>2646</v>
      </c>
      <c r="H782" s="163">
        <v>46026</v>
      </c>
      <c r="I782" s="163">
        <v>46477</v>
      </c>
      <c r="J782" s="163"/>
      <c r="K782" t="s">
        <v>2680</v>
      </c>
      <c r="L782" t="b">
        <v>0</v>
      </c>
    </row>
    <row r="783" spans="1:12">
      <c r="A783" t="s">
        <v>1963</v>
      </c>
      <c r="B783">
        <f t="shared" si="28"/>
        <v>31</v>
      </c>
      <c r="C783" t="s">
        <v>2867</v>
      </c>
      <c r="D783" t="s">
        <v>1826</v>
      </c>
      <c r="E783" t="s">
        <v>25</v>
      </c>
      <c r="F783" s="162">
        <v>8274</v>
      </c>
      <c r="G783" t="s">
        <v>2646</v>
      </c>
      <c r="H783" s="163">
        <v>46026</v>
      </c>
      <c r="I783" s="163">
        <v>46477</v>
      </c>
      <c r="J783" s="163"/>
      <c r="K783" t="s">
        <v>2680</v>
      </c>
      <c r="L783" t="b">
        <v>0</v>
      </c>
    </row>
    <row r="784" spans="1:12">
      <c r="A784" t="s">
        <v>1963</v>
      </c>
      <c r="B784">
        <f t="shared" si="28"/>
        <v>31</v>
      </c>
      <c r="C784" t="s">
        <v>2867</v>
      </c>
      <c r="D784" t="s">
        <v>2626</v>
      </c>
      <c r="E784" t="s">
        <v>23</v>
      </c>
      <c r="F784" s="162">
        <v>5000</v>
      </c>
      <c r="G784" t="s">
        <v>2646</v>
      </c>
      <c r="H784" s="163">
        <v>46026</v>
      </c>
      <c r="I784" s="163">
        <v>46477</v>
      </c>
      <c r="J784" s="163"/>
      <c r="K784" t="s">
        <v>2680</v>
      </c>
      <c r="L784" t="b">
        <v>0</v>
      </c>
    </row>
    <row r="785" spans="1:12">
      <c r="A785" t="s">
        <v>1963</v>
      </c>
      <c r="B785">
        <f t="shared" si="28"/>
        <v>31</v>
      </c>
      <c r="C785" t="s">
        <v>2867</v>
      </c>
      <c r="D785" t="s">
        <v>1829</v>
      </c>
      <c r="E785" t="s">
        <v>23</v>
      </c>
      <c r="F785" s="162">
        <v>15000</v>
      </c>
      <c r="G785" t="s">
        <v>2646</v>
      </c>
      <c r="H785" s="163">
        <v>46026</v>
      </c>
      <c r="I785" s="163">
        <v>46477</v>
      </c>
      <c r="J785" s="163"/>
      <c r="K785" t="s">
        <v>2680</v>
      </c>
      <c r="L785" t="b">
        <v>0</v>
      </c>
    </row>
    <row r="786" spans="1:12">
      <c r="A786" t="s">
        <v>1963</v>
      </c>
      <c r="B786">
        <f t="shared" si="28"/>
        <v>31</v>
      </c>
      <c r="C786" t="s">
        <v>2867</v>
      </c>
      <c r="D786" t="s">
        <v>1808</v>
      </c>
      <c r="E786" t="s">
        <v>25</v>
      </c>
      <c r="F786" s="162">
        <v>7200</v>
      </c>
      <c r="G786" t="s">
        <v>2646</v>
      </c>
      <c r="H786" s="163">
        <v>46026</v>
      </c>
      <c r="I786" s="163">
        <v>46477</v>
      </c>
      <c r="J786" s="163"/>
      <c r="K786" t="s">
        <v>2680</v>
      </c>
      <c r="L786" t="b">
        <v>0</v>
      </c>
    </row>
    <row r="787" spans="1:12">
      <c r="A787" t="s">
        <v>1963</v>
      </c>
      <c r="B787">
        <f t="shared" si="28"/>
        <v>31</v>
      </c>
      <c r="C787" t="s">
        <v>2867</v>
      </c>
      <c r="D787" t="s">
        <v>1845</v>
      </c>
      <c r="E787" t="s">
        <v>31</v>
      </c>
      <c r="F787" s="162">
        <v>11200</v>
      </c>
      <c r="G787" t="s">
        <v>2646</v>
      </c>
      <c r="H787" s="163">
        <v>46026</v>
      </c>
      <c r="I787" s="163">
        <v>46477</v>
      </c>
      <c r="J787" s="163"/>
      <c r="K787" t="s">
        <v>2680</v>
      </c>
      <c r="L787" t="b">
        <v>0</v>
      </c>
    </row>
    <row r="788" spans="1:12">
      <c r="A788" t="s">
        <v>1963</v>
      </c>
      <c r="B788">
        <f t="shared" si="28"/>
        <v>31</v>
      </c>
      <c r="C788" t="s">
        <v>2867</v>
      </c>
      <c r="D788" t="s">
        <v>1821</v>
      </c>
      <c r="E788" t="s">
        <v>21</v>
      </c>
      <c r="F788" s="162">
        <v>4150</v>
      </c>
      <c r="G788" t="s">
        <v>2646</v>
      </c>
      <c r="H788" s="163">
        <v>46026</v>
      </c>
      <c r="I788" s="163">
        <v>46477</v>
      </c>
      <c r="J788" s="163"/>
      <c r="K788" t="s">
        <v>2680</v>
      </c>
      <c r="L788" t="b">
        <v>0</v>
      </c>
    </row>
    <row r="789" spans="1:12">
      <c r="A789" t="s">
        <v>1963</v>
      </c>
      <c r="B789">
        <f t="shared" si="28"/>
        <v>31</v>
      </c>
      <c r="C789" t="s">
        <v>2868</v>
      </c>
      <c r="D789" t="s">
        <v>1838</v>
      </c>
      <c r="E789" t="s">
        <v>25</v>
      </c>
      <c r="F789" s="162">
        <v>7606</v>
      </c>
      <c r="G789" t="s">
        <v>2646</v>
      </c>
      <c r="H789" s="163">
        <v>46391</v>
      </c>
      <c r="I789" s="163">
        <v>46843</v>
      </c>
      <c r="J789" s="163"/>
      <c r="K789" t="s">
        <v>2680</v>
      </c>
      <c r="L789" t="b">
        <v>0</v>
      </c>
    </row>
    <row r="790" spans="1:12">
      <c r="A790" t="s">
        <v>1963</v>
      </c>
      <c r="B790">
        <f t="shared" si="28"/>
        <v>31</v>
      </c>
      <c r="C790" t="s">
        <v>2868</v>
      </c>
      <c r="D790" t="s">
        <v>1811</v>
      </c>
      <c r="E790" t="s">
        <v>23</v>
      </c>
      <c r="F790" s="162">
        <v>7804</v>
      </c>
      <c r="G790" t="s">
        <v>2646</v>
      </c>
      <c r="H790" s="163">
        <v>46391</v>
      </c>
      <c r="I790" s="163">
        <v>46843</v>
      </c>
      <c r="J790" s="163"/>
      <c r="K790" t="s">
        <v>2680</v>
      </c>
      <c r="L790" t="b">
        <v>0</v>
      </c>
    </row>
    <row r="791" spans="1:12">
      <c r="A791" t="s">
        <v>1963</v>
      </c>
      <c r="B791">
        <f t="shared" si="28"/>
        <v>31</v>
      </c>
      <c r="C791" t="s">
        <v>2868</v>
      </c>
      <c r="D791" t="s">
        <v>1822</v>
      </c>
      <c r="E791" t="s">
        <v>23</v>
      </c>
      <c r="F791" s="162">
        <v>7804</v>
      </c>
      <c r="G791" t="s">
        <v>2646</v>
      </c>
      <c r="H791" s="163">
        <v>46391</v>
      </c>
      <c r="I791" s="163">
        <v>46843</v>
      </c>
      <c r="J791" s="163"/>
      <c r="K791" t="s">
        <v>2680</v>
      </c>
      <c r="L791" t="b">
        <v>0</v>
      </c>
    </row>
    <row r="792" spans="1:12">
      <c r="A792" t="s">
        <v>1963</v>
      </c>
      <c r="B792">
        <f t="shared" si="28"/>
        <v>31</v>
      </c>
      <c r="C792" t="s">
        <v>2868</v>
      </c>
      <c r="D792" t="s">
        <v>1916</v>
      </c>
      <c r="E792" t="s">
        <v>25</v>
      </c>
      <c r="F792" s="162">
        <v>7914</v>
      </c>
      <c r="G792" t="s">
        <v>2646</v>
      </c>
      <c r="H792" s="163">
        <v>46391</v>
      </c>
      <c r="I792" s="163">
        <v>46843</v>
      </c>
      <c r="J792" s="163"/>
      <c r="K792" t="s">
        <v>2680</v>
      </c>
      <c r="L792" t="b">
        <v>0</v>
      </c>
    </row>
    <row r="793" spans="1:12">
      <c r="A793" t="s">
        <v>1963</v>
      </c>
      <c r="B793">
        <f t="shared" si="28"/>
        <v>31</v>
      </c>
      <c r="C793" t="s">
        <v>2868</v>
      </c>
      <c r="D793" t="s">
        <v>1820</v>
      </c>
      <c r="E793" t="s">
        <v>25</v>
      </c>
      <c r="F793" s="162">
        <v>11280</v>
      </c>
      <c r="G793" t="s">
        <v>2646</v>
      </c>
      <c r="H793" s="163">
        <v>46391</v>
      </c>
      <c r="I793" s="163">
        <v>46843</v>
      </c>
      <c r="J793" s="163"/>
      <c r="K793" t="s">
        <v>2680</v>
      </c>
      <c r="L793" t="b">
        <v>0</v>
      </c>
    </row>
    <row r="794" spans="1:12">
      <c r="A794" t="s">
        <v>1963</v>
      </c>
      <c r="B794">
        <f t="shared" si="28"/>
        <v>31</v>
      </c>
      <c r="C794" t="s">
        <v>2868</v>
      </c>
      <c r="D794" t="s">
        <v>1810</v>
      </c>
      <c r="E794" t="s">
        <v>21</v>
      </c>
      <c r="F794" s="162">
        <v>12997</v>
      </c>
      <c r="G794" t="s">
        <v>2646</v>
      </c>
      <c r="H794" s="163">
        <v>46391</v>
      </c>
      <c r="I794" s="163">
        <v>46843</v>
      </c>
      <c r="J794" s="163"/>
      <c r="K794" t="s">
        <v>2680</v>
      </c>
      <c r="L794" t="b">
        <v>0</v>
      </c>
    </row>
    <row r="795" spans="1:12">
      <c r="A795" t="s">
        <v>1963</v>
      </c>
      <c r="B795">
        <f t="shared" si="28"/>
        <v>31</v>
      </c>
      <c r="C795" t="s">
        <v>2868</v>
      </c>
      <c r="D795" t="s">
        <v>1843</v>
      </c>
      <c r="E795" t="s">
        <v>21</v>
      </c>
      <c r="F795" s="162">
        <v>11429</v>
      </c>
      <c r="G795" t="s">
        <v>2646</v>
      </c>
      <c r="H795" s="163">
        <v>46391</v>
      </c>
      <c r="I795" s="163">
        <v>46843</v>
      </c>
      <c r="J795" s="163"/>
      <c r="K795" t="s">
        <v>2680</v>
      </c>
      <c r="L795" t="b">
        <v>0</v>
      </c>
    </row>
    <row r="796" spans="1:12">
      <c r="A796" t="s">
        <v>1963</v>
      </c>
      <c r="B796">
        <f t="shared" si="28"/>
        <v>31</v>
      </c>
      <c r="C796" t="s">
        <v>2868</v>
      </c>
      <c r="D796" t="s">
        <v>2653</v>
      </c>
      <c r="E796" t="s">
        <v>20</v>
      </c>
      <c r="F796" s="162">
        <v>18933</v>
      </c>
      <c r="G796" t="s">
        <v>2646</v>
      </c>
      <c r="H796" s="163">
        <v>46391</v>
      </c>
      <c r="I796" s="163">
        <v>46843</v>
      </c>
      <c r="J796" s="163"/>
      <c r="K796" t="s">
        <v>2680</v>
      </c>
      <c r="L796" t="b">
        <v>0</v>
      </c>
    </row>
    <row r="797" spans="1:12">
      <c r="A797" t="s">
        <v>1963</v>
      </c>
      <c r="B797">
        <f t="shared" si="28"/>
        <v>31</v>
      </c>
      <c r="C797" t="s">
        <v>2868</v>
      </c>
      <c r="D797" t="s">
        <v>1833</v>
      </c>
      <c r="E797" t="s">
        <v>25</v>
      </c>
      <c r="F797" s="162">
        <v>9991</v>
      </c>
      <c r="G797" t="s">
        <v>2646</v>
      </c>
      <c r="H797" s="163">
        <v>46391</v>
      </c>
      <c r="I797" s="163">
        <v>46843</v>
      </c>
      <c r="J797" s="163"/>
      <c r="K797" t="s">
        <v>2680</v>
      </c>
      <c r="L797" t="b">
        <v>0</v>
      </c>
    </row>
    <row r="798" spans="1:12">
      <c r="A798" t="s">
        <v>1963</v>
      </c>
      <c r="B798">
        <f t="shared" si="28"/>
        <v>31</v>
      </c>
      <c r="C798" t="s">
        <v>2868</v>
      </c>
      <c r="D798" t="s">
        <v>1826</v>
      </c>
      <c r="E798" t="s">
        <v>25</v>
      </c>
      <c r="F798" s="162">
        <v>8894</v>
      </c>
      <c r="G798" t="s">
        <v>2646</v>
      </c>
      <c r="H798" s="163">
        <v>46391</v>
      </c>
      <c r="I798" s="163">
        <v>46843</v>
      </c>
      <c r="J798" s="163"/>
      <c r="K798" t="s">
        <v>2680</v>
      </c>
      <c r="L798" t="b">
        <v>0</v>
      </c>
    </row>
    <row r="799" spans="1:12">
      <c r="A799" t="s">
        <v>1963</v>
      </c>
      <c r="B799">
        <f t="shared" si="28"/>
        <v>31</v>
      </c>
      <c r="C799" t="s">
        <v>2868</v>
      </c>
      <c r="D799" t="s">
        <v>2626</v>
      </c>
      <c r="E799" t="s">
        <v>23</v>
      </c>
      <c r="F799" s="162">
        <v>5375</v>
      </c>
      <c r="G799" t="s">
        <v>2646</v>
      </c>
      <c r="H799" s="163">
        <v>46391</v>
      </c>
      <c r="I799" s="163">
        <v>46843</v>
      </c>
      <c r="J799" s="163"/>
      <c r="K799" t="s">
        <v>2680</v>
      </c>
      <c r="L799" t="b">
        <v>0</v>
      </c>
    </row>
    <row r="800" spans="1:12">
      <c r="A800" t="s">
        <v>1963</v>
      </c>
      <c r="B800">
        <f t="shared" si="28"/>
        <v>31</v>
      </c>
      <c r="C800" t="s">
        <v>2868</v>
      </c>
      <c r="D800" t="s">
        <v>1829</v>
      </c>
      <c r="E800" t="s">
        <v>23</v>
      </c>
      <c r="F800" s="162">
        <v>16125</v>
      </c>
      <c r="G800" t="s">
        <v>2646</v>
      </c>
      <c r="H800" s="163">
        <v>46391</v>
      </c>
      <c r="I800" s="163">
        <v>46843</v>
      </c>
      <c r="J800" s="163"/>
      <c r="K800" t="s">
        <v>2680</v>
      </c>
      <c r="L800" t="b">
        <v>0</v>
      </c>
    </row>
    <row r="801" spans="1:12">
      <c r="A801" t="s">
        <v>1963</v>
      </c>
      <c r="B801">
        <f t="shared" si="28"/>
        <v>31</v>
      </c>
      <c r="C801" t="s">
        <v>2868</v>
      </c>
      <c r="D801" t="s">
        <v>1808</v>
      </c>
      <c r="E801" t="s">
        <v>25</v>
      </c>
      <c r="F801" s="162">
        <v>7740</v>
      </c>
      <c r="G801" t="s">
        <v>2646</v>
      </c>
      <c r="H801" s="163">
        <v>46391</v>
      </c>
      <c r="I801" s="163">
        <v>46843</v>
      </c>
      <c r="J801" s="163"/>
      <c r="K801" t="s">
        <v>2680</v>
      </c>
      <c r="L801" t="b">
        <v>0</v>
      </c>
    </row>
    <row r="802" spans="1:12">
      <c r="A802" t="s">
        <v>1963</v>
      </c>
      <c r="B802">
        <f t="shared" si="28"/>
        <v>31</v>
      </c>
      <c r="C802" t="s">
        <v>2868</v>
      </c>
      <c r="D802" t="s">
        <v>1845</v>
      </c>
      <c r="E802" t="s">
        <v>31</v>
      </c>
      <c r="F802" s="162">
        <v>12540</v>
      </c>
      <c r="G802" t="s">
        <v>2646</v>
      </c>
      <c r="H802" s="163">
        <v>46391</v>
      </c>
      <c r="I802" s="163">
        <v>46843</v>
      </c>
      <c r="J802" s="163"/>
      <c r="K802" t="s">
        <v>2680</v>
      </c>
      <c r="L802" t="b">
        <v>0</v>
      </c>
    </row>
    <row r="803" spans="1:12">
      <c r="A803" t="s">
        <v>1963</v>
      </c>
      <c r="B803">
        <f t="shared" si="28"/>
        <v>31</v>
      </c>
      <c r="C803" t="s">
        <v>2868</v>
      </c>
      <c r="D803" t="s">
        <v>1821</v>
      </c>
      <c r="E803" t="s">
        <v>21</v>
      </c>
      <c r="F803" s="162">
        <v>14388</v>
      </c>
      <c r="G803" t="s">
        <v>2646</v>
      </c>
      <c r="H803" s="163">
        <v>46391</v>
      </c>
      <c r="I803" s="163">
        <v>46843</v>
      </c>
      <c r="J803" s="163"/>
      <c r="K803" t="s">
        <v>2680</v>
      </c>
      <c r="L803" t="b">
        <v>0</v>
      </c>
    </row>
    <row r="804" spans="1:12">
      <c r="A804" t="s">
        <v>1944</v>
      </c>
      <c r="B804">
        <f t="shared" si="28"/>
        <v>9</v>
      </c>
      <c r="C804" t="s">
        <v>2869</v>
      </c>
      <c r="D804" t="s">
        <v>1813</v>
      </c>
      <c r="E804" t="s">
        <v>21</v>
      </c>
      <c r="F804" s="162">
        <v>6968.1850000000004</v>
      </c>
      <c r="G804" t="s">
        <v>2646</v>
      </c>
      <c r="H804" s="163">
        <v>45665</v>
      </c>
      <c r="I804" s="163">
        <v>46234</v>
      </c>
      <c r="J804" s="163"/>
      <c r="K804" t="s">
        <v>2680</v>
      </c>
      <c r="L804" t="b">
        <v>0</v>
      </c>
    </row>
    <row r="805" spans="1:12">
      <c r="A805" t="s">
        <v>1944</v>
      </c>
      <c r="B805">
        <f t="shared" si="28"/>
        <v>9</v>
      </c>
      <c r="C805" t="s">
        <v>2869</v>
      </c>
      <c r="D805" t="s">
        <v>1823</v>
      </c>
      <c r="E805" t="s">
        <v>21</v>
      </c>
      <c r="F805" s="162">
        <v>6968.1850000000004</v>
      </c>
      <c r="G805" t="s">
        <v>2646</v>
      </c>
      <c r="H805" s="163">
        <v>45665</v>
      </c>
      <c r="I805" s="163">
        <v>46234</v>
      </c>
      <c r="J805" s="163"/>
      <c r="K805" t="s">
        <v>2680</v>
      </c>
      <c r="L805" t="b">
        <v>0</v>
      </c>
    </row>
    <row r="806" spans="1:12">
      <c r="A806" t="s">
        <v>1944</v>
      </c>
      <c r="B806">
        <f t="shared" si="28"/>
        <v>9</v>
      </c>
      <c r="C806" t="s">
        <v>2869</v>
      </c>
      <c r="D806" t="s">
        <v>1830</v>
      </c>
      <c r="E806" t="s">
        <v>21</v>
      </c>
      <c r="F806" s="162">
        <v>6968.1850000000004</v>
      </c>
      <c r="G806" t="s">
        <v>2646</v>
      </c>
      <c r="H806" s="163">
        <v>45665</v>
      </c>
      <c r="I806" s="163">
        <v>46234</v>
      </c>
      <c r="J806" s="163"/>
      <c r="K806" t="s">
        <v>2680</v>
      </c>
      <c r="L806" t="b">
        <v>0</v>
      </c>
    </row>
    <row r="807" spans="1:12">
      <c r="A807" t="s">
        <v>1944</v>
      </c>
      <c r="B807">
        <f t="shared" si="28"/>
        <v>9</v>
      </c>
      <c r="C807" t="s">
        <v>2869</v>
      </c>
      <c r="D807" t="s">
        <v>1836</v>
      </c>
      <c r="E807" t="s">
        <v>21</v>
      </c>
      <c r="F807" s="162">
        <v>6968.1850000000004</v>
      </c>
      <c r="G807" t="s">
        <v>2646</v>
      </c>
      <c r="H807" s="163">
        <v>45665</v>
      </c>
      <c r="I807" s="163">
        <v>46234</v>
      </c>
      <c r="J807" s="163"/>
      <c r="K807" t="s">
        <v>2680</v>
      </c>
      <c r="L807" t="b">
        <v>0</v>
      </c>
    </row>
    <row r="808" spans="1:12">
      <c r="A808" t="s">
        <v>1944</v>
      </c>
      <c r="B808">
        <f t="shared" si="28"/>
        <v>9</v>
      </c>
      <c r="C808" t="s">
        <v>2869</v>
      </c>
      <c r="D808" t="s">
        <v>1821</v>
      </c>
      <c r="E808" t="s">
        <v>21</v>
      </c>
      <c r="F808" s="162">
        <v>12639.41</v>
      </c>
      <c r="G808" t="s">
        <v>2646</v>
      </c>
      <c r="H808" s="163">
        <v>45665</v>
      </c>
      <c r="I808" s="163">
        <v>46234</v>
      </c>
      <c r="J808" s="163"/>
      <c r="K808" t="s">
        <v>2680</v>
      </c>
      <c r="L808" t="b">
        <v>0</v>
      </c>
    </row>
    <row r="809" spans="1:12">
      <c r="A809" t="s">
        <v>1944</v>
      </c>
      <c r="B809">
        <f t="shared" si="28"/>
        <v>9</v>
      </c>
      <c r="C809" t="s">
        <v>2869</v>
      </c>
      <c r="D809" t="s">
        <v>2653</v>
      </c>
      <c r="E809" t="s">
        <v>20</v>
      </c>
      <c r="F809" s="162">
        <v>9149.43</v>
      </c>
      <c r="G809" t="s">
        <v>2646</v>
      </c>
      <c r="H809" s="163">
        <v>45665</v>
      </c>
      <c r="I809" s="163">
        <v>46234</v>
      </c>
      <c r="J809" s="163"/>
      <c r="K809" t="s">
        <v>2680</v>
      </c>
      <c r="L809" t="b">
        <v>0</v>
      </c>
    </row>
    <row r="810" spans="1:12">
      <c r="A810" t="s">
        <v>1944</v>
      </c>
      <c r="B810">
        <f t="shared" si="28"/>
        <v>9</v>
      </c>
      <c r="C810" t="s">
        <v>2869</v>
      </c>
      <c r="D810" t="s">
        <v>1810</v>
      </c>
      <c r="E810" t="s">
        <v>21</v>
      </c>
      <c r="F810" s="162">
        <v>12639.41</v>
      </c>
      <c r="G810" t="s">
        <v>2646</v>
      </c>
      <c r="H810" s="163">
        <v>45665</v>
      </c>
      <c r="I810" s="163">
        <v>46234</v>
      </c>
      <c r="J810" s="163"/>
      <c r="K810" t="s">
        <v>2680</v>
      </c>
      <c r="L810" t="b">
        <v>0</v>
      </c>
    </row>
    <row r="811" spans="1:12">
      <c r="A811" t="s">
        <v>1944</v>
      </c>
      <c r="B811">
        <f t="shared" si="28"/>
        <v>9</v>
      </c>
      <c r="C811" t="s">
        <v>2869</v>
      </c>
      <c r="D811" t="s">
        <v>1843</v>
      </c>
      <c r="E811" t="s">
        <v>21</v>
      </c>
      <c r="F811" s="162">
        <v>11649.01</v>
      </c>
      <c r="G811" t="s">
        <v>2646</v>
      </c>
      <c r="H811" s="163">
        <v>45665</v>
      </c>
      <c r="I811" s="163">
        <v>46234</v>
      </c>
      <c r="J811" s="163"/>
      <c r="K811" t="s">
        <v>2680</v>
      </c>
      <c r="L811" t="b">
        <v>0</v>
      </c>
    </row>
    <row r="812" spans="1:12">
      <c r="A812" t="s">
        <v>1944</v>
      </c>
      <c r="B812">
        <f t="shared" si="28"/>
        <v>9</v>
      </c>
      <c r="C812" t="s">
        <v>2870</v>
      </c>
      <c r="D812" t="s">
        <v>1829</v>
      </c>
      <c r="E812" t="s">
        <v>23</v>
      </c>
      <c r="F812" s="162">
        <v>16500</v>
      </c>
      <c r="G812" t="s">
        <v>2646</v>
      </c>
      <c r="H812" s="163">
        <v>46026</v>
      </c>
      <c r="I812" s="163">
        <v>46477</v>
      </c>
      <c r="J812" s="163"/>
      <c r="K812" t="s">
        <v>2680</v>
      </c>
      <c r="L812" t="b">
        <v>0</v>
      </c>
    </row>
    <row r="813" spans="1:12">
      <c r="A813" t="s">
        <v>2016</v>
      </c>
      <c r="B813">
        <f t="shared" si="28"/>
        <v>0</v>
      </c>
      <c r="C813" t="s">
        <v>2871</v>
      </c>
      <c r="D813" t="s">
        <v>1817</v>
      </c>
      <c r="E813" t="s">
        <v>35</v>
      </c>
      <c r="F813" s="162">
        <v>21450</v>
      </c>
      <c r="G813" t="s">
        <v>2646</v>
      </c>
      <c r="H813" s="163">
        <v>46134</v>
      </c>
      <c r="I813" s="163">
        <v>46498</v>
      </c>
      <c r="J813" s="163"/>
      <c r="K813" t="s">
        <v>2643</v>
      </c>
      <c r="L813" t="b">
        <v>0</v>
      </c>
    </row>
    <row r="814" spans="1:12">
      <c r="A814" t="s">
        <v>2016</v>
      </c>
      <c r="B814">
        <f t="shared" si="28"/>
        <v>0</v>
      </c>
      <c r="C814" t="s">
        <v>2871</v>
      </c>
      <c r="D814" t="s">
        <v>2625</v>
      </c>
      <c r="E814" t="s">
        <v>27</v>
      </c>
      <c r="F814" s="162">
        <v>19500</v>
      </c>
      <c r="G814" t="s">
        <v>2646</v>
      </c>
      <c r="H814" s="163">
        <v>46134</v>
      </c>
      <c r="I814" s="163">
        <v>46498</v>
      </c>
      <c r="J814" s="163"/>
      <c r="K814" t="s">
        <v>2643</v>
      </c>
      <c r="L814" t="b">
        <v>0</v>
      </c>
    </row>
    <row r="815" spans="1:12">
      <c r="A815" t="s">
        <v>113</v>
      </c>
      <c r="B815">
        <f t="shared" si="28"/>
        <v>5</v>
      </c>
      <c r="C815" t="s">
        <v>2872</v>
      </c>
      <c r="D815" t="s">
        <v>1822</v>
      </c>
      <c r="E815" t="s">
        <v>23</v>
      </c>
      <c r="F815" s="162">
        <v>6511</v>
      </c>
      <c r="G815" t="s">
        <v>2646</v>
      </c>
      <c r="H815" s="163">
        <v>46026</v>
      </c>
      <c r="I815" s="163">
        <v>46477</v>
      </c>
      <c r="J815" s="163"/>
      <c r="K815" t="s">
        <v>2680</v>
      </c>
      <c r="L815" t="b">
        <v>0</v>
      </c>
    </row>
    <row r="816" spans="1:12">
      <c r="A816" t="s">
        <v>113</v>
      </c>
      <c r="B816">
        <f t="shared" si="28"/>
        <v>5</v>
      </c>
      <c r="C816" t="s">
        <v>2872</v>
      </c>
      <c r="D816" t="s">
        <v>1811</v>
      </c>
      <c r="E816" t="s">
        <v>23</v>
      </c>
      <c r="F816" s="162">
        <v>6472</v>
      </c>
      <c r="G816" t="s">
        <v>2646</v>
      </c>
      <c r="H816" s="163">
        <v>46026</v>
      </c>
      <c r="I816" s="163">
        <v>46477</v>
      </c>
      <c r="J816" s="163"/>
      <c r="K816" t="s">
        <v>2680</v>
      </c>
      <c r="L816" t="b">
        <v>0</v>
      </c>
    </row>
    <row r="817" spans="1:12">
      <c r="A817" t="s">
        <v>113</v>
      </c>
      <c r="B817">
        <f t="shared" si="28"/>
        <v>5</v>
      </c>
      <c r="C817" t="s">
        <v>2872</v>
      </c>
      <c r="D817" t="s">
        <v>1829</v>
      </c>
      <c r="E817" t="s">
        <v>23</v>
      </c>
      <c r="F817" s="162">
        <v>16000</v>
      </c>
      <c r="G817" t="s">
        <v>2646</v>
      </c>
      <c r="H817" s="163">
        <v>46026</v>
      </c>
      <c r="I817" s="163">
        <v>46477</v>
      </c>
      <c r="J817" s="163"/>
      <c r="K817" t="s">
        <v>2680</v>
      </c>
      <c r="L817" t="b">
        <v>0</v>
      </c>
    </row>
    <row r="818" spans="1:12">
      <c r="A818" t="s">
        <v>113</v>
      </c>
      <c r="B818">
        <f t="shared" si="28"/>
        <v>5</v>
      </c>
      <c r="C818" t="s">
        <v>2872</v>
      </c>
      <c r="D818" t="s">
        <v>1814</v>
      </c>
      <c r="E818" t="s">
        <v>1695</v>
      </c>
      <c r="F818" s="162">
        <v>6519</v>
      </c>
      <c r="G818" t="s">
        <v>2646</v>
      </c>
      <c r="H818" s="163">
        <v>46026</v>
      </c>
      <c r="I818" s="163">
        <v>46477</v>
      </c>
      <c r="J818" s="163"/>
      <c r="K818" t="s">
        <v>2680</v>
      </c>
      <c r="L818" t="b">
        <v>0</v>
      </c>
    </row>
    <row r="819" spans="1:12">
      <c r="A819" t="s">
        <v>113</v>
      </c>
      <c r="B819">
        <f t="shared" si="28"/>
        <v>5</v>
      </c>
      <c r="C819" t="s">
        <v>2872</v>
      </c>
      <c r="D819" t="s">
        <v>2653</v>
      </c>
      <c r="E819" t="s">
        <v>20</v>
      </c>
      <c r="F819" s="162">
        <v>8170</v>
      </c>
      <c r="G819" t="s">
        <v>2646</v>
      </c>
      <c r="H819" s="163">
        <v>46026</v>
      </c>
      <c r="I819" s="163">
        <v>46477</v>
      </c>
      <c r="J819" s="163"/>
      <c r="K819" t="s">
        <v>2680</v>
      </c>
      <c r="L819" t="b">
        <v>0</v>
      </c>
    </row>
    <row r="820" spans="1:12">
      <c r="A820" t="s">
        <v>178</v>
      </c>
      <c r="B820">
        <f t="shared" si="28"/>
        <v>0</v>
      </c>
      <c r="C820" t="s">
        <v>2873</v>
      </c>
      <c r="D820" t="s">
        <v>1820</v>
      </c>
      <c r="E820" t="s">
        <v>25</v>
      </c>
      <c r="F820" s="162">
        <v>11350</v>
      </c>
      <c r="G820" t="s">
        <v>2646</v>
      </c>
      <c r="H820" s="163">
        <v>45667</v>
      </c>
      <c r="I820" s="163">
        <v>46295</v>
      </c>
      <c r="J820" s="163"/>
      <c r="K820" t="s">
        <v>2643</v>
      </c>
      <c r="L820" t="b">
        <v>0</v>
      </c>
    </row>
    <row r="821" spans="1:12">
      <c r="A821" t="s">
        <v>178</v>
      </c>
      <c r="B821">
        <f t="shared" si="28"/>
        <v>0</v>
      </c>
      <c r="C821" t="s">
        <v>2874</v>
      </c>
      <c r="D821" t="s">
        <v>2624</v>
      </c>
      <c r="E821" t="s">
        <v>31</v>
      </c>
      <c r="F821" s="162">
        <v>10500</v>
      </c>
      <c r="G821" t="s">
        <v>2646</v>
      </c>
      <c r="H821" s="163">
        <v>45669</v>
      </c>
      <c r="I821" s="163">
        <v>46356</v>
      </c>
      <c r="J821" s="163"/>
      <c r="K821" t="s">
        <v>2643</v>
      </c>
      <c r="L821" t="b">
        <v>0</v>
      </c>
    </row>
    <row r="822" spans="1:12">
      <c r="A822" t="s">
        <v>178</v>
      </c>
      <c r="B822">
        <f t="shared" si="28"/>
        <v>0</v>
      </c>
      <c r="C822" t="s">
        <v>2875</v>
      </c>
      <c r="D822" t="s">
        <v>2624</v>
      </c>
      <c r="E822" t="s">
        <v>31</v>
      </c>
      <c r="F822" s="162">
        <v>15975</v>
      </c>
      <c r="G822" t="s">
        <v>2646</v>
      </c>
      <c r="H822" s="163">
        <v>46034</v>
      </c>
      <c r="I822" s="163">
        <v>46721</v>
      </c>
      <c r="J822" s="163"/>
      <c r="K822" t="s">
        <v>2643</v>
      </c>
      <c r="L822" t="b">
        <v>0</v>
      </c>
    </row>
    <row r="823" spans="1:12">
      <c r="A823" t="s">
        <v>179</v>
      </c>
      <c r="B823">
        <f t="shared" si="28"/>
        <v>0</v>
      </c>
      <c r="C823" t="s">
        <v>2876</v>
      </c>
      <c r="D823" t="s">
        <v>1829</v>
      </c>
      <c r="E823" t="s">
        <v>23</v>
      </c>
      <c r="F823" s="162">
        <v>12631</v>
      </c>
      <c r="G823" t="s">
        <v>2646</v>
      </c>
      <c r="H823" s="163">
        <v>46074</v>
      </c>
      <c r="I823" s="163">
        <v>46438</v>
      </c>
      <c r="J823" s="163"/>
      <c r="K823" t="s">
        <v>2680</v>
      </c>
      <c r="L823" t="b">
        <v>0</v>
      </c>
    </row>
    <row r="824" spans="1:12">
      <c r="A824" t="s">
        <v>1076</v>
      </c>
      <c r="B824">
        <f t="shared" si="28"/>
        <v>1</v>
      </c>
      <c r="C824" t="s">
        <v>2877</v>
      </c>
      <c r="D824" t="s">
        <v>2653</v>
      </c>
      <c r="E824" t="s">
        <v>20</v>
      </c>
      <c r="F824" s="162">
        <v>9525</v>
      </c>
      <c r="G824" t="s">
        <v>2646</v>
      </c>
      <c r="H824" s="163">
        <v>45667</v>
      </c>
      <c r="I824" s="163">
        <v>46295</v>
      </c>
      <c r="J824" s="163"/>
      <c r="K824" t="s">
        <v>2656</v>
      </c>
      <c r="L824" t="b">
        <v>0</v>
      </c>
    </row>
    <row r="825" spans="1:12">
      <c r="A825" t="s">
        <v>1932</v>
      </c>
      <c r="B825">
        <f t="shared" si="28"/>
        <v>16</v>
      </c>
      <c r="C825" t="s">
        <v>2878</v>
      </c>
      <c r="D825" t="s">
        <v>1829</v>
      </c>
      <c r="E825" t="s">
        <v>23</v>
      </c>
      <c r="F825" s="162">
        <v>21880.09</v>
      </c>
      <c r="G825" t="s">
        <v>2646</v>
      </c>
      <c r="H825" s="163">
        <v>45663</v>
      </c>
      <c r="I825" s="163">
        <v>46112</v>
      </c>
      <c r="J825" s="163"/>
      <c r="K825" t="s">
        <v>2667</v>
      </c>
      <c r="L825" t="b">
        <v>0</v>
      </c>
    </row>
    <row r="826" spans="1:12">
      <c r="A826" t="s">
        <v>1932</v>
      </c>
      <c r="B826">
        <f t="shared" si="28"/>
        <v>16</v>
      </c>
      <c r="C826" t="s">
        <v>2879</v>
      </c>
      <c r="D826" t="s">
        <v>2653</v>
      </c>
      <c r="E826" t="s">
        <v>20</v>
      </c>
      <c r="F826" s="162">
        <v>17447.48</v>
      </c>
      <c r="G826" t="s">
        <v>2646</v>
      </c>
      <c r="H826" s="163">
        <v>46026</v>
      </c>
      <c r="I826" s="163">
        <v>46477</v>
      </c>
      <c r="J826" s="163"/>
      <c r="K826" t="s">
        <v>2667</v>
      </c>
      <c r="L826" t="b">
        <v>0</v>
      </c>
    </row>
    <row r="827" spans="1:12">
      <c r="A827" t="s">
        <v>1932</v>
      </c>
      <c r="B827">
        <f t="shared" si="28"/>
        <v>16</v>
      </c>
      <c r="C827" t="s">
        <v>2879</v>
      </c>
      <c r="D827" t="s">
        <v>1810</v>
      </c>
      <c r="E827" t="s">
        <v>21</v>
      </c>
      <c r="F827" s="162">
        <v>10634.653333333301</v>
      </c>
      <c r="G827" t="s">
        <v>2646</v>
      </c>
      <c r="H827" s="163">
        <v>46026</v>
      </c>
      <c r="I827" s="163">
        <v>46477</v>
      </c>
      <c r="J827" s="163"/>
      <c r="K827" t="s">
        <v>2667</v>
      </c>
      <c r="L827" t="b">
        <v>0</v>
      </c>
    </row>
    <row r="828" spans="1:12">
      <c r="A828" t="s">
        <v>1932</v>
      </c>
      <c r="B828">
        <f t="shared" si="28"/>
        <v>16</v>
      </c>
      <c r="C828" t="s">
        <v>2879</v>
      </c>
      <c r="D828" t="s">
        <v>1821</v>
      </c>
      <c r="E828" t="s">
        <v>21</v>
      </c>
      <c r="F828" s="162">
        <v>10634.653333333301</v>
      </c>
      <c r="G828" t="s">
        <v>2646</v>
      </c>
      <c r="H828" s="163">
        <v>46026</v>
      </c>
      <c r="I828" s="163">
        <v>46477</v>
      </c>
      <c r="J828" s="163"/>
      <c r="K828" t="s">
        <v>2667</v>
      </c>
      <c r="L828" t="b">
        <v>0</v>
      </c>
    </row>
    <row r="829" spans="1:12">
      <c r="A829" t="s">
        <v>1932</v>
      </c>
      <c r="B829">
        <f t="shared" si="28"/>
        <v>16</v>
      </c>
      <c r="C829" t="s">
        <v>2879</v>
      </c>
      <c r="D829" t="s">
        <v>1828</v>
      </c>
      <c r="E829" t="s">
        <v>21</v>
      </c>
      <c r="F829" s="162">
        <v>10634.653333333301</v>
      </c>
      <c r="G829" t="s">
        <v>2646</v>
      </c>
      <c r="H829" s="163">
        <v>46026</v>
      </c>
      <c r="I829" s="163">
        <v>46477</v>
      </c>
      <c r="J829" s="163"/>
      <c r="K829" t="s">
        <v>2667</v>
      </c>
      <c r="L829" t="b">
        <v>0</v>
      </c>
    </row>
    <row r="830" spans="1:12">
      <c r="A830" t="s">
        <v>1932</v>
      </c>
      <c r="B830">
        <f t="shared" si="28"/>
        <v>16</v>
      </c>
      <c r="C830" t="s">
        <v>2879</v>
      </c>
      <c r="D830" t="s">
        <v>1835</v>
      </c>
      <c r="E830" t="s">
        <v>21</v>
      </c>
      <c r="F830" s="162">
        <v>10634.653333333301</v>
      </c>
      <c r="G830" t="s">
        <v>2646</v>
      </c>
      <c r="H830" s="163">
        <v>46026</v>
      </c>
      <c r="I830" s="163">
        <v>46477</v>
      </c>
      <c r="J830" s="163"/>
      <c r="K830" t="s">
        <v>2667</v>
      </c>
      <c r="L830" t="b">
        <v>0</v>
      </c>
    </row>
    <row r="831" spans="1:12">
      <c r="A831" t="s">
        <v>1932</v>
      </c>
      <c r="B831">
        <f t="shared" si="28"/>
        <v>16</v>
      </c>
      <c r="C831" t="s">
        <v>2879</v>
      </c>
      <c r="D831" t="s">
        <v>1841</v>
      </c>
      <c r="E831" t="s">
        <v>21</v>
      </c>
      <c r="F831" s="162">
        <v>10634.653333333301</v>
      </c>
      <c r="G831" t="s">
        <v>2646</v>
      </c>
      <c r="H831" s="163">
        <v>46026</v>
      </c>
      <c r="I831" s="163">
        <v>46477</v>
      </c>
      <c r="J831" s="163"/>
      <c r="K831" t="s">
        <v>2667</v>
      </c>
      <c r="L831" t="b">
        <v>0</v>
      </c>
    </row>
    <row r="832" spans="1:12">
      <c r="A832" t="s">
        <v>1932</v>
      </c>
      <c r="B832">
        <f t="shared" si="28"/>
        <v>16</v>
      </c>
      <c r="C832" t="s">
        <v>2879</v>
      </c>
      <c r="D832" t="s">
        <v>1843</v>
      </c>
      <c r="E832" t="s">
        <v>21</v>
      </c>
      <c r="F832" s="162">
        <v>10634.653333333301</v>
      </c>
      <c r="G832" t="s">
        <v>2646</v>
      </c>
      <c r="H832" s="163">
        <v>46026</v>
      </c>
      <c r="I832" s="163">
        <v>46477</v>
      </c>
      <c r="J832" s="163"/>
      <c r="K832" t="s">
        <v>2667</v>
      </c>
      <c r="L832" t="b">
        <v>0</v>
      </c>
    </row>
    <row r="833" spans="1:12">
      <c r="A833" t="s">
        <v>1932</v>
      </c>
      <c r="B833">
        <f t="shared" si="28"/>
        <v>16</v>
      </c>
      <c r="C833" t="s">
        <v>2879</v>
      </c>
      <c r="D833" t="s">
        <v>1817</v>
      </c>
      <c r="E833" t="s">
        <v>35</v>
      </c>
      <c r="F833" s="162">
        <v>15951.98</v>
      </c>
      <c r="G833" t="s">
        <v>2646</v>
      </c>
      <c r="H833" s="163">
        <v>46026</v>
      </c>
      <c r="I833" s="163">
        <v>46477</v>
      </c>
      <c r="J833" s="163"/>
      <c r="K833" t="s">
        <v>2667</v>
      </c>
      <c r="L833" t="b">
        <v>0</v>
      </c>
    </row>
    <row r="834" spans="1:12">
      <c r="A834" t="s">
        <v>1932</v>
      </c>
      <c r="B834">
        <f t="shared" si="28"/>
        <v>16</v>
      </c>
      <c r="C834" t="s">
        <v>2879</v>
      </c>
      <c r="D834" t="s">
        <v>1808</v>
      </c>
      <c r="E834" t="s">
        <v>25</v>
      </c>
      <c r="F834" s="162">
        <v>5981.9957142857102</v>
      </c>
      <c r="G834" t="s">
        <v>2646</v>
      </c>
      <c r="H834" s="163">
        <v>46026</v>
      </c>
      <c r="I834" s="163">
        <v>46477</v>
      </c>
      <c r="J834" s="163"/>
      <c r="K834" t="s">
        <v>2667</v>
      </c>
      <c r="L834" t="b">
        <v>0</v>
      </c>
    </row>
    <row r="835" spans="1:12">
      <c r="A835" t="s">
        <v>1932</v>
      </c>
      <c r="B835">
        <f t="shared" ref="B835:B898" si="29">IF(COUNTIFS($A$2:$A$1053,A835,$E$2:$E$1053,"Industry Essentials")&gt;0, COUNTIF($A$2:$A$1053,A835), 0)</f>
        <v>16</v>
      </c>
      <c r="C835" t="s">
        <v>2879</v>
      </c>
      <c r="D835" t="s">
        <v>1820</v>
      </c>
      <c r="E835" t="s">
        <v>25</v>
      </c>
      <c r="F835" s="162">
        <v>5981.9957142857102</v>
      </c>
      <c r="G835" t="s">
        <v>2646</v>
      </c>
      <c r="H835" s="163">
        <v>46026</v>
      </c>
      <c r="I835" s="163">
        <v>46477</v>
      </c>
      <c r="J835" s="163"/>
      <c r="K835" t="s">
        <v>2667</v>
      </c>
      <c r="L835" t="b">
        <v>0</v>
      </c>
    </row>
    <row r="836" spans="1:12">
      <c r="A836" t="s">
        <v>1932</v>
      </c>
      <c r="B836">
        <f t="shared" si="29"/>
        <v>16</v>
      </c>
      <c r="C836" t="s">
        <v>2879</v>
      </c>
      <c r="D836" t="s">
        <v>1819</v>
      </c>
      <c r="E836" t="s">
        <v>25</v>
      </c>
      <c r="F836" s="162">
        <v>5981.9957142857102</v>
      </c>
      <c r="G836" t="s">
        <v>2646</v>
      </c>
      <c r="H836" s="163">
        <v>46026</v>
      </c>
      <c r="I836" s="163">
        <v>46477</v>
      </c>
      <c r="J836" s="163"/>
      <c r="K836" t="s">
        <v>2667</v>
      </c>
      <c r="L836" t="b">
        <v>0</v>
      </c>
    </row>
    <row r="837" spans="1:12">
      <c r="A837" t="s">
        <v>1932</v>
      </c>
      <c r="B837">
        <f t="shared" si="29"/>
        <v>16</v>
      </c>
      <c r="C837" t="s">
        <v>2879</v>
      </c>
      <c r="D837" t="s">
        <v>1826</v>
      </c>
      <c r="E837" t="s">
        <v>25</v>
      </c>
      <c r="F837" s="162">
        <v>5981.9957142857102</v>
      </c>
      <c r="G837" t="s">
        <v>2646</v>
      </c>
      <c r="H837" s="163">
        <v>46026</v>
      </c>
      <c r="I837" s="163">
        <v>46477</v>
      </c>
      <c r="J837" s="163"/>
      <c r="K837" t="s">
        <v>2667</v>
      </c>
      <c r="L837" t="b">
        <v>0</v>
      </c>
    </row>
    <row r="838" spans="1:12">
      <c r="A838" t="s">
        <v>1932</v>
      </c>
      <c r="B838">
        <f t="shared" si="29"/>
        <v>16</v>
      </c>
      <c r="C838" t="s">
        <v>2879</v>
      </c>
      <c r="D838" t="s">
        <v>1916</v>
      </c>
      <c r="E838" t="s">
        <v>25</v>
      </c>
      <c r="F838" s="162">
        <v>5981.9957142857102</v>
      </c>
      <c r="G838" t="s">
        <v>2646</v>
      </c>
      <c r="H838" s="163">
        <v>46026</v>
      </c>
      <c r="I838" s="163">
        <v>46477</v>
      </c>
      <c r="J838" s="163"/>
      <c r="K838" t="s">
        <v>2667</v>
      </c>
      <c r="L838" t="b">
        <v>0</v>
      </c>
    </row>
    <row r="839" spans="1:12">
      <c r="A839" t="s">
        <v>1932</v>
      </c>
      <c r="B839">
        <f t="shared" si="29"/>
        <v>16</v>
      </c>
      <c r="C839" t="s">
        <v>2879</v>
      </c>
      <c r="D839" t="s">
        <v>1833</v>
      </c>
      <c r="E839" t="s">
        <v>25</v>
      </c>
      <c r="F839" s="162">
        <v>5981.9957142857102</v>
      </c>
      <c r="G839" t="s">
        <v>2646</v>
      </c>
      <c r="H839" s="163">
        <v>46026</v>
      </c>
      <c r="I839" s="163">
        <v>46477</v>
      </c>
      <c r="J839" s="163"/>
      <c r="K839" t="s">
        <v>2667</v>
      </c>
      <c r="L839" t="b">
        <v>0</v>
      </c>
    </row>
    <row r="840" spans="1:12">
      <c r="A840" t="s">
        <v>1932</v>
      </c>
      <c r="B840">
        <f t="shared" si="29"/>
        <v>16</v>
      </c>
      <c r="C840" t="s">
        <v>2879</v>
      </c>
      <c r="D840" t="s">
        <v>1838</v>
      </c>
      <c r="E840" t="s">
        <v>25</v>
      </c>
      <c r="F840" s="162">
        <v>5981.9957142857102</v>
      </c>
      <c r="G840" t="s">
        <v>2646</v>
      </c>
      <c r="H840" s="163">
        <v>46026</v>
      </c>
      <c r="I840" s="163">
        <v>46477</v>
      </c>
      <c r="J840" s="163"/>
      <c r="K840" t="s">
        <v>2667</v>
      </c>
      <c r="L840" t="b">
        <v>0</v>
      </c>
    </row>
    <row r="841" spans="1:12">
      <c r="A841" t="s">
        <v>1981</v>
      </c>
      <c r="B841">
        <f t="shared" si="29"/>
        <v>0</v>
      </c>
      <c r="C841" t="s">
        <v>2880</v>
      </c>
      <c r="D841" t="s">
        <v>2625</v>
      </c>
      <c r="E841" t="s">
        <v>27</v>
      </c>
      <c r="F841" s="162">
        <v>20000</v>
      </c>
      <c r="G841" t="s">
        <v>1705</v>
      </c>
      <c r="H841" s="163">
        <v>46035</v>
      </c>
      <c r="I841" s="163">
        <v>46722</v>
      </c>
      <c r="J841" s="163"/>
      <c r="K841" t="s">
        <v>2667</v>
      </c>
      <c r="L841" t="b">
        <v>0</v>
      </c>
    </row>
    <row r="842" spans="1:12">
      <c r="A842" t="s">
        <v>448</v>
      </c>
      <c r="B842">
        <f t="shared" si="29"/>
        <v>2</v>
      </c>
      <c r="C842" t="s">
        <v>2881</v>
      </c>
      <c r="D842" t="s">
        <v>2653</v>
      </c>
      <c r="E842" t="s">
        <v>20</v>
      </c>
      <c r="F842" s="162">
        <v>3750</v>
      </c>
      <c r="G842" t="s">
        <v>2646</v>
      </c>
      <c r="H842" s="163">
        <v>46025</v>
      </c>
      <c r="I842" s="163">
        <v>46446</v>
      </c>
      <c r="J842" s="163"/>
      <c r="K842" t="s">
        <v>2671</v>
      </c>
      <c r="L842" t="b">
        <v>0</v>
      </c>
    </row>
    <row r="843" spans="1:12">
      <c r="A843" t="s">
        <v>448</v>
      </c>
      <c r="B843">
        <f t="shared" si="29"/>
        <v>2</v>
      </c>
      <c r="C843" t="s">
        <v>2881</v>
      </c>
      <c r="D843" t="s">
        <v>2624</v>
      </c>
      <c r="E843" t="s">
        <v>31</v>
      </c>
      <c r="F843" s="162">
        <v>16000</v>
      </c>
      <c r="G843" t="s">
        <v>2646</v>
      </c>
      <c r="H843" s="163">
        <v>46025</v>
      </c>
      <c r="I843" s="163">
        <v>46446</v>
      </c>
      <c r="J843" s="163"/>
      <c r="K843" t="s">
        <v>2671</v>
      </c>
      <c r="L843" t="b">
        <v>0</v>
      </c>
    </row>
    <row r="844" spans="1:12">
      <c r="A844" t="s">
        <v>115</v>
      </c>
      <c r="B844">
        <f t="shared" si="29"/>
        <v>13</v>
      </c>
      <c r="C844" t="s">
        <v>2882</v>
      </c>
      <c r="D844" t="s">
        <v>1810</v>
      </c>
      <c r="E844" t="s">
        <v>21</v>
      </c>
      <c r="F844" s="162">
        <v>7749.92</v>
      </c>
      <c r="G844" t="s">
        <v>2646</v>
      </c>
      <c r="H844" s="163">
        <v>45664</v>
      </c>
      <c r="I844" s="163">
        <v>46203</v>
      </c>
      <c r="J844" s="163"/>
      <c r="K844" t="s">
        <v>2667</v>
      </c>
      <c r="L844" t="b">
        <v>0</v>
      </c>
    </row>
    <row r="845" spans="1:12">
      <c r="A845" t="s">
        <v>115</v>
      </c>
      <c r="B845">
        <f t="shared" si="29"/>
        <v>13</v>
      </c>
      <c r="C845" t="s">
        <v>2882</v>
      </c>
      <c r="D845" t="s">
        <v>2653</v>
      </c>
      <c r="E845" t="s">
        <v>20</v>
      </c>
      <c r="F845" s="162">
        <v>5610.02</v>
      </c>
      <c r="G845" t="s">
        <v>2646</v>
      </c>
      <c r="H845" s="163">
        <v>45664</v>
      </c>
      <c r="I845" s="163">
        <v>46203</v>
      </c>
      <c r="J845" s="163"/>
      <c r="K845" t="s">
        <v>2667</v>
      </c>
      <c r="L845" t="b">
        <v>0</v>
      </c>
    </row>
    <row r="846" spans="1:12">
      <c r="A846" t="s">
        <v>115</v>
      </c>
      <c r="B846">
        <f t="shared" si="29"/>
        <v>13</v>
      </c>
      <c r="C846" t="s">
        <v>2882</v>
      </c>
      <c r="D846" t="s">
        <v>1843</v>
      </c>
      <c r="E846" t="s">
        <v>21</v>
      </c>
      <c r="F846" s="162">
        <v>7142.65</v>
      </c>
      <c r="G846" t="s">
        <v>2646</v>
      </c>
      <c r="H846" s="163">
        <v>45664</v>
      </c>
      <c r="I846" s="163">
        <v>46203</v>
      </c>
      <c r="J846" s="163"/>
      <c r="K846" t="s">
        <v>2667</v>
      </c>
      <c r="L846" t="b">
        <v>0</v>
      </c>
    </row>
    <row r="847" spans="1:12">
      <c r="A847" t="s">
        <v>115</v>
      </c>
      <c r="B847">
        <f t="shared" si="29"/>
        <v>13</v>
      </c>
      <c r="C847" t="s">
        <v>2882</v>
      </c>
      <c r="D847" t="s">
        <v>1829</v>
      </c>
      <c r="E847" t="s">
        <v>23</v>
      </c>
      <c r="F847" s="162">
        <v>10583.8</v>
      </c>
      <c r="G847" t="s">
        <v>2646</v>
      </c>
      <c r="H847" s="163">
        <v>45664</v>
      </c>
      <c r="I847" s="163">
        <v>46203</v>
      </c>
      <c r="J847" s="163"/>
      <c r="K847" t="s">
        <v>2667</v>
      </c>
      <c r="L847" t="b">
        <v>0</v>
      </c>
    </row>
    <row r="848" spans="1:12">
      <c r="A848" t="s">
        <v>115</v>
      </c>
      <c r="B848">
        <f t="shared" si="29"/>
        <v>13</v>
      </c>
      <c r="C848" t="s">
        <v>2882</v>
      </c>
      <c r="D848" t="s">
        <v>1838</v>
      </c>
      <c r="E848" t="s">
        <v>25</v>
      </c>
      <c r="F848" s="162">
        <v>4453.3100000000004</v>
      </c>
      <c r="G848" t="s">
        <v>2646</v>
      </c>
      <c r="H848" s="163">
        <v>45664</v>
      </c>
      <c r="I848" s="163">
        <v>46203</v>
      </c>
      <c r="J848" s="163"/>
      <c r="K848" t="s">
        <v>2667</v>
      </c>
      <c r="L848" t="b">
        <v>0</v>
      </c>
    </row>
    <row r="849" spans="1:12">
      <c r="A849" t="s">
        <v>115</v>
      </c>
      <c r="B849">
        <f t="shared" si="29"/>
        <v>13</v>
      </c>
      <c r="C849" t="s">
        <v>2882</v>
      </c>
      <c r="D849" t="s">
        <v>1827</v>
      </c>
      <c r="E849" t="s">
        <v>29</v>
      </c>
      <c r="F849" s="162">
        <v>7055.93</v>
      </c>
      <c r="G849" t="s">
        <v>2646</v>
      </c>
      <c r="H849" s="163">
        <v>45664</v>
      </c>
      <c r="I849" s="163">
        <v>46203</v>
      </c>
      <c r="J849" s="163"/>
      <c r="K849" t="s">
        <v>2667</v>
      </c>
      <c r="L849" t="b">
        <v>0</v>
      </c>
    </row>
    <row r="850" spans="1:12">
      <c r="A850" t="s">
        <v>115</v>
      </c>
      <c r="B850">
        <f t="shared" si="29"/>
        <v>13</v>
      </c>
      <c r="C850" t="s">
        <v>2882</v>
      </c>
      <c r="D850" t="s">
        <v>1811</v>
      </c>
      <c r="E850" t="s">
        <v>23</v>
      </c>
      <c r="F850" s="162">
        <v>4568.9799999999996</v>
      </c>
      <c r="G850" t="s">
        <v>2646</v>
      </c>
      <c r="H850" s="163">
        <v>45664</v>
      </c>
      <c r="I850" s="163">
        <v>46203</v>
      </c>
      <c r="J850" s="163"/>
      <c r="K850" t="s">
        <v>2667</v>
      </c>
      <c r="L850" t="b">
        <v>0</v>
      </c>
    </row>
    <row r="851" spans="1:12">
      <c r="A851" t="s">
        <v>115</v>
      </c>
      <c r="B851">
        <f t="shared" si="29"/>
        <v>13</v>
      </c>
      <c r="C851" t="s">
        <v>2882</v>
      </c>
      <c r="D851" t="s">
        <v>2645</v>
      </c>
      <c r="E851" t="s">
        <v>1902</v>
      </c>
      <c r="F851" s="162">
        <v>5610.02</v>
      </c>
      <c r="G851" t="s">
        <v>2646</v>
      </c>
      <c r="H851" s="163">
        <v>45664</v>
      </c>
      <c r="I851" s="163">
        <v>46203</v>
      </c>
      <c r="J851" s="163"/>
      <c r="K851" t="s">
        <v>2667</v>
      </c>
      <c r="L851" t="b">
        <v>0</v>
      </c>
    </row>
    <row r="852" spans="1:12">
      <c r="A852" t="s">
        <v>115</v>
      </c>
      <c r="B852">
        <f t="shared" si="29"/>
        <v>13</v>
      </c>
      <c r="C852" t="s">
        <v>2882</v>
      </c>
      <c r="D852" t="s">
        <v>1820</v>
      </c>
      <c r="E852" t="s">
        <v>25</v>
      </c>
      <c r="F852" s="162">
        <v>7055.9</v>
      </c>
      <c r="G852" t="s">
        <v>2646</v>
      </c>
      <c r="H852" s="163">
        <v>45664</v>
      </c>
      <c r="I852" s="163">
        <v>46203</v>
      </c>
      <c r="J852" s="163"/>
      <c r="K852" t="s">
        <v>2667</v>
      </c>
      <c r="L852" t="b">
        <v>0</v>
      </c>
    </row>
    <row r="853" spans="1:12">
      <c r="A853" t="s">
        <v>115</v>
      </c>
      <c r="B853">
        <f t="shared" si="29"/>
        <v>13</v>
      </c>
      <c r="C853" t="s">
        <v>2882</v>
      </c>
      <c r="D853" t="s">
        <v>1898</v>
      </c>
      <c r="E853" t="s">
        <v>29</v>
      </c>
      <c r="F853" s="162">
        <v>5378.68</v>
      </c>
      <c r="G853" t="s">
        <v>2646</v>
      </c>
      <c r="H853" s="163">
        <v>45664</v>
      </c>
      <c r="I853" s="163">
        <v>46203</v>
      </c>
      <c r="J853" s="163"/>
      <c r="K853" t="s">
        <v>2667</v>
      </c>
      <c r="L853" t="b">
        <v>0</v>
      </c>
    </row>
    <row r="854" spans="1:12">
      <c r="A854" t="s">
        <v>115</v>
      </c>
      <c r="B854">
        <f t="shared" si="29"/>
        <v>13</v>
      </c>
      <c r="C854" t="s">
        <v>2882</v>
      </c>
      <c r="D854" t="s">
        <v>1842</v>
      </c>
      <c r="E854" t="s">
        <v>1695</v>
      </c>
      <c r="F854" s="162">
        <v>5011.1499999999996</v>
      </c>
      <c r="G854" t="s">
        <v>2646</v>
      </c>
      <c r="H854" s="163">
        <v>45664</v>
      </c>
      <c r="I854" s="163">
        <v>46203</v>
      </c>
      <c r="J854" s="163"/>
      <c r="K854" t="s">
        <v>2667</v>
      </c>
      <c r="L854" t="b">
        <v>0</v>
      </c>
    </row>
    <row r="855" spans="1:12">
      <c r="A855" t="s">
        <v>115</v>
      </c>
      <c r="B855">
        <f t="shared" si="29"/>
        <v>13</v>
      </c>
      <c r="C855" t="s">
        <v>2882</v>
      </c>
      <c r="D855" t="s">
        <v>1822</v>
      </c>
      <c r="E855" t="s">
        <v>23</v>
      </c>
      <c r="F855" s="162">
        <v>4568.9799999999996</v>
      </c>
      <c r="G855" t="s">
        <v>2646</v>
      </c>
      <c r="H855" s="163">
        <v>45664</v>
      </c>
      <c r="I855" s="163">
        <v>46203</v>
      </c>
      <c r="J855" s="163"/>
      <c r="K855" t="s">
        <v>2667</v>
      </c>
      <c r="L855" t="b">
        <v>0</v>
      </c>
    </row>
    <row r="856" spans="1:12">
      <c r="A856" t="s">
        <v>115</v>
      </c>
      <c r="B856">
        <f t="shared" si="29"/>
        <v>13</v>
      </c>
      <c r="C856" t="s">
        <v>2882</v>
      </c>
      <c r="D856" t="s">
        <v>1826</v>
      </c>
      <c r="E856" t="s">
        <v>25</v>
      </c>
      <c r="F856" s="162">
        <v>5552.18</v>
      </c>
      <c r="G856" t="s">
        <v>2646</v>
      </c>
      <c r="H856" s="163">
        <v>45664</v>
      </c>
      <c r="I856" s="163">
        <v>46203</v>
      </c>
      <c r="J856" s="163"/>
      <c r="K856" t="s">
        <v>2667</v>
      </c>
      <c r="L856" t="b">
        <v>0</v>
      </c>
    </row>
    <row r="857" spans="1:12">
      <c r="A857" t="s">
        <v>1980</v>
      </c>
      <c r="B857">
        <f t="shared" si="29"/>
        <v>0</v>
      </c>
      <c r="C857" t="s">
        <v>2883</v>
      </c>
      <c r="D857" t="s">
        <v>1838</v>
      </c>
      <c r="E857" t="s">
        <v>25</v>
      </c>
      <c r="F857" s="162">
        <v>7686</v>
      </c>
      <c r="G857" t="s">
        <v>2646</v>
      </c>
      <c r="H857" s="163">
        <v>46023</v>
      </c>
      <c r="I857" s="163">
        <v>46387</v>
      </c>
      <c r="J857" s="163"/>
      <c r="K857" t="s">
        <v>2656</v>
      </c>
      <c r="L857" t="b">
        <v>0</v>
      </c>
    </row>
    <row r="858" spans="1:12">
      <c r="A858" t="s">
        <v>290</v>
      </c>
      <c r="B858">
        <f t="shared" si="29"/>
        <v>0</v>
      </c>
      <c r="C858" t="s">
        <v>2884</v>
      </c>
      <c r="D858" t="s">
        <v>1820</v>
      </c>
      <c r="E858" t="s">
        <v>25</v>
      </c>
      <c r="F858" s="162">
        <v>7650</v>
      </c>
      <c r="G858" t="s">
        <v>2646</v>
      </c>
      <c r="H858" s="163">
        <v>45667</v>
      </c>
      <c r="I858" s="163">
        <v>46295</v>
      </c>
      <c r="J858" s="163"/>
      <c r="K858" t="s">
        <v>2671</v>
      </c>
      <c r="L858" t="b">
        <v>0</v>
      </c>
    </row>
    <row r="859" spans="1:12">
      <c r="A859" t="s">
        <v>290</v>
      </c>
      <c r="B859">
        <f t="shared" si="29"/>
        <v>0</v>
      </c>
      <c r="C859" t="s">
        <v>2884</v>
      </c>
      <c r="D859" t="s">
        <v>1838</v>
      </c>
      <c r="E859" t="s">
        <v>25</v>
      </c>
      <c r="F859" s="162">
        <v>5000</v>
      </c>
      <c r="G859" t="s">
        <v>2646</v>
      </c>
      <c r="H859" s="163">
        <v>45667</v>
      </c>
      <c r="I859" s="163">
        <v>46295</v>
      </c>
      <c r="J859" s="163"/>
      <c r="K859" t="s">
        <v>2671</v>
      </c>
      <c r="L859" t="b">
        <v>0</v>
      </c>
    </row>
    <row r="860" spans="1:12">
      <c r="A860" t="s">
        <v>290</v>
      </c>
      <c r="B860">
        <f t="shared" si="29"/>
        <v>0</v>
      </c>
      <c r="C860" t="s">
        <v>2885</v>
      </c>
      <c r="D860" t="s">
        <v>1838</v>
      </c>
      <c r="E860" t="s">
        <v>25</v>
      </c>
      <c r="F860" s="162">
        <v>6000</v>
      </c>
      <c r="G860" t="s">
        <v>2646</v>
      </c>
      <c r="H860" s="163">
        <v>46032</v>
      </c>
      <c r="I860" s="163">
        <v>46660</v>
      </c>
      <c r="J860" s="163"/>
      <c r="K860" t="s">
        <v>2671</v>
      </c>
      <c r="L860" t="b">
        <v>0</v>
      </c>
    </row>
    <row r="861" spans="1:12">
      <c r="A861" t="s">
        <v>290</v>
      </c>
      <c r="B861">
        <f t="shared" si="29"/>
        <v>0</v>
      </c>
      <c r="C861" t="s">
        <v>2885</v>
      </c>
      <c r="D861" t="s">
        <v>1820</v>
      </c>
      <c r="E861" t="s">
        <v>25</v>
      </c>
      <c r="F861" s="162">
        <v>7150</v>
      </c>
      <c r="G861" t="s">
        <v>2646</v>
      </c>
      <c r="H861" s="163">
        <v>46032</v>
      </c>
      <c r="I861" s="163">
        <v>46660</v>
      </c>
      <c r="J861" s="163"/>
      <c r="K861" t="s">
        <v>2671</v>
      </c>
      <c r="L861" t="b">
        <v>0</v>
      </c>
    </row>
    <row r="862" spans="1:12">
      <c r="A862" t="s">
        <v>1934</v>
      </c>
      <c r="B862">
        <f t="shared" si="29"/>
        <v>0</v>
      </c>
      <c r="C862" t="s">
        <v>2886</v>
      </c>
      <c r="D862" t="s">
        <v>1794</v>
      </c>
      <c r="E862" t="s">
        <v>27</v>
      </c>
      <c r="F862" s="162">
        <v>6450</v>
      </c>
      <c r="G862" t="s">
        <v>1705</v>
      </c>
      <c r="H862" s="163">
        <v>45663</v>
      </c>
      <c r="I862" s="163">
        <v>46173</v>
      </c>
      <c r="J862" s="163"/>
      <c r="K862" t="s">
        <v>2680</v>
      </c>
      <c r="L862" t="b">
        <v>0</v>
      </c>
    </row>
    <row r="863" spans="1:12">
      <c r="A863" t="s">
        <v>2000</v>
      </c>
      <c r="B863">
        <f t="shared" si="29"/>
        <v>0</v>
      </c>
      <c r="C863" t="s">
        <v>2887</v>
      </c>
      <c r="D863" t="s">
        <v>1817</v>
      </c>
      <c r="E863" t="s">
        <v>35</v>
      </c>
      <c r="F863" s="162">
        <v>20000</v>
      </c>
      <c r="G863" t="s">
        <v>2646</v>
      </c>
      <c r="H863" s="163">
        <v>46026</v>
      </c>
      <c r="I863" s="163">
        <v>46477</v>
      </c>
      <c r="J863" s="163"/>
      <c r="K863" t="s">
        <v>2643</v>
      </c>
      <c r="L863" t="b">
        <v>0</v>
      </c>
    </row>
    <row r="864" spans="1:12">
      <c r="A864" t="s">
        <v>1949</v>
      </c>
      <c r="B864">
        <f t="shared" si="29"/>
        <v>0</v>
      </c>
      <c r="C864" t="s">
        <v>2888</v>
      </c>
      <c r="D864" t="s">
        <v>1817</v>
      </c>
      <c r="E864" t="s">
        <v>35</v>
      </c>
      <c r="F864" s="162">
        <v>19500</v>
      </c>
      <c r="G864" t="s">
        <v>1705</v>
      </c>
      <c r="H864" s="163">
        <v>45930</v>
      </c>
      <c r="I864" s="163">
        <v>46294</v>
      </c>
      <c r="J864" s="163"/>
      <c r="K864" t="s">
        <v>2671</v>
      </c>
      <c r="L864" t="b">
        <v>0</v>
      </c>
    </row>
    <row r="865" spans="1:12">
      <c r="A865" t="s">
        <v>295</v>
      </c>
      <c r="B865">
        <f t="shared" si="29"/>
        <v>10</v>
      </c>
      <c r="C865" t="s">
        <v>2889</v>
      </c>
      <c r="D865" t="s">
        <v>2653</v>
      </c>
      <c r="E865" t="s">
        <v>20</v>
      </c>
      <c r="F865" s="162">
        <v>10800</v>
      </c>
      <c r="G865" t="s">
        <v>2646</v>
      </c>
      <c r="H865" s="163">
        <v>46023</v>
      </c>
      <c r="I865" s="163">
        <v>46387</v>
      </c>
      <c r="J865" s="163"/>
      <c r="K865" t="s">
        <v>2671</v>
      </c>
      <c r="L865" t="b">
        <v>0</v>
      </c>
    </row>
    <row r="866" spans="1:12">
      <c r="A866" t="s">
        <v>295</v>
      </c>
      <c r="B866">
        <f t="shared" si="29"/>
        <v>10</v>
      </c>
      <c r="C866" t="s">
        <v>2889</v>
      </c>
      <c r="D866" t="s">
        <v>1797</v>
      </c>
      <c r="E866" t="s">
        <v>29</v>
      </c>
      <c r="F866" s="162">
        <v>4500</v>
      </c>
      <c r="G866" t="s">
        <v>2646</v>
      </c>
      <c r="H866" s="163">
        <v>46023</v>
      </c>
      <c r="I866" s="163">
        <v>46387</v>
      </c>
      <c r="J866" s="163"/>
      <c r="K866" t="s">
        <v>2671</v>
      </c>
      <c r="L866" t="b">
        <v>0</v>
      </c>
    </row>
    <row r="867" spans="1:12">
      <c r="A867" t="s">
        <v>295</v>
      </c>
      <c r="B867">
        <f t="shared" si="29"/>
        <v>10</v>
      </c>
      <c r="C867" t="s">
        <v>2889</v>
      </c>
      <c r="D867" t="s">
        <v>1827</v>
      </c>
      <c r="E867" t="s">
        <v>29</v>
      </c>
      <c r="F867" s="162">
        <v>4500</v>
      </c>
      <c r="G867" t="s">
        <v>2646</v>
      </c>
      <c r="H867" s="163">
        <v>46023</v>
      </c>
      <c r="I867" s="163">
        <v>46387</v>
      </c>
      <c r="J867" s="163"/>
      <c r="K867" t="s">
        <v>2671</v>
      </c>
      <c r="L867" t="b">
        <v>0</v>
      </c>
    </row>
    <row r="868" spans="1:12">
      <c r="A868" t="s">
        <v>295</v>
      </c>
      <c r="B868">
        <f t="shared" si="29"/>
        <v>10</v>
      </c>
      <c r="C868" t="s">
        <v>2889</v>
      </c>
      <c r="D868" t="s">
        <v>1898</v>
      </c>
      <c r="E868" t="s">
        <v>29</v>
      </c>
      <c r="F868" s="162">
        <v>4500</v>
      </c>
      <c r="G868" t="s">
        <v>2646</v>
      </c>
      <c r="H868" s="163">
        <v>46023</v>
      </c>
      <c r="I868" s="163">
        <v>46387</v>
      </c>
      <c r="J868" s="163"/>
      <c r="K868" t="s">
        <v>2671</v>
      </c>
      <c r="L868" t="b">
        <v>0</v>
      </c>
    </row>
    <row r="869" spans="1:12">
      <c r="A869" t="s">
        <v>295</v>
      </c>
      <c r="B869">
        <f t="shared" si="29"/>
        <v>10</v>
      </c>
      <c r="C869" t="s">
        <v>2889</v>
      </c>
      <c r="D869" t="s">
        <v>1840</v>
      </c>
      <c r="E869" t="s">
        <v>29</v>
      </c>
      <c r="F869" s="162">
        <v>4500</v>
      </c>
      <c r="G869" t="s">
        <v>2646</v>
      </c>
      <c r="H869" s="163">
        <v>46023</v>
      </c>
      <c r="I869" s="163">
        <v>46387</v>
      </c>
      <c r="J869" s="163"/>
      <c r="K869" t="s">
        <v>2671</v>
      </c>
      <c r="L869" t="b">
        <v>0</v>
      </c>
    </row>
    <row r="870" spans="1:12">
      <c r="A870" t="s">
        <v>295</v>
      </c>
      <c r="B870">
        <f t="shared" si="29"/>
        <v>10</v>
      </c>
      <c r="C870" t="s">
        <v>2889</v>
      </c>
      <c r="D870" t="s">
        <v>1814</v>
      </c>
      <c r="E870" t="s">
        <v>1695</v>
      </c>
      <c r="F870" s="162">
        <v>8400</v>
      </c>
      <c r="G870" t="s">
        <v>2646</v>
      </c>
      <c r="H870" s="163">
        <v>46023</v>
      </c>
      <c r="I870" s="163">
        <v>46387</v>
      </c>
      <c r="J870" s="163"/>
      <c r="K870" t="s">
        <v>2671</v>
      </c>
      <c r="L870" t="b">
        <v>0</v>
      </c>
    </row>
    <row r="871" spans="1:12">
      <c r="A871" t="s">
        <v>295</v>
      </c>
      <c r="B871">
        <f t="shared" si="29"/>
        <v>10</v>
      </c>
      <c r="C871" t="s">
        <v>2889</v>
      </c>
      <c r="D871" t="s">
        <v>1824</v>
      </c>
      <c r="E871" t="s">
        <v>1695</v>
      </c>
      <c r="F871" s="162">
        <v>8400</v>
      </c>
      <c r="G871" t="s">
        <v>2646</v>
      </c>
      <c r="H871" s="163">
        <v>46023</v>
      </c>
      <c r="I871" s="163">
        <v>46387</v>
      </c>
      <c r="J871" s="163"/>
      <c r="K871" t="s">
        <v>2671</v>
      </c>
      <c r="L871" t="b">
        <v>0</v>
      </c>
    </row>
    <row r="872" spans="1:12">
      <c r="A872" t="s">
        <v>295</v>
      </c>
      <c r="B872">
        <f t="shared" si="29"/>
        <v>10</v>
      </c>
      <c r="C872" t="s">
        <v>2889</v>
      </c>
      <c r="D872" t="s">
        <v>1842</v>
      </c>
      <c r="E872" t="s">
        <v>1695</v>
      </c>
      <c r="F872" s="162">
        <v>8400</v>
      </c>
      <c r="G872" t="s">
        <v>2646</v>
      </c>
      <c r="H872" s="163">
        <v>46023</v>
      </c>
      <c r="I872" s="163">
        <v>46387</v>
      </c>
      <c r="J872" s="163"/>
      <c r="K872" t="s">
        <v>2671</v>
      </c>
      <c r="L872" t="b">
        <v>0</v>
      </c>
    </row>
    <row r="873" spans="1:12">
      <c r="A873" t="s">
        <v>295</v>
      </c>
      <c r="B873">
        <f t="shared" si="29"/>
        <v>10</v>
      </c>
      <c r="C873" t="s">
        <v>2889</v>
      </c>
      <c r="D873" t="s">
        <v>1851</v>
      </c>
      <c r="E873" t="s">
        <v>1695</v>
      </c>
      <c r="F873" s="162">
        <v>8400</v>
      </c>
      <c r="G873" t="s">
        <v>2646</v>
      </c>
      <c r="H873" s="163">
        <v>46023</v>
      </c>
      <c r="I873" s="163">
        <v>46387</v>
      </c>
      <c r="J873" s="163"/>
      <c r="K873" t="s">
        <v>2671</v>
      </c>
      <c r="L873" t="b">
        <v>0</v>
      </c>
    </row>
    <row r="874" spans="1:12">
      <c r="A874" t="s">
        <v>295</v>
      </c>
      <c r="B874">
        <f t="shared" si="29"/>
        <v>10</v>
      </c>
      <c r="C874" t="s">
        <v>2889</v>
      </c>
      <c r="D874" t="s">
        <v>1853</v>
      </c>
      <c r="E874" t="s">
        <v>1695</v>
      </c>
      <c r="F874" s="162">
        <v>8400</v>
      </c>
      <c r="G874" t="s">
        <v>2646</v>
      </c>
      <c r="H874" s="163">
        <v>46023</v>
      </c>
      <c r="I874" s="163">
        <v>46387</v>
      </c>
      <c r="J874" s="163"/>
      <c r="K874" t="s">
        <v>2671</v>
      </c>
      <c r="L874" t="b">
        <v>0</v>
      </c>
    </row>
    <row r="875" spans="1:12">
      <c r="A875" t="s">
        <v>296</v>
      </c>
      <c r="B875">
        <f t="shared" si="29"/>
        <v>6</v>
      </c>
      <c r="C875" t="s">
        <v>2890</v>
      </c>
      <c r="D875" t="s">
        <v>1808</v>
      </c>
      <c r="E875" t="s">
        <v>25</v>
      </c>
      <c r="F875" s="162">
        <v>7254</v>
      </c>
      <c r="G875" t="s">
        <v>2646</v>
      </c>
      <c r="H875" s="163">
        <v>46026</v>
      </c>
      <c r="I875" s="163">
        <v>46477</v>
      </c>
      <c r="J875" s="163"/>
      <c r="K875" t="s">
        <v>2643</v>
      </c>
      <c r="L875" t="b">
        <v>0</v>
      </c>
    </row>
    <row r="876" spans="1:12">
      <c r="A876" t="s">
        <v>296</v>
      </c>
      <c r="B876">
        <f t="shared" si="29"/>
        <v>6</v>
      </c>
      <c r="C876" t="s">
        <v>2890</v>
      </c>
      <c r="D876" t="s">
        <v>1811</v>
      </c>
      <c r="E876" t="s">
        <v>23</v>
      </c>
      <c r="F876" s="162">
        <v>6807</v>
      </c>
      <c r="G876" t="s">
        <v>2646</v>
      </c>
      <c r="H876" s="163">
        <v>46026</v>
      </c>
      <c r="I876" s="163">
        <v>46477</v>
      </c>
      <c r="J876" s="163"/>
      <c r="K876" t="s">
        <v>2643</v>
      </c>
      <c r="L876" t="b">
        <v>0</v>
      </c>
    </row>
    <row r="877" spans="1:12">
      <c r="A877" t="s">
        <v>296</v>
      </c>
      <c r="B877">
        <f t="shared" si="29"/>
        <v>6</v>
      </c>
      <c r="C877" t="s">
        <v>2890</v>
      </c>
      <c r="D877" t="s">
        <v>1822</v>
      </c>
      <c r="E877" t="s">
        <v>23</v>
      </c>
      <c r="F877" s="162">
        <v>6807</v>
      </c>
      <c r="G877" t="s">
        <v>2646</v>
      </c>
      <c r="H877" s="163">
        <v>46026</v>
      </c>
      <c r="I877" s="163">
        <v>46477</v>
      </c>
      <c r="J877" s="163"/>
      <c r="K877" t="s">
        <v>2643</v>
      </c>
      <c r="L877" t="b">
        <v>0</v>
      </c>
    </row>
    <row r="878" spans="1:12">
      <c r="A878" t="s">
        <v>296</v>
      </c>
      <c r="B878">
        <f t="shared" si="29"/>
        <v>6</v>
      </c>
      <c r="C878" t="s">
        <v>2890</v>
      </c>
      <c r="D878" t="s">
        <v>1829</v>
      </c>
      <c r="E878" t="s">
        <v>23</v>
      </c>
      <c r="F878" s="162">
        <v>6807</v>
      </c>
      <c r="G878" t="s">
        <v>2646</v>
      </c>
      <c r="H878" s="163">
        <v>46026</v>
      </c>
      <c r="I878" s="163">
        <v>46477</v>
      </c>
      <c r="J878" s="163"/>
      <c r="K878" t="s">
        <v>2643</v>
      </c>
      <c r="L878" t="b">
        <v>0</v>
      </c>
    </row>
    <row r="879" spans="1:12">
      <c r="A879" t="s">
        <v>296</v>
      </c>
      <c r="B879">
        <f t="shared" si="29"/>
        <v>6</v>
      </c>
      <c r="C879" t="s">
        <v>2890</v>
      </c>
      <c r="D879" t="s">
        <v>2653</v>
      </c>
      <c r="E879" t="s">
        <v>20</v>
      </c>
      <c r="F879" s="162">
        <v>8184</v>
      </c>
      <c r="G879" t="s">
        <v>2646</v>
      </c>
      <c r="H879" s="163">
        <v>46026</v>
      </c>
      <c r="I879" s="163">
        <v>46477</v>
      </c>
      <c r="J879" s="163"/>
      <c r="K879" t="s">
        <v>2643</v>
      </c>
      <c r="L879" t="b">
        <v>0</v>
      </c>
    </row>
    <row r="880" spans="1:12">
      <c r="A880" t="s">
        <v>296</v>
      </c>
      <c r="B880">
        <f t="shared" si="29"/>
        <v>6</v>
      </c>
      <c r="C880" t="s">
        <v>2890</v>
      </c>
      <c r="D880" t="s">
        <v>2625</v>
      </c>
      <c r="E880" t="s">
        <v>27</v>
      </c>
      <c r="F880" s="162">
        <v>16876</v>
      </c>
      <c r="G880" t="s">
        <v>2646</v>
      </c>
      <c r="H880" s="163">
        <v>46026</v>
      </c>
      <c r="I880" s="163">
        <v>46477</v>
      </c>
      <c r="J880" s="163"/>
      <c r="K880" t="s">
        <v>2643</v>
      </c>
      <c r="L880" t="b">
        <v>0</v>
      </c>
    </row>
    <row r="881" spans="1:12">
      <c r="A881" t="s">
        <v>1999</v>
      </c>
      <c r="B881">
        <f t="shared" si="29"/>
        <v>1</v>
      </c>
      <c r="C881" t="s">
        <v>2891</v>
      </c>
      <c r="D881" t="s">
        <v>2653</v>
      </c>
      <c r="E881" t="s">
        <v>20</v>
      </c>
      <c r="F881" s="162">
        <v>5805</v>
      </c>
      <c r="G881" t="s">
        <v>2646</v>
      </c>
      <c r="H881" s="163">
        <v>46026</v>
      </c>
      <c r="I881" s="163">
        <v>46477</v>
      </c>
      <c r="J881" s="163"/>
      <c r="K881" t="s">
        <v>2656</v>
      </c>
      <c r="L881" t="b">
        <v>0</v>
      </c>
    </row>
    <row r="882" spans="1:12">
      <c r="A882" t="s">
        <v>1366</v>
      </c>
      <c r="B882">
        <f t="shared" si="29"/>
        <v>2</v>
      </c>
      <c r="C882" t="s">
        <v>2892</v>
      </c>
      <c r="D882" t="s">
        <v>2653</v>
      </c>
      <c r="E882" t="s">
        <v>20</v>
      </c>
      <c r="F882" s="162">
        <v>11000</v>
      </c>
      <c r="G882" t="s">
        <v>2646</v>
      </c>
      <c r="H882" s="163">
        <v>45667</v>
      </c>
      <c r="I882" s="163">
        <v>46295</v>
      </c>
      <c r="J882" s="163"/>
      <c r="K882" t="s">
        <v>2643</v>
      </c>
      <c r="L882" t="b">
        <v>0</v>
      </c>
    </row>
    <row r="883" spans="1:12">
      <c r="A883" t="s">
        <v>1366</v>
      </c>
      <c r="B883">
        <f t="shared" si="29"/>
        <v>2</v>
      </c>
      <c r="C883" t="s">
        <v>2892</v>
      </c>
      <c r="D883" t="s">
        <v>1853</v>
      </c>
      <c r="E883" t="s">
        <v>1695</v>
      </c>
      <c r="F883" s="162">
        <v>8780</v>
      </c>
      <c r="G883" t="s">
        <v>2646</v>
      </c>
      <c r="H883" s="163">
        <v>45667</v>
      </c>
      <c r="I883" s="163">
        <v>46295</v>
      </c>
      <c r="J883" s="163"/>
      <c r="K883" t="s">
        <v>2643</v>
      </c>
      <c r="L883" t="b">
        <v>0</v>
      </c>
    </row>
    <row r="884" spans="1:12">
      <c r="A884" t="s">
        <v>1081</v>
      </c>
      <c r="B884">
        <f t="shared" si="29"/>
        <v>5</v>
      </c>
      <c r="C884" t="s">
        <v>2893</v>
      </c>
      <c r="D884" t="s">
        <v>2653</v>
      </c>
      <c r="E884" t="s">
        <v>20</v>
      </c>
      <c r="F884" s="162">
        <v>5185</v>
      </c>
      <c r="G884" t="s">
        <v>2646</v>
      </c>
      <c r="H884" s="163">
        <v>45664</v>
      </c>
      <c r="I884" s="163">
        <v>46203</v>
      </c>
      <c r="J884" s="163"/>
      <c r="K884" t="s">
        <v>2656</v>
      </c>
      <c r="L884" t="b">
        <v>0</v>
      </c>
    </row>
    <row r="885" spans="1:12">
      <c r="A885" t="s">
        <v>1081</v>
      </c>
      <c r="B885">
        <f t="shared" si="29"/>
        <v>5</v>
      </c>
      <c r="C885" t="s">
        <v>2894</v>
      </c>
      <c r="D885" t="s">
        <v>2653</v>
      </c>
      <c r="E885" t="s">
        <v>20</v>
      </c>
      <c r="F885" s="162">
        <v>5185</v>
      </c>
      <c r="G885" t="s">
        <v>2646</v>
      </c>
      <c r="H885" s="163">
        <v>46142</v>
      </c>
      <c r="I885" s="163">
        <v>46506</v>
      </c>
      <c r="J885" s="163"/>
      <c r="K885" t="s">
        <v>2656</v>
      </c>
      <c r="L885" t="b">
        <v>0</v>
      </c>
    </row>
    <row r="886" spans="1:12">
      <c r="A886" t="s">
        <v>1081</v>
      </c>
      <c r="B886">
        <f t="shared" si="29"/>
        <v>5</v>
      </c>
      <c r="C886" t="s">
        <v>2894</v>
      </c>
      <c r="D886" t="s">
        <v>2625</v>
      </c>
      <c r="E886" t="s">
        <v>27</v>
      </c>
      <c r="F886" s="162">
        <v>14050</v>
      </c>
      <c r="G886" t="s">
        <v>2646</v>
      </c>
      <c r="H886" s="163">
        <v>46142</v>
      </c>
      <c r="I886" s="163">
        <v>46506</v>
      </c>
      <c r="J886" s="163"/>
      <c r="K886" t="s">
        <v>2656</v>
      </c>
      <c r="L886" t="b">
        <v>0</v>
      </c>
    </row>
    <row r="887" spans="1:12">
      <c r="A887" t="s">
        <v>1081</v>
      </c>
      <c r="B887">
        <f t="shared" si="29"/>
        <v>5</v>
      </c>
      <c r="C887" t="s">
        <v>2895</v>
      </c>
      <c r="D887" t="s">
        <v>2625</v>
      </c>
      <c r="E887" t="s">
        <v>27</v>
      </c>
      <c r="F887" s="162">
        <v>14717</v>
      </c>
      <c r="G887" t="s">
        <v>2646</v>
      </c>
      <c r="H887" s="163">
        <v>46507</v>
      </c>
      <c r="I887" s="163">
        <v>46872</v>
      </c>
      <c r="J887" s="163"/>
      <c r="K887" t="s">
        <v>2656</v>
      </c>
      <c r="L887" t="b">
        <v>0</v>
      </c>
    </row>
    <row r="888" spans="1:12">
      <c r="A888" t="s">
        <v>1081</v>
      </c>
      <c r="B888">
        <f t="shared" si="29"/>
        <v>5</v>
      </c>
      <c r="C888" t="s">
        <v>2895</v>
      </c>
      <c r="D888" t="s">
        <v>2653</v>
      </c>
      <c r="E888" t="s">
        <v>20</v>
      </c>
      <c r="F888" s="162">
        <v>5431</v>
      </c>
      <c r="G888" t="s">
        <v>2646</v>
      </c>
      <c r="H888" s="163">
        <v>46507</v>
      </c>
      <c r="I888" s="163">
        <v>46872</v>
      </c>
      <c r="J888" s="163"/>
      <c r="K888" t="s">
        <v>2656</v>
      </c>
      <c r="L888" t="b">
        <v>0</v>
      </c>
    </row>
    <row r="889" spans="1:12">
      <c r="A889" t="s">
        <v>2004</v>
      </c>
      <c r="B889">
        <f t="shared" si="29"/>
        <v>2</v>
      </c>
      <c r="C889" t="s">
        <v>2896</v>
      </c>
      <c r="D889" t="s">
        <v>2653</v>
      </c>
      <c r="E889" t="s">
        <v>20</v>
      </c>
      <c r="F889" s="162">
        <v>2200</v>
      </c>
      <c r="G889" t="s">
        <v>2646</v>
      </c>
      <c r="H889" s="163">
        <v>46026</v>
      </c>
      <c r="I889" s="163">
        <v>46477</v>
      </c>
      <c r="J889" s="163"/>
      <c r="K889" t="s">
        <v>2656</v>
      </c>
      <c r="L889" t="b">
        <v>0</v>
      </c>
    </row>
    <row r="890" spans="1:12">
      <c r="A890" t="s">
        <v>2004</v>
      </c>
      <c r="B890">
        <f t="shared" si="29"/>
        <v>2</v>
      </c>
      <c r="C890" t="s">
        <v>2897</v>
      </c>
      <c r="D890" t="s">
        <v>2653</v>
      </c>
      <c r="E890" t="s">
        <v>20</v>
      </c>
      <c r="F890" s="162">
        <v>2282</v>
      </c>
      <c r="G890" t="s">
        <v>2646</v>
      </c>
      <c r="H890" s="163">
        <v>46391</v>
      </c>
      <c r="I890" s="163">
        <v>46843</v>
      </c>
      <c r="J890" s="163"/>
      <c r="K890" t="s">
        <v>2656</v>
      </c>
      <c r="L890" t="b">
        <v>0</v>
      </c>
    </row>
    <row r="891" spans="1:12">
      <c r="A891" t="s">
        <v>298</v>
      </c>
      <c r="B891">
        <f t="shared" si="29"/>
        <v>0</v>
      </c>
      <c r="C891" t="s">
        <v>2898</v>
      </c>
      <c r="D891" t="s">
        <v>1820</v>
      </c>
      <c r="E891" t="s">
        <v>25</v>
      </c>
      <c r="F891" s="162">
        <v>9750</v>
      </c>
      <c r="G891" t="s">
        <v>2646</v>
      </c>
      <c r="H891" s="163">
        <v>45669</v>
      </c>
      <c r="I891" s="163">
        <v>46356</v>
      </c>
      <c r="J891" s="163"/>
      <c r="K891" t="s">
        <v>2671</v>
      </c>
      <c r="L891" t="b">
        <v>0</v>
      </c>
    </row>
    <row r="892" spans="1:12">
      <c r="A892" t="s">
        <v>1086</v>
      </c>
      <c r="B892">
        <f t="shared" si="29"/>
        <v>1</v>
      </c>
      <c r="C892" t="s">
        <v>2899</v>
      </c>
      <c r="D892" t="s">
        <v>2653</v>
      </c>
      <c r="E892" t="s">
        <v>20</v>
      </c>
      <c r="F892" s="162">
        <v>4953</v>
      </c>
      <c r="G892" t="s">
        <v>2646</v>
      </c>
      <c r="H892" s="163">
        <v>46026</v>
      </c>
      <c r="I892" s="163">
        <v>46477</v>
      </c>
      <c r="J892" s="163"/>
      <c r="K892" t="s">
        <v>2656</v>
      </c>
      <c r="L892" t="b">
        <v>0</v>
      </c>
    </row>
    <row r="893" spans="1:12">
      <c r="A893" t="s">
        <v>1937</v>
      </c>
      <c r="B893">
        <f t="shared" si="29"/>
        <v>16</v>
      </c>
      <c r="C893" t="s">
        <v>2900</v>
      </c>
      <c r="D893" t="s">
        <v>1808</v>
      </c>
      <c r="E893" t="s">
        <v>25</v>
      </c>
      <c r="F893" s="162">
        <v>5325.78</v>
      </c>
      <c r="G893" t="s">
        <v>2646</v>
      </c>
      <c r="H893" s="163">
        <v>45664</v>
      </c>
      <c r="I893" s="163">
        <v>46203</v>
      </c>
      <c r="J893" s="163"/>
      <c r="K893" t="s">
        <v>2667</v>
      </c>
      <c r="L893" t="b">
        <v>0</v>
      </c>
    </row>
    <row r="894" spans="1:12">
      <c r="A894" t="s">
        <v>1937</v>
      </c>
      <c r="B894">
        <f t="shared" si="29"/>
        <v>16</v>
      </c>
      <c r="C894" t="s">
        <v>2900</v>
      </c>
      <c r="D894" t="s">
        <v>1819</v>
      </c>
      <c r="E894" t="s">
        <v>25</v>
      </c>
      <c r="F894" s="162">
        <v>5325.78</v>
      </c>
      <c r="G894" t="s">
        <v>2646</v>
      </c>
      <c r="H894" s="163">
        <v>45664</v>
      </c>
      <c r="I894" s="163">
        <v>46203</v>
      </c>
      <c r="J894" s="163"/>
      <c r="K894" t="s">
        <v>2667</v>
      </c>
      <c r="L894" t="b">
        <v>0</v>
      </c>
    </row>
    <row r="895" spans="1:12">
      <c r="A895" t="s">
        <v>1937</v>
      </c>
      <c r="B895">
        <f t="shared" si="29"/>
        <v>16</v>
      </c>
      <c r="C895" t="s">
        <v>2900</v>
      </c>
      <c r="D895" t="s">
        <v>1826</v>
      </c>
      <c r="E895" t="s">
        <v>25</v>
      </c>
      <c r="F895" s="162">
        <v>5325.78</v>
      </c>
      <c r="G895" t="s">
        <v>2646</v>
      </c>
      <c r="H895" s="163">
        <v>45664</v>
      </c>
      <c r="I895" s="163">
        <v>46203</v>
      </c>
      <c r="J895" s="163"/>
      <c r="K895" t="s">
        <v>2667</v>
      </c>
      <c r="L895" t="b">
        <v>0</v>
      </c>
    </row>
    <row r="896" spans="1:12">
      <c r="A896" t="s">
        <v>1937</v>
      </c>
      <c r="B896">
        <f t="shared" si="29"/>
        <v>16</v>
      </c>
      <c r="C896" t="s">
        <v>2900</v>
      </c>
      <c r="D896" t="s">
        <v>1833</v>
      </c>
      <c r="E896" t="s">
        <v>25</v>
      </c>
      <c r="F896" s="162">
        <v>5325.78</v>
      </c>
      <c r="G896" t="s">
        <v>2646</v>
      </c>
      <c r="H896" s="163">
        <v>45664</v>
      </c>
      <c r="I896" s="163">
        <v>46203</v>
      </c>
      <c r="J896" s="163"/>
      <c r="K896" t="s">
        <v>2667</v>
      </c>
      <c r="L896" t="b">
        <v>0</v>
      </c>
    </row>
    <row r="897" spans="1:12">
      <c r="A897" t="s">
        <v>1937</v>
      </c>
      <c r="B897">
        <f t="shared" si="29"/>
        <v>16</v>
      </c>
      <c r="C897" t="s">
        <v>2900</v>
      </c>
      <c r="D897" t="s">
        <v>1838</v>
      </c>
      <c r="E897" t="s">
        <v>25</v>
      </c>
      <c r="F897" s="162">
        <v>5325.78</v>
      </c>
      <c r="G897" t="s">
        <v>2646</v>
      </c>
      <c r="H897" s="163">
        <v>45664</v>
      </c>
      <c r="I897" s="163">
        <v>46203</v>
      </c>
      <c r="J897" s="163"/>
      <c r="K897" t="s">
        <v>2667</v>
      </c>
      <c r="L897" t="b">
        <v>0</v>
      </c>
    </row>
    <row r="898" spans="1:12">
      <c r="A898" t="s">
        <v>1937</v>
      </c>
      <c r="B898">
        <f t="shared" si="29"/>
        <v>16</v>
      </c>
      <c r="C898" t="s">
        <v>2900</v>
      </c>
      <c r="D898" t="s">
        <v>1810</v>
      </c>
      <c r="E898" t="s">
        <v>21</v>
      </c>
      <c r="F898" s="162">
        <v>4684.7150000000001</v>
      </c>
      <c r="G898" t="s">
        <v>2646</v>
      </c>
      <c r="H898" s="163">
        <v>45664</v>
      </c>
      <c r="I898" s="163">
        <v>46203</v>
      </c>
      <c r="J898" s="163"/>
      <c r="K898" t="s">
        <v>2667</v>
      </c>
      <c r="L898" t="b">
        <v>0</v>
      </c>
    </row>
    <row r="899" spans="1:12">
      <c r="A899" t="s">
        <v>1937</v>
      </c>
      <c r="B899">
        <f t="shared" ref="B899:B962" si="30">IF(COUNTIFS($A$2:$A$1053,A899,$E$2:$E$1053,"Industry Essentials")&gt;0, COUNTIF($A$2:$A$1053,A899), 0)</f>
        <v>16</v>
      </c>
      <c r="C899" t="s">
        <v>2900</v>
      </c>
      <c r="D899" t="s">
        <v>1821</v>
      </c>
      <c r="E899" t="s">
        <v>21</v>
      </c>
      <c r="F899" s="162">
        <v>4684.7150000000001</v>
      </c>
      <c r="G899" t="s">
        <v>2646</v>
      </c>
      <c r="H899" s="163">
        <v>45664</v>
      </c>
      <c r="I899" s="163">
        <v>46203</v>
      </c>
      <c r="J899" s="163"/>
      <c r="K899" t="s">
        <v>2667</v>
      </c>
      <c r="L899" t="b">
        <v>0</v>
      </c>
    </row>
    <row r="900" spans="1:12">
      <c r="A900" t="s">
        <v>1937</v>
      </c>
      <c r="B900">
        <f t="shared" si="30"/>
        <v>16</v>
      </c>
      <c r="C900" t="s">
        <v>2900</v>
      </c>
      <c r="D900" t="s">
        <v>1828</v>
      </c>
      <c r="E900" t="s">
        <v>21</v>
      </c>
      <c r="F900" s="162">
        <v>4684.7150000000001</v>
      </c>
      <c r="G900" t="s">
        <v>2646</v>
      </c>
      <c r="H900" s="163">
        <v>45664</v>
      </c>
      <c r="I900" s="163">
        <v>46203</v>
      </c>
      <c r="J900" s="163"/>
      <c r="K900" t="s">
        <v>2667</v>
      </c>
      <c r="L900" t="b">
        <v>0</v>
      </c>
    </row>
    <row r="901" spans="1:12">
      <c r="A901" t="s">
        <v>1937</v>
      </c>
      <c r="B901">
        <f t="shared" si="30"/>
        <v>16</v>
      </c>
      <c r="C901" t="s">
        <v>2900</v>
      </c>
      <c r="D901" t="s">
        <v>1835</v>
      </c>
      <c r="E901" t="s">
        <v>21</v>
      </c>
      <c r="F901" s="162">
        <v>4684.7150000000001</v>
      </c>
      <c r="G901" t="s">
        <v>2646</v>
      </c>
      <c r="H901" s="163">
        <v>45664</v>
      </c>
      <c r="I901" s="163">
        <v>46203</v>
      </c>
      <c r="J901" s="163"/>
      <c r="K901" t="s">
        <v>2667</v>
      </c>
      <c r="L901" t="b">
        <v>0</v>
      </c>
    </row>
    <row r="902" spans="1:12">
      <c r="A902" t="s">
        <v>1937</v>
      </c>
      <c r="B902">
        <f t="shared" si="30"/>
        <v>16</v>
      </c>
      <c r="C902" t="s">
        <v>2900</v>
      </c>
      <c r="D902" t="s">
        <v>1841</v>
      </c>
      <c r="E902" t="s">
        <v>21</v>
      </c>
      <c r="F902" s="162">
        <v>4684.7150000000001</v>
      </c>
      <c r="G902" t="s">
        <v>2646</v>
      </c>
      <c r="H902" s="163">
        <v>45664</v>
      </c>
      <c r="I902" s="163">
        <v>46203</v>
      </c>
      <c r="J902" s="163"/>
      <c r="K902" t="s">
        <v>2667</v>
      </c>
      <c r="L902" t="b">
        <v>0</v>
      </c>
    </row>
    <row r="903" spans="1:12">
      <c r="A903" t="s">
        <v>1937</v>
      </c>
      <c r="B903">
        <f t="shared" si="30"/>
        <v>16</v>
      </c>
      <c r="C903" t="s">
        <v>2900</v>
      </c>
      <c r="D903" t="s">
        <v>1843</v>
      </c>
      <c r="E903" t="s">
        <v>21</v>
      </c>
      <c r="F903" s="162">
        <v>4684.7150000000001</v>
      </c>
      <c r="G903" t="s">
        <v>2646</v>
      </c>
      <c r="H903" s="163">
        <v>45664</v>
      </c>
      <c r="I903" s="163">
        <v>46203</v>
      </c>
      <c r="J903" s="163"/>
      <c r="K903" t="s">
        <v>2667</v>
      </c>
      <c r="L903" t="b">
        <v>0</v>
      </c>
    </row>
    <row r="904" spans="1:12">
      <c r="A904" t="s">
        <v>1937</v>
      </c>
      <c r="B904">
        <f t="shared" si="30"/>
        <v>16</v>
      </c>
      <c r="C904" t="s">
        <v>2900</v>
      </c>
      <c r="D904" t="s">
        <v>1898</v>
      </c>
      <c r="E904" t="s">
        <v>29</v>
      </c>
      <c r="F904" s="162">
        <v>8945.11</v>
      </c>
      <c r="G904" t="s">
        <v>2646</v>
      </c>
      <c r="H904" s="163">
        <v>45664</v>
      </c>
      <c r="I904" s="163">
        <v>46203</v>
      </c>
      <c r="J904" s="163"/>
      <c r="K904" t="s">
        <v>2667</v>
      </c>
      <c r="L904" t="b">
        <v>0</v>
      </c>
    </row>
    <row r="905" spans="1:12">
      <c r="A905" t="s">
        <v>1937</v>
      </c>
      <c r="B905">
        <f t="shared" si="30"/>
        <v>16</v>
      </c>
      <c r="C905" t="s">
        <v>2900</v>
      </c>
      <c r="D905" t="s">
        <v>2653</v>
      </c>
      <c r="E905" t="s">
        <v>20</v>
      </c>
      <c r="F905" s="162">
        <v>12936.01</v>
      </c>
      <c r="G905" t="s">
        <v>2646</v>
      </c>
      <c r="H905" s="163">
        <v>45664</v>
      </c>
      <c r="I905" s="163">
        <v>46203</v>
      </c>
      <c r="J905" s="163"/>
      <c r="K905" t="s">
        <v>2667</v>
      </c>
      <c r="L905" t="b">
        <v>0</v>
      </c>
    </row>
    <row r="906" spans="1:12">
      <c r="A906" t="s">
        <v>1937</v>
      </c>
      <c r="B906">
        <f t="shared" si="30"/>
        <v>16</v>
      </c>
      <c r="C906" t="s">
        <v>2900</v>
      </c>
      <c r="D906" t="s">
        <v>1811</v>
      </c>
      <c r="E906" t="s">
        <v>23</v>
      </c>
      <c r="F906" s="162">
        <v>7763.8966666666702</v>
      </c>
      <c r="G906" t="s">
        <v>2646</v>
      </c>
      <c r="H906" s="163">
        <v>45664</v>
      </c>
      <c r="I906" s="163">
        <v>46203</v>
      </c>
      <c r="J906" s="163"/>
      <c r="K906" t="s">
        <v>2667</v>
      </c>
      <c r="L906" t="b">
        <v>0</v>
      </c>
    </row>
    <row r="907" spans="1:12">
      <c r="A907" t="s">
        <v>1937</v>
      </c>
      <c r="B907">
        <f t="shared" si="30"/>
        <v>16</v>
      </c>
      <c r="C907" t="s">
        <v>2900</v>
      </c>
      <c r="D907" t="s">
        <v>1822</v>
      </c>
      <c r="E907" t="s">
        <v>23</v>
      </c>
      <c r="F907" s="162">
        <v>7763.8966666666702</v>
      </c>
      <c r="G907" t="s">
        <v>2646</v>
      </c>
      <c r="H907" s="163">
        <v>45664</v>
      </c>
      <c r="I907" s="163">
        <v>46203</v>
      </c>
      <c r="J907" s="163"/>
      <c r="K907" t="s">
        <v>2667</v>
      </c>
      <c r="L907" t="b">
        <v>0</v>
      </c>
    </row>
    <row r="908" spans="1:12">
      <c r="A908" t="s">
        <v>1937</v>
      </c>
      <c r="B908">
        <f t="shared" si="30"/>
        <v>16</v>
      </c>
      <c r="C908" t="s">
        <v>2900</v>
      </c>
      <c r="D908" t="s">
        <v>1829</v>
      </c>
      <c r="E908" t="s">
        <v>23</v>
      </c>
      <c r="F908" s="162">
        <v>7763.8966666666702</v>
      </c>
      <c r="G908" t="s">
        <v>2646</v>
      </c>
      <c r="H908" s="163">
        <v>45664</v>
      </c>
      <c r="I908" s="163">
        <v>46203</v>
      </c>
      <c r="J908" s="163"/>
      <c r="K908" t="s">
        <v>2667</v>
      </c>
      <c r="L908" t="b">
        <v>0</v>
      </c>
    </row>
    <row r="909" spans="1:12">
      <c r="A909" t="s">
        <v>181</v>
      </c>
      <c r="B909">
        <f t="shared" si="30"/>
        <v>4</v>
      </c>
      <c r="C909" t="s">
        <v>2901</v>
      </c>
      <c r="D909" t="s">
        <v>1820</v>
      </c>
      <c r="E909" t="s">
        <v>25</v>
      </c>
      <c r="F909" s="162">
        <v>7950</v>
      </c>
      <c r="G909" t="s">
        <v>2646</v>
      </c>
      <c r="H909" s="163">
        <v>46026</v>
      </c>
      <c r="I909" s="163">
        <v>46477</v>
      </c>
      <c r="J909" s="163"/>
      <c r="K909" t="s">
        <v>2671</v>
      </c>
      <c r="L909" t="b">
        <v>0</v>
      </c>
    </row>
    <row r="910" spans="1:12">
      <c r="A910" t="s">
        <v>181</v>
      </c>
      <c r="B910">
        <f t="shared" si="30"/>
        <v>4</v>
      </c>
      <c r="C910" t="s">
        <v>2901</v>
      </c>
      <c r="D910" t="s">
        <v>2653</v>
      </c>
      <c r="E910" t="s">
        <v>20</v>
      </c>
      <c r="F910" s="162">
        <v>5000</v>
      </c>
      <c r="G910" t="s">
        <v>2646</v>
      </c>
      <c r="H910" s="163">
        <v>46026</v>
      </c>
      <c r="I910" s="163">
        <v>46477</v>
      </c>
      <c r="J910" s="163"/>
      <c r="K910" t="s">
        <v>2671</v>
      </c>
      <c r="L910" t="b">
        <v>0</v>
      </c>
    </row>
    <row r="911" spans="1:12">
      <c r="A911" t="s">
        <v>181</v>
      </c>
      <c r="B911">
        <f t="shared" si="30"/>
        <v>4</v>
      </c>
      <c r="C911" t="s">
        <v>2902</v>
      </c>
      <c r="D911" t="s">
        <v>2653</v>
      </c>
      <c r="E911" t="s">
        <v>20</v>
      </c>
      <c r="F911" s="162">
        <v>4950</v>
      </c>
      <c r="G911" t="s">
        <v>2646</v>
      </c>
      <c r="H911" s="163">
        <v>46391</v>
      </c>
      <c r="I911" s="163">
        <v>46843</v>
      </c>
      <c r="J911" s="163"/>
      <c r="K911" t="s">
        <v>2671</v>
      </c>
      <c r="L911" t="b">
        <v>0</v>
      </c>
    </row>
    <row r="912" spans="1:12">
      <c r="A912" t="s">
        <v>181</v>
      </c>
      <c r="B912">
        <f t="shared" si="30"/>
        <v>4</v>
      </c>
      <c r="C912" t="s">
        <v>2902</v>
      </c>
      <c r="D912" t="s">
        <v>1820</v>
      </c>
      <c r="E912" t="s">
        <v>25</v>
      </c>
      <c r="F912" s="162">
        <v>8000</v>
      </c>
      <c r="G912" t="s">
        <v>2646</v>
      </c>
      <c r="H912" s="163">
        <v>46391</v>
      </c>
      <c r="I912" s="163">
        <v>46843</v>
      </c>
      <c r="J912" s="163"/>
      <c r="K912" t="s">
        <v>2671</v>
      </c>
      <c r="L912" t="b">
        <v>0</v>
      </c>
    </row>
    <row r="913" spans="1:12">
      <c r="A913" t="s">
        <v>1961</v>
      </c>
      <c r="B913">
        <f t="shared" si="30"/>
        <v>0</v>
      </c>
      <c r="C913" t="s">
        <v>2903</v>
      </c>
      <c r="D913" t="s">
        <v>2624</v>
      </c>
      <c r="E913" t="s">
        <v>31</v>
      </c>
      <c r="F913" s="162">
        <v>15000</v>
      </c>
      <c r="G913" t="s">
        <v>1705</v>
      </c>
      <c r="H913" s="163">
        <v>45986</v>
      </c>
      <c r="I913" s="163">
        <v>46350</v>
      </c>
      <c r="J913" s="163"/>
      <c r="K913" t="s">
        <v>2671</v>
      </c>
      <c r="L913" t="b">
        <v>0</v>
      </c>
    </row>
    <row r="914" spans="1:12">
      <c r="A914" t="s">
        <v>1973</v>
      </c>
      <c r="B914">
        <f t="shared" si="30"/>
        <v>0</v>
      </c>
      <c r="C914" t="s">
        <v>2904</v>
      </c>
      <c r="D914" t="s">
        <v>1794</v>
      </c>
      <c r="E914" t="s">
        <v>27</v>
      </c>
      <c r="F914" s="162">
        <v>5805</v>
      </c>
      <c r="G914" t="s">
        <v>2646</v>
      </c>
      <c r="H914" s="163">
        <v>46023</v>
      </c>
      <c r="I914" s="163">
        <v>46387</v>
      </c>
      <c r="J914" s="163"/>
      <c r="K914" t="s">
        <v>2656</v>
      </c>
      <c r="L914" t="b">
        <v>0</v>
      </c>
    </row>
    <row r="915" spans="1:12">
      <c r="A915" t="s">
        <v>1962</v>
      </c>
      <c r="B915">
        <f t="shared" si="30"/>
        <v>9</v>
      </c>
      <c r="C915" t="s">
        <v>2905</v>
      </c>
      <c r="D915" t="s">
        <v>1811</v>
      </c>
      <c r="E915" t="s">
        <v>23</v>
      </c>
      <c r="F915" s="162">
        <v>5400</v>
      </c>
      <c r="G915" t="s">
        <v>2646</v>
      </c>
      <c r="H915" s="163">
        <v>45669</v>
      </c>
      <c r="I915" s="163">
        <v>46356</v>
      </c>
      <c r="J915" s="163"/>
      <c r="K915" t="s">
        <v>2680</v>
      </c>
      <c r="L915" t="b">
        <v>0</v>
      </c>
    </row>
    <row r="916" spans="1:12">
      <c r="A916" t="s">
        <v>1962</v>
      </c>
      <c r="B916">
        <f t="shared" si="30"/>
        <v>9</v>
      </c>
      <c r="C916" t="s">
        <v>2905</v>
      </c>
      <c r="D916" t="s">
        <v>1822</v>
      </c>
      <c r="E916" t="s">
        <v>23</v>
      </c>
      <c r="F916" s="162">
        <v>5400</v>
      </c>
      <c r="G916" t="s">
        <v>2646</v>
      </c>
      <c r="H916" s="163">
        <v>45669</v>
      </c>
      <c r="I916" s="163">
        <v>46356</v>
      </c>
      <c r="J916" s="163"/>
      <c r="K916" t="s">
        <v>2680</v>
      </c>
      <c r="L916" t="b">
        <v>0</v>
      </c>
    </row>
    <row r="917" spans="1:12">
      <c r="A917" t="s">
        <v>1962</v>
      </c>
      <c r="B917">
        <f t="shared" si="30"/>
        <v>9</v>
      </c>
      <c r="C917" t="s">
        <v>2905</v>
      </c>
      <c r="D917" t="s">
        <v>1829</v>
      </c>
      <c r="E917" t="s">
        <v>23</v>
      </c>
      <c r="F917" s="162">
        <v>5400</v>
      </c>
      <c r="G917" t="s">
        <v>2646</v>
      </c>
      <c r="H917" s="163">
        <v>45669</v>
      </c>
      <c r="I917" s="163">
        <v>46356</v>
      </c>
      <c r="J917" s="163"/>
      <c r="K917" t="s">
        <v>2680</v>
      </c>
      <c r="L917" t="b">
        <v>0</v>
      </c>
    </row>
    <row r="918" spans="1:12">
      <c r="A918" t="s">
        <v>1962</v>
      </c>
      <c r="B918">
        <f t="shared" si="30"/>
        <v>9</v>
      </c>
      <c r="C918" t="s">
        <v>2905</v>
      </c>
      <c r="D918" t="s">
        <v>2653</v>
      </c>
      <c r="E918" t="s">
        <v>20</v>
      </c>
      <c r="F918" s="162">
        <v>4500</v>
      </c>
      <c r="G918" t="s">
        <v>2646</v>
      </c>
      <c r="H918" s="163">
        <v>45669</v>
      </c>
      <c r="I918" s="163">
        <v>46356</v>
      </c>
      <c r="J918" s="163"/>
      <c r="K918" t="s">
        <v>2680</v>
      </c>
      <c r="L918" t="b">
        <v>0</v>
      </c>
    </row>
    <row r="919" spans="1:12">
      <c r="A919" t="s">
        <v>1962</v>
      </c>
      <c r="B919">
        <f t="shared" si="30"/>
        <v>9</v>
      </c>
      <c r="C919" t="s">
        <v>2905</v>
      </c>
      <c r="D919" t="s">
        <v>1808</v>
      </c>
      <c r="E919" t="s">
        <v>25</v>
      </c>
      <c r="F919" s="162">
        <v>3690</v>
      </c>
      <c r="G919" t="s">
        <v>2646</v>
      </c>
      <c r="H919" s="163">
        <v>45669</v>
      </c>
      <c r="I919" s="163">
        <v>46356</v>
      </c>
      <c r="J919" s="163"/>
      <c r="K919" t="s">
        <v>2680</v>
      </c>
      <c r="L919" t="b">
        <v>0</v>
      </c>
    </row>
    <row r="920" spans="1:12">
      <c r="A920" t="s">
        <v>1962</v>
      </c>
      <c r="B920">
        <f t="shared" si="30"/>
        <v>9</v>
      </c>
      <c r="C920" t="s">
        <v>2905</v>
      </c>
      <c r="D920" t="s">
        <v>1819</v>
      </c>
      <c r="E920" t="s">
        <v>25</v>
      </c>
      <c r="F920" s="162">
        <v>3690</v>
      </c>
      <c r="G920" t="s">
        <v>2646</v>
      </c>
      <c r="H920" s="163">
        <v>45669</v>
      </c>
      <c r="I920" s="163">
        <v>46356</v>
      </c>
      <c r="J920" s="163"/>
      <c r="K920" t="s">
        <v>2680</v>
      </c>
      <c r="L920" t="b">
        <v>0</v>
      </c>
    </row>
    <row r="921" spans="1:12">
      <c r="A921" t="s">
        <v>1962</v>
      </c>
      <c r="B921">
        <f t="shared" si="30"/>
        <v>9</v>
      </c>
      <c r="C921" t="s">
        <v>2905</v>
      </c>
      <c r="D921" t="s">
        <v>1826</v>
      </c>
      <c r="E921" t="s">
        <v>25</v>
      </c>
      <c r="F921" s="162">
        <v>3690</v>
      </c>
      <c r="G921" t="s">
        <v>2646</v>
      </c>
      <c r="H921" s="163">
        <v>45669</v>
      </c>
      <c r="I921" s="163">
        <v>46356</v>
      </c>
      <c r="J921" s="163"/>
      <c r="K921" t="s">
        <v>2680</v>
      </c>
      <c r="L921" t="b">
        <v>0</v>
      </c>
    </row>
    <row r="922" spans="1:12">
      <c r="A922" t="s">
        <v>1962</v>
      </c>
      <c r="B922">
        <f t="shared" si="30"/>
        <v>9</v>
      </c>
      <c r="C922" t="s">
        <v>2905</v>
      </c>
      <c r="D922" t="s">
        <v>1833</v>
      </c>
      <c r="E922" t="s">
        <v>25</v>
      </c>
      <c r="F922" s="162">
        <v>3690</v>
      </c>
      <c r="G922" t="s">
        <v>2646</v>
      </c>
      <c r="H922" s="163">
        <v>45669</v>
      </c>
      <c r="I922" s="163">
        <v>46356</v>
      </c>
      <c r="J922" s="163"/>
      <c r="K922" t="s">
        <v>2680</v>
      </c>
      <c r="L922" t="b">
        <v>0</v>
      </c>
    </row>
    <row r="923" spans="1:12">
      <c r="A923" t="s">
        <v>1962</v>
      </c>
      <c r="B923">
        <f t="shared" si="30"/>
        <v>9</v>
      </c>
      <c r="C923" t="s">
        <v>2905</v>
      </c>
      <c r="D923" t="s">
        <v>1838</v>
      </c>
      <c r="E923" t="s">
        <v>25</v>
      </c>
      <c r="F923" s="162">
        <v>3690</v>
      </c>
      <c r="G923" t="s">
        <v>2646</v>
      </c>
      <c r="H923" s="163">
        <v>45669</v>
      </c>
      <c r="I923" s="163">
        <v>46356</v>
      </c>
      <c r="J923" s="163"/>
      <c r="K923" t="s">
        <v>2680</v>
      </c>
      <c r="L923" t="b">
        <v>0</v>
      </c>
    </row>
    <row r="924" spans="1:12">
      <c r="A924" t="s">
        <v>1959</v>
      </c>
      <c r="B924">
        <f t="shared" si="30"/>
        <v>0</v>
      </c>
      <c r="C924" t="s">
        <v>2906</v>
      </c>
      <c r="D924" t="s">
        <v>2624</v>
      </c>
      <c r="E924" t="s">
        <v>31</v>
      </c>
      <c r="F924" s="162">
        <v>14125</v>
      </c>
      <c r="G924" t="s">
        <v>2642</v>
      </c>
      <c r="H924" s="163">
        <v>45668</v>
      </c>
      <c r="I924" s="163">
        <v>46326</v>
      </c>
      <c r="J924" s="163"/>
      <c r="K924" t="s">
        <v>2671</v>
      </c>
      <c r="L924" t="b">
        <v>0</v>
      </c>
    </row>
    <row r="925" spans="1:12">
      <c r="A925" t="s">
        <v>140</v>
      </c>
      <c r="B925">
        <f t="shared" si="30"/>
        <v>8</v>
      </c>
      <c r="C925" t="s">
        <v>2907</v>
      </c>
      <c r="D925" t="s">
        <v>1814</v>
      </c>
      <c r="E925" t="s">
        <v>1695</v>
      </c>
      <c r="F925" s="162">
        <v>3750</v>
      </c>
      <c r="G925" t="s">
        <v>2642</v>
      </c>
      <c r="H925" s="163">
        <v>45668</v>
      </c>
      <c r="I925" s="163">
        <v>46265</v>
      </c>
      <c r="J925" s="163"/>
      <c r="K925" t="s">
        <v>2656</v>
      </c>
      <c r="L925" t="b">
        <v>0</v>
      </c>
    </row>
    <row r="926" spans="1:12">
      <c r="A926" t="s">
        <v>140</v>
      </c>
      <c r="B926">
        <f t="shared" si="30"/>
        <v>8</v>
      </c>
      <c r="C926" t="s">
        <v>2907</v>
      </c>
      <c r="D926" t="s">
        <v>1824</v>
      </c>
      <c r="E926" t="s">
        <v>1695</v>
      </c>
      <c r="F926" s="162">
        <v>3750</v>
      </c>
      <c r="G926" t="s">
        <v>2642</v>
      </c>
      <c r="H926" s="163">
        <v>45668</v>
      </c>
      <c r="I926" s="163">
        <v>46265</v>
      </c>
      <c r="J926" s="163"/>
      <c r="K926" t="s">
        <v>2656</v>
      </c>
      <c r="L926" t="b">
        <v>0</v>
      </c>
    </row>
    <row r="927" spans="1:12">
      <c r="A927" t="s">
        <v>140</v>
      </c>
      <c r="B927">
        <f t="shared" si="30"/>
        <v>8</v>
      </c>
      <c r="C927" t="s">
        <v>2907</v>
      </c>
      <c r="D927" t="s">
        <v>1842</v>
      </c>
      <c r="E927" t="s">
        <v>1695</v>
      </c>
      <c r="F927" s="162">
        <v>3750</v>
      </c>
      <c r="G927" t="s">
        <v>2642</v>
      </c>
      <c r="H927" s="163">
        <v>45668</v>
      </c>
      <c r="I927" s="163">
        <v>46265</v>
      </c>
      <c r="J927" s="163"/>
      <c r="K927" t="s">
        <v>2656</v>
      </c>
      <c r="L927" t="b">
        <v>0</v>
      </c>
    </row>
    <row r="928" spans="1:12">
      <c r="A928" t="s">
        <v>140</v>
      </c>
      <c r="B928">
        <f t="shared" si="30"/>
        <v>8</v>
      </c>
      <c r="C928" t="s">
        <v>2907</v>
      </c>
      <c r="D928" t="s">
        <v>1851</v>
      </c>
      <c r="E928" t="s">
        <v>1695</v>
      </c>
      <c r="F928" s="162">
        <v>3750</v>
      </c>
      <c r="G928" t="s">
        <v>2642</v>
      </c>
      <c r="H928" s="163">
        <v>45668</v>
      </c>
      <c r="I928" s="163">
        <v>46265</v>
      </c>
      <c r="J928" s="163"/>
      <c r="K928" t="s">
        <v>2656</v>
      </c>
      <c r="L928" t="b">
        <v>0</v>
      </c>
    </row>
    <row r="929" spans="1:12">
      <c r="A929" t="s">
        <v>140</v>
      </c>
      <c r="B929">
        <f t="shared" si="30"/>
        <v>8</v>
      </c>
      <c r="C929" t="s">
        <v>2907</v>
      </c>
      <c r="D929" t="s">
        <v>1853</v>
      </c>
      <c r="E929" t="s">
        <v>1695</v>
      </c>
      <c r="F929" s="162">
        <v>3750</v>
      </c>
      <c r="G929" t="s">
        <v>2642</v>
      </c>
      <c r="H929" s="163">
        <v>45668</v>
      </c>
      <c r="I929" s="163">
        <v>46265</v>
      </c>
      <c r="J929" s="163"/>
      <c r="K929" t="s">
        <v>2656</v>
      </c>
      <c r="L929" t="b">
        <v>0</v>
      </c>
    </row>
    <row r="930" spans="1:12">
      <c r="A930" t="s">
        <v>140</v>
      </c>
      <c r="B930">
        <f t="shared" si="30"/>
        <v>8</v>
      </c>
      <c r="C930" t="s">
        <v>2908</v>
      </c>
      <c r="D930" t="s">
        <v>1829</v>
      </c>
      <c r="E930" t="s">
        <v>23</v>
      </c>
      <c r="F930" s="162">
        <v>17950</v>
      </c>
      <c r="G930" t="s">
        <v>2646</v>
      </c>
      <c r="H930" s="163">
        <v>45666</v>
      </c>
      <c r="I930" s="163">
        <v>46265</v>
      </c>
      <c r="J930" s="163"/>
      <c r="K930" t="s">
        <v>2656</v>
      </c>
      <c r="L930" t="b">
        <v>0</v>
      </c>
    </row>
    <row r="931" spans="1:12">
      <c r="A931" t="s">
        <v>140</v>
      </c>
      <c r="B931">
        <f t="shared" si="30"/>
        <v>8</v>
      </c>
      <c r="C931" t="s">
        <v>2908</v>
      </c>
      <c r="D931" t="s">
        <v>1842</v>
      </c>
      <c r="E931" t="s">
        <v>1695</v>
      </c>
      <c r="F931" s="162">
        <v>7700</v>
      </c>
      <c r="G931" t="s">
        <v>2646</v>
      </c>
      <c r="H931" s="163">
        <v>45666</v>
      </c>
      <c r="I931" s="163">
        <v>46265</v>
      </c>
      <c r="J931" s="163"/>
      <c r="K931" t="s">
        <v>2656</v>
      </c>
      <c r="L931" t="b">
        <v>0</v>
      </c>
    </row>
    <row r="932" spans="1:12">
      <c r="A932" t="s">
        <v>140</v>
      </c>
      <c r="B932">
        <f t="shared" si="30"/>
        <v>8</v>
      </c>
      <c r="C932" t="s">
        <v>2908</v>
      </c>
      <c r="D932" t="s">
        <v>2653</v>
      </c>
      <c r="E932" t="s">
        <v>20</v>
      </c>
      <c r="F932" s="162">
        <v>4300</v>
      </c>
      <c r="G932" t="s">
        <v>2646</v>
      </c>
      <c r="H932" s="163">
        <v>45666</v>
      </c>
      <c r="I932" s="163">
        <v>46265</v>
      </c>
      <c r="J932" s="163"/>
      <c r="K932" t="s">
        <v>2656</v>
      </c>
      <c r="L932" t="b">
        <v>0</v>
      </c>
    </row>
    <row r="933" spans="1:12">
      <c r="A933" t="s">
        <v>459</v>
      </c>
      <c r="B933">
        <f t="shared" si="30"/>
        <v>0</v>
      </c>
      <c r="C933" t="s">
        <v>2909</v>
      </c>
      <c r="D933" t="s">
        <v>1817</v>
      </c>
      <c r="E933" t="s">
        <v>35</v>
      </c>
      <c r="F933" s="162">
        <v>22425</v>
      </c>
      <c r="G933" t="s">
        <v>2646</v>
      </c>
      <c r="H933" s="163">
        <v>46112</v>
      </c>
      <c r="I933" s="163">
        <v>46476</v>
      </c>
      <c r="J933" s="163"/>
      <c r="K933" t="s">
        <v>2643</v>
      </c>
      <c r="L933" t="b">
        <v>1</v>
      </c>
    </row>
    <row r="934" spans="1:12">
      <c r="A934" t="s">
        <v>301</v>
      </c>
      <c r="B934">
        <f t="shared" si="30"/>
        <v>0</v>
      </c>
      <c r="C934" t="s">
        <v>2910</v>
      </c>
      <c r="D934" t="s">
        <v>1838</v>
      </c>
      <c r="E934" t="s">
        <v>25</v>
      </c>
      <c r="F934" s="162">
        <v>7050</v>
      </c>
      <c r="G934" t="s">
        <v>2646</v>
      </c>
      <c r="H934" s="163">
        <v>45665</v>
      </c>
      <c r="I934" s="163">
        <v>46234</v>
      </c>
      <c r="J934" s="163"/>
      <c r="K934" t="s">
        <v>2643</v>
      </c>
      <c r="L934" t="b">
        <v>0</v>
      </c>
    </row>
    <row r="935" spans="1:12">
      <c r="A935" t="s">
        <v>301</v>
      </c>
      <c r="B935">
        <f t="shared" si="30"/>
        <v>0</v>
      </c>
      <c r="C935" t="s">
        <v>2910</v>
      </c>
      <c r="D935" t="s">
        <v>1826</v>
      </c>
      <c r="E935" t="s">
        <v>25</v>
      </c>
      <c r="F935" s="162">
        <v>8950</v>
      </c>
      <c r="G935" t="s">
        <v>2646</v>
      </c>
      <c r="H935" s="163">
        <v>45665</v>
      </c>
      <c r="I935" s="163">
        <v>46234</v>
      </c>
      <c r="J935" s="163"/>
      <c r="K935" t="s">
        <v>2643</v>
      </c>
      <c r="L935" t="b">
        <v>0</v>
      </c>
    </row>
    <row r="936" spans="1:12">
      <c r="A936" t="s">
        <v>1998</v>
      </c>
      <c r="B936">
        <f t="shared" si="30"/>
        <v>10</v>
      </c>
      <c r="C936" t="s">
        <v>2911</v>
      </c>
      <c r="D936" t="s">
        <v>2624</v>
      </c>
      <c r="E936" t="s">
        <v>31</v>
      </c>
      <c r="F936" s="162">
        <v>16863</v>
      </c>
      <c r="G936" t="s">
        <v>2646</v>
      </c>
      <c r="H936" s="163">
        <v>46109</v>
      </c>
      <c r="I936" s="163">
        <v>46473</v>
      </c>
      <c r="J936" s="163"/>
      <c r="K936" t="s">
        <v>2643</v>
      </c>
      <c r="L936" t="b">
        <v>0</v>
      </c>
    </row>
    <row r="937" spans="1:12">
      <c r="A937" t="s">
        <v>1998</v>
      </c>
      <c r="B937">
        <f t="shared" si="30"/>
        <v>10</v>
      </c>
      <c r="C937" t="s">
        <v>2911</v>
      </c>
      <c r="D937" t="s">
        <v>1811</v>
      </c>
      <c r="E937" t="s">
        <v>23</v>
      </c>
      <c r="F937" s="162">
        <v>7663.3333333333303</v>
      </c>
      <c r="G937" t="s">
        <v>2646</v>
      </c>
      <c r="H937" s="163">
        <v>46109</v>
      </c>
      <c r="I937" s="163">
        <v>46473</v>
      </c>
      <c r="J937" s="163"/>
      <c r="K937" t="s">
        <v>2643</v>
      </c>
      <c r="L937" t="b">
        <v>0</v>
      </c>
    </row>
    <row r="938" spans="1:12">
      <c r="A938" t="s">
        <v>1998</v>
      </c>
      <c r="B938">
        <f t="shared" si="30"/>
        <v>10</v>
      </c>
      <c r="C938" t="s">
        <v>2911</v>
      </c>
      <c r="D938" t="s">
        <v>1822</v>
      </c>
      <c r="E938" t="s">
        <v>23</v>
      </c>
      <c r="F938" s="162">
        <v>7663.3333333333303</v>
      </c>
      <c r="G938" t="s">
        <v>2646</v>
      </c>
      <c r="H938" s="163">
        <v>46109</v>
      </c>
      <c r="I938" s="163">
        <v>46473</v>
      </c>
      <c r="J938" s="163"/>
      <c r="K938" t="s">
        <v>2643</v>
      </c>
      <c r="L938" t="b">
        <v>0</v>
      </c>
    </row>
    <row r="939" spans="1:12">
      <c r="A939" t="s">
        <v>1998</v>
      </c>
      <c r="B939">
        <f t="shared" si="30"/>
        <v>10</v>
      </c>
      <c r="C939" t="s">
        <v>2911</v>
      </c>
      <c r="D939" t="s">
        <v>1829</v>
      </c>
      <c r="E939" t="s">
        <v>23</v>
      </c>
      <c r="F939" s="162">
        <v>7663.3333333333303</v>
      </c>
      <c r="G939" t="s">
        <v>2646</v>
      </c>
      <c r="H939" s="163">
        <v>46109</v>
      </c>
      <c r="I939" s="163">
        <v>46473</v>
      </c>
      <c r="J939" s="163"/>
      <c r="K939" t="s">
        <v>2643</v>
      </c>
      <c r="L939" t="b">
        <v>0</v>
      </c>
    </row>
    <row r="940" spans="1:12">
      <c r="A940" t="s">
        <v>1998</v>
      </c>
      <c r="B940">
        <f t="shared" si="30"/>
        <v>10</v>
      </c>
      <c r="C940" t="s">
        <v>2911</v>
      </c>
      <c r="D940" t="s">
        <v>2653</v>
      </c>
      <c r="E940" t="s">
        <v>20</v>
      </c>
      <c r="F940" s="162">
        <v>9215</v>
      </c>
      <c r="G940" t="s">
        <v>2646</v>
      </c>
      <c r="H940" s="163">
        <v>46109</v>
      </c>
      <c r="I940" s="163">
        <v>46473</v>
      </c>
      <c r="J940" s="163"/>
      <c r="K940" t="s">
        <v>2643</v>
      </c>
      <c r="L940" t="b">
        <v>0</v>
      </c>
    </row>
    <row r="941" spans="1:12">
      <c r="A941" t="s">
        <v>1998</v>
      </c>
      <c r="B941">
        <f t="shared" si="30"/>
        <v>10</v>
      </c>
      <c r="C941" t="s">
        <v>2912</v>
      </c>
      <c r="D941" t="s">
        <v>2624</v>
      </c>
      <c r="E941" t="s">
        <v>31</v>
      </c>
      <c r="F941" s="162">
        <v>18531</v>
      </c>
      <c r="G941" t="s">
        <v>2646</v>
      </c>
      <c r="H941" s="163">
        <v>46474</v>
      </c>
      <c r="I941" s="163">
        <v>46839</v>
      </c>
      <c r="J941" s="163"/>
      <c r="K941" t="s">
        <v>2643</v>
      </c>
      <c r="L941" t="b">
        <v>0</v>
      </c>
    </row>
    <row r="942" spans="1:12">
      <c r="A942" t="s">
        <v>1998</v>
      </c>
      <c r="B942">
        <f t="shared" si="30"/>
        <v>10</v>
      </c>
      <c r="C942" t="s">
        <v>2912</v>
      </c>
      <c r="D942" t="s">
        <v>1811</v>
      </c>
      <c r="E942" t="s">
        <v>23</v>
      </c>
      <c r="F942" s="162">
        <v>7663.3333333333303</v>
      </c>
      <c r="G942" t="s">
        <v>2646</v>
      </c>
      <c r="H942" s="163">
        <v>46474</v>
      </c>
      <c r="I942" s="163">
        <v>46839</v>
      </c>
      <c r="J942" s="163"/>
      <c r="K942" t="s">
        <v>2643</v>
      </c>
      <c r="L942" t="b">
        <v>0</v>
      </c>
    </row>
    <row r="943" spans="1:12">
      <c r="A943" t="s">
        <v>1998</v>
      </c>
      <c r="B943">
        <f t="shared" si="30"/>
        <v>10</v>
      </c>
      <c r="C943" t="s">
        <v>2912</v>
      </c>
      <c r="D943" t="s">
        <v>1822</v>
      </c>
      <c r="E943" t="s">
        <v>23</v>
      </c>
      <c r="F943" s="162">
        <v>7663.3333333333303</v>
      </c>
      <c r="G943" t="s">
        <v>2646</v>
      </c>
      <c r="H943" s="163">
        <v>46474</v>
      </c>
      <c r="I943" s="163">
        <v>46839</v>
      </c>
      <c r="J943" s="163"/>
      <c r="K943" t="s">
        <v>2643</v>
      </c>
      <c r="L943" t="b">
        <v>0</v>
      </c>
    </row>
    <row r="944" spans="1:12">
      <c r="A944" t="s">
        <v>1998</v>
      </c>
      <c r="B944">
        <f t="shared" si="30"/>
        <v>10</v>
      </c>
      <c r="C944" t="s">
        <v>2912</v>
      </c>
      <c r="D944" t="s">
        <v>1829</v>
      </c>
      <c r="E944" t="s">
        <v>23</v>
      </c>
      <c r="F944" s="162">
        <v>7663.3333333333303</v>
      </c>
      <c r="G944" t="s">
        <v>2646</v>
      </c>
      <c r="H944" s="163">
        <v>46474</v>
      </c>
      <c r="I944" s="163">
        <v>46839</v>
      </c>
      <c r="J944" s="163"/>
      <c r="K944" t="s">
        <v>2643</v>
      </c>
      <c r="L944" t="b">
        <v>0</v>
      </c>
    </row>
    <row r="945" spans="1:12">
      <c r="A945" t="s">
        <v>1998</v>
      </c>
      <c r="B945">
        <f t="shared" si="30"/>
        <v>10</v>
      </c>
      <c r="C945" t="s">
        <v>2912</v>
      </c>
      <c r="D945" t="s">
        <v>2653</v>
      </c>
      <c r="E945" t="s">
        <v>20</v>
      </c>
      <c r="F945" s="162">
        <v>10000</v>
      </c>
      <c r="G945" t="s">
        <v>2646</v>
      </c>
      <c r="H945" s="163">
        <v>46474</v>
      </c>
      <c r="I945" s="163">
        <v>46839</v>
      </c>
      <c r="J945" s="163"/>
      <c r="K945" t="s">
        <v>2643</v>
      </c>
      <c r="L945" t="b">
        <v>0</v>
      </c>
    </row>
    <row r="946" spans="1:12">
      <c r="A946" t="s">
        <v>88</v>
      </c>
      <c r="B946">
        <f t="shared" si="30"/>
        <v>38</v>
      </c>
      <c r="C946" t="s">
        <v>2913</v>
      </c>
      <c r="D946" t="s">
        <v>1810</v>
      </c>
      <c r="E946" t="s">
        <v>21</v>
      </c>
      <c r="F946" s="162">
        <v>1583.3333333333301</v>
      </c>
      <c r="G946" t="s">
        <v>2646</v>
      </c>
      <c r="H946" s="163">
        <v>45667</v>
      </c>
      <c r="I946" s="163">
        <v>46295</v>
      </c>
      <c r="J946" s="163"/>
      <c r="K946" t="s">
        <v>2671</v>
      </c>
      <c r="L946" t="b">
        <v>0</v>
      </c>
    </row>
    <row r="947" spans="1:12">
      <c r="A947" t="s">
        <v>88</v>
      </c>
      <c r="B947">
        <f t="shared" si="30"/>
        <v>38</v>
      </c>
      <c r="C947" t="s">
        <v>2913</v>
      </c>
      <c r="D947" t="s">
        <v>1821</v>
      </c>
      <c r="E947" t="s">
        <v>21</v>
      </c>
      <c r="F947" s="162">
        <v>1583.3333333333301</v>
      </c>
      <c r="G947" t="s">
        <v>2646</v>
      </c>
      <c r="H947" s="163">
        <v>45667</v>
      </c>
      <c r="I947" s="163">
        <v>46295</v>
      </c>
      <c r="J947" s="163"/>
      <c r="K947" t="s">
        <v>2671</v>
      </c>
      <c r="L947" t="b">
        <v>0</v>
      </c>
    </row>
    <row r="948" spans="1:12">
      <c r="A948" t="s">
        <v>88</v>
      </c>
      <c r="B948">
        <f t="shared" si="30"/>
        <v>38</v>
      </c>
      <c r="C948" t="s">
        <v>2913</v>
      </c>
      <c r="D948" t="s">
        <v>1828</v>
      </c>
      <c r="E948" t="s">
        <v>21</v>
      </c>
      <c r="F948" s="162">
        <v>1583.3333333333301</v>
      </c>
      <c r="G948" t="s">
        <v>2646</v>
      </c>
      <c r="H948" s="163">
        <v>45667</v>
      </c>
      <c r="I948" s="163">
        <v>46295</v>
      </c>
      <c r="J948" s="163"/>
      <c r="K948" t="s">
        <v>2671</v>
      </c>
      <c r="L948" t="b">
        <v>0</v>
      </c>
    </row>
    <row r="949" spans="1:12">
      <c r="A949" t="s">
        <v>88</v>
      </c>
      <c r="B949">
        <f t="shared" si="30"/>
        <v>38</v>
      </c>
      <c r="C949" t="s">
        <v>2913</v>
      </c>
      <c r="D949" t="s">
        <v>1835</v>
      </c>
      <c r="E949" t="s">
        <v>21</v>
      </c>
      <c r="F949" s="162">
        <v>1583.3333333333301</v>
      </c>
      <c r="G949" t="s">
        <v>2646</v>
      </c>
      <c r="H949" s="163">
        <v>45667</v>
      </c>
      <c r="I949" s="163">
        <v>46295</v>
      </c>
      <c r="J949" s="163"/>
      <c r="K949" t="s">
        <v>2671</v>
      </c>
      <c r="L949" t="b">
        <v>0</v>
      </c>
    </row>
    <row r="950" spans="1:12">
      <c r="A950" t="s">
        <v>88</v>
      </c>
      <c r="B950">
        <f t="shared" si="30"/>
        <v>38</v>
      </c>
      <c r="C950" t="s">
        <v>2913</v>
      </c>
      <c r="D950" t="s">
        <v>1841</v>
      </c>
      <c r="E950" t="s">
        <v>21</v>
      </c>
      <c r="F950" s="162">
        <v>1583.3333333333301</v>
      </c>
      <c r="G950" t="s">
        <v>2646</v>
      </c>
      <c r="H950" s="163">
        <v>45667</v>
      </c>
      <c r="I950" s="163">
        <v>46295</v>
      </c>
      <c r="J950" s="163"/>
      <c r="K950" t="s">
        <v>2671</v>
      </c>
      <c r="L950" t="b">
        <v>0</v>
      </c>
    </row>
    <row r="951" spans="1:12">
      <c r="A951" t="s">
        <v>88</v>
      </c>
      <c r="B951">
        <f t="shared" si="30"/>
        <v>38</v>
      </c>
      <c r="C951" t="s">
        <v>2913</v>
      </c>
      <c r="D951" t="s">
        <v>1843</v>
      </c>
      <c r="E951" t="s">
        <v>21</v>
      </c>
      <c r="F951" s="162">
        <v>1583.3333333333301</v>
      </c>
      <c r="G951" t="s">
        <v>2646</v>
      </c>
      <c r="H951" s="163">
        <v>45667</v>
      </c>
      <c r="I951" s="163">
        <v>46295</v>
      </c>
      <c r="J951" s="163"/>
      <c r="K951" t="s">
        <v>2671</v>
      </c>
      <c r="L951" t="b">
        <v>0</v>
      </c>
    </row>
    <row r="952" spans="1:12">
      <c r="A952" t="s">
        <v>88</v>
      </c>
      <c r="B952">
        <f t="shared" si="30"/>
        <v>38</v>
      </c>
      <c r="C952" t="s">
        <v>2913</v>
      </c>
      <c r="D952" t="s">
        <v>1813</v>
      </c>
      <c r="E952" t="s">
        <v>21</v>
      </c>
      <c r="F952" s="162">
        <v>6875</v>
      </c>
      <c r="G952" t="s">
        <v>2646</v>
      </c>
      <c r="H952" s="163">
        <v>45667</v>
      </c>
      <c r="I952" s="163">
        <v>46295</v>
      </c>
      <c r="J952" s="163"/>
      <c r="K952" t="s">
        <v>2671</v>
      </c>
      <c r="L952" t="b">
        <v>0</v>
      </c>
    </row>
    <row r="953" spans="1:12">
      <c r="A953" t="s">
        <v>88</v>
      </c>
      <c r="B953">
        <f t="shared" si="30"/>
        <v>38</v>
      </c>
      <c r="C953" t="s">
        <v>2913</v>
      </c>
      <c r="D953" t="s">
        <v>1823</v>
      </c>
      <c r="E953" t="s">
        <v>21</v>
      </c>
      <c r="F953" s="162">
        <v>6875</v>
      </c>
      <c r="G953" t="s">
        <v>2646</v>
      </c>
      <c r="H953" s="163">
        <v>45667</v>
      </c>
      <c r="I953" s="163">
        <v>46295</v>
      </c>
      <c r="J953" s="163"/>
      <c r="K953" t="s">
        <v>2671</v>
      </c>
      <c r="L953" t="b">
        <v>0</v>
      </c>
    </row>
    <row r="954" spans="1:12">
      <c r="A954" t="s">
        <v>88</v>
      </c>
      <c r="B954">
        <f t="shared" si="30"/>
        <v>38</v>
      </c>
      <c r="C954" t="s">
        <v>2913</v>
      </c>
      <c r="D954" t="s">
        <v>1830</v>
      </c>
      <c r="E954" t="s">
        <v>21</v>
      </c>
      <c r="F954" s="162">
        <v>6875</v>
      </c>
      <c r="G954" t="s">
        <v>2646</v>
      </c>
      <c r="H954" s="163">
        <v>45667</v>
      </c>
      <c r="I954" s="163">
        <v>46295</v>
      </c>
      <c r="J954" s="163"/>
      <c r="K954" t="s">
        <v>2671</v>
      </c>
      <c r="L954" t="b">
        <v>0</v>
      </c>
    </row>
    <row r="955" spans="1:12">
      <c r="A955" t="s">
        <v>88</v>
      </c>
      <c r="B955">
        <f t="shared" si="30"/>
        <v>38</v>
      </c>
      <c r="C955" t="s">
        <v>2913</v>
      </c>
      <c r="D955" t="s">
        <v>1836</v>
      </c>
      <c r="E955" t="s">
        <v>21</v>
      </c>
      <c r="F955" s="162">
        <v>6875</v>
      </c>
      <c r="G955" t="s">
        <v>2646</v>
      </c>
      <c r="H955" s="163">
        <v>45667</v>
      </c>
      <c r="I955" s="163">
        <v>46295</v>
      </c>
      <c r="J955" s="163"/>
      <c r="K955" t="s">
        <v>2671</v>
      </c>
      <c r="L955" t="b">
        <v>0</v>
      </c>
    </row>
    <row r="956" spans="1:12">
      <c r="A956" t="s">
        <v>88</v>
      </c>
      <c r="B956">
        <f t="shared" si="30"/>
        <v>38</v>
      </c>
      <c r="C956" t="s">
        <v>2913</v>
      </c>
      <c r="D956" t="s">
        <v>1814</v>
      </c>
      <c r="E956" t="s">
        <v>1695</v>
      </c>
      <c r="F956" s="162">
        <v>10200</v>
      </c>
      <c r="G956" t="s">
        <v>2646</v>
      </c>
      <c r="H956" s="163">
        <v>45667</v>
      </c>
      <c r="I956" s="163">
        <v>46295</v>
      </c>
      <c r="J956" s="163"/>
      <c r="K956" t="s">
        <v>2671</v>
      </c>
      <c r="L956" t="b">
        <v>0</v>
      </c>
    </row>
    <row r="957" spans="1:12">
      <c r="A957" t="s">
        <v>88</v>
      </c>
      <c r="B957">
        <f t="shared" si="30"/>
        <v>38</v>
      </c>
      <c r="C957" t="s">
        <v>2913</v>
      </c>
      <c r="D957" t="s">
        <v>1824</v>
      </c>
      <c r="E957" t="s">
        <v>1695</v>
      </c>
      <c r="F957" s="162">
        <v>10200</v>
      </c>
      <c r="G957" t="s">
        <v>2646</v>
      </c>
      <c r="H957" s="163">
        <v>45667</v>
      </c>
      <c r="I957" s="163">
        <v>46295</v>
      </c>
      <c r="J957" s="163"/>
      <c r="K957" t="s">
        <v>2671</v>
      </c>
      <c r="L957" t="b">
        <v>0</v>
      </c>
    </row>
    <row r="958" spans="1:12">
      <c r="A958" t="s">
        <v>88</v>
      </c>
      <c r="B958">
        <f t="shared" si="30"/>
        <v>38</v>
      </c>
      <c r="C958" t="s">
        <v>2913</v>
      </c>
      <c r="D958" t="s">
        <v>1842</v>
      </c>
      <c r="E958" t="s">
        <v>1695</v>
      </c>
      <c r="F958" s="162">
        <v>10200</v>
      </c>
      <c r="G958" t="s">
        <v>2646</v>
      </c>
      <c r="H958" s="163">
        <v>45667</v>
      </c>
      <c r="I958" s="163">
        <v>46295</v>
      </c>
      <c r="J958" s="163"/>
      <c r="K958" t="s">
        <v>2671</v>
      </c>
      <c r="L958" t="b">
        <v>0</v>
      </c>
    </row>
    <row r="959" spans="1:12">
      <c r="A959" t="s">
        <v>88</v>
      </c>
      <c r="B959">
        <f t="shared" si="30"/>
        <v>38</v>
      </c>
      <c r="C959" t="s">
        <v>2913</v>
      </c>
      <c r="D959" t="s">
        <v>1851</v>
      </c>
      <c r="E959" t="s">
        <v>1695</v>
      </c>
      <c r="F959" s="162">
        <v>10200</v>
      </c>
      <c r="G959" t="s">
        <v>2646</v>
      </c>
      <c r="H959" s="163">
        <v>45667</v>
      </c>
      <c r="I959" s="163">
        <v>46295</v>
      </c>
      <c r="J959" s="163"/>
      <c r="K959" t="s">
        <v>2671</v>
      </c>
      <c r="L959" t="b">
        <v>0</v>
      </c>
    </row>
    <row r="960" spans="1:12">
      <c r="A960" t="s">
        <v>88</v>
      </c>
      <c r="B960">
        <f t="shared" si="30"/>
        <v>38</v>
      </c>
      <c r="C960" t="s">
        <v>2913</v>
      </c>
      <c r="D960" t="s">
        <v>1853</v>
      </c>
      <c r="E960" t="s">
        <v>1695</v>
      </c>
      <c r="F960" s="162">
        <v>10200</v>
      </c>
      <c r="G960" t="s">
        <v>2646</v>
      </c>
      <c r="H960" s="163">
        <v>45667</v>
      </c>
      <c r="I960" s="163">
        <v>46295</v>
      </c>
      <c r="J960" s="163"/>
      <c r="K960" t="s">
        <v>2671</v>
      </c>
      <c r="L960" t="b">
        <v>0</v>
      </c>
    </row>
    <row r="961" spans="1:12">
      <c r="A961" t="s">
        <v>88</v>
      </c>
      <c r="B961">
        <f t="shared" si="30"/>
        <v>38</v>
      </c>
      <c r="C961" t="s">
        <v>2913</v>
      </c>
      <c r="D961" t="s">
        <v>2653</v>
      </c>
      <c r="E961" t="s">
        <v>20</v>
      </c>
      <c r="F961" s="162">
        <v>9000</v>
      </c>
      <c r="G961" t="s">
        <v>2646</v>
      </c>
      <c r="H961" s="163">
        <v>45667</v>
      </c>
      <c r="I961" s="163">
        <v>46295</v>
      </c>
      <c r="J961" s="163"/>
      <c r="K961" t="s">
        <v>2671</v>
      </c>
      <c r="L961" t="b">
        <v>0</v>
      </c>
    </row>
    <row r="962" spans="1:12">
      <c r="A962" t="s">
        <v>88</v>
      </c>
      <c r="B962">
        <f t="shared" si="30"/>
        <v>38</v>
      </c>
      <c r="C962" t="s">
        <v>2913</v>
      </c>
      <c r="D962" t="s">
        <v>1811</v>
      </c>
      <c r="E962" t="s">
        <v>23</v>
      </c>
      <c r="F962" s="162">
        <v>7500</v>
      </c>
      <c r="G962" t="s">
        <v>2646</v>
      </c>
      <c r="H962" s="163">
        <v>45667</v>
      </c>
      <c r="I962" s="163">
        <v>46295</v>
      </c>
      <c r="J962" s="163"/>
      <c r="K962" t="s">
        <v>2671</v>
      </c>
      <c r="L962" t="b">
        <v>0</v>
      </c>
    </row>
    <row r="963" spans="1:12">
      <c r="A963" t="s">
        <v>88</v>
      </c>
      <c r="B963">
        <f t="shared" ref="B963:B1026" si="31">IF(COUNTIFS($A$2:$A$1053,A963,$E$2:$E$1053,"Industry Essentials")&gt;0, COUNTIF($A$2:$A$1053,A963), 0)</f>
        <v>38</v>
      </c>
      <c r="C963" t="s">
        <v>2913</v>
      </c>
      <c r="D963" t="s">
        <v>1822</v>
      </c>
      <c r="E963" t="s">
        <v>23</v>
      </c>
      <c r="F963" s="162">
        <v>7500</v>
      </c>
      <c r="G963" t="s">
        <v>2646</v>
      </c>
      <c r="H963" s="163">
        <v>45667</v>
      </c>
      <c r="I963" s="163">
        <v>46295</v>
      </c>
      <c r="J963" s="163"/>
      <c r="K963" t="s">
        <v>2671</v>
      </c>
      <c r="L963" t="b">
        <v>0</v>
      </c>
    </row>
    <row r="964" spans="1:12">
      <c r="A964" t="s">
        <v>88</v>
      </c>
      <c r="B964">
        <f t="shared" si="31"/>
        <v>38</v>
      </c>
      <c r="C964" t="s">
        <v>2913</v>
      </c>
      <c r="D964" t="s">
        <v>1829</v>
      </c>
      <c r="E964" t="s">
        <v>23</v>
      </c>
      <c r="F964" s="162">
        <v>7500</v>
      </c>
      <c r="G964" t="s">
        <v>2646</v>
      </c>
      <c r="H964" s="163">
        <v>45667</v>
      </c>
      <c r="I964" s="163">
        <v>46295</v>
      </c>
      <c r="J964" s="163"/>
      <c r="K964" t="s">
        <v>2671</v>
      </c>
      <c r="L964" t="b">
        <v>0</v>
      </c>
    </row>
    <row r="965" spans="1:12">
      <c r="A965" t="s">
        <v>88</v>
      </c>
      <c r="B965">
        <f t="shared" si="31"/>
        <v>38</v>
      </c>
      <c r="C965" t="s">
        <v>2914</v>
      </c>
      <c r="D965" t="s">
        <v>1811</v>
      </c>
      <c r="E965" t="s">
        <v>23</v>
      </c>
      <c r="F965" s="162">
        <v>7833.3333333333303</v>
      </c>
      <c r="G965" t="s">
        <v>2646</v>
      </c>
      <c r="H965" s="163">
        <v>46032</v>
      </c>
      <c r="I965" s="163">
        <v>46660</v>
      </c>
      <c r="J965" s="163"/>
      <c r="K965" t="s">
        <v>2671</v>
      </c>
      <c r="L965" t="b">
        <v>0</v>
      </c>
    </row>
    <row r="966" spans="1:12">
      <c r="A966" t="s">
        <v>88</v>
      </c>
      <c r="B966">
        <f t="shared" si="31"/>
        <v>38</v>
      </c>
      <c r="C966" t="s">
        <v>2914</v>
      </c>
      <c r="D966" t="s">
        <v>1822</v>
      </c>
      <c r="E966" t="s">
        <v>23</v>
      </c>
      <c r="F966" s="162">
        <v>7833.3333333333303</v>
      </c>
      <c r="G966" t="s">
        <v>2646</v>
      </c>
      <c r="H966" s="163">
        <v>46032</v>
      </c>
      <c r="I966" s="163">
        <v>46660</v>
      </c>
      <c r="J966" s="163"/>
      <c r="K966" t="s">
        <v>2671</v>
      </c>
      <c r="L966" t="b">
        <v>0</v>
      </c>
    </row>
    <row r="967" spans="1:12">
      <c r="A967" t="s">
        <v>88</v>
      </c>
      <c r="B967">
        <f t="shared" si="31"/>
        <v>38</v>
      </c>
      <c r="C967" t="s">
        <v>2914</v>
      </c>
      <c r="D967" t="s">
        <v>1829</v>
      </c>
      <c r="E967" t="s">
        <v>23</v>
      </c>
      <c r="F967" s="162">
        <v>7833.3333333333303</v>
      </c>
      <c r="G967" t="s">
        <v>2646</v>
      </c>
      <c r="H967" s="163">
        <v>46032</v>
      </c>
      <c r="I967" s="163">
        <v>46660</v>
      </c>
      <c r="J967" s="163"/>
      <c r="K967" t="s">
        <v>2671</v>
      </c>
      <c r="L967" t="b">
        <v>0</v>
      </c>
    </row>
    <row r="968" spans="1:12">
      <c r="A968" t="s">
        <v>88</v>
      </c>
      <c r="B968">
        <f t="shared" si="31"/>
        <v>38</v>
      </c>
      <c r="C968" t="s">
        <v>2914</v>
      </c>
      <c r="D968" t="s">
        <v>1813</v>
      </c>
      <c r="E968" t="s">
        <v>21</v>
      </c>
      <c r="F968" s="162">
        <v>7375</v>
      </c>
      <c r="G968" t="s">
        <v>2646</v>
      </c>
      <c r="H968" s="163">
        <v>46032</v>
      </c>
      <c r="I968" s="163">
        <v>46660</v>
      </c>
      <c r="J968" s="163"/>
      <c r="K968" t="s">
        <v>2671</v>
      </c>
      <c r="L968" t="b">
        <v>0</v>
      </c>
    </row>
    <row r="969" spans="1:12">
      <c r="A969" t="s">
        <v>88</v>
      </c>
      <c r="B969">
        <f t="shared" si="31"/>
        <v>38</v>
      </c>
      <c r="C969" t="s">
        <v>2914</v>
      </c>
      <c r="D969" t="s">
        <v>1823</v>
      </c>
      <c r="E969" t="s">
        <v>21</v>
      </c>
      <c r="F969" s="162">
        <v>7375</v>
      </c>
      <c r="G969" t="s">
        <v>2646</v>
      </c>
      <c r="H969" s="163">
        <v>46032</v>
      </c>
      <c r="I969" s="163">
        <v>46660</v>
      </c>
      <c r="J969" s="163"/>
      <c r="K969" t="s">
        <v>2671</v>
      </c>
      <c r="L969" t="b">
        <v>0</v>
      </c>
    </row>
    <row r="970" spans="1:12">
      <c r="A970" t="s">
        <v>88</v>
      </c>
      <c r="B970">
        <f t="shared" si="31"/>
        <v>38</v>
      </c>
      <c r="C970" t="s">
        <v>2914</v>
      </c>
      <c r="D970" t="s">
        <v>1830</v>
      </c>
      <c r="E970" t="s">
        <v>21</v>
      </c>
      <c r="F970" s="162">
        <v>7375</v>
      </c>
      <c r="G970" t="s">
        <v>2646</v>
      </c>
      <c r="H970" s="163">
        <v>46032</v>
      </c>
      <c r="I970" s="163">
        <v>46660</v>
      </c>
      <c r="J970" s="163"/>
      <c r="K970" t="s">
        <v>2671</v>
      </c>
      <c r="L970" t="b">
        <v>0</v>
      </c>
    </row>
    <row r="971" spans="1:12">
      <c r="A971" t="s">
        <v>88</v>
      </c>
      <c r="B971">
        <f t="shared" si="31"/>
        <v>38</v>
      </c>
      <c r="C971" t="s">
        <v>2914</v>
      </c>
      <c r="D971" t="s">
        <v>1836</v>
      </c>
      <c r="E971" t="s">
        <v>21</v>
      </c>
      <c r="F971" s="162">
        <v>7375</v>
      </c>
      <c r="G971" t="s">
        <v>2646</v>
      </c>
      <c r="H971" s="163">
        <v>46032</v>
      </c>
      <c r="I971" s="163">
        <v>46660</v>
      </c>
      <c r="J971" s="163"/>
      <c r="K971" t="s">
        <v>2671</v>
      </c>
      <c r="L971" t="b">
        <v>0</v>
      </c>
    </row>
    <row r="972" spans="1:12">
      <c r="A972" t="s">
        <v>88</v>
      </c>
      <c r="B972">
        <f t="shared" si="31"/>
        <v>38</v>
      </c>
      <c r="C972" t="s">
        <v>2914</v>
      </c>
      <c r="D972" t="s">
        <v>2653</v>
      </c>
      <c r="E972" t="s">
        <v>20</v>
      </c>
      <c r="F972" s="162">
        <v>9675</v>
      </c>
      <c r="G972" t="s">
        <v>2646</v>
      </c>
      <c r="H972" s="163">
        <v>46032</v>
      </c>
      <c r="I972" s="163">
        <v>46660</v>
      </c>
      <c r="J972" s="163"/>
      <c r="K972" t="s">
        <v>2671</v>
      </c>
      <c r="L972" t="b">
        <v>0</v>
      </c>
    </row>
    <row r="973" spans="1:12">
      <c r="A973" t="s">
        <v>88</v>
      </c>
      <c r="B973">
        <f t="shared" si="31"/>
        <v>38</v>
      </c>
      <c r="C973" t="s">
        <v>2914</v>
      </c>
      <c r="D973" t="s">
        <v>1814</v>
      </c>
      <c r="E973" t="s">
        <v>1695</v>
      </c>
      <c r="F973" s="162">
        <v>10700</v>
      </c>
      <c r="G973" t="s">
        <v>2646</v>
      </c>
      <c r="H973" s="163">
        <v>46032</v>
      </c>
      <c r="I973" s="163">
        <v>46660</v>
      </c>
      <c r="J973" s="163"/>
      <c r="K973" t="s">
        <v>2671</v>
      </c>
      <c r="L973" t="b">
        <v>0</v>
      </c>
    </row>
    <row r="974" spans="1:12">
      <c r="A974" t="s">
        <v>88</v>
      </c>
      <c r="B974">
        <f t="shared" si="31"/>
        <v>38</v>
      </c>
      <c r="C974" t="s">
        <v>2914</v>
      </c>
      <c r="D974" t="s">
        <v>1824</v>
      </c>
      <c r="E974" t="s">
        <v>1695</v>
      </c>
      <c r="F974" s="162">
        <v>10700</v>
      </c>
      <c r="G974" t="s">
        <v>2646</v>
      </c>
      <c r="H974" s="163">
        <v>46032</v>
      </c>
      <c r="I974" s="163">
        <v>46660</v>
      </c>
      <c r="J974" s="163"/>
      <c r="K974" t="s">
        <v>2671</v>
      </c>
      <c r="L974" t="b">
        <v>0</v>
      </c>
    </row>
    <row r="975" spans="1:12">
      <c r="A975" t="s">
        <v>88</v>
      </c>
      <c r="B975">
        <f t="shared" si="31"/>
        <v>38</v>
      </c>
      <c r="C975" t="s">
        <v>2914</v>
      </c>
      <c r="D975" t="s">
        <v>1842</v>
      </c>
      <c r="E975" t="s">
        <v>1695</v>
      </c>
      <c r="F975" s="162">
        <v>10700</v>
      </c>
      <c r="G975" t="s">
        <v>2646</v>
      </c>
      <c r="H975" s="163">
        <v>46032</v>
      </c>
      <c r="I975" s="163">
        <v>46660</v>
      </c>
      <c r="J975" s="163"/>
      <c r="K975" t="s">
        <v>2671</v>
      </c>
      <c r="L975" t="b">
        <v>0</v>
      </c>
    </row>
    <row r="976" spans="1:12">
      <c r="A976" t="s">
        <v>88</v>
      </c>
      <c r="B976">
        <f t="shared" si="31"/>
        <v>38</v>
      </c>
      <c r="C976" t="s">
        <v>2914</v>
      </c>
      <c r="D976" t="s">
        <v>1851</v>
      </c>
      <c r="E976" t="s">
        <v>1695</v>
      </c>
      <c r="F976" s="162">
        <v>10700</v>
      </c>
      <c r="G976" t="s">
        <v>2646</v>
      </c>
      <c r="H976" s="163">
        <v>46032</v>
      </c>
      <c r="I976" s="163">
        <v>46660</v>
      </c>
      <c r="J976" s="163"/>
      <c r="K976" t="s">
        <v>2671</v>
      </c>
      <c r="L976" t="b">
        <v>0</v>
      </c>
    </row>
    <row r="977" spans="1:12">
      <c r="A977" t="s">
        <v>88</v>
      </c>
      <c r="B977">
        <f t="shared" si="31"/>
        <v>38</v>
      </c>
      <c r="C977" t="s">
        <v>2914</v>
      </c>
      <c r="D977" t="s">
        <v>1853</v>
      </c>
      <c r="E977" t="s">
        <v>1695</v>
      </c>
      <c r="F977" s="162">
        <v>10700</v>
      </c>
      <c r="G977" t="s">
        <v>2646</v>
      </c>
      <c r="H977" s="163">
        <v>46032</v>
      </c>
      <c r="I977" s="163">
        <v>46660</v>
      </c>
      <c r="J977" s="163"/>
      <c r="K977" t="s">
        <v>2671</v>
      </c>
      <c r="L977" t="b">
        <v>0</v>
      </c>
    </row>
    <row r="978" spans="1:12">
      <c r="A978" t="s">
        <v>88</v>
      </c>
      <c r="B978">
        <f t="shared" si="31"/>
        <v>38</v>
      </c>
      <c r="C978" t="s">
        <v>2914</v>
      </c>
      <c r="D978" t="s">
        <v>1810</v>
      </c>
      <c r="E978" t="s">
        <v>21</v>
      </c>
      <c r="F978" s="162">
        <v>1750</v>
      </c>
      <c r="G978" t="s">
        <v>2646</v>
      </c>
      <c r="H978" s="163">
        <v>46032</v>
      </c>
      <c r="I978" s="163">
        <v>46660</v>
      </c>
      <c r="J978" s="163"/>
      <c r="K978" t="s">
        <v>2671</v>
      </c>
      <c r="L978" t="b">
        <v>0</v>
      </c>
    </row>
    <row r="979" spans="1:12">
      <c r="A979" t="s">
        <v>88</v>
      </c>
      <c r="B979">
        <f t="shared" si="31"/>
        <v>38</v>
      </c>
      <c r="C979" t="s">
        <v>2914</v>
      </c>
      <c r="D979" t="s">
        <v>1821</v>
      </c>
      <c r="E979" t="s">
        <v>21</v>
      </c>
      <c r="F979" s="162">
        <v>1750</v>
      </c>
      <c r="G979" t="s">
        <v>2646</v>
      </c>
      <c r="H979" s="163">
        <v>46032</v>
      </c>
      <c r="I979" s="163">
        <v>46660</v>
      </c>
      <c r="J979" s="163"/>
      <c r="K979" t="s">
        <v>2671</v>
      </c>
      <c r="L979" t="b">
        <v>0</v>
      </c>
    </row>
    <row r="980" spans="1:12">
      <c r="A980" t="s">
        <v>88</v>
      </c>
      <c r="B980">
        <f t="shared" si="31"/>
        <v>38</v>
      </c>
      <c r="C980" t="s">
        <v>2914</v>
      </c>
      <c r="D980" t="s">
        <v>1828</v>
      </c>
      <c r="E980" t="s">
        <v>21</v>
      </c>
      <c r="F980" s="162">
        <v>1750</v>
      </c>
      <c r="G980" t="s">
        <v>2646</v>
      </c>
      <c r="H980" s="163">
        <v>46032</v>
      </c>
      <c r="I980" s="163">
        <v>46660</v>
      </c>
      <c r="J980" s="163"/>
      <c r="K980" t="s">
        <v>2671</v>
      </c>
      <c r="L980" t="b">
        <v>0</v>
      </c>
    </row>
    <row r="981" spans="1:12">
      <c r="A981" t="s">
        <v>88</v>
      </c>
      <c r="B981">
        <f t="shared" si="31"/>
        <v>38</v>
      </c>
      <c r="C981" t="s">
        <v>2914</v>
      </c>
      <c r="D981" t="s">
        <v>1835</v>
      </c>
      <c r="E981" t="s">
        <v>21</v>
      </c>
      <c r="F981" s="162">
        <v>1750</v>
      </c>
      <c r="G981" t="s">
        <v>2646</v>
      </c>
      <c r="H981" s="163">
        <v>46032</v>
      </c>
      <c r="I981" s="163">
        <v>46660</v>
      </c>
      <c r="J981" s="163"/>
      <c r="K981" t="s">
        <v>2671</v>
      </c>
      <c r="L981" t="b">
        <v>0</v>
      </c>
    </row>
    <row r="982" spans="1:12">
      <c r="A982" t="s">
        <v>88</v>
      </c>
      <c r="B982">
        <f t="shared" si="31"/>
        <v>38</v>
      </c>
      <c r="C982" t="s">
        <v>2914</v>
      </c>
      <c r="D982" t="s">
        <v>1841</v>
      </c>
      <c r="E982" t="s">
        <v>21</v>
      </c>
      <c r="F982" s="162">
        <v>1750</v>
      </c>
      <c r="G982" t="s">
        <v>2646</v>
      </c>
      <c r="H982" s="163">
        <v>46032</v>
      </c>
      <c r="I982" s="163">
        <v>46660</v>
      </c>
      <c r="J982" s="163"/>
      <c r="K982" t="s">
        <v>2671</v>
      </c>
      <c r="L982" t="b">
        <v>0</v>
      </c>
    </row>
    <row r="983" spans="1:12">
      <c r="A983" t="s">
        <v>88</v>
      </c>
      <c r="B983">
        <f t="shared" si="31"/>
        <v>38</v>
      </c>
      <c r="C983" t="s">
        <v>2914</v>
      </c>
      <c r="D983" t="s">
        <v>1843</v>
      </c>
      <c r="E983" t="s">
        <v>21</v>
      </c>
      <c r="F983" s="162">
        <v>1750</v>
      </c>
      <c r="G983" t="s">
        <v>2646</v>
      </c>
      <c r="H983" s="163">
        <v>46032</v>
      </c>
      <c r="I983" s="163">
        <v>46660</v>
      </c>
      <c r="J983" s="163"/>
      <c r="K983" t="s">
        <v>2671</v>
      </c>
      <c r="L983" t="b">
        <v>0</v>
      </c>
    </row>
    <row r="984" spans="1:12">
      <c r="A984" t="s">
        <v>1942</v>
      </c>
      <c r="B984">
        <f t="shared" si="31"/>
        <v>1</v>
      </c>
      <c r="C984" t="s">
        <v>2915</v>
      </c>
      <c r="D984" t="s">
        <v>2653</v>
      </c>
      <c r="E984" t="s">
        <v>20</v>
      </c>
      <c r="F984" s="162">
        <v>3000</v>
      </c>
      <c r="G984" t="s">
        <v>1705</v>
      </c>
      <c r="H984" s="163">
        <v>45769</v>
      </c>
      <c r="I984" s="163">
        <v>46224</v>
      </c>
      <c r="J984" s="163"/>
      <c r="K984" t="s">
        <v>2656</v>
      </c>
      <c r="L984" t="b">
        <v>0</v>
      </c>
    </row>
    <row r="985" spans="1:12">
      <c r="A985" t="s">
        <v>1960</v>
      </c>
      <c r="B985">
        <f t="shared" si="31"/>
        <v>2</v>
      </c>
      <c r="C985" t="s">
        <v>2916</v>
      </c>
      <c r="D985" t="s">
        <v>2653</v>
      </c>
      <c r="E985" t="s">
        <v>20</v>
      </c>
      <c r="F985" s="162">
        <v>9000</v>
      </c>
      <c r="G985" t="s">
        <v>2646</v>
      </c>
      <c r="H985" s="163">
        <v>45975</v>
      </c>
      <c r="I985" s="163">
        <v>46339</v>
      </c>
      <c r="J985" s="163"/>
      <c r="K985" t="s">
        <v>2647</v>
      </c>
      <c r="L985" t="b">
        <v>0</v>
      </c>
    </row>
    <row r="986" spans="1:12">
      <c r="A986" t="s">
        <v>1960</v>
      </c>
      <c r="B986">
        <f t="shared" si="31"/>
        <v>2</v>
      </c>
      <c r="C986" t="s">
        <v>2916</v>
      </c>
      <c r="D986" t="s">
        <v>2645</v>
      </c>
      <c r="E986" t="s">
        <v>1902</v>
      </c>
      <c r="F986" s="162">
        <v>16610</v>
      </c>
      <c r="G986" t="s">
        <v>2646</v>
      </c>
      <c r="H986" s="163">
        <v>45975</v>
      </c>
      <c r="I986" s="163">
        <v>46339</v>
      </c>
      <c r="J986" s="163"/>
      <c r="K986" t="s">
        <v>2647</v>
      </c>
      <c r="L986" t="b">
        <v>0</v>
      </c>
    </row>
    <row r="987" spans="1:12">
      <c r="A987" t="s">
        <v>89</v>
      </c>
      <c r="B987">
        <f t="shared" si="31"/>
        <v>13</v>
      </c>
      <c r="C987" t="s">
        <v>2917</v>
      </c>
      <c r="D987" t="s">
        <v>2653</v>
      </c>
      <c r="E987" t="s">
        <v>20</v>
      </c>
      <c r="F987" s="162">
        <v>10469.93</v>
      </c>
      <c r="G987" t="s">
        <v>2646</v>
      </c>
      <c r="H987" s="163">
        <v>46023</v>
      </c>
      <c r="I987" s="163">
        <v>46387</v>
      </c>
      <c r="J987" s="163"/>
      <c r="K987" t="s">
        <v>2680</v>
      </c>
      <c r="L987" t="b">
        <v>0</v>
      </c>
    </row>
    <row r="988" spans="1:12">
      <c r="A988" t="s">
        <v>89</v>
      </c>
      <c r="B988">
        <f t="shared" si="31"/>
        <v>13</v>
      </c>
      <c r="C988" t="s">
        <v>2917</v>
      </c>
      <c r="D988" t="s">
        <v>1814</v>
      </c>
      <c r="E988" t="s">
        <v>1695</v>
      </c>
      <c r="F988" s="162">
        <v>10210.879999999999</v>
      </c>
      <c r="G988" t="s">
        <v>2646</v>
      </c>
      <c r="H988" s="163">
        <v>46023</v>
      </c>
      <c r="I988" s="163">
        <v>46387</v>
      </c>
      <c r="J988" s="163"/>
      <c r="K988" t="s">
        <v>2680</v>
      </c>
      <c r="L988" t="b">
        <v>0</v>
      </c>
    </row>
    <row r="989" spans="1:12">
      <c r="A989" t="s">
        <v>89</v>
      </c>
      <c r="B989">
        <f t="shared" si="31"/>
        <v>13</v>
      </c>
      <c r="C989" t="s">
        <v>2917</v>
      </c>
      <c r="D989" t="s">
        <v>1824</v>
      </c>
      <c r="E989" t="s">
        <v>1695</v>
      </c>
      <c r="F989" s="162">
        <v>10210.879999999999</v>
      </c>
      <c r="G989" t="s">
        <v>2646</v>
      </c>
      <c r="H989" s="163">
        <v>46023</v>
      </c>
      <c r="I989" s="163">
        <v>46387</v>
      </c>
      <c r="J989" s="163"/>
      <c r="K989" t="s">
        <v>2680</v>
      </c>
      <c r="L989" t="b">
        <v>0</v>
      </c>
    </row>
    <row r="990" spans="1:12">
      <c r="A990" t="s">
        <v>89</v>
      </c>
      <c r="B990">
        <f t="shared" si="31"/>
        <v>13</v>
      </c>
      <c r="C990" t="s">
        <v>2917</v>
      </c>
      <c r="D990" t="s">
        <v>1842</v>
      </c>
      <c r="E990" t="s">
        <v>1695</v>
      </c>
      <c r="F990" s="162">
        <v>10210.879999999999</v>
      </c>
      <c r="G990" t="s">
        <v>2646</v>
      </c>
      <c r="H990" s="163">
        <v>46023</v>
      </c>
      <c r="I990" s="163">
        <v>46387</v>
      </c>
      <c r="J990" s="163"/>
      <c r="K990" t="s">
        <v>2680</v>
      </c>
      <c r="L990" t="b">
        <v>0</v>
      </c>
    </row>
    <row r="991" spans="1:12">
      <c r="A991" t="s">
        <v>89</v>
      </c>
      <c r="B991">
        <f t="shared" si="31"/>
        <v>13</v>
      </c>
      <c r="C991" t="s">
        <v>2917</v>
      </c>
      <c r="D991" t="s">
        <v>1851</v>
      </c>
      <c r="E991" t="s">
        <v>1695</v>
      </c>
      <c r="F991" s="162">
        <v>10210.879999999999</v>
      </c>
      <c r="G991" t="s">
        <v>2646</v>
      </c>
      <c r="H991" s="163">
        <v>46023</v>
      </c>
      <c r="I991" s="163">
        <v>46387</v>
      </c>
      <c r="J991" s="163"/>
      <c r="K991" t="s">
        <v>2680</v>
      </c>
      <c r="L991" t="b">
        <v>0</v>
      </c>
    </row>
    <row r="992" spans="1:12">
      <c r="A992" t="s">
        <v>89</v>
      </c>
      <c r="B992">
        <f t="shared" si="31"/>
        <v>13</v>
      </c>
      <c r="C992" t="s">
        <v>2917</v>
      </c>
      <c r="D992" t="s">
        <v>1853</v>
      </c>
      <c r="E992" t="s">
        <v>1695</v>
      </c>
      <c r="F992" s="162">
        <v>10210.879999999999</v>
      </c>
      <c r="G992" t="s">
        <v>2646</v>
      </c>
      <c r="H992" s="163">
        <v>46023</v>
      </c>
      <c r="I992" s="163">
        <v>46387</v>
      </c>
      <c r="J992" s="163"/>
      <c r="K992" t="s">
        <v>2680</v>
      </c>
      <c r="L992" t="b">
        <v>0</v>
      </c>
    </row>
    <row r="993" spans="1:12">
      <c r="A993" t="s">
        <v>89</v>
      </c>
      <c r="B993">
        <f t="shared" si="31"/>
        <v>13</v>
      </c>
      <c r="C993" t="s">
        <v>2917</v>
      </c>
      <c r="D993" t="s">
        <v>1813</v>
      </c>
      <c r="E993" t="s">
        <v>21</v>
      </c>
      <c r="F993" s="162">
        <v>7973.8774999999996</v>
      </c>
      <c r="G993" t="s">
        <v>2646</v>
      </c>
      <c r="H993" s="163">
        <v>46023</v>
      </c>
      <c r="I993" s="163">
        <v>46387</v>
      </c>
      <c r="J993" s="163"/>
      <c r="K993" t="s">
        <v>2680</v>
      </c>
      <c r="L993" t="b">
        <v>0</v>
      </c>
    </row>
    <row r="994" spans="1:12">
      <c r="A994" t="s">
        <v>89</v>
      </c>
      <c r="B994">
        <f t="shared" si="31"/>
        <v>13</v>
      </c>
      <c r="C994" t="s">
        <v>2917</v>
      </c>
      <c r="D994" t="s">
        <v>1823</v>
      </c>
      <c r="E994" t="s">
        <v>21</v>
      </c>
      <c r="F994" s="162">
        <v>7973.8774999999996</v>
      </c>
      <c r="G994" t="s">
        <v>2646</v>
      </c>
      <c r="H994" s="163">
        <v>46023</v>
      </c>
      <c r="I994" s="163">
        <v>46387</v>
      </c>
      <c r="J994" s="163"/>
      <c r="K994" t="s">
        <v>2680</v>
      </c>
      <c r="L994" t="b">
        <v>0</v>
      </c>
    </row>
    <row r="995" spans="1:12">
      <c r="A995" t="s">
        <v>89</v>
      </c>
      <c r="B995">
        <f t="shared" si="31"/>
        <v>13</v>
      </c>
      <c r="C995" t="s">
        <v>2917</v>
      </c>
      <c r="D995" t="s">
        <v>1830</v>
      </c>
      <c r="E995" t="s">
        <v>21</v>
      </c>
      <c r="F995" s="162">
        <v>7973.8774999999996</v>
      </c>
      <c r="G995" t="s">
        <v>2646</v>
      </c>
      <c r="H995" s="163">
        <v>46023</v>
      </c>
      <c r="I995" s="163">
        <v>46387</v>
      </c>
      <c r="J995" s="163"/>
      <c r="K995" t="s">
        <v>2680</v>
      </c>
      <c r="L995" t="b">
        <v>0</v>
      </c>
    </row>
    <row r="996" spans="1:12">
      <c r="A996" t="s">
        <v>89</v>
      </c>
      <c r="B996">
        <f t="shared" si="31"/>
        <v>13</v>
      </c>
      <c r="C996" t="s">
        <v>2917</v>
      </c>
      <c r="D996" t="s">
        <v>1836</v>
      </c>
      <c r="E996" t="s">
        <v>21</v>
      </c>
      <c r="F996" s="162">
        <v>7973.8774999999996</v>
      </c>
      <c r="G996" t="s">
        <v>2646</v>
      </c>
      <c r="H996" s="163">
        <v>46023</v>
      </c>
      <c r="I996" s="163">
        <v>46387</v>
      </c>
      <c r="J996" s="163"/>
      <c r="K996" t="s">
        <v>2680</v>
      </c>
      <c r="L996" t="b">
        <v>0</v>
      </c>
    </row>
    <row r="997" spans="1:12">
      <c r="A997" t="s">
        <v>89</v>
      </c>
      <c r="B997">
        <f t="shared" si="31"/>
        <v>13</v>
      </c>
      <c r="C997" t="s">
        <v>2917</v>
      </c>
      <c r="D997" t="s">
        <v>1811</v>
      </c>
      <c r="E997" t="s">
        <v>23</v>
      </c>
      <c r="F997" s="162">
        <v>8706.9533333333293</v>
      </c>
      <c r="G997" t="s">
        <v>2646</v>
      </c>
      <c r="H997" s="163">
        <v>46023</v>
      </c>
      <c r="I997" s="163">
        <v>46387</v>
      </c>
      <c r="J997" s="163"/>
      <c r="K997" t="s">
        <v>2680</v>
      </c>
      <c r="L997" t="b">
        <v>0</v>
      </c>
    </row>
    <row r="998" spans="1:12">
      <c r="A998" t="s">
        <v>89</v>
      </c>
      <c r="B998">
        <f t="shared" si="31"/>
        <v>13</v>
      </c>
      <c r="C998" t="s">
        <v>2917</v>
      </c>
      <c r="D998" t="s">
        <v>1822</v>
      </c>
      <c r="E998" t="s">
        <v>23</v>
      </c>
      <c r="F998" s="162">
        <v>8706.9533333333293</v>
      </c>
      <c r="G998" t="s">
        <v>2646</v>
      </c>
      <c r="H998" s="163">
        <v>46023</v>
      </c>
      <c r="I998" s="163">
        <v>46387</v>
      </c>
      <c r="J998" s="163"/>
      <c r="K998" t="s">
        <v>2680</v>
      </c>
      <c r="L998" t="b">
        <v>0</v>
      </c>
    </row>
    <row r="999" spans="1:12">
      <c r="A999" t="s">
        <v>89</v>
      </c>
      <c r="B999">
        <f t="shared" si="31"/>
        <v>13</v>
      </c>
      <c r="C999" t="s">
        <v>2917</v>
      </c>
      <c r="D999" t="s">
        <v>1829</v>
      </c>
      <c r="E999" t="s">
        <v>23</v>
      </c>
      <c r="F999" s="162">
        <v>8706.9533333333293</v>
      </c>
      <c r="G999" t="s">
        <v>2646</v>
      </c>
      <c r="H999" s="163">
        <v>46023</v>
      </c>
      <c r="I999" s="163">
        <v>46387</v>
      </c>
      <c r="J999" s="163"/>
      <c r="K999" t="s">
        <v>2680</v>
      </c>
      <c r="L999" t="b">
        <v>0</v>
      </c>
    </row>
    <row r="1000" spans="1:12">
      <c r="A1000" t="s">
        <v>1950</v>
      </c>
      <c r="B1000">
        <f t="shared" si="31"/>
        <v>0</v>
      </c>
      <c r="C1000" t="s">
        <v>2918</v>
      </c>
      <c r="D1000" t="s">
        <v>1829</v>
      </c>
      <c r="E1000" t="s">
        <v>23</v>
      </c>
      <c r="F1000" s="162">
        <v>17090</v>
      </c>
      <c r="G1000" t="s">
        <v>2646</v>
      </c>
      <c r="H1000" s="163">
        <v>45667</v>
      </c>
      <c r="I1000" s="163">
        <v>46295</v>
      </c>
      <c r="J1000" s="163"/>
      <c r="K1000" t="s">
        <v>2656</v>
      </c>
      <c r="L1000" t="b">
        <v>0</v>
      </c>
    </row>
    <row r="1001" spans="1:12">
      <c r="A1001" t="s">
        <v>117</v>
      </c>
      <c r="B1001">
        <f t="shared" si="31"/>
        <v>0</v>
      </c>
      <c r="C1001" t="s">
        <v>2919</v>
      </c>
      <c r="D1001" t="s">
        <v>1808</v>
      </c>
      <c r="E1001" t="s">
        <v>25</v>
      </c>
      <c r="F1001" s="162">
        <v>3685.7142857142899</v>
      </c>
      <c r="G1001" t="s">
        <v>2646</v>
      </c>
      <c r="H1001" s="163">
        <v>45664</v>
      </c>
      <c r="I1001" s="163">
        <v>46203</v>
      </c>
      <c r="J1001" s="163"/>
      <c r="K1001" t="s">
        <v>2671</v>
      </c>
      <c r="L1001" t="b">
        <v>0</v>
      </c>
    </row>
    <row r="1002" spans="1:12">
      <c r="A1002" t="s">
        <v>117</v>
      </c>
      <c r="B1002">
        <f t="shared" si="31"/>
        <v>0</v>
      </c>
      <c r="C1002" t="s">
        <v>2919</v>
      </c>
      <c r="D1002" t="s">
        <v>1820</v>
      </c>
      <c r="E1002" t="s">
        <v>25</v>
      </c>
      <c r="F1002" s="162">
        <v>3685.7142857142899</v>
      </c>
      <c r="G1002" t="s">
        <v>2646</v>
      </c>
      <c r="H1002" s="163">
        <v>45664</v>
      </c>
      <c r="I1002" s="163">
        <v>46203</v>
      </c>
      <c r="J1002" s="163"/>
      <c r="K1002" t="s">
        <v>2671</v>
      </c>
      <c r="L1002" t="b">
        <v>0</v>
      </c>
    </row>
    <row r="1003" spans="1:12">
      <c r="A1003" t="s">
        <v>117</v>
      </c>
      <c r="B1003">
        <f t="shared" si="31"/>
        <v>0</v>
      </c>
      <c r="C1003" t="s">
        <v>2919</v>
      </c>
      <c r="D1003" t="s">
        <v>1819</v>
      </c>
      <c r="E1003" t="s">
        <v>25</v>
      </c>
      <c r="F1003" s="162">
        <v>3685.7142857142899</v>
      </c>
      <c r="G1003" t="s">
        <v>2646</v>
      </c>
      <c r="H1003" s="163">
        <v>45664</v>
      </c>
      <c r="I1003" s="163">
        <v>46203</v>
      </c>
      <c r="J1003" s="163"/>
      <c r="K1003" t="s">
        <v>2671</v>
      </c>
      <c r="L1003" t="b">
        <v>0</v>
      </c>
    </row>
    <row r="1004" spans="1:12">
      <c r="A1004" t="s">
        <v>117</v>
      </c>
      <c r="B1004">
        <f t="shared" si="31"/>
        <v>0</v>
      </c>
      <c r="C1004" t="s">
        <v>2919</v>
      </c>
      <c r="D1004" t="s">
        <v>1826</v>
      </c>
      <c r="E1004" t="s">
        <v>25</v>
      </c>
      <c r="F1004" s="162">
        <v>3685.7142857142899</v>
      </c>
      <c r="G1004" t="s">
        <v>2646</v>
      </c>
      <c r="H1004" s="163">
        <v>45664</v>
      </c>
      <c r="I1004" s="163">
        <v>46203</v>
      </c>
      <c r="J1004" s="163"/>
      <c r="K1004" t="s">
        <v>2671</v>
      </c>
      <c r="L1004" t="b">
        <v>0</v>
      </c>
    </row>
    <row r="1005" spans="1:12">
      <c r="A1005" t="s">
        <v>117</v>
      </c>
      <c r="B1005">
        <f t="shared" si="31"/>
        <v>0</v>
      </c>
      <c r="C1005" t="s">
        <v>2919</v>
      </c>
      <c r="D1005" t="s">
        <v>1916</v>
      </c>
      <c r="E1005" t="s">
        <v>25</v>
      </c>
      <c r="F1005" s="162">
        <v>3685.7142857142899</v>
      </c>
      <c r="G1005" t="s">
        <v>2646</v>
      </c>
      <c r="H1005" s="163">
        <v>45664</v>
      </c>
      <c r="I1005" s="163">
        <v>46203</v>
      </c>
      <c r="J1005" s="163">
        <f>DATE(RIGHT(I1005,4),MID(I1005,4,2),LEFT(I1005,2))</f>
        <v>1571744</v>
      </c>
      <c r="K1005" t="s">
        <v>2671</v>
      </c>
      <c r="L1005" t="b">
        <v>0</v>
      </c>
    </row>
    <row r="1006" spans="1:12">
      <c r="A1006" t="s">
        <v>117</v>
      </c>
      <c r="B1006">
        <f t="shared" si="31"/>
        <v>0</v>
      </c>
      <c r="C1006" t="s">
        <v>2919</v>
      </c>
      <c r="D1006" t="s">
        <v>1833</v>
      </c>
      <c r="E1006" t="s">
        <v>25</v>
      </c>
      <c r="F1006" s="162">
        <v>3685.7142857142899</v>
      </c>
      <c r="G1006" t="s">
        <v>2646</v>
      </c>
      <c r="H1006" s="163">
        <v>45664</v>
      </c>
      <c r="I1006" s="163">
        <v>46203</v>
      </c>
      <c r="J1006" s="163">
        <f t="shared" ref="J1006:J1055" si="32">DATE(RIGHT(I1006,4),MID(I1006,4,2),LEFT(I1006,2))</f>
        <v>1571744</v>
      </c>
      <c r="K1006" t="s">
        <v>2671</v>
      </c>
      <c r="L1006" t="b">
        <v>0</v>
      </c>
    </row>
    <row r="1007" spans="1:12">
      <c r="A1007" t="s">
        <v>117</v>
      </c>
      <c r="B1007">
        <f t="shared" si="31"/>
        <v>0</v>
      </c>
      <c r="C1007" t="s">
        <v>2919</v>
      </c>
      <c r="D1007" t="s">
        <v>1838</v>
      </c>
      <c r="E1007" t="s">
        <v>25</v>
      </c>
      <c r="F1007" s="162">
        <v>3685.7142857142899</v>
      </c>
      <c r="G1007" t="s">
        <v>2646</v>
      </c>
      <c r="H1007" s="163">
        <v>45664</v>
      </c>
      <c r="I1007" s="163">
        <v>46203</v>
      </c>
      <c r="J1007" s="163">
        <f t="shared" si="32"/>
        <v>1571744</v>
      </c>
      <c r="K1007" t="s">
        <v>2671</v>
      </c>
      <c r="L1007" t="b">
        <v>0</v>
      </c>
    </row>
    <row r="1008" spans="1:12">
      <c r="A1008" t="s">
        <v>117</v>
      </c>
      <c r="B1008">
        <f t="shared" si="31"/>
        <v>0</v>
      </c>
      <c r="C1008" t="s">
        <v>2920</v>
      </c>
      <c r="D1008" t="s">
        <v>1824</v>
      </c>
      <c r="E1008" t="s">
        <v>1695</v>
      </c>
      <c r="F1008" s="162">
        <v>3250</v>
      </c>
      <c r="G1008" t="s">
        <v>2646</v>
      </c>
      <c r="H1008" s="163">
        <v>46024</v>
      </c>
      <c r="I1008" s="163">
        <v>46418</v>
      </c>
      <c r="J1008" s="163">
        <f t="shared" si="32"/>
        <v>1650729</v>
      </c>
      <c r="K1008" t="s">
        <v>2671</v>
      </c>
      <c r="L1008" t="b">
        <v>0</v>
      </c>
    </row>
    <row r="1009" spans="1:12">
      <c r="A1009" t="s">
        <v>117</v>
      </c>
      <c r="B1009">
        <f t="shared" si="31"/>
        <v>0</v>
      </c>
      <c r="C1009" t="s">
        <v>2920</v>
      </c>
      <c r="D1009" t="s">
        <v>1851</v>
      </c>
      <c r="E1009" t="s">
        <v>1695</v>
      </c>
      <c r="F1009" s="162">
        <v>3250</v>
      </c>
      <c r="G1009" t="s">
        <v>2646</v>
      </c>
      <c r="H1009" s="163">
        <v>46024</v>
      </c>
      <c r="I1009" s="163">
        <v>46418</v>
      </c>
      <c r="J1009" s="163">
        <f t="shared" si="32"/>
        <v>1650729</v>
      </c>
      <c r="K1009" t="s">
        <v>2671</v>
      </c>
      <c r="L1009" t="b">
        <v>0</v>
      </c>
    </row>
    <row r="1010" spans="1:12">
      <c r="A1010" t="s">
        <v>141</v>
      </c>
      <c r="B1010">
        <f t="shared" si="31"/>
        <v>1</v>
      </c>
      <c r="C1010" t="s">
        <v>2921</v>
      </c>
      <c r="D1010" t="s">
        <v>2653</v>
      </c>
      <c r="E1010" t="s">
        <v>20</v>
      </c>
      <c r="F1010" s="162">
        <v>10250</v>
      </c>
      <c r="G1010" t="s">
        <v>2646</v>
      </c>
      <c r="H1010" s="163">
        <v>46023</v>
      </c>
      <c r="I1010" s="163">
        <v>46387</v>
      </c>
      <c r="J1010" s="163">
        <f t="shared" si="32"/>
        <v>1641506</v>
      </c>
      <c r="K1010" t="s">
        <v>2671</v>
      </c>
      <c r="L1010" t="b">
        <v>0</v>
      </c>
    </row>
    <row r="1011" spans="1:12">
      <c r="A1011" t="s">
        <v>622</v>
      </c>
      <c r="B1011">
        <f t="shared" si="31"/>
        <v>0</v>
      </c>
      <c r="C1011" t="s">
        <v>2922</v>
      </c>
      <c r="D1011" t="s">
        <v>1820</v>
      </c>
      <c r="E1011" t="s">
        <v>25</v>
      </c>
      <c r="F1011" s="162">
        <v>11900</v>
      </c>
      <c r="G1011" t="s">
        <v>2646</v>
      </c>
      <c r="H1011" s="163">
        <v>46026</v>
      </c>
      <c r="I1011" s="163">
        <v>46477</v>
      </c>
      <c r="J1011" s="163">
        <f t="shared" si="32"/>
        <v>1674074</v>
      </c>
      <c r="K1011" t="s">
        <v>2671</v>
      </c>
      <c r="L1011" t="b">
        <v>0</v>
      </c>
    </row>
    <row r="1012" spans="1:12">
      <c r="A1012" t="s">
        <v>306</v>
      </c>
      <c r="B1012">
        <f t="shared" si="31"/>
        <v>0</v>
      </c>
      <c r="C1012" t="s">
        <v>2923</v>
      </c>
      <c r="D1012" t="s">
        <v>1829</v>
      </c>
      <c r="E1012" t="s">
        <v>23</v>
      </c>
      <c r="F1012" s="162">
        <v>12000</v>
      </c>
      <c r="G1012" t="s">
        <v>1705</v>
      </c>
      <c r="H1012" s="163">
        <v>45852</v>
      </c>
      <c r="I1012" s="163">
        <v>46216</v>
      </c>
      <c r="J1012" s="163">
        <f t="shared" si="32"/>
        <v>1576889</v>
      </c>
      <c r="K1012" t="s">
        <v>2643</v>
      </c>
      <c r="L1012" t="b">
        <v>0</v>
      </c>
    </row>
    <row r="1013" spans="1:12">
      <c r="A1013" t="s">
        <v>1940</v>
      </c>
      <c r="B1013">
        <f t="shared" si="31"/>
        <v>0</v>
      </c>
      <c r="C1013" t="s">
        <v>2924</v>
      </c>
      <c r="D1013" t="s">
        <v>2619</v>
      </c>
      <c r="E1013" t="s">
        <v>31</v>
      </c>
      <c r="F1013" s="162">
        <v>17200</v>
      </c>
      <c r="G1013" t="s">
        <v>1705</v>
      </c>
      <c r="H1013" s="163">
        <v>45754</v>
      </c>
      <c r="I1013" s="163">
        <v>46088</v>
      </c>
      <c r="J1013" s="163">
        <f t="shared" si="32"/>
        <v>1532330</v>
      </c>
      <c r="K1013" t="s">
        <v>2671</v>
      </c>
      <c r="L1013" t="b">
        <v>0</v>
      </c>
    </row>
    <row r="1014" spans="1:12">
      <c r="A1014" t="s">
        <v>307</v>
      </c>
      <c r="B1014">
        <f t="shared" si="31"/>
        <v>0</v>
      </c>
      <c r="C1014" t="s">
        <v>2925</v>
      </c>
      <c r="D1014" t="s">
        <v>1817</v>
      </c>
      <c r="E1014" t="s">
        <v>35</v>
      </c>
      <c r="F1014" s="162">
        <v>20000</v>
      </c>
      <c r="G1014" t="s">
        <v>2655</v>
      </c>
      <c r="H1014" s="163">
        <v>46049</v>
      </c>
      <c r="I1014" s="163">
        <v>46413</v>
      </c>
      <c r="J1014" s="163">
        <f t="shared" si="32"/>
        <v>1648752</v>
      </c>
      <c r="K1014" t="s">
        <v>2643</v>
      </c>
      <c r="L1014" t="b">
        <v>0</v>
      </c>
    </row>
    <row r="1015" spans="1:12">
      <c r="A1015" t="s">
        <v>2010</v>
      </c>
      <c r="B1015">
        <f t="shared" si="31"/>
        <v>1</v>
      </c>
      <c r="C1015" t="s">
        <v>2926</v>
      </c>
      <c r="D1015" t="s">
        <v>2653</v>
      </c>
      <c r="E1015" t="s">
        <v>20</v>
      </c>
      <c r="F1015" s="162">
        <v>9340</v>
      </c>
      <c r="G1015" t="s">
        <v>2646</v>
      </c>
      <c r="H1015" s="163">
        <v>46026</v>
      </c>
      <c r="I1015" s="163">
        <v>46477</v>
      </c>
      <c r="J1015" s="163">
        <f t="shared" si="32"/>
        <v>1674074</v>
      </c>
      <c r="K1015" t="s">
        <v>2643</v>
      </c>
      <c r="L1015" t="b">
        <v>0</v>
      </c>
    </row>
    <row r="1016" spans="1:12">
      <c r="A1016" t="s">
        <v>1951</v>
      </c>
      <c r="B1016">
        <f t="shared" si="31"/>
        <v>0</v>
      </c>
      <c r="C1016" t="s">
        <v>2927</v>
      </c>
      <c r="D1016" t="s">
        <v>2645</v>
      </c>
      <c r="E1016" t="s">
        <v>1902</v>
      </c>
      <c r="F1016" s="162">
        <v>11685</v>
      </c>
      <c r="G1016" t="s">
        <v>2646</v>
      </c>
      <c r="H1016" s="163">
        <v>45667</v>
      </c>
      <c r="I1016" s="163">
        <v>46295</v>
      </c>
      <c r="J1016" s="163">
        <f t="shared" si="32"/>
        <v>1608148</v>
      </c>
      <c r="K1016" t="s">
        <v>2647</v>
      </c>
      <c r="L1016" t="b">
        <v>0</v>
      </c>
    </row>
    <row r="1017" spans="1:12">
      <c r="A1017" t="s">
        <v>1099</v>
      </c>
      <c r="B1017">
        <f t="shared" si="31"/>
        <v>2</v>
      </c>
      <c r="C1017" t="s">
        <v>2928</v>
      </c>
      <c r="D1017" t="s">
        <v>2653</v>
      </c>
      <c r="E1017" t="s">
        <v>20</v>
      </c>
      <c r="F1017" s="162">
        <v>10500</v>
      </c>
      <c r="G1017" t="s">
        <v>2646</v>
      </c>
      <c r="H1017" s="163">
        <v>46026</v>
      </c>
      <c r="I1017" s="163">
        <v>46477</v>
      </c>
      <c r="J1017" s="163">
        <f t="shared" si="32"/>
        <v>1674074</v>
      </c>
      <c r="K1017" t="s">
        <v>2643</v>
      </c>
      <c r="L1017" t="b">
        <v>0</v>
      </c>
    </row>
    <row r="1018" spans="1:12">
      <c r="A1018" t="s">
        <v>1099</v>
      </c>
      <c r="B1018">
        <f t="shared" si="31"/>
        <v>2</v>
      </c>
      <c r="C1018" t="s">
        <v>2928</v>
      </c>
      <c r="D1018" t="s">
        <v>1853</v>
      </c>
      <c r="E1018" t="s">
        <v>1695</v>
      </c>
      <c r="F1018" s="162">
        <v>11071</v>
      </c>
      <c r="G1018" t="s">
        <v>2646</v>
      </c>
      <c r="H1018" s="163">
        <v>46026</v>
      </c>
      <c r="I1018" s="163">
        <v>46477</v>
      </c>
      <c r="J1018" s="163">
        <f t="shared" si="32"/>
        <v>1674074</v>
      </c>
      <c r="K1018" t="s">
        <v>2643</v>
      </c>
      <c r="L1018" t="b">
        <v>0</v>
      </c>
    </row>
    <row r="1019" spans="1:12">
      <c r="A1019" t="s">
        <v>1102</v>
      </c>
      <c r="B1019">
        <f t="shared" si="31"/>
        <v>0</v>
      </c>
      <c r="C1019" t="s">
        <v>2929</v>
      </c>
      <c r="D1019" t="s">
        <v>1829</v>
      </c>
      <c r="E1019" t="s">
        <v>23</v>
      </c>
      <c r="F1019" s="162">
        <v>13632</v>
      </c>
      <c r="G1019" t="s">
        <v>2646</v>
      </c>
      <c r="H1019" s="163">
        <v>46026</v>
      </c>
      <c r="I1019" s="163">
        <v>46477</v>
      </c>
      <c r="J1019" s="163">
        <f t="shared" si="32"/>
        <v>1674074</v>
      </c>
      <c r="K1019" t="s">
        <v>2680</v>
      </c>
      <c r="L1019" t="b">
        <v>0</v>
      </c>
    </row>
    <row r="1020" spans="1:12">
      <c r="A1020" t="s">
        <v>1387</v>
      </c>
      <c r="B1020">
        <f t="shared" si="31"/>
        <v>0</v>
      </c>
      <c r="C1020" t="s">
        <v>2930</v>
      </c>
      <c r="D1020" t="s">
        <v>2625</v>
      </c>
      <c r="E1020" t="s">
        <v>27</v>
      </c>
      <c r="F1020" s="162">
        <v>11000</v>
      </c>
      <c r="G1020" t="s">
        <v>2646</v>
      </c>
      <c r="H1020" s="163">
        <v>45664</v>
      </c>
      <c r="I1020" s="163">
        <v>46203</v>
      </c>
      <c r="J1020" s="163">
        <f t="shared" si="32"/>
        <v>1571744</v>
      </c>
      <c r="K1020" t="s">
        <v>2643</v>
      </c>
      <c r="L1020" t="b">
        <v>0</v>
      </c>
    </row>
    <row r="1021" spans="1:12">
      <c r="A1021" t="s">
        <v>1387</v>
      </c>
      <c r="B1021">
        <f t="shared" si="31"/>
        <v>0</v>
      </c>
      <c r="C1021" t="s">
        <v>2930</v>
      </c>
      <c r="D1021" t="s">
        <v>1819</v>
      </c>
      <c r="E1021" t="s">
        <v>25</v>
      </c>
      <c r="F1021" s="162">
        <v>7487</v>
      </c>
      <c r="G1021" t="s">
        <v>2646</v>
      </c>
      <c r="H1021" s="163">
        <v>45664</v>
      </c>
      <c r="I1021" s="163">
        <v>46203</v>
      </c>
      <c r="J1021" s="163">
        <f t="shared" si="32"/>
        <v>1571744</v>
      </c>
      <c r="K1021" t="s">
        <v>2643</v>
      </c>
      <c r="L1021" t="b">
        <v>0</v>
      </c>
    </row>
    <row r="1022" spans="1:12">
      <c r="A1022" t="s">
        <v>1393</v>
      </c>
      <c r="B1022">
        <f t="shared" si="31"/>
        <v>1</v>
      </c>
      <c r="C1022" t="s">
        <v>2931</v>
      </c>
      <c r="D1022" t="s">
        <v>2653</v>
      </c>
      <c r="E1022" t="s">
        <v>20</v>
      </c>
      <c r="F1022" s="162">
        <v>6750</v>
      </c>
      <c r="G1022" t="s">
        <v>2646</v>
      </c>
      <c r="H1022" s="163">
        <v>45666</v>
      </c>
      <c r="I1022" s="163">
        <v>46265</v>
      </c>
      <c r="J1022" s="163">
        <f t="shared" si="32"/>
        <v>1596277</v>
      </c>
      <c r="K1022" t="s">
        <v>2656</v>
      </c>
      <c r="L1022" t="b">
        <v>0</v>
      </c>
    </row>
    <row r="1023" spans="1:12">
      <c r="A1023" t="s">
        <v>314</v>
      </c>
      <c r="B1023">
        <f t="shared" si="31"/>
        <v>0</v>
      </c>
      <c r="C1023" t="s">
        <v>2932</v>
      </c>
      <c r="D1023" t="s">
        <v>1819</v>
      </c>
      <c r="E1023" t="s">
        <v>25</v>
      </c>
      <c r="F1023" s="162">
        <v>6990</v>
      </c>
      <c r="G1023" t="s">
        <v>2646</v>
      </c>
      <c r="H1023" s="163">
        <v>46023</v>
      </c>
      <c r="I1023" s="163">
        <v>46387</v>
      </c>
      <c r="J1023" s="163">
        <f t="shared" si="32"/>
        <v>1641506</v>
      </c>
      <c r="K1023" t="s">
        <v>2656</v>
      </c>
      <c r="L1023" t="b">
        <v>1</v>
      </c>
    </row>
    <row r="1024" spans="1:12">
      <c r="A1024" t="s">
        <v>1941</v>
      </c>
      <c r="B1024">
        <f t="shared" si="31"/>
        <v>0</v>
      </c>
      <c r="C1024" t="s">
        <v>2933</v>
      </c>
      <c r="D1024" t="s">
        <v>2625</v>
      </c>
      <c r="E1024" t="s">
        <v>27</v>
      </c>
      <c r="F1024" s="162">
        <v>19350</v>
      </c>
      <c r="G1024" t="s">
        <v>1705</v>
      </c>
      <c r="H1024" s="163">
        <v>45856</v>
      </c>
      <c r="I1024" s="163">
        <v>46220</v>
      </c>
      <c r="J1024" s="163">
        <f t="shared" si="32"/>
        <v>1578472</v>
      </c>
      <c r="K1024" t="s">
        <v>2671</v>
      </c>
      <c r="L1024" t="b">
        <v>0</v>
      </c>
    </row>
    <row r="1025" spans="1:12">
      <c r="A1025" t="s">
        <v>1395</v>
      </c>
      <c r="B1025">
        <f t="shared" si="31"/>
        <v>1</v>
      </c>
      <c r="C1025" t="s">
        <v>2934</v>
      </c>
      <c r="D1025" t="s">
        <v>2653</v>
      </c>
      <c r="E1025" t="s">
        <v>20</v>
      </c>
      <c r="F1025" s="162">
        <v>7565</v>
      </c>
      <c r="G1025" t="s">
        <v>2646</v>
      </c>
      <c r="H1025" s="163">
        <v>45970</v>
      </c>
      <c r="I1025" s="163">
        <v>46304</v>
      </c>
      <c r="J1025" s="163">
        <f t="shared" si="32"/>
        <v>1608665</v>
      </c>
      <c r="K1025" t="s">
        <v>2656</v>
      </c>
      <c r="L1025" t="b">
        <v>0</v>
      </c>
    </row>
    <row r="1026" spans="1:12">
      <c r="A1026" t="s">
        <v>317</v>
      </c>
      <c r="B1026">
        <f t="shared" si="31"/>
        <v>0</v>
      </c>
      <c r="C1026" t="s">
        <v>2935</v>
      </c>
      <c r="D1026" t="s">
        <v>2625</v>
      </c>
      <c r="E1026" t="s">
        <v>27</v>
      </c>
      <c r="F1026" s="162">
        <v>12500</v>
      </c>
      <c r="G1026" t="s">
        <v>2646</v>
      </c>
      <c r="H1026" s="163">
        <v>46026</v>
      </c>
      <c r="I1026" s="163">
        <v>46477</v>
      </c>
      <c r="J1026" s="163">
        <f t="shared" si="32"/>
        <v>1674074</v>
      </c>
      <c r="K1026" t="s">
        <v>2643</v>
      </c>
      <c r="L1026" t="b">
        <v>0</v>
      </c>
    </row>
    <row r="1027" spans="1:12">
      <c r="A1027" t="s">
        <v>118</v>
      </c>
      <c r="B1027">
        <f t="shared" ref="B1027:B1053" si="33">IF(COUNTIFS($A$2:$A$1053,A1027,$E$2:$E$1053,"Industry Essentials")&gt;0, COUNTIF($A$2:$A$1053,A1027), 0)</f>
        <v>0</v>
      </c>
      <c r="C1027" t="s">
        <v>2936</v>
      </c>
      <c r="D1027" t="s">
        <v>1829</v>
      </c>
      <c r="E1027" t="s">
        <v>23</v>
      </c>
      <c r="F1027" s="162">
        <v>10000</v>
      </c>
      <c r="G1027" t="s">
        <v>1705</v>
      </c>
      <c r="H1027" s="163">
        <v>46099</v>
      </c>
      <c r="I1027" s="163">
        <v>46463</v>
      </c>
      <c r="J1027" s="163">
        <f t="shared" si="32"/>
        <v>1668535</v>
      </c>
      <c r="K1027" t="s">
        <v>2773</v>
      </c>
      <c r="L1027" t="b">
        <v>0</v>
      </c>
    </row>
    <row r="1028" spans="1:12">
      <c r="A1028" t="s">
        <v>118</v>
      </c>
      <c r="B1028">
        <f t="shared" si="33"/>
        <v>0</v>
      </c>
      <c r="C1028" t="s">
        <v>2937</v>
      </c>
      <c r="D1028" t="s">
        <v>1829</v>
      </c>
      <c r="E1028" t="s">
        <v>23</v>
      </c>
      <c r="F1028" s="162">
        <v>12000</v>
      </c>
      <c r="G1028" t="s">
        <v>2646</v>
      </c>
      <c r="H1028" s="163">
        <v>46464</v>
      </c>
      <c r="I1028" s="163">
        <v>46829</v>
      </c>
      <c r="J1028" s="163">
        <f t="shared" si="32"/>
        <v>1801178</v>
      </c>
      <c r="K1028" t="s">
        <v>2773</v>
      </c>
      <c r="L1028" t="b">
        <v>0</v>
      </c>
    </row>
    <row r="1029" spans="1:12">
      <c r="A1029" t="s">
        <v>118</v>
      </c>
      <c r="B1029">
        <f t="shared" si="33"/>
        <v>0</v>
      </c>
      <c r="C1029" t="s">
        <v>2938</v>
      </c>
      <c r="D1029" t="s">
        <v>1829</v>
      </c>
      <c r="E1029" t="s">
        <v>23</v>
      </c>
      <c r="F1029" s="162">
        <v>13000</v>
      </c>
      <c r="G1029" t="s">
        <v>2646</v>
      </c>
      <c r="H1029" s="163">
        <v>46830</v>
      </c>
      <c r="I1029" s="163">
        <v>47194</v>
      </c>
      <c r="J1029" s="163">
        <f t="shared" si="32"/>
        <v>1936472</v>
      </c>
      <c r="K1029" t="s">
        <v>2773</v>
      </c>
      <c r="L1029" t="b">
        <v>0</v>
      </c>
    </row>
    <row r="1030" spans="1:12">
      <c r="A1030" t="s">
        <v>466</v>
      </c>
      <c r="B1030">
        <f t="shared" si="33"/>
        <v>0</v>
      </c>
      <c r="C1030" t="s">
        <v>2939</v>
      </c>
      <c r="D1030" t="s">
        <v>2940</v>
      </c>
      <c r="E1030" t="s">
        <v>2803</v>
      </c>
      <c r="F1030" s="162">
        <v>9600</v>
      </c>
      <c r="G1030" t="s">
        <v>1705</v>
      </c>
      <c r="H1030" s="163">
        <v>45885</v>
      </c>
      <c r="I1030" s="163">
        <v>46249</v>
      </c>
      <c r="J1030" s="163">
        <f t="shared" si="32"/>
        <v>1589948</v>
      </c>
      <c r="K1030" t="s">
        <v>2643</v>
      </c>
      <c r="L1030" t="b">
        <v>0</v>
      </c>
    </row>
    <row r="1031" spans="1:12">
      <c r="A1031" t="s">
        <v>466</v>
      </c>
      <c r="B1031">
        <f t="shared" si="33"/>
        <v>0</v>
      </c>
      <c r="C1031" t="s">
        <v>2939</v>
      </c>
      <c r="D1031" t="s">
        <v>1829</v>
      </c>
      <c r="E1031" t="s">
        <v>23</v>
      </c>
      <c r="F1031" s="162">
        <v>4761</v>
      </c>
      <c r="G1031" t="s">
        <v>1705</v>
      </c>
      <c r="H1031" s="163">
        <v>45885</v>
      </c>
      <c r="I1031" s="163">
        <v>46249</v>
      </c>
      <c r="J1031" s="163">
        <f t="shared" si="32"/>
        <v>1589948</v>
      </c>
      <c r="K1031" t="s">
        <v>2643</v>
      </c>
      <c r="L1031" t="b">
        <v>0</v>
      </c>
    </row>
    <row r="1032" spans="1:12">
      <c r="A1032" t="s">
        <v>1952</v>
      </c>
      <c r="B1032">
        <f t="shared" si="33"/>
        <v>0</v>
      </c>
      <c r="C1032" t="s">
        <v>2941</v>
      </c>
      <c r="D1032" t="s">
        <v>1810</v>
      </c>
      <c r="E1032" t="s">
        <v>21</v>
      </c>
      <c r="F1032" s="162">
        <v>4000</v>
      </c>
      <c r="G1032" t="s">
        <v>2642</v>
      </c>
      <c r="H1032" s="163">
        <v>45667</v>
      </c>
      <c r="I1032" s="163">
        <v>46295</v>
      </c>
      <c r="J1032" s="163">
        <f t="shared" si="32"/>
        <v>1608148</v>
      </c>
      <c r="K1032" t="s">
        <v>2680</v>
      </c>
      <c r="L1032" t="b">
        <v>0</v>
      </c>
    </row>
    <row r="1033" spans="1:12">
      <c r="A1033" t="s">
        <v>1952</v>
      </c>
      <c r="B1033">
        <f t="shared" si="33"/>
        <v>0</v>
      </c>
      <c r="C1033" t="s">
        <v>2941</v>
      </c>
      <c r="D1033" t="s">
        <v>1821</v>
      </c>
      <c r="E1033" t="s">
        <v>21</v>
      </c>
      <c r="F1033" s="162">
        <v>4000</v>
      </c>
      <c r="G1033" t="s">
        <v>2642</v>
      </c>
      <c r="H1033" s="163">
        <v>45667</v>
      </c>
      <c r="I1033" s="163">
        <v>46295</v>
      </c>
      <c r="J1033" s="163">
        <f t="shared" si="32"/>
        <v>1608148</v>
      </c>
      <c r="K1033" t="s">
        <v>2680</v>
      </c>
      <c r="L1033" t="b">
        <v>0</v>
      </c>
    </row>
    <row r="1034" spans="1:12">
      <c r="A1034" t="s">
        <v>1952</v>
      </c>
      <c r="B1034">
        <f t="shared" si="33"/>
        <v>0</v>
      </c>
      <c r="C1034" t="s">
        <v>2941</v>
      </c>
      <c r="D1034" t="s">
        <v>1828</v>
      </c>
      <c r="E1034" t="s">
        <v>21</v>
      </c>
      <c r="F1034" s="162">
        <v>4000</v>
      </c>
      <c r="G1034" t="s">
        <v>2642</v>
      </c>
      <c r="H1034" s="163">
        <v>45667</v>
      </c>
      <c r="I1034" s="163">
        <v>46295</v>
      </c>
      <c r="J1034" s="163">
        <f t="shared" si="32"/>
        <v>1608148</v>
      </c>
      <c r="K1034" t="s">
        <v>2680</v>
      </c>
      <c r="L1034" t="b">
        <v>0</v>
      </c>
    </row>
    <row r="1035" spans="1:12">
      <c r="A1035" t="s">
        <v>1952</v>
      </c>
      <c r="B1035">
        <f t="shared" si="33"/>
        <v>0</v>
      </c>
      <c r="C1035" t="s">
        <v>2941</v>
      </c>
      <c r="D1035" t="s">
        <v>1835</v>
      </c>
      <c r="E1035" t="s">
        <v>21</v>
      </c>
      <c r="F1035" s="162">
        <v>4000</v>
      </c>
      <c r="G1035" t="s">
        <v>2642</v>
      </c>
      <c r="H1035" s="163">
        <v>45667</v>
      </c>
      <c r="I1035" s="163">
        <v>46295</v>
      </c>
      <c r="J1035" s="163">
        <f t="shared" si="32"/>
        <v>1608148</v>
      </c>
      <c r="K1035" t="s">
        <v>2680</v>
      </c>
      <c r="L1035" t="b">
        <v>0</v>
      </c>
    </row>
    <row r="1036" spans="1:12">
      <c r="A1036" t="s">
        <v>1952</v>
      </c>
      <c r="B1036">
        <f t="shared" si="33"/>
        <v>0</v>
      </c>
      <c r="C1036" t="s">
        <v>2941</v>
      </c>
      <c r="D1036" t="s">
        <v>1841</v>
      </c>
      <c r="E1036" t="s">
        <v>21</v>
      </c>
      <c r="F1036" s="162">
        <v>4000</v>
      </c>
      <c r="G1036" t="s">
        <v>2642</v>
      </c>
      <c r="H1036" s="163">
        <v>45667</v>
      </c>
      <c r="I1036" s="163">
        <v>46295</v>
      </c>
      <c r="J1036" s="163">
        <f t="shared" si="32"/>
        <v>1608148</v>
      </c>
      <c r="K1036" t="s">
        <v>2680</v>
      </c>
      <c r="L1036" t="b">
        <v>0</v>
      </c>
    </row>
    <row r="1037" spans="1:12">
      <c r="A1037" t="s">
        <v>1952</v>
      </c>
      <c r="B1037">
        <f t="shared" si="33"/>
        <v>0</v>
      </c>
      <c r="C1037" t="s">
        <v>2941</v>
      </c>
      <c r="D1037" t="s">
        <v>1843</v>
      </c>
      <c r="E1037" t="s">
        <v>21</v>
      </c>
      <c r="F1037" s="162">
        <v>4000</v>
      </c>
      <c r="G1037" t="s">
        <v>2642</v>
      </c>
      <c r="H1037" s="163">
        <v>45667</v>
      </c>
      <c r="I1037" s="163">
        <v>46295</v>
      </c>
      <c r="J1037" s="163">
        <f t="shared" si="32"/>
        <v>1608148</v>
      </c>
      <c r="K1037" t="s">
        <v>2680</v>
      </c>
      <c r="L1037" t="b">
        <v>0</v>
      </c>
    </row>
    <row r="1038" spans="1:12">
      <c r="A1038" t="s">
        <v>1952</v>
      </c>
      <c r="B1038">
        <f t="shared" si="33"/>
        <v>0</v>
      </c>
      <c r="C1038" t="s">
        <v>2941</v>
      </c>
      <c r="D1038" t="s">
        <v>1811</v>
      </c>
      <c r="E1038" t="s">
        <v>23</v>
      </c>
      <c r="F1038" s="162">
        <v>8191.3333333333303</v>
      </c>
      <c r="G1038" t="s">
        <v>2642</v>
      </c>
      <c r="H1038" s="163">
        <v>45667</v>
      </c>
      <c r="I1038" s="163">
        <v>46295</v>
      </c>
      <c r="J1038" s="163">
        <f t="shared" si="32"/>
        <v>1608148</v>
      </c>
      <c r="K1038" t="s">
        <v>2680</v>
      </c>
      <c r="L1038" t="b">
        <v>0</v>
      </c>
    </row>
    <row r="1039" spans="1:12">
      <c r="A1039" t="s">
        <v>1952</v>
      </c>
      <c r="B1039">
        <f t="shared" si="33"/>
        <v>0</v>
      </c>
      <c r="C1039" t="s">
        <v>2941</v>
      </c>
      <c r="D1039" t="s">
        <v>1822</v>
      </c>
      <c r="E1039" t="s">
        <v>23</v>
      </c>
      <c r="F1039" s="162">
        <v>8191.3333333333303</v>
      </c>
      <c r="G1039" t="s">
        <v>2642</v>
      </c>
      <c r="H1039" s="163">
        <v>45667</v>
      </c>
      <c r="I1039" s="163">
        <v>46295</v>
      </c>
      <c r="J1039" s="163">
        <f t="shared" si="32"/>
        <v>1608148</v>
      </c>
      <c r="K1039" t="s">
        <v>2680</v>
      </c>
      <c r="L1039" t="b">
        <v>0</v>
      </c>
    </row>
    <row r="1040" spans="1:12">
      <c r="A1040" t="s">
        <v>1952</v>
      </c>
      <c r="B1040">
        <f t="shared" si="33"/>
        <v>0</v>
      </c>
      <c r="C1040" t="s">
        <v>2941</v>
      </c>
      <c r="D1040" t="s">
        <v>1829</v>
      </c>
      <c r="E1040" t="s">
        <v>23</v>
      </c>
      <c r="F1040" s="162">
        <v>8191.3333333333303</v>
      </c>
      <c r="G1040" t="s">
        <v>2642</v>
      </c>
      <c r="H1040" s="163">
        <v>45667</v>
      </c>
      <c r="I1040" s="163">
        <v>46295</v>
      </c>
      <c r="J1040" s="163">
        <f t="shared" si="32"/>
        <v>1608148</v>
      </c>
      <c r="K1040" t="s">
        <v>2680</v>
      </c>
      <c r="L1040" t="b">
        <v>0</v>
      </c>
    </row>
    <row r="1041" spans="1:12">
      <c r="A1041" t="s">
        <v>1952</v>
      </c>
      <c r="B1041">
        <f t="shared" si="33"/>
        <v>0</v>
      </c>
      <c r="C1041" t="s">
        <v>2942</v>
      </c>
      <c r="D1041" t="s">
        <v>1811</v>
      </c>
      <c r="E1041" t="s">
        <v>23</v>
      </c>
      <c r="F1041" s="162">
        <v>6000</v>
      </c>
      <c r="G1041" t="s">
        <v>2646</v>
      </c>
      <c r="H1041" s="163">
        <v>46032</v>
      </c>
      <c r="I1041" s="163">
        <v>46660</v>
      </c>
      <c r="J1041" s="163">
        <f t="shared" si="32"/>
        <v>1740397</v>
      </c>
      <c r="K1041" t="s">
        <v>2680</v>
      </c>
      <c r="L1041" t="b">
        <v>0</v>
      </c>
    </row>
    <row r="1042" spans="1:12">
      <c r="A1042" t="s">
        <v>1952</v>
      </c>
      <c r="B1042">
        <f t="shared" si="33"/>
        <v>0</v>
      </c>
      <c r="C1042" t="s">
        <v>2942</v>
      </c>
      <c r="D1042" t="s">
        <v>1822</v>
      </c>
      <c r="E1042" t="s">
        <v>23</v>
      </c>
      <c r="F1042" s="162">
        <v>6000</v>
      </c>
      <c r="G1042" t="s">
        <v>2646</v>
      </c>
      <c r="H1042" s="163">
        <v>46032</v>
      </c>
      <c r="I1042" s="163">
        <v>46660</v>
      </c>
      <c r="J1042" s="163">
        <f t="shared" si="32"/>
        <v>1740397</v>
      </c>
      <c r="K1042" t="s">
        <v>2680</v>
      </c>
      <c r="L1042" t="b">
        <v>0</v>
      </c>
    </row>
    <row r="1043" spans="1:12">
      <c r="A1043" t="s">
        <v>1952</v>
      </c>
      <c r="B1043">
        <f t="shared" si="33"/>
        <v>0</v>
      </c>
      <c r="C1043" t="s">
        <v>2942</v>
      </c>
      <c r="D1043" t="s">
        <v>1829</v>
      </c>
      <c r="E1043" t="s">
        <v>23</v>
      </c>
      <c r="F1043" s="162">
        <v>6000</v>
      </c>
      <c r="G1043" t="s">
        <v>2646</v>
      </c>
      <c r="H1043" s="163">
        <v>46032</v>
      </c>
      <c r="I1043" s="163">
        <v>46660</v>
      </c>
      <c r="J1043" s="163">
        <f t="shared" si="32"/>
        <v>1740397</v>
      </c>
      <c r="K1043" t="s">
        <v>2680</v>
      </c>
      <c r="L1043" t="b">
        <v>0</v>
      </c>
    </row>
    <row r="1044" spans="1:12">
      <c r="A1044" t="s">
        <v>1952</v>
      </c>
      <c r="B1044">
        <f t="shared" si="33"/>
        <v>0</v>
      </c>
      <c r="C1044" t="s">
        <v>2942</v>
      </c>
      <c r="D1044" t="s">
        <v>1810</v>
      </c>
      <c r="E1044" t="s">
        <v>21</v>
      </c>
      <c r="F1044" s="162">
        <v>6083.3333333333303</v>
      </c>
      <c r="G1044" t="s">
        <v>2646</v>
      </c>
      <c r="H1044" s="163">
        <v>46032</v>
      </c>
      <c r="I1044" s="163">
        <v>46660</v>
      </c>
      <c r="J1044" s="163">
        <f t="shared" si="32"/>
        <v>1740397</v>
      </c>
      <c r="K1044" t="s">
        <v>2680</v>
      </c>
      <c r="L1044" t="b">
        <v>0</v>
      </c>
    </row>
    <row r="1045" spans="1:12">
      <c r="A1045" t="s">
        <v>1952</v>
      </c>
      <c r="B1045">
        <f t="shared" si="33"/>
        <v>0</v>
      </c>
      <c r="C1045" t="s">
        <v>2942</v>
      </c>
      <c r="D1045" t="s">
        <v>1821</v>
      </c>
      <c r="E1045" t="s">
        <v>21</v>
      </c>
      <c r="F1045" s="162">
        <v>6083.3333333333303</v>
      </c>
      <c r="G1045" t="s">
        <v>2646</v>
      </c>
      <c r="H1045" s="163">
        <v>46032</v>
      </c>
      <c r="I1045" s="163">
        <v>46660</v>
      </c>
      <c r="J1045" s="163">
        <f t="shared" si="32"/>
        <v>1740397</v>
      </c>
      <c r="K1045" t="s">
        <v>2680</v>
      </c>
      <c r="L1045" t="b">
        <v>0</v>
      </c>
    </row>
    <row r="1046" spans="1:12">
      <c r="A1046" t="s">
        <v>1952</v>
      </c>
      <c r="B1046">
        <f t="shared" si="33"/>
        <v>0</v>
      </c>
      <c r="C1046" t="s">
        <v>2942</v>
      </c>
      <c r="D1046" t="s">
        <v>1828</v>
      </c>
      <c r="E1046" t="s">
        <v>21</v>
      </c>
      <c r="F1046" s="162">
        <v>6083.3333333333303</v>
      </c>
      <c r="G1046" t="s">
        <v>2646</v>
      </c>
      <c r="H1046" s="163">
        <v>46032</v>
      </c>
      <c r="I1046" s="163">
        <v>46660</v>
      </c>
      <c r="J1046" s="163">
        <f t="shared" si="32"/>
        <v>1740397</v>
      </c>
      <c r="K1046" t="s">
        <v>2680</v>
      </c>
      <c r="L1046" t="b">
        <v>0</v>
      </c>
    </row>
    <row r="1047" spans="1:12">
      <c r="A1047" t="s">
        <v>1952</v>
      </c>
      <c r="B1047">
        <f t="shared" si="33"/>
        <v>0</v>
      </c>
      <c r="C1047" t="s">
        <v>2942</v>
      </c>
      <c r="D1047" t="s">
        <v>1835</v>
      </c>
      <c r="E1047" t="s">
        <v>21</v>
      </c>
      <c r="F1047" s="162">
        <v>6083.3333333333303</v>
      </c>
      <c r="G1047" t="s">
        <v>2646</v>
      </c>
      <c r="H1047" s="163">
        <v>46032</v>
      </c>
      <c r="I1047" s="163">
        <v>46660</v>
      </c>
      <c r="J1047" s="163">
        <f t="shared" si="32"/>
        <v>1740397</v>
      </c>
      <c r="K1047" t="s">
        <v>2680</v>
      </c>
      <c r="L1047" t="b">
        <v>0</v>
      </c>
    </row>
    <row r="1048" spans="1:12">
      <c r="A1048" t="s">
        <v>1952</v>
      </c>
      <c r="B1048">
        <f t="shared" si="33"/>
        <v>0</v>
      </c>
      <c r="C1048" t="s">
        <v>2942</v>
      </c>
      <c r="D1048" t="s">
        <v>1841</v>
      </c>
      <c r="E1048" t="s">
        <v>21</v>
      </c>
      <c r="F1048" s="162">
        <v>6083.3333333333303</v>
      </c>
      <c r="G1048" t="s">
        <v>2646</v>
      </c>
      <c r="H1048" s="163">
        <v>46032</v>
      </c>
      <c r="I1048" s="163">
        <v>46660</v>
      </c>
      <c r="J1048" s="163">
        <f t="shared" si="32"/>
        <v>1740397</v>
      </c>
      <c r="K1048" t="s">
        <v>2680</v>
      </c>
      <c r="L1048" t="b">
        <v>0</v>
      </c>
    </row>
    <row r="1049" spans="1:12">
      <c r="A1049" t="s">
        <v>1952</v>
      </c>
      <c r="B1049">
        <f t="shared" si="33"/>
        <v>0</v>
      </c>
      <c r="C1049" t="s">
        <v>2942</v>
      </c>
      <c r="D1049" t="s">
        <v>1843</v>
      </c>
      <c r="E1049" t="s">
        <v>21</v>
      </c>
      <c r="F1049" s="162">
        <v>6083.3333333333303</v>
      </c>
      <c r="G1049" t="s">
        <v>2646</v>
      </c>
      <c r="H1049" s="163">
        <v>46032</v>
      </c>
      <c r="I1049" s="163">
        <v>46660</v>
      </c>
      <c r="J1049" s="163">
        <f t="shared" si="32"/>
        <v>1740397</v>
      </c>
      <c r="K1049" t="s">
        <v>2680</v>
      </c>
      <c r="L1049" t="b">
        <v>0</v>
      </c>
    </row>
    <row r="1050" spans="1:12">
      <c r="A1050" t="s">
        <v>912</v>
      </c>
      <c r="B1050">
        <f t="shared" si="33"/>
        <v>0</v>
      </c>
      <c r="C1050" t="s">
        <v>2943</v>
      </c>
      <c r="D1050" t="s">
        <v>1829</v>
      </c>
      <c r="E1050" t="s">
        <v>23</v>
      </c>
      <c r="F1050" s="162">
        <v>11288</v>
      </c>
      <c r="G1050" t="s">
        <v>2646</v>
      </c>
      <c r="H1050" s="163">
        <v>45666</v>
      </c>
      <c r="I1050" s="163">
        <v>46265</v>
      </c>
      <c r="J1050" s="163">
        <f t="shared" si="32"/>
        <v>1596277</v>
      </c>
      <c r="K1050" t="s">
        <v>2643</v>
      </c>
      <c r="L1050" t="b">
        <v>0</v>
      </c>
    </row>
    <row r="1051" spans="1:12">
      <c r="A1051" t="s">
        <v>912</v>
      </c>
      <c r="B1051">
        <f t="shared" si="33"/>
        <v>0</v>
      </c>
      <c r="C1051" t="s">
        <v>2943</v>
      </c>
      <c r="D1051" t="s">
        <v>1843</v>
      </c>
      <c r="E1051" t="s">
        <v>21</v>
      </c>
      <c r="F1051" s="162">
        <v>7650</v>
      </c>
      <c r="G1051" t="s">
        <v>2646</v>
      </c>
      <c r="H1051" s="163">
        <v>45666</v>
      </c>
      <c r="I1051" s="163">
        <v>46265</v>
      </c>
      <c r="J1051" s="163">
        <f t="shared" si="32"/>
        <v>1596277</v>
      </c>
      <c r="K1051" t="s">
        <v>2643</v>
      </c>
      <c r="L1051" t="b">
        <v>0</v>
      </c>
    </row>
    <row r="1052" spans="1:12">
      <c r="A1052" t="s">
        <v>1106</v>
      </c>
      <c r="B1052">
        <f t="shared" si="33"/>
        <v>2</v>
      </c>
      <c r="C1052" t="s">
        <v>2944</v>
      </c>
      <c r="D1052" t="s">
        <v>1829</v>
      </c>
      <c r="E1052" t="s">
        <v>23</v>
      </c>
      <c r="F1052" s="162">
        <v>15953</v>
      </c>
      <c r="G1052" t="s">
        <v>2646</v>
      </c>
      <c r="H1052" s="163">
        <v>46026</v>
      </c>
      <c r="I1052" s="163">
        <v>46477</v>
      </c>
      <c r="J1052" s="163">
        <f t="shared" si="32"/>
        <v>1674074</v>
      </c>
      <c r="K1052" t="s">
        <v>2680</v>
      </c>
      <c r="L1052" t="b">
        <v>0</v>
      </c>
    </row>
    <row r="1053" spans="1:12">
      <c r="A1053" t="s">
        <v>1106</v>
      </c>
      <c r="B1053">
        <f t="shared" si="33"/>
        <v>2</v>
      </c>
      <c r="C1053" t="s">
        <v>2944</v>
      </c>
      <c r="D1053" t="s">
        <v>2653</v>
      </c>
      <c r="E1053" t="s">
        <v>20</v>
      </c>
      <c r="F1053" s="162">
        <v>5724</v>
      </c>
      <c r="G1053" t="s">
        <v>2646</v>
      </c>
      <c r="H1053" s="163">
        <v>46026</v>
      </c>
      <c r="I1053" s="163">
        <v>46477</v>
      </c>
      <c r="J1053" s="163">
        <f t="shared" si="32"/>
        <v>1674074</v>
      </c>
      <c r="K1053" t="s">
        <v>2680</v>
      </c>
      <c r="L1053" t="b">
        <v>0</v>
      </c>
    </row>
    <row r="1054" spans="1:12">
      <c r="F1054" s="162"/>
      <c r="J1054" s="163" t="e">
        <f t="shared" si="32"/>
        <v>#VALUE!</v>
      </c>
    </row>
    <row r="1055" spans="1:12">
      <c r="F1055" s="162"/>
      <c r="J1055" s="163" t="e">
        <f t="shared" si="32"/>
        <v>#VALUE!</v>
      </c>
    </row>
    <row r="1057" spans="5:6">
      <c r="E1057" s="76"/>
      <c r="F1057" s="164"/>
    </row>
  </sheetData>
  <autoFilter ref="A1:L1055" xr:uid="{C4780DDB-E589-43BF-86BF-A5E291B3C999}">
    <sortState xmlns:xlrd2="http://schemas.microsoft.com/office/spreadsheetml/2017/richdata2" ref="A2:L1055">
      <sortCondition ref="A1:A1055"/>
    </sortState>
  </autoFilter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5AA6C-D748-49A6-8CCB-AB1E8D52B7A8}">
  <dimension ref="A1:N624"/>
  <sheetViews>
    <sheetView workbookViewId="0"/>
  </sheetViews>
  <sheetFormatPr defaultRowHeight="15"/>
  <cols>
    <col min="1" max="1" width="4.28515625" style="116" customWidth="1"/>
    <col min="2" max="2" width="7" style="116" customWidth="1"/>
    <col min="3" max="3" width="8" style="116" customWidth="1"/>
    <col min="4" max="4" width="62" style="116" customWidth="1"/>
    <col min="5" max="5" width="59" style="116" customWidth="1"/>
    <col min="6" max="6" width="64" style="116" customWidth="1"/>
    <col min="7" max="7" width="33.140625" style="116" bestFit="1" customWidth="1"/>
    <col min="8" max="8" width="19" style="116" customWidth="1"/>
    <col min="9" max="9" width="18" style="116" customWidth="1"/>
    <col min="10" max="10" width="32" style="116" customWidth="1"/>
    <col min="11" max="11" width="23" style="116" customWidth="1"/>
    <col min="12" max="12" width="25" style="116" customWidth="1"/>
    <col min="13" max="13" width="9" style="116" customWidth="1"/>
    <col min="14" max="14" width="4.28515625" style="116" customWidth="1"/>
    <col min="15" max="16384" width="9.140625" style="116"/>
  </cols>
  <sheetData>
    <row r="1" spans="1:14">
      <c r="A1" s="114"/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5"/>
    </row>
    <row r="2" spans="1:14" ht="23.25">
      <c r="A2" s="114"/>
      <c r="B2" s="114"/>
      <c r="C2" s="114"/>
      <c r="D2" s="117" t="s">
        <v>2945</v>
      </c>
      <c r="E2" s="117"/>
      <c r="F2" s="117"/>
      <c r="G2" s="117"/>
      <c r="H2" s="117"/>
      <c r="I2" s="117"/>
      <c r="J2" s="117"/>
      <c r="K2" s="117"/>
      <c r="L2" s="117"/>
      <c r="M2" s="117"/>
      <c r="N2" s="115"/>
    </row>
    <row r="3" spans="1:14" ht="15.75">
      <c r="A3" s="114"/>
      <c r="B3" s="114"/>
      <c r="C3" s="114"/>
      <c r="D3" s="118" t="s">
        <v>2946</v>
      </c>
      <c r="E3" s="118"/>
      <c r="F3" s="118"/>
      <c r="G3" s="118"/>
      <c r="H3" s="118"/>
      <c r="I3" s="118"/>
      <c r="J3" s="118"/>
      <c r="K3" s="118"/>
      <c r="L3" s="118"/>
      <c r="M3" s="118"/>
      <c r="N3" s="115"/>
    </row>
    <row r="4" spans="1:14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20"/>
    </row>
    <row r="5" spans="1:14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2"/>
    </row>
    <row r="6" spans="1:14" ht="15.75">
      <c r="A6" s="121"/>
      <c r="B6" s="121"/>
      <c r="C6" s="121"/>
      <c r="D6" s="123" t="s">
        <v>2947</v>
      </c>
      <c r="E6" s="123"/>
      <c r="F6" s="123"/>
      <c r="G6" s="123"/>
      <c r="H6" s="123"/>
      <c r="I6" s="123"/>
      <c r="J6" s="123"/>
      <c r="K6" s="123"/>
      <c r="L6" s="123"/>
      <c r="M6" s="123"/>
      <c r="N6" s="122"/>
    </row>
    <row r="7" spans="1:14" ht="15.75">
      <c r="A7" s="121"/>
      <c r="B7" s="121"/>
      <c r="C7" s="121"/>
      <c r="D7" s="124" t="s">
        <v>2948</v>
      </c>
      <c r="E7" s="124"/>
      <c r="F7" s="124"/>
      <c r="G7" s="124"/>
      <c r="H7" s="124"/>
      <c r="I7" s="124"/>
      <c r="J7" s="124"/>
      <c r="K7" s="124"/>
      <c r="L7" s="124"/>
      <c r="M7" s="124"/>
      <c r="N7" s="122"/>
    </row>
    <row r="8" spans="1:14" ht="15.75">
      <c r="A8" s="121"/>
      <c r="B8" s="121"/>
      <c r="C8" s="121"/>
      <c r="D8" s="124" t="s">
        <v>2949</v>
      </c>
      <c r="E8" s="124"/>
      <c r="F8" s="124"/>
      <c r="G8" s="124"/>
      <c r="H8" s="124"/>
      <c r="I8" s="124"/>
      <c r="J8" s="124"/>
      <c r="K8" s="124"/>
      <c r="L8" s="124"/>
      <c r="M8" s="124"/>
      <c r="N8" s="122"/>
    </row>
    <row r="9" spans="1:14" ht="15.75">
      <c r="A9" s="121"/>
      <c r="B9" s="121"/>
      <c r="C9" s="121"/>
      <c r="D9" s="124" t="s">
        <v>2950</v>
      </c>
      <c r="E9" s="124"/>
      <c r="F9" s="124"/>
      <c r="G9" s="124"/>
      <c r="H9" s="124"/>
      <c r="I9" s="124"/>
      <c r="J9" s="124"/>
      <c r="K9" s="124"/>
      <c r="L9" s="124"/>
      <c r="M9" s="124"/>
      <c r="N9" s="122"/>
    </row>
    <row r="10" spans="1:14" ht="15.75">
      <c r="A10" s="121"/>
      <c r="B10" s="121"/>
      <c r="C10" s="121"/>
      <c r="D10" s="124" t="s">
        <v>2951</v>
      </c>
      <c r="E10" s="124"/>
      <c r="F10" s="124"/>
      <c r="G10" s="124"/>
      <c r="H10" s="124"/>
      <c r="I10" s="124"/>
      <c r="J10" s="124"/>
      <c r="K10" s="124"/>
      <c r="L10" s="124"/>
      <c r="M10" s="124"/>
      <c r="N10" s="122"/>
    </row>
    <row r="11" spans="1:14" ht="15.75">
      <c r="A11" s="121"/>
      <c r="B11" s="121"/>
      <c r="C11" s="121"/>
      <c r="D11" s="124" t="s">
        <v>2952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2"/>
    </row>
    <row r="12" spans="1:14" ht="15.75">
      <c r="A12" s="121"/>
      <c r="B12" s="121"/>
      <c r="C12" s="121"/>
      <c r="D12" s="124" t="s">
        <v>2953</v>
      </c>
      <c r="E12" s="124"/>
      <c r="F12" s="124"/>
      <c r="G12" s="124"/>
      <c r="H12" s="124"/>
      <c r="I12" s="124"/>
      <c r="J12" s="124"/>
      <c r="K12" s="124"/>
      <c r="L12" s="124"/>
      <c r="M12" s="124"/>
      <c r="N12" s="122"/>
    </row>
    <row r="13" spans="1:14" ht="15.75">
      <c r="A13" s="121"/>
      <c r="B13" s="121"/>
      <c r="C13" s="121"/>
      <c r="D13" s="124" t="s">
        <v>2954</v>
      </c>
      <c r="E13" s="124"/>
      <c r="F13" s="124"/>
      <c r="G13" s="124"/>
      <c r="H13" s="124"/>
      <c r="I13" s="124"/>
      <c r="J13" s="124"/>
      <c r="K13" s="124"/>
      <c r="L13" s="124"/>
      <c r="M13" s="124"/>
      <c r="N13" s="122"/>
    </row>
    <row r="14" spans="1:14" ht="15.75">
      <c r="A14" s="121"/>
      <c r="B14" s="121"/>
      <c r="C14" s="121"/>
      <c r="D14" s="124" t="s">
        <v>2955</v>
      </c>
      <c r="E14" s="124"/>
      <c r="F14" s="124"/>
      <c r="G14" s="124"/>
      <c r="H14" s="124"/>
      <c r="I14" s="124"/>
      <c r="J14" s="124"/>
      <c r="K14" s="124"/>
      <c r="L14" s="124"/>
      <c r="M14" s="124"/>
      <c r="N14" s="122"/>
    </row>
    <row r="15" spans="1:14" ht="15.75">
      <c r="A15" s="121"/>
      <c r="B15" s="121"/>
      <c r="C15" s="121"/>
      <c r="D15" s="124" t="s">
        <v>2956</v>
      </c>
      <c r="E15" s="124"/>
      <c r="F15" s="124"/>
      <c r="G15" s="124"/>
      <c r="H15" s="124"/>
      <c r="I15" s="124"/>
      <c r="J15" s="124"/>
      <c r="K15" s="124"/>
      <c r="L15" s="124"/>
      <c r="M15" s="124"/>
      <c r="N15" s="122"/>
    </row>
    <row r="16" spans="1:14" ht="15.75">
      <c r="A16" s="121"/>
      <c r="B16" s="121"/>
      <c r="C16" s="121"/>
      <c r="D16" s="124" t="s">
        <v>2957</v>
      </c>
      <c r="E16" s="124"/>
      <c r="F16" s="124"/>
      <c r="G16" s="124"/>
      <c r="H16" s="124"/>
      <c r="I16" s="124"/>
      <c r="J16" s="124"/>
      <c r="K16" s="124"/>
      <c r="L16" s="124"/>
      <c r="M16" s="124"/>
      <c r="N16" s="122"/>
    </row>
    <row r="17" spans="1:14" ht="15.75">
      <c r="A17" s="121"/>
      <c r="B17" s="121"/>
      <c r="C17" s="121"/>
      <c r="D17" s="124" t="s">
        <v>2958</v>
      </c>
      <c r="E17" s="124"/>
      <c r="F17" s="124"/>
      <c r="G17" s="124"/>
      <c r="H17" s="124"/>
      <c r="I17" s="124"/>
      <c r="J17" s="124"/>
      <c r="K17" s="124"/>
      <c r="L17" s="124"/>
      <c r="M17" s="124"/>
      <c r="N17" s="122"/>
    </row>
    <row r="18" spans="1:14" ht="15.75">
      <c r="A18" s="121"/>
      <c r="B18" s="121"/>
      <c r="C18" s="121"/>
      <c r="D18" s="124" t="s">
        <v>2959</v>
      </c>
      <c r="E18" s="124"/>
      <c r="F18" s="124"/>
      <c r="G18" s="124"/>
      <c r="H18" s="124"/>
      <c r="I18" s="124"/>
      <c r="J18" s="124"/>
      <c r="K18" s="124"/>
      <c r="L18" s="124"/>
      <c r="M18" s="124"/>
      <c r="N18" s="122"/>
    </row>
    <row r="19" spans="1:14">
      <c r="A19" s="121"/>
      <c r="B19" s="121"/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2"/>
    </row>
    <row r="20" spans="1:14" ht="15.75">
      <c r="A20" s="121"/>
      <c r="B20" s="121"/>
      <c r="C20" s="121"/>
      <c r="D20" s="125" t="s">
        <v>2025</v>
      </c>
      <c r="E20" s="125" t="s">
        <v>2633</v>
      </c>
      <c r="F20" s="125" t="s">
        <v>2027</v>
      </c>
      <c r="G20" s="153" t="s">
        <v>2634</v>
      </c>
      <c r="H20" s="125" t="s">
        <v>2635</v>
      </c>
      <c r="I20" s="125" t="s">
        <v>2636</v>
      </c>
      <c r="J20" s="125" t="s">
        <v>2637</v>
      </c>
      <c r="K20" s="125" t="s">
        <v>2638</v>
      </c>
      <c r="L20" s="125" t="s">
        <v>2639</v>
      </c>
      <c r="M20" s="125" t="s">
        <v>2640</v>
      </c>
      <c r="N20" s="122"/>
    </row>
    <row r="21" spans="1:14" ht="15.75">
      <c r="A21" s="121"/>
      <c r="B21" s="121"/>
      <c r="C21" s="121"/>
      <c r="D21" s="126" t="s">
        <v>1932</v>
      </c>
      <c r="E21" s="126" t="s">
        <v>2878</v>
      </c>
      <c r="F21" s="126" t="s">
        <v>2617</v>
      </c>
      <c r="G21" s="126" t="s">
        <v>23</v>
      </c>
      <c r="H21" s="127">
        <v>21880.09</v>
      </c>
      <c r="I21" s="126" t="s">
        <v>2646</v>
      </c>
      <c r="J21" s="174">
        <v>45663</v>
      </c>
      <c r="K21" s="126" t="s">
        <v>2960</v>
      </c>
      <c r="L21" s="126" t="s">
        <v>2667</v>
      </c>
      <c r="M21" s="128" t="b">
        <v>0</v>
      </c>
      <c r="N21" s="122"/>
    </row>
    <row r="22" spans="1:14" ht="15.75">
      <c r="A22" s="121"/>
      <c r="B22" s="121"/>
      <c r="C22" s="121"/>
      <c r="D22" s="126" t="s">
        <v>361</v>
      </c>
      <c r="E22" s="126" t="s">
        <v>2752</v>
      </c>
      <c r="F22" s="126" t="s">
        <v>1873</v>
      </c>
      <c r="G22" s="126" t="s">
        <v>2717</v>
      </c>
      <c r="H22" s="129">
        <v>18000</v>
      </c>
      <c r="I22" s="126" t="s">
        <v>2642</v>
      </c>
      <c r="J22" s="126" t="s">
        <v>2961</v>
      </c>
      <c r="K22" s="126" t="s">
        <v>2962</v>
      </c>
      <c r="L22" s="126" t="s">
        <v>2647</v>
      </c>
      <c r="M22" s="128" t="b">
        <v>0</v>
      </c>
      <c r="N22" s="122"/>
    </row>
    <row r="23" spans="1:14" ht="15.75">
      <c r="A23" s="121"/>
      <c r="B23" s="121"/>
      <c r="C23" s="121"/>
      <c r="D23" s="126" t="s">
        <v>1933</v>
      </c>
      <c r="E23" s="126" t="s">
        <v>2963</v>
      </c>
      <c r="F23" s="126" t="s">
        <v>1825</v>
      </c>
      <c r="G23" s="126" t="s">
        <v>27</v>
      </c>
      <c r="H23" s="127">
        <v>13000</v>
      </c>
      <c r="I23" s="126" t="s">
        <v>1705</v>
      </c>
      <c r="J23" s="174">
        <v>45663</v>
      </c>
      <c r="K23" s="126" t="s">
        <v>2964</v>
      </c>
      <c r="L23" s="126" t="s">
        <v>2671</v>
      </c>
      <c r="M23" s="128" t="b">
        <v>0</v>
      </c>
      <c r="N23" s="122"/>
    </row>
    <row r="24" spans="1:14" ht="15.75">
      <c r="A24" s="121"/>
      <c r="B24" s="121"/>
      <c r="C24" s="121"/>
      <c r="D24" s="126" t="s">
        <v>601</v>
      </c>
      <c r="E24" s="126" t="s">
        <v>2853</v>
      </c>
      <c r="F24" s="126" t="s">
        <v>1845</v>
      </c>
      <c r="G24" s="126" t="s">
        <v>31</v>
      </c>
      <c r="H24" s="127">
        <v>9700</v>
      </c>
      <c r="I24" s="126" t="s">
        <v>2646</v>
      </c>
      <c r="J24" s="174">
        <v>45663</v>
      </c>
      <c r="K24" s="126" t="s">
        <v>2964</v>
      </c>
      <c r="L24" s="126" t="s">
        <v>2643</v>
      </c>
      <c r="M24" s="128" t="b">
        <v>0</v>
      </c>
      <c r="N24" s="122"/>
    </row>
    <row r="25" spans="1:14" ht="15.75">
      <c r="A25" s="121"/>
      <c r="B25" s="121"/>
      <c r="C25" s="121"/>
      <c r="D25" s="126" t="s">
        <v>601</v>
      </c>
      <c r="E25" s="126" t="s">
        <v>2853</v>
      </c>
      <c r="F25" s="126" t="s">
        <v>2653</v>
      </c>
      <c r="G25" s="126" t="s">
        <v>20</v>
      </c>
      <c r="H25" s="127">
        <v>8050</v>
      </c>
      <c r="I25" s="126" t="s">
        <v>2646</v>
      </c>
      <c r="J25" s="174">
        <v>45663</v>
      </c>
      <c r="K25" s="126" t="s">
        <v>2964</v>
      </c>
      <c r="L25" s="126" t="s">
        <v>2643</v>
      </c>
      <c r="M25" s="128" t="b">
        <v>0</v>
      </c>
      <c r="N25" s="122"/>
    </row>
    <row r="26" spans="1:14" ht="15.75">
      <c r="A26" s="121"/>
      <c r="B26" s="121"/>
      <c r="C26" s="121"/>
      <c r="D26" s="126" t="s">
        <v>97</v>
      </c>
      <c r="E26" s="126" t="s">
        <v>2718</v>
      </c>
      <c r="F26" s="126" t="s">
        <v>2653</v>
      </c>
      <c r="G26" s="126" t="s">
        <v>20</v>
      </c>
      <c r="H26" s="127">
        <v>3952.23</v>
      </c>
      <c r="I26" s="126" t="s">
        <v>2646</v>
      </c>
      <c r="J26" s="174">
        <v>45663</v>
      </c>
      <c r="K26" s="126" t="s">
        <v>2964</v>
      </c>
      <c r="L26" s="126" t="s">
        <v>2667</v>
      </c>
      <c r="M26" s="128" t="b">
        <v>0</v>
      </c>
      <c r="N26" s="122"/>
    </row>
    <row r="27" spans="1:14" ht="15.75">
      <c r="A27" s="121"/>
      <c r="B27" s="121"/>
      <c r="C27" s="121"/>
      <c r="D27" s="126" t="s">
        <v>97</v>
      </c>
      <c r="E27" s="126" t="s">
        <v>2718</v>
      </c>
      <c r="F27" s="126" t="s">
        <v>1889</v>
      </c>
      <c r="G27" s="126" t="s">
        <v>21</v>
      </c>
      <c r="H27" s="127">
        <v>28726.89</v>
      </c>
      <c r="I27" s="126" t="s">
        <v>2646</v>
      </c>
      <c r="J27" s="174">
        <v>45663</v>
      </c>
      <c r="K27" s="126" t="s">
        <v>2964</v>
      </c>
      <c r="L27" s="126" t="s">
        <v>2667</v>
      </c>
      <c r="M27" s="128" t="b">
        <v>0</v>
      </c>
      <c r="N27" s="122"/>
    </row>
    <row r="28" spans="1:14" ht="15.75">
      <c r="A28" s="121"/>
      <c r="B28" s="121"/>
      <c r="C28" s="121"/>
      <c r="D28" s="126" t="s">
        <v>97</v>
      </c>
      <c r="E28" s="126" t="s">
        <v>2718</v>
      </c>
      <c r="F28" s="126" t="s">
        <v>1918</v>
      </c>
      <c r="G28" s="126" t="s">
        <v>25</v>
      </c>
      <c r="H28" s="127">
        <v>16138.29</v>
      </c>
      <c r="I28" s="126" t="s">
        <v>2646</v>
      </c>
      <c r="J28" s="174">
        <v>45663</v>
      </c>
      <c r="K28" s="126" t="s">
        <v>2964</v>
      </c>
      <c r="L28" s="126" t="s">
        <v>2667</v>
      </c>
      <c r="M28" s="128" t="b">
        <v>0</v>
      </c>
      <c r="N28" s="122"/>
    </row>
    <row r="29" spans="1:14" ht="15.75">
      <c r="A29" s="121"/>
      <c r="B29" s="121"/>
      <c r="C29" s="121"/>
      <c r="D29" s="126" t="s">
        <v>97</v>
      </c>
      <c r="E29" s="126" t="s">
        <v>2718</v>
      </c>
      <c r="F29" s="126" t="s">
        <v>2618</v>
      </c>
      <c r="G29" s="126" t="s">
        <v>1695</v>
      </c>
      <c r="H29" s="127">
        <v>32276.58</v>
      </c>
      <c r="I29" s="126" t="s">
        <v>2646</v>
      </c>
      <c r="J29" s="174">
        <v>45663</v>
      </c>
      <c r="K29" s="126" t="s">
        <v>2964</v>
      </c>
      <c r="L29" s="126" t="s">
        <v>2667</v>
      </c>
      <c r="M29" s="128" t="b">
        <v>0</v>
      </c>
      <c r="N29" s="122"/>
    </row>
    <row r="30" spans="1:14" ht="15.75">
      <c r="A30" s="121"/>
      <c r="B30" s="121"/>
      <c r="C30" s="121"/>
      <c r="D30" s="126" t="s">
        <v>97</v>
      </c>
      <c r="E30" s="126" t="s">
        <v>2718</v>
      </c>
      <c r="F30" s="126" t="s">
        <v>2719</v>
      </c>
      <c r="G30" s="126" t="s">
        <v>2701</v>
      </c>
      <c r="H30" s="127">
        <v>13906.01</v>
      </c>
      <c r="I30" s="126" t="s">
        <v>2646</v>
      </c>
      <c r="J30" s="174">
        <v>45663</v>
      </c>
      <c r="K30" s="126" t="s">
        <v>2964</v>
      </c>
      <c r="L30" s="126" t="s">
        <v>2667</v>
      </c>
      <c r="M30" s="128" t="b">
        <v>0</v>
      </c>
      <c r="N30" s="122"/>
    </row>
    <row r="31" spans="1:14" ht="15.75">
      <c r="A31" s="121"/>
      <c r="B31" s="121"/>
      <c r="C31" s="121"/>
      <c r="D31" s="126" t="s">
        <v>1934</v>
      </c>
      <c r="E31" s="126" t="s">
        <v>2886</v>
      </c>
      <c r="F31" s="126" t="s">
        <v>1794</v>
      </c>
      <c r="G31" s="126" t="s">
        <v>27</v>
      </c>
      <c r="H31" s="127">
        <v>6450</v>
      </c>
      <c r="I31" s="126" t="s">
        <v>1705</v>
      </c>
      <c r="J31" s="174">
        <v>45663</v>
      </c>
      <c r="K31" s="126" t="s">
        <v>2964</v>
      </c>
      <c r="L31" s="126" t="s">
        <v>2680</v>
      </c>
      <c r="M31" s="128" t="b">
        <v>0</v>
      </c>
      <c r="N31" s="122"/>
    </row>
    <row r="32" spans="1:14" ht="15.75">
      <c r="A32" s="121"/>
      <c r="B32" s="121"/>
      <c r="C32" s="121"/>
      <c r="D32" s="126" t="s">
        <v>1935</v>
      </c>
      <c r="E32" s="126" t="s">
        <v>2837</v>
      </c>
      <c r="F32" s="126" t="s">
        <v>2653</v>
      </c>
      <c r="G32" s="126" t="s">
        <v>20</v>
      </c>
      <c r="H32" s="127">
        <v>7565</v>
      </c>
      <c r="I32" s="126" t="s">
        <v>2646</v>
      </c>
      <c r="J32" s="174">
        <v>45663</v>
      </c>
      <c r="K32" s="126" t="s">
        <v>2964</v>
      </c>
      <c r="L32" s="126" t="s">
        <v>2656</v>
      </c>
      <c r="M32" s="128" t="b">
        <v>0</v>
      </c>
      <c r="N32" s="122"/>
    </row>
    <row r="33" spans="1:14" ht="15.75">
      <c r="A33" s="121"/>
      <c r="B33" s="121"/>
      <c r="C33" s="121"/>
      <c r="D33" s="126" t="s">
        <v>168</v>
      </c>
      <c r="E33" s="126" t="s">
        <v>2805</v>
      </c>
      <c r="F33" s="126" t="s">
        <v>2653</v>
      </c>
      <c r="G33" s="126" t="s">
        <v>20</v>
      </c>
      <c r="H33" s="127">
        <v>4500</v>
      </c>
      <c r="I33" s="126" t="s">
        <v>2646</v>
      </c>
      <c r="J33" s="174">
        <v>45663</v>
      </c>
      <c r="K33" s="126" t="s">
        <v>2964</v>
      </c>
      <c r="L33" s="126" t="s">
        <v>2680</v>
      </c>
      <c r="M33" s="128" t="b">
        <v>0</v>
      </c>
      <c r="N33" s="122"/>
    </row>
    <row r="34" spans="1:14" ht="15.75">
      <c r="A34" s="121"/>
      <c r="B34" s="121"/>
      <c r="C34" s="121"/>
      <c r="D34" s="126" t="s">
        <v>168</v>
      </c>
      <c r="E34" s="126" t="s">
        <v>2805</v>
      </c>
      <c r="F34" s="126" t="s">
        <v>2620</v>
      </c>
      <c r="G34" s="126" t="s">
        <v>1695</v>
      </c>
      <c r="H34" s="127">
        <v>22150</v>
      </c>
      <c r="I34" s="126" t="s">
        <v>2646</v>
      </c>
      <c r="J34" s="174">
        <v>45663</v>
      </c>
      <c r="K34" s="126" t="s">
        <v>2964</v>
      </c>
      <c r="L34" s="126" t="s">
        <v>2680</v>
      </c>
      <c r="M34" s="128" t="b">
        <v>0</v>
      </c>
      <c r="N34" s="122"/>
    </row>
    <row r="35" spans="1:14" ht="15.75">
      <c r="A35" s="121"/>
      <c r="B35" s="121"/>
      <c r="C35" s="121"/>
      <c r="D35" s="126" t="s">
        <v>168</v>
      </c>
      <c r="E35" s="126" t="s">
        <v>2805</v>
      </c>
      <c r="F35" s="126" t="s">
        <v>2074</v>
      </c>
      <c r="G35" s="126" t="s">
        <v>23</v>
      </c>
      <c r="H35" s="127">
        <v>16300</v>
      </c>
      <c r="I35" s="126" t="s">
        <v>2646</v>
      </c>
      <c r="J35" s="174">
        <v>45663</v>
      </c>
      <c r="K35" s="126" t="s">
        <v>2964</v>
      </c>
      <c r="L35" s="126" t="s">
        <v>2680</v>
      </c>
      <c r="M35" s="128" t="b">
        <v>0</v>
      </c>
      <c r="N35" s="122"/>
    </row>
    <row r="36" spans="1:14" ht="15.75">
      <c r="A36" s="121"/>
      <c r="B36" s="121"/>
      <c r="C36" s="121"/>
      <c r="D36" s="126" t="s">
        <v>168</v>
      </c>
      <c r="E36" s="126" t="s">
        <v>2805</v>
      </c>
      <c r="F36" s="126" t="s">
        <v>1889</v>
      </c>
      <c r="G36" s="126" t="s">
        <v>21</v>
      </c>
      <c r="H36" s="127">
        <v>32950</v>
      </c>
      <c r="I36" s="126" t="s">
        <v>2646</v>
      </c>
      <c r="J36" s="174">
        <v>45663</v>
      </c>
      <c r="K36" s="126" t="s">
        <v>2964</v>
      </c>
      <c r="L36" s="126" t="s">
        <v>2680</v>
      </c>
      <c r="M36" s="128" t="b">
        <v>0</v>
      </c>
      <c r="N36" s="122"/>
    </row>
    <row r="37" spans="1:14" ht="15.75">
      <c r="A37" s="121"/>
      <c r="B37" s="121"/>
      <c r="C37" s="121"/>
      <c r="D37" s="126" t="s">
        <v>1936</v>
      </c>
      <c r="E37" s="126" t="s">
        <v>2818</v>
      </c>
      <c r="F37" s="126" t="s">
        <v>2653</v>
      </c>
      <c r="G37" s="126" t="s">
        <v>20</v>
      </c>
      <c r="H37" s="127">
        <v>3750</v>
      </c>
      <c r="I37" s="126" t="s">
        <v>2646</v>
      </c>
      <c r="J37" s="126" t="s">
        <v>2965</v>
      </c>
      <c r="K37" s="126" t="s">
        <v>2966</v>
      </c>
      <c r="L37" s="126" t="s">
        <v>2656</v>
      </c>
      <c r="M37" s="128" t="b">
        <v>0</v>
      </c>
      <c r="N37" s="122"/>
    </row>
    <row r="38" spans="1:14" ht="15.75">
      <c r="A38" s="121"/>
      <c r="B38" s="121"/>
      <c r="C38" s="121"/>
      <c r="D38" s="126" t="s">
        <v>440</v>
      </c>
      <c r="E38" s="126" t="s">
        <v>2851</v>
      </c>
      <c r="F38" s="126" t="s">
        <v>2653</v>
      </c>
      <c r="G38" s="126" t="s">
        <v>20</v>
      </c>
      <c r="H38" s="127">
        <v>9500</v>
      </c>
      <c r="I38" s="126" t="s">
        <v>2646</v>
      </c>
      <c r="J38" s="174">
        <v>45664</v>
      </c>
      <c r="K38" s="126" t="s">
        <v>2967</v>
      </c>
      <c r="L38" s="126" t="s">
        <v>2643</v>
      </c>
      <c r="M38" s="128" t="b">
        <v>0</v>
      </c>
      <c r="N38" s="122"/>
    </row>
    <row r="39" spans="1:14" ht="15.75">
      <c r="A39" s="121"/>
      <c r="B39" s="121"/>
      <c r="C39" s="121"/>
      <c r="D39" s="126" t="s">
        <v>1387</v>
      </c>
      <c r="E39" s="126" t="s">
        <v>2930</v>
      </c>
      <c r="F39" s="126" t="s">
        <v>1864</v>
      </c>
      <c r="G39" s="126" t="s">
        <v>27</v>
      </c>
      <c r="H39" s="127">
        <v>11000</v>
      </c>
      <c r="I39" s="126" t="s">
        <v>2646</v>
      </c>
      <c r="J39" s="174">
        <v>45664</v>
      </c>
      <c r="K39" s="126" t="s">
        <v>2967</v>
      </c>
      <c r="L39" s="126" t="s">
        <v>2643</v>
      </c>
      <c r="M39" s="128" t="b">
        <v>0</v>
      </c>
      <c r="N39" s="122"/>
    </row>
    <row r="40" spans="1:14" ht="15.75">
      <c r="A40" s="121"/>
      <c r="B40" s="121"/>
      <c r="C40" s="121"/>
      <c r="D40" s="126" t="s">
        <v>1387</v>
      </c>
      <c r="E40" s="126" t="s">
        <v>2930</v>
      </c>
      <c r="F40" s="126" t="s">
        <v>1819</v>
      </c>
      <c r="G40" s="126" t="s">
        <v>25</v>
      </c>
      <c r="H40" s="127">
        <v>7487</v>
      </c>
      <c r="I40" s="126" t="s">
        <v>2646</v>
      </c>
      <c r="J40" s="174">
        <v>45664</v>
      </c>
      <c r="K40" s="126" t="s">
        <v>2967</v>
      </c>
      <c r="L40" s="126" t="s">
        <v>2643</v>
      </c>
      <c r="M40" s="128" t="b">
        <v>0</v>
      </c>
      <c r="N40" s="122"/>
    </row>
    <row r="41" spans="1:14" ht="15.75">
      <c r="A41" s="121"/>
      <c r="B41" s="121"/>
      <c r="C41" s="121"/>
      <c r="D41" s="126" t="s">
        <v>963</v>
      </c>
      <c r="E41" s="126" t="s">
        <v>2723</v>
      </c>
      <c r="F41" s="126" t="s">
        <v>1799</v>
      </c>
      <c r="G41" s="126" t="s">
        <v>20</v>
      </c>
      <c r="H41" s="127">
        <v>6799.99</v>
      </c>
      <c r="I41" s="126" t="s">
        <v>2646</v>
      </c>
      <c r="J41" s="174">
        <v>45664</v>
      </c>
      <c r="K41" s="126" t="s">
        <v>2967</v>
      </c>
      <c r="L41" s="126" t="s">
        <v>2680</v>
      </c>
      <c r="M41" s="128" t="b">
        <v>0</v>
      </c>
      <c r="N41" s="122"/>
    </row>
    <row r="42" spans="1:14" ht="15.75">
      <c r="A42" s="121"/>
      <c r="B42" s="121"/>
      <c r="C42" s="121"/>
      <c r="D42" s="126" t="s">
        <v>963</v>
      </c>
      <c r="E42" s="126" t="s">
        <v>2723</v>
      </c>
      <c r="F42" s="126" t="s">
        <v>2968</v>
      </c>
      <c r="G42" s="126" t="s">
        <v>20</v>
      </c>
      <c r="H42" s="127">
        <v>5000</v>
      </c>
      <c r="I42" s="126" t="s">
        <v>2646</v>
      </c>
      <c r="J42" s="174">
        <v>45664</v>
      </c>
      <c r="K42" s="126" t="s">
        <v>2967</v>
      </c>
      <c r="L42" s="126" t="s">
        <v>2680</v>
      </c>
      <c r="M42" s="128" t="b">
        <v>0</v>
      </c>
      <c r="N42" s="122"/>
    </row>
    <row r="43" spans="1:14" ht="15.75">
      <c r="A43" s="121"/>
      <c r="B43" s="121"/>
      <c r="C43" s="121"/>
      <c r="D43" s="126" t="s">
        <v>1937</v>
      </c>
      <c r="E43" s="126" t="s">
        <v>2900</v>
      </c>
      <c r="F43" s="126" t="s">
        <v>1918</v>
      </c>
      <c r="G43" s="126" t="s">
        <v>25</v>
      </c>
      <c r="H43" s="127">
        <v>26628.9</v>
      </c>
      <c r="I43" s="126" t="s">
        <v>2646</v>
      </c>
      <c r="J43" s="174">
        <v>45664</v>
      </c>
      <c r="K43" s="126" t="s">
        <v>2967</v>
      </c>
      <c r="L43" s="126" t="s">
        <v>2667</v>
      </c>
      <c r="M43" s="128" t="b">
        <v>0</v>
      </c>
      <c r="N43" s="122"/>
    </row>
    <row r="44" spans="1:14" ht="15.75">
      <c r="A44" s="121"/>
      <c r="B44" s="121"/>
      <c r="C44" s="121"/>
      <c r="D44" s="126" t="s">
        <v>1937</v>
      </c>
      <c r="E44" s="126" t="s">
        <v>2900</v>
      </c>
      <c r="F44" s="126" t="s">
        <v>1886</v>
      </c>
      <c r="G44" s="126" t="s">
        <v>21</v>
      </c>
      <c r="H44" s="127">
        <v>28108.29</v>
      </c>
      <c r="I44" s="126" t="s">
        <v>2646</v>
      </c>
      <c r="J44" s="174">
        <v>45664</v>
      </c>
      <c r="K44" s="126" t="s">
        <v>2967</v>
      </c>
      <c r="L44" s="126" t="s">
        <v>2667</v>
      </c>
      <c r="M44" s="128" t="b">
        <v>0</v>
      </c>
      <c r="N44" s="122"/>
    </row>
    <row r="45" spans="1:14" ht="15.75">
      <c r="A45" s="121"/>
      <c r="B45" s="121"/>
      <c r="C45" s="121"/>
      <c r="D45" s="126" t="s">
        <v>1937</v>
      </c>
      <c r="E45" s="126" t="s">
        <v>2900</v>
      </c>
      <c r="F45" s="126" t="s">
        <v>2616</v>
      </c>
      <c r="G45" s="126" t="s">
        <v>29</v>
      </c>
      <c r="H45" s="127">
        <v>8945.11</v>
      </c>
      <c r="I45" s="126" t="s">
        <v>2646</v>
      </c>
      <c r="J45" s="174">
        <v>45664</v>
      </c>
      <c r="K45" s="126" t="s">
        <v>2967</v>
      </c>
      <c r="L45" s="126" t="s">
        <v>2667</v>
      </c>
      <c r="M45" s="128" t="b">
        <v>0</v>
      </c>
      <c r="N45" s="122"/>
    </row>
    <row r="46" spans="1:14" ht="15.75">
      <c r="A46" s="121"/>
      <c r="B46" s="121"/>
      <c r="C46" s="121"/>
      <c r="D46" s="126" t="s">
        <v>1937</v>
      </c>
      <c r="E46" s="126" t="s">
        <v>2900</v>
      </c>
      <c r="F46" s="126" t="s">
        <v>2653</v>
      </c>
      <c r="G46" s="126" t="s">
        <v>20</v>
      </c>
      <c r="H46" s="127">
        <v>12936.01</v>
      </c>
      <c r="I46" s="126" t="s">
        <v>2646</v>
      </c>
      <c r="J46" s="174">
        <v>45664</v>
      </c>
      <c r="K46" s="126" t="s">
        <v>2967</v>
      </c>
      <c r="L46" s="126" t="s">
        <v>2667</v>
      </c>
      <c r="M46" s="128" t="b">
        <v>0</v>
      </c>
      <c r="N46" s="122"/>
    </row>
    <row r="47" spans="1:14" ht="15.75">
      <c r="A47" s="121"/>
      <c r="B47" s="121"/>
      <c r="C47" s="121"/>
      <c r="D47" s="126" t="s">
        <v>1937</v>
      </c>
      <c r="E47" s="126" t="s">
        <v>2900</v>
      </c>
      <c r="F47" s="126" t="s">
        <v>2074</v>
      </c>
      <c r="G47" s="126" t="s">
        <v>23</v>
      </c>
      <c r="H47" s="127">
        <v>23291.69</v>
      </c>
      <c r="I47" s="126" t="s">
        <v>2646</v>
      </c>
      <c r="J47" s="174">
        <v>45664</v>
      </c>
      <c r="K47" s="126" t="s">
        <v>2967</v>
      </c>
      <c r="L47" s="126" t="s">
        <v>2667</v>
      </c>
      <c r="M47" s="128" t="b">
        <v>0</v>
      </c>
      <c r="N47" s="122"/>
    </row>
    <row r="48" spans="1:14" ht="15.75">
      <c r="A48" s="121"/>
      <c r="B48" s="121"/>
      <c r="C48" s="121"/>
      <c r="D48" s="126" t="s">
        <v>1416</v>
      </c>
      <c r="E48" s="126" t="s">
        <v>2969</v>
      </c>
      <c r="F48" s="126" t="s">
        <v>2970</v>
      </c>
      <c r="G48" s="126" t="s">
        <v>20</v>
      </c>
      <c r="H48" s="127">
        <v>1838</v>
      </c>
      <c r="I48" s="126" t="s">
        <v>2646</v>
      </c>
      <c r="J48" s="174">
        <v>45664</v>
      </c>
      <c r="K48" s="126" t="s">
        <v>2967</v>
      </c>
      <c r="L48" s="126" t="s">
        <v>2656</v>
      </c>
      <c r="M48" s="128" t="b">
        <v>0</v>
      </c>
      <c r="N48" s="122"/>
    </row>
    <row r="49" spans="1:14" ht="15.75">
      <c r="A49" s="121"/>
      <c r="B49" s="121"/>
      <c r="C49" s="121"/>
      <c r="D49" s="126" t="s">
        <v>115</v>
      </c>
      <c r="E49" s="126" t="s">
        <v>2882</v>
      </c>
      <c r="F49" s="126" t="s">
        <v>1810</v>
      </c>
      <c r="G49" s="126" t="s">
        <v>21</v>
      </c>
      <c r="H49" s="127">
        <v>7749.92</v>
      </c>
      <c r="I49" s="126" t="s">
        <v>2646</v>
      </c>
      <c r="J49" s="174">
        <v>45664</v>
      </c>
      <c r="K49" s="126" t="s">
        <v>2967</v>
      </c>
      <c r="L49" s="126" t="s">
        <v>2667</v>
      </c>
      <c r="M49" s="128" t="b">
        <v>0</v>
      </c>
      <c r="N49" s="122"/>
    </row>
    <row r="50" spans="1:14" ht="15.75">
      <c r="A50" s="121"/>
      <c r="B50" s="121"/>
      <c r="C50" s="121"/>
      <c r="D50" s="126" t="s">
        <v>115</v>
      </c>
      <c r="E50" s="126" t="s">
        <v>2882</v>
      </c>
      <c r="F50" s="126" t="s">
        <v>1825</v>
      </c>
      <c r="G50" s="126" t="s">
        <v>27</v>
      </c>
      <c r="H50" s="127">
        <v>9658.48</v>
      </c>
      <c r="I50" s="126" t="s">
        <v>2646</v>
      </c>
      <c r="J50" s="174">
        <v>45664</v>
      </c>
      <c r="K50" s="126" t="s">
        <v>2967</v>
      </c>
      <c r="L50" s="126" t="s">
        <v>2667</v>
      </c>
      <c r="M50" s="128" t="b">
        <v>0</v>
      </c>
      <c r="N50" s="122"/>
    </row>
    <row r="51" spans="1:14" ht="15.75">
      <c r="A51" s="121"/>
      <c r="B51" s="121"/>
      <c r="C51" s="121"/>
      <c r="D51" s="126" t="s">
        <v>115</v>
      </c>
      <c r="E51" s="126" t="s">
        <v>2882</v>
      </c>
      <c r="F51" s="126" t="s">
        <v>2653</v>
      </c>
      <c r="G51" s="126" t="s">
        <v>20</v>
      </c>
      <c r="H51" s="127">
        <v>5610.02</v>
      </c>
      <c r="I51" s="126" t="s">
        <v>2646</v>
      </c>
      <c r="J51" s="174">
        <v>45664</v>
      </c>
      <c r="K51" s="126" t="s">
        <v>2967</v>
      </c>
      <c r="L51" s="126" t="s">
        <v>2667</v>
      </c>
      <c r="M51" s="128" t="b">
        <v>0</v>
      </c>
      <c r="N51" s="122"/>
    </row>
    <row r="52" spans="1:14" ht="15.75">
      <c r="A52" s="121"/>
      <c r="B52" s="121"/>
      <c r="C52" s="121"/>
      <c r="D52" s="126" t="s">
        <v>115</v>
      </c>
      <c r="E52" s="126" t="s">
        <v>2882</v>
      </c>
      <c r="F52" s="126" t="s">
        <v>1843</v>
      </c>
      <c r="G52" s="126" t="s">
        <v>21</v>
      </c>
      <c r="H52" s="127">
        <v>7142.65</v>
      </c>
      <c r="I52" s="126" t="s">
        <v>2646</v>
      </c>
      <c r="J52" s="174">
        <v>45664</v>
      </c>
      <c r="K52" s="126" t="s">
        <v>2967</v>
      </c>
      <c r="L52" s="126" t="s">
        <v>2667</v>
      </c>
      <c r="M52" s="128" t="b">
        <v>0</v>
      </c>
      <c r="N52" s="122"/>
    </row>
    <row r="53" spans="1:14" ht="15.75">
      <c r="A53" s="121"/>
      <c r="B53" s="121"/>
      <c r="C53" s="121"/>
      <c r="D53" s="126" t="s">
        <v>115</v>
      </c>
      <c r="E53" s="126" t="s">
        <v>2882</v>
      </c>
      <c r="F53" s="126" t="s">
        <v>1829</v>
      </c>
      <c r="G53" s="126" t="s">
        <v>23</v>
      </c>
      <c r="H53" s="127">
        <v>10583.8</v>
      </c>
      <c r="I53" s="126" t="s">
        <v>2646</v>
      </c>
      <c r="J53" s="174">
        <v>45664</v>
      </c>
      <c r="K53" s="126" t="s">
        <v>2967</v>
      </c>
      <c r="L53" s="126" t="s">
        <v>2667</v>
      </c>
      <c r="M53" s="128" t="b">
        <v>0</v>
      </c>
      <c r="N53" s="122"/>
    </row>
    <row r="54" spans="1:14" ht="15.75">
      <c r="A54" s="121"/>
      <c r="B54" s="121"/>
      <c r="C54" s="121"/>
      <c r="D54" s="126" t="s">
        <v>115</v>
      </c>
      <c r="E54" s="126" t="s">
        <v>2882</v>
      </c>
      <c r="F54" s="126" t="s">
        <v>1838</v>
      </c>
      <c r="G54" s="126" t="s">
        <v>25</v>
      </c>
      <c r="H54" s="127">
        <v>4453.3100000000004</v>
      </c>
      <c r="I54" s="126" t="s">
        <v>2646</v>
      </c>
      <c r="J54" s="174">
        <v>45664</v>
      </c>
      <c r="K54" s="126" t="s">
        <v>2967</v>
      </c>
      <c r="L54" s="126" t="s">
        <v>2667</v>
      </c>
      <c r="M54" s="128" t="b">
        <v>0</v>
      </c>
      <c r="N54" s="122"/>
    </row>
    <row r="55" spans="1:14" ht="15.75">
      <c r="A55" s="121"/>
      <c r="B55" s="121"/>
      <c r="C55" s="121"/>
      <c r="D55" s="126" t="s">
        <v>115</v>
      </c>
      <c r="E55" s="126" t="s">
        <v>2882</v>
      </c>
      <c r="F55" s="126" t="s">
        <v>1827</v>
      </c>
      <c r="G55" s="126" t="s">
        <v>29</v>
      </c>
      <c r="H55" s="127">
        <v>7055.93</v>
      </c>
      <c r="I55" s="126" t="s">
        <v>2646</v>
      </c>
      <c r="J55" s="174">
        <v>45664</v>
      </c>
      <c r="K55" s="126" t="s">
        <v>2967</v>
      </c>
      <c r="L55" s="126" t="s">
        <v>2667</v>
      </c>
      <c r="M55" s="128" t="b">
        <v>0</v>
      </c>
      <c r="N55" s="122"/>
    </row>
    <row r="56" spans="1:14" ht="15.75">
      <c r="A56" s="121"/>
      <c r="B56" s="121"/>
      <c r="C56" s="121"/>
      <c r="D56" s="126" t="s">
        <v>115</v>
      </c>
      <c r="E56" s="126" t="s">
        <v>2882</v>
      </c>
      <c r="F56" s="126" t="s">
        <v>1811</v>
      </c>
      <c r="G56" s="126" t="s">
        <v>23</v>
      </c>
      <c r="H56" s="127">
        <v>4568.9799999999996</v>
      </c>
      <c r="I56" s="126" t="s">
        <v>2646</v>
      </c>
      <c r="J56" s="174">
        <v>45664</v>
      </c>
      <c r="K56" s="126" t="s">
        <v>2967</v>
      </c>
      <c r="L56" s="126" t="s">
        <v>2667</v>
      </c>
      <c r="M56" s="128" t="b">
        <v>0</v>
      </c>
      <c r="N56" s="122"/>
    </row>
    <row r="57" spans="1:14" ht="15.75">
      <c r="A57" s="121"/>
      <c r="B57" s="121"/>
      <c r="C57" s="121"/>
      <c r="D57" s="126" t="s">
        <v>115</v>
      </c>
      <c r="E57" s="126" t="s">
        <v>2882</v>
      </c>
      <c r="F57" s="126" t="s">
        <v>2645</v>
      </c>
      <c r="G57" s="126" t="s">
        <v>1902</v>
      </c>
      <c r="H57" s="127">
        <v>5610.02</v>
      </c>
      <c r="I57" s="126" t="s">
        <v>2646</v>
      </c>
      <c r="J57" s="174">
        <v>45664</v>
      </c>
      <c r="K57" s="126" t="s">
        <v>2967</v>
      </c>
      <c r="L57" s="126" t="s">
        <v>2667</v>
      </c>
      <c r="M57" s="128" t="b">
        <v>0</v>
      </c>
      <c r="N57" s="122"/>
    </row>
    <row r="58" spans="1:14" ht="15.75">
      <c r="A58" s="121"/>
      <c r="B58" s="121"/>
      <c r="C58" s="121"/>
      <c r="D58" s="126" t="s">
        <v>115</v>
      </c>
      <c r="E58" s="126" t="s">
        <v>2882</v>
      </c>
      <c r="F58" s="126" t="s">
        <v>1820</v>
      </c>
      <c r="G58" s="126" t="s">
        <v>25</v>
      </c>
      <c r="H58" s="127">
        <v>7055.9</v>
      </c>
      <c r="I58" s="126" t="s">
        <v>2646</v>
      </c>
      <c r="J58" s="174">
        <v>45664</v>
      </c>
      <c r="K58" s="126" t="s">
        <v>2967</v>
      </c>
      <c r="L58" s="126" t="s">
        <v>2667</v>
      </c>
      <c r="M58" s="128" t="b">
        <v>0</v>
      </c>
      <c r="N58" s="122"/>
    </row>
    <row r="59" spans="1:14" ht="15.75">
      <c r="A59" s="121"/>
      <c r="B59" s="121"/>
      <c r="C59" s="121"/>
      <c r="D59" s="126" t="s">
        <v>115</v>
      </c>
      <c r="E59" s="126" t="s">
        <v>2882</v>
      </c>
      <c r="F59" s="126" t="s">
        <v>2616</v>
      </c>
      <c r="G59" s="126" t="s">
        <v>29</v>
      </c>
      <c r="H59" s="127">
        <v>5378.68</v>
      </c>
      <c r="I59" s="126" t="s">
        <v>2646</v>
      </c>
      <c r="J59" s="174">
        <v>45664</v>
      </c>
      <c r="K59" s="126" t="s">
        <v>2967</v>
      </c>
      <c r="L59" s="126" t="s">
        <v>2667</v>
      </c>
      <c r="M59" s="128" t="b">
        <v>0</v>
      </c>
      <c r="N59" s="122"/>
    </row>
    <row r="60" spans="1:14" ht="15.75">
      <c r="A60" s="121"/>
      <c r="B60" s="121"/>
      <c r="C60" s="121"/>
      <c r="D60" s="126" t="s">
        <v>115</v>
      </c>
      <c r="E60" s="126" t="s">
        <v>2882</v>
      </c>
      <c r="F60" s="126" t="s">
        <v>1842</v>
      </c>
      <c r="G60" s="126" t="s">
        <v>1695</v>
      </c>
      <c r="H60" s="127">
        <v>5011.1499999999996</v>
      </c>
      <c r="I60" s="126" t="s">
        <v>2646</v>
      </c>
      <c r="J60" s="174">
        <v>45664</v>
      </c>
      <c r="K60" s="126" t="s">
        <v>2967</v>
      </c>
      <c r="L60" s="126" t="s">
        <v>2667</v>
      </c>
      <c r="M60" s="128" t="b">
        <v>0</v>
      </c>
      <c r="N60" s="122"/>
    </row>
    <row r="61" spans="1:14" ht="15.75">
      <c r="A61" s="121"/>
      <c r="B61" s="121"/>
      <c r="C61" s="121"/>
      <c r="D61" s="126" t="s">
        <v>115</v>
      </c>
      <c r="E61" s="126" t="s">
        <v>2882</v>
      </c>
      <c r="F61" s="126" t="s">
        <v>1822</v>
      </c>
      <c r="G61" s="126" t="s">
        <v>23</v>
      </c>
      <c r="H61" s="127">
        <v>4568.9799999999996</v>
      </c>
      <c r="I61" s="126" t="s">
        <v>2646</v>
      </c>
      <c r="J61" s="174">
        <v>45664</v>
      </c>
      <c r="K61" s="126" t="s">
        <v>2967</v>
      </c>
      <c r="L61" s="126" t="s">
        <v>2667</v>
      </c>
      <c r="M61" s="128" t="b">
        <v>0</v>
      </c>
      <c r="N61" s="122"/>
    </row>
    <row r="62" spans="1:14" ht="15.75">
      <c r="A62" s="121"/>
      <c r="B62" s="121"/>
      <c r="C62" s="121"/>
      <c r="D62" s="126" t="s">
        <v>115</v>
      </c>
      <c r="E62" s="126" t="s">
        <v>2882</v>
      </c>
      <c r="F62" s="126" t="s">
        <v>1826</v>
      </c>
      <c r="G62" s="126" t="s">
        <v>25</v>
      </c>
      <c r="H62" s="127">
        <v>5552.18</v>
      </c>
      <c r="I62" s="126" t="s">
        <v>2646</v>
      </c>
      <c r="J62" s="174">
        <v>45664</v>
      </c>
      <c r="K62" s="126" t="s">
        <v>2967</v>
      </c>
      <c r="L62" s="126" t="s">
        <v>2667</v>
      </c>
      <c r="M62" s="128" t="b">
        <v>0</v>
      </c>
      <c r="N62" s="122"/>
    </row>
    <row r="63" spans="1:14" ht="15.75">
      <c r="A63" s="121"/>
      <c r="B63" s="121"/>
      <c r="C63" s="121"/>
      <c r="D63" s="126" t="s">
        <v>999</v>
      </c>
      <c r="E63" s="126" t="s">
        <v>2769</v>
      </c>
      <c r="F63" s="126" t="s">
        <v>2653</v>
      </c>
      <c r="G63" s="126" t="s">
        <v>20</v>
      </c>
      <c r="H63" s="127">
        <v>8100</v>
      </c>
      <c r="I63" s="126" t="s">
        <v>2646</v>
      </c>
      <c r="J63" s="174">
        <v>45664</v>
      </c>
      <c r="K63" s="126" t="s">
        <v>2967</v>
      </c>
      <c r="L63" s="126" t="s">
        <v>2656</v>
      </c>
      <c r="M63" s="128" t="b">
        <v>0</v>
      </c>
      <c r="N63" s="122"/>
    </row>
    <row r="64" spans="1:14" ht="15.75">
      <c r="A64" s="121"/>
      <c r="B64" s="121"/>
      <c r="C64" s="121"/>
      <c r="D64" s="126" t="s">
        <v>1014</v>
      </c>
      <c r="E64" s="126" t="s">
        <v>2788</v>
      </c>
      <c r="F64" s="126" t="s">
        <v>1819</v>
      </c>
      <c r="G64" s="126" t="s">
        <v>25</v>
      </c>
      <c r="H64" s="127">
        <v>6800</v>
      </c>
      <c r="I64" s="126" t="s">
        <v>2646</v>
      </c>
      <c r="J64" s="174">
        <v>45664</v>
      </c>
      <c r="K64" s="126" t="s">
        <v>2967</v>
      </c>
      <c r="L64" s="126" t="s">
        <v>2671</v>
      </c>
      <c r="M64" s="128" t="b">
        <v>0</v>
      </c>
      <c r="N64" s="122"/>
    </row>
    <row r="65" spans="1:14" ht="15.75">
      <c r="A65" s="121"/>
      <c r="B65" s="121"/>
      <c r="C65" s="121"/>
      <c r="D65" s="126" t="s">
        <v>1014</v>
      </c>
      <c r="E65" s="126" t="s">
        <v>2788</v>
      </c>
      <c r="F65" s="126" t="s">
        <v>1820</v>
      </c>
      <c r="G65" s="126" t="s">
        <v>25</v>
      </c>
      <c r="H65" s="127">
        <v>6800</v>
      </c>
      <c r="I65" s="126" t="s">
        <v>2646</v>
      </c>
      <c r="J65" s="174">
        <v>45664</v>
      </c>
      <c r="K65" s="126" t="s">
        <v>2967</v>
      </c>
      <c r="L65" s="126" t="s">
        <v>2671</v>
      </c>
      <c r="M65" s="128" t="b">
        <v>0</v>
      </c>
      <c r="N65" s="122"/>
    </row>
    <row r="66" spans="1:14" ht="15.75">
      <c r="A66" s="121"/>
      <c r="B66" s="121"/>
      <c r="C66" s="121"/>
      <c r="D66" s="126" t="s">
        <v>117</v>
      </c>
      <c r="E66" s="126" t="s">
        <v>2919</v>
      </c>
      <c r="F66" s="126" t="s">
        <v>1904</v>
      </c>
      <c r="G66" s="126" t="s">
        <v>25</v>
      </c>
      <c r="H66" s="127">
        <v>25800</v>
      </c>
      <c r="I66" s="126" t="s">
        <v>2646</v>
      </c>
      <c r="J66" s="174">
        <v>45664</v>
      </c>
      <c r="K66" s="126" t="s">
        <v>2967</v>
      </c>
      <c r="L66" s="126" t="s">
        <v>2671</v>
      </c>
      <c r="M66" s="128" t="b">
        <v>0</v>
      </c>
      <c r="N66" s="122"/>
    </row>
    <row r="67" spans="1:14" ht="15.75">
      <c r="A67" s="121"/>
      <c r="B67" s="121"/>
      <c r="C67" s="121"/>
      <c r="D67" s="126" t="s">
        <v>1081</v>
      </c>
      <c r="E67" s="126" t="s">
        <v>2893</v>
      </c>
      <c r="F67" s="126" t="s">
        <v>2653</v>
      </c>
      <c r="G67" s="126" t="s">
        <v>20</v>
      </c>
      <c r="H67" s="127">
        <v>5185</v>
      </c>
      <c r="I67" s="126" t="s">
        <v>2646</v>
      </c>
      <c r="J67" s="174">
        <v>45664</v>
      </c>
      <c r="K67" s="126" t="s">
        <v>2967</v>
      </c>
      <c r="L67" s="126" t="s">
        <v>2656</v>
      </c>
      <c r="M67" s="128" t="b">
        <v>0</v>
      </c>
      <c r="N67" s="122"/>
    </row>
    <row r="68" spans="1:14" ht="15.75">
      <c r="A68" s="121"/>
      <c r="B68" s="121"/>
      <c r="C68" s="121"/>
      <c r="D68" s="126" t="s">
        <v>1938</v>
      </c>
      <c r="E68" s="126" t="s">
        <v>2763</v>
      </c>
      <c r="F68" s="126" t="s">
        <v>1827</v>
      </c>
      <c r="G68" s="126" t="s">
        <v>29</v>
      </c>
      <c r="H68" s="127">
        <v>8400</v>
      </c>
      <c r="I68" s="126" t="s">
        <v>2646</v>
      </c>
      <c r="J68" s="174">
        <v>45664</v>
      </c>
      <c r="K68" s="126" t="s">
        <v>2967</v>
      </c>
      <c r="L68" s="126" t="s">
        <v>2671</v>
      </c>
      <c r="M68" s="128" t="b">
        <v>0</v>
      </c>
      <c r="N68" s="122"/>
    </row>
    <row r="69" spans="1:14" ht="15.75">
      <c r="A69" s="121"/>
      <c r="B69" s="121"/>
      <c r="C69" s="121"/>
      <c r="D69" s="126" t="s">
        <v>1938</v>
      </c>
      <c r="E69" s="126" t="s">
        <v>2763</v>
      </c>
      <c r="F69" s="126" t="s">
        <v>1819</v>
      </c>
      <c r="G69" s="126" t="s">
        <v>25</v>
      </c>
      <c r="H69" s="127">
        <v>6800</v>
      </c>
      <c r="I69" s="126" t="s">
        <v>2646</v>
      </c>
      <c r="J69" s="174">
        <v>45664</v>
      </c>
      <c r="K69" s="126" t="s">
        <v>2967</v>
      </c>
      <c r="L69" s="126" t="s">
        <v>2671</v>
      </c>
      <c r="M69" s="128" t="b">
        <v>0</v>
      </c>
      <c r="N69" s="122"/>
    </row>
    <row r="70" spans="1:14" ht="15.75">
      <c r="A70" s="121"/>
      <c r="B70" s="121"/>
      <c r="C70" s="121"/>
      <c r="D70" s="126" t="s">
        <v>1938</v>
      </c>
      <c r="E70" s="126" t="s">
        <v>2763</v>
      </c>
      <c r="F70" s="126" t="s">
        <v>1820</v>
      </c>
      <c r="G70" s="126" t="s">
        <v>25</v>
      </c>
      <c r="H70" s="127">
        <v>8400</v>
      </c>
      <c r="I70" s="126" t="s">
        <v>2646</v>
      </c>
      <c r="J70" s="174">
        <v>45664</v>
      </c>
      <c r="K70" s="126" t="s">
        <v>2967</v>
      </c>
      <c r="L70" s="126" t="s">
        <v>2671</v>
      </c>
      <c r="M70" s="128" t="b">
        <v>0</v>
      </c>
      <c r="N70" s="122"/>
    </row>
    <row r="71" spans="1:14" ht="15.75">
      <c r="A71" s="121"/>
      <c r="B71" s="121"/>
      <c r="C71" s="121"/>
      <c r="D71" s="126" t="s">
        <v>1939</v>
      </c>
      <c r="E71" s="126" t="s">
        <v>2767</v>
      </c>
      <c r="F71" s="126" t="s">
        <v>2653</v>
      </c>
      <c r="G71" s="126" t="s">
        <v>20</v>
      </c>
      <c r="H71" s="127">
        <v>3900</v>
      </c>
      <c r="I71" s="126" t="s">
        <v>2646</v>
      </c>
      <c r="J71" s="174">
        <v>45664</v>
      </c>
      <c r="K71" s="126" t="s">
        <v>2967</v>
      </c>
      <c r="L71" s="126" t="s">
        <v>2656</v>
      </c>
      <c r="M71" s="128" t="b">
        <v>0</v>
      </c>
      <c r="N71" s="122"/>
    </row>
    <row r="72" spans="1:14" ht="15.75">
      <c r="A72" s="121"/>
      <c r="B72" s="121"/>
      <c r="C72" s="121"/>
      <c r="D72" s="126" t="s">
        <v>1066</v>
      </c>
      <c r="E72" s="126" t="s">
        <v>2846</v>
      </c>
      <c r="F72" s="126" t="s">
        <v>2653</v>
      </c>
      <c r="G72" s="126" t="s">
        <v>20</v>
      </c>
      <c r="H72" s="127">
        <v>4613</v>
      </c>
      <c r="I72" s="126" t="s">
        <v>2646</v>
      </c>
      <c r="J72" s="174">
        <v>45664</v>
      </c>
      <c r="K72" s="126" t="s">
        <v>2967</v>
      </c>
      <c r="L72" s="126" t="s">
        <v>2656</v>
      </c>
      <c r="M72" s="128" t="b">
        <v>0</v>
      </c>
      <c r="N72" s="122"/>
    </row>
    <row r="73" spans="1:14" ht="15.75">
      <c r="A73" s="121"/>
      <c r="B73" s="121"/>
      <c r="C73" s="121"/>
      <c r="D73" s="126" t="s">
        <v>1940</v>
      </c>
      <c r="E73" s="126" t="s">
        <v>2924</v>
      </c>
      <c r="F73" s="126" t="s">
        <v>2619</v>
      </c>
      <c r="G73" s="126" t="s">
        <v>31</v>
      </c>
      <c r="H73" s="127">
        <v>17200</v>
      </c>
      <c r="I73" s="126" t="s">
        <v>1705</v>
      </c>
      <c r="J73" s="174">
        <v>45754</v>
      </c>
      <c r="K73" s="174">
        <v>46088</v>
      </c>
      <c r="L73" s="126" t="s">
        <v>2671</v>
      </c>
      <c r="M73" s="128" t="b">
        <v>0</v>
      </c>
      <c r="N73" s="122"/>
    </row>
    <row r="74" spans="1:14" ht="15.75">
      <c r="A74" s="121"/>
      <c r="B74" s="121"/>
      <c r="C74" s="121"/>
      <c r="D74" s="126" t="s">
        <v>431</v>
      </c>
      <c r="E74" s="126" t="s">
        <v>265</v>
      </c>
      <c r="F74" s="126" t="s">
        <v>1843</v>
      </c>
      <c r="G74" s="126" t="s">
        <v>21</v>
      </c>
      <c r="H74" s="127">
        <v>12000</v>
      </c>
      <c r="I74" s="126" t="s">
        <v>1705</v>
      </c>
      <c r="J74" s="126" t="s">
        <v>2971</v>
      </c>
      <c r="K74" s="126" t="s">
        <v>2972</v>
      </c>
      <c r="L74" s="126" t="s">
        <v>2656</v>
      </c>
      <c r="M74" s="128" t="b">
        <v>0</v>
      </c>
      <c r="N74" s="122"/>
    </row>
    <row r="75" spans="1:14" ht="15.75">
      <c r="A75" s="121"/>
      <c r="B75" s="121"/>
      <c r="C75" s="121"/>
      <c r="D75" s="126" t="s">
        <v>306</v>
      </c>
      <c r="E75" s="126" t="s">
        <v>2923</v>
      </c>
      <c r="F75" s="126" t="s">
        <v>1829</v>
      </c>
      <c r="G75" s="126" t="s">
        <v>23</v>
      </c>
      <c r="H75" s="127">
        <v>12000</v>
      </c>
      <c r="I75" s="126" t="s">
        <v>1705</v>
      </c>
      <c r="J75" s="126" t="s">
        <v>2971</v>
      </c>
      <c r="K75" s="126" t="s">
        <v>2972</v>
      </c>
      <c r="L75" s="126" t="s">
        <v>2643</v>
      </c>
      <c r="M75" s="128" t="b">
        <v>0</v>
      </c>
      <c r="N75" s="122"/>
    </row>
    <row r="76" spans="1:14" ht="15.75">
      <c r="A76" s="121"/>
      <c r="B76" s="121"/>
      <c r="C76" s="121"/>
      <c r="D76" s="126" t="s">
        <v>1941</v>
      </c>
      <c r="E76" s="126" t="s">
        <v>2933</v>
      </c>
      <c r="F76" s="126" t="s">
        <v>1864</v>
      </c>
      <c r="G76" s="126" t="s">
        <v>27</v>
      </c>
      <c r="H76" s="127">
        <v>19350</v>
      </c>
      <c r="I76" s="126" t="s">
        <v>1705</v>
      </c>
      <c r="J76" s="126" t="s">
        <v>2973</v>
      </c>
      <c r="K76" s="126" t="s">
        <v>2974</v>
      </c>
      <c r="L76" s="126" t="s">
        <v>2671</v>
      </c>
      <c r="M76" s="128" t="b">
        <v>0</v>
      </c>
      <c r="N76" s="122"/>
    </row>
    <row r="77" spans="1:14" ht="15.75">
      <c r="A77" s="121"/>
      <c r="B77" s="121"/>
      <c r="C77" s="121"/>
      <c r="D77" s="126" t="s">
        <v>1942</v>
      </c>
      <c r="E77" s="126" t="s">
        <v>2915</v>
      </c>
      <c r="F77" s="126" t="s">
        <v>2653</v>
      </c>
      <c r="G77" s="126" t="s">
        <v>20</v>
      </c>
      <c r="H77" s="127">
        <v>3000</v>
      </c>
      <c r="I77" s="126" t="s">
        <v>1705</v>
      </c>
      <c r="J77" s="126" t="s">
        <v>2975</v>
      </c>
      <c r="K77" s="126" t="s">
        <v>2976</v>
      </c>
      <c r="L77" s="126" t="s">
        <v>2656</v>
      </c>
      <c r="M77" s="128" t="b">
        <v>0</v>
      </c>
      <c r="N77" s="122"/>
    </row>
    <row r="78" spans="1:14" ht="15.75">
      <c r="A78" s="121"/>
      <c r="B78" s="121"/>
      <c r="C78" s="121"/>
      <c r="D78" s="126" t="s">
        <v>867</v>
      </c>
      <c r="E78" s="126" t="s">
        <v>2795</v>
      </c>
      <c r="F78" s="126" t="s">
        <v>2653</v>
      </c>
      <c r="G78" s="126" t="s">
        <v>20</v>
      </c>
      <c r="H78" s="127">
        <v>8000</v>
      </c>
      <c r="I78" s="126" t="s">
        <v>2646</v>
      </c>
      <c r="J78" s="126" t="s">
        <v>2977</v>
      </c>
      <c r="K78" s="126" t="s">
        <v>2978</v>
      </c>
      <c r="L78" s="126" t="s">
        <v>2656</v>
      </c>
      <c r="M78" s="128" t="b">
        <v>0</v>
      </c>
      <c r="N78" s="122"/>
    </row>
    <row r="79" spans="1:14" ht="15.75">
      <c r="A79" s="121"/>
      <c r="B79" s="121"/>
      <c r="C79" s="121"/>
      <c r="D79" s="126" t="s">
        <v>200</v>
      </c>
      <c r="E79" s="126" t="s">
        <v>2669</v>
      </c>
      <c r="F79" s="126" t="s">
        <v>1808</v>
      </c>
      <c r="G79" s="126" t="s">
        <v>25</v>
      </c>
      <c r="H79" s="127">
        <v>4463</v>
      </c>
      <c r="I79" s="126" t="s">
        <v>2646</v>
      </c>
      <c r="J79" s="174">
        <v>45665</v>
      </c>
      <c r="K79" s="126" t="s">
        <v>2979</v>
      </c>
      <c r="L79" s="126" t="s">
        <v>2656</v>
      </c>
      <c r="M79" s="128" t="b">
        <v>0</v>
      </c>
      <c r="N79" s="122"/>
    </row>
    <row r="80" spans="1:14" ht="15.75">
      <c r="A80" s="121"/>
      <c r="B80" s="121"/>
      <c r="C80" s="121"/>
      <c r="D80" s="126" t="s">
        <v>301</v>
      </c>
      <c r="E80" s="126" t="s">
        <v>2910</v>
      </c>
      <c r="F80" s="126" t="s">
        <v>1838</v>
      </c>
      <c r="G80" s="126" t="s">
        <v>25</v>
      </c>
      <c r="H80" s="127">
        <v>7050</v>
      </c>
      <c r="I80" s="126" t="s">
        <v>2646</v>
      </c>
      <c r="J80" s="174">
        <v>45665</v>
      </c>
      <c r="K80" s="126" t="s">
        <v>2979</v>
      </c>
      <c r="L80" s="126" t="s">
        <v>2643</v>
      </c>
      <c r="M80" s="128" t="b">
        <v>0</v>
      </c>
      <c r="N80" s="122"/>
    </row>
    <row r="81" spans="1:14" ht="15.75">
      <c r="A81" s="121"/>
      <c r="B81" s="121"/>
      <c r="C81" s="121"/>
      <c r="D81" s="126" t="s">
        <v>301</v>
      </c>
      <c r="E81" s="126" t="s">
        <v>2910</v>
      </c>
      <c r="F81" s="126" t="s">
        <v>1826</v>
      </c>
      <c r="G81" s="126" t="s">
        <v>25</v>
      </c>
      <c r="H81" s="127">
        <v>8950</v>
      </c>
      <c r="I81" s="126" t="s">
        <v>2646</v>
      </c>
      <c r="J81" s="174">
        <v>45665</v>
      </c>
      <c r="K81" s="126" t="s">
        <v>2979</v>
      </c>
      <c r="L81" s="126" t="s">
        <v>2643</v>
      </c>
      <c r="M81" s="128" t="b">
        <v>0</v>
      </c>
      <c r="N81" s="122"/>
    </row>
    <row r="82" spans="1:14" ht="15.75">
      <c r="A82" s="121"/>
      <c r="B82" s="121"/>
      <c r="C82" s="121"/>
      <c r="D82" s="126" t="s">
        <v>409</v>
      </c>
      <c r="E82" s="126" t="s">
        <v>2829</v>
      </c>
      <c r="F82" s="126" t="s">
        <v>2653</v>
      </c>
      <c r="G82" s="126" t="s">
        <v>20</v>
      </c>
      <c r="H82" s="127">
        <v>9000</v>
      </c>
      <c r="I82" s="126" t="s">
        <v>1705</v>
      </c>
      <c r="J82" s="174">
        <v>45665</v>
      </c>
      <c r="K82" s="126" t="s">
        <v>2979</v>
      </c>
      <c r="L82" s="126" t="s">
        <v>2671</v>
      </c>
      <c r="M82" s="128" t="b">
        <v>0</v>
      </c>
      <c r="N82" s="122"/>
    </row>
    <row r="83" spans="1:14" ht="15.75">
      <c r="A83" s="121"/>
      <c r="B83" s="121"/>
      <c r="C83" s="121"/>
      <c r="D83" s="126" t="s">
        <v>170</v>
      </c>
      <c r="E83" s="126" t="s">
        <v>2819</v>
      </c>
      <c r="F83" s="126" t="s">
        <v>1864</v>
      </c>
      <c r="G83" s="126" t="s">
        <v>27</v>
      </c>
      <c r="H83" s="127">
        <v>18480</v>
      </c>
      <c r="I83" s="126" t="s">
        <v>2646</v>
      </c>
      <c r="J83" s="174">
        <v>45665</v>
      </c>
      <c r="K83" s="126" t="s">
        <v>2979</v>
      </c>
      <c r="L83" s="126" t="s">
        <v>2671</v>
      </c>
      <c r="M83" s="128" t="b">
        <v>0</v>
      </c>
      <c r="N83" s="122"/>
    </row>
    <row r="84" spans="1:14" ht="15.75">
      <c r="A84" s="121"/>
      <c r="B84" s="121"/>
      <c r="C84" s="121"/>
      <c r="D84" s="126" t="s">
        <v>170</v>
      </c>
      <c r="E84" s="126" t="s">
        <v>2820</v>
      </c>
      <c r="F84" s="126" t="s">
        <v>2653</v>
      </c>
      <c r="G84" s="126" t="s">
        <v>20</v>
      </c>
      <c r="H84" s="127">
        <v>5320</v>
      </c>
      <c r="I84" s="126" t="s">
        <v>2646</v>
      </c>
      <c r="J84" s="174">
        <v>46023</v>
      </c>
      <c r="K84" s="126" t="s">
        <v>2979</v>
      </c>
      <c r="L84" s="126" t="s">
        <v>2671</v>
      </c>
      <c r="M84" s="128" t="b">
        <v>0</v>
      </c>
      <c r="N84" s="122"/>
    </row>
    <row r="85" spans="1:14" ht="15.75">
      <c r="A85" s="121"/>
      <c r="B85" s="121"/>
      <c r="C85" s="121"/>
      <c r="D85" s="126" t="s">
        <v>1178</v>
      </c>
      <c r="E85" s="126" t="s">
        <v>2690</v>
      </c>
      <c r="F85" s="126" t="s">
        <v>2653</v>
      </c>
      <c r="G85" s="126" t="s">
        <v>20</v>
      </c>
      <c r="H85" s="127">
        <v>3924</v>
      </c>
      <c r="I85" s="126" t="s">
        <v>2646</v>
      </c>
      <c r="J85" s="174">
        <v>45665</v>
      </c>
      <c r="K85" s="126" t="s">
        <v>2979</v>
      </c>
      <c r="L85" s="126" t="s">
        <v>2656</v>
      </c>
      <c r="M85" s="128" t="b">
        <v>0</v>
      </c>
      <c r="N85" s="122"/>
    </row>
    <row r="86" spans="1:14" ht="15.75">
      <c r="A86" s="121"/>
      <c r="B86" s="121"/>
      <c r="C86" s="121"/>
      <c r="D86" s="126" t="s">
        <v>78</v>
      </c>
      <c r="E86" s="126" t="s">
        <v>2833</v>
      </c>
      <c r="F86" s="126" t="s">
        <v>2653</v>
      </c>
      <c r="G86" s="126" t="s">
        <v>20</v>
      </c>
      <c r="H86" s="127">
        <v>13000</v>
      </c>
      <c r="I86" s="126" t="s">
        <v>1705</v>
      </c>
      <c r="J86" s="174">
        <v>45665</v>
      </c>
      <c r="K86" s="126" t="s">
        <v>2979</v>
      </c>
      <c r="L86" s="126" t="s">
        <v>2667</v>
      </c>
      <c r="M86" s="128" t="b">
        <v>0</v>
      </c>
      <c r="N86" s="122"/>
    </row>
    <row r="87" spans="1:14" ht="15.75">
      <c r="A87" s="121"/>
      <c r="B87" s="121"/>
      <c r="C87" s="121"/>
      <c r="D87" s="126" t="s">
        <v>78</v>
      </c>
      <c r="E87" s="126" t="s">
        <v>2833</v>
      </c>
      <c r="F87" s="126" t="s">
        <v>2074</v>
      </c>
      <c r="G87" s="126" t="s">
        <v>23</v>
      </c>
      <c r="H87" s="127">
        <v>23400</v>
      </c>
      <c r="I87" s="126" t="s">
        <v>1705</v>
      </c>
      <c r="J87" s="174">
        <v>45665</v>
      </c>
      <c r="K87" s="126" t="s">
        <v>2979</v>
      </c>
      <c r="L87" s="126" t="s">
        <v>2667</v>
      </c>
      <c r="M87" s="128" t="b">
        <v>0</v>
      </c>
      <c r="N87" s="122"/>
    </row>
    <row r="88" spans="1:14" ht="15.75">
      <c r="A88" s="121"/>
      <c r="B88" s="121"/>
      <c r="C88" s="121"/>
      <c r="D88" s="126" t="s">
        <v>78</v>
      </c>
      <c r="E88" s="126" t="s">
        <v>2833</v>
      </c>
      <c r="F88" s="126" t="s">
        <v>2834</v>
      </c>
      <c r="G88" s="126" t="s">
        <v>2803</v>
      </c>
      <c r="H88" s="127">
        <v>14800</v>
      </c>
      <c r="I88" s="126" t="s">
        <v>1705</v>
      </c>
      <c r="J88" s="174">
        <v>45665</v>
      </c>
      <c r="K88" s="126" t="s">
        <v>2979</v>
      </c>
      <c r="L88" s="126" t="s">
        <v>2667</v>
      </c>
      <c r="M88" s="128" t="b">
        <v>0</v>
      </c>
      <c r="N88" s="122"/>
    </row>
    <row r="89" spans="1:14" ht="15.75">
      <c r="A89" s="121"/>
      <c r="B89" s="121"/>
      <c r="C89" s="121"/>
      <c r="D89" s="126" t="s">
        <v>78</v>
      </c>
      <c r="E89" s="126" t="s">
        <v>2833</v>
      </c>
      <c r="F89" s="126" t="s">
        <v>1900</v>
      </c>
      <c r="G89" s="126" t="s">
        <v>21</v>
      </c>
      <c r="H89" s="127">
        <v>28600</v>
      </c>
      <c r="I89" s="126" t="s">
        <v>1705</v>
      </c>
      <c r="J89" s="174">
        <v>45665</v>
      </c>
      <c r="K89" s="126" t="s">
        <v>2979</v>
      </c>
      <c r="L89" s="126" t="s">
        <v>2667</v>
      </c>
      <c r="M89" s="128" t="b">
        <v>0</v>
      </c>
      <c r="N89" s="122"/>
    </row>
    <row r="90" spans="1:14" ht="15.75">
      <c r="A90" s="121"/>
      <c r="B90" s="121"/>
      <c r="C90" s="121"/>
      <c r="D90" s="126" t="s">
        <v>78</v>
      </c>
      <c r="E90" s="126" t="s">
        <v>2833</v>
      </c>
      <c r="F90" s="126" t="s">
        <v>2620</v>
      </c>
      <c r="G90" s="126" t="s">
        <v>1695</v>
      </c>
      <c r="H90" s="127">
        <v>31200</v>
      </c>
      <c r="I90" s="126" t="s">
        <v>1705</v>
      </c>
      <c r="J90" s="174">
        <v>45665</v>
      </c>
      <c r="K90" s="126" t="s">
        <v>2979</v>
      </c>
      <c r="L90" s="126" t="s">
        <v>2667</v>
      </c>
      <c r="M90" s="128" t="b">
        <v>0</v>
      </c>
      <c r="N90" s="122"/>
    </row>
    <row r="91" spans="1:14" ht="15.75">
      <c r="A91" s="121"/>
      <c r="B91" s="121"/>
      <c r="C91" s="121"/>
      <c r="D91" s="126" t="s">
        <v>1943</v>
      </c>
      <c r="E91" s="126" t="s">
        <v>2980</v>
      </c>
      <c r="F91" s="126" t="s">
        <v>2981</v>
      </c>
      <c r="G91" s="126" t="s">
        <v>20</v>
      </c>
      <c r="H91" s="127">
        <v>3850</v>
      </c>
      <c r="I91" s="126" t="s">
        <v>2646</v>
      </c>
      <c r="J91" s="174">
        <v>45665</v>
      </c>
      <c r="K91" s="126" t="s">
        <v>2979</v>
      </c>
      <c r="L91" s="126" t="s">
        <v>2656</v>
      </c>
      <c r="M91" s="128" t="b">
        <v>0</v>
      </c>
      <c r="N91" s="122"/>
    </row>
    <row r="92" spans="1:14" ht="15.75">
      <c r="A92" s="121"/>
      <c r="B92" s="121"/>
      <c r="C92" s="121"/>
      <c r="D92" s="126" t="s">
        <v>1943</v>
      </c>
      <c r="E92" s="126" t="s">
        <v>2980</v>
      </c>
      <c r="F92" s="126" t="s">
        <v>2982</v>
      </c>
      <c r="G92" s="126" t="s">
        <v>20</v>
      </c>
      <c r="H92" s="127">
        <v>3850</v>
      </c>
      <c r="I92" s="126" t="s">
        <v>2646</v>
      </c>
      <c r="J92" s="174">
        <v>45665</v>
      </c>
      <c r="K92" s="126" t="s">
        <v>2979</v>
      </c>
      <c r="L92" s="126" t="s">
        <v>2656</v>
      </c>
      <c r="M92" s="128" t="b">
        <v>0</v>
      </c>
      <c r="N92" s="122"/>
    </row>
    <row r="93" spans="1:14" ht="15.75">
      <c r="A93" s="121"/>
      <c r="B93" s="121"/>
      <c r="C93" s="121"/>
      <c r="D93" s="126" t="s">
        <v>103</v>
      </c>
      <c r="E93" s="126" t="s">
        <v>2744</v>
      </c>
      <c r="F93" s="126" t="s">
        <v>1904</v>
      </c>
      <c r="G93" s="126" t="s">
        <v>25</v>
      </c>
      <c r="H93" s="127">
        <v>27300</v>
      </c>
      <c r="I93" s="126" t="s">
        <v>2646</v>
      </c>
      <c r="J93" s="174">
        <v>45665</v>
      </c>
      <c r="K93" s="126" t="s">
        <v>2979</v>
      </c>
      <c r="L93" s="126" t="s">
        <v>2671</v>
      </c>
      <c r="M93" s="128" t="b">
        <v>0</v>
      </c>
      <c r="N93" s="122"/>
    </row>
    <row r="94" spans="1:14" ht="15.75">
      <c r="A94" s="121"/>
      <c r="B94" s="121"/>
      <c r="C94" s="121"/>
      <c r="D94" s="126" t="s">
        <v>1944</v>
      </c>
      <c r="E94" s="126" t="s">
        <v>2869</v>
      </c>
      <c r="F94" s="126" t="s">
        <v>1900</v>
      </c>
      <c r="G94" s="126" t="s">
        <v>21</v>
      </c>
      <c r="H94" s="127">
        <v>27872.74</v>
      </c>
      <c r="I94" s="126" t="s">
        <v>2646</v>
      </c>
      <c r="J94" s="174">
        <v>45665</v>
      </c>
      <c r="K94" s="126" t="s">
        <v>2979</v>
      </c>
      <c r="L94" s="126" t="s">
        <v>2680</v>
      </c>
      <c r="M94" s="128" t="b">
        <v>0</v>
      </c>
      <c r="N94" s="122"/>
    </row>
    <row r="95" spans="1:14" ht="15.75">
      <c r="A95" s="121"/>
      <c r="B95" s="121"/>
      <c r="C95" s="121"/>
      <c r="D95" s="126" t="s">
        <v>1944</v>
      </c>
      <c r="E95" s="126" t="s">
        <v>2869</v>
      </c>
      <c r="F95" s="126" t="s">
        <v>1821</v>
      </c>
      <c r="G95" s="126" t="s">
        <v>21</v>
      </c>
      <c r="H95" s="127">
        <v>12639.41</v>
      </c>
      <c r="I95" s="126" t="s">
        <v>2646</v>
      </c>
      <c r="J95" s="174">
        <v>45665</v>
      </c>
      <c r="K95" s="126" t="s">
        <v>2979</v>
      </c>
      <c r="L95" s="126" t="s">
        <v>2680</v>
      </c>
      <c r="M95" s="128" t="b">
        <v>0</v>
      </c>
      <c r="N95" s="122"/>
    </row>
    <row r="96" spans="1:14" ht="15.75">
      <c r="A96" s="121"/>
      <c r="B96" s="121"/>
      <c r="C96" s="121"/>
      <c r="D96" s="126" t="s">
        <v>1944</v>
      </c>
      <c r="E96" s="126" t="s">
        <v>2869</v>
      </c>
      <c r="F96" s="126" t="s">
        <v>2653</v>
      </c>
      <c r="G96" s="126" t="s">
        <v>20</v>
      </c>
      <c r="H96" s="127">
        <v>9149.43</v>
      </c>
      <c r="I96" s="126" t="s">
        <v>2646</v>
      </c>
      <c r="J96" s="174">
        <v>45665</v>
      </c>
      <c r="K96" s="126" t="s">
        <v>2979</v>
      </c>
      <c r="L96" s="126" t="s">
        <v>2680</v>
      </c>
      <c r="M96" s="128" t="b">
        <v>0</v>
      </c>
      <c r="N96" s="122"/>
    </row>
    <row r="97" spans="1:14" ht="15.75">
      <c r="A97" s="121"/>
      <c r="B97" s="121"/>
      <c r="C97" s="121"/>
      <c r="D97" s="126" t="s">
        <v>1944</v>
      </c>
      <c r="E97" s="126" t="s">
        <v>2869</v>
      </c>
      <c r="F97" s="126" t="s">
        <v>1810</v>
      </c>
      <c r="G97" s="126" t="s">
        <v>21</v>
      </c>
      <c r="H97" s="127">
        <v>12639.41</v>
      </c>
      <c r="I97" s="126" t="s">
        <v>2646</v>
      </c>
      <c r="J97" s="174">
        <v>45665</v>
      </c>
      <c r="K97" s="126" t="s">
        <v>2979</v>
      </c>
      <c r="L97" s="126" t="s">
        <v>2680</v>
      </c>
      <c r="M97" s="128" t="b">
        <v>0</v>
      </c>
      <c r="N97" s="122"/>
    </row>
    <row r="98" spans="1:14" ht="15.75">
      <c r="A98" s="121"/>
      <c r="B98" s="121"/>
      <c r="C98" s="121"/>
      <c r="D98" s="126" t="s">
        <v>1944</v>
      </c>
      <c r="E98" s="126" t="s">
        <v>2869</v>
      </c>
      <c r="F98" s="126" t="s">
        <v>1843</v>
      </c>
      <c r="G98" s="126" t="s">
        <v>21</v>
      </c>
      <c r="H98" s="127">
        <v>11649.01</v>
      </c>
      <c r="I98" s="126" t="s">
        <v>2646</v>
      </c>
      <c r="J98" s="174">
        <v>45665</v>
      </c>
      <c r="K98" s="126" t="s">
        <v>2979</v>
      </c>
      <c r="L98" s="126" t="s">
        <v>2680</v>
      </c>
      <c r="M98" s="128" t="b">
        <v>0</v>
      </c>
      <c r="N98" s="122"/>
    </row>
    <row r="99" spans="1:14" ht="15.75">
      <c r="A99" s="121"/>
      <c r="B99" s="121"/>
      <c r="C99" s="121"/>
      <c r="D99" s="126" t="s">
        <v>1945</v>
      </c>
      <c r="E99" s="126" t="s">
        <v>2726</v>
      </c>
      <c r="F99" s="126" t="s">
        <v>1858</v>
      </c>
      <c r="G99" s="126" t="s">
        <v>2717</v>
      </c>
      <c r="H99" s="129">
        <v>3850</v>
      </c>
      <c r="I99" s="126" t="s">
        <v>2646</v>
      </c>
      <c r="J99" s="174">
        <v>45665</v>
      </c>
      <c r="K99" s="126" t="s">
        <v>2979</v>
      </c>
      <c r="L99" s="126" t="s">
        <v>2647</v>
      </c>
      <c r="M99" s="128" t="b">
        <v>0</v>
      </c>
      <c r="N99" s="122"/>
    </row>
    <row r="100" spans="1:14" ht="15.75">
      <c r="A100" s="121"/>
      <c r="B100" s="121"/>
      <c r="C100" s="121"/>
      <c r="D100" s="126" t="s">
        <v>129</v>
      </c>
      <c r="E100" s="126" t="s">
        <v>2804</v>
      </c>
      <c r="F100" s="126" t="s">
        <v>2653</v>
      </c>
      <c r="G100" s="126" t="s">
        <v>20</v>
      </c>
      <c r="H100" s="127">
        <v>8400</v>
      </c>
      <c r="I100" s="126" t="s">
        <v>2646</v>
      </c>
      <c r="J100" s="174">
        <v>45665</v>
      </c>
      <c r="K100" s="126" t="s">
        <v>2979</v>
      </c>
      <c r="L100" s="126" t="s">
        <v>2680</v>
      </c>
      <c r="M100" s="128" t="b">
        <v>0</v>
      </c>
      <c r="N100" s="122"/>
    </row>
    <row r="101" spans="1:14" ht="15.75">
      <c r="A101" s="121"/>
      <c r="B101" s="121"/>
      <c r="C101" s="121"/>
      <c r="D101" s="126" t="s">
        <v>129</v>
      </c>
      <c r="E101" s="126" t="s">
        <v>2804</v>
      </c>
      <c r="F101" s="126" t="s">
        <v>1808</v>
      </c>
      <c r="G101" s="126" t="s">
        <v>25</v>
      </c>
      <c r="H101" s="127">
        <v>7600</v>
      </c>
      <c r="I101" s="126" t="s">
        <v>2646</v>
      </c>
      <c r="J101" s="174">
        <v>45665</v>
      </c>
      <c r="K101" s="126" t="s">
        <v>2979</v>
      </c>
      <c r="L101" s="126" t="s">
        <v>2680</v>
      </c>
      <c r="M101" s="128" t="b">
        <v>0</v>
      </c>
      <c r="N101" s="122"/>
    </row>
    <row r="102" spans="1:14" ht="15.75">
      <c r="A102" s="121"/>
      <c r="B102" s="121"/>
      <c r="C102" s="121"/>
      <c r="D102" s="126" t="s">
        <v>129</v>
      </c>
      <c r="E102" s="126" t="s">
        <v>2804</v>
      </c>
      <c r="F102" s="126" t="s">
        <v>1864</v>
      </c>
      <c r="G102" s="126" t="s">
        <v>27</v>
      </c>
      <c r="H102" s="127">
        <v>18360</v>
      </c>
      <c r="I102" s="126" t="s">
        <v>2646</v>
      </c>
      <c r="J102" s="174">
        <v>45665</v>
      </c>
      <c r="K102" s="126" t="s">
        <v>2979</v>
      </c>
      <c r="L102" s="126" t="s">
        <v>2680</v>
      </c>
      <c r="M102" s="128" t="b">
        <v>0</v>
      </c>
      <c r="N102" s="122"/>
    </row>
    <row r="103" spans="1:14" ht="15.75">
      <c r="A103" s="121"/>
      <c r="B103" s="121"/>
      <c r="C103" s="121"/>
      <c r="D103" s="126" t="s">
        <v>351</v>
      </c>
      <c r="E103" s="126" t="s">
        <v>2724</v>
      </c>
      <c r="F103" s="126" t="s">
        <v>1827</v>
      </c>
      <c r="G103" s="126" t="s">
        <v>29</v>
      </c>
      <c r="H103" s="127">
        <v>9950</v>
      </c>
      <c r="I103" s="126" t="s">
        <v>2646</v>
      </c>
      <c r="J103" s="174">
        <v>45665</v>
      </c>
      <c r="K103" s="126" t="s">
        <v>2979</v>
      </c>
      <c r="L103" s="126" t="s">
        <v>2671</v>
      </c>
      <c r="M103" s="128" t="b">
        <v>0</v>
      </c>
      <c r="N103" s="122"/>
    </row>
    <row r="104" spans="1:14" ht="15.75">
      <c r="A104" s="121"/>
      <c r="B104" s="121"/>
      <c r="C104" s="121"/>
      <c r="D104" s="126" t="s">
        <v>1946</v>
      </c>
      <c r="E104" s="126" t="s">
        <v>2649</v>
      </c>
      <c r="F104" s="126" t="s">
        <v>1817</v>
      </c>
      <c r="G104" s="126" t="s">
        <v>35</v>
      </c>
      <c r="H104" s="127">
        <v>21375</v>
      </c>
      <c r="I104" s="126" t="s">
        <v>2642</v>
      </c>
      <c r="J104" s="174">
        <v>45755</v>
      </c>
      <c r="K104" s="174">
        <v>46089</v>
      </c>
      <c r="L104" s="126" t="s">
        <v>2643</v>
      </c>
      <c r="M104" s="128" t="b">
        <v>0</v>
      </c>
      <c r="N104" s="122"/>
    </row>
    <row r="105" spans="1:14" ht="15.75">
      <c r="A105" s="121"/>
      <c r="B105" s="121"/>
      <c r="C105" s="121"/>
      <c r="D105" s="126" t="s">
        <v>466</v>
      </c>
      <c r="E105" s="126" t="s">
        <v>2939</v>
      </c>
      <c r="F105" s="126" t="s">
        <v>2940</v>
      </c>
      <c r="G105" s="126" t="s">
        <v>2803</v>
      </c>
      <c r="H105" s="127">
        <v>9600</v>
      </c>
      <c r="I105" s="126" t="s">
        <v>1705</v>
      </c>
      <c r="J105" s="126" t="s">
        <v>2983</v>
      </c>
      <c r="K105" s="126" t="s">
        <v>2984</v>
      </c>
      <c r="L105" s="126" t="s">
        <v>2643</v>
      </c>
      <c r="M105" s="128" t="b">
        <v>0</v>
      </c>
      <c r="N105" s="122"/>
    </row>
    <row r="106" spans="1:14" ht="15.75">
      <c r="A106" s="121"/>
      <c r="B106" s="121"/>
      <c r="C106" s="121"/>
      <c r="D106" s="126" t="s">
        <v>466</v>
      </c>
      <c r="E106" s="126" t="s">
        <v>2939</v>
      </c>
      <c r="F106" s="126" t="s">
        <v>1829</v>
      </c>
      <c r="G106" s="126" t="s">
        <v>23</v>
      </c>
      <c r="H106" s="127">
        <v>4761</v>
      </c>
      <c r="I106" s="126" t="s">
        <v>1705</v>
      </c>
      <c r="J106" s="126" t="s">
        <v>2983</v>
      </c>
      <c r="K106" s="126" t="s">
        <v>2984</v>
      </c>
      <c r="L106" s="126" t="s">
        <v>2643</v>
      </c>
      <c r="M106" s="128" t="b">
        <v>0</v>
      </c>
      <c r="N106" s="122"/>
    </row>
    <row r="107" spans="1:14" ht="15.75">
      <c r="A107" s="121"/>
      <c r="B107" s="121"/>
      <c r="C107" s="121"/>
      <c r="D107" s="126" t="s">
        <v>1947</v>
      </c>
      <c r="E107" s="126" t="s">
        <v>2699</v>
      </c>
      <c r="F107" s="126" t="s">
        <v>2653</v>
      </c>
      <c r="G107" s="126" t="s">
        <v>20</v>
      </c>
      <c r="H107" s="127">
        <v>5000</v>
      </c>
      <c r="I107" s="126" t="s">
        <v>1705</v>
      </c>
      <c r="J107" s="126" t="s">
        <v>2985</v>
      </c>
      <c r="K107" s="126" t="s">
        <v>2986</v>
      </c>
      <c r="L107" s="126" t="s">
        <v>2656</v>
      </c>
      <c r="M107" s="128" t="b">
        <v>0</v>
      </c>
      <c r="N107" s="122"/>
    </row>
    <row r="108" spans="1:14" ht="15.75">
      <c r="A108" s="121"/>
      <c r="B108" s="121"/>
      <c r="C108" s="121"/>
      <c r="D108" s="126" t="s">
        <v>1947</v>
      </c>
      <c r="E108" s="126" t="s">
        <v>2699</v>
      </c>
      <c r="F108" s="126" t="s">
        <v>2700</v>
      </c>
      <c r="G108" s="126" t="s">
        <v>2701</v>
      </c>
      <c r="H108" s="127">
        <v>5000</v>
      </c>
      <c r="I108" s="126" t="s">
        <v>1705</v>
      </c>
      <c r="J108" s="126" t="s">
        <v>2985</v>
      </c>
      <c r="K108" s="126" t="s">
        <v>2986</v>
      </c>
      <c r="L108" s="126" t="s">
        <v>2656</v>
      </c>
      <c r="M108" s="128" t="b">
        <v>0</v>
      </c>
      <c r="N108" s="122"/>
    </row>
    <row r="109" spans="1:14" ht="15.75">
      <c r="A109" s="121"/>
      <c r="B109" s="121"/>
      <c r="C109" s="121"/>
      <c r="D109" s="126" t="s">
        <v>140</v>
      </c>
      <c r="E109" s="126" t="s">
        <v>2907</v>
      </c>
      <c r="F109" s="126" t="s">
        <v>2620</v>
      </c>
      <c r="G109" s="126" t="s">
        <v>1695</v>
      </c>
      <c r="H109" s="127">
        <v>18750</v>
      </c>
      <c r="I109" s="126" t="s">
        <v>2642</v>
      </c>
      <c r="J109" s="174">
        <v>45668</v>
      </c>
      <c r="K109" s="126" t="s">
        <v>2987</v>
      </c>
      <c r="L109" s="126" t="s">
        <v>2656</v>
      </c>
      <c r="M109" s="128" t="b">
        <v>0</v>
      </c>
      <c r="N109" s="122"/>
    </row>
    <row r="110" spans="1:14" ht="15.75">
      <c r="A110" s="121"/>
      <c r="B110" s="121"/>
      <c r="C110" s="121"/>
      <c r="D110" s="126" t="s">
        <v>1393</v>
      </c>
      <c r="E110" s="126" t="s">
        <v>2931</v>
      </c>
      <c r="F110" s="126" t="s">
        <v>2653</v>
      </c>
      <c r="G110" s="126" t="s">
        <v>20</v>
      </c>
      <c r="H110" s="127">
        <v>6750</v>
      </c>
      <c r="I110" s="126" t="s">
        <v>2646</v>
      </c>
      <c r="J110" s="174">
        <v>45666</v>
      </c>
      <c r="K110" s="126" t="s">
        <v>2987</v>
      </c>
      <c r="L110" s="126" t="s">
        <v>2656</v>
      </c>
      <c r="M110" s="128" t="b">
        <v>0</v>
      </c>
      <c r="N110" s="122"/>
    </row>
    <row r="111" spans="1:14" ht="15.75">
      <c r="A111" s="121"/>
      <c r="B111" s="121"/>
      <c r="C111" s="121"/>
      <c r="D111" s="126" t="s">
        <v>157</v>
      </c>
      <c r="E111" s="126" t="s">
        <v>2746</v>
      </c>
      <c r="F111" s="126" t="s">
        <v>1820</v>
      </c>
      <c r="G111" s="126" t="s">
        <v>25</v>
      </c>
      <c r="H111" s="127">
        <v>10500</v>
      </c>
      <c r="I111" s="126" t="s">
        <v>2646</v>
      </c>
      <c r="J111" s="174">
        <v>45666</v>
      </c>
      <c r="K111" s="126" t="s">
        <v>2987</v>
      </c>
      <c r="L111" s="126" t="s">
        <v>2671</v>
      </c>
      <c r="M111" s="128" t="b">
        <v>1</v>
      </c>
      <c r="N111" s="122"/>
    </row>
    <row r="112" spans="1:14" ht="15.75">
      <c r="A112" s="121"/>
      <c r="B112" s="121"/>
      <c r="C112" s="121"/>
      <c r="D112" s="126" t="s">
        <v>862</v>
      </c>
      <c r="E112" s="126" t="s">
        <v>2784</v>
      </c>
      <c r="F112" s="126" t="s">
        <v>2074</v>
      </c>
      <c r="G112" s="126" t="s">
        <v>23</v>
      </c>
      <c r="H112" s="127">
        <v>27143.06</v>
      </c>
      <c r="I112" s="126" t="s">
        <v>2646</v>
      </c>
      <c r="J112" s="174">
        <v>45666</v>
      </c>
      <c r="K112" s="126" t="s">
        <v>2987</v>
      </c>
      <c r="L112" s="126" t="s">
        <v>2680</v>
      </c>
      <c r="M112" s="128" t="b">
        <v>0</v>
      </c>
      <c r="N112" s="122"/>
    </row>
    <row r="113" spans="1:14" ht="15.75">
      <c r="A113" s="121"/>
      <c r="B113" s="121"/>
      <c r="C113" s="121"/>
      <c r="D113" s="126" t="s">
        <v>862</v>
      </c>
      <c r="E113" s="126" t="s">
        <v>2784</v>
      </c>
      <c r="F113" s="126" t="s">
        <v>1843</v>
      </c>
      <c r="G113" s="126" t="s">
        <v>21</v>
      </c>
      <c r="H113" s="127">
        <v>13851.94</v>
      </c>
      <c r="I113" s="126" t="s">
        <v>2646</v>
      </c>
      <c r="J113" s="174">
        <v>45666</v>
      </c>
      <c r="K113" s="126" t="s">
        <v>2987</v>
      </c>
      <c r="L113" s="126" t="s">
        <v>2680</v>
      </c>
      <c r="M113" s="128" t="b">
        <v>0</v>
      </c>
      <c r="N113" s="122"/>
    </row>
    <row r="114" spans="1:14" ht="15.75">
      <c r="A114" s="121"/>
      <c r="B114" s="121"/>
      <c r="C114" s="121"/>
      <c r="D114" s="126" t="s">
        <v>563</v>
      </c>
      <c r="E114" s="126" t="s">
        <v>2796</v>
      </c>
      <c r="F114" s="126" t="s">
        <v>2653</v>
      </c>
      <c r="G114" s="126" t="s">
        <v>20</v>
      </c>
      <c r="H114" s="127">
        <v>12000</v>
      </c>
      <c r="I114" s="126" t="s">
        <v>2646</v>
      </c>
      <c r="J114" s="174">
        <v>45666</v>
      </c>
      <c r="K114" s="126" t="s">
        <v>2987</v>
      </c>
      <c r="L114" s="126" t="s">
        <v>2680</v>
      </c>
      <c r="M114" s="128" t="b">
        <v>0</v>
      </c>
      <c r="N114" s="122"/>
    </row>
    <row r="115" spans="1:14" ht="15.75">
      <c r="A115" s="121"/>
      <c r="B115" s="121"/>
      <c r="C115" s="121"/>
      <c r="D115" s="126" t="s">
        <v>56</v>
      </c>
      <c r="E115" s="126" t="s">
        <v>2675</v>
      </c>
      <c r="F115" s="126" t="s">
        <v>1813</v>
      </c>
      <c r="G115" s="126" t="s">
        <v>21</v>
      </c>
      <c r="H115" s="127">
        <v>21250</v>
      </c>
      <c r="I115" s="126" t="s">
        <v>2646</v>
      </c>
      <c r="J115" s="174">
        <v>45666</v>
      </c>
      <c r="K115" s="126" t="s">
        <v>2987</v>
      </c>
      <c r="L115" s="126" t="s">
        <v>2667</v>
      </c>
      <c r="M115" s="128" t="b">
        <v>0</v>
      </c>
      <c r="N115" s="122"/>
    </row>
    <row r="116" spans="1:14" ht="15.75">
      <c r="A116" s="121"/>
      <c r="B116" s="121"/>
      <c r="C116" s="121"/>
      <c r="D116" s="126" t="s">
        <v>56</v>
      </c>
      <c r="E116" s="126" t="s">
        <v>2675</v>
      </c>
      <c r="F116" s="126" t="s">
        <v>1900</v>
      </c>
      <c r="G116" s="126" t="s">
        <v>21</v>
      </c>
      <c r="H116" s="127">
        <v>68750</v>
      </c>
      <c r="I116" s="126" t="s">
        <v>2646</v>
      </c>
      <c r="J116" s="174">
        <v>45666</v>
      </c>
      <c r="K116" s="126" t="s">
        <v>2987</v>
      </c>
      <c r="L116" s="126" t="s">
        <v>2667</v>
      </c>
      <c r="M116" s="128" t="b">
        <v>0</v>
      </c>
      <c r="N116" s="122"/>
    </row>
    <row r="117" spans="1:14" ht="15.75">
      <c r="A117" s="121"/>
      <c r="B117" s="121"/>
      <c r="C117" s="121"/>
      <c r="D117" s="126" t="s">
        <v>1948</v>
      </c>
      <c r="E117" s="126" t="s">
        <v>2711</v>
      </c>
      <c r="F117" s="126" t="s">
        <v>2645</v>
      </c>
      <c r="G117" s="126" t="s">
        <v>1902</v>
      </c>
      <c r="H117" s="127">
        <v>8070</v>
      </c>
      <c r="I117" s="126" t="s">
        <v>1705</v>
      </c>
      <c r="J117" s="174">
        <v>45666</v>
      </c>
      <c r="K117" s="126" t="s">
        <v>2987</v>
      </c>
      <c r="L117" s="126" t="s">
        <v>2647</v>
      </c>
      <c r="M117" s="128" t="b">
        <v>0</v>
      </c>
      <c r="N117" s="122"/>
    </row>
    <row r="118" spans="1:14" ht="15.75">
      <c r="A118" s="121"/>
      <c r="B118" s="121"/>
      <c r="C118" s="121"/>
      <c r="D118" s="126" t="s">
        <v>132</v>
      </c>
      <c r="E118" s="126" t="s">
        <v>2832</v>
      </c>
      <c r="F118" s="126" t="s">
        <v>1838</v>
      </c>
      <c r="G118" s="126" t="s">
        <v>25</v>
      </c>
      <c r="H118" s="127">
        <v>7100</v>
      </c>
      <c r="I118" s="126" t="s">
        <v>2646</v>
      </c>
      <c r="J118" s="174">
        <v>45666</v>
      </c>
      <c r="K118" s="126" t="s">
        <v>2987</v>
      </c>
      <c r="L118" s="126" t="s">
        <v>2671</v>
      </c>
      <c r="M118" s="128" t="b">
        <v>0</v>
      </c>
      <c r="N118" s="122"/>
    </row>
    <row r="119" spans="1:14" ht="15.75">
      <c r="A119" s="121"/>
      <c r="B119" s="121"/>
      <c r="C119" s="121"/>
      <c r="D119" s="126" t="s">
        <v>132</v>
      </c>
      <c r="E119" s="126" t="s">
        <v>2832</v>
      </c>
      <c r="F119" s="126" t="s">
        <v>1826</v>
      </c>
      <c r="G119" s="126" t="s">
        <v>25</v>
      </c>
      <c r="H119" s="127">
        <v>8500</v>
      </c>
      <c r="I119" s="126" t="s">
        <v>2646</v>
      </c>
      <c r="J119" s="174">
        <v>45666</v>
      </c>
      <c r="K119" s="126" t="s">
        <v>2987</v>
      </c>
      <c r="L119" s="126" t="s">
        <v>2671</v>
      </c>
      <c r="M119" s="128" t="b">
        <v>0</v>
      </c>
      <c r="N119" s="122"/>
    </row>
    <row r="120" spans="1:14" ht="15.75">
      <c r="A120" s="121"/>
      <c r="B120" s="121"/>
      <c r="C120" s="121"/>
      <c r="D120" s="126" t="s">
        <v>140</v>
      </c>
      <c r="E120" s="126" t="s">
        <v>2908</v>
      </c>
      <c r="F120" s="126" t="s">
        <v>1829</v>
      </c>
      <c r="G120" s="126" t="s">
        <v>23</v>
      </c>
      <c r="H120" s="127">
        <v>17950</v>
      </c>
      <c r="I120" s="126" t="s">
        <v>2646</v>
      </c>
      <c r="J120" s="174">
        <v>45666</v>
      </c>
      <c r="K120" s="126" t="s">
        <v>2987</v>
      </c>
      <c r="L120" s="126" t="s">
        <v>2656</v>
      </c>
      <c r="M120" s="128" t="b">
        <v>0</v>
      </c>
      <c r="N120" s="122"/>
    </row>
    <row r="121" spans="1:14" ht="15.75">
      <c r="A121" s="121"/>
      <c r="B121" s="121"/>
      <c r="C121" s="121"/>
      <c r="D121" s="126" t="s">
        <v>140</v>
      </c>
      <c r="E121" s="126" t="s">
        <v>2908</v>
      </c>
      <c r="F121" s="126" t="s">
        <v>1842</v>
      </c>
      <c r="G121" s="126" t="s">
        <v>1695</v>
      </c>
      <c r="H121" s="127">
        <v>7700</v>
      </c>
      <c r="I121" s="126" t="s">
        <v>2646</v>
      </c>
      <c r="J121" s="174">
        <v>45666</v>
      </c>
      <c r="K121" s="126" t="s">
        <v>2987</v>
      </c>
      <c r="L121" s="126" t="s">
        <v>2656</v>
      </c>
      <c r="M121" s="128" t="b">
        <v>0</v>
      </c>
      <c r="N121" s="122"/>
    </row>
    <row r="122" spans="1:14" ht="15.75">
      <c r="A122" s="121"/>
      <c r="B122" s="121"/>
      <c r="C122" s="121"/>
      <c r="D122" s="126" t="s">
        <v>140</v>
      </c>
      <c r="E122" s="126" t="s">
        <v>2908</v>
      </c>
      <c r="F122" s="126" t="s">
        <v>2653</v>
      </c>
      <c r="G122" s="126" t="s">
        <v>20</v>
      </c>
      <c r="H122" s="127">
        <v>4300</v>
      </c>
      <c r="I122" s="126" t="s">
        <v>2646</v>
      </c>
      <c r="J122" s="174">
        <v>45666</v>
      </c>
      <c r="K122" s="126" t="s">
        <v>2987</v>
      </c>
      <c r="L122" s="126" t="s">
        <v>2656</v>
      </c>
      <c r="M122" s="128" t="b">
        <v>0</v>
      </c>
      <c r="N122" s="122"/>
    </row>
    <row r="123" spans="1:14" ht="15.75">
      <c r="A123" s="121"/>
      <c r="B123" s="121"/>
      <c r="C123" s="121"/>
      <c r="D123" s="126" t="s">
        <v>912</v>
      </c>
      <c r="E123" s="126" t="s">
        <v>2943</v>
      </c>
      <c r="F123" s="126" t="s">
        <v>1829</v>
      </c>
      <c r="G123" s="126" t="s">
        <v>23</v>
      </c>
      <c r="H123" s="127">
        <v>11288</v>
      </c>
      <c r="I123" s="126" t="s">
        <v>2646</v>
      </c>
      <c r="J123" s="174">
        <v>45666</v>
      </c>
      <c r="K123" s="126" t="s">
        <v>2987</v>
      </c>
      <c r="L123" s="126" t="s">
        <v>2643</v>
      </c>
      <c r="M123" s="128" t="b">
        <v>0</v>
      </c>
      <c r="N123" s="122"/>
    </row>
    <row r="124" spans="1:14" ht="15.75">
      <c r="A124" s="121"/>
      <c r="B124" s="121"/>
      <c r="C124" s="121"/>
      <c r="D124" s="126" t="s">
        <v>912</v>
      </c>
      <c r="E124" s="126" t="s">
        <v>2943</v>
      </c>
      <c r="F124" s="126" t="s">
        <v>1843</v>
      </c>
      <c r="G124" s="126" t="s">
        <v>21</v>
      </c>
      <c r="H124" s="127">
        <v>7650</v>
      </c>
      <c r="I124" s="126" t="s">
        <v>2646</v>
      </c>
      <c r="J124" s="174">
        <v>45666</v>
      </c>
      <c r="K124" s="126" t="s">
        <v>2987</v>
      </c>
      <c r="L124" s="126" t="s">
        <v>2643</v>
      </c>
      <c r="M124" s="128" t="b">
        <v>0</v>
      </c>
      <c r="N124" s="122"/>
    </row>
    <row r="125" spans="1:14" ht="15.75">
      <c r="A125" s="121"/>
      <c r="B125" s="121"/>
      <c r="C125" s="121"/>
      <c r="D125" s="126" t="s">
        <v>169</v>
      </c>
      <c r="E125" s="126" t="s">
        <v>2811</v>
      </c>
      <c r="F125" s="126" t="s">
        <v>1797</v>
      </c>
      <c r="G125" s="126" t="s">
        <v>29</v>
      </c>
      <c r="H125" s="127">
        <v>6650</v>
      </c>
      <c r="I125" s="126" t="s">
        <v>2642</v>
      </c>
      <c r="J125" s="174">
        <v>45878</v>
      </c>
      <c r="K125" s="174">
        <v>46212</v>
      </c>
      <c r="L125" s="126" t="s">
        <v>2671</v>
      </c>
      <c r="M125" s="128" t="b">
        <v>0</v>
      </c>
      <c r="N125" s="122"/>
    </row>
    <row r="126" spans="1:14" ht="15.75">
      <c r="A126" s="121"/>
      <c r="B126" s="121"/>
      <c r="C126" s="121"/>
      <c r="D126" s="126" t="s">
        <v>169</v>
      </c>
      <c r="E126" s="126" t="s">
        <v>2811</v>
      </c>
      <c r="F126" s="126" t="s">
        <v>2055</v>
      </c>
      <c r="G126" s="126" t="s">
        <v>27</v>
      </c>
      <c r="H126" s="127">
        <v>12420</v>
      </c>
      <c r="I126" s="126" t="s">
        <v>2642</v>
      </c>
      <c r="J126" s="174">
        <v>45878</v>
      </c>
      <c r="K126" s="174">
        <v>46212</v>
      </c>
      <c r="L126" s="126" t="s">
        <v>2671</v>
      </c>
      <c r="M126" s="128" t="b">
        <v>0</v>
      </c>
      <c r="N126" s="122"/>
    </row>
    <row r="127" spans="1:14" ht="15.75">
      <c r="A127" s="121"/>
      <c r="B127" s="121"/>
      <c r="C127" s="121"/>
      <c r="D127" s="126" t="s">
        <v>169</v>
      </c>
      <c r="E127" s="126" t="s">
        <v>2811</v>
      </c>
      <c r="F127" s="126" t="s">
        <v>1820</v>
      </c>
      <c r="G127" s="126" t="s">
        <v>25</v>
      </c>
      <c r="H127" s="127">
        <v>4540</v>
      </c>
      <c r="I127" s="126" t="s">
        <v>2642</v>
      </c>
      <c r="J127" s="174">
        <v>45878</v>
      </c>
      <c r="K127" s="174">
        <v>46212</v>
      </c>
      <c r="L127" s="126" t="s">
        <v>2671</v>
      </c>
      <c r="M127" s="128" t="b">
        <v>0</v>
      </c>
      <c r="N127" s="122"/>
    </row>
    <row r="128" spans="1:14" ht="15.75">
      <c r="A128" s="121"/>
      <c r="B128" s="121"/>
      <c r="C128" s="121"/>
      <c r="D128" s="126" t="s">
        <v>169</v>
      </c>
      <c r="E128" s="126" t="s">
        <v>2811</v>
      </c>
      <c r="F128" s="126" t="s">
        <v>2619</v>
      </c>
      <c r="G128" s="126" t="s">
        <v>31</v>
      </c>
      <c r="H128" s="127">
        <v>12040</v>
      </c>
      <c r="I128" s="126" t="s">
        <v>2642</v>
      </c>
      <c r="J128" s="174">
        <v>45878</v>
      </c>
      <c r="K128" s="174">
        <v>46212</v>
      </c>
      <c r="L128" s="126" t="s">
        <v>2671</v>
      </c>
      <c r="M128" s="128" t="b">
        <v>0</v>
      </c>
      <c r="N128" s="122"/>
    </row>
    <row r="129" spans="1:14" ht="15.75">
      <c r="A129" s="121"/>
      <c r="B129" s="121"/>
      <c r="C129" s="121"/>
      <c r="D129" s="126" t="s">
        <v>1395</v>
      </c>
      <c r="E129" s="126" t="s">
        <v>2934</v>
      </c>
      <c r="F129" s="126" t="s">
        <v>2653</v>
      </c>
      <c r="G129" s="126" t="s">
        <v>20</v>
      </c>
      <c r="H129" s="127">
        <v>7565</v>
      </c>
      <c r="I129" s="126" t="s">
        <v>2646</v>
      </c>
      <c r="J129" s="174">
        <v>45970</v>
      </c>
      <c r="K129" s="174">
        <v>46304</v>
      </c>
      <c r="L129" s="126" t="s">
        <v>2656</v>
      </c>
      <c r="M129" s="128" t="b">
        <v>0</v>
      </c>
      <c r="N129" s="122"/>
    </row>
    <row r="130" spans="1:14" ht="15.75">
      <c r="A130" s="121"/>
      <c r="B130" s="121"/>
      <c r="C130" s="121"/>
      <c r="D130" s="126" t="s">
        <v>199</v>
      </c>
      <c r="E130" s="126" t="s">
        <v>2668</v>
      </c>
      <c r="F130" s="126" t="s">
        <v>2653</v>
      </c>
      <c r="G130" s="126" t="s">
        <v>20</v>
      </c>
      <c r="H130" s="127">
        <v>5850</v>
      </c>
      <c r="I130" s="126" t="s">
        <v>2646</v>
      </c>
      <c r="J130" s="126" t="s">
        <v>2988</v>
      </c>
      <c r="K130" s="126" t="s">
        <v>2989</v>
      </c>
      <c r="L130" s="126" t="s">
        <v>2643</v>
      </c>
      <c r="M130" s="128" t="b">
        <v>0</v>
      </c>
      <c r="N130" s="122"/>
    </row>
    <row r="131" spans="1:14" ht="15.75">
      <c r="A131" s="121"/>
      <c r="B131" s="121"/>
      <c r="C131" s="121"/>
      <c r="D131" s="126" t="s">
        <v>199</v>
      </c>
      <c r="E131" s="126" t="s">
        <v>2668</v>
      </c>
      <c r="F131" s="126" t="s">
        <v>1904</v>
      </c>
      <c r="G131" s="126" t="s">
        <v>25</v>
      </c>
      <c r="H131" s="127">
        <v>19500</v>
      </c>
      <c r="I131" s="126" t="s">
        <v>2646</v>
      </c>
      <c r="J131" s="126" t="s">
        <v>2988</v>
      </c>
      <c r="K131" s="126" t="s">
        <v>2989</v>
      </c>
      <c r="L131" s="126" t="s">
        <v>2643</v>
      </c>
      <c r="M131" s="128" t="b">
        <v>0</v>
      </c>
      <c r="N131" s="122"/>
    </row>
    <row r="132" spans="1:14" ht="15.75">
      <c r="A132" s="121"/>
      <c r="B132" s="121"/>
      <c r="C132" s="121"/>
      <c r="D132" s="126" t="s">
        <v>213</v>
      </c>
      <c r="E132" s="126" t="s">
        <v>2683</v>
      </c>
      <c r="F132" s="126" t="s">
        <v>2653</v>
      </c>
      <c r="G132" s="126" t="s">
        <v>20</v>
      </c>
      <c r="H132" s="127">
        <v>4000</v>
      </c>
      <c r="I132" s="126" t="s">
        <v>2646</v>
      </c>
      <c r="J132" s="126" t="s">
        <v>2990</v>
      </c>
      <c r="K132" s="126" t="s">
        <v>2991</v>
      </c>
      <c r="L132" s="126" t="s">
        <v>2671</v>
      </c>
      <c r="M132" s="128" t="b">
        <v>0</v>
      </c>
      <c r="N132" s="122"/>
    </row>
    <row r="133" spans="1:14" ht="15.75">
      <c r="A133" s="121"/>
      <c r="B133" s="121"/>
      <c r="C133" s="121"/>
      <c r="D133" s="126" t="s">
        <v>213</v>
      </c>
      <c r="E133" s="126" t="s">
        <v>2683</v>
      </c>
      <c r="F133" s="126" t="s">
        <v>1820</v>
      </c>
      <c r="G133" s="126" t="s">
        <v>25</v>
      </c>
      <c r="H133" s="127">
        <v>6850</v>
      </c>
      <c r="I133" s="126" t="s">
        <v>2646</v>
      </c>
      <c r="J133" s="126" t="s">
        <v>2990</v>
      </c>
      <c r="K133" s="126" t="s">
        <v>2991</v>
      </c>
      <c r="L133" s="126" t="s">
        <v>2671</v>
      </c>
      <c r="M133" s="128" t="b">
        <v>0</v>
      </c>
      <c r="N133" s="122"/>
    </row>
    <row r="134" spans="1:14" ht="15.75">
      <c r="A134" s="121"/>
      <c r="B134" s="121"/>
      <c r="C134" s="121"/>
      <c r="D134" s="126" t="s">
        <v>213</v>
      </c>
      <c r="E134" s="126" t="s">
        <v>2683</v>
      </c>
      <c r="F134" s="126" t="s">
        <v>1851</v>
      </c>
      <c r="G134" s="126" t="s">
        <v>1695</v>
      </c>
      <c r="H134" s="127">
        <v>2500</v>
      </c>
      <c r="I134" s="126" t="s">
        <v>2646</v>
      </c>
      <c r="J134" s="126" t="s">
        <v>2990</v>
      </c>
      <c r="K134" s="126" t="s">
        <v>2991</v>
      </c>
      <c r="L134" s="126" t="s">
        <v>2671</v>
      </c>
      <c r="M134" s="128" t="b">
        <v>0</v>
      </c>
      <c r="N134" s="122"/>
    </row>
    <row r="135" spans="1:14" ht="15.75">
      <c r="A135" s="121"/>
      <c r="B135" s="121"/>
      <c r="C135" s="121"/>
      <c r="D135" s="126" t="s">
        <v>1949</v>
      </c>
      <c r="E135" s="126" t="s">
        <v>2888</v>
      </c>
      <c r="F135" s="126" t="s">
        <v>1817</v>
      </c>
      <c r="G135" s="126" t="s">
        <v>35</v>
      </c>
      <c r="H135" s="127">
        <v>19500</v>
      </c>
      <c r="I135" s="126" t="s">
        <v>1705</v>
      </c>
      <c r="J135" s="126" t="s">
        <v>2992</v>
      </c>
      <c r="K135" s="126" t="s">
        <v>2993</v>
      </c>
      <c r="L135" s="126" t="s">
        <v>2671</v>
      </c>
      <c r="M135" s="128" t="b">
        <v>0</v>
      </c>
      <c r="N135" s="122"/>
    </row>
    <row r="136" spans="1:14" ht="15.75">
      <c r="A136" s="121"/>
      <c r="B136" s="121"/>
      <c r="C136" s="121"/>
      <c r="D136" s="126" t="s">
        <v>1950</v>
      </c>
      <c r="E136" s="126" t="s">
        <v>2918</v>
      </c>
      <c r="F136" s="126" t="s">
        <v>1829</v>
      </c>
      <c r="G136" s="126" t="s">
        <v>23</v>
      </c>
      <c r="H136" s="127">
        <v>17090</v>
      </c>
      <c r="I136" s="126" t="s">
        <v>2646</v>
      </c>
      <c r="J136" s="174">
        <v>45667</v>
      </c>
      <c r="K136" s="126" t="s">
        <v>2994</v>
      </c>
      <c r="L136" s="126" t="s">
        <v>2656</v>
      </c>
      <c r="M136" s="128" t="b">
        <v>0</v>
      </c>
      <c r="N136" s="122"/>
    </row>
    <row r="137" spans="1:14" ht="15.75">
      <c r="A137" s="121"/>
      <c r="B137" s="121"/>
      <c r="C137" s="121"/>
      <c r="D137" s="126" t="s">
        <v>91</v>
      </c>
      <c r="E137" s="126" t="s">
        <v>2679</v>
      </c>
      <c r="F137" s="126" t="s">
        <v>1838</v>
      </c>
      <c r="G137" s="126" t="s">
        <v>25</v>
      </c>
      <c r="H137" s="127">
        <v>4805</v>
      </c>
      <c r="I137" s="126" t="s">
        <v>2646</v>
      </c>
      <c r="J137" s="174">
        <v>45667</v>
      </c>
      <c r="K137" s="126" t="s">
        <v>2994</v>
      </c>
      <c r="L137" s="126" t="s">
        <v>2680</v>
      </c>
      <c r="M137" s="128" t="b">
        <v>0</v>
      </c>
      <c r="N137" s="122"/>
    </row>
    <row r="138" spans="1:14" ht="15.75">
      <c r="A138" s="121"/>
      <c r="B138" s="121"/>
      <c r="C138" s="121"/>
      <c r="D138" s="126" t="s">
        <v>91</v>
      </c>
      <c r="E138" s="126" t="s">
        <v>2679</v>
      </c>
      <c r="F138" s="126" t="s">
        <v>1822</v>
      </c>
      <c r="G138" s="126" t="s">
        <v>23</v>
      </c>
      <c r="H138" s="127">
        <v>4939</v>
      </c>
      <c r="I138" s="126" t="s">
        <v>2646</v>
      </c>
      <c r="J138" s="174">
        <v>45667</v>
      </c>
      <c r="K138" s="126" t="s">
        <v>2994</v>
      </c>
      <c r="L138" s="126" t="s">
        <v>2680</v>
      </c>
      <c r="M138" s="128" t="b">
        <v>0</v>
      </c>
      <c r="N138" s="122"/>
    </row>
    <row r="139" spans="1:14" ht="15.75">
      <c r="A139" s="121"/>
      <c r="B139" s="121"/>
      <c r="C139" s="121"/>
      <c r="D139" s="126" t="s">
        <v>91</v>
      </c>
      <c r="E139" s="126" t="s">
        <v>2679</v>
      </c>
      <c r="F139" s="126" t="s">
        <v>1826</v>
      </c>
      <c r="G139" s="126" t="s">
        <v>25</v>
      </c>
      <c r="H139" s="127">
        <v>6014</v>
      </c>
      <c r="I139" s="126" t="s">
        <v>2646</v>
      </c>
      <c r="J139" s="174">
        <v>45667</v>
      </c>
      <c r="K139" s="126" t="s">
        <v>2994</v>
      </c>
      <c r="L139" s="126" t="s">
        <v>2680</v>
      </c>
      <c r="M139" s="128" t="b">
        <v>0</v>
      </c>
      <c r="N139" s="122"/>
    </row>
    <row r="140" spans="1:14" ht="15.75">
      <c r="A140" s="121"/>
      <c r="B140" s="121"/>
      <c r="C140" s="121"/>
      <c r="D140" s="126" t="s">
        <v>91</v>
      </c>
      <c r="E140" s="126" t="s">
        <v>2679</v>
      </c>
      <c r="F140" s="126" t="s">
        <v>1821</v>
      </c>
      <c r="G140" s="126" t="s">
        <v>21</v>
      </c>
      <c r="H140" s="127">
        <v>8866</v>
      </c>
      <c r="I140" s="126" t="s">
        <v>2646</v>
      </c>
      <c r="J140" s="174">
        <v>45667</v>
      </c>
      <c r="K140" s="126" t="s">
        <v>2994</v>
      </c>
      <c r="L140" s="126" t="s">
        <v>2680</v>
      </c>
      <c r="M140" s="128" t="b">
        <v>0</v>
      </c>
      <c r="N140" s="122"/>
    </row>
    <row r="141" spans="1:14" ht="15.75">
      <c r="A141" s="121"/>
      <c r="B141" s="121"/>
      <c r="C141" s="121"/>
      <c r="D141" s="126" t="s">
        <v>91</v>
      </c>
      <c r="E141" s="126" t="s">
        <v>2679</v>
      </c>
      <c r="F141" s="126" t="s">
        <v>1930</v>
      </c>
      <c r="G141" s="126" t="s">
        <v>21</v>
      </c>
      <c r="H141" s="127">
        <v>11285</v>
      </c>
      <c r="I141" s="126" t="s">
        <v>2646</v>
      </c>
      <c r="J141" s="174">
        <v>45667</v>
      </c>
      <c r="K141" s="126" t="s">
        <v>2994</v>
      </c>
      <c r="L141" s="126" t="s">
        <v>2680</v>
      </c>
      <c r="M141" s="128" t="b">
        <v>0</v>
      </c>
      <c r="N141" s="122"/>
    </row>
    <row r="142" spans="1:14" ht="15.75">
      <c r="A142" s="121"/>
      <c r="B142" s="121"/>
      <c r="C142" s="121"/>
      <c r="D142" s="126" t="s">
        <v>91</v>
      </c>
      <c r="E142" s="126" t="s">
        <v>2679</v>
      </c>
      <c r="F142" s="126" t="s">
        <v>1829</v>
      </c>
      <c r="G142" s="126" t="s">
        <v>23</v>
      </c>
      <c r="H142" s="127">
        <v>11760</v>
      </c>
      <c r="I142" s="126" t="s">
        <v>2646</v>
      </c>
      <c r="J142" s="174">
        <v>45667</v>
      </c>
      <c r="K142" s="126" t="s">
        <v>2994</v>
      </c>
      <c r="L142" s="126" t="s">
        <v>2680</v>
      </c>
      <c r="M142" s="128" t="b">
        <v>0</v>
      </c>
      <c r="N142" s="122"/>
    </row>
    <row r="143" spans="1:14" ht="15.75">
      <c r="A143" s="121"/>
      <c r="B143" s="121"/>
      <c r="C143" s="121"/>
      <c r="D143" s="126" t="s">
        <v>91</v>
      </c>
      <c r="E143" s="126" t="s">
        <v>2679</v>
      </c>
      <c r="F143" s="126" t="s">
        <v>1810</v>
      </c>
      <c r="G143" s="126" t="s">
        <v>21</v>
      </c>
      <c r="H143" s="127">
        <v>8866</v>
      </c>
      <c r="I143" s="126" t="s">
        <v>2646</v>
      </c>
      <c r="J143" s="174">
        <v>45667</v>
      </c>
      <c r="K143" s="126" t="s">
        <v>2994</v>
      </c>
      <c r="L143" s="126" t="s">
        <v>2680</v>
      </c>
      <c r="M143" s="128" t="b">
        <v>0</v>
      </c>
      <c r="N143" s="122"/>
    </row>
    <row r="144" spans="1:14" ht="15.75">
      <c r="A144" s="121"/>
      <c r="B144" s="121"/>
      <c r="C144" s="121"/>
      <c r="D144" s="126" t="s">
        <v>91</v>
      </c>
      <c r="E144" s="126" t="s">
        <v>2679</v>
      </c>
      <c r="F144" s="126" t="s">
        <v>1842</v>
      </c>
      <c r="G144" s="126" t="s">
        <v>1695</v>
      </c>
      <c r="H144" s="127">
        <v>4872</v>
      </c>
      <c r="I144" s="126" t="s">
        <v>2646</v>
      </c>
      <c r="J144" s="174">
        <v>45667</v>
      </c>
      <c r="K144" s="126" t="s">
        <v>2994</v>
      </c>
      <c r="L144" s="126" t="s">
        <v>2680</v>
      </c>
      <c r="M144" s="128" t="b">
        <v>0</v>
      </c>
      <c r="N144" s="122"/>
    </row>
    <row r="145" spans="1:14" ht="15.75">
      <c r="A145" s="121"/>
      <c r="B145" s="121"/>
      <c r="C145" s="121"/>
      <c r="D145" s="126" t="s">
        <v>91</v>
      </c>
      <c r="E145" s="126" t="s">
        <v>2679</v>
      </c>
      <c r="F145" s="126" t="s">
        <v>1811</v>
      </c>
      <c r="G145" s="126" t="s">
        <v>23</v>
      </c>
      <c r="H145" s="127">
        <v>4939</v>
      </c>
      <c r="I145" s="126" t="s">
        <v>2646</v>
      </c>
      <c r="J145" s="174">
        <v>45667</v>
      </c>
      <c r="K145" s="126" t="s">
        <v>2994</v>
      </c>
      <c r="L145" s="126" t="s">
        <v>2680</v>
      </c>
      <c r="M145" s="128" t="b">
        <v>0</v>
      </c>
      <c r="N145" s="122"/>
    </row>
    <row r="146" spans="1:14" ht="15.75">
      <c r="A146" s="121"/>
      <c r="B146" s="121"/>
      <c r="C146" s="121"/>
      <c r="D146" s="126" t="s">
        <v>91</v>
      </c>
      <c r="E146" s="126" t="s">
        <v>2679</v>
      </c>
      <c r="F146" s="126" t="s">
        <v>2995</v>
      </c>
      <c r="G146" s="126" t="s">
        <v>20</v>
      </c>
      <c r="H146" s="127">
        <v>6174</v>
      </c>
      <c r="I146" s="126" t="s">
        <v>2646</v>
      </c>
      <c r="J146" s="174">
        <v>45667</v>
      </c>
      <c r="K146" s="126" t="s">
        <v>2994</v>
      </c>
      <c r="L146" s="126" t="s">
        <v>2680</v>
      </c>
      <c r="M146" s="128" t="b">
        <v>0</v>
      </c>
      <c r="N146" s="122"/>
    </row>
    <row r="147" spans="1:14" ht="15.75">
      <c r="A147" s="121"/>
      <c r="B147" s="121"/>
      <c r="C147" s="121"/>
      <c r="D147" s="126" t="s">
        <v>91</v>
      </c>
      <c r="E147" s="126" t="s">
        <v>2679</v>
      </c>
      <c r="F147" s="126" t="s">
        <v>1845</v>
      </c>
      <c r="G147" s="126" t="s">
        <v>31</v>
      </c>
      <c r="H147" s="127">
        <v>6300</v>
      </c>
      <c r="I147" s="126" t="s">
        <v>2646</v>
      </c>
      <c r="J147" s="174">
        <v>45667</v>
      </c>
      <c r="K147" s="126" t="s">
        <v>2994</v>
      </c>
      <c r="L147" s="126" t="s">
        <v>2680</v>
      </c>
      <c r="M147" s="128" t="b">
        <v>0</v>
      </c>
      <c r="N147" s="122"/>
    </row>
    <row r="148" spans="1:14" ht="15.75">
      <c r="A148" s="121"/>
      <c r="B148" s="121"/>
      <c r="C148" s="121"/>
      <c r="D148" s="126" t="s">
        <v>120</v>
      </c>
      <c r="E148" s="126" t="s">
        <v>2663</v>
      </c>
      <c r="F148" s="126" t="s">
        <v>1838</v>
      </c>
      <c r="G148" s="126" t="s">
        <v>25</v>
      </c>
      <c r="H148" s="127">
        <v>6050</v>
      </c>
      <c r="I148" s="126" t="s">
        <v>2646</v>
      </c>
      <c r="J148" s="174">
        <v>45667</v>
      </c>
      <c r="K148" s="126" t="s">
        <v>2994</v>
      </c>
      <c r="L148" s="126" t="s">
        <v>2647</v>
      </c>
      <c r="M148" s="128" t="b">
        <v>0</v>
      </c>
      <c r="N148" s="122"/>
    </row>
    <row r="149" spans="1:14" ht="15.75">
      <c r="A149" s="121"/>
      <c r="B149" s="121"/>
      <c r="C149" s="121"/>
      <c r="D149" s="126" t="s">
        <v>120</v>
      </c>
      <c r="E149" s="126" t="s">
        <v>2663</v>
      </c>
      <c r="F149" s="126" t="s">
        <v>2645</v>
      </c>
      <c r="G149" s="126" t="s">
        <v>1902</v>
      </c>
      <c r="H149" s="127">
        <v>6237</v>
      </c>
      <c r="I149" s="126" t="s">
        <v>2646</v>
      </c>
      <c r="J149" s="174">
        <v>45667</v>
      </c>
      <c r="K149" s="126" t="s">
        <v>2994</v>
      </c>
      <c r="L149" s="126" t="s">
        <v>2647</v>
      </c>
      <c r="M149" s="128" t="b">
        <v>0</v>
      </c>
      <c r="N149" s="122"/>
    </row>
    <row r="150" spans="1:14" ht="15.75">
      <c r="A150" s="121"/>
      <c r="B150" s="121"/>
      <c r="C150" s="121"/>
      <c r="D150" s="126" t="s">
        <v>120</v>
      </c>
      <c r="E150" s="126" t="s">
        <v>2663</v>
      </c>
      <c r="F150" s="126" t="s">
        <v>2653</v>
      </c>
      <c r="G150" s="126" t="s">
        <v>20</v>
      </c>
      <c r="H150" s="127">
        <v>6237</v>
      </c>
      <c r="I150" s="126" t="s">
        <v>2646</v>
      </c>
      <c r="J150" s="174">
        <v>45667</v>
      </c>
      <c r="K150" s="126" t="s">
        <v>2994</v>
      </c>
      <c r="L150" s="126" t="s">
        <v>2647</v>
      </c>
      <c r="M150" s="128" t="b">
        <v>0</v>
      </c>
      <c r="N150" s="122"/>
    </row>
    <row r="151" spans="1:14" ht="15.75">
      <c r="A151" s="121"/>
      <c r="B151" s="121"/>
      <c r="C151" s="121"/>
      <c r="D151" s="126" t="s">
        <v>1076</v>
      </c>
      <c r="E151" s="126" t="s">
        <v>2877</v>
      </c>
      <c r="F151" s="126" t="s">
        <v>2653</v>
      </c>
      <c r="G151" s="126" t="s">
        <v>20</v>
      </c>
      <c r="H151" s="127">
        <v>9525</v>
      </c>
      <c r="I151" s="126" t="s">
        <v>2646</v>
      </c>
      <c r="J151" s="174">
        <v>45667</v>
      </c>
      <c r="K151" s="126" t="s">
        <v>2994</v>
      </c>
      <c r="L151" s="126" t="s">
        <v>2656</v>
      </c>
      <c r="M151" s="128" t="b">
        <v>0</v>
      </c>
      <c r="N151" s="122"/>
    </row>
    <row r="152" spans="1:14" ht="15.75">
      <c r="A152" s="121"/>
      <c r="B152" s="121"/>
      <c r="C152" s="121"/>
      <c r="D152" s="126" t="s">
        <v>178</v>
      </c>
      <c r="E152" s="126" t="s">
        <v>2873</v>
      </c>
      <c r="F152" s="126" t="s">
        <v>1820</v>
      </c>
      <c r="G152" s="126" t="s">
        <v>25</v>
      </c>
      <c r="H152" s="127">
        <v>11350</v>
      </c>
      <c r="I152" s="126" t="s">
        <v>2646</v>
      </c>
      <c r="J152" s="174">
        <v>45667</v>
      </c>
      <c r="K152" s="126" t="s">
        <v>2994</v>
      </c>
      <c r="L152" s="126" t="s">
        <v>2643</v>
      </c>
      <c r="M152" s="128" t="b">
        <v>0</v>
      </c>
      <c r="N152" s="122"/>
    </row>
    <row r="153" spans="1:14" ht="15.75">
      <c r="A153" s="121"/>
      <c r="B153" s="121"/>
      <c r="C153" s="121"/>
      <c r="D153" s="126" t="s">
        <v>966</v>
      </c>
      <c r="E153" s="126" t="s">
        <v>2727</v>
      </c>
      <c r="F153" s="126" t="s">
        <v>2653</v>
      </c>
      <c r="G153" s="126" t="s">
        <v>20</v>
      </c>
      <c r="H153" s="127">
        <v>9400</v>
      </c>
      <c r="I153" s="126" t="s">
        <v>2646</v>
      </c>
      <c r="J153" s="174">
        <v>45667</v>
      </c>
      <c r="K153" s="126" t="s">
        <v>2994</v>
      </c>
      <c r="L153" s="126" t="s">
        <v>2643</v>
      </c>
      <c r="M153" s="128" t="b">
        <v>0</v>
      </c>
      <c r="N153" s="122"/>
    </row>
    <row r="154" spans="1:14" ht="15.75">
      <c r="A154" s="121"/>
      <c r="B154" s="121"/>
      <c r="C154" s="121"/>
      <c r="D154" s="126" t="s">
        <v>100</v>
      </c>
      <c r="E154" s="126" t="s">
        <v>2742</v>
      </c>
      <c r="F154" s="126" t="s">
        <v>2142</v>
      </c>
      <c r="G154" s="126" t="s">
        <v>23</v>
      </c>
      <c r="H154" s="127">
        <v>19000</v>
      </c>
      <c r="I154" s="126" t="s">
        <v>2646</v>
      </c>
      <c r="J154" s="174">
        <v>45667</v>
      </c>
      <c r="K154" s="126" t="s">
        <v>2994</v>
      </c>
      <c r="L154" s="126" t="s">
        <v>2643</v>
      </c>
      <c r="M154" s="128" t="b">
        <v>0</v>
      </c>
      <c r="N154" s="122"/>
    </row>
    <row r="155" spans="1:14" ht="15.75">
      <c r="A155" s="121"/>
      <c r="B155" s="121"/>
      <c r="C155" s="121"/>
      <c r="D155" s="126" t="s">
        <v>100</v>
      </c>
      <c r="E155" s="126" t="s">
        <v>2742</v>
      </c>
      <c r="F155" s="126" t="s">
        <v>2653</v>
      </c>
      <c r="G155" s="126" t="s">
        <v>20</v>
      </c>
      <c r="H155" s="127">
        <v>9000</v>
      </c>
      <c r="I155" s="126" t="s">
        <v>2646</v>
      </c>
      <c r="J155" s="174">
        <v>45667</v>
      </c>
      <c r="K155" s="126" t="s">
        <v>2994</v>
      </c>
      <c r="L155" s="126" t="s">
        <v>2643</v>
      </c>
      <c r="M155" s="128" t="b">
        <v>0</v>
      </c>
      <c r="N155" s="122"/>
    </row>
    <row r="156" spans="1:14" ht="15.75">
      <c r="A156" s="121"/>
      <c r="B156" s="121"/>
      <c r="C156" s="121"/>
      <c r="D156" s="126" t="s">
        <v>1951</v>
      </c>
      <c r="E156" s="126" t="s">
        <v>2927</v>
      </c>
      <c r="F156" s="126" t="s">
        <v>2645</v>
      </c>
      <c r="G156" s="126" t="s">
        <v>1902</v>
      </c>
      <c r="H156" s="129">
        <v>11685</v>
      </c>
      <c r="I156" s="126" t="s">
        <v>2646</v>
      </c>
      <c r="J156" s="174">
        <v>45667</v>
      </c>
      <c r="K156" s="126" t="s">
        <v>2994</v>
      </c>
      <c r="L156" s="126" t="s">
        <v>2647</v>
      </c>
      <c r="M156" s="128" t="b">
        <v>0</v>
      </c>
      <c r="N156" s="122"/>
    </row>
    <row r="157" spans="1:14" ht="15.75">
      <c r="A157" s="121"/>
      <c r="B157" s="121"/>
      <c r="C157" s="121"/>
      <c r="D157" s="126" t="s">
        <v>290</v>
      </c>
      <c r="E157" s="126" t="s">
        <v>2884</v>
      </c>
      <c r="F157" s="126" t="s">
        <v>1820</v>
      </c>
      <c r="G157" s="126" t="s">
        <v>25</v>
      </c>
      <c r="H157" s="127">
        <v>7650</v>
      </c>
      <c r="I157" s="126" t="s">
        <v>2646</v>
      </c>
      <c r="J157" s="174">
        <v>45667</v>
      </c>
      <c r="K157" s="126" t="s">
        <v>2994</v>
      </c>
      <c r="L157" s="126" t="s">
        <v>2671</v>
      </c>
      <c r="M157" s="128" t="b">
        <v>0</v>
      </c>
      <c r="N157" s="122"/>
    </row>
    <row r="158" spans="1:14" ht="15.75">
      <c r="A158" s="121"/>
      <c r="B158" s="121"/>
      <c r="C158" s="121"/>
      <c r="D158" s="126" t="s">
        <v>290</v>
      </c>
      <c r="E158" s="126" t="s">
        <v>2884</v>
      </c>
      <c r="F158" s="126" t="s">
        <v>1838</v>
      </c>
      <c r="G158" s="126" t="s">
        <v>25</v>
      </c>
      <c r="H158" s="127">
        <v>5000</v>
      </c>
      <c r="I158" s="126" t="s">
        <v>2646</v>
      </c>
      <c r="J158" s="174">
        <v>45667</v>
      </c>
      <c r="K158" s="126" t="s">
        <v>2994</v>
      </c>
      <c r="L158" s="126" t="s">
        <v>2671</v>
      </c>
      <c r="M158" s="128" t="b">
        <v>0</v>
      </c>
      <c r="N158" s="122"/>
    </row>
    <row r="159" spans="1:14" ht="15.75">
      <c r="A159" s="121"/>
      <c r="B159" s="121"/>
      <c r="C159" s="121"/>
      <c r="D159" s="126" t="s">
        <v>1020</v>
      </c>
      <c r="E159" s="126" t="s">
        <v>2793</v>
      </c>
      <c r="F159" s="126" t="s">
        <v>2112</v>
      </c>
      <c r="G159" s="126" t="s">
        <v>1931</v>
      </c>
      <c r="H159" s="127">
        <v>11900</v>
      </c>
      <c r="I159" s="126" t="s">
        <v>2646</v>
      </c>
      <c r="J159" s="174">
        <v>45667</v>
      </c>
      <c r="K159" s="126" t="s">
        <v>2994</v>
      </c>
      <c r="L159" s="126" t="s">
        <v>2643</v>
      </c>
      <c r="M159" s="128" t="b">
        <v>0</v>
      </c>
      <c r="N159" s="122"/>
    </row>
    <row r="160" spans="1:14" ht="15.75">
      <c r="A160" s="121"/>
      <c r="B160" s="121"/>
      <c r="C160" s="121"/>
      <c r="D160" s="126" t="s">
        <v>1020</v>
      </c>
      <c r="E160" s="126" t="s">
        <v>2793</v>
      </c>
      <c r="F160" s="126" t="s">
        <v>2653</v>
      </c>
      <c r="G160" s="126" t="s">
        <v>20</v>
      </c>
      <c r="H160" s="127">
        <v>8245</v>
      </c>
      <c r="I160" s="126" t="s">
        <v>2646</v>
      </c>
      <c r="J160" s="174">
        <v>45667</v>
      </c>
      <c r="K160" s="126" t="s">
        <v>2994</v>
      </c>
      <c r="L160" s="126" t="s">
        <v>2643</v>
      </c>
      <c r="M160" s="128" t="b">
        <v>0</v>
      </c>
      <c r="N160" s="122"/>
    </row>
    <row r="161" spans="1:14" ht="15.75">
      <c r="A161" s="121"/>
      <c r="B161" s="121"/>
      <c r="C161" s="121"/>
      <c r="D161" s="126" t="s">
        <v>1020</v>
      </c>
      <c r="E161" s="126" t="s">
        <v>2793</v>
      </c>
      <c r="F161" s="126" t="s">
        <v>2620</v>
      </c>
      <c r="G161" s="126" t="s">
        <v>1695</v>
      </c>
      <c r="H161" s="127">
        <v>27413</v>
      </c>
      <c r="I161" s="126" t="s">
        <v>2646</v>
      </c>
      <c r="J161" s="174">
        <v>45667</v>
      </c>
      <c r="K161" s="126" t="s">
        <v>2994</v>
      </c>
      <c r="L161" s="126" t="s">
        <v>2643</v>
      </c>
      <c r="M161" s="128" t="b">
        <v>0</v>
      </c>
      <c r="N161" s="122"/>
    </row>
    <row r="162" spans="1:14" ht="15.75">
      <c r="A162" s="121"/>
      <c r="B162" s="121"/>
      <c r="C162" s="121"/>
      <c r="D162" s="126" t="s">
        <v>1952</v>
      </c>
      <c r="E162" s="126" t="s">
        <v>2941</v>
      </c>
      <c r="F162" s="126" t="s">
        <v>1889</v>
      </c>
      <c r="G162" s="126" t="s">
        <v>21</v>
      </c>
      <c r="H162" s="127">
        <v>24000</v>
      </c>
      <c r="I162" s="126" t="s">
        <v>2642</v>
      </c>
      <c r="J162" s="174">
        <v>45667</v>
      </c>
      <c r="K162" s="126" t="s">
        <v>2994</v>
      </c>
      <c r="L162" s="126" t="s">
        <v>2680</v>
      </c>
      <c r="M162" s="128" t="b">
        <v>0</v>
      </c>
      <c r="N162" s="122"/>
    </row>
    <row r="163" spans="1:14" ht="15.75">
      <c r="A163" s="121"/>
      <c r="B163" s="121"/>
      <c r="C163" s="121"/>
      <c r="D163" s="126" t="s">
        <v>1952</v>
      </c>
      <c r="E163" s="126" t="s">
        <v>2941</v>
      </c>
      <c r="F163" s="126" t="s">
        <v>2074</v>
      </c>
      <c r="G163" s="126" t="s">
        <v>23</v>
      </c>
      <c r="H163" s="127">
        <v>24574</v>
      </c>
      <c r="I163" s="126" t="s">
        <v>2642</v>
      </c>
      <c r="J163" s="174">
        <v>45667</v>
      </c>
      <c r="K163" s="126" t="s">
        <v>2994</v>
      </c>
      <c r="L163" s="126" t="s">
        <v>2680</v>
      </c>
      <c r="M163" s="128" t="b">
        <v>0</v>
      </c>
      <c r="N163" s="122"/>
    </row>
    <row r="164" spans="1:14" ht="15.75">
      <c r="A164" s="121"/>
      <c r="B164" s="121"/>
      <c r="C164" s="121"/>
      <c r="D164" s="126" t="s">
        <v>88</v>
      </c>
      <c r="E164" s="126" t="s">
        <v>2913</v>
      </c>
      <c r="F164" s="126" t="s">
        <v>2217</v>
      </c>
      <c r="G164" s="126" t="s">
        <v>21</v>
      </c>
      <c r="H164" s="127">
        <v>9500</v>
      </c>
      <c r="I164" s="126" t="s">
        <v>2646</v>
      </c>
      <c r="J164" s="174">
        <v>45667</v>
      </c>
      <c r="K164" s="126" t="s">
        <v>2994</v>
      </c>
      <c r="L164" s="126" t="s">
        <v>2671</v>
      </c>
      <c r="M164" s="128" t="b">
        <v>0</v>
      </c>
      <c r="N164" s="122"/>
    </row>
    <row r="165" spans="1:14" ht="15.75">
      <c r="A165" s="121"/>
      <c r="B165" s="121"/>
      <c r="C165" s="121"/>
      <c r="D165" s="126" t="s">
        <v>88</v>
      </c>
      <c r="E165" s="126" t="s">
        <v>2913</v>
      </c>
      <c r="F165" s="126" t="s">
        <v>1900</v>
      </c>
      <c r="G165" s="126" t="s">
        <v>21</v>
      </c>
      <c r="H165" s="127">
        <v>27500</v>
      </c>
      <c r="I165" s="126" t="s">
        <v>2646</v>
      </c>
      <c r="J165" s="174">
        <v>45667</v>
      </c>
      <c r="K165" s="126" t="s">
        <v>2994</v>
      </c>
      <c r="L165" s="126" t="s">
        <v>2671</v>
      </c>
      <c r="M165" s="128" t="b">
        <v>0</v>
      </c>
      <c r="N165" s="122"/>
    </row>
    <row r="166" spans="1:14" ht="15.75">
      <c r="A166" s="121"/>
      <c r="B166" s="121"/>
      <c r="C166" s="121"/>
      <c r="D166" s="126" t="s">
        <v>88</v>
      </c>
      <c r="E166" s="126" t="s">
        <v>2913</v>
      </c>
      <c r="F166" s="126" t="s">
        <v>2618</v>
      </c>
      <c r="G166" s="126" t="s">
        <v>1695</v>
      </c>
      <c r="H166" s="127">
        <v>51000</v>
      </c>
      <c r="I166" s="126" t="s">
        <v>2646</v>
      </c>
      <c r="J166" s="174">
        <v>45667</v>
      </c>
      <c r="K166" s="126" t="s">
        <v>2994</v>
      </c>
      <c r="L166" s="126" t="s">
        <v>2671</v>
      </c>
      <c r="M166" s="128" t="b">
        <v>0</v>
      </c>
      <c r="N166" s="122"/>
    </row>
    <row r="167" spans="1:14" ht="15.75">
      <c r="A167" s="121"/>
      <c r="B167" s="121"/>
      <c r="C167" s="121"/>
      <c r="D167" s="126" t="s">
        <v>88</v>
      </c>
      <c r="E167" s="126" t="s">
        <v>2913</v>
      </c>
      <c r="F167" s="126" t="s">
        <v>2653</v>
      </c>
      <c r="G167" s="126" t="s">
        <v>20</v>
      </c>
      <c r="H167" s="127">
        <v>9000</v>
      </c>
      <c r="I167" s="126" t="s">
        <v>2646</v>
      </c>
      <c r="J167" s="174">
        <v>45667</v>
      </c>
      <c r="K167" s="126" t="s">
        <v>2994</v>
      </c>
      <c r="L167" s="126" t="s">
        <v>2671</v>
      </c>
      <c r="M167" s="128" t="b">
        <v>0</v>
      </c>
      <c r="N167" s="122"/>
    </row>
    <row r="168" spans="1:14" ht="15.75">
      <c r="A168" s="121"/>
      <c r="B168" s="121"/>
      <c r="C168" s="121"/>
      <c r="D168" s="126" t="s">
        <v>88</v>
      </c>
      <c r="E168" s="126" t="s">
        <v>2913</v>
      </c>
      <c r="F168" s="126" t="s">
        <v>2074</v>
      </c>
      <c r="G168" s="126" t="s">
        <v>23</v>
      </c>
      <c r="H168" s="127">
        <v>22500</v>
      </c>
      <c r="I168" s="126" t="s">
        <v>2646</v>
      </c>
      <c r="J168" s="174">
        <v>45667</v>
      </c>
      <c r="K168" s="126" t="s">
        <v>2994</v>
      </c>
      <c r="L168" s="126" t="s">
        <v>2671</v>
      </c>
      <c r="M168" s="128" t="b">
        <v>0</v>
      </c>
      <c r="N168" s="122"/>
    </row>
    <row r="169" spans="1:14" ht="15.75">
      <c r="A169" s="121"/>
      <c r="B169" s="121"/>
      <c r="C169" s="121"/>
      <c r="D169" s="126" t="s">
        <v>1366</v>
      </c>
      <c r="E169" s="126" t="s">
        <v>2892</v>
      </c>
      <c r="F169" s="126" t="s">
        <v>2653</v>
      </c>
      <c r="G169" s="126" t="s">
        <v>20</v>
      </c>
      <c r="H169" s="127">
        <v>11000</v>
      </c>
      <c r="I169" s="126" t="s">
        <v>2646</v>
      </c>
      <c r="J169" s="174">
        <v>45667</v>
      </c>
      <c r="K169" s="126" t="s">
        <v>2994</v>
      </c>
      <c r="L169" s="126" t="s">
        <v>2643</v>
      </c>
      <c r="M169" s="128" t="b">
        <v>0</v>
      </c>
      <c r="N169" s="122"/>
    </row>
    <row r="170" spans="1:14" ht="15.75">
      <c r="A170" s="121"/>
      <c r="B170" s="121"/>
      <c r="C170" s="121"/>
      <c r="D170" s="126" t="s">
        <v>1366</v>
      </c>
      <c r="E170" s="126" t="s">
        <v>2892</v>
      </c>
      <c r="F170" s="126" t="s">
        <v>2623</v>
      </c>
      <c r="G170" s="126" t="s">
        <v>1695</v>
      </c>
      <c r="H170" s="127">
        <v>8780</v>
      </c>
      <c r="I170" s="126" t="s">
        <v>2646</v>
      </c>
      <c r="J170" s="174">
        <v>45667</v>
      </c>
      <c r="K170" s="126" t="s">
        <v>2994</v>
      </c>
      <c r="L170" s="126" t="s">
        <v>2643</v>
      </c>
      <c r="M170" s="128" t="b">
        <v>0</v>
      </c>
      <c r="N170" s="122"/>
    </row>
    <row r="171" spans="1:14" ht="15.75">
      <c r="A171" s="121"/>
      <c r="B171" s="121"/>
      <c r="C171" s="121"/>
      <c r="D171" s="126" t="s">
        <v>1228</v>
      </c>
      <c r="E171" s="126" t="s">
        <v>2735</v>
      </c>
      <c r="F171" s="126" t="s">
        <v>1820</v>
      </c>
      <c r="G171" s="126" t="s">
        <v>25</v>
      </c>
      <c r="H171" s="127">
        <v>4950</v>
      </c>
      <c r="I171" s="126" t="s">
        <v>2646</v>
      </c>
      <c r="J171" s="174">
        <v>45667</v>
      </c>
      <c r="K171" s="126" t="s">
        <v>2994</v>
      </c>
      <c r="L171" s="126" t="s">
        <v>2671</v>
      </c>
      <c r="M171" s="128" t="b">
        <v>0</v>
      </c>
      <c r="N171" s="122"/>
    </row>
    <row r="172" spans="1:14" ht="15.75">
      <c r="A172" s="121"/>
      <c r="B172" s="121"/>
      <c r="C172" s="121"/>
      <c r="D172" s="126" t="s">
        <v>1953</v>
      </c>
      <c r="E172" s="126" t="s">
        <v>2760</v>
      </c>
      <c r="F172" s="126" t="s">
        <v>1843</v>
      </c>
      <c r="G172" s="126" t="s">
        <v>21</v>
      </c>
      <c r="H172" s="127">
        <v>9000</v>
      </c>
      <c r="I172" s="126" t="s">
        <v>2646</v>
      </c>
      <c r="J172" s="174">
        <v>45848</v>
      </c>
      <c r="K172" s="174">
        <v>46183</v>
      </c>
      <c r="L172" s="126" t="s">
        <v>2656</v>
      </c>
      <c r="M172" s="128" t="b">
        <v>0</v>
      </c>
      <c r="N172" s="122"/>
    </row>
    <row r="173" spans="1:14" ht="15.75">
      <c r="A173" s="121"/>
      <c r="B173" s="121"/>
      <c r="C173" s="121"/>
      <c r="D173" s="126" t="s">
        <v>1946</v>
      </c>
      <c r="E173" s="126" t="s">
        <v>2652</v>
      </c>
      <c r="F173" s="126" t="s">
        <v>2653</v>
      </c>
      <c r="G173" s="126" t="s">
        <v>20</v>
      </c>
      <c r="H173" s="127">
        <v>9700</v>
      </c>
      <c r="I173" s="126" t="s">
        <v>2646</v>
      </c>
      <c r="J173" s="174">
        <v>45940</v>
      </c>
      <c r="K173" s="174">
        <v>46275</v>
      </c>
      <c r="L173" s="126" t="s">
        <v>2643</v>
      </c>
      <c r="M173" s="128" t="b">
        <v>0</v>
      </c>
      <c r="N173" s="122"/>
    </row>
    <row r="174" spans="1:14" ht="15.75">
      <c r="A174" s="121"/>
      <c r="B174" s="121"/>
      <c r="C174" s="121"/>
      <c r="D174" s="126" t="s">
        <v>1954</v>
      </c>
      <c r="E174" s="126" t="s">
        <v>2996</v>
      </c>
      <c r="F174" s="126" t="s">
        <v>1815</v>
      </c>
      <c r="G174" s="126" t="s">
        <v>27</v>
      </c>
      <c r="H174" s="127">
        <v>12000</v>
      </c>
      <c r="I174" s="126" t="s">
        <v>1705</v>
      </c>
      <c r="J174" s="126" t="s">
        <v>2997</v>
      </c>
      <c r="K174" s="126" t="s">
        <v>2998</v>
      </c>
      <c r="L174" s="126" t="s">
        <v>2643</v>
      </c>
      <c r="M174" s="128" t="b">
        <v>0</v>
      </c>
      <c r="N174" s="122"/>
    </row>
    <row r="175" spans="1:14" ht="15.75">
      <c r="A175" s="121"/>
      <c r="B175" s="121"/>
      <c r="C175" s="121"/>
      <c r="D175" s="126" t="s">
        <v>1955</v>
      </c>
      <c r="E175" s="126" t="s">
        <v>2696</v>
      </c>
      <c r="F175" s="126" t="s">
        <v>1829</v>
      </c>
      <c r="G175" s="126" t="s">
        <v>23</v>
      </c>
      <c r="H175" s="127">
        <v>21800</v>
      </c>
      <c r="I175" s="126" t="s">
        <v>2642</v>
      </c>
      <c r="J175" s="126" t="s">
        <v>2999</v>
      </c>
      <c r="K175" s="126" t="s">
        <v>3000</v>
      </c>
      <c r="L175" s="126" t="s">
        <v>2671</v>
      </c>
      <c r="M175" s="128" t="b">
        <v>0</v>
      </c>
      <c r="N175" s="122"/>
    </row>
    <row r="176" spans="1:14" ht="15.75">
      <c r="A176" s="121"/>
      <c r="B176" s="121"/>
      <c r="C176" s="121"/>
      <c r="D176" s="126" t="s">
        <v>260</v>
      </c>
      <c r="E176" s="126" t="s">
        <v>2801</v>
      </c>
      <c r="F176" s="126" t="s">
        <v>1864</v>
      </c>
      <c r="G176" s="126" t="s">
        <v>27</v>
      </c>
      <c r="H176" s="127">
        <v>15821</v>
      </c>
      <c r="I176" s="126" t="s">
        <v>2646</v>
      </c>
      <c r="J176" s="126" t="s">
        <v>3001</v>
      </c>
      <c r="K176" s="126" t="s">
        <v>3002</v>
      </c>
      <c r="L176" s="126" t="s">
        <v>2643</v>
      </c>
      <c r="M176" s="128" t="b">
        <v>0</v>
      </c>
      <c r="N176" s="122"/>
    </row>
    <row r="177" spans="1:14" ht="15.75">
      <c r="A177" s="121"/>
      <c r="B177" s="121"/>
      <c r="C177" s="121"/>
      <c r="D177" s="126" t="s">
        <v>260</v>
      </c>
      <c r="E177" s="126" t="s">
        <v>2801</v>
      </c>
      <c r="F177" s="126" t="s">
        <v>2802</v>
      </c>
      <c r="G177" s="126" t="s">
        <v>2803</v>
      </c>
      <c r="H177" s="127">
        <v>15821</v>
      </c>
      <c r="I177" s="126" t="s">
        <v>2646</v>
      </c>
      <c r="J177" s="126" t="s">
        <v>3001</v>
      </c>
      <c r="K177" s="126" t="s">
        <v>3002</v>
      </c>
      <c r="L177" s="126" t="s">
        <v>2643</v>
      </c>
      <c r="M177" s="128" t="b">
        <v>0</v>
      </c>
      <c r="N177" s="122"/>
    </row>
    <row r="178" spans="1:14" ht="15.75">
      <c r="A178" s="121"/>
      <c r="B178" s="121"/>
      <c r="C178" s="121"/>
      <c r="D178" s="126" t="s">
        <v>260</v>
      </c>
      <c r="E178" s="126" t="s">
        <v>2801</v>
      </c>
      <c r="F178" s="126" t="s">
        <v>1829</v>
      </c>
      <c r="G178" s="126" t="s">
        <v>23</v>
      </c>
      <c r="H178" s="127">
        <v>15821</v>
      </c>
      <c r="I178" s="126" t="s">
        <v>2646</v>
      </c>
      <c r="J178" s="126" t="s">
        <v>3001</v>
      </c>
      <c r="K178" s="126" t="s">
        <v>3002</v>
      </c>
      <c r="L178" s="126" t="s">
        <v>2643</v>
      </c>
      <c r="M178" s="128" t="b">
        <v>0</v>
      </c>
      <c r="N178" s="122"/>
    </row>
    <row r="179" spans="1:14" ht="15.75">
      <c r="A179" s="121"/>
      <c r="B179" s="121"/>
      <c r="C179" s="121"/>
      <c r="D179" s="126" t="s">
        <v>347</v>
      </c>
      <c r="E179" s="126" t="s">
        <v>3003</v>
      </c>
      <c r="F179" s="126" t="s">
        <v>2970</v>
      </c>
      <c r="G179" s="126" t="s">
        <v>20</v>
      </c>
      <c r="H179" s="127">
        <v>870</v>
      </c>
      <c r="I179" s="126" t="s">
        <v>2646</v>
      </c>
      <c r="J179" s="174">
        <v>45668</v>
      </c>
      <c r="K179" s="126" t="s">
        <v>3004</v>
      </c>
      <c r="L179" s="126" t="s">
        <v>2656</v>
      </c>
      <c r="M179" s="128" t="b">
        <v>0</v>
      </c>
      <c r="N179" s="122"/>
    </row>
    <row r="180" spans="1:14" ht="15.75">
      <c r="A180" s="121"/>
      <c r="B180" s="121"/>
      <c r="C180" s="121"/>
      <c r="D180" s="126" t="s">
        <v>1956</v>
      </c>
      <c r="E180" s="126" t="s">
        <v>2790</v>
      </c>
      <c r="F180" s="126" t="s">
        <v>1817</v>
      </c>
      <c r="G180" s="126" t="s">
        <v>35</v>
      </c>
      <c r="H180" s="127">
        <v>13500</v>
      </c>
      <c r="I180" s="126" t="s">
        <v>2646</v>
      </c>
      <c r="J180" s="174">
        <v>45668</v>
      </c>
      <c r="K180" s="126" t="s">
        <v>3004</v>
      </c>
      <c r="L180" s="126" t="s">
        <v>2671</v>
      </c>
      <c r="M180" s="128" t="b">
        <v>0</v>
      </c>
      <c r="N180" s="122"/>
    </row>
    <row r="181" spans="1:14" ht="15.75">
      <c r="A181" s="121"/>
      <c r="B181" s="121"/>
      <c r="C181" s="121"/>
      <c r="D181" s="126" t="s">
        <v>1955</v>
      </c>
      <c r="E181" s="126" t="s">
        <v>2697</v>
      </c>
      <c r="F181" s="126" t="s">
        <v>2653</v>
      </c>
      <c r="G181" s="126" t="s">
        <v>20</v>
      </c>
      <c r="H181" s="127">
        <v>7400</v>
      </c>
      <c r="I181" s="126" t="s">
        <v>2646</v>
      </c>
      <c r="J181" s="174">
        <v>45668</v>
      </c>
      <c r="K181" s="126" t="s">
        <v>3004</v>
      </c>
      <c r="L181" s="126" t="s">
        <v>2671</v>
      </c>
      <c r="M181" s="128" t="b">
        <v>0</v>
      </c>
      <c r="N181" s="122"/>
    </row>
    <row r="182" spans="1:14" ht="15.75">
      <c r="A182" s="121"/>
      <c r="B182" s="121"/>
      <c r="C182" s="121"/>
      <c r="D182" s="126" t="s">
        <v>1955</v>
      </c>
      <c r="E182" s="126" t="s">
        <v>2697</v>
      </c>
      <c r="F182" s="126" t="s">
        <v>1904</v>
      </c>
      <c r="G182" s="126" t="s">
        <v>25</v>
      </c>
      <c r="H182" s="127">
        <v>24100</v>
      </c>
      <c r="I182" s="126" t="s">
        <v>2646</v>
      </c>
      <c r="J182" s="174">
        <v>45668</v>
      </c>
      <c r="K182" s="126" t="s">
        <v>3004</v>
      </c>
      <c r="L182" s="126" t="s">
        <v>2671</v>
      </c>
      <c r="M182" s="128" t="b">
        <v>0</v>
      </c>
      <c r="N182" s="122"/>
    </row>
    <row r="183" spans="1:14" ht="15.75">
      <c r="A183" s="121"/>
      <c r="B183" s="121"/>
      <c r="C183" s="121"/>
      <c r="D183" s="126" t="s">
        <v>1955</v>
      </c>
      <c r="E183" s="126" t="s">
        <v>2697</v>
      </c>
      <c r="F183" s="126" t="s">
        <v>1815</v>
      </c>
      <c r="G183" s="126" t="s">
        <v>27</v>
      </c>
      <c r="H183" s="127">
        <v>8920</v>
      </c>
      <c r="I183" s="126" t="s">
        <v>2646</v>
      </c>
      <c r="J183" s="174">
        <v>45668</v>
      </c>
      <c r="K183" s="126" t="s">
        <v>3004</v>
      </c>
      <c r="L183" s="126" t="s">
        <v>2671</v>
      </c>
      <c r="M183" s="128" t="b">
        <v>0</v>
      </c>
      <c r="N183" s="122"/>
    </row>
    <row r="184" spans="1:14" ht="15.75">
      <c r="A184" s="121"/>
      <c r="B184" s="121"/>
      <c r="C184" s="121"/>
      <c r="D184" s="126" t="s">
        <v>1957</v>
      </c>
      <c r="E184" s="126" t="s">
        <v>2694</v>
      </c>
      <c r="F184" s="126" t="s">
        <v>1843</v>
      </c>
      <c r="G184" s="126" t="s">
        <v>21</v>
      </c>
      <c r="H184" s="127">
        <v>9880</v>
      </c>
      <c r="I184" s="126" t="s">
        <v>2642</v>
      </c>
      <c r="J184" s="174">
        <v>45668</v>
      </c>
      <c r="K184" s="126" t="s">
        <v>3004</v>
      </c>
      <c r="L184" s="126" t="s">
        <v>2671</v>
      </c>
      <c r="M184" s="128" t="b">
        <v>0</v>
      </c>
      <c r="N184" s="122"/>
    </row>
    <row r="185" spans="1:14" ht="15.75">
      <c r="A185" s="121"/>
      <c r="B185" s="121"/>
      <c r="C185" s="121"/>
      <c r="D185" s="126" t="s">
        <v>1958</v>
      </c>
      <c r="E185" s="126" t="s">
        <v>2762</v>
      </c>
      <c r="F185" s="126" t="s">
        <v>2645</v>
      </c>
      <c r="G185" s="126" t="s">
        <v>1902</v>
      </c>
      <c r="H185" s="129">
        <v>11125</v>
      </c>
      <c r="I185" s="126" t="s">
        <v>2646</v>
      </c>
      <c r="J185" s="174">
        <v>45668</v>
      </c>
      <c r="K185" s="126" t="s">
        <v>3004</v>
      </c>
      <c r="L185" s="126" t="s">
        <v>2647</v>
      </c>
      <c r="M185" s="128" t="b">
        <v>0</v>
      </c>
      <c r="N185" s="122"/>
    </row>
    <row r="186" spans="1:14" ht="15.75">
      <c r="A186" s="121"/>
      <c r="B186" s="121"/>
      <c r="C186" s="121"/>
      <c r="D186" s="126" t="s">
        <v>820</v>
      </c>
      <c r="E186" s="126" t="s">
        <v>2657</v>
      </c>
      <c r="F186" s="126" t="s">
        <v>2653</v>
      </c>
      <c r="G186" s="126" t="s">
        <v>20</v>
      </c>
      <c r="H186" s="127">
        <v>3938</v>
      </c>
      <c r="I186" s="126" t="s">
        <v>2646</v>
      </c>
      <c r="J186" s="174">
        <v>45667</v>
      </c>
      <c r="K186" s="126" t="s">
        <v>3004</v>
      </c>
      <c r="L186" s="126" t="s">
        <v>2656</v>
      </c>
      <c r="M186" s="128" t="b">
        <v>0</v>
      </c>
      <c r="N186" s="122"/>
    </row>
    <row r="187" spans="1:14" ht="15.75">
      <c r="A187" s="121"/>
      <c r="B187" s="121"/>
      <c r="C187" s="121"/>
      <c r="D187" s="126" t="s">
        <v>361</v>
      </c>
      <c r="E187" s="126" t="s">
        <v>2753</v>
      </c>
      <c r="F187" s="126" t="s">
        <v>2645</v>
      </c>
      <c r="G187" s="126" t="s">
        <v>1902</v>
      </c>
      <c r="H187" s="129">
        <v>11780</v>
      </c>
      <c r="I187" s="126" t="s">
        <v>2646</v>
      </c>
      <c r="J187" s="174">
        <v>45668</v>
      </c>
      <c r="K187" s="126" t="s">
        <v>3004</v>
      </c>
      <c r="L187" s="126" t="s">
        <v>2647</v>
      </c>
      <c r="M187" s="128" t="b">
        <v>0</v>
      </c>
      <c r="N187" s="122"/>
    </row>
    <row r="188" spans="1:14" ht="15.75">
      <c r="A188" s="121"/>
      <c r="B188" s="121"/>
      <c r="C188" s="121"/>
      <c r="D188" s="126" t="s">
        <v>361</v>
      </c>
      <c r="E188" s="126" t="s">
        <v>2753</v>
      </c>
      <c r="F188" s="126" t="s">
        <v>2653</v>
      </c>
      <c r="G188" s="126" t="s">
        <v>20</v>
      </c>
      <c r="H188" s="129">
        <v>10450</v>
      </c>
      <c r="I188" s="126" t="s">
        <v>2646</v>
      </c>
      <c r="J188" s="174">
        <v>45668</v>
      </c>
      <c r="K188" s="126" t="s">
        <v>3004</v>
      </c>
      <c r="L188" s="126" t="s">
        <v>2647</v>
      </c>
      <c r="M188" s="128" t="b">
        <v>0</v>
      </c>
      <c r="N188" s="122"/>
    </row>
    <row r="189" spans="1:14" ht="15.75">
      <c r="A189" s="121"/>
      <c r="B189" s="121"/>
      <c r="C189" s="121"/>
      <c r="D189" s="126" t="s">
        <v>1959</v>
      </c>
      <c r="E189" s="126" t="s">
        <v>2906</v>
      </c>
      <c r="F189" s="126" t="s">
        <v>2624</v>
      </c>
      <c r="G189" s="126" t="s">
        <v>27</v>
      </c>
      <c r="H189" s="127">
        <v>14125</v>
      </c>
      <c r="I189" s="126" t="s">
        <v>2642</v>
      </c>
      <c r="J189" s="174">
        <v>45668</v>
      </c>
      <c r="K189" s="126" t="s">
        <v>3004</v>
      </c>
      <c r="L189" s="126" t="s">
        <v>2671</v>
      </c>
      <c r="M189" s="128" t="b">
        <v>0</v>
      </c>
      <c r="N189" s="122"/>
    </row>
    <row r="190" spans="1:14" ht="15.75">
      <c r="A190" s="121"/>
      <c r="B190" s="121"/>
      <c r="C190" s="121"/>
      <c r="D190" s="126" t="s">
        <v>1956</v>
      </c>
      <c r="E190" s="126" t="s">
        <v>2791</v>
      </c>
      <c r="F190" s="126" t="s">
        <v>1817</v>
      </c>
      <c r="G190" s="126" t="s">
        <v>35</v>
      </c>
      <c r="H190" s="127">
        <v>6000</v>
      </c>
      <c r="I190" s="126" t="s">
        <v>2646</v>
      </c>
      <c r="J190" s="174">
        <v>46115</v>
      </c>
      <c r="K190" s="174">
        <v>46092</v>
      </c>
      <c r="L190" s="126" t="s">
        <v>2671</v>
      </c>
      <c r="M190" s="128" t="b">
        <v>0</v>
      </c>
      <c r="N190" s="122"/>
    </row>
    <row r="191" spans="1:14" ht="15.75">
      <c r="A191" s="121"/>
      <c r="B191" s="121"/>
      <c r="C191" s="121"/>
      <c r="D191" s="126" t="s">
        <v>1115</v>
      </c>
      <c r="E191" s="126" t="s">
        <v>2644</v>
      </c>
      <c r="F191" s="126" t="s">
        <v>2645</v>
      </c>
      <c r="G191" s="126" t="s">
        <v>1902</v>
      </c>
      <c r="H191" s="127">
        <v>5500</v>
      </c>
      <c r="I191" s="126" t="s">
        <v>2646</v>
      </c>
      <c r="J191" s="174">
        <v>45911</v>
      </c>
      <c r="K191" s="174">
        <v>46245</v>
      </c>
      <c r="L191" s="126" t="s">
        <v>2647</v>
      </c>
      <c r="M191" s="128" t="b">
        <v>0</v>
      </c>
      <c r="N191" s="122"/>
    </row>
    <row r="192" spans="1:14" ht="15.75">
      <c r="A192" s="121"/>
      <c r="B192" s="121"/>
      <c r="C192" s="121"/>
      <c r="D192" s="126" t="s">
        <v>1115</v>
      </c>
      <c r="E192" s="126" t="s">
        <v>2644</v>
      </c>
      <c r="F192" s="126" t="s">
        <v>1838</v>
      </c>
      <c r="G192" s="126" t="s">
        <v>25</v>
      </c>
      <c r="H192" s="127">
        <v>5940</v>
      </c>
      <c r="I192" s="126" t="s">
        <v>2646</v>
      </c>
      <c r="J192" s="174">
        <v>45911</v>
      </c>
      <c r="K192" s="174">
        <v>46245</v>
      </c>
      <c r="L192" s="126" t="s">
        <v>2647</v>
      </c>
      <c r="M192" s="128" t="b">
        <v>0</v>
      </c>
      <c r="N192" s="122"/>
    </row>
    <row r="193" spans="1:14" ht="15.75">
      <c r="A193" s="121"/>
      <c r="B193" s="121"/>
      <c r="C193" s="121"/>
      <c r="D193" s="126" t="s">
        <v>1115</v>
      </c>
      <c r="E193" s="126" t="s">
        <v>2644</v>
      </c>
      <c r="F193" s="126" t="s">
        <v>1826</v>
      </c>
      <c r="G193" s="126" t="s">
        <v>25</v>
      </c>
      <c r="H193" s="127">
        <v>7420</v>
      </c>
      <c r="I193" s="126" t="s">
        <v>2646</v>
      </c>
      <c r="J193" s="174">
        <v>45911</v>
      </c>
      <c r="K193" s="174">
        <v>46245</v>
      </c>
      <c r="L193" s="126" t="s">
        <v>2647</v>
      </c>
      <c r="M193" s="128" t="b">
        <v>0</v>
      </c>
      <c r="N193" s="122"/>
    </row>
    <row r="194" spans="1:14" ht="15.75">
      <c r="A194" s="121"/>
      <c r="B194" s="121"/>
      <c r="C194" s="121"/>
      <c r="D194" s="126" t="s">
        <v>522</v>
      </c>
      <c r="E194" s="126" t="s">
        <v>2750</v>
      </c>
      <c r="F194" s="126" t="s">
        <v>2645</v>
      </c>
      <c r="G194" s="126" t="s">
        <v>1902</v>
      </c>
      <c r="H194" s="129">
        <v>12900</v>
      </c>
      <c r="I194" s="126" t="s">
        <v>2646</v>
      </c>
      <c r="J194" s="126" t="s">
        <v>3005</v>
      </c>
      <c r="K194" s="126" t="s">
        <v>3006</v>
      </c>
      <c r="L194" s="126" t="s">
        <v>2647</v>
      </c>
      <c r="M194" s="128" t="b">
        <v>0</v>
      </c>
      <c r="N194" s="122"/>
    </row>
    <row r="195" spans="1:14" ht="15.75">
      <c r="A195" s="121"/>
      <c r="B195" s="121"/>
      <c r="C195" s="121"/>
      <c r="D195" s="126" t="s">
        <v>1960</v>
      </c>
      <c r="E195" s="126" t="s">
        <v>2916</v>
      </c>
      <c r="F195" s="126" t="s">
        <v>2653</v>
      </c>
      <c r="G195" s="126" t="s">
        <v>20</v>
      </c>
      <c r="H195" s="127">
        <v>9000</v>
      </c>
      <c r="I195" s="126" t="s">
        <v>2646</v>
      </c>
      <c r="J195" s="126" t="s">
        <v>3005</v>
      </c>
      <c r="K195" s="126" t="s">
        <v>3006</v>
      </c>
      <c r="L195" s="126" t="s">
        <v>2647</v>
      </c>
      <c r="M195" s="128" t="b">
        <v>0</v>
      </c>
      <c r="N195" s="122"/>
    </row>
    <row r="196" spans="1:14" ht="15.75">
      <c r="A196" s="121"/>
      <c r="B196" s="121"/>
      <c r="C196" s="121"/>
      <c r="D196" s="126" t="s">
        <v>1960</v>
      </c>
      <c r="E196" s="126" t="s">
        <v>2916</v>
      </c>
      <c r="F196" s="126" t="s">
        <v>2645</v>
      </c>
      <c r="G196" s="126" t="s">
        <v>1902</v>
      </c>
      <c r="H196" s="127">
        <v>16610</v>
      </c>
      <c r="I196" s="126" t="s">
        <v>2646</v>
      </c>
      <c r="J196" s="126" t="s">
        <v>3005</v>
      </c>
      <c r="K196" s="126" t="s">
        <v>3006</v>
      </c>
      <c r="L196" s="126" t="s">
        <v>2647</v>
      </c>
      <c r="M196" s="128" t="b">
        <v>0</v>
      </c>
      <c r="N196" s="122"/>
    </row>
    <row r="197" spans="1:14" ht="15.75">
      <c r="A197" s="121"/>
      <c r="B197" s="121"/>
      <c r="C197" s="121"/>
      <c r="D197" s="126" t="s">
        <v>1154</v>
      </c>
      <c r="E197" s="126" t="s">
        <v>2674</v>
      </c>
      <c r="F197" s="126" t="s">
        <v>2653</v>
      </c>
      <c r="G197" s="126" t="s">
        <v>20</v>
      </c>
      <c r="H197" s="127">
        <v>4613</v>
      </c>
      <c r="I197" s="126" t="s">
        <v>2646</v>
      </c>
      <c r="J197" s="126" t="s">
        <v>3007</v>
      </c>
      <c r="K197" s="126" t="s">
        <v>3008</v>
      </c>
      <c r="L197" s="126" t="s">
        <v>2656</v>
      </c>
      <c r="M197" s="128" t="b">
        <v>0</v>
      </c>
      <c r="N197" s="122"/>
    </row>
    <row r="198" spans="1:14" ht="15.75">
      <c r="A198" s="121"/>
      <c r="B198" s="121"/>
      <c r="C198" s="121"/>
      <c r="D198" s="126" t="s">
        <v>1961</v>
      </c>
      <c r="E198" s="126" t="s">
        <v>2903</v>
      </c>
      <c r="F198" s="126" t="s">
        <v>2624</v>
      </c>
      <c r="G198" s="126" t="s">
        <v>27</v>
      </c>
      <c r="H198" s="127">
        <v>15000</v>
      </c>
      <c r="I198" s="126" t="s">
        <v>1705</v>
      </c>
      <c r="J198" s="126" t="s">
        <v>3007</v>
      </c>
      <c r="K198" s="126" t="s">
        <v>3008</v>
      </c>
      <c r="L198" s="126" t="s">
        <v>2671</v>
      </c>
      <c r="M198" s="128" t="b">
        <v>0</v>
      </c>
      <c r="N198" s="122"/>
    </row>
    <row r="199" spans="1:14" ht="15.75">
      <c r="A199" s="121"/>
      <c r="B199" s="121"/>
      <c r="C199" s="121"/>
      <c r="D199" s="126" t="s">
        <v>923</v>
      </c>
      <c r="E199" s="126" t="s">
        <v>2660</v>
      </c>
      <c r="F199" s="126" t="s">
        <v>2653</v>
      </c>
      <c r="G199" s="126" t="s">
        <v>20</v>
      </c>
      <c r="H199" s="127">
        <v>3150</v>
      </c>
      <c r="I199" s="126" t="s">
        <v>1705</v>
      </c>
      <c r="J199" s="174">
        <v>45669</v>
      </c>
      <c r="K199" s="126" t="s">
        <v>3009</v>
      </c>
      <c r="L199" s="126" t="s">
        <v>2656</v>
      </c>
      <c r="M199" s="128" t="b">
        <v>0</v>
      </c>
      <c r="N199" s="122"/>
    </row>
    <row r="200" spans="1:14" ht="15.75">
      <c r="A200" s="121"/>
      <c r="B200" s="121"/>
      <c r="C200" s="121"/>
      <c r="D200" s="126" t="s">
        <v>178</v>
      </c>
      <c r="E200" s="126" t="s">
        <v>2874</v>
      </c>
      <c r="F200" s="126" t="s">
        <v>2624</v>
      </c>
      <c r="G200" s="126" t="s">
        <v>27</v>
      </c>
      <c r="H200" s="127">
        <v>10500</v>
      </c>
      <c r="I200" s="126" t="s">
        <v>2646</v>
      </c>
      <c r="J200" s="174">
        <v>45669</v>
      </c>
      <c r="K200" s="126" t="s">
        <v>3009</v>
      </c>
      <c r="L200" s="126" t="s">
        <v>2643</v>
      </c>
      <c r="M200" s="128" t="b">
        <v>0</v>
      </c>
      <c r="N200" s="122"/>
    </row>
    <row r="201" spans="1:14" ht="15.75">
      <c r="A201" s="121"/>
      <c r="B201" s="121"/>
      <c r="C201" s="121"/>
      <c r="D201" s="126" t="s">
        <v>298</v>
      </c>
      <c r="E201" s="126" t="s">
        <v>2898</v>
      </c>
      <c r="F201" s="126" t="s">
        <v>1820</v>
      </c>
      <c r="G201" s="126" t="s">
        <v>25</v>
      </c>
      <c r="H201" s="127">
        <v>9750</v>
      </c>
      <c r="I201" s="126" t="s">
        <v>2646</v>
      </c>
      <c r="J201" s="174">
        <v>45669</v>
      </c>
      <c r="K201" s="126" t="s">
        <v>3009</v>
      </c>
      <c r="L201" s="126" t="s">
        <v>2671</v>
      </c>
      <c r="M201" s="128" t="b">
        <v>0</v>
      </c>
      <c r="N201" s="122"/>
    </row>
    <row r="202" spans="1:14" ht="15.75">
      <c r="A202" s="121"/>
      <c r="B202" s="121"/>
      <c r="C202" s="121"/>
      <c r="D202" s="126" t="s">
        <v>972</v>
      </c>
      <c r="E202" s="126" t="s">
        <v>2741</v>
      </c>
      <c r="F202" s="126" t="s">
        <v>2653</v>
      </c>
      <c r="G202" s="126" t="s">
        <v>20</v>
      </c>
      <c r="H202" s="127">
        <v>4720</v>
      </c>
      <c r="I202" s="126" t="s">
        <v>2646</v>
      </c>
      <c r="J202" s="174">
        <v>45669</v>
      </c>
      <c r="K202" s="126" t="s">
        <v>3009</v>
      </c>
      <c r="L202" s="126" t="s">
        <v>2656</v>
      </c>
      <c r="M202" s="128" t="b">
        <v>0</v>
      </c>
      <c r="N202" s="122"/>
    </row>
    <row r="203" spans="1:14" ht="15.75">
      <c r="A203" s="121"/>
      <c r="B203" s="121"/>
      <c r="C203" s="121"/>
      <c r="D203" s="126" t="s">
        <v>1962</v>
      </c>
      <c r="E203" s="126" t="s">
        <v>2905</v>
      </c>
      <c r="F203" s="126" t="s">
        <v>2074</v>
      </c>
      <c r="G203" s="126" t="s">
        <v>23</v>
      </c>
      <c r="H203" s="127">
        <v>16200</v>
      </c>
      <c r="I203" s="126" t="s">
        <v>2646</v>
      </c>
      <c r="J203" s="174">
        <v>45669</v>
      </c>
      <c r="K203" s="126" t="s">
        <v>3009</v>
      </c>
      <c r="L203" s="126" t="s">
        <v>2680</v>
      </c>
      <c r="M203" s="128" t="b">
        <v>0</v>
      </c>
      <c r="N203" s="122"/>
    </row>
    <row r="204" spans="1:14" ht="15.75">
      <c r="A204" s="121"/>
      <c r="B204" s="121"/>
      <c r="C204" s="121"/>
      <c r="D204" s="126" t="s">
        <v>1962</v>
      </c>
      <c r="E204" s="126" t="s">
        <v>2905</v>
      </c>
      <c r="F204" s="126" t="s">
        <v>2653</v>
      </c>
      <c r="G204" s="126" t="s">
        <v>20</v>
      </c>
      <c r="H204" s="127">
        <v>4500</v>
      </c>
      <c r="I204" s="126" t="s">
        <v>2646</v>
      </c>
      <c r="J204" s="174">
        <v>45669</v>
      </c>
      <c r="K204" s="126" t="s">
        <v>3009</v>
      </c>
      <c r="L204" s="126" t="s">
        <v>2680</v>
      </c>
      <c r="M204" s="128" t="b">
        <v>0</v>
      </c>
      <c r="N204" s="122"/>
    </row>
    <row r="205" spans="1:14" ht="15.75">
      <c r="A205" s="121"/>
      <c r="B205" s="121"/>
      <c r="C205" s="121"/>
      <c r="D205" s="126" t="s">
        <v>1962</v>
      </c>
      <c r="E205" s="126" t="s">
        <v>2905</v>
      </c>
      <c r="F205" s="126" t="s">
        <v>1918</v>
      </c>
      <c r="G205" s="126" t="s">
        <v>25</v>
      </c>
      <c r="H205" s="127">
        <v>18450</v>
      </c>
      <c r="I205" s="126" t="s">
        <v>2646</v>
      </c>
      <c r="J205" s="174">
        <v>45669</v>
      </c>
      <c r="K205" s="126" t="s">
        <v>3009</v>
      </c>
      <c r="L205" s="126" t="s">
        <v>2680</v>
      </c>
      <c r="M205" s="128" t="b">
        <v>0</v>
      </c>
      <c r="N205" s="122"/>
    </row>
    <row r="206" spans="1:14" ht="15.75">
      <c r="A206" s="121"/>
      <c r="B206" s="121"/>
      <c r="C206" s="121"/>
      <c r="D206" s="126" t="s">
        <v>1963</v>
      </c>
      <c r="E206" s="126" t="s">
        <v>2866</v>
      </c>
      <c r="F206" s="126" t="s">
        <v>1907</v>
      </c>
      <c r="G206" s="126" t="s">
        <v>21</v>
      </c>
      <c r="H206" s="127">
        <v>12450</v>
      </c>
      <c r="I206" s="126" t="s">
        <v>2642</v>
      </c>
      <c r="J206" s="174">
        <v>45669</v>
      </c>
      <c r="K206" s="126" t="s">
        <v>3009</v>
      </c>
      <c r="L206" s="126" t="s">
        <v>2680</v>
      </c>
      <c r="M206" s="128" t="b">
        <v>0</v>
      </c>
      <c r="N206" s="122"/>
    </row>
    <row r="207" spans="1:14" ht="15.75">
      <c r="A207" s="121"/>
      <c r="B207" s="121"/>
      <c r="C207" s="121"/>
      <c r="D207" s="126" t="s">
        <v>193</v>
      </c>
      <c r="E207" s="126" t="s">
        <v>2662</v>
      </c>
      <c r="F207" s="126" t="s">
        <v>1817</v>
      </c>
      <c r="G207" s="126" t="s">
        <v>35</v>
      </c>
      <c r="H207" s="127">
        <v>21500</v>
      </c>
      <c r="I207" s="126" t="s">
        <v>2655</v>
      </c>
      <c r="J207" s="174">
        <v>45669</v>
      </c>
      <c r="K207" s="126" t="s">
        <v>3009</v>
      </c>
      <c r="L207" s="126" t="s">
        <v>2643</v>
      </c>
      <c r="M207" s="128" t="b">
        <v>0</v>
      </c>
      <c r="N207" s="122"/>
    </row>
    <row r="208" spans="1:14" ht="15.75">
      <c r="A208" s="121"/>
      <c r="B208" s="121"/>
      <c r="C208" s="121"/>
      <c r="D208" s="126" t="s">
        <v>166</v>
      </c>
      <c r="E208" s="126" t="s">
        <v>2798</v>
      </c>
      <c r="F208" s="126" t="s">
        <v>2653</v>
      </c>
      <c r="G208" s="126" t="s">
        <v>20</v>
      </c>
      <c r="H208" s="127">
        <v>10500</v>
      </c>
      <c r="I208" s="126" t="s">
        <v>2646</v>
      </c>
      <c r="J208" s="174">
        <v>45728</v>
      </c>
      <c r="K208" s="174">
        <v>46065</v>
      </c>
      <c r="L208" s="126" t="s">
        <v>2643</v>
      </c>
      <c r="M208" s="128" t="b">
        <v>0</v>
      </c>
      <c r="N208" s="122"/>
    </row>
    <row r="209" spans="1:14" ht="15.75">
      <c r="A209" s="121"/>
      <c r="B209" s="121"/>
      <c r="C209" s="121"/>
      <c r="D209" s="126" t="s">
        <v>1964</v>
      </c>
      <c r="E209" s="126" t="s">
        <v>2779</v>
      </c>
      <c r="F209" s="126" t="s">
        <v>1817</v>
      </c>
      <c r="G209" s="126" t="s">
        <v>35</v>
      </c>
      <c r="H209" s="127">
        <v>26000</v>
      </c>
      <c r="I209" s="126" t="s">
        <v>2646</v>
      </c>
      <c r="J209" s="174">
        <v>45789</v>
      </c>
      <c r="K209" s="174">
        <v>46124</v>
      </c>
      <c r="L209" s="126" t="s">
        <v>2643</v>
      </c>
      <c r="M209" s="128" t="b">
        <v>0</v>
      </c>
      <c r="N209" s="122"/>
    </row>
    <row r="210" spans="1:14" ht="15.75">
      <c r="A210" s="121"/>
      <c r="B210" s="121"/>
      <c r="C210" s="121"/>
      <c r="D210" s="126" t="s">
        <v>1964</v>
      </c>
      <c r="E210" s="126" t="s">
        <v>2779</v>
      </c>
      <c r="F210" s="126" t="s">
        <v>2653</v>
      </c>
      <c r="G210" s="126" t="s">
        <v>20</v>
      </c>
      <c r="H210" s="127">
        <v>2860</v>
      </c>
      <c r="I210" s="126" t="s">
        <v>2646</v>
      </c>
      <c r="J210" s="174">
        <v>45789</v>
      </c>
      <c r="K210" s="174">
        <v>46124</v>
      </c>
      <c r="L210" s="126" t="s">
        <v>2643</v>
      </c>
      <c r="M210" s="128" t="b">
        <v>0</v>
      </c>
      <c r="N210" s="122"/>
    </row>
    <row r="211" spans="1:14" ht="15.75">
      <c r="A211" s="121"/>
      <c r="B211" s="121"/>
      <c r="C211" s="121"/>
      <c r="D211" s="126" t="s">
        <v>1965</v>
      </c>
      <c r="E211" s="126" t="s">
        <v>2815</v>
      </c>
      <c r="F211" s="126" t="s">
        <v>2653</v>
      </c>
      <c r="G211" s="126" t="s">
        <v>20</v>
      </c>
      <c r="H211" s="127">
        <v>7071</v>
      </c>
      <c r="I211" s="126" t="s">
        <v>2646</v>
      </c>
      <c r="J211" s="174">
        <v>45881</v>
      </c>
      <c r="K211" s="174">
        <v>46215</v>
      </c>
      <c r="L211" s="126" t="s">
        <v>2656</v>
      </c>
      <c r="M211" s="128" t="b">
        <v>0</v>
      </c>
      <c r="N211" s="122"/>
    </row>
    <row r="212" spans="1:14" ht="15.75">
      <c r="A212" s="121"/>
      <c r="B212" s="121"/>
      <c r="C212" s="121"/>
      <c r="D212" s="126" t="s">
        <v>1966</v>
      </c>
      <c r="E212" s="126" t="s">
        <v>2703</v>
      </c>
      <c r="F212" s="126" t="s">
        <v>2645</v>
      </c>
      <c r="G212" s="126" t="s">
        <v>1902</v>
      </c>
      <c r="H212" s="129">
        <v>6325</v>
      </c>
      <c r="I212" s="126" t="s">
        <v>2646</v>
      </c>
      <c r="J212" s="174">
        <v>46003</v>
      </c>
      <c r="K212" s="174">
        <v>46338</v>
      </c>
      <c r="L212" s="126" t="s">
        <v>2647</v>
      </c>
      <c r="M212" s="128" t="b">
        <v>0</v>
      </c>
      <c r="N212" s="122"/>
    </row>
    <row r="213" spans="1:14" ht="15.75">
      <c r="A213" s="121"/>
      <c r="B213" s="121"/>
      <c r="C213" s="121"/>
      <c r="D213" s="126" t="s">
        <v>1966</v>
      </c>
      <c r="E213" s="126" t="s">
        <v>2703</v>
      </c>
      <c r="F213" s="126" t="s">
        <v>2653</v>
      </c>
      <c r="G213" s="126" t="s">
        <v>20</v>
      </c>
      <c r="H213" s="129">
        <v>6325</v>
      </c>
      <c r="I213" s="126" t="s">
        <v>2646</v>
      </c>
      <c r="J213" s="174">
        <v>46003</v>
      </c>
      <c r="K213" s="174">
        <v>46338</v>
      </c>
      <c r="L213" s="126" t="s">
        <v>2647</v>
      </c>
      <c r="M213" s="128" t="b">
        <v>0</v>
      </c>
      <c r="N213" s="122"/>
    </row>
    <row r="214" spans="1:14" ht="15.75">
      <c r="A214" s="121"/>
      <c r="B214" s="121"/>
      <c r="C214" s="121"/>
      <c r="D214" s="126" t="s">
        <v>388</v>
      </c>
      <c r="E214" s="126" t="s">
        <v>2787</v>
      </c>
      <c r="F214" s="126" t="s">
        <v>2627</v>
      </c>
      <c r="G214" s="126" t="s">
        <v>25</v>
      </c>
      <c r="H214" s="127">
        <v>7000</v>
      </c>
      <c r="I214" s="126" t="s">
        <v>2646</v>
      </c>
      <c r="J214" s="126" t="s">
        <v>3010</v>
      </c>
      <c r="K214" s="126" t="s">
        <v>3011</v>
      </c>
      <c r="L214" s="126" t="s">
        <v>2643</v>
      </c>
      <c r="M214" s="128" t="b">
        <v>0</v>
      </c>
      <c r="N214" s="122"/>
    </row>
    <row r="215" spans="1:14" ht="15.75">
      <c r="A215" s="121"/>
      <c r="B215" s="121"/>
      <c r="C215" s="121"/>
      <c r="D215" s="126" t="s">
        <v>388</v>
      </c>
      <c r="E215" s="126" t="s">
        <v>2787</v>
      </c>
      <c r="F215" s="126" t="s">
        <v>2625</v>
      </c>
      <c r="G215" s="126" t="s">
        <v>27</v>
      </c>
      <c r="H215" s="127">
        <v>16627</v>
      </c>
      <c r="I215" s="126" t="s">
        <v>2646</v>
      </c>
      <c r="J215" s="126" t="s">
        <v>3010</v>
      </c>
      <c r="K215" s="126" t="s">
        <v>3011</v>
      </c>
      <c r="L215" s="126" t="s">
        <v>2643</v>
      </c>
      <c r="M215" s="128" t="b">
        <v>0</v>
      </c>
      <c r="N215" s="122"/>
    </row>
    <row r="216" spans="1:14" ht="15.75">
      <c r="A216" s="121"/>
      <c r="B216" s="121"/>
      <c r="C216" s="121"/>
      <c r="D216" s="126" t="s">
        <v>388</v>
      </c>
      <c r="E216" s="126" t="s">
        <v>2787</v>
      </c>
      <c r="F216" s="126" t="s">
        <v>1808</v>
      </c>
      <c r="G216" s="126" t="s">
        <v>25</v>
      </c>
      <c r="H216" s="127">
        <v>6000</v>
      </c>
      <c r="I216" s="126" t="s">
        <v>2646</v>
      </c>
      <c r="J216" s="126" t="s">
        <v>3010</v>
      </c>
      <c r="K216" s="126" t="s">
        <v>3011</v>
      </c>
      <c r="L216" s="126" t="s">
        <v>2643</v>
      </c>
      <c r="M216" s="128" t="b">
        <v>0</v>
      </c>
      <c r="N216" s="122"/>
    </row>
    <row r="217" spans="1:14" ht="15.75">
      <c r="A217" s="121"/>
      <c r="B217" s="121"/>
      <c r="C217" s="121"/>
      <c r="D217" s="126" t="s">
        <v>388</v>
      </c>
      <c r="E217" s="126" t="s">
        <v>2787</v>
      </c>
      <c r="F217" s="126" t="s">
        <v>1817</v>
      </c>
      <c r="G217" s="126" t="s">
        <v>35</v>
      </c>
      <c r="H217" s="127">
        <v>17500</v>
      </c>
      <c r="I217" s="126" t="s">
        <v>2646</v>
      </c>
      <c r="J217" s="126" t="s">
        <v>3010</v>
      </c>
      <c r="K217" s="126" t="s">
        <v>3011</v>
      </c>
      <c r="L217" s="126" t="s">
        <v>2643</v>
      </c>
      <c r="M217" s="128" t="b">
        <v>0</v>
      </c>
      <c r="N217" s="122"/>
    </row>
    <row r="218" spans="1:14" ht="15.75">
      <c r="A218" s="121"/>
      <c r="B218" s="121"/>
      <c r="C218" s="121"/>
      <c r="D218" s="126" t="s">
        <v>408</v>
      </c>
      <c r="E218" s="126" t="s">
        <v>2828</v>
      </c>
      <c r="F218" s="126" t="s">
        <v>2198</v>
      </c>
      <c r="G218" s="126" t="s">
        <v>21</v>
      </c>
      <c r="H218" s="127">
        <v>11781</v>
      </c>
      <c r="I218" s="126" t="s">
        <v>2646</v>
      </c>
      <c r="J218" s="126" t="s">
        <v>3012</v>
      </c>
      <c r="K218" s="126" t="s">
        <v>3013</v>
      </c>
      <c r="L218" s="126" t="s">
        <v>2667</v>
      </c>
      <c r="M218" s="128" t="b">
        <v>0</v>
      </c>
      <c r="N218" s="122"/>
    </row>
    <row r="219" spans="1:14" ht="15.75">
      <c r="A219" s="121"/>
      <c r="B219" s="121"/>
      <c r="C219" s="121"/>
      <c r="D219" s="126" t="s">
        <v>408</v>
      </c>
      <c r="E219" s="126" t="s">
        <v>2828</v>
      </c>
      <c r="F219" s="126" t="s">
        <v>2653</v>
      </c>
      <c r="G219" s="126" t="s">
        <v>20</v>
      </c>
      <c r="H219" s="127">
        <v>16200</v>
      </c>
      <c r="I219" s="126" t="s">
        <v>2646</v>
      </c>
      <c r="J219" s="126" t="s">
        <v>3012</v>
      </c>
      <c r="K219" s="126" t="s">
        <v>3013</v>
      </c>
      <c r="L219" s="126" t="s">
        <v>2667</v>
      </c>
      <c r="M219" s="128" t="b">
        <v>0</v>
      </c>
      <c r="N219" s="122"/>
    </row>
    <row r="220" spans="1:14" ht="15.75">
      <c r="A220" s="121"/>
      <c r="B220" s="121"/>
      <c r="C220" s="121"/>
      <c r="D220" s="126" t="s">
        <v>408</v>
      </c>
      <c r="E220" s="126" t="s">
        <v>2828</v>
      </c>
      <c r="F220" s="126" t="s">
        <v>2217</v>
      </c>
      <c r="G220" s="126" t="s">
        <v>21</v>
      </c>
      <c r="H220" s="127">
        <v>9355.5</v>
      </c>
      <c r="I220" s="126" t="s">
        <v>2646</v>
      </c>
      <c r="J220" s="126" t="s">
        <v>3012</v>
      </c>
      <c r="K220" s="126" t="s">
        <v>3013</v>
      </c>
      <c r="L220" s="126" t="s">
        <v>2667</v>
      </c>
      <c r="M220" s="128" t="b">
        <v>0</v>
      </c>
      <c r="N220" s="122"/>
    </row>
    <row r="221" spans="1:14" ht="15.75">
      <c r="A221" s="121"/>
      <c r="B221" s="121"/>
      <c r="C221" s="121"/>
      <c r="D221" s="126" t="s">
        <v>408</v>
      </c>
      <c r="E221" s="126" t="s">
        <v>2828</v>
      </c>
      <c r="F221" s="126" t="s">
        <v>1836</v>
      </c>
      <c r="G221" s="126" t="s">
        <v>21</v>
      </c>
      <c r="H221" s="127">
        <v>8586</v>
      </c>
      <c r="I221" s="126" t="s">
        <v>2646</v>
      </c>
      <c r="J221" s="126" t="s">
        <v>3012</v>
      </c>
      <c r="K221" s="126" t="s">
        <v>3013</v>
      </c>
      <c r="L221" s="126" t="s">
        <v>2667</v>
      </c>
      <c r="M221" s="128" t="b">
        <v>0</v>
      </c>
      <c r="N221" s="122"/>
    </row>
    <row r="222" spans="1:14" ht="15.75">
      <c r="A222" s="121"/>
      <c r="B222" s="121"/>
      <c r="C222" s="121"/>
      <c r="D222" s="126" t="s">
        <v>1967</v>
      </c>
      <c r="E222" s="126" t="s">
        <v>2673</v>
      </c>
      <c r="F222" s="126" t="s">
        <v>2624</v>
      </c>
      <c r="G222" s="126" t="s">
        <v>27</v>
      </c>
      <c r="H222" s="127">
        <v>15000</v>
      </c>
      <c r="I222" s="126" t="s">
        <v>2642</v>
      </c>
      <c r="J222" s="126" t="s">
        <v>3014</v>
      </c>
      <c r="K222" s="126" t="s">
        <v>3015</v>
      </c>
      <c r="L222" s="126" t="s">
        <v>2656</v>
      </c>
      <c r="M222" s="128" t="b">
        <v>0</v>
      </c>
      <c r="N222" s="122"/>
    </row>
    <row r="223" spans="1:14" ht="15.75">
      <c r="A223" s="121"/>
      <c r="B223" s="121"/>
      <c r="C223" s="121"/>
      <c r="D223" s="126" t="s">
        <v>729</v>
      </c>
      <c r="E223" s="126" t="s">
        <v>2794</v>
      </c>
      <c r="F223" s="126" t="s">
        <v>2653</v>
      </c>
      <c r="G223" s="126" t="s">
        <v>20</v>
      </c>
      <c r="H223" s="127">
        <v>9000</v>
      </c>
      <c r="I223" s="126" t="s">
        <v>1705</v>
      </c>
      <c r="J223" s="126" t="s">
        <v>3016</v>
      </c>
      <c r="K223" s="126" t="s">
        <v>3017</v>
      </c>
      <c r="L223" s="126" t="s">
        <v>2643</v>
      </c>
      <c r="M223" s="128" t="b">
        <v>0</v>
      </c>
      <c r="N223" s="122"/>
    </row>
    <row r="224" spans="1:14" ht="15.75">
      <c r="A224" s="121"/>
      <c r="B224" s="121"/>
      <c r="C224" s="121"/>
      <c r="D224" s="126" t="s">
        <v>1968</v>
      </c>
      <c r="E224" s="126" t="s">
        <v>3018</v>
      </c>
      <c r="F224" s="126" t="s">
        <v>1815</v>
      </c>
      <c r="G224" s="126" t="s">
        <v>27</v>
      </c>
      <c r="H224" s="127">
        <v>15000</v>
      </c>
      <c r="I224" s="126" t="s">
        <v>1705</v>
      </c>
      <c r="J224" s="126" t="s">
        <v>2992</v>
      </c>
      <c r="K224" s="126" t="s">
        <v>3019</v>
      </c>
      <c r="L224" s="126" t="s">
        <v>2671</v>
      </c>
      <c r="M224" s="128" t="b">
        <v>0</v>
      </c>
      <c r="N224" s="122"/>
    </row>
    <row r="225" spans="1:14" ht="15.75">
      <c r="A225" s="121"/>
      <c r="B225" s="121"/>
      <c r="C225" s="121"/>
      <c r="D225" s="126" t="s">
        <v>79</v>
      </c>
      <c r="E225" s="126" t="s">
        <v>2844</v>
      </c>
      <c r="F225" s="126" t="s">
        <v>1799</v>
      </c>
      <c r="G225" s="126" t="s">
        <v>20</v>
      </c>
      <c r="H225" s="127">
        <v>18550</v>
      </c>
      <c r="I225" s="126" t="s">
        <v>2646</v>
      </c>
      <c r="J225" s="174">
        <v>46023</v>
      </c>
      <c r="K225" s="126" t="s">
        <v>3020</v>
      </c>
      <c r="L225" s="126" t="s">
        <v>2671</v>
      </c>
      <c r="M225" s="128" t="b">
        <v>0</v>
      </c>
      <c r="N225" s="122"/>
    </row>
    <row r="226" spans="1:14" ht="15.75">
      <c r="A226" s="121"/>
      <c r="B226" s="121"/>
      <c r="C226" s="121"/>
      <c r="D226" s="126" t="s">
        <v>79</v>
      </c>
      <c r="E226" s="126" t="s">
        <v>2844</v>
      </c>
      <c r="F226" s="126" t="s">
        <v>1904</v>
      </c>
      <c r="G226" s="126" t="s">
        <v>25</v>
      </c>
      <c r="H226" s="127">
        <v>18550</v>
      </c>
      <c r="I226" s="126" t="s">
        <v>2646</v>
      </c>
      <c r="J226" s="174">
        <v>46023</v>
      </c>
      <c r="K226" s="126" t="s">
        <v>3020</v>
      </c>
      <c r="L226" s="126" t="s">
        <v>2671</v>
      </c>
      <c r="M226" s="128" t="b">
        <v>0</v>
      </c>
      <c r="N226" s="122"/>
    </row>
    <row r="227" spans="1:14" ht="15.75">
      <c r="A227" s="121"/>
      <c r="B227" s="121"/>
      <c r="C227" s="121"/>
      <c r="D227" s="126" t="s">
        <v>1969</v>
      </c>
      <c r="E227" s="126" t="s">
        <v>2852</v>
      </c>
      <c r="F227" s="126" t="s">
        <v>2645</v>
      </c>
      <c r="G227" s="126" t="s">
        <v>1902</v>
      </c>
      <c r="H227" s="127">
        <v>9511.5</v>
      </c>
      <c r="I227" s="126" t="s">
        <v>2646</v>
      </c>
      <c r="J227" s="174">
        <v>46023</v>
      </c>
      <c r="K227" s="126" t="s">
        <v>3020</v>
      </c>
      <c r="L227" s="126" t="s">
        <v>2667</v>
      </c>
      <c r="M227" s="128" t="b">
        <v>0</v>
      </c>
      <c r="N227" s="122"/>
    </row>
    <row r="228" spans="1:14" ht="15.75">
      <c r="A228" s="121"/>
      <c r="B228" s="121"/>
      <c r="C228" s="121"/>
      <c r="D228" s="126" t="s">
        <v>1969</v>
      </c>
      <c r="E228" s="126" t="s">
        <v>2852</v>
      </c>
      <c r="F228" s="126" t="s">
        <v>1833</v>
      </c>
      <c r="G228" s="126" t="s">
        <v>25</v>
      </c>
      <c r="H228" s="127">
        <v>9819.43</v>
      </c>
      <c r="I228" s="126" t="s">
        <v>2646</v>
      </c>
      <c r="J228" s="174">
        <v>46023</v>
      </c>
      <c r="K228" s="126" t="s">
        <v>3020</v>
      </c>
      <c r="L228" s="126" t="s">
        <v>2667</v>
      </c>
      <c r="M228" s="128" t="b">
        <v>0</v>
      </c>
      <c r="N228" s="122"/>
    </row>
    <row r="229" spans="1:14" ht="15.75">
      <c r="A229" s="121"/>
      <c r="B229" s="121"/>
      <c r="C229" s="121"/>
      <c r="D229" s="126" t="s">
        <v>1969</v>
      </c>
      <c r="E229" s="126" t="s">
        <v>2852</v>
      </c>
      <c r="F229" s="126" t="s">
        <v>1826</v>
      </c>
      <c r="G229" s="126" t="s">
        <v>25</v>
      </c>
      <c r="H229" s="127">
        <v>9203.6299999999992</v>
      </c>
      <c r="I229" s="126" t="s">
        <v>2646</v>
      </c>
      <c r="J229" s="174">
        <v>46023</v>
      </c>
      <c r="K229" s="126" t="s">
        <v>3020</v>
      </c>
      <c r="L229" s="126" t="s">
        <v>2667</v>
      </c>
      <c r="M229" s="128" t="b">
        <v>0</v>
      </c>
      <c r="N229" s="122"/>
    </row>
    <row r="230" spans="1:14" ht="15.75">
      <c r="A230" s="121"/>
      <c r="B230" s="121"/>
      <c r="C230" s="121"/>
      <c r="D230" s="126" t="s">
        <v>1969</v>
      </c>
      <c r="E230" s="126" t="s">
        <v>2852</v>
      </c>
      <c r="F230" s="126" t="s">
        <v>1820</v>
      </c>
      <c r="G230" s="126" t="s">
        <v>25</v>
      </c>
      <c r="H230" s="127">
        <v>11701.26</v>
      </c>
      <c r="I230" s="126" t="s">
        <v>2646</v>
      </c>
      <c r="J230" s="174">
        <v>46023</v>
      </c>
      <c r="K230" s="126" t="s">
        <v>3020</v>
      </c>
      <c r="L230" s="126" t="s">
        <v>2667</v>
      </c>
      <c r="M230" s="128" t="b">
        <v>0</v>
      </c>
      <c r="N230" s="122"/>
    </row>
    <row r="231" spans="1:14" ht="15.75">
      <c r="A231" s="121"/>
      <c r="B231" s="121"/>
      <c r="C231" s="121"/>
      <c r="D231" s="126" t="s">
        <v>1969</v>
      </c>
      <c r="E231" s="126" t="s">
        <v>2852</v>
      </c>
      <c r="F231" s="126" t="s">
        <v>1822</v>
      </c>
      <c r="G231" s="126" t="s">
        <v>23</v>
      </c>
      <c r="H231" s="127">
        <v>7561.34</v>
      </c>
      <c r="I231" s="126" t="s">
        <v>2646</v>
      </c>
      <c r="J231" s="174">
        <v>46023</v>
      </c>
      <c r="K231" s="126" t="s">
        <v>3020</v>
      </c>
      <c r="L231" s="126" t="s">
        <v>2667</v>
      </c>
      <c r="M231" s="128" t="b">
        <v>0</v>
      </c>
      <c r="N231" s="122"/>
    </row>
    <row r="232" spans="1:14" ht="15.75">
      <c r="A232" s="121"/>
      <c r="B232" s="121"/>
      <c r="C232" s="121"/>
      <c r="D232" s="126" t="s">
        <v>1969</v>
      </c>
      <c r="E232" s="126" t="s">
        <v>2852</v>
      </c>
      <c r="F232" s="126" t="s">
        <v>1845</v>
      </c>
      <c r="G232" s="126" t="s">
        <v>31</v>
      </c>
      <c r="H232" s="127">
        <v>9579.98</v>
      </c>
      <c r="I232" s="126" t="s">
        <v>2646</v>
      </c>
      <c r="J232" s="174">
        <v>46023</v>
      </c>
      <c r="K232" s="126" t="s">
        <v>3020</v>
      </c>
      <c r="L232" s="126" t="s">
        <v>2667</v>
      </c>
      <c r="M232" s="128" t="b">
        <v>0</v>
      </c>
      <c r="N232" s="122"/>
    </row>
    <row r="233" spans="1:14" ht="15.75">
      <c r="A233" s="121"/>
      <c r="B233" s="121"/>
      <c r="C233" s="121"/>
      <c r="D233" s="126" t="s">
        <v>1969</v>
      </c>
      <c r="E233" s="126" t="s">
        <v>2852</v>
      </c>
      <c r="F233" s="126" t="s">
        <v>1900</v>
      </c>
      <c r="G233" s="126" t="s">
        <v>21</v>
      </c>
      <c r="H233" s="127">
        <v>28329.38</v>
      </c>
      <c r="I233" s="126" t="s">
        <v>2646</v>
      </c>
      <c r="J233" s="174">
        <v>46023</v>
      </c>
      <c r="K233" s="126" t="s">
        <v>3020</v>
      </c>
      <c r="L233" s="126" t="s">
        <v>2667</v>
      </c>
      <c r="M233" s="128" t="b">
        <v>0</v>
      </c>
      <c r="N233" s="122"/>
    </row>
    <row r="234" spans="1:14" ht="15.75">
      <c r="A234" s="121"/>
      <c r="B234" s="121"/>
      <c r="C234" s="121"/>
      <c r="D234" s="126" t="s">
        <v>1969</v>
      </c>
      <c r="E234" s="126" t="s">
        <v>2852</v>
      </c>
      <c r="F234" s="126" t="s">
        <v>1889</v>
      </c>
      <c r="G234" s="126" t="s">
        <v>21</v>
      </c>
      <c r="H234" s="127">
        <v>47078.77</v>
      </c>
      <c r="I234" s="126" t="s">
        <v>2646</v>
      </c>
      <c r="J234" s="174">
        <v>46023</v>
      </c>
      <c r="K234" s="126" t="s">
        <v>3020</v>
      </c>
      <c r="L234" s="126" t="s">
        <v>2667</v>
      </c>
      <c r="M234" s="128" t="b">
        <v>0</v>
      </c>
      <c r="N234" s="122"/>
    </row>
    <row r="235" spans="1:14" ht="15.75">
      <c r="A235" s="121"/>
      <c r="B235" s="121"/>
      <c r="C235" s="121"/>
      <c r="D235" s="126" t="s">
        <v>1969</v>
      </c>
      <c r="E235" s="126" t="s">
        <v>2852</v>
      </c>
      <c r="F235" s="126" t="s">
        <v>1816</v>
      </c>
      <c r="G235" s="126" t="s">
        <v>1931</v>
      </c>
      <c r="H235" s="127">
        <v>13377.76</v>
      </c>
      <c r="I235" s="126" t="s">
        <v>2646</v>
      </c>
      <c r="J235" s="174">
        <v>46023</v>
      </c>
      <c r="K235" s="126" t="s">
        <v>3020</v>
      </c>
      <c r="L235" s="126" t="s">
        <v>2667</v>
      </c>
      <c r="M235" s="128" t="b">
        <v>0</v>
      </c>
      <c r="N235" s="122"/>
    </row>
    <row r="236" spans="1:14" ht="15.75">
      <c r="A236" s="121"/>
      <c r="B236" s="121"/>
      <c r="C236" s="121"/>
      <c r="D236" s="126" t="s">
        <v>1969</v>
      </c>
      <c r="E236" s="126" t="s">
        <v>2852</v>
      </c>
      <c r="F236" s="126" t="s">
        <v>1838</v>
      </c>
      <c r="G236" s="126" t="s">
        <v>25</v>
      </c>
      <c r="H236" s="127">
        <v>7356.06</v>
      </c>
      <c r="I236" s="126" t="s">
        <v>2646</v>
      </c>
      <c r="J236" s="174">
        <v>46023</v>
      </c>
      <c r="K236" s="126" t="s">
        <v>3020</v>
      </c>
      <c r="L236" s="126" t="s">
        <v>2667</v>
      </c>
      <c r="M236" s="128" t="b">
        <v>0</v>
      </c>
      <c r="N236" s="122"/>
    </row>
    <row r="237" spans="1:14" ht="15.75">
      <c r="A237" s="121"/>
      <c r="B237" s="121"/>
      <c r="C237" s="121"/>
      <c r="D237" s="126" t="s">
        <v>1969</v>
      </c>
      <c r="E237" s="126" t="s">
        <v>2852</v>
      </c>
      <c r="F237" s="126" t="s">
        <v>2653</v>
      </c>
      <c r="G237" s="126" t="s">
        <v>20</v>
      </c>
      <c r="H237" s="127">
        <v>9511.5499999999993</v>
      </c>
      <c r="I237" s="126" t="s">
        <v>2646</v>
      </c>
      <c r="J237" s="174">
        <v>46023</v>
      </c>
      <c r="K237" s="126" t="s">
        <v>3020</v>
      </c>
      <c r="L237" s="126" t="s">
        <v>2667</v>
      </c>
      <c r="M237" s="128" t="b">
        <v>0</v>
      </c>
      <c r="N237" s="122"/>
    </row>
    <row r="238" spans="1:14" ht="15.75">
      <c r="A238" s="121"/>
      <c r="B238" s="121"/>
      <c r="C238" s="121"/>
      <c r="D238" s="126" t="s">
        <v>1969</v>
      </c>
      <c r="E238" s="126" t="s">
        <v>2852</v>
      </c>
      <c r="F238" s="126" t="s">
        <v>1819</v>
      </c>
      <c r="G238" s="126" t="s">
        <v>25</v>
      </c>
      <c r="H238" s="127">
        <v>9100.98</v>
      </c>
      <c r="I238" s="126" t="s">
        <v>2646</v>
      </c>
      <c r="J238" s="174">
        <v>46023</v>
      </c>
      <c r="K238" s="126" t="s">
        <v>3020</v>
      </c>
      <c r="L238" s="126" t="s">
        <v>2667</v>
      </c>
      <c r="M238" s="128" t="b">
        <v>0</v>
      </c>
      <c r="N238" s="122"/>
    </row>
    <row r="239" spans="1:14" ht="15.75">
      <c r="A239" s="121"/>
      <c r="B239" s="121"/>
      <c r="C239" s="121"/>
      <c r="D239" s="126" t="s">
        <v>1969</v>
      </c>
      <c r="E239" s="126" t="s">
        <v>2852</v>
      </c>
      <c r="F239" s="126" t="s">
        <v>2616</v>
      </c>
      <c r="G239" s="126" t="s">
        <v>29</v>
      </c>
      <c r="H239" s="127">
        <v>8895.7000000000007</v>
      </c>
      <c r="I239" s="126" t="s">
        <v>2646</v>
      </c>
      <c r="J239" s="174">
        <v>46023</v>
      </c>
      <c r="K239" s="126" t="s">
        <v>3020</v>
      </c>
      <c r="L239" s="126" t="s">
        <v>2667</v>
      </c>
      <c r="M239" s="128" t="b">
        <v>0</v>
      </c>
      <c r="N239" s="122"/>
    </row>
    <row r="240" spans="1:14" ht="15.75">
      <c r="A240" s="121"/>
      <c r="B240" s="121"/>
      <c r="C240" s="121"/>
      <c r="D240" s="126" t="s">
        <v>1969</v>
      </c>
      <c r="E240" s="126" t="s">
        <v>2852</v>
      </c>
      <c r="F240" s="126" t="s">
        <v>1827</v>
      </c>
      <c r="G240" s="126" t="s">
        <v>29</v>
      </c>
      <c r="H240" s="127">
        <v>11701.26</v>
      </c>
      <c r="I240" s="126" t="s">
        <v>2646</v>
      </c>
      <c r="J240" s="174">
        <v>46023</v>
      </c>
      <c r="K240" s="126" t="s">
        <v>3020</v>
      </c>
      <c r="L240" s="126" t="s">
        <v>2667</v>
      </c>
      <c r="M240" s="128" t="b">
        <v>0</v>
      </c>
      <c r="N240" s="122"/>
    </row>
    <row r="241" spans="1:14" ht="15.75">
      <c r="A241" s="121"/>
      <c r="B241" s="121"/>
      <c r="C241" s="121"/>
      <c r="D241" s="126" t="s">
        <v>295</v>
      </c>
      <c r="E241" s="126" t="s">
        <v>2889</v>
      </c>
      <c r="F241" s="126" t="s">
        <v>2653</v>
      </c>
      <c r="G241" s="126" t="s">
        <v>20</v>
      </c>
      <c r="H241" s="127">
        <v>10800</v>
      </c>
      <c r="I241" s="126" t="s">
        <v>2646</v>
      </c>
      <c r="J241" s="174">
        <v>46023</v>
      </c>
      <c r="K241" s="126" t="s">
        <v>3020</v>
      </c>
      <c r="L241" s="126" t="s">
        <v>2671</v>
      </c>
      <c r="M241" s="128" t="b">
        <v>0</v>
      </c>
      <c r="N241" s="122"/>
    </row>
    <row r="242" spans="1:14" ht="15.75">
      <c r="A242" s="121"/>
      <c r="B242" s="121"/>
      <c r="C242" s="121"/>
      <c r="D242" s="126" t="s">
        <v>295</v>
      </c>
      <c r="E242" s="126" t="s">
        <v>2889</v>
      </c>
      <c r="F242" s="126" t="s">
        <v>2622</v>
      </c>
      <c r="G242" s="126" t="s">
        <v>29</v>
      </c>
      <c r="H242" s="127">
        <v>18000</v>
      </c>
      <c r="I242" s="126" t="s">
        <v>2646</v>
      </c>
      <c r="J242" s="174">
        <v>46023</v>
      </c>
      <c r="K242" s="126" t="s">
        <v>3020</v>
      </c>
      <c r="L242" s="126" t="s">
        <v>2671</v>
      </c>
      <c r="M242" s="128" t="b">
        <v>0</v>
      </c>
      <c r="N242" s="122"/>
    </row>
    <row r="243" spans="1:14" ht="15.75">
      <c r="A243" s="121"/>
      <c r="B243" s="121"/>
      <c r="C243" s="121"/>
      <c r="D243" s="126" t="s">
        <v>295</v>
      </c>
      <c r="E243" s="126" t="s">
        <v>2889</v>
      </c>
      <c r="F243" s="126" t="s">
        <v>2618</v>
      </c>
      <c r="G243" s="126" t="s">
        <v>1695</v>
      </c>
      <c r="H243" s="127">
        <v>42000</v>
      </c>
      <c r="I243" s="126" t="s">
        <v>2646</v>
      </c>
      <c r="J243" s="174">
        <v>46023</v>
      </c>
      <c r="K243" s="126" t="s">
        <v>3020</v>
      </c>
      <c r="L243" s="126" t="s">
        <v>2671</v>
      </c>
      <c r="M243" s="128" t="b">
        <v>0</v>
      </c>
      <c r="N243" s="122"/>
    </row>
    <row r="244" spans="1:14" ht="15.75">
      <c r="A244" s="121"/>
      <c r="B244" s="121"/>
      <c r="C244" s="121"/>
      <c r="D244" s="126" t="s">
        <v>422</v>
      </c>
      <c r="E244" s="126" t="s">
        <v>2836</v>
      </c>
      <c r="F244" s="126" t="s">
        <v>33</v>
      </c>
      <c r="G244" s="126" t="s">
        <v>20</v>
      </c>
      <c r="H244" s="127">
        <v>9900</v>
      </c>
      <c r="I244" s="126" t="s">
        <v>2646</v>
      </c>
      <c r="J244" s="174">
        <v>46023</v>
      </c>
      <c r="K244" s="126" t="s">
        <v>3020</v>
      </c>
      <c r="L244" s="126" t="s">
        <v>2643</v>
      </c>
      <c r="M244" s="128" t="b">
        <v>0</v>
      </c>
      <c r="N244" s="122"/>
    </row>
    <row r="245" spans="1:14" ht="15.75">
      <c r="A245" s="121"/>
      <c r="B245" s="121"/>
      <c r="C245" s="121"/>
      <c r="D245" s="126" t="s">
        <v>422</v>
      </c>
      <c r="E245" s="126" t="s">
        <v>2836</v>
      </c>
      <c r="F245" s="126" t="s">
        <v>2653</v>
      </c>
      <c r="G245" s="126" t="s">
        <v>20</v>
      </c>
      <c r="H245" s="127">
        <v>8100</v>
      </c>
      <c r="I245" s="126" t="s">
        <v>2646</v>
      </c>
      <c r="J245" s="174">
        <v>46023</v>
      </c>
      <c r="K245" s="126" t="s">
        <v>3020</v>
      </c>
      <c r="L245" s="126" t="s">
        <v>2643</v>
      </c>
      <c r="M245" s="128" t="b">
        <v>0</v>
      </c>
      <c r="N245" s="122"/>
    </row>
    <row r="246" spans="1:14" ht="15.75">
      <c r="A246" s="121"/>
      <c r="B246" s="121"/>
      <c r="C246" s="121"/>
      <c r="D246" s="126" t="s">
        <v>1970</v>
      </c>
      <c r="E246" s="126" t="s">
        <v>2817</v>
      </c>
      <c r="F246" s="126" t="s">
        <v>2653</v>
      </c>
      <c r="G246" s="126" t="s">
        <v>20</v>
      </c>
      <c r="H246" s="127">
        <v>10645</v>
      </c>
      <c r="I246" s="126" t="s">
        <v>2646</v>
      </c>
      <c r="J246" s="174">
        <v>46023</v>
      </c>
      <c r="K246" s="126" t="s">
        <v>3020</v>
      </c>
      <c r="L246" s="126" t="s">
        <v>2643</v>
      </c>
      <c r="M246" s="128" t="b">
        <v>0</v>
      </c>
      <c r="N246" s="122"/>
    </row>
    <row r="247" spans="1:14" ht="15.75">
      <c r="A247" s="121"/>
      <c r="B247" s="121"/>
      <c r="C247" s="121"/>
      <c r="D247" s="126" t="s">
        <v>171</v>
      </c>
      <c r="E247" s="126" t="s">
        <v>2824</v>
      </c>
      <c r="F247" s="126" t="s">
        <v>1820</v>
      </c>
      <c r="G247" s="126" t="s">
        <v>25</v>
      </c>
      <c r="H247" s="127">
        <v>12100</v>
      </c>
      <c r="I247" s="126" t="s">
        <v>2646</v>
      </c>
      <c r="J247" s="174">
        <v>46023</v>
      </c>
      <c r="K247" s="126" t="s">
        <v>3020</v>
      </c>
      <c r="L247" s="126" t="s">
        <v>2671</v>
      </c>
      <c r="M247" s="128" t="b">
        <v>0</v>
      </c>
      <c r="N247" s="122"/>
    </row>
    <row r="248" spans="1:14" ht="15.75">
      <c r="A248" s="121"/>
      <c r="B248" s="121"/>
      <c r="C248" s="121"/>
      <c r="D248" s="126" t="s">
        <v>171</v>
      </c>
      <c r="E248" s="126" t="s">
        <v>2824</v>
      </c>
      <c r="F248" s="126" t="s">
        <v>2653</v>
      </c>
      <c r="G248" s="126" t="s">
        <v>20</v>
      </c>
      <c r="H248" s="127">
        <v>10000</v>
      </c>
      <c r="I248" s="126" t="s">
        <v>2646</v>
      </c>
      <c r="J248" s="174">
        <v>46023</v>
      </c>
      <c r="K248" s="126" t="s">
        <v>3020</v>
      </c>
      <c r="L248" s="126" t="s">
        <v>2671</v>
      </c>
      <c r="M248" s="128" t="b">
        <v>0</v>
      </c>
      <c r="N248" s="122"/>
    </row>
    <row r="249" spans="1:14" ht="15.75">
      <c r="A249" s="121"/>
      <c r="B249" s="121"/>
      <c r="C249" s="121"/>
      <c r="D249" s="126" t="s">
        <v>602</v>
      </c>
      <c r="E249" s="126" t="s">
        <v>2857</v>
      </c>
      <c r="F249" s="126" t="s">
        <v>2653</v>
      </c>
      <c r="G249" s="126" t="s">
        <v>20</v>
      </c>
      <c r="H249" s="127">
        <v>9675</v>
      </c>
      <c r="I249" s="126" t="s">
        <v>2646</v>
      </c>
      <c r="J249" s="174">
        <v>46023</v>
      </c>
      <c r="K249" s="126" t="s">
        <v>3020</v>
      </c>
      <c r="L249" s="126" t="s">
        <v>2656</v>
      </c>
      <c r="M249" s="128" t="b">
        <v>0</v>
      </c>
      <c r="N249" s="122"/>
    </row>
    <row r="250" spans="1:14" ht="15.75">
      <c r="A250" s="121"/>
      <c r="B250" s="121"/>
      <c r="C250" s="121"/>
      <c r="D250" s="126" t="s">
        <v>1971</v>
      </c>
      <c r="E250" s="126" t="s">
        <v>2774</v>
      </c>
      <c r="F250" s="126" t="s">
        <v>2775</v>
      </c>
      <c r="G250" s="126" t="s">
        <v>2776</v>
      </c>
      <c r="H250" s="130">
        <v>36000</v>
      </c>
      <c r="I250" s="126"/>
      <c r="J250" s="174">
        <v>45658</v>
      </c>
      <c r="K250" s="126" t="s">
        <v>3020</v>
      </c>
      <c r="L250" s="126" t="s">
        <v>2667</v>
      </c>
      <c r="M250" s="128" t="b">
        <v>0</v>
      </c>
      <c r="N250" s="122"/>
    </row>
    <row r="251" spans="1:14" ht="15.75">
      <c r="A251" s="121"/>
      <c r="B251" s="121"/>
      <c r="C251" s="121"/>
      <c r="D251" s="126" t="s">
        <v>1971</v>
      </c>
      <c r="E251" s="126" t="s">
        <v>2774</v>
      </c>
      <c r="F251" s="126" t="s">
        <v>2777</v>
      </c>
      <c r="G251" s="126" t="s">
        <v>2776</v>
      </c>
      <c r="H251" s="130">
        <v>34000</v>
      </c>
      <c r="I251" s="126"/>
      <c r="J251" s="174">
        <v>45658</v>
      </c>
      <c r="K251" s="126" t="s">
        <v>3020</v>
      </c>
      <c r="L251" s="126" t="s">
        <v>2667</v>
      </c>
      <c r="M251" s="128" t="b">
        <v>0</v>
      </c>
      <c r="N251" s="122"/>
    </row>
    <row r="252" spans="1:14" ht="15.75">
      <c r="A252" s="121"/>
      <c r="B252" s="121"/>
      <c r="C252" s="121"/>
      <c r="D252" s="126" t="s">
        <v>1971</v>
      </c>
      <c r="E252" s="126" t="s">
        <v>2774</v>
      </c>
      <c r="F252" s="126" t="s">
        <v>2778</v>
      </c>
      <c r="G252" s="126" t="s">
        <v>2776</v>
      </c>
      <c r="H252" s="130">
        <v>58000</v>
      </c>
      <c r="I252" s="126"/>
      <c r="J252" s="174">
        <v>45658</v>
      </c>
      <c r="K252" s="126" t="s">
        <v>3020</v>
      </c>
      <c r="L252" s="126" t="s">
        <v>2667</v>
      </c>
      <c r="M252" s="128" t="b">
        <v>0</v>
      </c>
      <c r="N252" s="122"/>
    </row>
    <row r="253" spans="1:14" ht="15.75">
      <c r="A253" s="121"/>
      <c r="B253" s="121"/>
      <c r="C253" s="121"/>
      <c r="D253" s="126" t="s">
        <v>141</v>
      </c>
      <c r="E253" s="126" t="s">
        <v>2921</v>
      </c>
      <c r="F253" s="126" t="s">
        <v>2653</v>
      </c>
      <c r="G253" s="126" t="s">
        <v>20</v>
      </c>
      <c r="H253" s="127">
        <v>10250</v>
      </c>
      <c r="I253" s="126" t="s">
        <v>2646</v>
      </c>
      <c r="J253" s="174">
        <v>46023</v>
      </c>
      <c r="K253" s="126" t="s">
        <v>3020</v>
      </c>
      <c r="L253" s="126" t="s">
        <v>2671</v>
      </c>
      <c r="M253" s="128" t="b">
        <v>0</v>
      </c>
      <c r="N253" s="122"/>
    </row>
    <row r="254" spans="1:14" ht="15.75">
      <c r="A254" s="121"/>
      <c r="B254" s="121"/>
      <c r="C254" s="121"/>
      <c r="D254" s="126" t="s">
        <v>64</v>
      </c>
      <c r="E254" s="126" t="s">
        <v>2688</v>
      </c>
      <c r="F254" s="126" t="s">
        <v>1904</v>
      </c>
      <c r="G254" s="126" t="s">
        <v>25</v>
      </c>
      <c r="H254" s="127">
        <v>26500</v>
      </c>
      <c r="I254" s="126" t="s">
        <v>2646</v>
      </c>
      <c r="J254" s="174">
        <v>46023</v>
      </c>
      <c r="K254" s="126" t="s">
        <v>3020</v>
      </c>
      <c r="L254" s="126" t="s">
        <v>2667</v>
      </c>
      <c r="M254" s="128" t="b">
        <v>0</v>
      </c>
      <c r="N254" s="122"/>
    </row>
    <row r="255" spans="1:14" ht="15.75">
      <c r="A255" s="121"/>
      <c r="B255" s="121"/>
      <c r="C255" s="121"/>
      <c r="D255" s="126" t="s">
        <v>1972</v>
      </c>
      <c r="E255" s="126" t="s">
        <v>2705</v>
      </c>
      <c r="F255" s="126" t="s">
        <v>2653</v>
      </c>
      <c r="G255" s="126" t="s">
        <v>20</v>
      </c>
      <c r="H255" s="127">
        <v>8589.5</v>
      </c>
      <c r="I255" s="126" t="s">
        <v>2646</v>
      </c>
      <c r="J255" s="174">
        <v>46023</v>
      </c>
      <c r="K255" s="126" t="s">
        <v>3020</v>
      </c>
      <c r="L255" s="126" t="s">
        <v>2680</v>
      </c>
      <c r="M255" s="128" t="b">
        <v>0</v>
      </c>
      <c r="N255" s="122"/>
    </row>
    <row r="256" spans="1:14" ht="15.75">
      <c r="A256" s="121"/>
      <c r="B256" s="121"/>
      <c r="C256" s="121"/>
      <c r="D256" s="126" t="s">
        <v>1972</v>
      </c>
      <c r="E256" s="126" t="s">
        <v>2705</v>
      </c>
      <c r="F256" s="126" t="s">
        <v>1838</v>
      </c>
      <c r="G256" s="126" t="s">
        <v>25</v>
      </c>
      <c r="H256" s="127">
        <v>6599.25</v>
      </c>
      <c r="I256" s="126" t="s">
        <v>2646</v>
      </c>
      <c r="J256" s="174">
        <v>46023</v>
      </c>
      <c r="K256" s="126" t="s">
        <v>3020</v>
      </c>
      <c r="L256" s="126" t="s">
        <v>2680</v>
      </c>
      <c r="M256" s="128" t="b">
        <v>0</v>
      </c>
      <c r="N256" s="122"/>
    </row>
    <row r="257" spans="1:14" ht="15.75">
      <c r="A257" s="121"/>
      <c r="B257" s="121"/>
      <c r="C257" s="121"/>
      <c r="D257" s="126" t="s">
        <v>1972</v>
      </c>
      <c r="E257" s="126" t="s">
        <v>2705</v>
      </c>
      <c r="F257" s="126" t="s">
        <v>1826</v>
      </c>
      <c r="G257" s="126" t="s">
        <v>25</v>
      </c>
      <c r="H257" s="127">
        <v>8275.25</v>
      </c>
      <c r="I257" s="126" t="s">
        <v>2646</v>
      </c>
      <c r="J257" s="174">
        <v>46023</v>
      </c>
      <c r="K257" s="126" t="s">
        <v>3020</v>
      </c>
      <c r="L257" s="126" t="s">
        <v>2680</v>
      </c>
      <c r="M257" s="128" t="b">
        <v>0</v>
      </c>
      <c r="N257" s="122"/>
    </row>
    <row r="258" spans="1:14" ht="15.75">
      <c r="A258" s="121"/>
      <c r="B258" s="121"/>
      <c r="C258" s="121"/>
      <c r="D258" s="126" t="s">
        <v>1972</v>
      </c>
      <c r="E258" s="126" t="s">
        <v>2705</v>
      </c>
      <c r="F258" s="126" t="s">
        <v>1889</v>
      </c>
      <c r="G258" s="126" t="s">
        <v>21</v>
      </c>
      <c r="H258" s="127">
        <v>42004.75</v>
      </c>
      <c r="I258" s="126" t="s">
        <v>2646</v>
      </c>
      <c r="J258" s="174">
        <v>46023</v>
      </c>
      <c r="K258" s="126" t="s">
        <v>3020</v>
      </c>
      <c r="L258" s="126" t="s">
        <v>2680</v>
      </c>
      <c r="M258" s="128" t="b">
        <v>0</v>
      </c>
      <c r="N258" s="122"/>
    </row>
    <row r="259" spans="1:14" ht="15.75">
      <c r="A259" s="121"/>
      <c r="B259" s="121"/>
      <c r="C259" s="121"/>
      <c r="D259" s="126" t="s">
        <v>1972</v>
      </c>
      <c r="E259" s="126" t="s">
        <v>2705</v>
      </c>
      <c r="F259" s="126" t="s">
        <v>2074</v>
      </c>
      <c r="G259" s="126" t="s">
        <v>23</v>
      </c>
      <c r="H259" s="127">
        <v>22095.25</v>
      </c>
      <c r="I259" s="126" t="s">
        <v>2646</v>
      </c>
      <c r="J259" s="174">
        <v>46023</v>
      </c>
      <c r="K259" s="126" t="s">
        <v>3020</v>
      </c>
      <c r="L259" s="126" t="s">
        <v>2680</v>
      </c>
      <c r="M259" s="128" t="b">
        <v>0</v>
      </c>
      <c r="N259" s="122"/>
    </row>
    <row r="260" spans="1:14" ht="15.75">
      <c r="A260" s="121"/>
      <c r="B260" s="121"/>
      <c r="C260" s="121"/>
      <c r="D260" s="126" t="s">
        <v>1973</v>
      </c>
      <c r="E260" s="126" t="s">
        <v>2904</v>
      </c>
      <c r="F260" s="126" t="s">
        <v>1794</v>
      </c>
      <c r="G260" s="126" t="s">
        <v>27</v>
      </c>
      <c r="H260" s="127">
        <v>5805</v>
      </c>
      <c r="I260" s="126" t="s">
        <v>2646</v>
      </c>
      <c r="J260" s="174">
        <v>46023</v>
      </c>
      <c r="K260" s="126" t="s">
        <v>3020</v>
      </c>
      <c r="L260" s="126" t="s">
        <v>2656</v>
      </c>
      <c r="M260" s="128" t="b">
        <v>0</v>
      </c>
      <c r="N260" s="122"/>
    </row>
    <row r="261" spans="1:14" ht="15.75">
      <c r="A261" s="121"/>
      <c r="B261" s="121"/>
      <c r="C261" s="121"/>
      <c r="D261" s="126" t="s">
        <v>73</v>
      </c>
      <c r="E261" s="126" t="s">
        <v>2739</v>
      </c>
      <c r="F261" s="126" t="s">
        <v>2620</v>
      </c>
      <c r="G261" s="126" t="s">
        <v>1695</v>
      </c>
      <c r="H261" s="127">
        <v>29813.82</v>
      </c>
      <c r="I261" s="126" t="s">
        <v>2646</v>
      </c>
      <c r="J261" s="174">
        <v>46023</v>
      </c>
      <c r="K261" s="126" t="s">
        <v>3020</v>
      </c>
      <c r="L261" s="126" t="s">
        <v>2667</v>
      </c>
      <c r="M261" s="128" t="b">
        <v>0</v>
      </c>
      <c r="N261" s="122"/>
    </row>
    <row r="262" spans="1:14" ht="15.75">
      <c r="A262" s="121"/>
      <c r="B262" s="121"/>
      <c r="C262" s="121"/>
      <c r="D262" s="126" t="s">
        <v>73</v>
      </c>
      <c r="E262" s="126" t="s">
        <v>2739</v>
      </c>
      <c r="F262" s="126" t="s">
        <v>2074</v>
      </c>
      <c r="G262" s="126" t="s">
        <v>23</v>
      </c>
      <c r="H262" s="127">
        <v>18102.05</v>
      </c>
      <c r="I262" s="126" t="s">
        <v>2646</v>
      </c>
      <c r="J262" s="174">
        <v>46023</v>
      </c>
      <c r="K262" s="126" t="s">
        <v>3020</v>
      </c>
      <c r="L262" s="126" t="s">
        <v>2667</v>
      </c>
      <c r="M262" s="128" t="b">
        <v>0</v>
      </c>
      <c r="N262" s="122"/>
    </row>
    <row r="263" spans="1:14" ht="15.75">
      <c r="A263" s="121"/>
      <c r="B263" s="121"/>
      <c r="C263" s="121"/>
      <c r="D263" s="126" t="s">
        <v>73</v>
      </c>
      <c r="E263" s="126" t="s">
        <v>2739</v>
      </c>
      <c r="F263" s="126" t="s">
        <v>1918</v>
      </c>
      <c r="G263" s="126" t="s">
        <v>25</v>
      </c>
      <c r="H263" s="127">
        <v>24697.18</v>
      </c>
      <c r="I263" s="126" t="s">
        <v>2646</v>
      </c>
      <c r="J263" s="174">
        <v>46023</v>
      </c>
      <c r="K263" s="126" t="s">
        <v>3020</v>
      </c>
      <c r="L263" s="126" t="s">
        <v>2667</v>
      </c>
      <c r="M263" s="128" t="b">
        <v>0</v>
      </c>
      <c r="N263" s="122"/>
    </row>
    <row r="264" spans="1:14" ht="15.75">
      <c r="A264" s="121"/>
      <c r="B264" s="121"/>
      <c r="C264" s="121"/>
      <c r="D264" s="126" t="s">
        <v>73</v>
      </c>
      <c r="E264" s="126" t="s">
        <v>2739</v>
      </c>
      <c r="F264" s="126" t="s">
        <v>1886</v>
      </c>
      <c r="G264" s="126" t="s">
        <v>21</v>
      </c>
      <c r="H264" s="127">
        <v>26069.24</v>
      </c>
      <c r="I264" s="126" t="s">
        <v>2646</v>
      </c>
      <c r="J264" s="174">
        <v>46023</v>
      </c>
      <c r="K264" s="126" t="s">
        <v>3020</v>
      </c>
      <c r="L264" s="126" t="s">
        <v>2667</v>
      </c>
      <c r="M264" s="128" t="b">
        <v>0</v>
      </c>
      <c r="N264" s="122"/>
    </row>
    <row r="265" spans="1:14" ht="15.75">
      <c r="A265" s="121"/>
      <c r="B265" s="121"/>
      <c r="C265" s="121"/>
      <c r="D265" s="126" t="s">
        <v>73</v>
      </c>
      <c r="E265" s="126" t="s">
        <v>2739</v>
      </c>
      <c r="F265" s="126" t="s">
        <v>2645</v>
      </c>
      <c r="G265" s="126" t="s">
        <v>1902</v>
      </c>
      <c r="H265" s="127">
        <v>11997.57</v>
      </c>
      <c r="I265" s="126" t="s">
        <v>2646</v>
      </c>
      <c r="J265" s="174">
        <v>46023</v>
      </c>
      <c r="K265" s="126" t="s">
        <v>3020</v>
      </c>
      <c r="L265" s="126" t="s">
        <v>2667</v>
      </c>
      <c r="M265" s="128" t="b">
        <v>0</v>
      </c>
      <c r="N265" s="122"/>
    </row>
    <row r="266" spans="1:14" ht="15.75">
      <c r="A266" s="121"/>
      <c r="B266" s="121"/>
      <c r="C266" s="121"/>
      <c r="D266" s="126" t="s">
        <v>73</v>
      </c>
      <c r="E266" s="126" t="s">
        <v>2739</v>
      </c>
      <c r="F266" s="126" t="s">
        <v>1843</v>
      </c>
      <c r="G266" s="126" t="s">
        <v>21</v>
      </c>
      <c r="H266" s="127">
        <v>11327.52</v>
      </c>
      <c r="I266" s="126" t="s">
        <v>2646</v>
      </c>
      <c r="J266" s="174">
        <v>46023</v>
      </c>
      <c r="K266" s="126" t="s">
        <v>3020</v>
      </c>
      <c r="L266" s="126" t="s">
        <v>2667</v>
      </c>
      <c r="M266" s="128" t="b">
        <v>0</v>
      </c>
      <c r="N266" s="122"/>
    </row>
    <row r="267" spans="1:14" ht="15.75">
      <c r="A267" s="121"/>
      <c r="B267" s="121"/>
      <c r="C267" s="121"/>
      <c r="D267" s="126" t="s">
        <v>73</v>
      </c>
      <c r="E267" s="126" t="s">
        <v>2739</v>
      </c>
      <c r="F267" s="126" t="s">
        <v>1842</v>
      </c>
      <c r="G267" s="126" t="s">
        <v>1695</v>
      </c>
      <c r="H267" s="127">
        <v>6956.05</v>
      </c>
      <c r="I267" s="126" t="s">
        <v>2646</v>
      </c>
      <c r="J267" s="174">
        <v>46023</v>
      </c>
      <c r="K267" s="126" t="s">
        <v>3020</v>
      </c>
      <c r="L267" s="126" t="s">
        <v>2667</v>
      </c>
      <c r="M267" s="128" t="b">
        <v>0</v>
      </c>
      <c r="N267" s="122"/>
    </row>
    <row r="268" spans="1:14" ht="15.75">
      <c r="A268" s="121"/>
      <c r="B268" s="121"/>
      <c r="C268" s="121"/>
      <c r="D268" s="126" t="s">
        <v>73</v>
      </c>
      <c r="E268" s="126" t="s">
        <v>2739</v>
      </c>
      <c r="F268" s="126" t="s">
        <v>2653</v>
      </c>
      <c r="G268" s="126" t="s">
        <v>20</v>
      </c>
      <c r="H268" s="127">
        <v>11997.57</v>
      </c>
      <c r="I268" s="126" t="s">
        <v>2646</v>
      </c>
      <c r="J268" s="174">
        <v>46023</v>
      </c>
      <c r="K268" s="126" t="s">
        <v>3020</v>
      </c>
      <c r="L268" s="126" t="s">
        <v>2667</v>
      </c>
      <c r="M268" s="128" t="b">
        <v>0</v>
      </c>
      <c r="N268" s="122"/>
    </row>
    <row r="269" spans="1:14" ht="15.75">
      <c r="A269" s="121"/>
      <c r="B269" s="121"/>
      <c r="C269" s="121"/>
      <c r="D269" s="126" t="s">
        <v>73</v>
      </c>
      <c r="E269" s="126" t="s">
        <v>2739</v>
      </c>
      <c r="F269" s="126" t="s">
        <v>2626</v>
      </c>
      <c r="G269" s="126" t="s">
        <v>23</v>
      </c>
      <c r="H269" s="127">
        <v>2500</v>
      </c>
      <c r="I269" s="126" t="s">
        <v>2646</v>
      </c>
      <c r="J269" s="174">
        <v>46023</v>
      </c>
      <c r="K269" s="126" t="s">
        <v>3020</v>
      </c>
      <c r="L269" s="126" t="s">
        <v>2667</v>
      </c>
      <c r="M269" s="128" t="b">
        <v>0</v>
      </c>
      <c r="N269" s="122"/>
    </row>
    <row r="270" spans="1:14" ht="15.75">
      <c r="A270" s="121"/>
      <c r="B270" s="121"/>
      <c r="C270" s="121"/>
      <c r="D270" s="126" t="s">
        <v>1974</v>
      </c>
      <c r="E270" s="126" t="s">
        <v>2835</v>
      </c>
      <c r="F270" s="126" t="s">
        <v>2645</v>
      </c>
      <c r="G270" s="126" t="s">
        <v>1902</v>
      </c>
      <c r="H270" s="129">
        <v>14190</v>
      </c>
      <c r="I270" s="126" t="s">
        <v>2646</v>
      </c>
      <c r="J270" s="174">
        <v>46023</v>
      </c>
      <c r="K270" s="126" t="s">
        <v>3020</v>
      </c>
      <c r="L270" s="126" t="s">
        <v>2647</v>
      </c>
      <c r="M270" s="128" t="b">
        <v>0</v>
      </c>
      <c r="N270" s="122"/>
    </row>
    <row r="271" spans="1:14" ht="15.75">
      <c r="A271" s="121"/>
      <c r="B271" s="121"/>
      <c r="C271" s="121"/>
      <c r="D271" s="126" t="s">
        <v>314</v>
      </c>
      <c r="E271" s="126" t="s">
        <v>2932</v>
      </c>
      <c r="F271" s="126" t="s">
        <v>2627</v>
      </c>
      <c r="G271" s="126" t="s">
        <v>25</v>
      </c>
      <c r="H271" s="127">
        <v>6990</v>
      </c>
      <c r="I271" s="126" t="s">
        <v>2646</v>
      </c>
      <c r="J271" s="174">
        <v>46023</v>
      </c>
      <c r="K271" s="126" t="s">
        <v>3020</v>
      </c>
      <c r="L271" s="126" t="s">
        <v>2656</v>
      </c>
      <c r="M271" s="128" t="b">
        <v>1</v>
      </c>
      <c r="N271" s="122"/>
    </row>
    <row r="272" spans="1:14" ht="15.75">
      <c r="A272" s="121"/>
      <c r="B272" s="121"/>
      <c r="C272" s="121"/>
      <c r="D272" s="126" t="s">
        <v>1975</v>
      </c>
      <c r="E272" s="126" t="s">
        <v>2858</v>
      </c>
      <c r="F272" s="126" t="s">
        <v>29</v>
      </c>
      <c r="G272" s="126" t="s">
        <v>29</v>
      </c>
      <c r="H272" s="127">
        <v>20934.919999999998</v>
      </c>
      <c r="I272" s="126" t="s">
        <v>2646</v>
      </c>
      <c r="J272" s="174">
        <v>46023</v>
      </c>
      <c r="K272" s="126" t="s">
        <v>3020</v>
      </c>
      <c r="L272" s="126" t="s">
        <v>2667</v>
      </c>
      <c r="M272" s="128" t="b">
        <v>0</v>
      </c>
      <c r="N272" s="122"/>
    </row>
    <row r="273" spans="1:14" ht="15.75">
      <c r="A273" s="121"/>
      <c r="B273" s="121"/>
      <c r="C273" s="121"/>
      <c r="D273" s="126" t="s">
        <v>1975</v>
      </c>
      <c r="E273" s="126" t="s">
        <v>2858</v>
      </c>
      <c r="F273" s="126" t="s">
        <v>21</v>
      </c>
      <c r="G273" s="126" t="s">
        <v>21</v>
      </c>
      <c r="H273" s="127">
        <v>31402.38</v>
      </c>
      <c r="I273" s="126" t="s">
        <v>2646</v>
      </c>
      <c r="J273" s="174">
        <v>46023</v>
      </c>
      <c r="K273" s="126" t="s">
        <v>3020</v>
      </c>
      <c r="L273" s="126" t="s">
        <v>2667</v>
      </c>
      <c r="M273" s="128" t="b">
        <v>0</v>
      </c>
      <c r="N273" s="122"/>
    </row>
    <row r="274" spans="1:14" ht="15.75">
      <c r="A274" s="121"/>
      <c r="B274" s="121"/>
      <c r="C274" s="121"/>
      <c r="D274" s="126" t="s">
        <v>1975</v>
      </c>
      <c r="E274" s="126" t="s">
        <v>2858</v>
      </c>
      <c r="F274" s="126" t="s">
        <v>25</v>
      </c>
      <c r="G274" s="126" t="s">
        <v>25</v>
      </c>
      <c r="H274" s="127">
        <v>9916.5400000000009</v>
      </c>
      <c r="I274" s="126" t="s">
        <v>2646</v>
      </c>
      <c r="J274" s="174">
        <v>46023</v>
      </c>
      <c r="K274" s="126" t="s">
        <v>3020</v>
      </c>
      <c r="L274" s="126" t="s">
        <v>2667</v>
      </c>
      <c r="M274" s="128" t="b">
        <v>0</v>
      </c>
      <c r="N274" s="122"/>
    </row>
    <row r="275" spans="1:14" ht="15.75">
      <c r="A275" s="121"/>
      <c r="B275" s="121"/>
      <c r="C275" s="121"/>
      <c r="D275" s="126" t="s">
        <v>1975</v>
      </c>
      <c r="E275" s="126" t="s">
        <v>2858</v>
      </c>
      <c r="F275" s="126" t="s">
        <v>23</v>
      </c>
      <c r="G275" s="126" t="s">
        <v>23</v>
      </c>
      <c r="H275" s="127">
        <v>35258.81</v>
      </c>
      <c r="I275" s="126" t="s">
        <v>2646</v>
      </c>
      <c r="J275" s="174">
        <v>46023</v>
      </c>
      <c r="K275" s="126" t="s">
        <v>3020</v>
      </c>
      <c r="L275" s="126" t="s">
        <v>2667</v>
      </c>
      <c r="M275" s="128" t="b">
        <v>0</v>
      </c>
      <c r="N275" s="122"/>
    </row>
    <row r="276" spans="1:14" ht="15.75">
      <c r="A276" s="121"/>
      <c r="B276" s="121"/>
      <c r="C276" s="121"/>
      <c r="D276" s="126" t="s">
        <v>1975</v>
      </c>
      <c r="E276" s="126" t="s">
        <v>2858</v>
      </c>
      <c r="F276" s="126" t="s">
        <v>27</v>
      </c>
      <c r="G276" s="126" t="s">
        <v>27</v>
      </c>
      <c r="H276" s="127">
        <v>42971.68</v>
      </c>
      <c r="I276" s="126" t="s">
        <v>2646</v>
      </c>
      <c r="J276" s="174">
        <v>46023</v>
      </c>
      <c r="K276" s="126" t="s">
        <v>3020</v>
      </c>
      <c r="L276" s="126" t="s">
        <v>2667</v>
      </c>
      <c r="M276" s="128" t="b">
        <v>0</v>
      </c>
      <c r="N276" s="122"/>
    </row>
    <row r="277" spans="1:14" ht="15.75">
      <c r="A277" s="121"/>
      <c r="B277" s="121"/>
      <c r="C277" s="121"/>
      <c r="D277" s="126" t="s">
        <v>1975</v>
      </c>
      <c r="E277" s="126" t="s">
        <v>2858</v>
      </c>
      <c r="F277" s="126" t="s">
        <v>2653</v>
      </c>
      <c r="G277" s="126" t="s">
        <v>20</v>
      </c>
      <c r="H277" s="127">
        <v>7712.86</v>
      </c>
      <c r="I277" s="126" t="s">
        <v>2646</v>
      </c>
      <c r="J277" s="174">
        <v>46023</v>
      </c>
      <c r="K277" s="126" t="s">
        <v>3020</v>
      </c>
      <c r="L277" s="126" t="s">
        <v>2667</v>
      </c>
      <c r="M277" s="128" t="b">
        <v>0</v>
      </c>
      <c r="N277" s="122"/>
    </row>
    <row r="278" spans="1:14" ht="15.75">
      <c r="A278" s="121"/>
      <c r="B278" s="121"/>
      <c r="C278" s="121"/>
      <c r="D278" s="126" t="s">
        <v>1975</v>
      </c>
      <c r="E278" s="126" t="s">
        <v>2858</v>
      </c>
      <c r="F278" s="126" t="s">
        <v>2621</v>
      </c>
      <c r="G278" s="126" t="s">
        <v>1931</v>
      </c>
      <c r="H278" s="127">
        <v>11569.3</v>
      </c>
      <c r="I278" s="126" t="s">
        <v>2646</v>
      </c>
      <c r="J278" s="174">
        <v>46023</v>
      </c>
      <c r="K278" s="126" t="s">
        <v>3020</v>
      </c>
      <c r="L278" s="126" t="s">
        <v>2667</v>
      </c>
      <c r="M278" s="128" t="b">
        <v>0</v>
      </c>
      <c r="N278" s="122"/>
    </row>
    <row r="279" spans="1:14" ht="15.75">
      <c r="A279" s="121"/>
      <c r="B279" s="121"/>
      <c r="C279" s="121"/>
      <c r="D279" s="126" t="s">
        <v>1975</v>
      </c>
      <c r="E279" s="126" t="s">
        <v>2858</v>
      </c>
      <c r="F279" s="126" t="s">
        <v>26</v>
      </c>
      <c r="G279" s="126" t="s">
        <v>25</v>
      </c>
      <c r="H279" s="127">
        <v>15425.73</v>
      </c>
      <c r="I279" s="126" t="s">
        <v>2646</v>
      </c>
      <c r="J279" s="174">
        <v>46023</v>
      </c>
      <c r="K279" s="126" t="s">
        <v>3020</v>
      </c>
      <c r="L279" s="126" t="s">
        <v>2667</v>
      </c>
      <c r="M279" s="128" t="b">
        <v>0</v>
      </c>
      <c r="N279" s="122"/>
    </row>
    <row r="280" spans="1:14" ht="15.75">
      <c r="A280" s="121"/>
      <c r="B280" s="121"/>
      <c r="C280" s="121"/>
      <c r="D280" s="126" t="s">
        <v>1975</v>
      </c>
      <c r="E280" s="126" t="s">
        <v>2858</v>
      </c>
      <c r="F280" s="126" t="s">
        <v>30</v>
      </c>
      <c r="G280" s="126" t="s">
        <v>29</v>
      </c>
      <c r="H280" s="127">
        <v>7988.32</v>
      </c>
      <c r="I280" s="126" t="s">
        <v>2646</v>
      </c>
      <c r="J280" s="174">
        <v>46023</v>
      </c>
      <c r="K280" s="126" t="s">
        <v>3020</v>
      </c>
      <c r="L280" s="126" t="s">
        <v>2667</v>
      </c>
      <c r="M280" s="128" t="b">
        <v>0</v>
      </c>
      <c r="N280" s="122"/>
    </row>
    <row r="281" spans="1:14" ht="15.75">
      <c r="A281" s="121"/>
      <c r="B281" s="121"/>
      <c r="C281" s="121"/>
      <c r="D281" s="126" t="s">
        <v>1975</v>
      </c>
      <c r="E281" s="126" t="s">
        <v>2858</v>
      </c>
      <c r="F281" s="126" t="s">
        <v>24</v>
      </c>
      <c r="G281" s="126" t="s">
        <v>1695</v>
      </c>
      <c r="H281" s="127">
        <v>39666.160000000003</v>
      </c>
      <c r="I281" s="126" t="s">
        <v>2646</v>
      </c>
      <c r="J281" s="174">
        <v>46023</v>
      </c>
      <c r="K281" s="126" t="s">
        <v>3020</v>
      </c>
      <c r="L281" s="126" t="s">
        <v>2667</v>
      </c>
      <c r="M281" s="128" t="b">
        <v>0</v>
      </c>
      <c r="N281" s="122"/>
    </row>
    <row r="282" spans="1:14" ht="15.75">
      <c r="A282" s="121"/>
      <c r="B282" s="121"/>
      <c r="C282" s="121"/>
      <c r="D282" s="126" t="s">
        <v>1975</v>
      </c>
      <c r="E282" s="126" t="s">
        <v>2858</v>
      </c>
      <c r="F282" s="126" t="s">
        <v>31</v>
      </c>
      <c r="G282" s="126" t="s">
        <v>31</v>
      </c>
      <c r="H282" s="127">
        <v>31953.3</v>
      </c>
      <c r="I282" s="126" t="s">
        <v>2646</v>
      </c>
      <c r="J282" s="174">
        <v>46023</v>
      </c>
      <c r="K282" s="126" t="s">
        <v>3020</v>
      </c>
      <c r="L282" s="126" t="s">
        <v>2667</v>
      </c>
      <c r="M282" s="128" t="b">
        <v>0</v>
      </c>
      <c r="N282" s="122"/>
    </row>
    <row r="283" spans="1:14" ht="15.75">
      <c r="A283" s="121"/>
      <c r="B283" s="121"/>
      <c r="C283" s="121"/>
      <c r="D283" s="126" t="s">
        <v>1976</v>
      </c>
      <c r="E283" s="126" t="s">
        <v>2702</v>
      </c>
      <c r="F283" s="126" t="s">
        <v>33</v>
      </c>
      <c r="G283" s="126" t="s">
        <v>20</v>
      </c>
      <c r="H283" s="127">
        <v>10000</v>
      </c>
      <c r="I283" s="126" t="s">
        <v>2646</v>
      </c>
      <c r="J283" s="174">
        <v>46023</v>
      </c>
      <c r="K283" s="126" t="s">
        <v>3020</v>
      </c>
      <c r="L283" s="126" t="s">
        <v>2643</v>
      </c>
      <c r="M283" s="128" t="b">
        <v>0</v>
      </c>
      <c r="N283" s="122"/>
    </row>
    <row r="284" spans="1:14" ht="15.75">
      <c r="A284" s="121"/>
      <c r="B284" s="121"/>
      <c r="C284" s="121"/>
      <c r="D284" s="126" t="s">
        <v>1976</v>
      </c>
      <c r="E284" s="126" t="s">
        <v>2702</v>
      </c>
      <c r="F284" s="126" t="s">
        <v>2625</v>
      </c>
      <c r="G284" s="126" t="s">
        <v>27</v>
      </c>
      <c r="H284" s="127">
        <v>15880</v>
      </c>
      <c r="I284" s="126" t="s">
        <v>2646</v>
      </c>
      <c r="J284" s="174">
        <v>46023</v>
      </c>
      <c r="K284" s="126" t="s">
        <v>3020</v>
      </c>
      <c r="L284" s="126" t="s">
        <v>2643</v>
      </c>
      <c r="M284" s="128" t="b">
        <v>0</v>
      </c>
      <c r="N284" s="122"/>
    </row>
    <row r="285" spans="1:14" ht="15.75">
      <c r="A285" s="121"/>
      <c r="B285" s="121"/>
      <c r="C285" s="121"/>
      <c r="D285" s="126" t="s">
        <v>1976</v>
      </c>
      <c r="E285" s="126" t="s">
        <v>2702</v>
      </c>
      <c r="F285" s="126" t="s">
        <v>2617</v>
      </c>
      <c r="G285" s="126" t="s">
        <v>23</v>
      </c>
      <c r="H285" s="127">
        <v>15000</v>
      </c>
      <c r="I285" s="126" t="s">
        <v>2646</v>
      </c>
      <c r="J285" s="174">
        <v>46023</v>
      </c>
      <c r="K285" s="126" t="s">
        <v>3020</v>
      </c>
      <c r="L285" s="126" t="s">
        <v>2643</v>
      </c>
      <c r="M285" s="128" t="b">
        <v>0</v>
      </c>
      <c r="N285" s="122"/>
    </row>
    <row r="286" spans="1:14" ht="15.75">
      <c r="A286" s="121"/>
      <c r="B286" s="121"/>
      <c r="C286" s="121"/>
      <c r="D286" s="126" t="s">
        <v>1977</v>
      </c>
      <c r="E286" s="126" t="s">
        <v>2806</v>
      </c>
      <c r="F286" s="126" t="s">
        <v>2055</v>
      </c>
      <c r="G286" s="126" t="s">
        <v>27</v>
      </c>
      <c r="H286" s="127">
        <v>11915</v>
      </c>
      <c r="I286" s="126" t="s">
        <v>2646</v>
      </c>
      <c r="J286" s="174">
        <v>46023</v>
      </c>
      <c r="K286" s="126" t="s">
        <v>3020</v>
      </c>
      <c r="L286" s="126" t="s">
        <v>2643</v>
      </c>
      <c r="M286" s="128" t="b">
        <v>1</v>
      </c>
      <c r="N286" s="122"/>
    </row>
    <row r="287" spans="1:14" ht="15.75">
      <c r="A287" s="121"/>
      <c r="B287" s="121"/>
      <c r="C287" s="121"/>
      <c r="D287" s="126" t="s">
        <v>1977</v>
      </c>
      <c r="E287" s="126" t="s">
        <v>2806</v>
      </c>
      <c r="F287" s="126" t="s">
        <v>2653</v>
      </c>
      <c r="G287" s="126" t="s">
        <v>20</v>
      </c>
      <c r="H287" s="127">
        <v>5000</v>
      </c>
      <c r="I287" s="126" t="s">
        <v>2646</v>
      </c>
      <c r="J287" s="174">
        <v>46023</v>
      </c>
      <c r="K287" s="126" t="s">
        <v>3020</v>
      </c>
      <c r="L287" s="126" t="s">
        <v>2643</v>
      </c>
      <c r="M287" s="128" t="b">
        <v>1</v>
      </c>
      <c r="N287" s="122"/>
    </row>
    <row r="288" spans="1:14" ht="15.75">
      <c r="A288" s="121"/>
      <c r="B288" s="121"/>
      <c r="C288" s="121"/>
      <c r="D288" s="126" t="s">
        <v>89</v>
      </c>
      <c r="E288" s="126" t="s">
        <v>2917</v>
      </c>
      <c r="F288" s="126" t="s">
        <v>2653</v>
      </c>
      <c r="G288" s="126" t="s">
        <v>20</v>
      </c>
      <c r="H288" s="127">
        <v>10469.93</v>
      </c>
      <c r="I288" s="126" t="s">
        <v>2646</v>
      </c>
      <c r="J288" s="174">
        <v>46023</v>
      </c>
      <c r="K288" s="126" t="s">
        <v>3020</v>
      </c>
      <c r="L288" s="126" t="s">
        <v>2680</v>
      </c>
      <c r="M288" s="128" t="b">
        <v>0</v>
      </c>
      <c r="N288" s="122"/>
    </row>
    <row r="289" spans="1:14" ht="15.75">
      <c r="A289" s="121"/>
      <c r="B289" s="121"/>
      <c r="C289" s="121"/>
      <c r="D289" s="126" t="s">
        <v>89</v>
      </c>
      <c r="E289" s="126" t="s">
        <v>2917</v>
      </c>
      <c r="F289" s="126" t="s">
        <v>2618</v>
      </c>
      <c r="G289" s="126" t="s">
        <v>1695</v>
      </c>
      <c r="H289" s="127">
        <v>51054.400000000001</v>
      </c>
      <c r="I289" s="126" t="s">
        <v>2646</v>
      </c>
      <c r="J289" s="174">
        <v>46023</v>
      </c>
      <c r="K289" s="126" t="s">
        <v>3020</v>
      </c>
      <c r="L289" s="126" t="s">
        <v>2680</v>
      </c>
      <c r="M289" s="128" t="b">
        <v>0</v>
      </c>
      <c r="N289" s="122"/>
    </row>
    <row r="290" spans="1:14" ht="15.75">
      <c r="A290" s="121"/>
      <c r="B290" s="121"/>
      <c r="C290" s="121"/>
      <c r="D290" s="126" t="s">
        <v>89</v>
      </c>
      <c r="E290" s="126" t="s">
        <v>2917</v>
      </c>
      <c r="F290" s="126" t="s">
        <v>1900</v>
      </c>
      <c r="G290" s="126" t="s">
        <v>21</v>
      </c>
      <c r="H290" s="127">
        <v>31895.51</v>
      </c>
      <c r="I290" s="126" t="s">
        <v>2646</v>
      </c>
      <c r="J290" s="174">
        <v>46023</v>
      </c>
      <c r="K290" s="126" t="s">
        <v>3020</v>
      </c>
      <c r="L290" s="126" t="s">
        <v>2680</v>
      </c>
      <c r="M290" s="128" t="b">
        <v>0</v>
      </c>
      <c r="N290" s="122"/>
    </row>
    <row r="291" spans="1:14" ht="15.75">
      <c r="A291" s="121"/>
      <c r="B291" s="121"/>
      <c r="C291" s="121"/>
      <c r="D291" s="126" t="s">
        <v>89</v>
      </c>
      <c r="E291" s="126" t="s">
        <v>2917</v>
      </c>
      <c r="F291" s="126" t="s">
        <v>2074</v>
      </c>
      <c r="G291" s="126" t="s">
        <v>23</v>
      </c>
      <c r="H291" s="127">
        <v>26120.86</v>
      </c>
      <c r="I291" s="126" t="s">
        <v>2646</v>
      </c>
      <c r="J291" s="174">
        <v>46023</v>
      </c>
      <c r="K291" s="126" t="s">
        <v>3020</v>
      </c>
      <c r="L291" s="126" t="s">
        <v>2680</v>
      </c>
      <c r="M291" s="128" t="b">
        <v>0</v>
      </c>
      <c r="N291" s="122"/>
    </row>
    <row r="292" spans="1:14" ht="15.75">
      <c r="A292" s="121"/>
      <c r="B292" s="121"/>
      <c r="C292" s="121"/>
      <c r="D292" s="126" t="s">
        <v>75</v>
      </c>
      <c r="E292" s="126" t="s">
        <v>2825</v>
      </c>
      <c r="F292" s="126" t="s">
        <v>1914</v>
      </c>
      <c r="G292" s="126" t="s">
        <v>1695</v>
      </c>
      <c r="H292" s="127">
        <v>56074.07</v>
      </c>
      <c r="I292" s="126" t="s">
        <v>2646</v>
      </c>
      <c r="J292" s="174">
        <v>46023</v>
      </c>
      <c r="K292" s="126" t="s">
        <v>3020</v>
      </c>
      <c r="L292" s="126" t="s">
        <v>2667</v>
      </c>
      <c r="M292" s="128" t="b">
        <v>0</v>
      </c>
      <c r="N292" s="122"/>
    </row>
    <row r="293" spans="1:14" ht="15.75">
      <c r="A293" s="121"/>
      <c r="B293" s="121"/>
      <c r="C293" s="121"/>
      <c r="D293" s="126" t="s">
        <v>75</v>
      </c>
      <c r="E293" s="126" t="s">
        <v>2825</v>
      </c>
      <c r="F293" s="126" t="s">
        <v>1900</v>
      </c>
      <c r="G293" s="126" t="s">
        <v>21</v>
      </c>
      <c r="H293" s="127">
        <v>30208.04</v>
      </c>
      <c r="I293" s="126" t="s">
        <v>2646</v>
      </c>
      <c r="J293" s="174">
        <v>46023</v>
      </c>
      <c r="K293" s="126" t="s">
        <v>3020</v>
      </c>
      <c r="L293" s="126" t="s">
        <v>2667</v>
      </c>
      <c r="M293" s="128" t="b">
        <v>0</v>
      </c>
      <c r="N293" s="122"/>
    </row>
    <row r="294" spans="1:14" ht="15.75">
      <c r="A294" s="121"/>
      <c r="B294" s="121"/>
      <c r="C294" s="121"/>
      <c r="D294" s="126" t="s">
        <v>75</v>
      </c>
      <c r="E294" s="126" t="s">
        <v>2825</v>
      </c>
      <c r="F294" s="126" t="s">
        <v>1886</v>
      </c>
      <c r="G294" s="126" t="s">
        <v>21</v>
      </c>
      <c r="H294" s="127">
        <v>29806.21</v>
      </c>
      <c r="I294" s="126" t="s">
        <v>2646</v>
      </c>
      <c r="J294" s="174">
        <v>46023</v>
      </c>
      <c r="K294" s="126" t="s">
        <v>3020</v>
      </c>
      <c r="L294" s="126" t="s">
        <v>2667</v>
      </c>
      <c r="M294" s="128" t="b">
        <v>0</v>
      </c>
      <c r="N294" s="122"/>
    </row>
    <row r="295" spans="1:14" ht="15.75">
      <c r="A295" s="121"/>
      <c r="B295" s="121"/>
      <c r="C295" s="121"/>
      <c r="D295" s="126" t="s">
        <v>75</v>
      </c>
      <c r="E295" s="126" t="s">
        <v>2825</v>
      </c>
      <c r="F295" s="126" t="s">
        <v>1843</v>
      </c>
      <c r="G295" s="126" t="s">
        <v>21</v>
      </c>
      <c r="H295" s="127">
        <v>12951</v>
      </c>
      <c r="I295" s="126" t="s">
        <v>2646</v>
      </c>
      <c r="J295" s="174">
        <v>46023</v>
      </c>
      <c r="K295" s="126" t="s">
        <v>3020</v>
      </c>
      <c r="L295" s="126" t="s">
        <v>2667</v>
      </c>
      <c r="M295" s="128" t="b">
        <v>0</v>
      </c>
      <c r="N295" s="122"/>
    </row>
    <row r="296" spans="1:14" ht="15.75">
      <c r="A296" s="121"/>
      <c r="B296" s="121"/>
      <c r="C296" s="121"/>
      <c r="D296" s="126" t="s">
        <v>75</v>
      </c>
      <c r="E296" s="126" t="s">
        <v>2825</v>
      </c>
      <c r="F296" s="126" t="s">
        <v>2653</v>
      </c>
      <c r="G296" s="126" t="s">
        <v>20</v>
      </c>
      <c r="H296" s="127">
        <v>13717.66</v>
      </c>
      <c r="I296" s="126" t="s">
        <v>2646</v>
      </c>
      <c r="J296" s="174">
        <v>46023</v>
      </c>
      <c r="K296" s="126" t="s">
        <v>3020</v>
      </c>
      <c r="L296" s="126" t="s">
        <v>2667</v>
      </c>
      <c r="M296" s="128" t="b">
        <v>0</v>
      </c>
      <c r="N296" s="122"/>
    </row>
    <row r="297" spans="1:14" ht="15.75">
      <c r="A297" s="121"/>
      <c r="B297" s="121"/>
      <c r="C297" s="121"/>
      <c r="D297" s="126" t="s">
        <v>56</v>
      </c>
      <c r="E297" s="126" t="s">
        <v>2676</v>
      </c>
      <c r="F297" s="126" t="s">
        <v>1889</v>
      </c>
      <c r="G297" s="126" t="s">
        <v>21</v>
      </c>
      <c r="H297" s="127">
        <v>67840</v>
      </c>
      <c r="I297" s="126" t="s">
        <v>2646</v>
      </c>
      <c r="J297" s="174">
        <v>46023</v>
      </c>
      <c r="K297" s="126" t="s">
        <v>3020</v>
      </c>
      <c r="L297" s="126" t="s">
        <v>2667</v>
      </c>
      <c r="M297" s="128" t="b">
        <v>0</v>
      </c>
      <c r="N297" s="122"/>
    </row>
    <row r="298" spans="1:14" ht="15.75">
      <c r="A298" s="121"/>
      <c r="B298" s="121"/>
      <c r="C298" s="121"/>
      <c r="D298" s="126" t="s">
        <v>1978</v>
      </c>
      <c r="E298" s="126" t="s">
        <v>2756</v>
      </c>
      <c r="F298" s="126" t="s">
        <v>2617</v>
      </c>
      <c r="G298" s="126" t="s">
        <v>23</v>
      </c>
      <c r="H298" s="127">
        <v>16783.36</v>
      </c>
      <c r="I298" s="126" t="s">
        <v>2646</v>
      </c>
      <c r="J298" s="174">
        <v>46023</v>
      </c>
      <c r="K298" s="126" t="s">
        <v>3020</v>
      </c>
      <c r="L298" s="126" t="s">
        <v>2667</v>
      </c>
      <c r="M298" s="128" t="b">
        <v>0</v>
      </c>
      <c r="N298" s="122"/>
    </row>
    <row r="299" spans="1:14" ht="15.75">
      <c r="A299" s="121"/>
      <c r="B299" s="121"/>
      <c r="C299" s="121"/>
      <c r="D299" s="126" t="s">
        <v>1978</v>
      </c>
      <c r="E299" s="126" t="s">
        <v>2756</v>
      </c>
      <c r="F299" s="126" t="s">
        <v>2625</v>
      </c>
      <c r="G299" s="126" t="s">
        <v>27</v>
      </c>
      <c r="H299" s="127">
        <v>22909.8</v>
      </c>
      <c r="I299" s="126" t="s">
        <v>2646</v>
      </c>
      <c r="J299" s="174">
        <v>46023</v>
      </c>
      <c r="K299" s="126" t="s">
        <v>3020</v>
      </c>
      <c r="L299" s="126" t="s">
        <v>2667</v>
      </c>
      <c r="M299" s="128" t="b">
        <v>0</v>
      </c>
      <c r="N299" s="122"/>
    </row>
    <row r="300" spans="1:14" ht="15.75">
      <c r="A300" s="121"/>
      <c r="B300" s="121"/>
      <c r="C300" s="121"/>
      <c r="D300" s="126" t="s">
        <v>1978</v>
      </c>
      <c r="E300" s="126" t="s">
        <v>2756</v>
      </c>
      <c r="F300" s="126" t="s">
        <v>2653</v>
      </c>
      <c r="G300" s="126" t="s">
        <v>20</v>
      </c>
      <c r="H300" s="127">
        <v>6023.48</v>
      </c>
      <c r="I300" s="126" t="s">
        <v>2646</v>
      </c>
      <c r="J300" s="174">
        <v>46023</v>
      </c>
      <c r="K300" s="126" t="s">
        <v>3020</v>
      </c>
      <c r="L300" s="126" t="s">
        <v>2667</v>
      </c>
      <c r="M300" s="128" t="b">
        <v>0</v>
      </c>
      <c r="N300" s="122"/>
    </row>
    <row r="301" spans="1:14" ht="15.75">
      <c r="A301" s="121"/>
      <c r="B301" s="121"/>
      <c r="C301" s="121"/>
      <c r="D301" s="126" t="s">
        <v>1978</v>
      </c>
      <c r="E301" s="126" t="s">
        <v>2756</v>
      </c>
      <c r="F301" s="126" t="s">
        <v>1843</v>
      </c>
      <c r="G301" s="126" t="s">
        <v>21</v>
      </c>
      <c r="H301" s="127">
        <v>9987.64</v>
      </c>
      <c r="I301" s="126" t="s">
        <v>2646</v>
      </c>
      <c r="J301" s="174">
        <v>46023</v>
      </c>
      <c r="K301" s="126" t="s">
        <v>3020</v>
      </c>
      <c r="L301" s="126" t="s">
        <v>2667</v>
      </c>
      <c r="M301" s="128" t="b">
        <v>0</v>
      </c>
      <c r="N301" s="122"/>
    </row>
    <row r="302" spans="1:14" ht="15.75">
      <c r="A302" s="121"/>
      <c r="B302" s="121"/>
      <c r="C302" s="121"/>
      <c r="D302" s="126" t="s">
        <v>1978</v>
      </c>
      <c r="E302" s="126" t="s">
        <v>2756</v>
      </c>
      <c r="F302" s="126" t="s">
        <v>1828</v>
      </c>
      <c r="G302" s="126" t="s">
        <v>21</v>
      </c>
      <c r="H302" s="127">
        <v>9524.2999999999993</v>
      </c>
      <c r="I302" s="126" t="s">
        <v>2646</v>
      </c>
      <c r="J302" s="174">
        <v>46023</v>
      </c>
      <c r="K302" s="126" t="s">
        <v>3020</v>
      </c>
      <c r="L302" s="126" t="s">
        <v>2667</v>
      </c>
      <c r="M302" s="128" t="b">
        <v>0</v>
      </c>
      <c r="N302" s="122"/>
    </row>
    <row r="303" spans="1:14" ht="15.75">
      <c r="A303" s="121"/>
      <c r="B303" s="121"/>
      <c r="C303" s="121"/>
      <c r="D303" s="126" t="s">
        <v>1978</v>
      </c>
      <c r="E303" s="126" t="s">
        <v>2756</v>
      </c>
      <c r="F303" s="126" t="s">
        <v>2626</v>
      </c>
      <c r="G303" s="126" t="s">
        <v>23</v>
      </c>
      <c r="H303" s="127">
        <v>2500</v>
      </c>
      <c r="I303" s="126" t="s">
        <v>2646</v>
      </c>
      <c r="J303" s="174">
        <v>46023</v>
      </c>
      <c r="K303" s="126" t="s">
        <v>3020</v>
      </c>
      <c r="L303" s="126" t="s">
        <v>2667</v>
      </c>
      <c r="M303" s="128" t="b">
        <v>0</v>
      </c>
      <c r="N303" s="122"/>
    </row>
    <row r="304" spans="1:14" ht="15.75">
      <c r="A304" s="121"/>
      <c r="B304" s="121"/>
      <c r="C304" s="121"/>
      <c r="D304" s="126" t="s">
        <v>1978</v>
      </c>
      <c r="E304" s="126" t="s">
        <v>2756</v>
      </c>
      <c r="F304" s="126" t="s">
        <v>1794</v>
      </c>
      <c r="G304" s="126" t="s">
        <v>27</v>
      </c>
      <c r="H304" s="127">
        <v>7207.58</v>
      </c>
      <c r="I304" s="126" t="s">
        <v>2646</v>
      </c>
      <c r="J304" s="174">
        <v>46023</v>
      </c>
      <c r="K304" s="126" t="s">
        <v>3020</v>
      </c>
      <c r="L304" s="126" t="s">
        <v>2667</v>
      </c>
      <c r="M304" s="128" t="b">
        <v>0</v>
      </c>
      <c r="N304" s="122"/>
    </row>
    <row r="305" spans="1:14" ht="15.75">
      <c r="A305" s="121"/>
      <c r="B305" s="121"/>
      <c r="C305" s="121"/>
      <c r="D305" s="126" t="s">
        <v>1979</v>
      </c>
      <c r="E305" s="126" t="s">
        <v>2855</v>
      </c>
      <c r="F305" s="126" t="s">
        <v>2624</v>
      </c>
      <c r="G305" s="126" t="s">
        <v>27</v>
      </c>
      <c r="H305" s="127">
        <v>15711</v>
      </c>
      <c r="I305" s="126" t="s">
        <v>2646</v>
      </c>
      <c r="J305" s="174">
        <v>46023</v>
      </c>
      <c r="K305" s="126" t="s">
        <v>3020</v>
      </c>
      <c r="L305" s="126" t="s">
        <v>2667</v>
      </c>
      <c r="M305" s="128" t="b">
        <v>0</v>
      </c>
      <c r="N305" s="122"/>
    </row>
    <row r="306" spans="1:14" ht="15.75">
      <c r="A306" s="121"/>
      <c r="B306" s="121"/>
      <c r="C306" s="121"/>
      <c r="D306" s="126" t="s">
        <v>1979</v>
      </c>
      <c r="E306" s="126" t="s">
        <v>2855</v>
      </c>
      <c r="F306" s="126" t="s">
        <v>2653</v>
      </c>
      <c r="G306" s="126" t="s">
        <v>20</v>
      </c>
      <c r="H306" s="127">
        <v>8960</v>
      </c>
      <c r="I306" s="126" t="s">
        <v>2646</v>
      </c>
      <c r="J306" s="174">
        <v>46023</v>
      </c>
      <c r="K306" s="126" t="s">
        <v>3020</v>
      </c>
      <c r="L306" s="126" t="s">
        <v>2667</v>
      </c>
      <c r="M306" s="128" t="b">
        <v>0</v>
      </c>
      <c r="N306" s="122"/>
    </row>
    <row r="307" spans="1:14" ht="15.75">
      <c r="A307" s="121"/>
      <c r="B307" s="121"/>
      <c r="C307" s="121"/>
      <c r="D307" s="126" t="s">
        <v>1980</v>
      </c>
      <c r="E307" s="126" t="s">
        <v>2883</v>
      </c>
      <c r="F307" s="126" t="s">
        <v>1921</v>
      </c>
      <c r="G307" s="126" t="s">
        <v>25</v>
      </c>
      <c r="H307" s="127">
        <v>7686</v>
      </c>
      <c r="I307" s="126" t="s">
        <v>2646</v>
      </c>
      <c r="J307" s="174">
        <v>46023</v>
      </c>
      <c r="K307" s="126" t="s">
        <v>3020</v>
      </c>
      <c r="L307" s="126" t="s">
        <v>2656</v>
      </c>
      <c r="M307" s="128" t="b">
        <v>0</v>
      </c>
      <c r="N307" s="122"/>
    </row>
    <row r="308" spans="1:14" ht="15.75">
      <c r="A308" s="121"/>
      <c r="B308" s="121"/>
      <c r="C308" s="121"/>
      <c r="D308" s="126" t="s">
        <v>71</v>
      </c>
      <c r="E308" s="126" t="s">
        <v>2720</v>
      </c>
      <c r="F308" s="126" t="s">
        <v>1918</v>
      </c>
      <c r="G308" s="126" t="s">
        <v>25</v>
      </c>
      <c r="H308" s="127">
        <v>30500</v>
      </c>
      <c r="I308" s="126" t="s">
        <v>2646</v>
      </c>
      <c r="J308" s="174">
        <v>46023</v>
      </c>
      <c r="K308" s="126" t="s">
        <v>3020</v>
      </c>
      <c r="L308" s="126" t="s">
        <v>2671</v>
      </c>
      <c r="M308" s="128" t="b">
        <v>0</v>
      </c>
      <c r="N308" s="122"/>
    </row>
    <row r="309" spans="1:14" ht="15.75">
      <c r="A309" s="121"/>
      <c r="B309" s="121"/>
      <c r="C309" s="121"/>
      <c r="D309" s="126" t="s">
        <v>71</v>
      </c>
      <c r="E309" s="126" t="s">
        <v>2720</v>
      </c>
      <c r="F309" s="126" t="s">
        <v>1900</v>
      </c>
      <c r="G309" s="126" t="s">
        <v>21</v>
      </c>
      <c r="H309" s="127">
        <v>28000</v>
      </c>
      <c r="I309" s="126" t="s">
        <v>2646</v>
      </c>
      <c r="J309" s="174">
        <v>46023</v>
      </c>
      <c r="K309" s="126" t="s">
        <v>3020</v>
      </c>
      <c r="L309" s="126" t="s">
        <v>2671</v>
      </c>
      <c r="M309" s="128" t="b">
        <v>0</v>
      </c>
      <c r="N309" s="122"/>
    </row>
    <row r="310" spans="1:14" ht="15.75">
      <c r="A310" s="121"/>
      <c r="B310" s="121"/>
      <c r="C310" s="121"/>
      <c r="D310" s="126" t="s">
        <v>71</v>
      </c>
      <c r="E310" s="126" t="s">
        <v>2720</v>
      </c>
      <c r="F310" s="126" t="s">
        <v>1889</v>
      </c>
      <c r="G310" s="126" t="s">
        <v>21</v>
      </c>
      <c r="H310" s="127">
        <v>47500</v>
      </c>
      <c r="I310" s="126" t="s">
        <v>2646</v>
      </c>
      <c r="J310" s="174">
        <v>46023</v>
      </c>
      <c r="K310" s="126" t="s">
        <v>3020</v>
      </c>
      <c r="L310" s="126" t="s">
        <v>2671</v>
      </c>
      <c r="M310" s="128" t="b">
        <v>0</v>
      </c>
      <c r="N310" s="122"/>
    </row>
    <row r="311" spans="1:14" ht="15.75">
      <c r="A311" s="121"/>
      <c r="B311" s="121"/>
      <c r="C311" s="121"/>
      <c r="D311" s="126" t="s">
        <v>71</v>
      </c>
      <c r="E311" s="126" t="s">
        <v>2720</v>
      </c>
      <c r="F311" s="126" t="s">
        <v>2074</v>
      </c>
      <c r="G311" s="126" t="s">
        <v>23</v>
      </c>
      <c r="H311" s="127">
        <v>22900</v>
      </c>
      <c r="I311" s="126" t="s">
        <v>2646</v>
      </c>
      <c r="J311" s="174">
        <v>46023</v>
      </c>
      <c r="K311" s="126" t="s">
        <v>3020</v>
      </c>
      <c r="L311" s="126" t="s">
        <v>2671</v>
      </c>
      <c r="M311" s="128" t="b">
        <v>0</v>
      </c>
      <c r="N311" s="122"/>
    </row>
    <row r="312" spans="1:14" ht="15.75">
      <c r="A312" s="121"/>
      <c r="B312" s="121"/>
      <c r="C312" s="121"/>
      <c r="D312" s="126" t="s">
        <v>71</v>
      </c>
      <c r="E312" s="126" t="s">
        <v>2720</v>
      </c>
      <c r="F312" s="126" t="s">
        <v>2112</v>
      </c>
      <c r="G312" s="126" t="s">
        <v>1931</v>
      </c>
      <c r="H312" s="127">
        <v>13500</v>
      </c>
      <c r="I312" s="126" t="s">
        <v>2646</v>
      </c>
      <c r="J312" s="174">
        <v>46023</v>
      </c>
      <c r="K312" s="126" t="s">
        <v>3020</v>
      </c>
      <c r="L312" s="126" t="s">
        <v>2671</v>
      </c>
      <c r="M312" s="128" t="b">
        <v>0</v>
      </c>
      <c r="N312" s="122"/>
    </row>
    <row r="313" spans="1:14" ht="15.75">
      <c r="A313" s="121"/>
      <c r="B313" s="121"/>
      <c r="C313" s="121"/>
      <c r="D313" s="126" t="s">
        <v>71</v>
      </c>
      <c r="E313" s="126" t="s">
        <v>2720</v>
      </c>
      <c r="F313" s="126" t="s">
        <v>2622</v>
      </c>
      <c r="G313" s="126" t="s">
        <v>29</v>
      </c>
      <c r="H313" s="127">
        <v>24400</v>
      </c>
      <c r="I313" s="126" t="s">
        <v>2646</v>
      </c>
      <c r="J313" s="174">
        <v>46023</v>
      </c>
      <c r="K313" s="126" t="s">
        <v>3020</v>
      </c>
      <c r="L313" s="126" t="s">
        <v>2671</v>
      </c>
      <c r="M313" s="128" t="b">
        <v>0</v>
      </c>
      <c r="N313" s="122"/>
    </row>
    <row r="314" spans="1:14" ht="15.75">
      <c r="A314" s="121"/>
      <c r="B314" s="121"/>
      <c r="C314" s="121"/>
      <c r="D314" s="126" t="s">
        <v>71</v>
      </c>
      <c r="E314" s="126" t="s">
        <v>2720</v>
      </c>
      <c r="F314" s="126" t="s">
        <v>2653</v>
      </c>
      <c r="G314" s="126" t="s">
        <v>20</v>
      </c>
      <c r="H314" s="127">
        <v>12900</v>
      </c>
      <c r="I314" s="126" t="s">
        <v>2646</v>
      </c>
      <c r="J314" s="174">
        <v>46023</v>
      </c>
      <c r="K314" s="126" t="s">
        <v>3020</v>
      </c>
      <c r="L314" s="126" t="s">
        <v>2671</v>
      </c>
      <c r="M314" s="128" t="b">
        <v>0</v>
      </c>
      <c r="N314" s="122"/>
    </row>
    <row r="315" spans="1:14" ht="15.75">
      <c r="A315" s="121"/>
      <c r="B315" s="121"/>
      <c r="C315" s="121"/>
      <c r="D315" s="126" t="s">
        <v>890</v>
      </c>
      <c r="E315" s="126" t="s">
        <v>2863</v>
      </c>
      <c r="F315" s="126" t="s">
        <v>2653</v>
      </c>
      <c r="G315" s="126" t="s">
        <v>20</v>
      </c>
      <c r="H315" s="127">
        <v>9995</v>
      </c>
      <c r="I315" s="126" t="s">
        <v>2655</v>
      </c>
      <c r="J315" s="174">
        <v>46143</v>
      </c>
      <c r="K315" s="174">
        <v>46478</v>
      </c>
      <c r="L315" s="126" t="s">
        <v>2656</v>
      </c>
      <c r="M315" s="128" t="b">
        <v>0</v>
      </c>
      <c r="N315" s="122"/>
    </row>
    <row r="316" spans="1:14" ht="15.75">
      <c r="A316" s="121"/>
      <c r="B316" s="121"/>
      <c r="C316" s="121"/>
      <c r="D316" s="126" t="s">
        <v>1981</v>
      </c>
      <c r="E316" s="126" t="s">
        <v>2880</v>
      </c>
      <c r="F316" s="126" t="s">
        <v>2625</v>
      </c>
      <c r="G316" s="126" t="s">
        <v>27</v>
      </c>
      <c r="H316" s="127">
        <v>20000</v>
      </c>
      <c r="I316" s="126" t="s">
        <v>1705</v>
      </c>
      <c r="J316" s="126" t="s">
        <v>3021</v>
      </c>
      <c r="K316" s="174">
        <v>46722</v>
      </c>
      <c r="L316" s="126" t="s">
        <v>2667</v>
      </c>
      <c r="M316" s="128" t="b">
        <v>0</v>
      </c>
      <c r="N316" s="122"/>
    </row>
    <row r="317" spans="1:14" ht="15.75">
      <c r="A317" s="121"/>
      <c r="B317" s="121"/>
      <c r="C317" s="121"/>
      <c r="D317" s="126" t="s">
        <v>1982</v>
      </c>
      <c r="E317" s="126" t="s">
        <v>2770</v>
      </c>
      <c r="F317" s="126" t="s">
        <v>1817</v>
      </c>
      <c r="G317" s="126" t="s">
        <v>35</v>
      </c>
      <c r="H317" s="127">
        <v>25000</v>
      </c>
      <c r="I317" s="126" t="s">
        <v>1705</v>
      </c>
      <c r="J317" s="126" t="s">
        <v>3022</v>
      </c>
      <c r="K317" s="126" t="s">
        <v>3023</v>
      </c>
      <c r="L317" s="126" t="s">
        <v>2643</v>
      </c>
      <c r="M317" s="128" t="b">
        <v>0</v>
      </c>
      <c r="N317" s="122"/>
    </row>
    <row r="318" spans="1:14" ht="15.75">
      <c r="A318" s="121"/>
      <c r="B318" s="121"/>
      <c r="C318" s="121"/>
      <c r="D318" s="126" t="s">
        <v>1983</v>
      </c>
      <c r="E318" s="126" t="s">
        <v>2737</v>
      </c>
      <c r="F318" s="126" t="s">
        <v>1817</v>
      </c>
      <c r="G318" s="126" t="s">
        <v>35</v>
      </c>
      <c r="H318" s="127">
        <v>20000</v>
      </c>
      <c r="I318" s="126" t="s">
        <v>2655</v>
      </c>
      <c r="J318" s="126" t="s">
        <v>3024</v>
      </c>
      <c r="K318" s="126" t="s">
        <v>3025</v>
      </c>
      <c r="L318" s="126" t="s">
        <v>2643</v>
      </c>
      <c r="M318" s="128" t="b">
        <v>0</v>
      </c>
      <c r="N318" s="122"/>
    </row>
    <row r="319" spans="1:14" ht="15.75">
      <c r="A319" s="121"/>
      <c r="B319" s="121"/>
      <c r="C319" s="121"/>
      <c r="D319" s="126" t="s">
        <v>1983</v>
      </c>
      <c r="E319" s="126" t="s">
        <v>2737</v>
      </c>
      <c r="F319" s="126" t="s">
        <v>2653</v>
      </c>
      <c r="G319" s="126" t="s">
        <v>20</v>
      </c>
      <c r="H319" s="127">
        <v>4960</v>
      </c>
      <c r="I319" s="126" t="s">
        <v>2655</v>
      </c>
      <c r="J319" s="126" t="s">
        <v>3024</v>
      </c>
      <c r="K319" s="126" t="s">
        <v>3025</v>
      </c>
      <c r="L319" s="126" t="s">
        <v>2643</v>
      </c>
      <c r="M319" s="128" t="b">
        <v>0</v>
      </c>
      <c r="N319" s="122"/>
    </row>
    <row r="320" spans="1:14" ht="15.75">
      <c r="A320" s="121"/>
      <c r="B320" s="121"/>
      <c r="C320" s="121"/>
      <c r="D320" s="126" t="s">
        <v>1984</v>
      </c>
      <c r="E320" s="126" t="s">
        <v>2670</v>
      </c>
      <c r="F320" s="126" t="s">
        <v>1819</v>
      </c>
      <c r="G320" s="126" t="s">
        <v>25</v>
      </c>
      <c r="H320" s="127">
        <v>7500</v>
      </c>
      <c r="I320" s="126" t="s">
        <v>2646</v>
      </c>
      <c r="J320" s="126" t="s">
        <v>3026</v>
      </c>
      <c r="K320" s="126" t="s">
        <v>3027</v>
      </c>
      <c r="L320" s="126" t="s">
        <v>2671</v>
      </c>
      <c r="M320" s="128" t="b">
        <v>0</v>
      </c>
      <c r="N320" s="122"/>
    </row>
    <row r="321" spans="1:14" ht="15.75">
      <c r="A321" s="121"/>
      <c r="B321" s="121"/>
      <c r="C321" s="121"/>
      <c r="D321" s="126" t="s">
        <v>1984</v>
      </c>
      <c r="E321" s="126" t="s">
        <v>2670</v>
      </c>
      <c r="F321" s="126" t="s">
        <v>1820</v>
      </c>
      <c r="G321" s="126" t="s">
        <v>25</v>
      </c>
      <c r="H321" s="127">
        <v>10000</v>
      </c>
      <c r="I321" s="126" t="s">
        <v>2646</v>
      </c>
      <c r="J321" s="126" t="s">
        <v>3026</v>
      </c>
      <c r="K321" s="126" t="s">
        <v>3027</v>
      </c>
      <c r="L321" s="126" t="s">
        <v>2671</v>
      </c>
      <c r="M321" s="128" t="b">
        <v>0</v>
      </c>
      <c r="N321" s="122"/>
    </row>
    <row r="322" spans="1:14" ht="15.75">
      <c r="A322" s="121"/>
      <c r="B322" s="121"/>
      <c r="C322" s="121"/>
      <c r="D322" s="126" t="s">
        <v>1984</v>
      </c>
      <c r="E322" s="126" t="s">
        <v>2670</v>
      </c>
      <c r="F322" s="126" t="s">
        <v>2653</v>
      </c>
      <c r="G322" s="126" t="s">
        <v>20</v>
      </c>
      <c r="H322" s="127">
        <v>10000</v>
      </c>
      <c r="I322" s="126" t="s">
        <v>2646</v>
      </c>
      <c r="J322" s="126" t="s">
        <v>3026</v>
      </c>
      <c r="K322" s="126" t="s">
        <v>3027</v>
      </c>
      <c r="L322" s="126" t="s">
        <v>2671</v>
      </c>
      <c r="M322" s="128" t="b">
        <v>0</v>
      </c>
      <c r="N322" s="122"/>
    </row>
    <row r="323" spans="1:14" ht="15.75">
      <c r="A323" s="121"/>
      <c r="B323" s="121"/>
      <c r="C323" s="121"/>
      <c r="D323" s="126" t="s">
        <v>172</v>
      </c>
      <c r="E323" s="126" t="s">
        <v>2830</v>
      </c>
      <c r="F323" s="126" t="s">
        <v>2653</v>
      </c>
      <c r="G323" s="126" t="s">
        <v>20</v>
      </c>
      <c r="H323" s="127">
        <v>6800</v>
      </c>
      <c r="I323" s="126" t="s">
        <v>2646</v>
      </c>
      <c r="J323" s="126" t="s">
        <v>3028</v>
      </c>
      <c r="K323" s="126" t="s">
        <v>3029</v>
      </c>
      <c r="L323" s="126" t="s">
        <v>2671</v>
      </c>
      <c r="M323" s="128" t="b">
        <v>0</v>
      </c>
      <c r="N323" s="122"/>
    </row>
    <row r="324" spans="1:14" ht="15.75">
      <c r="A324" s="121"/>
      <c r="B324" s="121"/>
      <c r="C324" s="121"/>
      <c r="D324" s="126" t="s">
        <v>172</v>
      </c>
      <c r="E324" s="126" t="s">
        <v>2830</v>
      </c>
      <c r="F324" s="126" t="s">
        <v>1820</v>
      </c>
      <c r="G324" s="126" t="s">
        <v>25</v>
      </c>
      <c r="H324" s="127">
        <v>11000</v>
      </c>
      <c r="I324" s="126" t="s">
        <v>2646</v>
      </c>
      <c r="J324" s="126" t="s">
        <v>3028</v>
      </c>
      <c r="K324" s="126" t="s">
        <v>3029</v>
      </c>
      <c r="L324" s="126" t="s">
        <v>2671</v>
      </c>
      <c r="M324" s="128" t="b">
        <v>0</v>
      </c>
      <c r="N324" s="122"/>
    </row>
    <row r="325" spans="1:14" ht="15.75">
      <c r="A325" s="121"/>
      <c r="B325" s="121"/>
      <c r="C325" s="121"/>
      <c r="D325" s="126" t="s">
        <v>307</v>
      </c>
      <c r="E325" s="126" t="s">
        <v>2925</v>
      </c>
      <c r="F325" s="126" t="s">
        <v>1817</v>
      </c>
      <c r="G325" s="126" t="s">
        <v>35</v>
      </c>
      <c r="H325" s="127">
        <v>20000</v>
      </c>
      <c r="I325" s="126" t="s">
        <v>2655</v>
      </c>
      <c r="J325" s="126" t="s">
        <v>3028</v>
      </c>
      <c r="K325" s="126" t="s">
        <v>3029</v>
      </c>
      <c r="L325" s="126" t="s">
        <v>2643</v>
      </c>
      <c r="M325" s="128" t="b">
        <v>0</v>
      </c>
      <c r="N325" s="122"/>
    </row>
    <row r="326" spans="1:14" ht="15.75">
      <c r="A326" s="121"/>
      <c r="B326" s="121"/>
      <c r="C326" s="121"/>
      <c r="D326" s="126" t="s">
        <v>1985</v>
      </c>
      <c r="E326" s="126" t="s">
        <v>2661</v>
      </c>
      <c r="F326" s="126" t="s">
        <v>2645</v>
      </c>
      <c r="G326" s="126" t="s">
        <v>1902</v>
      </c>
      <c r="H326" s="127">
        <v>8730</v>
      </c>
      <c r="I326" s="126" t="s">
        <v>2646</v>
      </c>
      <c r="J326" s="126" t="s">
        <v>3030</v>
      </c>
      <c r="K326" s="126" t="s">
        <v>3031</v>
      </c>
      <c r="L326" s="126" t="s">
        <v>2643</v>
      </c>
      <c r="M326" s="128" t="b">
        <v>0</v>
      </c>
      <c r="N326" s="122"/>
    </row>
    <row r="327" spans="1:14" ht="15.75">
      <c r="A327" s="121"/>
      <c r="B327" s="121"/>
      <c r="C327" s="121"/>
      <c r="D327" s="126" t="s">
        <v>1985</v>
      </c>
      <c r="E327" s="126" t="s">
        <v>2661</v>
      </c>
      <c r="F327" s="126" t="s">
        <v>2653</v>
      </c>
      <c r="G327" s="126" t="s">
        <v>20</v>
      </c>
      <c r="H327" s="127">
        <v>8730</v>
      </c>
      <c r="I327" s="126" t="s">
        <v>2646</v>
      </c>
      <c r="J327" s="126" t="s">
        <v>3030</v>
      </c>
      <c r="K327" s="126" t="s">
        <v>3031</v>
      </c>
      <c r="L327" s="126" t="s">
        <v>2643</v>
      </c>
      <c r="M327" s="128" t="b">
        <v>0</v>
      </c>
      <c r="N327" s="122"/>
    </row>
    <row r="328" spans="1:14" ht="15.75">
      <c r="A328" s="121"/>
      <c r="B328" s="121"/>
      <c r="C328" s="121"/>
      <c r="D328" s="126" t="s">
        <v>1986</v>
      </c>
      <c r="E328" s="126" t="s">
        <v>2725</v>
      </c>
      <c r="F328" s="126" t="s">
        <v>1843</v>
      </c>
      <c r="G328" s="126" t="s">
        <v>21</v>
      </c>
      <c r="H328" s="127">
        <v>10000</v>
      </c>
      <c r="I328" s="126" t="s">
        <v>2646</v>
      </c>
      <c r="J328" s="174">
        <v>46024</v>
      </c>
      <c r="K328" s="126" t="s">
        <v>3032</v>
      </c>
      <c r="L328" s="126" t="s">
        <v>2680</v>
      </c>
      <c r="M328" s="128" t="b">
        <v>0</v>
      </c>
      <c r="N328" s="122"/>
    </row>
    <row r="329" spans="1:14" ht="15.75">
      <c r="A329" s="121"/>
      <c r="B329" s="121"/>
      <c r="C329" s="121"/>
      <c r="D329" s="126" t="s">
        <v>1986</v>
      </c>
      <c r="E329" s="126" t="s">
        <v>2725</v>
      </c>
      <c r="F329" s="126" t="s">
        <v>2653</v>
      </c>
      <c r="G329" s="126" t="s">
        <v>20</v>
      </c>
      <c r="H329" s="127">
        <v>6810</v>
      </c>
      <c r="I329" s="126" t="s">
        <v>2646</v>
      </c>
      <c r="J329" s="174">
        <v>46024</v>
      </c>
      <c r="K329" s="126" t="s">
        <v>3032</v>
      </c>
      <c r="L329" s="126" t="s">
        <v>2680</v>
      </c>
      <c r="M329" s="128" t="b">
        <v>0</v>
      </c>
      <c r="N329" s="122"/>
    </row>
    <row r="330" spans="1:14" ht="15.75">
      <c r="A330" s="121"/>
      <c r="B330" s="121"/>
      <c r="C330" s="121"/>
      <c r="D330" s="126" t="s">
        <v>1987</v>
      </c>
      <c r="E330" s="126" t="s">
        <v>2692</v>
      </c>
      <c r="F330" s="126" t="s">
        <v>2645</v>
      </c>
      <c r="G330" s="126" t="s">
        <v>1902</v>
      </c>
      <c r="H330" s="127">
        <v>8870</v>
      </c>
      <c r="I330" s="126" t="s">
        <v>2646</v>
      </c>
      <c r="J330" s="174">
        <v>46024</v>
      </c>
      <c r="K330" s="126" t="s">
        <v>3032</v>
      </c>
      <c r="L330" s="126" t="s">
        <v>2647</v>
      </c>
      <c r="M330" s="128" t="b">
        <v>0</v>
      </c>
      <c r="N330" s="122"/>
    </row>
    <row r="331" spans="1:14" ht="15.75">
      <c r="A331" s="121"/>
      <c r="B331" s="121"/>
      <c r="C331" s="121"/>
      <c r="D331" s="126" t="s">
        <v>1988</v>
      </c>
      <c r="E331" s="126" t="s">
        <v>2743</v>
      </c>
      <c r="F331" s="126" t="s">
        <v>1829</v>
      </c>
      <c r="G331" s="126" t="s">
        <v>23</v>
      </c>
      <c r="H331" s="127">
        <v>16200</v>
      </c>
      <c r="I331" s="126" t="s">
        <v>2646</v>
      </c>
      <c r="J331" s="174">
        <v>46024</v>
      </c>
      <c r="K331" s="126" t="s">
        <v>3032</v>
      </c>
      <c r="L331" s="126" t="s">
        <v>2643</v>
      </c>
      <c r="M331" s="128" t="b">
        <v>0</v>
      </c>
      <c r="N331" s="122"/>
    </row>
    <row r="332" spans="1:14" ht="15.75">
      <c r="A332" s="121"/>
      <c r="B332" s="121"/>
      <c r="C332" s="121"/>
      <c r="D332" s="126" t="s">
        <v>117</v>
      </c>
      <c r="E332" s="126" t="s">
        <v>2920</v>
      </c>
      <c r="F332" s="126" t="s">
        <v>1824</v>
      </c>
      <c r="G332" s="126" t="s">
        <v>1695</v>
      </c>
      <c r="H332" s="127">
        <v>3250</v>
      </c>
      <c r="I332" s="126" t="s">
        <v>2646</v>
      </c>
      <c r="J332" s="174">
        <v>46024</v>
      </c>
      <c r="K332" s="126" t="s">
        <v>3032</v>
      </c>
      <c r="L332" s="126" t="s">
        <v>2671</v>
      </c>
      <c r="M332" s="128" t="b">
        <v>0</v>
      </c>
      <c r="N332" s="122"/>
    </row>
    <row r="333" spans="1:14" ht="15.75">
      <c r="A333" s="121"/>
      <c r="B333" s="121"/>
      <c r="C333" s="121"/>
      <c r="D333" s="126" t="s">
        <v>117</v>
      </c>
      <c r="E333" s="126" t="s">
        <v>2920</v>
      </c>
      <c r="F333" s="126" t="s">
        <v>2628</v>
      </c>
      <c r="G333" s="126" t="s">
        <v>1695</v>
      </c>
      <c r="H333" s="127">
        <v>3250</v>
      </c>
      <c r="I333" s="126" t="s">
        <v>2646</v>
      </c>
      <c r="J333" s="174">
        <v>46024</v>
      </c>
      <c r="K333" s="126" t="s">
        <v>3032</v>
      </c>
      <c r="L333" s="126" t="s">
        <v>2671</v>
      </c>
      <c r="M333" s="128" t="b">
        <v>0</v>
      </c>
      <c r="N333" s="122"/>
    </row>
    <row r="334" spans="1:14" ht="15.75">
      <c r="A334" s="121"/>
      <c r="B334" s="121"/>
      <c r="C334" s="121"/>
      <c r="D334" s="126" t="s">
        <v>1989</v>
      </c>
      <c r="E334" s="126" t="s">
        <v>2780</v>
      </c>
      <c r="F334" s="126" t="s">
        <v>2653</v>
      </c>
      <c r="G334" s="126" t="s">
        <v>20</v>
      </c>
      <c r="H334" s="127">
        <v>5160</v>
      </c>
      <c r="I334" s="126" t="s">
        <v>2646</v>
      </c>
      <c r="J334" s="174">
        <v>46024</v>
      </c>
      <c r="K334" s="126" t="s">
        <v>3032</v>
      </c>
      <c r="L334" s="126" t="s">
        <v>2656</v>
      </c>
      <c r="M334" s="128" t="b">
        <v>1</v>
      </c>
      <c r="N334" s="122"/>
    </row>
    <row r="335" spans="1:14" ht="15.75">
      <c r="A335" s="121"/>
      <c r="B335" s="121"/>
      <c r="C335" s="121"/>
      <c r="D335" s="126" t="s">
        <v>1990</v>
      </c>
      <c r="E335" s="126" t="s">
        <v>2786</v>
      </c>
      <c r="F335" s="126" t="s">
        <v>2653</v>
      </c>
      <c r="G335" s="126" t="s">
        <v>20</v>
      </c>
      <c r="H335" s="127">
        <v>9700</v>
      </c>
      <c r="I335" s="126" t="s">
        <v>1705</v>
      </c>
      <c r="J335" s="174">
        <v>46024</v>
      </c>
      <c r="K335" s="126" t="s">
        <v>3032</v>
      </c>
      <c r="L335" s="126" t="s">
        <v>2671</v>
      </c>
      <c r="M335" s="128" t="b">
        <v>0</v>
      </c>
      <c r="N335" s="122"/>
    </row>
    <row r="336" spans="1:14" ht="15.75">
      <c r="A336" s="121"/>
      <c r="B336" s="121"/>
      <c r="C336" s="121"/>
      <c r="D336" s="126" t="s">
        <v>1991</v>
      </c>
      <c r="E336" s="126" t="s">
        <v>2761</v>
      </c>
      <c r="F336" s="126" t="s">
        <v>2653</v>
      </c>
      <c r="G336" s="126" t="s">
        <v>20</v>
      </c>
      <c r="H336" s="127">
        <v>9000</v>
      </c>
      <c r="I336" s="126" t="s">
        <v>1705</v>
      </c>
      <c r="J336" s="174">
        <v>46267</v>
      </c>
      <c r="K336" s="174">
        <v>46601</v>
      </c>
      <c r="L336" s="126" t="s">
        <v>2656</v>
      </c>
      <c r="M336" s="128" t="b">
        <v>0</v>
      </c>
      <c r="N336" s="122"/>
    </row>
    <row r="337" spans="1:14" ht="15.75">
      <c r="A337" s="121"/>
      <c r="B337" s="121"/>
      <c r="C337" s="121"/>
      <c r="D337" s="126" t="s">
        <v>230</v>
      </c>
      <c r="E337" s="126" t="s">
        <v>2730</v>
      </c>
      <c r="F337" s="126" t="s">
        <v>1808</v>
      </c>
      <c r="G337" s="126" t="s">
        <v>25</v>
      </c>
      <c r="H337" s="127">
        <v>5265</v>
      </c>
      <c r="I337" s="126" t="s">
        <v>2646</v>
      </c>
      <c r="J337" s="174">
        <v>46358</v>
      </c>
      <c r="K337" s="174">
        <v>46693</v>
      </c>
      <c r="L337" s="126" t="s">
        <v>2671</v>
      </c>
      <c r="M337" s="128" t="b">
        <v>0</v>
      </c>
      <c r="N337" s="122"/>
    </row>
    <row r="338" spans="1:14" ht="15.75">
      <c r="A338" s="121"/>
      <c r="B338" s="121"/>
      <c r="C338" s="121"/>
      <c r="D338" s="126" t="s">
        <v>230</v>
      </c>
      <c r="E338" s="126" t="s">
        <v>2730</v>
      </c>
      <c r="F338" s="126" t="s">
        <v>1864</v>
      </c>
      <c r="G338" s="126" t="s">
        <v>27</v>
      </c>
      <c r="H338" s="127">
        <v>17890</v>
      </c>
      <c r="I338" s="126" t="s">
        <v>2646</v>
      </c>
      <c r="J338" s="174">
        <v>46358</v>
      </c>
      <c r="K338" s="174">
        <v>46693</v>
      </c>
      <c r="L338" s="126" t="s">
        <v>2671</v>
      </c>
      <c r="M338" s="128" t="b">
        <v>0</v>
      </c>
      <c r="N338" s="122"/>
    </row>
    <row r="339" spans="1:14" ht="15.75">
      <c r="A339" s="121"/>
      <c r="B339" s="121"/>
      <c r="C339" s="121"/>
      <c r="D339" s="126" t="s">
        <v>230</v>
      </c>
      <c r="E339" s="126" t="s">
        <v>2730</v>
      </c>
      <c r="F339" s="126" t="s">
        <v>2653</v>
      </c>
      <c r="G339" s="126" t="s">
        <v>20</v>
      </c>
      <c r="H339" s="127">
        <v>8100</v>
      </c>
      <c r="I339" s="126" t="s">
        <v>2646</v>
      </c>
      <c r="J339" s="174">
        <v>46358</v>
      </c>
      <c r="K339" s="174">
        <v>46693</v>
      </c>
      <c r="L339" s="126" t="s">
        <v>2671</v>
      </c>
      <c r="M339" s="128" t="b">
        <v>0</v>
      </c>
      <c r="N339" s="122"/>
    </row>
    <row r="340" spans="1:14" ht="15.75">
      <c r="A340" s="121"/>
      <c r="B340" s="121"/>
      <c r="C340" s="121"/>
      <c r="D340" s="126" t="s">
        <v>230</v>
      </c>
      <c r="E340" s="126" t="s">
        <v>2730</v>
      </c>
      <c r="F340" s="126" t="s">
        <v>1826</v>
      </c>
      <c r="G340" s="126" t="s">
        <v>25</v>
      </c>
      <c r="H340" s="127">
        <v>7295</v>
      </c>
      <c r="I340" s="126" t="s">
        <v>2646</v>
      </c>
      <c r="J340" s="174">
        <v>46358</v>
      </c>
      <c r="K340" s="174">
        <v>46693</v>
      </c>
      <c r="L340" s="126" t="s">
        <v>2671</v>
      </c>
      <c r="M340" s="128" t="b">
        <v>0</v>
      </c>
      <c r="N340" s="122"/>
    </row>
    <row r="341" spans="1:14" ht="15.75">
      <c r="A341" s="121"/>
      <c r="B341" s="121"/>
      <c r="C341" s="121"/>
      <c r="D341" s="126" t="s">
        <v>158</v>
      </c>
      <c r="E341" s="126" t="s">
        <v>2747</v>
      </c>
      <c r="F341" s="126" t="s">
        <v>2653</v>
      </c>
      <c r="G341" s="126" t="s">
        <v>20</v>
      </c>
      <c r="H341" s="127">
        <v>4500</v>
      </c>
      <c r="I341" s="126" t="s">
        <v>2646</v>
      </c>
      <c r="J341" s="126" t="s">
        <v>3033</v>
      </c>
      <c r="K341" s="174">
        <v>46723</v>
      </c>
      <c r="L341" s="126" t="s">
        <v>2671</v>
      </c>
      <c r="M341" s="128" t="b">
        <v>0</v>
      </c>
      <c r="N341" s="122"/>
    </row>
    <row r="342" spans="1:14" ht="15.75">
      <c r="A342" s="121"/>
      <c r="B342" s="121"/>
      <c r="C342" s="121"/>
      <c r="D342" s="126" t="s">
        <v>158</v>
      </c>
      <c r="E342" s="126" t="s">
        <v>2747</v>
      </c>
      <c r="F342" s="126" t="s">
        <v>1827</v>
      </c>
      <c r="G342" s="126" t="s">
        <v>29</v>
      </c>
      <c r="H342" s="127">
        <v>9000</v>
      </c>
      <c r="I342" s="126" t="s">
        <v>2646</v>
      </c>
      <c r="J342" s="126" t="s">
        <v>3033</v>
      </c>
      <c r="K342" s="174">
        <v>46723</v>
      </c>
      <c r="L342" s="126" t="s">
        <v>2671</v>
      </c>
      <c r="M342" s="128" t="b">
        <v>0</v>
      </c>
      <c r="N342" s="122"/>
    </row>
    <row r="343" spans="1:14" ht="15.75">
      <c r="A343" s="121"/>
      <c r="B343" s="121"/>
      <c r="C343" s="121"/>
      <c r="D343" s="126" t="s">
        <v>179</v>
      </c>
      <c r="E343" s="126" t="s">
        <v>2876</v>
      </c>
      <c r="F343" s="126" t="s">
        <v>2617</v>
      </c>
      <c r="G343" s="126" t="s">
        <v>23</v>
      </c>
      <c r="H343" s="127">
        <v>12631</v>
      </c>
      <c r="I343" s="126" t="s">
        <v>2646</v>
      </c>
      <c r="J343" s="126" t="s">
        <v>3034</v>
      </c>
      <c r="K343" s="126" t="s">
        <v>3035</v>
      </c>
      <c r="L343" s="126" t="s">
        <v>2680</v>
      </c>
      <c r="M343" s="128" t="b">
        <v>0</v>
      </c>
      <c r="N343" s="122"/>
    </row>
    <row r="344" spans="1:14" ht="15.75">
      <c r="A344" s="121"/>
      <c r="B344" s="121"/>
      <c r="C344" s="121"/>
      <c r="D344" s="126" t="s">
        <v>1992</v>
      </c>
      <c r="E344" s="126" t="s">
        <v>2821</v>
      </c>
      <c r="F344" s="126" t="s">
        <v>2653</v>
      </c>
      <c r="G344" s="126" t="s">
        <v>20</v>
      </c>
      <c r="H344" s="127">
        <v>4976</v>
      </c>
      <c r="I344" s="126" t="s">
        <v>2646</v>
      </c>
      <c r="J344" s="126" t="s">
        <v>3036</v>
      </c>
      <c r="K344" s="126" t="s">
        <v>3037</v>
      </c>
      <c r="L344" s="126" t="s">
        <v>2656</v>
      </c>
      <c r="M344" s="128" t="b">
        <v>0</v>
      </c>
      <c r="N344" s="122"/>
    </row>
    <row r="345" spans="1:14" ht="15.75">
      <c r="A345" s="121"/>
      <c r="B345" s="121"/>
      <c r="C345" s="121"/>
      <c r="D345" s="126" t="s">
        <v>149</v>
      </c>
      <c r="E345" s="126" t="s">
        <v>2681</v>
      </c>
      <c r="F345" s="126" t="s">
        <v>1845</v>
      </c>
      <c r="G345" s="126" t="s">
        <v>31</v>
      </c>
      <c r="H345" s="127">
        <v>10350</v>
      </c>
      <c r="I345" s="126" t="s">
        <v>1705</v>
      </c>
      <c r="J345" s="126" t="s">
        <v>3038</v>
      </c>
      <c r="K345" s="126" t="s">
        <v>3039</v>
      </c>
      <c r="L345" s="126" t="s">
        <v>2682</v>
      </c>
      <c r="M345" s="128" t="b">
        <v>0</v>
      </c>
      <c r="N345" s="122"/>
    </row>
    <row r="346" spans="1:14" ht="15.75">
      <c r="A346" s="121"/>
      <c r="B346" s="121"/>
      <c r="C346" s="121"/>
      <c r="D346" s="126" t="s">
        <v>1993</v>
      </c>
      <c r="E346" s="126" t="s">
        <v>2729</v>
      </c>
      <c r="F346" s="126" t="s">
        <v>2653</v>
      </c>
      <c r="G346" s="126" t="s">
        <v>20</v>
      </c>
      <c r="H346" s="129">
        <v>11442</v>
      </c>
      <c r="I346" s="126" t="s">
        <v>2646</v>
      </c>
      <c r="J346" s="174">
        <v>46025</v>
      </c>
      <c r="K346" s="126" t="s">
        <v>3040</v>
      </c>
      <c r="L346" s="126" t="s">
        <v>2647</v>
      </c>
      <c r="M346" s="128" t="b">
        <v>0</v>
      </c>
      <c r="N346" s="122"/>
    </row>
    <row r="347" spans="1:14" ht="15.75">
      <c r="A347" s="121"/>
      <c r="B347" s="121"/>
      <c r="C347" s="121"/>
      <c r="D347" s="126" t="s">
        <v>1993</v>
      </c>
      <c r="E347" s="126" t="s">
        <v>2729</v>
      </c>
      <c r="F347" s="126" t="s">
        <v>2645</v>
      </c>
      <c r="G347" s="126" t="s">
        <v>1902</v>
      </c>
      <c r="H347" s="129">
        <v>11058</v>
      </c>
      <c r="I347" s="126" t="s">
        <v>2646</v>
      </c>
      <c r="J347" s="174">
        <v>46025</v>
      </c>
      <c r="K347" s="126" t="s">
        <v>3040</v>
      </c>
      <c r="L347" s="126" t="s">
        <v>2647</v>
      </c>
      <c r="M347" s="128" t="b">
        <v>0</v>
      </c>
      <c r="N347" s="122"/>
    </row>
    <row r="348" spans="1:14" ht="15.75">
      <c r="A348" s="121"/>
      <c r="B348" s="121"/>
      <c r="C348" s="121"/>
      <c r="D348" s="126" t="s">
        <v>56</v>
      </c>
      <c r="E348" s="126" t="s">
        <v>2677</v>
      </c>
      <c r="F348" s="126" t="s">
        <v>2074</v>
      </c>
      <c r="G348" s="126" t="s">
        <v>23</v>
      </c>
      <c r="H348" s="127">
        <v>36150</v>
      </c>
      <c r="I348" s="126" t="s">
        <v>2646</v>
      </c>
      <c r="J348" s="174">
        <v>46025</v>
      </c>
      <c r="K348" s="126" t="s">
        <v>3040</v>
      </c>
      <c r="L348" s="126" t="s">
        <v>2667</v>
      </c>
      <c r="M348" s="128" t="b">
        <v>0</v>
      </c>
      <c r="N348" s="122"/>
    </row>
    <row r="349" spans="1:14" ht="15.75">
      <c r="A349" s="121"/>
      <c r="B349" s="121"/>
      <c r="C349" s="121"/>
      <c r="D349" s="126" t="s">
        <v>1230</v>
      </c>
      <c r="E349" s="126" t="s">
        <v>2759</v>
      </c>
      <c r="F349" s="126" t="s">
        <v>1820</v>
      </c>
      <c r="G349" s="126" t="s">
        <v>25</v>
      </c>
      <c r="H349" s="127">
        <v>13420</v>
      </c>
      <c r="I349" s="126" t="s">
        <v>2646</v>
      </c>
      <c r="J349" s="174">
        <v>46025</v>
      </c>
      <c r="K349" s="126" t="s">
        <v>3040</v>
      </c>
      <c r="L349" s="126" t="s">
        <v>2647</v>
      </c>
      <c r="M349" s="128" t="b">
        <v>0</v>
      </c>
      <c r="N349" s="122"/>
    </row>
    <row r="350" spans="1:14" ht="15.75">
      <c r="A350" s="121"/>
      <c r="B350" s="121"/>
      <c r="C350" s="121"/>
      <c r="D350" s="126" t="s">
        <v>448</v>
      </c>
      <c r="E350" s="126" t="s">
        <v>2881</v>
      </c>
      <c r="F350" s="126" t="s">
        <v>2653</v>
      </c>
      <c r="G350" s="126" t="s">
        <v>20</v>
      </c>
      <c r="H350" s="127">
        <v>3750</v>
      </c>
      <c r="I350" s="126" t="s">
        <v>2646</v>
      </c>
      <c r="J350" s="174">
        <v>46025</v>
      </c>
      <c r="K350" s="126" t="s">
        <v>3040</v>
      </c>
      <c r="L350" s="126" t="s">
        <v>2671</v>
      </c>
      <c r="M350" s="128" t="b">
        <v>0</v>
      </c>
      <c r="N350" s="122"/>
    </row>
    <row r="351" spans="1:14" ht="15.75">
      <c r="A351" s="121"/>
      <c r="B351" s="121"/>
      <c r="C351" s="121"/>
      <c r="D351" s="126" t="s">
        <v>448</v>
      </c>
      <c r="E351" s="126" t="s">
        <v>2881</v>
      </c>
      <c r="F351" s="126" t="s">
        <v>2624</v>
      </c>
      <c r="G351" s="126" t="s">
        <v>27</v>
      </c>
      <c r="H351" s="127">
        <v>16000</v>
      </c>
      <c r="I351" s="126" t="s">
        <v>2646</v>
      </c>
      <c r="J351" s="174">
        <v>46025</v>
      </c>
      <c r="K351" s="126" t="s">
        <v>3040</v>
      </c>
      <c r="L351" s="126" t="s">
        <v>2671</v>
      </c>
      <c r="M351" s="128" t="b">
        <v>0</v>
      </c>
      <c r="N351" s="122"/>
    </row>
    <row r="352" spans="1:14" ht="15.75">
      <c r="A352" s="121"/>
      <c r="B352" s="121"/>
      <c r="C352" s="121"/>
      <c r="D352" s="126" t="s">
        <v>1994</v>
      </c>
      <c r="E352" s="126" t="s">
        <v>2864</v>
      </c>
      <c r="F352" s="126" t="s">
        <v>2653</v>
      </c>
      <c r="G352" s="126" t="s">
        <v>20</v>
      </c>
      <c r="H352" s="127">
        <v>4253</v>
      </c>
      <c r="I352" s="126" t="s">
        <v>2646</v>
      </c>
      <c r="J352" s="174">
        <v>46025</v>
      </c>
      <c r="K352" s="126" t="s">
        <v>3040</v>
      </c>
      <c r="L352" s="126" t="s">
        <v>2656</v>
      </c>
      <c r="M352" s="128" t="b">
        <v>0</v>
      </c>
      <c r="N352" s="122"/>
    </row>
    <row r="353" spans="1:14" ht="15.75">
      <c r="A353" s="121"/>
      <c r="B353" s="121"/>
      <c r="C353" s="121"/>
      <c r="D353" s="126" t="s">
        <v>490</v>
      </c>
      <c r="E353" s="126" t="s">
        <v>2672</v>
      </c>
      <c r="F353" s="126" t="s">
        <v>2624</v>
      </c>
      <c r="G353" s="126" t="s">
        <v>27</v>
      </c>
      <c r="H353" s="127">
        <v>17500</v>
      </c>
      <c r="I353" s="126" t="s">
        <v>1705</v>
      </c>
      <c r="J353" s="174">
        <v>46025</v>
      </c>
      <c r="K353" s="126" t="s">
        <v>3040</v>
      </c>
      <c r="L353" s="126" t="s">
        <v>2671</v>
      </c>
      <c r="M353" s="128" t="b">
        <v>0</v>
      </c>
      <c r="N353" s="122"/>
    </row>
    <row r="354" spans="1:14" ht="15.75">
      <c r="A354" s="121"/>
      <c r="B354" s="121"/>
      <c r="C354" s="121"/>
      <c r="D354" s="126" t="s">
        <v>1995</v>
      </c>
      <c r="E354" s="126" t="s">
        <v>2843</v>
      </c>
      <c r="F354" s="126" t="s">
        <v>1817</v>
      </c>
      <c r="G354" s="126" t="s">
        <v>35</v>
      </c>
      <c r="H354" s="127">
        <v>21000</v>
      </c>
      <c r="I354" s="126" t="s">
        <v>1705</v>
      </c>
      <c r="J354" s="174">
        <v>46025</v>
      </c>
      <c r="K354" s="126" t="s">
        <v>3040</v>
      </c>
      <c r="L354" s="126" t="s">
        <v>2671</v>
      </c>
      <c r="M354" s="128" t="b">
        <v>0</v>
      </c>
      <c r="N354" s="122"/>
    </row>
    <row r="355" spans="1:14" ht="15.75">
      <c r="A355" s="121"/>
      <c r="B355" s="121"/>
      <c r="C355" s="121"/>
      <c r="D355" s="126" t="s">
        <v>188</v>
      </c>
      <c r="E355" s="126" t="s">
        <v>2654</v>
      </c>
      <c r="F355" s="126" t="s">
        <v>2627</v>
      </c>
      <c r="G355" s="126" t="s">
        <v>25</v>
      </c>
      <c r="H355" s="127">
        <v>7350</v>
      </c>
      <c r="I355" s="126" t="s">
        <v>2655</v>
      </c>
      <c r="J355" s="174">
        <v>46025</v>
      </c>
      <c r="K355" s="126" t="s">
        <v>3040</v>
      </c>
      <c r="L355" s="126" t="s">
        <v>2656</v>
      </c>
      <c r="M355" s="128" t="b">
        <v>0</v>
      </c>
      <c r="N355" s="122"/>
    </row>
    <row r="356" spans="1:14" ht="15.75">
      <c r="A356" s="121"/>
      <c r="B356" s="121"/>
      <c r="C356" s="121"/>
      <c r="D356" s="126" t="s">
        <v>1442</v>
      </c>
      <c r="E356" s="126" t="s">
        <v>2812</v>
      </c>
      <c r="F356" s="126" t="s">
        <v>2653</v>
      </c>
      <c r="G356" s="126" t="s">
        <v>20</v>
      </c>
      <c r="H356" s="127">
        <v>800</v>
      </c>
      <c r="I356" s="126" t="s">
        <v>2646</v>
      </c>
      <c r="J356" s="174">
        <v>46025</v>
      </c>
      <c r="K356" s="126" t="s">
        <v>3040</v>
      </c>
      <c r="L356" s="126" t="s">
        <v>2656</v>
      </c>
      <c r="M356" s="128" t="b">
        <v>0</v>
      </c>
      <c r="N356" s="122"/>
    </row>
    <row r="357" spans="1:14" ht="15.75">
      <c r="A357" s="121"/>
      <c r="B357" s="121"/>
      <c r="C357" s="121"/>
      <c r="D357" s="126" t="s">
        <v>354</v>
      </c>
      <c r="E357" s="126" t="s">
        <v>2734</v>
      </c>
      <c r="F357" s="126" t="s">
        <v>2625</v>
      </c>
      <c r="G357" s="126" t="s">
        <v>27</v>
      </c>
      <c r="H357" s="127">
        <v>15000</v>
      </c>
      <c r="I357" s="126" t="s">
        <v>2655</v>
      </c>
      <c r="J357" s="174">
        <v>46176</v>
      </c>
      <c r="K357" s="174">
        <v>46510</v>
      </c>
      <c r="L357" s="126" t="s">
        <v>2643</v>
      </c>
      <c r="M357" s="128" t="b">
        <v>1</v>
      </c>
      <c r="N357" s="122"/>
    </row>
    <row r="358" spans="1:14" ht="15.75">
      <c r="A358" s="121"/>
      <c r="B358" s="121"/>
      <c r="C358" s="121"/>
      <c r="D358" s="126" t="s">
        <v>354</v>
      </c>
      <c r="E358" s="126" t="s">
        <v>2734</v>
      </c>
      <c r="F358" s="126" t="s">
        <v>1817</v>
      </c>
      <c r="G358" s="126" t="s">
        <v>35</v>
      </c>
      <c r="H358" s="127">
        <v>20000</v>
      </c>
      <c r="I358" s="126" t="s">
        <v>2655</v>
      </c>
      <c r="J358" s="174">
        <v>46176</v>
      </c>
      <c r="K358" s="174">
        <v>46510</v>
      </c>
      <c r="L358" s="126" t="s">
        <v>2643</v>
      </c>
      <c r="M358" s="128" t="b">
        <v>1</v>
      </c>
      <c r="N358" s="122"/>
    </row>
    <row r="359" spans="1:14" ht="15.75">
      <c r="A359" s="121"/>
      <c r="B359" s="121"/>
      <c r="C359" s="121"/>
      <c r="D359" s="126" t="s">
        <v>1996</v>
      </c>
      <c r="E359" s="126" t="s">
        <v>2772</v>
      </c>
      <c r="F359" s="126" t="s">
        <v>1845</v>
      </c>
      <c r="G359" s="126" t="s">
        <v>31</v>
      </c>
      <c r="H359" s="127">
        <v>10000</v>
      </c>
      <c r="I359" s="126" t="s">
        <v>1705</v>
      </c>
      <c r="J359" s="174">
        <v>46176</v>
      </c>
      <c r="K359" s="174">
        <v>46510</v>
      </c>
      <c r="L359" s="126" t="s">
        <v>2773</v>
      </c>
      <c r="M359" s="128" t="b">
        <v>0</v>
      </c>
      <c r="N359" s="122"/>
    </row>
    <row r="360" spans="1:14" ht="15.75">
      <c r="A360" s="121"/>
      <c r="B360" s="121"/>
      <c r="C360" s="121"/>
      <c r="D360" s="126" t="s">
        <v>913</v>
      </c>
      <c r="E360" s="126" t="s">
        <v>2641</v>
      </c>
      <c r="F360" s="126" t="s">
        <v>1817</v>
      </c>
      <c r="G360" s="126" t="s">
        <v>35</v>
      </c>
      <c r="H360" s="127">
        <v>24500</v>
      </c>
      <c r="I360" s="126" t="s">
        <v>2642</v>
      </c>
      <c r="J360" s="126" t="s">
        <v>3041</v>
      </c>
      <c r="K360" s="174">
        <v>46724</v>
      </c>
      <c r="L360" s="126" t="s">
        <v>2643</v>
      </c>
      <c r="M360" s="128" t="b">
        <v>0</v>
      </c>
      <c r="N360" s="122"/>
    </row>
    <row r="361" spans="1:14" ht="15.75">
      <c r="A361" s="121"/>
      <c r="B361" s="121"/>
      <c r="C361" s="121"/>
      <c r="D361" s="126" t="s">
        <v>118</v>
      </c>
      <c r="E361" s="126" t="s">
        <v>2936</v>
      </c>
      <c r="F361" s="126" t="s">
        <v>2617</v>
      </c>
      <c r="G361" s="126" t="s">
        <v>23</v>
      </c>
      <c r="H361" s="127">
        <v>10000</v>
      </c>
      <c r="I361" s="126" t="s">
        <v>1705</v>
      </c>
      <c r="J361" s="126" t="s">
        <v>3042</v>
      </c>
      <c r="K361" s="126" t="s">
        <v>3043</v>
      </c>
      <c r="L361" s="126" t="s">
        <v>2773</v>
      </c>
      <c r="M361" s="128" t="b">
        <v>0</v>
      </c>
      <c r="N361" s="122"/>
    </row>
    <row r="362" spans="1:14" ht="15.75">
      <c r="A362" s="121"/>
      <c r="B362" s="121"/>
      <c r="C362" s="121"/>
      <c r="D362" s="126" t="s">
        <v>399</v>
      </c>
      <c r="E362" s="126" t="s">
        <v>2808</v>
      </c>
      <c r="F362" s="126" t="s">
        <v>1816</v>
      </c>
      <c r="G362" s="126" t="s">
        <v>1931</v>
      </c>
      <c r="H362" s="127">
        <v>15865</v>
      </c>
      <c r="I362" s="126" t="s">
        <v>2655</v>
      </c>
      <c r="J362" s="126" t="s">
        <v>3044</v>
      </c>
      <c r="K362" s="126" t="s">
        <v>3045</v>
      </c>
      <c r="L362" s="126" t="s">
        <v>2643</v>
      </c>
      <c r="M362" s="128" t="b">
        <v>0</v>
      </c>
      <c r="N362" s="122"/>
    </row>
    <row r="363" spans="1:14" ht="15.75">
      <c r="A363" s="121"/>
      <c r="B363" s="121"/>
      <c r="C363" s="121"/>
      <c r="D363" s="126" t="s">
        <v>1997</v>
      </c>
      <c r="E363" s="126" t="s">
        <v>2850</v>
      </c>
      <c r="F363" s="126" t="s">
        <v>1843</v>
      </c>
      <c r="G363" s="126" t="s">
        <v>21</v>
      </c>
      <c r="H363" s="127">
        <v>10500</v>
      </c>
      <c r="I363" s="126" t="s">
        <v>1705</v>
      </c>
      <c r="J363" s="126" t="s">
        <v>3046</v>
      </c>
      <c r="K363" s="126" t="s">
        <v>3047</v>
      </c>
      <c r="L363" s="126" t="s">
        <v>2773</v>
      </c>
      <c r="M363" s="128" t="b">
        <v>0</v>
      </c>
      <c r="N363" s="122"/>
    </row>
    <row r="364" spans="1:14" ht="15.75">
      <c r="A364" s="121"/>
      <c r="B364" s="121"/>
      <c r="C364" s="121"/>
      <c r="D364" s="126" t="s">
        <v>361</v>
      </c>
      <c r="E364" s="126" t="s">
        <v>2754</v>
      </c>
      <c r="F364" s="126" t="s">
        <v>1845</v>
      </c>
      <c r="G364" s="126" t="s">
        <v>31</v>
      </c>
      <c r="H364" s="129">
        <v>13225</v>
      </c>
      <c r="I364" s="126" t="s">
        <v>2642</v>
      </c>
      <c r="J364" s="126" t="s">
        <v>3046</v>
      </c>
      <c r="K364" s="126" t="s">
        <v>3047</v>
      </c>
      <c r="L364" s="126" t="s">
        <v>2647</v>
      </c>
      <c r="M364" s="128" t="b">
        <v>0</v>
      </c>
      <c r="N364" s="122"/>
    </row>
    <row r="365" spans="1:14" ht="15.75">
      <c r="A365" s="121"/>
      <c r="B365" s="121"/>
      <c r="C365" s="121"/>
      <c r="D365" s="126" t="s">
        <v>343</v>
      </c>
      <c r="E365" s="126" t="s">
        <v>2709</v>
      </c>
      <c r="F365" s="126" t="s">
        <v>1826</v>
      </c>
      <c r="G365" s="126" t="s">
        <v>25</v>
      </c>
      <c r="H365" s="127">
        <v>9500</v>
      </c>
      <c r="I365" s="126" t="s">
        <v>2646</v>
      </c>
      <c r="J365" s="126" t="s">
        <v>3048</v>
      </c>
      <c r="K365" s="126" t="s">
        <v>3049</v>
      </c>
      <c r="L365" s="126" t="s">
        <v>2671</v>
      </c>
      <c r="M365" s="128" t="b">
        <v>0</v>
      </c>
      <c r="N365" s="122"/>
    </row>
    <row r="366" spans="1:14" ht="15.75">
      <c r="A366" s="121"/>
      <c r="B366" s="121"/>
      <c r="C366" s="121"/>
      <c r="D366" s="126" t="s">
        <v>1998</v>
      </c>
      <c r="E366" s="126" t="s">
        <v>2911</v>
      </c>
      <c r="F366" s="126" t="s">
        <v>2055</v>
      </c>
      <c r="G366" s="126" t="s">
        <v>27</v>
      </c>
      <c r="H366" s="127">
        <v>16863</v>
      </c>
      <c r="I366" s="126" t="s">
        <v>2646</v>
      </c>
      <c r="J366" s="126" t="s">
        <v>3048</v>
      </c>
      <c r="K366" s="126" t="s">
        <v>3049</v>
      </c>
      <c r="L366" s="126" t="s">
        <v>2643</v>
      </c>
      <c r="M366" s="128" t="b">
        <v>0</v>
      </c>
      <c r="N366" s="122"/>
    </row>
    <row r="367" spans="1:14" ht="15.75">
      <c r="A367" s="121"/>
      <c r="B367" s="121"/>
      <c r="C367" s="121"/>
      <c r="D367" s="126" t="s">
        <v>1998</v>
      </c>
      <c r="E367" s="126" t="s">
        <v>2911</v>
      </c>
      <c r="F367" s="126" t="s">
        <v>2074</v>
      </c>
      <c r="G367" s="126" t="s">
        <v>23</v>
      </c>
      <c r="H367" s="127">
        <v>22990</v>
      </c>
      <c r="I367" s="126" t="s">
        <v>2646</v>
      </c>
      <c r="J367" s="126" t="s">
        <v>3048</v>
      </c>
      <c r="K367" s="126" t="s">
        <v>3049</v>
      </c>
      <c r="L367" s="126" t="s">
        <v>2643</v>
      </c>
      <c r="M367" s="128" t="b">
        <v>0</v>
      </c>
      <c r="N367" s="122"/>
    </row>
    <row r="368" spans="1:14" ht="15.75">
      <c r="A368" s="121"/>
      <c r="B368" s="121"/>
      <c r="C368" s="121"/>
      <c r="D368" s="126" t="s">
        <v>1998</v>
      </c>
      <c r="E368" s="126" t="s">
        <v>2911</v>
      </c>
      <c r="F368" s="126" t="s">
        <v>2653</v>
      </c>
      <c r="G368" s="126" t="s">
        <v>20</v>
      </c>
      <c r="H368" s="127">
        <v>9215</v>
      </c>
      <c r="I368" s="126" t="s">
        <v>2646</v>
      </c>
      <c r="J368" s="126" t="s">
        <v>3048</v>
      </c>
      <c r="K368" s="126" t="s">
        <v>3049</v>
      </c>
      <c r="L368" s="126" t="s">
        <v>2643</v>
      </c>
      <c r="M368" s="128" t="b">
        <v>0</v>
      </c>
      <c r="N368" s="122"/>
    </row>
    <row r="369" spans="1:14" ht="15.75">
      <c r="A369" s="121"/>
      <c r="B369" s="121"/>
      <c r="C369" s="121"/>
      <c r="D369" s="126" t="s">
        <v>459</v>
      </c>
      <c r="E369" s="126" t="s">
        <v>2909</v>
      </c>
      <c r="F369" s="126" t="s">
        <v>1817</v>
      </c>
      <c r="G369" s="126" t="s">
        <v>35</v>
      </c>
      <c r="H369" s="127">
        <v>22425</v>
      </c>
      <c r="I369" s="126" t="s">
        <v>2646</v>
      </c>
      <c r="J369" s="126" t="s">
        <v>2960</v>
      </c>
      <c r="K369" s="126" t="s">
        <v>3050</v>
      </c>
      <c r="L369" s="126" t="s">
        <v>2643</v>
      </c>
      <c r="M369" s="128" t="b">
        <v>1</v>
      </c>
      <c r="N369" s="122"/>
    </row>
    <row r="370" spans="1:14" ht="15.75">
      <c r="A370" s="121"/>
      <c r="B370" s="121"/>
      <c r="C370" s="121"/>
      <c r="D370" s="126" t="s">
        <v>1999</v>
      </c>
      <c r="E370" s="126" t="s">
        <v>2891</v>
      </c>
      <c r="F370" s="126" t="s">
        <v>2653</v>
      </c>
      <c r="G370" s="126" t="s">
        <v>20</v>
      </c>
      <c r="H370" s="127">
        <v>5805</v>
      </c>
      <c r="I370" s="126" t="s">
        <v>2646</v>
      </c>
      <c r="J370" s="174">
        <v>46026</v>
      </c>
      <c r="K370" s="126" t="s">
        <v>3051</v>
      </c>
      <c r="L370" s="126" t="s">
        <v>2656</v>
      </c>
      <c r="M370" s="128" t="b">
        <v>0</v>
      </c>
      <c r="N370" s="122"/>
    </row>
    <row r="371" spans="1:14" ht="15.75">
      <c r="A371" s="121"/>
      <c r="B371" s="121"/>
      <c r="C371" s="121"/>
      <c r="D371" s="126" t="s">
        <v>155</v>
      </c>
      <c r="E371" s="126" t="s">
        <v>2713</v>
      </c>
      <c r="F371" s="126" t="s">
        <v>1810</v>
      </c>
      <c r="G371" s="126" t="s">
        <v>21</v>
      </c>
      <c r="H371" s="127">
        <v>19030.099999999999</v>
      </c>
      <c r="I371" s="126" t="s">
        <v>2646</v>
      </c>
      <c r="J371" s="174">
        <v>46026</v>
      </c>
      <c r="K371" s="126" t="s">
        <v>3051</v>
      </c>
      <c r="L371" s="126" t="s">
        <v>2667</v>
      </c>
      <c r="M371" s="128" t="b">
        <v>0</v>
      </c>
      <c r="N371" s="122"/>
    </row>
    <row r="372" spans="1:14" ht="15.75">
      <c r="A372" s="121"/>
      <c r="B372" s="121"/>
      <c r="C372" s="121"/>
      <c r="D372" s="126" t="s">
        <v>155</v>
      </c>
      <c r="E372" s="126" t="s">
        <v>2713</v>
      </c>
      <c r="F372" s="126" t="s">
        <v>2653</v>
      </c>
      <c r="G372" s="126" t="s">
        <v>20</v>
      </c>
      <c r="H372" s="127">
        <v>19652.43</v>
      </c>
      <c r="I372" s="126" t="s">
        <v>2646</v>
      </c>
      <c r="J372" s="174">
        <v>46026</v>
      </c>
      <c r="K372" s="126" t="s">
        <v>3051</v>
      </c>
      <c r="L372" s="126" t="s">
        <v>2667</v>
      </c>
      <c r="M372" s="128" t="b">
        <v>0</v>
      </c>
      <c r="N372" s="122"/>
    </row>
    <row r="373" spans="1:14" ht="15.75">
      <c r="A373" s="121"/>
      <c r="B373" s="121"/>
      <c r="C373" s="121"/>
      <c r="D373" s="126" t="s">
        <v>155</v>
      </c>
      <c r="E373" s="126" t="s">
        <v>2713</v>
      </c>
      <c r="F373" s="126" t="s">
        <v>1918</v>
      </c>
      <c r="G373" s="126" t="s">
        <v>25</v>
      </c>
      <c r="H373" s="127">
        <v>41488.47</v>
      </c>
      <c r="I373" s="126" t="s">
        <v>2646</v>
      </c>
      <c r="J373" s="174">
        <v>46026</v>
      </c>
      <c r="K373" s="126" t="s">
        <v>3051</v>
      </c>
      <c r="L373" s="126" t="s">
        <v>2667</v>
      </c>
      <c r="M373" s="128" t="b">
        <v>0</v>
      </c>
      <c r="N373" s="122"/>
    </row>
    <row r="374" spans="1:14" ht="15.75">
      <c r="A374" s="121"/>
      <c r="B374" s="121"/>
      <c r="C374" s="121"/>
      <c r="D374" s="126" t="s">
        <v>1019</v>
      </c>
      <c r="E374" s="126" t="s">
        <v>2792</v>
      </c>
      <c r="F374" s="126" t="s">
        <v>2653</v>
      </c>
      <c r="G374" s="126" t="s">
        <v>20</v>
      </c>
      <c r="H374" s="127">
        <v>10379</v>
      </c>
      <c r="I374" s="126" t="s">
        <v>2646</v>
      </c>
      <c r="J374" s="174">
        <v>46026</v>
      </c>
      <c r="K374" s="126" t="s">
        <v>3051</v>
      </c>
      <c r="L374" s="126" t="s">
        <v>2643</v>
      </c>
      <c r="M374" s="128" t="b">
        <v>0</v>
      </c>
      <c r="N374" s="122"/>
    </row>
    <row r="375" spans="1:14" ht="15.75">
      <c r="A375" s="121"/>
      <c r="B375" s="121"/>
      <c r="C375" s="121"/>
      <c r="D375" s="126" t="s">
        <v>1019</v>
      </c>
      <c r="E375" s="126" t="s">
        <v>2792</v>
      </c>
      <c r="F375" s="126" t="s">
        <v>2617</v>
      </c>
      <c r="G375" s="126" t="s">
        <v>23</v>
      </c>
      <c r="H375" s="127">
        <v>19581</v>
      </c>
      <c r="I375" s="126" t="s">
        <v>2646</v>
      </c>
      <c r="J375" s="174">
        <v>46026</v>
      </c>
      <c r="K375" s="126" t="s">
        <v>3051</v>
      </c>
      <c r="L375" s="126" t="s">
        <v>2643</v>
      </c>
      <c r="M375" s="128" t="b">
        <v>0</v>
      </c>
      <c r="N375" s="122"/>
    </row>
    <row r="376" spans="1:14" ht="15.75">
      <c r="A376" s="121"/>
      <c r="B376" s="121"/>
      <c r="C376" s="121"/>
      <c r="D376" s="126" t="s">
        <v>1019</v>
      </c>
      <c r="E376" s="126" t="s">
        <v>2792</v>
      </c>
      <c r="F376" s="126" t="s">
        <v>33</v>
      </c>
      <c r="G376" s="126" t="s">
        <v>20</v>
      </c>
      <c r="H376" s="127">
        <v>12680</v>
      </c>
      <c r="I376" s="126" t="s">
        <v>2646</v>
      </c>
      <c r="J376" s="174">
        <v>46026</v>
      </c>
      <c r="K376" s="126" t="s">
        <v>3051</v>
      </c>
      <c r="L376" s="126" t="s">
        <v>2643</v>
      </c>
      <c r="M376" s="128" t="b">
        <v>0</v>
      </c>
      <c r="N376" s="122"/>
    </row>
    <row r="377" spans="1:14" ht="15.75">
      <c r="A377" s="121"/>
      <c r="B377" s="121"/>
      <c r="C377" s="121"/>
      <c r="D377" s="126" t="s">
        <v>400</v>
      </c>
      <c r="E377" s="126" t="s">
        <v>2809</v>
      </c>
      <c r="F377" s="126" t="s">
        <v>1817</v>
      </c>
      <c r="G377" s="126" t="s">
        <v>35</v>
      </c>
      <c r="H377" s="127">
        <v>20746</v>
      </c>
      <c r="I377" s="126" t="s">
        <v>2646</v>
      </c>
      <c r="J377" s="174">
        <v>46026</v>
      </c>
      <c r="K377" s="126" t="s">
        <v>3051</v>
      </c>
      <c r="L377" s="126" t="s">
        <v>2643</v>
      </c>
      <c r="M377" s="128" t="b">
        <v>0</v>
      </c>
      <c r="N377" s="122"/>
    </row>
    <row r="378" spans="1:14" ht="15.75">
      <c r="A378" s="121"/>
      <c r="B378" s="121"/>
      <c r="C378" s="121"/>
      <c r="D378" s="126" t="s">
        <v>400</v>
      </c>
      <c r="E378" s="126" t="s">
        <v>2809</v>
      </c>
      <c r="F378" s="126" t="s">
        <v>2653</v>
      </c>
      <c r="G378" s="126" t="s">
        <v>20</v>
      </c>
      <c r="H378" s="127">
        <v>8100</v>
      </c>
      <c r="I378" s="126" t="s">
        <v>2646</v>
      </c>
      <c r="J378" s="174">
        <v>46026</v>
      </c>
      <c r="K378" s="126" t="s">
        <v>3051</v>
      </c>
      <c r="L378" s="126" t="s">
        <v>2643</v>
      </c>
      <c r="M378" s="128" t="b">
        <v>0</v>
      </c>
      <c r="N378" s="122"/>
    </row>
    <row r="379" spans="1:14" ht="15.75">
      <c r="A379" s="121"/>
      <c r="B379" s="121"/>
      <c r="C379" s="121"/>
      <c r="D379" s="126" t="s">
        <v>766</v>
      </c>
      <c r="E379" s="126" t="s">
        <v>2842</v>
      </c>
      <c r="F379" s="126" t="s">
        <v>2653</v>
      </c>
      <c r="G379" s="126" t="s">
        <v>20</v>
      </c>
      <c r="H379" s="127">
        <v>5482</v>
      </c>
      <c r="I379" s="126" t="s">
        <v>2646</v>
      </c>
      <c r="J379" s="174">
        <v>46026</v>
      </c>
      <c r="K379" s="126" t="s">
        <v>3051</v>
      </c>
      <c r="L379" s="126" t="s">
        <v>2656</v>
      </c>
      <c r="M379" s="128" t="b">
        <v>0</v>
      </c>
      <c r="N379" s="122"/>
    </row>
    <row r="380" spans="1:14" ht="15.75">
      <c r="A380" s="121"/>
      <c r="B380" s="121"/>
      <c r="C380" s="121"/>
      <c r="D380" s="126" t="s">
        <v>2000</v>
      </c>
      <c r="E380" s="126" t="s">
        <v>2887</v>
      </c>
      <c r="F380" s="126" t="s">
        <v>1817</v>
      </c>
      <c r="G380" s="126" t="s">
        <v>35</v>
      </c>
      <c r="H380" s="127">
        <v>20000</v>
      </c>
      <c r="I380" s="126" t="s">
        <v>2646</v>
      </c>
      <c r="J380" s="174">
        <v>46026</v>
      </c>
      <c r="K380" s="126" t="s">
        <v>3051</v>
      </c>
      <c r="L380" s="126" t="s">
        <v>2643</v>
      </c>
      <c r="M380" s="128" t="b">
        <v>0</v>
      </c>
      <c r="N380" s="122"/>
    </row>
    <row r="381" spans="1:14" ht="15.75">
      <c r="A381" s="121"/>
      <c r="B381" s="121"/>
      <c r="C381" s="121"/>
      <c r="D381" s="126" t="s">
        <v>241</v>
      </c>
      <c r="E381" s="126" t="s">
        <v>2764</v>
      </c>
      <c r="F381" s="126" t="s">
        <v>2653</v>
      </c>
      <c r="G381" s="126" t="s">
        <v>20</v>
      </c>
      <c r="H381" s="127">
        <v>9000</v>
      </c>
      <c r="I381" s="126" t="s">
        <v>2646</v>
      </c>
      <c r="J381" s="174">
        <v>46026</v>
      </c>
      <c r="K381" s="126" t="s">
        <v>3051</v>
      </c>
      <c r="L381" s="126" t="s">
        <v>2671</v>
      </c>
      <c r="M381" s="128" t="b">
        <v>0</v>
      </c>
      <c r="N381" s="122"/>
    </row>
    <row r="382" spans="1:14" ht="15.75">
      <c r="A382" s="121"/>
      <c r="B382" s="121"/>
      <c r="C382" s="121"/>
      <c r="D382" s="126" t="s">
        <v>241</v>
      </c>
      <c r="E382" s="126" t="s">
        <v>2764</v>
      </c>
      <c r="F382" s="126" t="s">
        <v>2624</v>
      </c>
      <c r="G382" s="126" t="s">
        <v>27</v>
      </c>
      <c r="H382" s="127">
        <v>14500</v>
      </c>
      <c r="I382" s="126" t="s">
        <v>2646</v>
      </c>
      <c r="J382" s="174">
        <v>46026</v>
      </c>
      <c r="K382" s="126" t="s">
        <v>3051</v>
      </c>
      <c r="L382" s="126" t="s">
        <v>2671</v>
      </c>
      <c r="M382" s="128" t="b">
        <v>0</v>
      </c>
      <c r="N382" s="122"/>
    </row>
    <row r="383" spans="1:14" ht="15.75">
      <c r="A383" s="121"/>
      <c r="B383" s="121"/>
      <c r="C383" s="121"/>
      <c r="D383" s="126" t="s">
        <v>241</v>
      </c>
      <c r="E383" s="126" t="s">
        <v>2764</v>
      </c>
      <c r="F383" s="126" t="s">
        <v>2620</v>
      </c>
      <c r="G383" s="126" t="s">
        <v>1695</v>
      </c>
      <c r="H383" s="127">
        <v>17500</v>
      </c>
      <c r="I383" s="126" t="s">
        <v>2646</v>
      </c>
      <c r="J383" s="174">
        <v>46026</v>
      </c>
      <c r="K383" s="126" t="s">
        <v>3051</v>
      </c>
      <c r="L383" s="126" t="s">
        <v>2671</v>
      </c>
      <c r="M383" s="128" t="b">
        <v>0</v>
      </c>
      <c r="N383" s="122"/>
    </row>
    <row r="384" spans="1:14" ht="15.75">
      <c r="A384" s="121"/>
      <c r="B384" s="121"/>
      <c r="C384" s="121"/>
      <c r="D384" s="126" t="s">
        <v>131</v>
      </c>
      <c r="E384" s="126" t="s">
        <v>2831</v>
      </c>
      <c r="F384" s="126" t="s">
        <v>2653</v>
      </c>
      <c r="G384" s="126" t="s">
        <v>20</v>
      </c>
      <c r="H384" s="127">
        <v>10250</v>
      </c>
      <c r="I384" s="126" t="s">
        <v>2646</v>
      </c>
      <c r="J384" s="174">
        <v>46026</v>
      </c>
      <c r="K384" s="126" t="s">
        <v>3051</v>
      </c>
      <c r="L384" s="126" t="s">
        <v>2671</v>
      </c>
      <c r="M384" s="128" t="b">
        <v>0</v>
      </c>
      <c r="N384" s="122"/>
    </row>
    <row r="385" spans="1:14" ht="15.75">
      <c r="A385" s="121"/>
      <c r="B385" s="121"/>
      <c r="C385" s="121"/>
      <c r="D385" s="126" t="s">
        <v>842</v>
      </c>
      <c r="E385" s="126" t="s">
        <v>2693</v>
      </c>
      <c r="F385" s="126" t="s">
        <v>2653</v>
      </c>
      <c r="G385" s="126" t="s">
        <v>20</v>
      </c>
      <c r="H385" s="127">
        <v>3938</v>
      </c>
      <c r="I385" s="126" t="s">
        <v>2646</v>
      </c>
      <c r="J385" s="174">
        <v>46026</v>
      </c>
      <c r="K385" s="126" t="s">
        <v>3051</v>
      </c>
      <c r="L385" s="126" t="s">
        <v>2656</v>
      </c>
      <c r="M385" s="128" t="b">
        <v>0</v>
      </c>
      <c r="N385" s="122"/>
    </row>
    <row r="386" spans="1:14" ht="15.75">
      <c r="A386" s="121"/>
      <c r="B386" s="121"/>
      <c r="C386" s="121"/>
      <c r="D386" s="126" t="s">
        <v>1228</v>
      </c>
      <c r="E386" s="126" t="s">
        <v>2736</v>
      </c>
      <c r="F386" s="126" t="s">
        <v>2653</v>
      </c>
      <c r="G386" s="126" t="s">
        <v>20</v>
      </c>
      <c r="H386" s="127">
        <v>15500</v>
      </c>
      <c r="I386" s="126" t="s">
        <v>2646</v>
      </c>
      <c r="J386" s="174">
        <v>46026</v>
      </c>
      <c r="K386" s="126" t="s">
        <v>3051</v>
      </c>
      <c r="L386" s="126" t="s">
        <v>2671</v>
      </c>
      <c r="M386" s="128" t="b">
        <v>0</v>
      </c>
      <c r="N386" s="122"/>
    </row>
    <row r="387" spans="1:14" ht="15.75">
      <c r="A387" s="121"/>
      <c r="B387" s="121"/>
      <c r="C387" s="121"/>
      <c r="D387" s="126" t="s">
        <v>181</v>
      </c>
      <c r="E387" s="126" t="s">
        <v>2901</v>
      </c>
      <c r="F387" s="126" t="s">
        <v>1820</v>
      </c>
      <c r="G387" s="126" t="s">
        <v>25</v>
      </c>
      <c r="H387" s="127">
        <v>7950</v>
      </c>
      <c r="I387" s="126" t="s">
        <v>2646</v>
      </c>
      <c r="J387" s="174">
        <v>46026</v>
      </c>
      <c r="K387" s="126" t="s">
        <v>3051</v>
      </c>
      <c r="L387" s="126" t="s">
        <v>2671</v>
      </c>
      <c r="M387" s="128" t="b">
        <v>0</v>
      </c>
      <c r="N387" s="122"/>
    </row>
    <row r="388" spans="1:14" ht="15.75">
      <c r="A388" s="121"/>
      <c r="B388" s="121"/>
      <c r="C388" s="121"/>
      <c r="D388" s="126" t="s">
        <v>181</v>
      </c>
      <c r="E388" s="126" t="s">
        <v>2901</v>
      </c>
      <c r="F388" s="126" t="s">
        <v>2653</v>
      </c>
      <c r="G388" s="126" t="s">
        <v>20</v>
      </c>
      <c r="H388" s="127">
        <v>5000</v>
      </c>
      <c r="I388" s="126" t="s">
        <v>2646</v>
      </c>
      <c r="J388" s="174">
        <v>46026</v>
      </c>
      <c r="K388" s="126" t="s">
        <v>3051</v>
      </c>
      <c r="L388" s="126" t="s">
        <v>2671</v>
      </c>
      <c r="M388" s="128" t="b">
        <v>0</v>
      </c>
      <c r="N388" s="122"/>
    </row>
    <row r="389" spans="1:14" ht="15.75">
      <c r="A389" s="121"/>
      <c r="B389" s="121"/>
      <c r="C389" s="121"/>
      <c r="D389" s="126" t="s">
        <v>317</v>
      </c>
      <c r="E389" s="126" t="s">
        <v>2935</v>
      </c>
      <c r="F389" s="126" t="s">
        <v>1864</v>
      </c>
      <c r="G389" s="126" t="s">
        <v>27</v>
      </c>
      <c r="H389" s="127">
        <v>12500</v>
      </c>
      <c r="I389" s="126" t="s">
        <v>2646</v>
      </c>
      <c r="J389" s="174">
        <v>46026</v>
      </c>
      <c r="K389" s="126" t="s">
        <v>3051</v>
      </c>
      <c r="L389" s="126" t="s">
        <v>2643</v>
      </c>
      <c r="M389" s="128" t="b">
        <v>0</v>
      </c>
      <c r="N389" s="122"/>
    </row>
    <row r="390" spans="1:14" ht="15.75">
      <c r="A390" s="121"/>
      <c r="B390" s="121"/>
      <c r="C390" s="121"/>
      <c r="D390" s="126" t="s">
        <v>1957</v>
      </c>
      <c r="E390" s="126" t="s">
        <v>2695</v>
      </c>
      <c r="F390" s="126" t="s">
        <v>1840</v>
      </c>
      <c r="G390" s="126" t="s">
        <v>29</v>
      </c>
      <c r="H390" s="127">
        <v>7300</v>
      </c>
      <c r="I390" s="126" t="s">
        <v>2646</v>
      </c>
      <c r="J390" s="174">
        <v>46026</v>
      </c>
      <c r="K390" s="126" t="s">
        <v>3051</v>
      </c>
      <c r="L390" s="126" t="s">
        <v>2671</v>
      </c>
      <c r="M390" s="128" t="b">
        <v>0</v>
      </c>
      <c r="N390" s="122"/>
    </row>
    <row r="391" spans="1:14" ht="15.75">
      <c r="A391" s="121"/>
      <c r="B391" s="121"/>
      <c r="C391" s="121"/>
      <c r="D391" s="126" t="s">
        <v>1957</v>
      </c>
      <c r="E391" s="126" t="s">
        <v>2695</v>
      </c>
      <c r="F391" s="126" t="s">
        <v>2617</v>
      </c>
      <c r="G391" s="126" t="s">
        <v>23</v>
      </c>
      <c r="H391" s="127">
        <v>15100</v>
      </c>
      <c r="I391" s="126" t="s">
        <v>2646</v>
      </c>
      <c r="J391" s="174">
        <v>46026</v>
      </c>
      <c r="K391" s="126" t="s">
        <v>3051</v>
      </c>
      <c r="L391" s="126" t="s">
        <v>2671</v>
      </c>
      <c r="M391" s="128" t="b">
        <v>0</v>
      </c>
      <c r="N391" s="122"/>
    </row>
    <row r="392" spans="1:14" ht="15.75">
      <c r="A392" s="121"/>
      <c r="B392" s="121"/>
      <c r="C392" s="121"/>
      <c r="D392" s="126" t="s">
        <v>1957</v>
      </c>
      <c r="E392" s="126" t="s">
        <v>2695</v>
      </c>
      <c r="F392" s="126" t="s">
        <v>2653</v>
      </c>
      <c r="G392" s="126" t="s">
        <v>20</v>
      </c>
      <c r="H392" s="127">
        <v>6825</v>
      </c>
      <c r="I392" s="126" t="s">
        <v>2646</v>
      </c>
      <c r="J392" s="174">
        <v>46026</v>
      </c>
      <c r="K392" s="126" t="s">
        <v>3051</v>
      </c>
      <c r="L392" s="126" t="s">
        <v>2671</v>
      </c>
      <c r="M392" s="128" t="b">
        <v>0</v>
      </c>
      <c r="N392" s="122"/>
    </row>
    <row r="393" spans="1:14" ht="15.75">
      <c r="A393" s="121"/>
      <c r="B393" s="121"/>
      <c r="C393" s="121"/>
      <c r="D393" s="126" t="s">
        <v>1957</v>
      </c>
      <c r="E393" s="126" t="s">
        <v>2695</v>
      </c>
      <c r="F393" s="126" t="s">
        <v>1906</v>
      </c>
      <c r="G393" s="126" t="s">
        <v>21</v>
      </c>
      <c r="H393" s="127">
        <v>10500</v>
      </c>
      <c r="I393" s="126" t="s">
        <v>2646</v>
      </c>
      <c r="J393" s="174">
        <v>46026</v>
      </c>
      <c r="K393" s="126" t="s">
        <v>3051</v>
      </c>
      <c r="L393" s="126" t="s">
        <v>2671</v>
      </c>
      <c r="M393" s="128" t="b">
        <v>0</v>
      </c>
      <c r="N393" s="122"/>
    </row>
    <row r="394" spans="1:14" ht="15.75">
      <c r="A394" s="121"/>
      <c r="B394" s="121"/>
      <c r="C394" s="121"/>
      <c r="D394" s="126" t="s">
        <v>1957</v>
      </c>
      <c r="E394" s="126" t="s">
        <v>2695</v>
      </c>
      <c r="F394" s="126" t="s">
        <v>1833</v>
      </c>
      <c r="G394" s="126" t="s">
        <v>25</v>
      </c>
      <c r="H394" s="127">
        <v>8200</v>
      </c>
      <c r="I394" s="126" t="s">
        <v>2646</v>
      </c>
      <c r="J394" s="174">
        <v>46026</v>
      </c>
      <c r="K394" s="126" t="s">
        <v>3051</v>
      </c>
      <c r="L394" s="126" t="s">
        <v>2671</v>
      </c>
      <c r="M394" s="128" t="b">
        <v>0</v>
      </c>
      <c r="N394" s="122"/>
    </row>
    <row r="395" spans="1:14" ht="15.75">
      <c r="A395" s="121"/>
      <c r="B395" s="121"/>
      <c r="C395" s="121"/>
      <c r="D395" s="126" t="s">
        <v>1957</v>
      </c>
      <c r="E395" s="126" t="s">
        <v>2695</v>
      </c>
      <c r="F395" s="126" t="s">
        <v>1843</v>
      </c>
      <c r="G395" s="126" t="s">
        <v>21</v>
      </c>
      <c r="H395" s="127">
        <v>4200</v>
      </c>
      <c r="I395" s="126" t="s">
        <v>2646</v>
      </c>
      <c r="J395" s="174">
        <v>46026</v>
      </c>
      <c r="K395" s="126" t="s">
        <v>3051</v>
      </c>
      <c r="L395" s="126" t="s">
        <v>2671</v>
      </c>
      <c r="M395" s="128" t="b">
        <v>0</v>
      </c>
      <c r="N395" s="122"/>
    </row>
    <row r="396" spans="1:14" ht="15.75">
      <c r="A396" s="121"/>
      <c r="B396" s="121"/>
      <c r="C396" s="121"/>
      <c r="D396" s="126" t="s">
        <v>1957</v>
      </c>
      <c r="E396" s="126" t="s">
        <v>2695</v>
      </c>
      <c r="F396" s="126" t="s">
        <v>2620</v>
      </c>
      <c r="G396" s="126" t="s">
        <v>1695</v>
      </c>
      <c r="H396" s="127">
        <v>17250</v>
      </c>
      <c r="I396" s="126" t="s">
        <v>2646</v>
      </c>
      <c r="J396" s="174">
        <v>46026</v>
      </c>
      <c r="K396" s="126" t="s">
        <v>3051</v>
      </c>
      <c r="L396" s="126" t="s">
        <v>2671</v>
      </c>
      <c r="M396" s="128" t="b">
        <v>0</v>
      </c>
      <c r="N396" s="122"/>
    </row>
    <row r="397" spans="1:14" ht="15.75">
      <c r="A397" s="121"/>
      <c r="B397" s="121"/>
      <c r="C397" s="121"/>
      <c r="D397" s="126" t="s">
        <v>1957</v>
      </c>
      <c r="E397" s="126" t="s">
        <v>2695</v>
      </c>
      <c r="F397" s="126" t="s">
        <v>1827</v>
      </c>
      <c r="G397" s="126" t="s">
        <v>29</v>
      </c>
      <c r="H397" s="127">
        <v>7500</v>
      </c>
      <c r="I397" s="126" t="s">
        <v>2646</v>
      </c>
      <c r="J397" s="174">
        <v>46026</v>
      </c>
      <c r="K397" s="126" t="s">
        <v>3051</v>
      </c>
      <c r="L397" s="126" t="s">
        <v>2671</v>
      </c>
      <c r="M397" s="128" t="b">
        <v>0</v>
      </c>
      <c r="N397" s="122"/>
    </row>
    <row r="398" spans="1:14" ht="15.75">
      <c r="A398" s="121"/>
      <c r="B398" s="121"/>
      <c r="C398" s="121"/>
      <c r="D398" s="126" t="s">
        <v>105</v>
      </c>
      <c r="E398" s="126" t="s">
        <v>2768</v>
      </c>
      <c r="F398" s="126" t="s">
        <v>2074</v>
      </c>
      <c r="G398" s="126" t="s">
        <v>23</v>
      </c>
      <c r="H398" s="127">
        <v>18100</v>
      </c>
      <c r="I398" s="126" t="s">
        <v>2646</v>
      </c>
      <c r="J398" s="174">
        <v>46026</v>
      </c>
      <c r="K398" s="126" t="s">
        <v>3051</v>
      </c>
      <c r="L398" s="126" t="s">
        <v>2643</v>
      </c>
      <c r="M398" s="128" t="b">
        <v>0</v>
      </c>
      <c r="N398" s="122"/>
    </row>
    <row r="399" spans="1:14" ht="15.75">
      <c r="A399" s="121"/>
      <c r="B399" s="121"/>
      <c r="C399" s="121"/>
      <c r="D399" s="126" t="s">
        <v>105</v>
      </c>
      <c r="E399" s="126" t="s">
        <v>2768</v>
      </c>
      <c r="F399" s="126" t="s">
        <v>2653</v>
      </c>
      <c r="G399" s="126" t="s">
        <v>20</v>
      </c>
      <c r="H399" s="127">
        <v>6670</v>
      </c>
      <c r="I399" s="126" t="s">
        <v>2646</v>
      </c>
      <c r="J399" s="174">
        <v>46026</v>
      </c>
      <c r="K399" s="126" t="s">
        <v>3051</v>
      </c>
      <c r="L399" s="126" t="s">
        <v>2643</v>
      </c>
      <c r="M399" s="128" t="b">
        <v>0</v>
      </c>
      <c r="N399" s="122"/>
    </row>
    <row r="400" spans="1:14" ht="15.75">
      <c r="A400" s="121"/>
      <c r="B400" s="121"/>
      <c r="C400" s="121"/>
      <c r="D400" s="126" t="s">
        <v>622</v>
      </c>
      <c r="E400" s="126" t="s">
        <v>2922</v>
      </c>
      <c r="F400" s="126" t="s">
        <v>1820</v>
      </c>
      <c r="G400" s="126" t="s">
        <v>25</v>
      </c>
      <c r="H400" s="127">
        <v>11900</v>
      </c>
      <c r="I400" s="126" t="s">
        <v>2646</v>
      </c>
      <c r="J400" s="174">
        <v>46026</v>
      </c>
      <c r="K400" s="126" t="s">
        <v>3051</v>
      </c>
      <c r="L400" s="126" t="s">
        <v>2671</v>
      </c>
      <c r="M400" s="128" t="b">
        <v>0</v>
      </c>
      <c r="N400" s="122"/>
    </row>
    <row r="401" spans="1:14" ht="15.75">
      <c r="A401" s="121"/>
      <c r="B401" s="121"/>
      <c r="C401" s="121"/>
      <c r="D401" s="126" t="s">
        <v>2001</v>
      </c>
      <c r="E401" s="126" t="s">
        <v>2813</v>
      </c>
      <c r="F401" s="126" t="s">
        <v>2217</v>
      </c>
      <c r="G401" s="126" t="s">
        <v>21</v>
      </c>
      <c r="H401" s="127">
        <v>12531</v>
      </c>
      <c r="I401" s="126" t="s">
        <v>2646</v>
      </c>
      <c r="J401" s="174">
        <v>46026</v>
      </c>
      <c r="K401" s="126" t="s">
        <v>3051</v>
      </c>
      <c r="L401" s="126" t="s">
        <v>2643</v>
      </c>
      <c r="M401" s="128" t="b">
        <v>0</v>
      </c>
      <c r="N401" s="122"/>
    </row>
    <row r="402" spans="1:14" ht="15.75">
      <c r="A402" s="121"/>
      <c r="B402" s="121"/>
      <c r="C402" s="121"/>
      <c r="D402" s="126" t="s">
        <v>2001</v>
      </c>
      <c r="E402" s="126" t="s">
        <v>2813</v>
      </c>
      <c r="F402" s="126" t="s">
        <v>2653</v>
      </c>
      <c r="G402" s="126" t="s">
        <v>20</v>
      </c>
      <c r="H402" s="127">
        <v>13956</v>
      </c>
      <c r="I402" s="126" t="s">
        <v>2646</v>
      </c>
      <c r="J402" s="174">
        <v>46026</v>
      </c>
      <c r="K402" s="126" t="s">
        <v>3051</v>
      </c>
      <c r="L402" s="126" t="s">
        <v>2643</v>
      </c>
      <c r="M402" s="128" t="b">
        <v>0</v>
      </c>
      <c r="N402" s="122"/>
    </row>
    <row r="403" spans="1:14" ht="15.75">
      <c r="A403" s="121"/>
      <c r="B403" s="121"/>
      <c r="C403" s="121"/>
      <c r="D403" s="126" t="s">
        <v>2001</v>
      </c>
      <c r="E403" s="126" t="s">
        <v>2813</v>
      </c>
      <c r="F403" s="126" t="s">
        <v>1823</v>
      </c>
      <c r="G403" s="126" t="s">
        <v>21</v>
      </c>
      <c r="H403" s="127">
        <v>17198</v>
      </c>
      <c r="I403" s="126" t="s">
        <v>2646</v>
      </c>
      <c r="J403" s="174">
        <v>46026</v>
      </c>
      <c r="K403" s="126" t="s">
        <v>3051</v>
      </c>
      <c r="L403" s="126" t="s">
        <v>2643</v>
      </c>
      <c r="M403" s="128" t="b">
        <v>0</v>
      </c>
      <c r="N403" s="122"/>
    </row>
    <row r="404" spans="1:14" ht="15.75">
      <c r="A404" s="121"/>
      <c r="B404" s="121"/>
      <c r="C404" s="121"/>
      <c r="D404" s="126" t="s">
        <v>2001</v>
      </c>
      <c r="E404" s="126" t="s">
        <v>2813</v>
      </c>
      <c r="F404" s="126" t="s">
        <v>2112</v>
      </c>
      <c r="G404" s="126" t="s">
        <v>1931</v>
      </c>
      <c r="H404" s="127">
        <v>15815</v>
      </c>
      <c r="I404" s="126" t="s">
        <v>2646</v>
      </c>
      <c r="J404" s="174">
        <v>46026</v>
      </c>
      <c r="K404" s="126" t="s">
        <v>3051</v>
      </c>
      <c r="L404" s="126" t="s">
        <v>2643</v>
      </c>
      <c r="M404" s="128" t="b">
        <v>0</v>
      </c>
      <c r="N404" s="122"/>
    </row>
    <row r="405" spans="1:14" ht="15.75">
      <c r="A405" s="121"/>
      <c r="B405" s="121"/>
      <c r="C405" s="121"/>
      <c r="D405" s="126" t="s">
        <v>2002</v>
      </c>
      <c r="E405" s="126" t="s">
        <v>2731</v>
      </c>
      <c r="F405" s="126" t="s">
        <v>2653</v>
      </c>
      <c r="G405" s="126" t="s">
        <v>20</v>
      </c>
      <c r="H405" s="127">
        <v>4536</v>
      </c>
      <c r="I405" s="126" t="s">
        <v>2646</v>
      </c>
      <c r="J405" s="174">
        <v>46026</v>
      </c>
      <c r="K405" s="126" t="s">
        <v>3051</v>
      </c>
      <c r="L405" s="126" t="s">
        <v>2656</v>
      </c>
      <c r="M405" s="128" t="b">
        <v>0</v>
      </c>
      <c r="N405" s="122"/>
    </row>
    <row r="406" spans="1:14" ht="15.75">
      <c r="A406" s="121"/>
      <c r="B406" s="121"/>
      <c r="C406" s="121"/>
      <c r="D406" s="126" t="s">
        <v>2002</v>
      </c>
      <c r="E406" s="126" t="s">
        <v>2731</v>
      </c>
      <c r="F406" s="126" t="s">
        <v>1883</v>
      </c>
      <c r="G406" s="126" t="s">
        <v>20</v>
      </c>
      <c r="H406" s="127">
        <v>8568</v>
      </c>
      <c r="I406" s="126" t="s">
        <v>2646</v>
      </c>
      <c r="J406" s="174">
        <v>46026</v>
      </c>
      <c r="K406" s="126" t="s">
        <v>3051</v>
      </c>
      <c r="L406" s="126" t="s">
        <v>2656</v>
      </c>
      <c r="M406" s="128" t="b">
        <v>0</v>
      </c>
      <c r="N406" s="122"/>
    </row>
    <row r="407" spans="1:14" ht="15.75">
      <c r="A407" s="121"/>
      <c r="B407" s="121"/>
      <c r="C407" s="121"/>
      <c r="D407" s="126" t="s">
        <v>960</v>
      </c>
      <c r="E407" s="126" t="s">
        <v>2715</v>
      </c>
      <c r="F407" s="126" t="s">
        <v>1829</v>
      </c>
      <c r="G407" s="126" t="s">
        <v>23</v>
      </c>
      <c r="H407" s="127">
        <v>18000</v>
      </c>
      <c r="I407" s="126" t="s">
        <v>2646</v>
      </c>
      <c r="J407" s="174">
        <v>46026</v>
      </c>
      <c r="K407" s="126" t="s">
        <v>3051</v>
      </c>
      <c r="L407" s="126" t="s">
        <v>2643</v>
      </c>
      <c r="M407" s="128" t="b">
        <v>0</v>
      </c>
      <c r="N407" s="122"/>
    </row>
    <row r="408" spans="1:14" ht="15.75">
      <c r="A408" s="121"/>
      <c r="B408" s="121"/>
      <c r="C408" s="121"/>
      <c r="D408" s="126" t="s">
        <v>970</v>
      </c>
      <c r="E408" s="126" t="s">
        <v>2740</v>
      </c>
      <c r="F408" s="126" t="s">
        <v>2653</v>
      </c>
      <c r="G408" s="126" t="s">
        <v>20</v>
      </c>
      <c r="H408" s="127">
        <v>5805</v>
      </c>
      <c r="I408" s="126" t="s">
        <v>2646</v>
      </c>
      <c r="J408" s="174">
        <v>46026</v>
      </c>
      <c r="K408" s="126" t="s">
        <v>3051</v>
      </c>
      <c r="L408" s="126" t="s">
        <v>2667</v>
      </c>
      <c r="M408" s="128" t="b">
        <v>0</v>
      </c>
      <c r="N408" s="122"/>
    </row>
    <row r="409" spans="1:14" ht="15.75">
      <c r="A409" s="121"/>
      <c r="B409" s="121"/>
      <c r="C409" s="121"/>
      <c r="D409" s="126" t="s">
        <v>970</v>
      </c>
      <c r="E409" s="126" t="s">
        <v>2740</v>
      </c>
      <c r="F409" s="126" t="s">
        <v>2617</v>
      </c>
      <c r="G409" s="126" t="s">
        <v>23</v>
      </c>
      <c r="H409" s="127">
        <v>16179</v>
      </c>
      <c r="I409" s="126" t="s">
        <v>2646</v>
      </c>
      <c r="J409" s="174">
        <v>46026</v>
      </c>
      <c r="K409" s="126" t="s">
        <v>3051</v>
      </c>
      <c r="L409" s="126" t="s">
        <v>2667</v>
      </c>
      <c r="M409" s="128" t="b">
        <v>0</v>
      </c>
      <c r="N409" s="122"/>
    </row>
    <row r="410" spans="1:14" ht="15.75">
      <c r="A410" s="121"/>
      <c r="B410" s="121"/>
      <c r="C410" s="121"/>
      <c r="D410" s="126" t="s">
        <v>1099</v>
      </c>
      <c r="E410" s="126" t="s">
        <v>2928</v>
      </c>
      <c r="F410" s="126" t="s">
        <v>2653</v>
      </c>
      <c r="G410" s="126" t="s">
        <v>20</v>
      </c>
      <c r="H410" s="127">
        <v>10500</v>
      </c>
      <c r="I410" s="126" t="s">
        <v>2646</v>
      </c>
      <c r="J410" s="174">
        <v>46026</v>
      </c>
      <c r="K410" s="126" t="s">
        <v>3051</v>
      </c>
      <c r="L410" s="126" t="s">
        <v>2643</v>
      </c>
      <c r="M410" s="128" t="b">
        <v>0</v>
      </c>
      <c r="N410" s="122"/>
    </row>
    <row r="411" spans="1:14" ht="15.75">
      <c r="A411" s="121"/>
      <c r="B411" s="121"/>
      <c r="C411" s="121"/>
      <c r="D411" s="126" t="s">
        <v>1099</v>
      </c>
      <c r="E411" s="126" t="s">
        <v>2928</v>
      </c>
      <c r="F411" s="126" t="s">
        <v>2623</v>
      </c>
      <c r="G411" s="126" t="s">
        <v>1695</v>
      </c>
      <c r="H411" s="127">
        <v>11071</v>
      </c>
      <c r="I411" s="126" t="s">
        <v>2646</v>
      </c>
      <c r="J411" s="174">
        <v>46026</v>
      </c>
      <c r="K411" s="126" t="s">
        <v>3051</v>
      </c>
      <c r="L411" s="126" t="s">
        <v>2643</v>
      </c>
      <c r="M411" s="128" t="b">
        <v>0</v>
      </c>
      <c r="N411" s="122"/>
    </row>
    <row r="412" spans="1:14" ht="15.75">
      <c r="A412" s="121"/>
      <c r="B412" s="121"/>
      <c r="C412" s="121"/>
      <c r="D412" s="126" t="s">
        <v>1069</v>
      </c>
      <c r="E412" s="126" t="s">
        <v>2848</v>
      </c>
      <c r="F412" s="126" t="s">
        <v>2653</v>
      </c>
      <c r="G412" s="126" t="s">
        <v>20</v>
      </c>
      <c r="H412" s="127">
        <v>5670</v>
      </c>
      <c r="I412" s="126" t="s">
        <v>2646</v>
      </c>
      <c r="J412" s="174">
        <v>46026</v>
      </c>
      <c r="K412" s="126" t="s">
        <v>3051</v>
      </c>
      <c r="L412" s="126" t="s">
        <v>2656</v>
      </c>
      <c r="M412" s="128" t="b">
        <v>0</v>
      </c>
      <c r="N412" s="122"/>
    </row>
    <row r="413" spans="1:14" ht="15.75">
      <c r="A413" s="121"/>
      <c r="B413" s="121"/>
      <c r="C413" s="121"/>
      <c r="D413" s="126" t="s">
        <v>2003</v>
      </c>
      <c r="E413" s="126" t="s">
        <v>2748</v>
      </c>
      <c r="F413" s="126" t="s">
        <v>2653</v>
      </c>
      <c r="G413" s="126" t="s">
        <v>20</v>
      </c>
      <c r="H413" s="127">
        <v>13515</v>
      </c>
      <c r="I413" s="126" t="s">
        <v>2646</v>
      </c>
      <c r="J413" s="174">
        <v>46026</v>
      </c>
      <c r="K413" s="126" t="s">
        <v>3051</v>
      </c>
      <c r="L413" s="126" t="s">
        <v>2656</v>
      </c>
      <c r="M413" s="128" t="b">
        <v>0</v>
      </c>
      <c r="N413" s="122"/>
    </row>
    <row r="414" spans="1:14" ht="15.75">
      <c r="A414" s="121"/>
      <c r="B414" s="121"/>
      <c r="C414" s="121"/>
      <c r="D414" s="126" t="s">
        <v>2003</v>
      </c>
      <c r="E414" s="126" t="s">
        <v>2748</v>
      </c>
      <c r="F414" s="126" t="s">
        <v>33</v>
      </c>
      <c r="G414" s="126" t="s">
        <v>20</v>
      </c>
      <c r="H414" s="127">
        <v>4081</v>
      </c>
      <c r="I414" s="126" t="s">
        <v>2646</v>
      </c>
      <c r="J414" s="174">
        <v>46026</v>
      </c>
      <c r="K414" s="126" t="s">
        <v>3051</v>
      </c>
      <c r="L414" s="126" t="s">
        <v>2656</v>
      </c>
      <c r="M414" s="128" t="b">
        <v>0</v>
      </c>
      <c r="N414" s="122"/>
    </row>
    <row r="415" spans="1:14" ht="15.75">
      <c r="A415" s="121"/>
      <c r="B415" s="121"/>
      <c r="C415" s="121"/>
      <c r="D415" s="126" t="s">
        <v>75</v>
      </c>
      <c r="E415" s="126" t="s">
        <v>2826</v>
      </c>
      <c r="F415" s="126" t="s">
        <v>1829</v>
      </c>
      <c r="G415" s="126" t="s">
        <v>23</v>
      </c>
      <c r="H415" s="127">
        <v>19800</v>
      </c>
      <c r="I415" s="126" t="s">
        <v>2646</v>
      </c>
      <c r="J415" s="174">
        <v>46026</v>
      </c>
      <c r="K415" s="126" t="s">
        <v>3051</v>
      </c>
      <c r="L415" s="126" t="s">
        <v>2667</v>
      </c>
      <c r="M415" s="128" t="b">
        <v>0</v>
      </c>
      <c r="N415" s="122"/>
    </row>
    <row r="416" spans="1:14" ht="15.75">
      <c r="A416" s="121"/>
      <c r="B416" s="121"/>
      <c r="C416" s="121"/>
      <c r="D416" s="126" t="s">
        <v>1944</v>
      </c>
      <c r="E416" s="126" t="s">
        <v>2870</v>
      </c>
      <c r="F416" s="126" t="s">
        <v>1829</v>
      </c>
      <c r="G416" s="126" t="s">
        <v>23</v>
      </c>
      <c r="H416" s="127">
        <v>16500</v>
      </c>
      <c r="I416" s="126" t="s">
        <v>2646</v>
      </c>
      <c r="J416" s="174">
        <v>46026</v>
      </c>
      <c r="K416" s="126" t="s">
        <v>3051</v>
      </c>
      <c r="L416" s="126" t="s">
        <v>2680</v>
      </c>
      <c r="M416" s="128" t="b">
        <v>0</v>
      </c>
      <c r="N416" s="122"/>
    </row>
    <row r="417" spans="1:14" ht="15.75">
      <c r="A417" s="121"/>
      <c r="B417" s="121"/>
      <c r="C417" s="121"/>
      <c r="D417" s="126" t="s">
        <v>2004</v>
      </c>
      <c r="E417" s="126" t="s">
        <v>2896</v>
      </c>
      <c r="F417" s="126" t="s">
        <v>2653</v>
      </c>
      <c r="G417" s="126" t="s">
        <v>20</v>
      </c>
      <c r="H417" s="127">
        <v>2200</v>
      </c>
      <c r="I417" s="126" t="s">
        <v>2646</v>
      </c>
      <c r="J417" s="174">
        <v>46026</v>
      </c>
      <c r="K417" s="126" t="s">
        <v>3051</v>
      </c>
      <c r="L417" s="126" t="s">
        <v>2656</v>
      </c>
      <c r="M417" s="128" t="b">
        <v>0</v>
      </c>
      <c r="N417" s="122"/>
    </row>
    <row r="418" spans="1:14" ht="15.75">
      <c r="A418" s="121"/>
      <c r="B418" s="121"/>
      <c r="C418" s="121"/>
      <c r="D418" s="126" t="s">
        <v>1213</v>
      </c>
      <c r="E418" s="126" t="s">
        <v>2712</v>
      </c>
      <c r="F418" s="126" t="s">
        <v>2653</v>
      </c>
      <c r="G418" s="126" t="s">
        <v>20</v>
      </c>
      <c r="H418" s="127">
        <v>8610</v>
      </c>
      <c r="I418" s="126" t="s">
        <v>2646</v>
      </c>
      <c r="J418" s="174">
        <v>46026</v>
      </c>
      <c r="K418" s="126" t="s">
        <v>3051</v>
      </c>
      <c r="L418" s="126" t="s">
        <v>2656</v>
      </c>
      <c r="M418" s="128" t="b">
        <v>0</v>
      </c>
      <c r="N418" s="122"/>
    </row>
    <row r="419" spans="1:14" ht="15.75">
      <c r="A419" s="121"/>
      <c r="B419" s="121"/>
      <c r="C419" s="121"/>
      <c r="D419" s="126" t="s">
        <v>993</v>
      </c>
      <c r="E419" s="126" t="s">
        <v>2766</v>
      </c>
      <c r="F419" s="126" t="s">
        <v>2653</v>
      </c>
      <c r="G419" s="126" t="s">
        <v>20</v>
      </c>
      <c r="H419" s="127">
        <v>8000</v>
      </c>
      <c r="I419" s="126" t="s">
        <v>2646</v>
      </c>
      <c r="J419" s="174">
        <v>46026</v>
      </c>
      <c r="K419" s="126" t="s">
        <v>3051</v>
      </c>
      <c r="L419" s="126" t="s">
        <v>2656</v>
      </c>
      <c r="M419" s="128" t="b">
        <v>0</v>
      </c>
      <c r="N419" s="122"/>
    </row>
    <row r="420" spans="1:14" ht="15.75">
      <c r="A420" s="121"/>
      <c r="B420" s="121"/>
      <c r="C420" s="121"/>
      <c r="D420" s="126" t="s">
        <v>296</v>
      </c>
      <c r="E420" s="126" t="s">
        <v>2890</v>
      </c>
      <c r="F420" s="126" t="s">
        <v>1808</v>
      </c>
      <c r="G420" s="126" t="s">
        <v>25</v>
      </c>
      <c r="H420" s="127">
        <v>7254</v>
      </c>
      <c r="I420" s="126" t="s">
        <v>2646</v>
      </c>
      <c r="J420" s="174">
        <v>46026</v>
      </c>
      <c r="K420" s="126" t="s">
        <v>3051</v>
      </c>
      <c r="L420" s="126" t="s">
        <v>2643</v>
      </c>
      <c r="M420" s="128" t="b">
        <v>0</v>
      </c>
      <c r="N420" s="122"/>
    </row>
    <row r="421" spans="1:14" ht="15.75">
      <c r="A421" s="121"/>
      <c r="B421" s="121"/>
      <c r="C421" s="121"/>
      <c r="D421" s="126" t="s">
        <v>296</v>
      </c>
      <c r="E421" s="126" t="s">
        <v>2890</v>
      </c>
      <c r="F421" s="126" t="s">
        <v>2074</v>
      </c>
      <c r="G421" s="126" t="s">
        <v>23</v>
      </c>
      <c r="H421" s="127">
        <v>20421</v>
      </c>
      <c r="I421" s="126" t="s">
        <v>2646</v>
      </c>
      <c r="J421" s="174">
        <v>46026</v>
      </c>
      <c r="K421" s="126" t="s">
        <v>3051</v>
      </c>
      <c r="L421" s="126" t="s">
        <v>2643</v>
      </c>
      <c r="M421" s="128" t="b">
        <v>0</v>
      </c>
      <c r="N421" s="122"/>
    </row>
    <row r="422" spans="1:14" ht="15.75">
      <c r="A422" s="121"/>
      <c r="B422" s="121"/>
      <c r="C422" s="121"/>
      <c r="D422" s="126" t="s">
        <v>296</v>
      </c>
      <c r="E422" s="126" t="s">
        <v>2890</v>
      </c>
      <c r="F422" s="126" t="s">
        <v>2653</v>
      </c>
      <c r="G422" s="126" t="s">
        <v>20</v>
      </c>
      <c r="H422" s="127">
        <v>8184</v>
      </c>
      <c r="I422" s="126" t="s">
        <v>2646</v>
      </c>
      <c r="J422" s="174">
        <v>46026</v>
      </c>
      <c r="K422" s="126" t="s">
        <v>3051</v>
      </c>
      <c r="L422" s="126" t="s">
        <v>2643</v>
      </c>
      <c r="M422" s="128" t="b">
        <v>0</v>
      </c>
      <c r="N422" s="122"/>
    </row>
    <row r="423" spans="1:14" ht="15.75">
      <c r="A423" s="121"/>
      <c r="B423" s="121"/>
      <c r="C423" s="121"/>
      <c r="D423" s="126" t="s">
        <v>296</v>
      </c>
      <c r="E423" s="126" t="s">
        <v>2890</v>
      </c>
      <c r="F423" s="126" t="s">
        <v>2625</v>
      </c>
      <c r="G423" s="126" t="s">
        <v>27</v>
      </c>
      <c r="H423" s="127">
        <v>16876</v>
      </c>
      <c r="I423" s="126" t="s">
        <v>2646</v>
      </c>
      <c r="J423" s="174">
        <v>46026</v>
      </c>
      <c r="K423" s="126" t="s">
        <v>3051</v>
      </c>
      <c r="L423" s="126" t="s">
        <v>2643</v>
      </c>
      <c r="M423" s="128" t="b">
        <v>0</v>
      </c>
      <c r="N423" s="122"/>
    </row>
    <row r="424" spans="1:14" ht="15.75">
      <c r="A424" s="121"/>
      <c r="B424" s="121"/>
      <c r="C424" s="121"/>
      <c r="D424" s="126" t="s">
        <v>425</v>
      </c>
      <c r="E424" s="126" t="s">
        <v>2840</v>
      </c>
      <c r="F424" s="126" t="s">
        <v>2653</v>
      </c>
      <c r="G424" s="126" t="s">
        <v>20</v>
      </c>
      <c r="H424" s="127">
        <v>4070</v>
      </c>
      <c r="I424" s="126" t="s">
        <v>2646</v>
      </c>
      <c r="J424" s="174">
        <v>46026</v>
      </c>
      <c r="K424" s="126" t="s">
        <v>3051</v>
      </c>
      <c r="L424" s="126" t="s">
        <v>2656</v>
      </c>
      <c r="M424" s="128" t="b">
        <v>0</v>
      </c>
      <c r="N424" s="122"/>
    </row>
    <row r="425" spans="1:14" ht="15.75">
      <c r="A425" s="121"/>
      <c r="B425" s="121"/>
      <c r="C425" s="121"/>
      <c r="D425" s="126" t="s">
        <v>1102</v>
      </c>
      <c r="E425" s="126" t="s">
        <v>2929</v>
      </c>
      <c r="F425" s="126" t="s">
        <v>2617</v>
      </c>
      <c r="G425" s="126" t="s">
        <v>23</v>
      </c>
      <c r="H425" s="127">
        <v>13632</v>
      </c>
      <c r="I425" s="126" t="s">
        <v>2646</v>
      </c>
      <c r="J425" s="174">
        <v>46026</v>
      </c>
      <c r="K425" s="126" t="s">
        <v>3051</v>
      </c>
      <c r="L425" s="126" t="s">
        <v>2680</v>
      </c>
      <c r="M425" s="128" t="b">
        <v>0</v>
      </c>
      <c r="N425" s="122"/>
    </row>
    <row r="426" spans="1:14" ht="15.75">
      <c r="A426" s="121"/>
      <c r="B426" s="121"/>
      <c r="C426" s="121"/>
      <c r="D426" s="126" t="s">
        <v>553</v>
      </c>
      <c r="E426" s="126" t="s">
        <v>2783</v>
      </c>
      <c r="F426" s="126" t="s">
        <v>1921</v>
      </c>
      <c r="G426" s="126" t="s">
        <v>25</v>
      </c>
      <c r="H426" s="127">
        <v>5266</v>
      </c>
      <c r="I426" s="126" t="s">
        <v>2646</v>
      </c>
      <c r="J426" s="174">
        <v>46026</v>
      </c>
      <c r="K426" s="126" t="s">
        <v>3051</v>
      </c>
      <c r="L426" s="126" t="s">
        <v>2643</v>
      </c>
      <c r="M426" s="128" t="b">
        <v>0</v>
      </c>
      <c r="N426" s="122"/>
    </row>
    <row r="427" spans="1:14" ht="15.75">
      <c r="A427" s="121"/>
      <c r="B427" s="121"/>
      <c r="C427" s="121"/>
      <c r="D427" s="126" t="s">
        <v>553</v>
      </c>
      <c r="E427" s="126" t="s">
        <v>2783</v>
      </c>
      <c r="F427" s="126" t="s">
        <v>1845</v>
      </c>
      <c r="G427" s="126" t="s">
        <v>31</v>
      </c>
      <c r="H427" s="127">
        <v>6633</v>
      </c>
      <c r="I427" s="126" t="s">
        <v>2646</v>
      </c>
      <c r="J427" s="174">
        <v>46026</v>
      </c>
      <c r="K427" s="126" t="s">
        <v>3051</v>
      </c>
      <c r="L427" s="126" t="s">
        <v>2643</v>
      </c>
      <c r="M427" s="128" t="b">
        <v>0</v>
      </c>
      <c r="N427" s="122"/>
    </row>
    <row r="428" spans="1:14" ht="15.75">
      <c r="A428" s="121"/>
      <c r="B428" s="121"/>
      <c r="C428" s="121"/>
      <c r="D428" s="126" t="s">
        <v>553</v>
      </c>
      <c r="E428" s="126" t="s">
        <v>2783</v>
      </c>
      <c r="F428" s="126" t="s">
        <v>2653</v>
      </c>
      <c r="G428" s="126" t="s">
        <v>20</v>
      </c>
      <c r="H428" s="127">
        <v>6633</v>
      </c>
      <c r="I428" s="126" t="s">
        <v>2646</v>
      </c>
      <c r="J428" s="174">
        <v>46026</v>
      </c>
      <c r="K428" s="126" t="s">
        <v>3051</v>
      </c>
      <c r="L428" s="126" t="s">
        <v>2643</v>
      </c>
      <c r="M428" s="128" t="b">
        <v>0</v>
      </c>
      <c r="N428" s="122"/>
    </row>
    <row r="429" spans="1:14" ht="15.75">
      <c r="A429" s="121"/>
      <c r="B429" s="121"/>
      <c r="C429" s="121"/>
      <c r="D429" s="126" t="s">
        <v>553</v>
      </c>
      <c r="E429" s="126" t="s">
        <v>2783</v>
      </c>
      <c r="F429" s="126" t="s">
        <v>1820</v>
      </c>
      <c r="G429" s="126" t="s">
        <v>25</v>
      </c>
      <c r="H429" s="127">
        <v>8343</v>
      </c>
      <c r="I429" s="126" t="s">
        <v>2646</v>
      </c>
      <c r="J429" s="174">
        <v>46026</v>
      </c>
      <c r="K429" s="126" t="s">
        <v>3051</v>
      </c>
      <c r="L429" s="126" t="s">
        <v>2643</v>
      </c>
      <c r="M429" s="128" t="b">
        <v>0</v>
      </c>
      <c r="N429" s="122"/>
    </row>
    <row r="430" spans="1:14" ht="15.75">
      <c r="A430" s="121"/>
      <c r="B430" s="121"/>
      <c r="C430" s="121"/>
      <c r="D430" s="126" t="s">
        <v>2005</v>
      </c>
      <c r="E430" s="126" t="s">
        <v>2810</v>
      </c>
      <c r="F430" s="126" t="s">
        <v>2645</v>
      </c>
      <c r="G430" s="126" t="s">
        <v>1902</v>
      </c>
      <c r="H430" s="127">
        <v>4800</v>
      </c>
      <c r="I430" s="126" t="s">
        <v>2646</v>
      </c>
      <c r="J430" s="174">
        <v>46026</v>
      </c>
      <c r="K430" s="126" t="s">
        <v>3051</v>
      </c>
      <c r="L430" s="126" t="s">
        <v>2647</v>
      </c>
      <c r="M430" s="128" t="b">
        <v>0</v>
      </c>
      <c r="N430" s="122"/>
    </row>
    <row r="431" spans="1:14" ht="15.75">
      <c r="A431" s="121"/>
      <c r="B431" s="121"/>
      <c r="C431" s="121"/>
      <c r="D431" s="126" t="s">
        <v>2006</v>
      </c>
      <c r="E431" s="126" t="s">
        <v>2714</v>
      </c>
      <c r="F431" s="126" t="s">
        <v>1889</v>
      </c>
      <c r="G431" s="126" t="s">
        <v>21</v>
      </c>
      <c r="H431" s="127">
        <v>60632.33</v>
      </c>
      <c r="I431" s="126" t="s">
        <v>2646</v>
      </c>
      <c r="J431" s="174">
        <v>46026</v>
      </c>
      <c r="K431" s="126" t="s">
        <v>3051</v>
      </c>
      <c r="L431" s="126" t="s">
        <v>2667</v>
      </c>
      <c r="M431" s="128" t="b">
        <v>0</v>
      </c>
      <c r="N431" s="122"/>
    </row>
    <row r="432" spans="1:14" ht="15.75">
      <c r="A432" s="121"/>
      <c r="B432" s="121"/>
      <c r="C432" s="121"/>
      <c r="D432" s="126" t="s">
        <v>2006</v>
      </c>
      <c r="E432" s="126" t="s">
        <v>2714</v>
      </c>
      <c r="F432" s="126" t="s">
        <v>1816</v>
      </c>
      <c r="G432" s="126" t="s">
        <v>1931</v>
      </c>
      <c r="H432" s="127">
        <v>17526.650000000001</v>
      </c>
      <c r="I432" s="126" t="s">
        <v>2646</v>
      </c>
      <c r="J432" s="174">
        <v>46026</v>
      </c>
      <c r="K432" s="126" t="s">
        <v>3051</v>
      </c>
      <c r="L432" s="126" t="s">
        <v>2667</v>
      </c>
      <c r="M432" s="128" t="b">
        <v>0</v>
      </c>
      <c r="N432" s="122"/>
    </row>
    <row r="433" spans="1:14" ht="15.75">
      <c r="A433" s="121"/>
      <c r="B433" s="121"/>
      <c r="C433" s="121"/>
      <c r="D433" s="126" t="s">
        <v>2006</v>
      </c>
      <c r="E433" s="126" t="s">
        <v>2714</v>
      </c>
      <c r="F433" s="126" t="s">
        <v>2653</v>
      </c>
      <c r="G433" s="126" t="s">
        <v>20</v>
      </c>
      <c r="H433" s="127">
        <v>16579.150000000001</v>
      </c>
      <c r="I433" s="126" t="s">
        <v>2646</v>
      </c>
      <c r="J433" s="174">
        <v>46026</v>
      </c>
      <c r="K433" s="126" t="s">
        <v>3051</v>
      </c>
      <c r="L433" s="126" t="s">
        <v>2667</v>
      </c>
      <c r="M433" s="128" t="b">
        <v>0</v>
      </c>
      <c r="N433" s="122"/>
    </row>
    <row r="434" spans="1:14" ht="15.75">
      <c r="A434" s="121"/>
      <c r="B434" s="121"/>
      <c r="C434" s="121"/>
      <c r="D434" s="126" t="s">
        <v>2006</v>
      </c>
      <c r="E434" s="126" t="s">
        <v>2714</v>
      </c>
      <c r="F434" s="126" t="s">
        <v>2617</v>
      </c>
      <c r="G434" s="126" t="s">
        <v>23</v>
      </c>
      <c r="H434" s="127">
        <v>15098.73</v>
      </c>
      <c r="I434" s="126" t="s">
        <v>2646</v>
      </c>
      <c r="J434" s="174">
        <v>46026</v>
      </c>
      <c r="K434" s="126" t="s">
        <v>3051</v>
      </c>
      <c r="L434" s="126" t="s">
        <v>2667</v>
      </c>
      <c r="M434" s="128" t="b">
        <v>0</v>
      </c>
      <c r="N434" s="122"/>
    </row>
    <row r="435" spans="1:14" ht="15.75">
      <c r="A435" s="121"/>
      <c r="B435" s="121"/>
      <c r="C435" s="121"/>
      <c r="D435" s="126" t="s">
        <v>2006</v>
      </c>
      <c r="E435" s="126" t="s">
        <v>2714</v>
      </c>
      <c r="F435" s="126" t="s">
        <v>2629</v>
      </c>
      <c r="G435" s="126" t="s">
        <v>21</v>
      </c>
      <c r="H435" s="127">
        <v>36474.14</v>
      </c>
      <c r="I435" s="126" t="s">
        <v>2646</v>
      </c>
      <c r="J435" s="174">
        <v>46026</v>
      </c>
      <c r="K435" s="126" t="s">
        <v>3051</v>
      </c>
      <c r="L435" s="126" t="s">
        <v>2667</v>
      </c>
      <c r="M435" s="128" t="b">
        <v>0</v>
      </c>
      <c r="N435" s="122"/>
    </row>
    <row r="436" spans="1:14" ht="15.75">
      <c r="A436" s="121"/>
      <c r="B436" s="121"/>
      <c r="C436" s="121"/>
      <c r="D436" s="126" t="s">
        <v>1932</v>
      </c>
      <c r="E436" s="126" t="s">
        <v>2879</v>
      </c>
      <c r="F436" s="126" t="s">
        <v>2653</v>
      </c>
      <c r="G436" s="126" t="s">
        <v>20</v>
      </c>
      <c r="H436" s="127">
        <v>17447.48</v>
      </c>
      <c r="I436" s="126" t="s">
        <v>2646</v>
      </c>
      <c r="J436" s="174">
        <v>46026</v>
      </c>
      <c r="K436" s="126" t="s">
        <v>3051</v>
      </c>
      <c r="L436" s="126" t="s">
        <v>2667</v>
      </c>
      <c r="M436" s="128" t="b">
        <v>0</v>
      </c>
      <c r="N436" s="122"/>
    </row>
    <row r="437" spans="1:14" ht="15.75">
      <c r="A437" s="121"/>
      <c r="B437" s="121"/>
      <c r="C437" s="121"/>
      <c r="D437" s="126" t="s">
        <v>1932</v>
      </c>
      <c r="E437" s="126" t="s">
        <v>2879</v>
      </c>
      <c r="F437" s="126" t="s">
        <v>1889</v>
      </c>
      <c r="G437" s="126" t="s">
        <v>21</v>
      </c>
      <c r="H437" s="127">
        <v>63807.92</v>
      </c>
      <c r="I437" s="126" t="s">
        <v>2646</v>
      </c>
      <c r="J437" s="174">
        <v>46026</v>
      </c>
      <c r="K437" s="126" t="s">
        <v>3051</v>
      </c>
      <c r="L437" s="126" t="s">
        <v>2667</v>
      </c>
      <c r="M437" s="128" t="b">
        <v>0</v>
      </c>
      <c r="N437" s="122"/>
    </row>
    <row r="438" spans="1:14" ht="15.75">
      <c r="A438" s="121"/>
      <c r="B438" s="121"/>
      <c r="C438" s="121"/>
      <c r="D438" s="126" t="s">
        <v>1932</v>
      </c>
      <c r="E438" s="126" t="s">
        <v>2879</v>
      </c>
      <c r="F438" s="126" t="s">
        <v>1817</v>
      </c>
      <c r="G438" s="126" t="s">
        <v>35</v>
      </c>
      <c r="H438" s="127">
        <v>15951.98</v>
      </c>
      <c r="I438" s="126" t="s">
        <v>2646</v>
      </c>
      <c r="J438" s="174">
        <v>46026</v>
      </c>
      <c r="K438" s="126" t="s">
        <v>3051</v>
      </c>
      <c r="L438" s="126" t="s">
        <v>2667</v>
      </c>
      <c r="M438" s="128" t="b">
        <v>0</v>
      </c>
      <c r="N438" s="122"/>
    </row>
    <row r="439" spans="1:14" ht="15.75">
      <c r="A439" s="121"/>
      <c r="B439" s="121"/>
      <c r="C439" s="121"/>
      <c r="D439" s="126" t="s">
        <v>1932</v>
      </c>
      <c r="E439" s="126" t="s">
        <v>2879</v>
      </c>
      <c r="F439" s="126" t="s">
        <v>1904</v>
      </c>
      <c r="G439" s="126" t="s">
        <v>25</v>
      </c>
      <c r="H439" s="127">
        <v>41873.97</v>
      </c>
      <c r="I439" s="126" t="s">
        <v>2646</v>
      </c>
      <c r="J439" s="174">
        <v>46026</v>
      </c>
      <c r="K439" s="126" t="s">
        <v>3051</v>
      </c>
      <c r="L439" s="126" t="s">
        <v>2667</v>
      </c>
      <c r="M439" s="128" t="b">
        <v>0</v>
      </c>
      <c r="N439" s="122"/>
    </row>
    <row r="440" spans="1:14" ht="15.75">
      <c r="A440" s="121"/>
      <c r="B440" s="121"/>
      <c r="C440" s="121"/>
      <c r="D440" s="126" t="s">
        <v>167</v>
      </c>
      <c r="E440" s="126" t="s">
        <v>2799</v>
      </c>
      <c r="F440" s="126" t="s">
        <v>1830</v>
      </c>
      <c r="G440" s="126" t="s">
        <v>21</v>
      </c>
      <c r="H440" s="127">
        <v>19530</v>
      </c>
      <c r="I440" s="126" t="s">
        <v>2646</v>
      </c>
      <c r="J440" s="174">
        <v>46026</v>
      </c>
      <c r="K440" s="126" t="s">
        <v>3051</v>
      </c>
      <c r="L440" s="126" t="s">
        <v>2680</v>
      </c>
      <c r="M440" s="128" t="b">
        <v>0</v>
      </c>
      <c r="N440" s="122"/>
    </row>
    <row r="441" spans="1:14" ht="15.75">
      <c r="A441" s="121"/>
      <c r="B441" s="121"/>
      <c r="C441" s="121"/>
      <c r="D441" s="126" t="s">
        <v>1009</v>
      </c>
      <c r="E441" s="126" t="s">
        <v>2781</v>
      </c>
      <c r="F441" s="126" t="s">
        <v>2653</v>
      </c>
      <c r="G441" s="126" t="s">
        <v>20</v>
      </c>
      <c r="H441" s="127">
        <v>1152</v>
      </c>
      <c r="I441" s="126" t="s">
        <v>2646</v>
      </c>
      <c r="J441" s="174">
        <v>46026</v>
      </c>
      <c r="K441" s="126" t="s">
        <v>3051</v>
      </c>
      <c r="L441" s="126" t="s">
        <v>2656</v>
      </c>
      <c r="M441" s="128" t="b">
        <v>0</v>
      </c>
      <c r="N441" s="122"/>
    </row>
    <row r="442" spans="1:14" ht="15.75">
      <c r="A442" s="121"/>
      <c r="B442" s="121"/>
      <c r="C442" s="121"/>
      <c r="D442" s="126" t="s">
        <v>1074</v>
      </c>
      <c r="E442" s="126" t="s">
        <v>2861</v>
      </c>
      <c r="F442" s="126" t="s">
        <v>2653</v>
      </c>
      <c r="G442" s="126" t="s">
        <v>20</v>
      </c>
      <c r="H442" s="127">
        <v>8624.7000000000007</v>
      </c>
      <c r="I442" s="126" t="s">
        <v>2646</v>
      </c>
      <c r="J442" s="174">
        <v>46026</v>
      </c>
      <c r="K442" s="126" t="s">
        <v>3051</v>
      </c>
      <c r="L442" s="126" t="s">
        <v>2656</v>
      </c>
      <c r="M442" s="128" t="b">
        <v>1</v>
      </c>
      <c r="N442" s="122"/>
    </row>
    <row r="443" spans="1:14" ht="15.75">
      <c r="A443" s="121"/>
      <c r="B443" s="121"/>
      <c r="C443" s="121"/>
      <c r="D443" s="126" t="s">
        <v>2007</v>
      </c>
      <c r="E443" s="126" t="s">
        <v>2722</v>
      </c>
      <c r="F443" s="126" t="s">
        <v>2616</v>
      </c>
      <c r="G443" s="126" t="s">
        <v>29</v>
      </c>
      <c r="H443" s="127">
        <v>7300</v>
      </c>
      <c r="I443" s="126" t="s">
        <v>1705</v>
      </c>
      <c r="J443" s="174">
        <v>46026</v>
      </c>
      <c r="K443" s="126" t="s">
        <v>3051</v>
      </c>
      <c r="L443" s="126" t="s">
        <v>2671</v>
      </c>
      <c r="M443" s="128" t="b">
        <v>0</v>
      </c>
      <c r="N443" s="122"/>
    </row>
    <row r="444" spans="1:14" ht="15.75">
      <c r="A444" s="121"/>
      <c r="B444" s="121"/>
      <c r="C444" s="121"/>
      <c r="D444" s="126" t="s">
        <v>2007</v>
      </c>
      <c r="E444" s="126" t="s">
        <v>2722</v>
      </c>
      <c r="F444" s="126" t="s">
        <v>2653</v>
      </c>
      <c r="G444" s="126" t="s">
        <v>20</v>
      </c>
      <c r="H444" s="127">
        <v>7100</v>
      </c>
      <c r="I444" s="126" t="s">
        <v>1705</v>
      </c>
      <c r="J444" s="174">
        <v>46026</v>
      </c>
      <c r="K444" s="126" t="s">
        <v>3051</v>
      </c>
      <c r="L444" s="126" t="s">
        <v>2671</v>
      </c>
      <c r="M444" s="128" t="b">
        <v>0</v>
      </c>
      <c r="N444" s="122"/>
    </row>
    <row r="445" spans="1:14" ht="15.75">
      <c r="A445" s="121"/>
      <c r="B445" s="121"/>
      <c r="C445" s="121"/>
      <c r="D445" s="126" t="s">
        <v>2007</v>
      </c>
      <c r="E445" s="126" t="s">
        <v>2722</v>
      </c>
      <c r="F445" s="126" t="s">
        <v>1836</v>
      </c>
      <c r="G445" s="126" t="s">
        <v>21</v>
      </c>
      <c r="H445" s="127">
        <v>7300</v>
      </c>
      <c r="I445" s="126" t="s">
        <v>1705</v>
      </c>
      <c r="J445" s="174">
        <v>46026</v>
      </c>
      <c r="K445" s="126" t="s">
        <v>3051</v>
      </c>
      <c r="L445" s="126" t="s">
        <v>2671</v>
      </c>
      <c r="M445" s="128" t="b">
        <v>0</v>
      </c>
      <c r="N445" s="122"/>
    </row>
    <row r="446" spans="1:14" ht="15.75">
      <c r="A446" s="121"/>
      <c r="B446" s="121"/>
      <c r="C446" s="121"/>
      <c r="D446" s="126" t="s">
        <v>2007</v>
      </c>
      <c r="E446" s="126" t="s">
        <v>2722</v>
      </c>
      <c r="F446" s="126" t="s">
        <v>1904</v>
      </c>
      <c r="G446" s="126" t="s">
        <v>25</v>
      </c>
      <c r="H446" s="127">
        <v>19200</v>
      </c>
      <c r="I446" s="126" t="s">
        <v>1705</v>
      </c>
      <c r="J446" s="174">
        <v>46026</v>
      </c>
      <c r="K446" s="126" t="s">
        <v>3051</v>
      </c>
      <c r="L446" s="126" t="s">
        <v>2671</v>
      </c>
      <c r="M446" s="128" t="b">
        <v>0</v>
      </c>
      <c r="N446" s="122"/>
    </row>
    <row r="447" spans="1:14" ht="15.75">
      <c r="A447" s="121"/>
      <c r="B447" s="121"/>
      <c r="C447" s="121"/>
      <c r="D447" s="126" t="s">
        <v>2007</v>
      </c>
      <c r="E447" s="126" t="s">
        <v>2722</v>
      </c>
      <c r="F447" s="126" t="s">
        <v>1797</v>
      </c>
      <c r="G447" s="126" t="s">
        <v>29</v>
      </c>
      <c r="H447" s="127">
        <v>5900</v>
      </c>
      <c r="I447" s="126" t="s">
        <v>1705</v>
      </c>
      <c r="J447" s="174">
        <v>46026</v>
      </c>
      <c r="K447" s="126" t="s">
        <v>3051</v>
      </c>
      <c r="L447" s="126" t="s">
        <v>2671</v>
      </c>
      <c r="M447" s="128" t="b">
        <v>0</v>
      </c>
      <c r="N447" s="122"/>
    </row>
    <row r="448" spans="1:14" ht="15.75">
      <c r="A448" s="121"/>
      <c r="B448" s="121"/>
      <c r="C448" s="121"/>
      <c r="D448" s="126" t="s">
        <v>2008</v>
      </c>
      <c r="E448" s="126" t="s">
        <v>2691</v>
      </c>
      <c r="F448" s="126" t="s">
        <v>1898</v>
      </c>
      <c r="G448" s="126" t="s">
        <v>29</v>
      </c>
      <c r="H448" s="127">
        <v>4620</v>
      </c>
      <c r="I448" s="126" t="s">
        <v>2646</v>
      </c>
      <c r="J448" s="174">
        <v>46026</v>
      </c>
      <c r="K448" s="126" t="s">
        <v>3051</v>
      </c>
      <c r="L448" s="126" t="s">
        <v>2680</v>
      </c>
      <c r="M448" s="128" t="b">
        <v>0</v>
      </c>
      <c r="N448" s="122"/>
    </row>
    <row r="449" spans="1:14" ht="15.75">
      <c r="A449" s="121"/>
      <c r="B449" s="121"/>
      <c r="C449" s="121"/>
      <c r="D449" s="126" t="s">
        <v>2008</v>
      </c>
      <c r="E449" s="126" t="s">
        <v>2691</v>
      </c>
      <c r="F449" s="126" t="s">
        <v>2653</v>
      </c>
      <c r="G449" s="126" t="s">
        <v>20</v>
      </c>
      <c r="H449" s="127">
        <v>10159</v>
      </c>
      <c r="I449" s="126" t="s">
        <v>2646</v>
      </c>
      <c r="J449" s="174">
        <v>46026</v>
      </c>
      <c r="K449" s="126" t="s">
        <v>3051</v>
      </c>
      <c r="L449" s="126" t="s">
        <v>2680</v>
      </c>
      <c r="M449" s="128" t="b">
        <v>0</v>
      </c>
      <c r="N449" s="122"/>
    </row>
    <row r="450" spans="1:14" ht="15.75">
      <c r="A450" s="121"/>
      <c r="B450" s="121"/>
      <c r="C450" s="121"/>
      <c r="D450" s="126" t="s">
        <v>2008</v>
      </c>
      <c r="E450" s="126" t="s">
        <v>2691</v>
      </c>
      <c r="F450" s="126" t="s">
        <v>1926</v>
      </c>
      <c r="G450" s="126" t="s">
        <v>21</v>
      </c>
      <c r="H450" s="127">
        <v>11288</v>
      </c>
      <c r="I450" s="126" t="s">
        <v>2646</v>
      </c>
      <c r="J450" s="174">
        <v>46026</v>
      </c>
      <c r="K450" s="126" t="s">
        <v>3051</v>
      </c>
      <c r="L450" s="126" t="s">
        <v>2680</v>
      </c>
      <c r="M450" s="128" t="b">
        <v>0</v>
      </c>
      <c r="N450" s="122"/>
    </row>
    <row r="451" spans="1:14" ht="15.75">
      <c r="A451" s="121"/>
      <c r="B451" s="121"/>
      <c r="C451" s="121"/>
      <c r="D451" s="126" t="s">
        <v>2008</v>
      </c>
      <c r="E451" s="126" t="s">
        <v>2691</v>
      </c>
      <c r="F451" s="126" t="s">
        <v>1836</v>
      </c>
      <c r="G451" s="126" t="s">
        <v>21</v>
      </c>
      <c r="H451" s="127">
        <v>9030</v>
      </c>
      <c r="I451" s="126" t="s">
        <v>2646</v>
      </c>
      <c r="J451" s="174">
        <v>46026</v>
      </c>
      <c r="K451" s="126" t="s">
        <v>3051</v>
      </c>
      <c r="L451" s="126" t="s">
        <v>2680</v>
      </c>
      <c r="M451" s="128" t="b">
        <v>0</v>
      </c>
      <c r="N451" s="122"/>
    </row>
    <row r="452" spans="1:14" ht="15.75">
      <c r="A452" s="121"/>
      <c r="B452" s="121"/>
      <c r="C452" s="121"/>
      <c r="D452" s="126" t="s">
        <v>2008</v>
      </c>
      <c r="E452" s="126" t="s">
        <v>2691</v>
      </c>
      <c r="F452" s="126" t="s">
        <v>1843</v>
      </c>
      <c r="G452" s="126" t="s">
        <v>21</v>
      </c>
      <c r="H452" s="127">
        <v>8617</v>
      </c>
      <c r="I452" s="126" t="s">
        <v>2646</v>
      </c>
      <c r="J452" s="174">
        <v>46026</v>
      </c>
      <c r="K452" s="126" t="s">
        <v>3051</v>
      </c>
      <c r="L452" s="126" t="s">
        <v>2680</v>
      </c>
      <c r="M452" s="128" t="b">
        <v>0</v>
      </c>
      <c r="N452" s="122"/>
    </row>
    <row r="453" spans="1:14" ht="15.75">
      <c r="A453" s="121"/>
      <c r="B453" s="121"/>
      <c r="C453" s="121"/>
      <c r="D453" s="126" t="s">
        <v>2008</v>
      </c>
      <c r="E453" s="126" t="s">
        <v>2691</v>
      </c>
      <c r="F453" s="126" t="s">
        <v>2617</v>
      </c>
      <c r="G453" s="126" t="s">
        <v>23</v>
      </c>
      <c r="H453" s="127">
        <v>14286</v>
      </c>
      <c r="I453" s="126" t="s">
        <v>2646</v>
      </c>
      <c r="J453" s="174">
        <v>46026</v>
      </c>
      <c r="K453" s="126" t="s">
        <v>3051</v>
      </c>
      <c r="L453" s="126" t="s">
        <v>2680</v>
      </c>
      <c r="M453" s="128" t="b">
        <v>0</v>
      </c>
      <c r="N453" s="122"/>
    </row>
    <row r="454" spans="1:14" ht="15.75">
      <c r="A454" s="121"/>
      <c r="B454" s="121"/>
      <c r="C454" s="121"/>
      <c r="D454" s="126" t="s">
        <v>2008</v>
      </c>
      <c r="E454" s="126" t="s">
        <v>2691</v>
      </c>
      <c r="F454" s="126" t="s">
        <v>1813</v>
      </c>
      <c r="G454" s="126" t="s">
        <v>21</v>
      </c>
      <c r="H454" s="127">
        <v>2000</v>
      </c>
      <c r="I454" s="126" t="s">
        <v>2646</v>
      </c>
      <c r="J454" s="174">
        <v>46026</v>
      </c>
      <c r="K454" s="126" t="s">
        <v>3051</v>
      </c>
      <c r="L454" s="126" t="s">
        <v>2680</v>
      </c>
      <c r="M454" s="128" t="b">
        <v>0</v>
      </c>
      <c r="N454" s="122"/>
    </row>
    <row r="455" spans="1:14" ht="15.75">
      <c r="A455" s="121"/>
      <c r="B455" s="121"/>
      <c r="C455" s="121"/>
      <c r="D455" s="126" t="s">
        <v>2009</v>
      </c>
      <c r="E455" s="126" t="s">
        <v>2706</v>
      </c>
      <c r="F455" s="126" t="s">
        <v>2653</v>
      </c>
      <c r="G455" s="126" t="s">
        <v>20</v>
      </c>
      <c r="H455" s="127">
        <v>19500</v>
      </c>
      <c r="I455" s="126" t="s">
        <v>2646</v>
      </c>
      <c r="J455" s="174">
        <v>46026</v>
      </c>
      <c r="K455" s="126" t="s">
        <v>3051</v>
      </c>
      <c r="L455" s="126" t="s">
        <v>2680</v>
      </c>
      <c r="M455" s="128" t="b">
        <v>0</v>
      </c>
      <c r="N455" s="122"/>
    </row>
    <row r="456" spans="1:14" ht="15.75">
      <c r="A456" s="121"/>
      <c r="B456" s="121"/>
      <c r="C456" s="121"/>
      <c r="D456" s="126" t="s">
        <v>2009</v>
      </c>
      <c r="E456" s="126" t="s">
        <v>2706</v>
      </c>
      <c r="F456" s="126" t="s">
        <v>2074</v>
      </c>
      <c r="G456" s="126" t="s">
        <v>23</v>
      </c>
      <c r="H456" s="127">
        <v>19500</v>
      </c>
      <c r="I456" s="126" t="s">
        <v>2646</v>
      </c>
      <c r="J456" s="174">
        <v>46026</v>
      </c>
      <c r="K456" s="126" t="s">
        <v>3051</v>
      </c>
      <c r="L456" s="126" t="s">
        <v>2680</v>
      </c>
      <c r="M456" s="128" t="b">
        <v>0</v>
      </c>
      <c r="N456" s="122"/>
    </row>
    <row r="457" spans="1:14" ht="15.75">
      <c r="A457" s="121"/>
      <c r="B457" s="121"/>
      <c r="C457" s="121"/>
      <c r="D457" s="126" t="s">
        <v>2009</v>
      </c>
      <c r="E457" s="126" t="s">
        <v>2706</v>
      </c>
      <c r="F457" s="126" t="s">
        <v>2618</v>
      </c>
      <c r="G457" s="126" t="s">
        <v>1695</v>
      </c>
      <c r="H457" s="127">
        <v>17500</v>
      </c>
      <c r="I457" s="126" t="s">
        <v>2646</v>
      </c>
      <c r="J457" s="174">
        <v>46026</v>
      </c>
      <c r="K457" s="126" t="s">
        <v>3051</v>
      </c>
      <c r="L457" s="126" t="s">
        <v>2680</v>
      </c>
      <c r="M457" s="128" t="b">
        <v>0</v>
      </c>
      <c r="N457" s="122"/>
    </row>
    <row r="458" spans="1:14" ht="15.75">
      <c r="A458" s="121"/>
      <c r="B458" s="121"/>
      <c r="C458" s="121"/>
      <c r="D458" s="126" t="s">
        <v>2009</v>
      </c>
      <c r="E458" s="126" t="s">
        <v>2706</v>
      </c>
      <c r="F458" s="126" t="s">
        <v>1889</v>
      </c>
      <c r="G458" s="126" t="s">
        <v>21</v>
      </c>
      <c r="H458" s="127">
        <v>17500</v>
      </c>
      <c r="I458" s="126" t="s">
        <v>2646</v>
      </c>
      <c r="J458" s="174">
        <v>46026</v>
      </c>
      <c r="K458" s="126" t="s">
        <v>3051</v>
      </c>
      <c r="L458" s="126" t="s">
        <v>2680</v>
      </c>
      <c r="M458" s="128" t="b">
        <v>0</v>
      </c>
      <c r="N458" s="122"/>
    </row>
    <row r="459" spans="1:14" ht="15.75">
      <c r="A459" s="121"/>
      <c r="B459" s="121"/>
      <c r="C459" s="121"/>
      <c r="D459" s="126" t="s">
        <v>1963</v>
      </c>
      <c r="E459" s="126" t="s">
        <v>2867</v>
      </c>
      <c r="F459" s="126" t="s">
        <v>1838</v>
      </c>
      <c r="G459" s="126" t="s">
        <v>25</v>
      </c>
      <c r="H459" s="127">
        <v>6610</v>
      </c>
      <c r="I459" s="126" t="s">
        <v>2646</v>
      </c>
      <c r="J459" s="174">
        <v>46026</v>
      </c>
      <c r="K459" s="126" t="s">
        <v>3051</v>
      </c>
      <c r="L459" s="126" t="s">
        <v>2680</v>
      </c>
      <c r="M459" s="128" t="b">
        <v>0</v>
      </c>
      <c r="N459" s="122"/>
    </row>
    <row r="460" spans="1:14" ht="15.75">
      <c r="A460" s="121"/>
      <c r="B460" s="121"/>
      <c r="C460" s="121"/>
      <c r="D460" s="126" t="s">
        <v>1963</v>
      </c>
      <c r="E460" s="126" t="s">
        <v>2867</v>
      </c>
      <c r="F460" s="126" t="s">
        <v>1891</v>
      </c>
      <c r="G460" s="126" t="s">
        <v>23</v>
      </c>
      <c r="H460" s="127">
        <v>6795</v>
      </c>
      <c r="I460" s="126" t="s">
        <v>2646</v>
      </c>
      <c r="J460" s="174">
        <v>46026</v>
      </c>
      <c r="K460" s="126" t="s">
        <v>3051</v>
      </c>
      <c r="L460" s="126" t="s">
        <v>2680</v>
      </c>
      <c r="M460" s="128" t="b">
        <v>0</v>
      </c>
      <c r="N460" s="122"/>
    </row>
    <row r="461" spans="1:14" ht="15.75">
      <c r="A461" s="121"/>
      <c r="B461" s="121"/>
      <c r="C461" s="121"/>
      <c r="D461" s="126" t="s">
        <v>1963</v>
      </c>
      <c r="E461" s="126" t="s">
        <v>2867</v>
      </c>
      <c r="F461" s="126" t="s">
        <v>1822</v>
      </c>
      <c r="G461" s="126" t="s">
        <v>23</v>
      </c>
      <c r="H461" s="127">
        <v>6795</v>
      </c>
      <c r="I461" s="126" t="s">
        <v>2646</v>
      </c>
      <c r="J461" s="174">
        <v>46026</v>
      </c>
      <c r="K461" s="126" t="s">
        <v>3051</v>
      </c>
      <c r="L461" s="126" t="s">
        <v>2680</v>
      </c>
      <c r="M461" s="128" t="b">
        <v>0</v>
      </c>
      <c r="N461" s="122"/>
    </row>
    <row r="462" spans="1:14" ht="15.75">
      <c r="A462" s="121"/>
      <c r="B462" s="121"/>
      <c r="C462" s="121"/>
      <c r="D462" s="126" t="s">
        <v>1963</v>
      </c>
      <c r="E462" s="126" t="s">
        <v>2867</v>
      </c>
      <c r="F462" s="126" t="s">
        <v>1916</v>
      </c>
      <c r="G462" s="126" t="s">
        <v>25</v>
      </c>
      <c r="H462" s="127">
        <v>6934</v>
      </c>
      <c r="I462" s="126" t="s">
        <v>2646</v>
      </c>
      <c r="J462" s="174">
        <v>46026</v>
      </c>
      <c r="K462" s="126" t="s">
        <v>3051</v>
      </c>
      <c r="L462" s="126" t="s">
        <v>2680</v>
      </c>
      <c r="M462" s="128" t="b">
        <v>0</v>
      </c>
      <c r="N462" s="122"/>
    </row>
    <row r="463" spans="1:14" ht="15.75">
      <c r="A463" s="121"/>
      <c r="B463" s="121"/>
      <c r="C463" s="121"/>
      <c r="D463" s="126" t="s">
        <v>1963</v>
      </c>
      <c r="E463" s="126" t="s">
        <v>2867</v>
      </c>
      <c r="F463" s="126" t="s">
        <v>1820</v>
      </c>
      <c r="G463" s="126" t="s">
        <v>25</v>
      </c>
      <c r="H463" s="127">
        <v>10493</v>
      </c>
      <c r="I463" s="126" t="s">
        <v>2646</v>
      </c>
      <c r="J463" s="174">
        <v>46026</v>
      </c>
      <c r="K463" s="126" t="s">
        <v>3051</v>
      </c>
      <c r="L463" s="126" t="s">
        <v>2680</v>
      </c>
      <c r="M463" s="128" t="b">
        <v>0</v>
      </c>
      <c r="N463" s="122"/>
    </row>
    <row r="464" spans="1:14" ht="15.75">
      <c r="A464" s="121"/>
      <c r="B464" s="121"/>
      <c r="C464" s="121"/>
      <c r="D464" s="126" t="s">
        <v>1963</v>
      </c>
      <c r="E464" s="126" t="s">
        <v>2867</v>
      </c>
      <c r="F464" s="126" t="s">
        <v>1906</v>
      </c>
      <c r="G464" s="126" t="s">
        <v>21</v>
      </c>
      <c r="H464" s="127">
        <v>11626</v>
      </c>
      <c r="I464" s="126" t="s">
        <v>2646</v>
      </c>
      <c r="J464" s="174">
        <v>46026</v>
      </c>
      <c r="K464" s="126" t="s">
        <v>3051</v>
      </c>
      <c r="L464" s="126" t="s">
        <v>2680</v>
      </c>
      <c r="M464" s="128" t="b">
        <v>0</v>
      </c>
      <c r="N464" s="122"/>
    </row>
    <row r="465" spans="1:14" ht="15.75">
      <c r="A465" s="121"/>
      <c r="B465" s="121"/>
      <c r="C465" s="121"/>
      <c r="D465" s="126" t="s">
        <v>1963</v>
      </c>
      <c r="E465" s="126" t="s">
        <v>2867</v>
      </c>
      <c r="F465" s="126" t="s">
        <v>1843</v>
      </c>
      <c r="G465" s="126" t="s">
        <v>21</v>
      </c>
      <c r="H465" s="127">
        <v>10632</v>
      </c>
      <c r="I465" s="126" t="s">
        <v>2646</v>
      </c>
      <c r="J465" s="174">
        <v>46026</v>
      </c>
      <c r="K465" s="126" t="s">
        <v>3051</v>
      </c>
      <c r="L465" s="126" t="s">
        <v>2680</v>
      </c>
      <c r="M465" s="128" t="b">
        <v>0</v>
      </c>
      <c r="N465" s="122"/>
    </row>
    <row r="466" spans="1:14" ht="15.75">
      <c r="A466" s="121"/>
      <c r="B466" s="121"/>
      <c r="C466" s="121"/>
      <c r="D466" s="126" t="s">
        <v>1963</v>
      </c>
      <c r="E466" s="126" t="s">
        <v>2867</v>
      </c>
      <c r="F466" s="126" t="s">
        <v>2653</v>
      </c>
      <c r="G466" s="126" t="s">
        <v>20</v>
      </c>
      <c r="H466" s="127">
        <v>17612</v>
      </c>
      <c r="I466" s="126" t="s">
        <v>2646</v>
      </c>
      <c r="J466" s="174">
        <v>46026</v>
      </c>
      <c r="K466" s="126" t="s">
        <v>3051</v>
      </c>
      <c r="L466" s="126" t="s">
        <v>2680</v>
      </c>
      <c r="M466" s="128" t="b">
        <v>0</v>
      </c>
      <c r="N466" s="122"/>
    </row>
    <row r="467" spans="1:14" ht="15.75">
      <c r="A467" s="121"/>
      <c r="B467" s="121"/>
      <c r="C467" s="121"/>
      <c r="D467" s="126" t="s">
        <v>1963</v>
      </c>
      <c r="E467" s="126" t="s">
        <v>2867</v>
      </c>
      <c r="F467" s="126" t="s">
        <v>1917</v>
      </c>
      <c r="G467" s="126" t="s">
        <v>25</v>
      </c>
      <c r="H467" s="127">
        <v>8829</v>
      </c>
      <c r="I467" s="126" t="s">
        <v>2646</v>
      </c>
      <c r="J467" s="174">
        <v>46026</v>
      </c>
      <c r="K467" s="126" t="s">
        <v>3051</v>
      </c>
      <c r="L467" s="126" t="s">
        <v>2680</v>
      </c>
      <c r="M467" s="128" t="b">
        <v>0</v>
      </c>
      <c r="N467" s="122"/>
    </row>
    <row r="468" spans="1:14" ht="15.75">
      <c r="A468" s="121"/>
      <c r="B468" s="121"/>
      <c r="C468" s="121"/>
      <c r="D468" s="126" t="s">
        <v>1963</v>
      </c>
      <c r="E468" s="126" t="s">
        <v>2867</v>
      </c>
      <c r="F468" s="126" t="s">
        <v>1826</v>
      </c>
      <c r="G468" s="126" t="s">
        <v>25</v>
      </c>
      <c r="H468" s="127">
        <v>8274</v>
      </c>
      <c r="I468" s="126" t="s">
        <v>2646</v>
      </c>
      <c r="J468" s="174">
        <v>46026</v>
      </c>
      <c r="K468" s="126" t="s">
        <v>3051</v>
      </c>
      <c r="L468" s="126" t="s">
        <v>2680</v>
      </c>
      <c r="M468" s="128" t="b">
        <v>0</v>
      </c>
      <c r="N468" s="122"/>
    </row>
    <row r="469" spans="1:14" ht="15.75">
      <c r="A469" s="121"/>
      <c r="B469" s="121"/>
      <c r="C469" s="121"/>
      <c r="D469" s="126" t="s">
        <v>1963</v>
      </c>
      <c r="E469" s="126" t="s">
        <v>2867</v>
      </c>
      <c r="F469" s="126" t="s">
        <v>2626</v>
      </c>
      <c r="G469" s="126" t="s">
        <v>23</v>
      </c>
      <c r="H469" s="127">
        <v>5000</v>
      </c>
      <c r="I469" s="126" t="s">
        <v>2646</v>
      </c>
      <c r="J469" s="174">
        <v>46026</v>
      </c>
      <c r="K469" s="126" t="s">
        <v>3051</v>
      </c>
      <c r="L469" s="126" t="s">
        <v>2680</v>
      </c>
      <c r="M469" s="128" t="b">
        <v>0</v>
      </c>
      <c r="N469" s="122"/>
    </row>
    <row r="470" spans="1:14" ht="15.75">
      <c r="A470" s="121"/>
      <c r="B470" s="121"/>
      <c r="C470" s="121"/>
      <c r="D470" s="126" t="s">
        <v>1963</v>
      </c>
      <c r="E470" s="126" t="s">
        <v>2867</v>
      </c>
      <c r="F470" s="126" t="s">
        <v>2617</v>
      </c>
      <c r="G470" s="126" t="s">
        <v>23</v>
      </c>
      <c r="H470" s="127">
        <v>15000</v>
      </c>
      <c r="I470" s="126" t="s">
        <v>2646</v>
      </c>
      <c r="J470" s="174">
        <v>46026</v>
      </c>
      <c r="K470" s="126" t="s">
        <v>3051</v>
      </c>
      <c r="L470" s="126" t="s">
        <v>2680</v>
      </c>
      <c r="M470" s="128" t="b">
        <v>0</v>
      </c>
      <c r="N470" s="122"/>
    </row>
    <row r="471" spans="1:14" ht="15.75">
      <c r="A471" s="121"/>
      <c r="B471" s="121"/>
      <c r="C471" s="121"/>
      <c r="D471" s="126" t="s">
        <v>1963</v>
      </c>
      <c r="E471" s="126" t="s">
        <v>2867</v>
      </c>
      <c r="F471" s="126" t="s">
        <v>1808</v>
      </c>
      <c r="G471" s="126" t="s">
        <v>25</v>
      </c>
      <c r="H471" s="127">
        <v>7200</v>
      </c>
      <c r="I471" s="126" t="s">
        <v>2646</v>
      </c>
      <c r="J471" s="174">
        <v>46026</v>
      </c>
      <c r="K471" s="126" t="s">
        <v>3051</v>
      </c>
      <c r="L471" s="126" t="s">
        <v>2680</v>
      </c>
      <c r="M471" s="128" t="b">
        <v>0</v>
      </c>
      <c r="N471" s="122"/>
    </row>
    <row r="472" spans="1:14" ht="15.75">
      <c r="A472" s="121"/>
      <c r="B472" s="121"/>
      <c r="C472" s="121"/>
      <c r="D472" s="126" t="s">
        <v>1963</v>
      </c>
      <c r="E472" s="126" t="s">
        <v>2867</v>
      </c>
      <c r="F472" s="126" t="s">
        <v>1845</v>
      </c>
      <c r="G472" s="126" t="s">
        <v>31</v>
      </c>
      <c r="H472" s="127">
        <v>11200</v>
      </c>
      <c r="I472" s="126" t="s">
        <v>2646</v>
      </c>
      <c r="J472" s="174">
        <v>46026</v>
      </c>
      <c r="K472" s="126" t="s">
        <v>3051</v>
      </c>
      <c r="L472" s="126" t="s">
        <v>2680</v>
      </c>
      <c r="M472" s="128" t="b">
        <v>0</v>
      </c>
      <c r="N472" s="122"/>
    </row>
    <row r="473" spans="1:14" ht="15.75">
      <c r="A473" s="121"/>
      <c r="B473" s="121"/>
      <c r="C473" s="121"/>
      <c r="D473" s="126" t="s">
        <v>1963</v>
      </c>
      <c r="E473" s="126" t="s">
        <v>2867</v>
      </c>
      <c r="F473" s="126" t="s">
        <v>1907</v>
      </c>
      <c r="G473" s="126" t="s">
        <v>21</v>
      </c>
      <c r="H473" s="127">
        <v>4150</v>
      </c>
      <c r="I473" s="126" t="s">
        <v>2646</v>
      </c>
      <c r="J473" s="174">
        <v>46026</v>
      </c>
      <c r="K473" s="126" t="s">
        <v>3051</v>
      </c>
      <c r="L473" s="126" t="s">
        <v>2680</v>
      </c>
      <c r="M473" s="128" t="b">
        <v>0</v>
      </c>
      <c r="N473" s="122"/>
    </row>
    <row r="474" spans="1:14" ht="15.75">
      <c r="A474" s="121"/>
      <c r="B474" s="121"/>
      <c r="C474" s="121"/>
      <c r="D474" s="126" t="s">
        <v>161</v>
      </c>
      <c r="E474" s="126" t="s">
        <v>2771</v>
      </c>
      <c r="F474" s="126" t="s">
        <v>2617</v>
      </c>
      <c r="G474" s="126" t="s">
        <v>23</v>
      </c>
      <c r="H474" s="127">
        <v>14700</v>
      </c>
      <c r="I474" s="126" t="s">
        <v>2646</v>
      </c>
      <c r="J474" s="174">
        <v>46026</v>
      </c>
      <c r="K474" s="126" t="s">
        <v>3051</v>
      </c>
      <c r="L474" s="126" t="s">
        <v>2680</v>
      </c>
      <c r="M474" s="128" t="b">
        <v>0</v>
      </c>
      <c r="N474" s="122"/>
    </row>
    <row r="475" spans="1:14" ht="15.75">
      <c r="A475" s="121"/>
      <c r="B475" s="121"/>
      <c r="C475" s="121"/>
      <c r="D475" s="126" t="s">
        <v>161</v>
      </c>
      <c r="E475" s="126" t="s">
        <v>2771</v>
      </c>
      <c r="F475" s="126" t="s">
        <v>2653</v>
      </c>
      <c r="G475" s="126" t="s">
        <v>20</v>
      </c>
      <c r="H475" s="127">
        <v>5300</v>
      </c>
      <c r="I475" s="126" t="s">
        <v>2646</v>
      </c>
      <c r="J475" s="174">
        <v>46026</v>
      </c>
      <c r="K475" s="126" t="s">
        <v>3051</v>
      </c>
      <c r="L475" s="126" t="s">
        <v>2680</v>
      </c>
      <c r="M475" s="128" t="b">
        <v>0</v>
      </c>
      <c r="N475" s="122"/>
    </row>
    <row r="476" spans="1:14" ht="15.75">
      <c r="A476" s="121"/>
      <c r="B476" s="121"/>
      <c r="C476" s="121"/>
      <c r="D476" s="126" t="s">
        <v>175</v>
      </c>
      <c r="E476" s="126" t="s">
        <v>2847</v>
      </c>
      <c r="F476" s="126" t="s">
        <v>2653</v>
      </c>
      <c r="G476" s="126" t="s">
        <v>20</v>
      </c>
      <c r="H476" s="127">
        <v>10500</v>
      </c>
      <c r="I476" s="126" t="s">
        <v>2646</v>
      </c>
      <c r="J476" s="174">
        <v>46026</v>
      </c>
      <c r="K476" s="126" t="s">
        <v>3051</v>
      </c>
      <c r="L476" s="126" t="s">
        <v>2671</v>
      </c>
      <c r="M476" s="128" t="b">
        <v>0</v>
      </c>
      <c r="N476" s="122"/>
    </row>
    <row r="477" spans="1:14" ht="15.75">
      <c r="A477" s="121"/>
      <c r="B477" s="121"/>
      <c r="C477" s="121"/>
      <c r="D477" s="126" t="s">
        <v>175</v>
      </c>
      <c r="E477" s="126" t="s">
        <v>2847</v>
      </c>
      <c r="F477" s="126" t="s">
        <v>2645</v>
      </c>
      <c r="G477" s="126" t="s">
        <v>1902</v>
      </c>
      <c r="H477" s="127">
        <v>10500</v>
      </c>
      <c r="I477" s="126" t="s">
        <v>2646</v>
      </c>
      <c r="J477" s="174">
        <v>46026</v>
      </c>
      <c r="K477" s="126" t="s">
        <v>3051</v>
      </c>
      <c r="L477" s="126" t="s">
        <v>2671</v>
      </c>
      <c r="M477" s="128" t="b">
        <v>0</v>
      </c>
      <c r="N477" s="122"/>
    </row>
    <row r="478" spans="1:14" ht="15.75">
      <c r="A478" s="121"/>
      <c r="B478" s="121"/>
      <c r="C478" s="121"/>
      <c r="D478" s="126" t="s">
        <v>2010</v>
      </c>
      <c r="E478" s="126" t="s">
        <v>2926</v>
      </c>
      <c r="F478" s="126" t="s">
        <v>2653</v>
      </c>
      <c r="G478" s="126" t="s">
        <v>20</v>
      </c>
      <c r="H478" s="127">
        <v>9340</v>
      </c>
      <c r="I478" s="126" t="s">
        <v>2646</v>
      </c>
      <c r="J478" s="174">
        <v>46026</v>
      </c>
      <c r="K478" s="126" t="s">
        <v>3051</v>
      </c>
      <c r="L478" s="126" t="s">
        <v>2643</v>
      </c>
      <c r="M478" s="128" t="b">
        <v>0</v>
      </c>
      <c r="N478" s="122"/>
    </row>
    <row r="479" spans="1:14" ht="15.75">
      <c r="A479" s="121"/>
      <c r="B479" s="121"/>
      <c r="C479" s="121"/>
      <c r="D479" s="126" t="s">
        <v>2011</v>
      </c>
      <c r="E479" s="126" t="s">
        <v>2716</v>
      </c>
      <c r="F479" s="126" t="s">
        <v>1874</v>
      </c>
      <c r="G479" s="126" t="s">
        <v>2717</v>
      </c>
      <c r="H479" s="129">
        <v>15000</v>
      </c>
      <c r="I479" s="126" t="s">
        <v>2646</v>
      </c>
      <c r="J479" s="174">
        <v>46026</v>
      </c>
      <c r="K479" s="126" t="s">
        <v>3051</v>
      </c>
      <c r="L479" s="126" t="s">
        <v>2647</v>
      </c>
      <c r="M479" s="128" t="b">
        <v>0</v>
      </c>
      <c r="N479" s="122"/>
    </row>
    <row r="480" spans="1:14" ht="15.75">
      <c r="A480" s="121"/>
      <c r="B480" s="121"/>
      <c r="C480" s="121"/>
      <c r="D480" s="126" t="s">
        <v>844</v>
      </c>
      <c r="E480" s="126" t="s">
        <v>2698</v>
      </c>
      <c r="F480" s="126" t="s">
        <v>2617</v>
      </c>
      <c r="G480" s="126" t="s">
        <v>23</v>
      </c>
      <c r="H480" s="127">
        <v>19673</v>
      </c>
      <c r="I480" s="126" t="s">
        <v>2646</v>
      </c>
      <c r="J480" s="174">
        <v>46026</v>
      </c>
      <c r="K480" s="126" t="s">
        <v>3051</v>
      </c>
      <c r="L480" s="126" t="s">
        <v>2680</v>
      </c>
      <c r="M480" s="128" t="b">
        <v>0</v>
      </c>
      <c r="N480" s="122"/>
    </row>
    <row r="481" spans="1:14" ht="15.75">
      <c r="A481" s="121"/>
      <c r="B481" s="121"/>
      <c r="C481" s="121"/>
      <c r="D481" s="126" t="s">
        <v>844</v>
      </c>
      <c r="E481" s="126" t="s">
        <v>2698</v>
      </c>
      <c r="F481" s="126" t="s">
        <v>1843</v>
      </c>
      <c r="G481" s="126" t="s">
        <v>21</v>
      </c>
      <c r="H481" s="127">
        <v>13276</v>
      </c>
      <c r="I481" s="126" t="s">
        <v>2646</v>
      </c>
      <c r="J481" s="174">
        <v>46026</v>
      </c>
      <c r="K481" s="126" t="s">
        <v>3051</v>
      </c>
      <c r="L481" s="126" t="s">
        <v>2680</v>
      </c>
      <c r="M481" s="128" t="b">
        <v>0</v>
      </c>
      <c r="N481" s="122"/>
    </row>
    <row r="482" spans="1:14" ht="15.75">
      <c r="A482" s="121"/>
      <c r="B482" s="121"/>
      <c r="C482" s="121"/>
      <c r="D482" s="126" t="s">
        <v>113</v>
      </c>
      <c r="E482" s="126" t="s">
        <v>2872</v>
      </c>
      <c r="F482" s="126" t="s">
        <v>1894</v>
      </c>
      <c r="G482" s="126" t="s">
        <v>23</v>
      </c>
      <c r="H482" s="127">
        <v>6511</v>
      </c>
      <c r="I482" s="126" t="s">
        <v>2646</v>
      </c>
      <c r="J482" s="174">
        <v>46026</v>
      </c>
      <c r="K482" s="126" t="s">
        <v>3051</v>
      </c>
      <c r="L482" s="126" t="s">
        <v>2680</v>
      </c>
      <c r="M482" s="128" t="b">
        <v>0</v>
      </c>
      <c r="N482" s="122"/>
    </row>
    <row r="483" spans="1:14" ht="15.75">
      <c r="A483" s="121"/>
      <c r="B483" s="121"/>
      <c r="C483" s="121"/>
      <c r="D483" s="126" t="s">
        <v>113</v>
      </c>
      <c r="E483" s="126" t="s">
        <v>2872</v>
      </c>
      <c r="F483" s="126" t="s">
        <v>1891</v>
      </c>
      <c r="G483" s="126" t="s">
        <v>23</v>
      </c>
      <c r="H483" s="127">
        <v>6472</v>
      </c>
      <c r="I483" s="126" t="s">
        <v>2646</v>
      </c>
      <c r="J483" s="174">
        <v>46026</v>
      </c>
      <c r="K483" s="126" t="s">
        <v>3051</v>
      </c>
      <c r="L483" s="126" t="s">
        <v>2680</v>
      </c>
      <c r="M483" s="128" t="b">
        <v>0</v>
      </c>
      <c r="N483" s="122"/>
    </row>
    <row r="484" spans="1:14" ht="15.75">
      <c r="A484" s="121"/>
      <c r="B484" s="121"/>
      <c r="C484" s="121"/>
      <c r="D484" s="126" t="s">
        <v>113</v>
      </c>
      <c r="E484" s="126" t="s">
        <v>2872</v>
      </c>
      <c r="F484" s="126" t="s">
        <v>2617</v>
      </c>
      <c r="G484" s="126" t="s">
        <v>23</v>
      </c>
      <c r="H484" s="127">
        <v>16000</v>
      </c>
      <c r="I484" s="126" t="s">
        <v>2646</v>
      </c>
      <c r="J484" s="174">
        <v>46026</v>
      </c>
      <c r="K484" s="126" t="s">
        <v>3051</v>
      </c>
      <c r="L484" s="126" t="s">
        <v>2680</v>
      </c>
      <c r="M484" s="128" t="b">
        <v>0</v>
      </c>
      <c r="N484" s="122"/>
    </row>
    <row r="485" spans="1:14" ht="15.75">
      <c r="A485" s="121"/>
      <c r="B485" s="121"/>
      <c r="C485" s="121"/>
      <c r="D485" s="126" t="s">
        <v>113</v>
      </c>
      <c r="E485" s="126" t="s">
        <v>2872</v>
      </c>
      <c r="F485" s="126" t="s">
        <v>1924</v>
      </c>
      <c r="G485" s="126" t="s">
        <v>1695</v>
      </c>
      <c r="H485" s="127">
        <v>6519</v>
      </c>
      <c r="I485" s="126" t="s">
        <v>2646</v>
      </c>
      <c r="J485" s="174">
        <v>46026</v>
      </c>
      <c r="K485" s="126" t="s">
        <v>3051</v>
      </c>
      <c r="L485" s="126" t="s">
        <v>2680</v>
      </c>
      <c r="M485" s="128" t="b">
        <v>0</v>
      </c>
      <c r="N485" s="122"/>
    </row>
    <row r="486" spans="1:14" ht="15.75">
      <c r="A486" s="121"/>
      <c r="B486" s="121"/>
      <c r="C486" s="121"/>
      <c r="D486" s="126" t="s">
        <v>113</v>
      </c>
      <c r="E486" s="126" t="s">
        <v>2872</v>
      </c>
      <c r="F486" s="126" t="s">
        <v>2653</v>
      </c>
      <c r="G486" s="126" t="s">
        <v>20</v>
      </c>
      <c r="H486" s="127">
        <v>8170</v>
      </c>
      <c r="I486" s="126" t="s">
        <v>2646</v>
      </c>
      <c r="J486" s="174">
        <v>46026</v>
      </c>
      <c r="K486" s="126" t="s">
        <v>3051</v>
      </c>
      <c r="L486" s="126" t="s">
        <v>2680</v>
      </c>
      <c r="M486" s="128" t="b">
        <v>0</v>
      </c>
      <c r="N486" s="122"/>
    </row>
    <row r="487" spans="1:14" ht="15.75">
      <c r="A487" s="121"/>
      <c r="B487" s="121"/>
      <c r="C487" s="121"/>
      <c r="D487" s="126" t="s">
        <v>1106</v>
      </c>
      <c r="E487" s="126" t="s">
        <v>2944</v>
      </c>
      <c r="F487" s="126" t="s">
        <v>2617</v>
      </c>
      <c r="G487" s="126" t="s">
        <v>23</v>
      </c>
      <c r="H487" s="127">
        <v>15953</v>
      </c>
      <c r="I487" s="126" t="s">
        <v>2646</v>
      </c>
      <c r="J487" s="174">
        <v>46026</v>
      </c>
      <c r="K487" s="126" t="s">
        <v>3051</v>
      </c>
      <c r="L487" s="126" t="s">
        <v>2680</v>
      </c>
      <c r="M487" s="128" t="b">
        <v>0</v>
      </c>
      <c r="N487" s="122"/>
    </row>
    <row r="488" spans="1:14" ht="15.75">
      <c r="A488" s="121"/>
      <c r="B488" s="121"/>
      <c r="C488" s="121"/>
      <c r="D488" s="126" t="s">
        <v>1106</v>
      </c>
      <c r="E488" s="126" t="s">
        <v>2944</v>
      </c>
      <c r="F488" s="126" t="s">
        <v>2653</v>
      </c>
      <c r="G488" s="126" t="s">
        <v>20</v>
      </c>
      <c r="H488" s="127">
        <v>5724</v>
      </c>
      <c r="I488" s="126" t="s">
        <v>2646</v>
      </c>
      <c r="J488" s="174">
        <v>46026</v>
      </c>
      <c r="K488" s="126" t="s">
        <v>3051</v>
      </c>
      <c r="L488" s="126" t="s">
        <v>2680</v>
      </c>
      <c r="M488" s="128" t="b">
        <v>0</v>
      </c>
      <c r="N488" s="122"/>
    </row>
    <row r="489" spans="1:14" ht="15.75">
      <c r="A489" s="121"/>
      <c r="B489" s="121"/>
      <c r="C489" s="121"/>
      <c r="D489" s="126" t="s">
        <v>1086</v>
      </c>
      <c r="E489" s="126" t="s">
        <v>2899</v>
      </c>
      <c r="F489" s="126" t="s">
        <v>2653</v>
      </c>
      <c r="G489" s="126" t="s">
        <v>20</v>
      </c>
      <c r="H489" s="127">
        <v>4953</v>
      </c>
      <c r="I489" s="126" t="s">
        <v>2646</v>
      </c>
      <c r="J489" s="174">
        <v>46026</v>
      </c>
      <c r="K489" s="126" t="s">
        <v>3051</v>
      </c>
      <c r="L489" s="126" t="s">
        <v>2656</v>
      </c>
      <c r="M489" s="128" t="b">
        <v>0</v>
      </c>
      <c r="N489" s="122"/>
    </row>
    <row r="490" spans="1:14" ht="15.75">
      <c r="A490" s="121"/>
      <c r="B490" s="121"/>
      <c r="C490" s="121"/>
      <c r="D490" s="126" t="s">
        <v>2012</v>
      </c>
      <c r="E490" s="126" t="s">
        <v>2710</v>
      </c>
      <c r="F490" s="126" t="s">
        <v>2112</v>
      </c>
      <c r="G490" s="126" t="s">
        <v>1931</v>
      </c>
      <c r="H490" s="127">
        <v>13488</v>
      </c>
      <c r="I490" s="126" t="s">
        <v>2646</v>
      </c>
      <c r="J490" s="174">
        <v>46299</v>
      </c>
      <c r="K490" s="174">
        <v>46634</v>
      </c>
      <c r="L490" s="126" t="s">
        <v>2643</v>
      </c>
      <c r="M490" s="128" t="b">
        <v>0</v>
      </c>
      <c r="N490" s="122"/>
    </row>
    <row r="491" spans="1:14" ht="15.75">
      <c r="A491" s="121"/>
      <c r="B491" s="121"/>
      <c r="C491" s="121"/>
      <c r="D491" s="126" t="s">
        <v>2012</v>
      </c>
      <c r="E491" s="126" t="s">
        <v>2710</v>
      </c>
      <c r="F491" s="126" t="s">
        <v>1900</v>
      </c>
      <c r="G491" s="126" t="s">
        <v>21</v>
      </c>
      <c r="H491" s="127">
        <v>35287</v>
      </c>
      <c r="I491" s="126" t="s">
        <v>2646</v>
      </c>
      <c r="J491" s="174">
        <v>46299</v>
      </c>
      <c r="K491" s="174">
        <v>46634</v>
      </c>
      <c r="L491" s="126" t="s">
        <v>2643</v>
      </c>
      <c r="M491" s="128" t="b">
        <v>0</v>
      </c>
      <c r="N491" s="122"/>
    </row>
    <row r="492" spans="1:14" ht="15.75">
      <c r="A492" s="121"/>
      <c r="B492" s="121"/>
      <c r="C492" s="121"/>
      <c r="D492" s="126" t="s">
        <v>2012</v>
      </c>
      <c r="E492" s="126" t="s">
        <v>2710</v>
      </c>
      <c r="F492" s="126" t="s">
        <v>2653</v>
      </c>
      <c r="G492" s="126" t="s">
        <v>20</v>
      </c>
      <c r="H492" s="127">
        <v>9346</v>
      </c>
      <c r="I492" s="126" t="s">
        <v>2646</v>
      </c>
      <c r="J492" s="174">
        <v>46299</v>
      </c>
      <c r="K492" s="174">
        <v>46634</v>
      </c>
      <c r="L492" s="126" t="s">
        <v>2643</v>
      </c>
      <c r="M492" s="128" t="b">
        <v>0</v>
      </c>
      <c r="N492" s="122"/>
    </row>
    <row r="493" spans="1:14" ht="15.75">
      <c r="A493" s="121"/>
      <c r="B493" s="121"/>
      <c r="C493" s="121"/>
      <c r="D493" s="126" t="s">
        <v>2012</v>
      </c>
      <c r="E493" s="126" t="s">
        <v>2710</v>
      </c>
      <c r="F493" s="126" t="s">
        <v>1886</v>
      </c>
      <c r="G493" s="126" t="s">
        <v>21</v>
      </c>
      <c r="H493" s="127">
        <v>27989</v>
      </c>
      <c r="I493" s="126" t="s">
        <v>2646</v>
      </c>
      <c r="J493" s="174">
        <v>46299</v>
      </c>
      <c r="K493" s="174">
        <v>46634</v>
      </c>
      <c r="L493" s="126" t="s">
        <v>2643</v>
      </c>
      <c r="M493" s="128" t="b">
        <v>0</v>
      </c>
      <c r="N493" s="122"/>
    </row>
    <row r="494" spans="1:14" ht="15.75">
      <c r="A494" s="121"/>
      <c r="B494" s="121"/>
      <c r="C494" s="121"/>
      <c r="D494" s="126" t="s">
        <v>2012</v>
      </c>
      <c r="E494" s="126" t="s">
        <v>2710</v>
      </c>
      <c r="F494" s="126" t="s">
        <v>1813</v>
      </c>
      <c r="G494" s="126" t="s">
        <v>21</v>
      </c>
      <c r="H494" s="127">
        <v>2000</v>
      </c>
      <c r="I494" s="126" t="s">
        <v>2646</v>
      </c>
      <c r="J494" s="174">
        <v>46299</v>
      </c>
      <c r="K494" s="174">
        <v>46634</v>
      </c>
      <c r="L494" s="126" t="s">
        <v>2643</v>
      </c>
      <c r="M494" s="128" t="b">
        <v>0</v>
      </c>
      <c r="N494" s="122"/>
    </row>
    <row r="495" spans="1:14" ht="15.75">
      <c r="A495" s="121"/>
      <c r="B495" s="121"/>
      <c r="C495" s="121"/>
      <c r="D495" s="126" t="s">
        <v>2013</v>
      </c>
      <c r="E495" s="126" t="s">
        <v>2732</v>
      </c>
      <c r="F495" s="126" t="s">
        <v>2653</v>
      </c>
      <c r="G495" s="126" t="s">
        <v>20</v>
      </c>
      <c r="H495" s="127">
        <v>1833</v>
      </c>
      <c r="I495" s="126" t="s">
        <v>2646</v>
      </c>
      <c r="J495" s="126" t="s">
        <v>3052</v>
      </c>
      <c r="K495" s="126" t="s">
        <v>3053</v>
      </c>
      <c r="L495" s="126" t="s">
        <v>2656</v>
      </c>
      <c r="M495" s="128" t="b">
        <v>0</v>
      </c>
      <c r="N495" s="122"/>
    </row>
    <row r="496" spans="1:14" ht="15.75">
      <c r="A496" s="121"/>
      <c r="B496" s="121"/>
      <c r="C496" s="121"/>
      <c r="D496" s="126" t="s">
        <v>79</v>
      </c>
      <c r="E496" s="126" t="s">
        <v>2845</v>
      </c>
      <c r="F496" s="126" t="s">
        <v>1817</v>
      </c>
      <c r="G496" s="126" t="s">
        <v>35</v>
      </c>
      <c r="H496" s="127">
        <v>19500</v>
      </c>
      <c r="I496" s="126" t="s">
        <v>2642</v>
      </c>
      <c r="J496" s="126" t="s">
        <v>3054</v>
      </c>
      <c r="K496" s="126" t="s">
        <v>3055</v>
      </c>
      <c r="L496" s="126" t="s">
        <v>2671</v>
      </c>
      <c r="M496" s="128" t="b">
        <v>1</v>
      </c>
      <c r="N496" s="122"/>
    </row>
    <row r="497" spans="1:14" ht="15.75">
      <c r="A497" s="121"/>
      <c r="B497" s="121"/>
      <c r="C497" s="121"/>
      <c r="D497" s="126" t="s">
        <v>2014</v>
      </c>
      <c r="E497" s="126" t="s">
        <v>2860</v>
      </c>
      <c r="F497" s="126" t="s">
        <v>2617</v>
      </c>
      <c r="G497" s="126" t="s">
        <v>23</v>
      </c>
      <c r="H497" s="127">
        <v>14000</v>
      </c>
      <c r="I497" s="126" t="s">
        <v>2646</v>
      </c>
      <c r="J497" s="126" t="s">
        <v>3056</v>
      </c>
      <c r="K497" s="126" t="s">
        <v>3057</v>
      </c>
      <c r="L497" s="126" t="s">
        <v>2643</v>
      </c>
      <c r="M497" s="128" t="b">
        <v>1</v>
      </c>
      <c r="N497" s="122"/>
    </row>
    <row r="498" spans="1:14" ht="15.75">
      <c r="A498" s="121"/>
      <c r="B498" s="121"/>
      <c r="C498" s="121"/>
      <c r="D498" s="126" t="s">
        <v>2014</v>
      </c>
      <c r="E498" s="126" t="s">
        <v>2860</v>
      </c>
      <c r="F498" s="126" t="s">
        <v>2653</v>
      </c>
      <c r="G498" s="126" t="s">
        <v>20</v>
      </c>
      <c r="H498" s="127">
        <v>3325</v>
      </c>
      <c r="I498" s="126" t="s">
        <v>2646</v>
      </c>
      <c r="J498" s="126" t="s">
        <v>3056</v>
      </c>
      <c r="K498" s="126" t="s">
        <v>3057</v>
      </c>
      <c r="L498" s="126" t="s">
        <v>2643</v>
      </c>
      <c r="M498" s="128" t="b">
        <v>1</v>
      </c>
      <c r="N498" s="122"/>
    </row>
    <row r="499" spans="1:14" ht="15.75">
      <c r="A499" s="121"/>
      <c r="B499" s="121"/>
      <c r="C499" s="121"/>
      <c r="D499" s="126" t="s">
        <v>2015</v>
      </c>
      <c r="E499" s="126" t="s">
        <v>2658</v>
      </c>
      <c r="F499" s="126" t="s">
        <v>2624</v>
      </c>
      <c r="G499" s="126" t="s">
        <v>27</v>
      </c>
      <c r="H499" s="127">
        <v>15000</v>
      </c>
      <c r="I499" s="126" t="s">
        <v>1705</v>
      </c>
      <c r="J499" s="126" t="s">
        <v>3058</v>
      </c>
      <c r="K499" s="126" t="s">
        <v>3059</v>
      </c>
      <c r="L499" s="126" t="s">
        <v>2659</v>
      </c>
      <c r="M499" s="128" t="b">
        <v>0</v>
      </c>
      <c r="N499" s="122"/>
    </row>
    <row r="500" spans="1:14" ht="15.75">
      <c r="A500" s="121"/>
      <c r="B500" s="121"/>
      <c r="C500" s="121"/>
      <c r="D500" s="126" t="s">
        <v>2016</v>
      </c>
      <c r="E500" s="126" t="s">
        <v>2871</v>
      </c>
      <c r="F500" s="126" t="s">
        <v>1817</v>
      </c>
      <c r="G500" s="126" t="s">
        <v>35</v>
      </c>
      <c r="H500" s="127">
        <v>21450</v>
      </c>
      <c r="I500" s="126" t="s">
        <v>2646</v>
      </c>
      <c r="J500" s="126" t="s">
        <v>3060</v>
      </c>
      <c r="K500" s="126" t="s">
        <v>3061</v>
      </c>
      <c r="L500" s="126" t="s">
        <v>2643</v>
      </c>
      <c r="M500" s="128" t="b">
        <v>0</v>
      </c>
      <c r="N500" s="122"/>
    </row>
    <row r="501" spans="1:14" ht="15.75">
      <c r="A501" s="121"/>
      <c r="B501" s="121"/>
      <c r="C501" s="121"/>
      <c r="D501" s="126" t="s">
        <v>2016</v>
      </c>
      <c r="E501" s="126" t="s">
        <v>2871</v>
      </c>
      <c r="F501" s="126" t="s">
        <v>2625</v>
      </c>
      <c r="G501" s="126" t="s">
        <v>27</v>
      </c>
      <c r="H501" s="127">
        <v>19500</v>
      </c>
      <c r="I501" s="126" t="s">
        <v>2646</v>
      </c>
      <c r="J501" s="126" t="s">
        <v>3060</v>
      </c>
      <c r="K501" s="126" t="s">
        <v>3061</v>
      </c>
      <c r="L501" s="126" t="s">
        <v>2643</v>
      </c>
      <c r="M501" s="128" t="b">
        <v>0</v>
      </c>
      <c r="N501" s="122"/>
    </row>
    <row r="502" spans="1:14" ht="15.75">
      <c r="A502" s="121"/>
      <c r="B502" s="121"/>
      <c r="C502" s="121"/>
      <c r="D502" s="126" t="s">
        <v>1081</v>
      </c>
      <c r="E502" s="126" t="s">
        <v>2894</v>
      </c>
      <c r="F502" s="126" t="s">
        <v>2653</v>
      </c>
      <c r="G502" s="126" t="s">
        <v>20</v>
      </c>
      <c r="H502" s="127">
        <v>5185</v>
      </c>
      <c r="I502" s="126" t="s">
        <v>2646</v>
      </c>
      <c r="J502" s="126" t="s">
        <v>3062</v>
      </c>
      <c r="K502" s="126" t="s">
        <v>3063</v>
      </c>
      <c r="L502" s="126" t="s">
        <v>2656</v>
      </c>
      <c r="M502" s="128" t="b">
        <v>0</v>
      </c>
      <c r="N502" s="122"/>
    </row>
    <row r="503" spans="1:14" ht="15.75">
      <c r="A503" s="121"/>
      <c r="B503" s="121"/>
      <c r="C503" s="121"/>
      <c r="D503" s="126" t="s">
        <v>1081</v>
      </c>
      <c r="E503" s="126" t="s">
        <v>2894</v>
      </c>
      <c r="F503" s="126" t="s">
        <v>2625</v>
      </c>
      <c r="G503" s="126" t="s">
        <v>27</v>
      </c>
      <c r="H503" s="127">
        <v>14050</v>
      </c>
      <c r="I503" s="126" t="s">
        <v>2646</v>
      </c>
      <c r="J503" s="126" t="s">
        <v>3062</v>
      </c>
      <c r="K503" s="126" t="s">
        <v>3063</v>
      </c>
      <c r="L503" s="126" t="s">
        <v>2656</v>
      </c>
      <c r="M503" s="128" t="b">
        <v>0</v>
      </c>
      <c r="N503" s="122"/>
    </row>
    <row r="504" spans="1:14" ht="15.75">
      <c r="A504" s="121"/>
      <c r="B504" s="121"/>
      <c r="C504" s="121"/>
      <c r="D504" s="126" t="s">
        <v>1966</v>
      </c>
      <c r="E504" s="126" t="s">
        <v>2704</v>
      </c>
      <c r="F504" s="126" t="s">
        <v>2645</v>
      </c>
      <c r="G504" s="126" t="s">
        <v>1902</v>
      </c>
      <c r="H504" s="129">
        <v>1677</v>
      </c>
      <c r="I504" s="126" t="s">
        <v>2642</v>
      </c>
      <c r="J504" s="126" t="s">
        <v>3062</v>
      </c>
      <c r="K504" s="126" t="s">
        <v>3063</v>
      </c>
      <c r="L504" s="126" t="s">
        <v>2647</v>
      </c>
      <c r="M504" s="128" t="b">
        <v>0</v>
      </c>
      <c r="N504" s="122"/>
    </row>
    <row r="505" spans="1:14" ht="15.75">
      <c r="A505" s="121"/>
      <c r="B505" s="121"/>
      <c r="C505" s="121"/>
      <c r="D505" s="126" t="s">
        <v>1966</v>
      </c>
      <c r="E505" s="126" t="s">
        <v>2704</v>
      </c>
      <c r="F505" s="126" t="s">
        <v>2653</v>
      </c>
      <c r="G505" s="126" t="s">
        <v>20</v>
      </c>
      <c r="H505" s="129">
        <v>1678</v>
      </c>
      <c r="I505" s="126" t="s">
        <v>2642</v>
      </c>
      <c r="J505" s="126" t="s">
        <v>3062</v>
      </c>
      <c r="K505" s="126" t="s">
        <v>3063</v>
      </c>
      <c r="L505" s="126" t="s">
        <v>2647</v>
      </c>
      <c r="M505" s="128" t="b">
        <v>0</v>
      </c>
      <c r="N505" s="122"/>
    </row>
    <row r="506" spans="1:14" ht="15.75">
      <c r="A506" s="121"/>
      <c r="B506" s="121"/>
      <c r="C506" s="121"/>
      <c r="D506" s="126" t="s">
        <v>669</v>
      </c>
      <c r="E506" s="126" t="s">
        <v>2686</v>
      </c>
      <c r="F506" s="126" t="s">
        <v>31</v>
      </c>
      <c r="G506" s="126" t="s">
        <v>31</v>
      </c>
      <c r="H506" s="127">
        <v>20000</v>
      </c>
      <c r="I506" s="126" t="s">
        <v>1705</v>
      </c>
      <c r="J506" s="126" t="s">
        <v>3062</v>
      </c>
      <c r="K506" s="126" t="s">
        <v>3063</v>
      </c>
      <c r="L506" s="126" t="s">
        <v>2687</v>
      </c>
      <c r="M506" s="128" t="b">
        <v>0</v>
      </c>
      <c r="N506" s="122"/>
    </row>
    <row r="507" spans="1:14" ht="15.75">
      <c r="A507" s="121"/>
      <c r="B507" s="121"/>
      <c r="C507" s="121"/>
      <c r="D507" s="126" t="s">
        <v>1039</v>
      </c>
      <c r="E507" s="126" t="s">
        <v>2823</v>
      </c>
      <c r="F507" s="126" t="s">
        <v>2653</v>
      </c>
      <c r="G507" s="126" t="s">
        <v>20</v>
      </c>
      <c r="H507" s="127">
        <v>3000</v>
      </c>
      <c r="I507" s="126" t="s">
        <v>2646</v>
      </c>
      <c r="J507" s="174">
        <v>46027</v>
      </c>
      <c r="K507" s="126" t="s">
        <v>3064</v>
      </c>
      <c r="L507" s="126" t="s">
        <v>2643</v>
      </c>
      <c r="M507" s="128" t="b">
        <v>0</v>
      </c>
      <c r="N507" s="122"/>
    </row>
    <row r="508" spans="1:14" ht="15.75">
      <c r="A508" s="121"/>
      <c r="B508" s="121"/>
      <c r="C508" s="121"/>
      <c r="D508" s="126" t="s">
        <v>1039</v>
      </c>
      <c r="E508" s="126" t="s">
        <v>2823</v>
      </c>
      <c r="F508" s="126" t="s">
        <v>2620</v>
      </c>
      <c r="G508" s="126" t="s">
        <v>1695</v>
      </c>
      <c r="H508" s="127">
        <v>13170</v>
      </c>
      <c r="I508" s="126" t="s">
        <v>2646</v>
      </c>
      <c r="J508" s="174">
        <v>46027</v>
      </c>
      <c r="K508" s="126" t="s">
        <v>3064</v>
      </c>
      <c r="L508" s="126" t="s">
        <v>2643</v>
      </c>
      <c r="M508" s="128" t="b">
        <v>0</v>
      </c>
      <c r="N508" s="122"/>
    </row>
    <row r="509" spans="1:14" ht="15.75">
      <c r="A509" s="121"/>
      <c r="B509" s="121"/>
      <c r="C509" s="121"/>
      <c r="D509" s="126" t="s">
        <v>1011</v>
      </c>
      <c r="E509" s="126" t="s">
        <v>2785</v>
      </c>
      <c r="F509" s="126" t="s">
        <v>2653</v>
      </c>
      <c r="G509" s="126" t="s">
        <v>20</v>
      </c>
      <c r="H509" s="127">
        <v>4150</v>
      </c>
      <c r="I509" s="126" t="s">
        <v>2646</v>
      </c>
      <c r="J509" s="174">
        <v>46027</v>
      </c>
      <c r="K509" s="126" t="s">
        <v>3064</v>
      </c>
      <c r="L509" s="126" t="s">
        <v>2656</v>
      </c>
      <c r="M509" s="128" t="b">
        <v>0</v>
      </c>
      <c r="N509" s="122"/>
    </row>
    <row r="510" spans="1:14" ht="15.75">
      <c r="A510" s="121"/>
      <c r="B510" s="121"/>
      <c r="C510" s="121"/>
      <c r="D510" s="126" t="s">
        <v>2017</v>
      </c>
      <c r="E510" s="126" t="s">
        <v>2849</v>
      </c>
      <c r="F510" s="126" t="s">
        <v>2653</v>
      </c>
      <c r="G510" s="126" t="s">
        <v>20</v>
      </c>
      <c r="H510" s="127">
        <v>2200</v>
      </c>
      <c r="I510" s="126" t="s">
        <v>2646</v>
      </c>
      <c r="J510" s="174">
        <v>46027</v>
      </c>
      <c r="K510" s="126" t="s">
        <v>3064</v>
      </c>
      <c r="L510" s="126" t="s">
        <v>2656</v>
      </c>
      <c r="M510" s="128" t="b">
        <v>0</v>
      </c>
      <c r="N510" s="122"/>
    </row>
    <row r="511" spans="1:14" ht="15.75">
      <c r="A511" s="121"/>
      <c r="B511" s="121"/>
      <c r="C511" s="121"/>
      <c r="D511" s="126" t="s">
        <v>2018</v>
      </c>
      <c r="E511" s="126" t="s">
        <v>2856</v>
      </c>
      <c r="F511" s="126" t="s">
        <v>1864</v>
      </c>
      <c r="G511" s="126" t="s">
        <v>27</v>
      </c>
      <c r="H511" s="127">
        <v>16125</v>
      </c>
      <c r="I511" s="126" t="s">
        <v>2646</v>
      </c>
      <c r="J511" s="174">
        <v>46027</v>
      </c>
      <c r="K511" s="126" t="s">
        <v>3064</v>
      </c>
      <c r="L511" s="126" t="s">
        <v>2680</v>
      </c>
      <c r="M511" s="128" t="b">
        <v>0</v>
      </c>
      <c r="N511" s="122"/>
    </row>
    <row r="512" spans="1:14" ht="15.75">
      <c r="A512" s="121"/>
      <c r="B512" s="121"/>
      <c r="C512" s="121"/>
      <c r="D512" s="126" t="s">
        <v>2018</v>
      </c>
      <c r="E512" s="126" t="s">
        <v>2856</v>
      </c>
      <c r="F512" s="126" t="s">
        <v>1918</v>
      </c>
      <c r="G512" s="126" t="s">
        <v>25</v>
      </c>
      <c r="H512" s="127">
        <v>22475</v>
      </c>
      <c r="I512" s="126" t="s">
        <v>2646</v>
      </c>
      <c r="J512" s="174">
        <v>46027</v>
      </c>
      <c r="K512" s="126" t="s">
        <v>3064</v>
      </c>
      <c r="L512" s="126" t="s">
        <v>2680</v>
      </c>
      <c r="M512" s="128" t="b">
        <v>0</v>
      </c>
      <c r="N512" s="122"/>
    </row>
    <row r="513" spans="1:14" ht="15.75">
      <c r="A513" s="121"/>
      <c r="B513" s="121"/>
      <c r="C513" s="121"/>
      <c r="D513" s="126" t="s">
        <v>2018</v>
      </c>
      <c r="E513" s="126" t="s">
        <v>2856</v>
      </c>
      <c r="F513" s="126" t="s">
        <v>1886</v>
      </c>
      <c r="G513" s="126" t="s">
        <v>21</v>
      </c>
      <c r="H513" s="127">
        <v>22800</v>
      </c>
      <c r="I513" s="126" t="s">
        <v>2646</v>
      </c>
      <c r="J513" s="174">
        <v>46027</v>
      </c>
      <c r="K513" s="126" t="s">
        <v>3064</v>
      </c>
      <c r="L513" s="126" t="s">
        <v>2680</v>
      </c>
      <c r="M513" s="128" t="b">
        <v>0</v>
      </c>
      <c r="N513" s="122"/>
    </row>
    <row r="514" spans="1:14" ht="15.75">
      <c r="A514" s="121"/>
      <c r="B514" s="121"/>
      <c r="C514" s="121"/>
      <c r="D514" s="126" t="s">
        <v>2018</v>
      </c>
      <c r="E514" s="126" t="s">
        <v>2856</v>
      </c>
      <c r="F514" s="126" t="s">
        <v>2074</v>
      </c>
      <c r="G514" s="126" t="s">
        <v>23</v>
      </c>
      <c r="H514" s="127">
        <v>20675</v>
      </c>
      <c r="I514" s="126" t="s">
        <v>2646</v>
      </c>
      <c r="J514" s="174">
        <v>46027</v>
      </c>
      <c r="K514" s="126" t="s">
        <v>3064</v>
      </c>
      <c r="L514" s="126" t="s">
        <v>2680</v>
      </c>
      <c r="M514" s="128" t="b">
        <v>0</v>
      </c>
      <c r="N514" s="122"/>
    </row>
    <row r="515" spans="1:14" ht="15.75">
      <c r="A515" s="121"/>
      <c r="B515" s="121"/>
      <c r="C515" s="121"/>
      <c r="D515" s="126" t="s">
        <v>1166</v>
      </c>
      <c r="E515" s="126" t="s">
        <v>2684</v>
      </c>
      <c r="F515" s="126" t="s">
        <v>2653</v>
      </c>
      <c r="G515" s="126" t="s">
        <v>20</v>
      </c>
      <c r="H515" s="127">
        <v>8642</v>
      </c>
      <c r="I515" s="126" t="s">
        <v>2646</v>
      </c>
      <c r="J515" s="174">
        <v>46027</v>
      </c>
      <c r="K515" s="126" t="s">
        <v>3064</v>
      </c>
      <c r="L515" s="126" t="s">
        <v>2656</v>
      </c>
      <c r="M515" s="128" t="b">
        <v>1</v>
      </c>
      <c r="N515" s="122"/>
    </row>
    <row r="516" spans="1:14" ht="15.75">
      <c r="A516" s="121"/>
      <c r="B516" s="121"/>
      <c r="C516" s="121"/>
      <c r="D516" s="126" t="s">
        <v>2019</v>
      </c>
      <c r="E516" s="126" t="s">
        <v>2728</v>
      </c>
      <c r="F516" s="126" t="s">
        <v>2653</v>
      </c>
      <c r="G516" s="126" t="s">
        <v>20</v>
      </c>
      <c r="H516" s="127">
        <v>6305</v>
      </c>
      <c r="I516" s="126" t="s">
        <v>2646</v>
      </c>
      <c r="J516" s="174">
        <v>46027</v>
      </c>
      <c r="K516" s="126" t="s">
        <v>3064</v>
      </c>
      <c r="L516" s="126" t="s">
        <v>2656</v>
      </c>
      <c r="M516" s="128" t="b">
        <v>0</v>
      </c>
      <c r="N516" s="122"/>
    </row>
    <row r="517" spans="1:14" ht="15.75">
      <c r="A517" s="121"/>
      <c r="B517" s="121"/>
      <c r="C517" s="121"/>
      <c r="D517" s="126" t="s">
        <v>2019</v>
      </c>
      <c r="E517" s="126" t="s">
        <v>2728</v>
      </c>
      <c r="F517" s="126" t="s">
        <v>1918</v>
      </c>
      <c r="G517" s="126" t="s">
        <v>25</v>
      </c>
      <c r="H517" s="127">
        <v>17810</v>
      </c>
      <c r="I517" s="126" t="s">
        <v>2646</v>
      </c>
      <c r="J517" s="174">
        <v>46027</v>
      </c>
      <c r="K517" s="126" t="s">
        <v>3064</v>
      </c>
      <c r="L517" s="126" t="s">
        <v>2656</v>
      </c>
      <c r="M517" s="128" t="b">
        <v>0</v>
      </c>
      <c r="N517" s="122"/>
    </row>
    <row r="518" spans="1:14" ht="15.75">
      <c r="A518" s="121"/>
      <c r="B518" s="121"/>
      <c r="C518" s="121"/>
      <c r="D518" s="126" t="s">
        <v>2019</v>
      </c>
      <c r="E518" s="126" t="s">
        <v>2728</v>
      </c>
      <c r="F518" s="126" t="s">
        <v>2622</v>
      </c>
      <c r="G518" s="126" t="s">
        <v>29</v>
      </c>
      <c r="H518" s="127">
        <v>12935</v>
      </c>
      <c r="I518" s="126" t="s">
        <v>2646</v>
      </c>
      <c r="J518" s="174">
        <v>46027</v>
      </c>
      <c r="K518" s="126" t="s">
        <v>3064</v>
      </c>
      <c r="L518" s="126" t="s">
        <v>2656</v>
      </c>
      <c r="M518" s="128" t="b">
        <v>0</v>
      </c>
      <c r="N518" s="122"/>
    </row>
    <row r="519" spans="1:14" ht="15.75">
      <c r="A519" s="121"/>
      <c r="B519" s="121"/>
      <c r="C519" s="121"/>
      <c r="D519" s="126" t="s">
        <v>1933</v>
      </c>
      <c r="E519" s="126" t="s">
        <v>3065</v>
      </c>
      <c r="F519" s="126" t="s">
        <v>1825</v>
      </c>
      <c r="G519" s="126" t="s">
        <v>27</v>
      </c>
      <c r="H519" s="127">
        <v>14250</v>
      </c>
      <c r="I519" s="126" t="s">
        <v>2646</v>
      </c>
      <c r="J519" s="174">
        <v>46028</v>
      </c>
      <c r="K519" s="126" t="s">
        <v>3066</v>
      </c>
      <c r="L519" s="126" t="s">
        <v>2671</v>
      </c>
      <c r="M519" s="128" t="b">
        <v>0</v>
      </c>
      <c r="N519" s="122"/>
    </row>
    <row r="520" spans="1:14" ht="15.75">
      <c r="A520" s="121"/>
      <c r="B520" s="121"/>
      <c r="C520" s="121"/>
      <c r="D520" s="126" t="s">
        <v>601</v>
      </c>
      <c r="E520" s="126" t="s">
        <v>2854</v>
      </c>
      <c r="F520" s="126" t="s">
        <v>2653</v>
      </c>
      <c r="G520" s="126" t="s">
        <v>20</v>
      </c>
      <c r="H520" s="127">
        <v>10000</v>
      </c>
      <c r="I520" s="126" t="s">
        <v>2646</v>
      </c>
      <c r="J520" s="174">
        <v>46028</v>
      </c>
      <c r="K520" s="126" t="s">
        <v>3066</v>
      </c>
      <c r="L520" s="126" t="s">
        <v>2643</v>
      </c>
      <c r="M520" s="128" t="b">
        <v>0</v>
      </c>
      <c r="N520" s="122"/>
    </row>
    <row r="521" spans="1:14" ht="15.75">
      <c r="A521" s="121"/>
      <c r="B521" s="121"/>
      <c r="C521" s="121"/>
      <c r="D521" s="126" t="s">
        <v>601</v>
      </c>
      <c r="E521" s="126" t="s">
        <v>2854</v>
      </c>
      <c r="F521" s="126" t="s">
        <v>1845</v>
      </c>
      <c r="G521" s="126" t="s">
        <v>31</v>
      </c>
      <c r="H521" s="127">
        <v>9000</v>
      </c>
      <c r="I521" s="126" t="s">
        <v>2646</v>
      </c>
      <c r="J521" s="174">
        <v>46028</v>
      </c>
      <c r="K521" s="126" t="s">
        <v>3066</v>
      </c>
      <c r="L521" s="126" t="s">
        <v>2643</v>
      </c>
      <c r="M521" s="128" t="b">
        <v>0</v>
      </c>
      <c r="N521" s="122"/>
    </row>
    <row r="522" spans="1:14" ht="15.75">
      <c r="A522" s="121"/>
      <c r="B522" s="121"/>
      <c r="C522" s="121"/>
      <c r="D522" s="126" t="s">
        <v>1935</v>
      </c>
      <c r="E522" s="126" t="s">
        <v>2838</v>
      </c>
      <c r="F522" s="126" t="s">
        <v>2653</v>
      </c>
      <c r="G522" s="126" t="s">
        <v>20</v>
      </c>
      <c r="H522" s="127">
        <v>7924</v>
      </c>
      <c r="I522" s="126" t="s">
        <v>2646</v>
      </c>
      <c r="J522" s="174">
        <v>46028</v>
      </c>
      <c r="K522" s="126" t="s">
        <v>3066</v>
      </c>
      <c r="L522" s="126" t="s">
        <v>2656</v>
      </c>
      <c r="M522" s="128" t="b">
        <v>0</v>
      </c>
      <c r="N522" s="122"/>
    </row>
    <row r="523" spans="1:14" ht="15.75">
      <c r="A523" s="121"/>
      <c r="B523" s="121"/>
      <c r="C523" s="121"/>
      <c r="D523" s="126" t="s">
        <v>2020</v>
      </c>
      <c r="E523" s="126" t="s">
        <v>2664</v>
      </c>
      <c r="F523" s="126" t="s">
        <v>2665</v>
      </c>
      <c r="G523" s="126" t="s">
        <v>2666</v>
      </c>
      <c r="H523" s="127">
        <v>6000</v>
      </c>
      <c r="I523" s="126" t="s">
        <v>2666</v>
      </c>
      <c r="J523" s="126" t="s">
        <v>2967</v>
      </c>
      <c r="K523" s="126" t="s">
        <v>3067</v>
      </c>
      <c r="L523" s="126" t="s">
        <v>2667</v>
      </c>
      <c r="M523" s="128" t="b">
        <v>0</v>
      </c>
      <c r="N523" s="122"/>
    </row>
    <row r="524" spans="1:14" ht="15.75">
      <c r="A524" s="121"/>
      <c r="B524" s="121"/>
      <c r="C524" s="121"/>
      <c r="D524" s="126" t="s">
        <v>1014</v>
      </c>
      <c r="E524" s="126" t="s">
        <v>2789</v>
      </c>
      <c r="F524" s="126" t="s">
        <v>1820</v>
      </c>
      <c r="G524" s="126" t="s">
        <v>25</v>
      </c>
      <c r="H524" s="127">
        <v>7070</v>
      </c>
      <c r="I524" s="126" t="s">
        <v>2646</v>
      </c>
      <c r="J524" s="174">
        <v>46029</v>
      </c>
      <c r="K524" s="126" t="s">
        <v>3068</v>
      </c>
      <c r="L524" s="126" t="s">
        <v>2671</v>
      </c>
      <c r="M524" s="128" t="b">
        <v>0</v>
      </c>
      <c r="N524" s="122"/>
    </row>
    <row r="525" spans="1:14" ht="15.75">
      <c r="A525" s="121"/>
      <c r="B525" s="121"/>
      <c r="C525" s="121"/>
      <c r="D525" s="126" t="s">
        <v>1014</v>
      </c>
      <c r="E525" s="126" t="s">
        <v>2789</v>
      </c>
      <c r="F525" s="126" t="s">
        <v>1819</v>
      </c>
      <c r="G525" s="126" t="s">
        <v>25</v>
      </c>
      <c r="H525" s="127">
        <v>7070</v>
      </c>
      <c r="I525" s="126" t="s">
        <v>2646</v>
      </c>
      <c r="J525" s="174">
        <v>46029</v>
      </c>
      <c r="K525" s="126" t="s">
        <v>3068</v>
      </c>
      <c r="L525" s="126" t="s">
        <v>2671</v>
      </c>
      <c r="M525" s="128" t="b">
        <v>0</v>
      </c>
      <c r="N525" s="122"/>
    </row>
    <row r="526" spans="1:14" ht="15.75">
      <c r="A526" s="121"/>
      <c r="B526" s="121"/>
      <c r="C526" s="121"/>
      <c r="D526" s="126" t="s">
        <v>1943</v>
      </c>
      <c r="E526" s="126" t="s">
        <v>2765</v>
      </c>
      <c r="F526" s="126" t="s">
        <v>1883</v>
      </c>
      <c r="G526" s="126" t="s">
        <v>20</v>
      </c>
      <c r="H526" s="127">
        <v>4140</v>
      </c>
      <c r="I526" s="126" t="s">
        <v>2646</v>
      </c>
      <c r="J526" s="174">
        <v>46030</v>
      </c>
      <c r="K526" s="126" t="s">
        <v>3069</v>
      </c>
      <c r="L526" s="126" t="s">
        <v>2656</v>
      </c>
      <c r="M526" s="128" t="b">
        <v>0</v>
      </c>
      <c r="N526" s="122"/>
    </row>
    <row r="527" spans="1:14" ht="15.75">
      <c r="A527" s="121"/>
      <c r="B527" s="121"/>
      <c r="C527" s="121"/>
      <c r="D527" s="126" t="s">
        <v>1943</v>
      </c>
      <c r="E527" s="126" t="s">
        <v>2765</v>
      </c>
      <c r="F527" s="126" t="s">
        <v>2653</v>
      </c>
      <c r="G527" s="126" t="s">
        <v>20</v>
      </c>
      <c r="H527" s="127">
        <v>4140</v>
      </c>
      <c r="I527" s="126" t="s">
        <v>2646</v>
      </c>
      <c r="J527" s="174">
        <v>46030</v>
      </c>
      <c r="K527" s="126" t="s">
        <v>3069</v>
      </c>
      <c r="L527" s="126" t="s">
        <v>2656</v>
      </c>
      <c r="M527" s="128" t="b">
        <v>0</v>
      </c>
      <c r="N527" s="122"/>
    </row>
    <row r="528" spans="1:14" ht="15.75">
      <c r="A528" s="121"/>
      <c r="B528" s="121"/>
      <c r="C528" s="121"/>
      <c r="D528" s="126" t="s">
        <v>103</v>
      </c>
      <c r="E528" s="126" t="s">
        <v>2745</v>
      </c>
      <c r="F528" s="126" t="s">
        <v>1904</v>
      </c>
      <c r="G528" s="126" t="s">
        <v>25</v>
      </c>
      <c r="H528" s="127">
        <v>28300</v>
      </c>
      <c r="I528" s="126" t="s">
        <v>2646</v>
      </c>
      <c r="J528" s="174">
        <v>46030</v>
      </c>
      <c r="K528" s="126" t="s">
        <v>3069</v>
      </c>
      <c r="L528" s="126" t="s">
        <v>2671</v>
      </c>
      <c r="M528" s="128" t="b">
        <v>0</v>
      </c>
      <c r="N528" s="122"/>
    </row>
    <row r="529" spans="1:14" ht="15.75">
      <c r="A529" s="121"/>
      <c r="B529" s="121"/>
      <c r="C529" s="121"/>
      <c r="D529" s="126" t="s">
        <v>563</v>
      </c>
      <c r="E529" s="126" t="s">
        <v>2797</v>
      </c>
      <c r="F529" s="126" t="s">
        <v>2653</v>
      </c>
      <c r="G529" s="126" t="s">
        <v>20</v>
      </c>
      <c r="H529" s="127">
        <v>12000</v>
      </c>
      <c r="I529" s="126" t="s">
        <v>2646</v>
      </c>
      <c r="J529" s="174">
        <v>46031</v>
      </c>
      <c r="K529" s="126" t="s">
        <v>3070</v>
      </c>
      <c r="L529" s="126" t="s">
        <v>2680</v>
      </c>
      <c r="M529" s="128" t="b">
        <v>0</v>
      </c>
      <c r="N529" s="122"/>
    </row>
    <row r="530" spans="1:14" ht="15.75">
      <c r="A530" s="121"/>
      <c r="B530" s="121"/>
      <c r="C530" s="121"/>
      <c r="D530" s="126" t="s">
        <v>290</v>
      </c>
      <c r="E530" s="126" t="s">
        <v>2885</v>
      </c>
      <c r="F530" s="126" t="s">
        <v>1838</v>
      </c>
      <c r="G530" s="126" t="s">
        <v>25</v>
      </c>
      <c r="H530" s="127">
        <v>6000</v>
      </c>
      <c r="I530" s="126" t="s">
        <v>2646</v>
      </c>
      <c r="J530" s="174">
        <v>46032</v>
      </c>
      <c r="K530" s="126" t="s">
        <v>3071</v>
      </c>
      <c r="L530" s="126" t="s">
        <v>2671</v>
      </c>
      <c r="M530" s="128" t="b">
        <v>0</v>
      </c>
      <c r="N530" s="122"/>
    </row>
    <row r="531" spans="1:14" ht="15.75">
      <c r="A531" s="121"/>
      <c r="B531" s="121"/>
      <c r="C531" s="121"/>
      <c r="D531" s="126" t="s">
        <v>290</v>
      </c>
      <c r="E531" s="126" t="s">
        <v>2885</v>
      </c>
      <c r="F531" s="126" t="s">
        <v>1820</v>
      </c>
      <c r="G531" s="126" t="s">
        <v>25</v>
      </c>
      <c r="H531" s="127">
        <v>7150</v>
      </c>
      <c r="I531" s="126" t="s">
        <v>2646</v>
      </c>
      <c r="J531" s="174">
        <v>46032</v>
      </c>
      <c r="K531" s="126" t="s">
        <v>3071</v>
      </c>
      <c r="L531" s="126" t="s">
        <v>2671</v>
      </c>
      <c r="M531" s="128" t="b">
        <v>0</v>
      </c>
      <c r="N531" s="122"/>
    </row>
    <row r="532" spans="1:14" ht="15.75">
      <c r="A532" s="121"/>
      <c r="B532" s="121"/>
      <c r="C532" s="121"/>
      <c r="D532" s="126" t="s">
        <v>1952</v>
      </c>
      <c r="E532" s="126" t="s">
        <v>2942</v>
      </c>
      <c r="F532" s="126" t="s">
        <v>2074</v>
      </c>
      <c r="G532" s="126" t="s">
        <v>23</v>
      </c>
      <c r="H532" s="127">
        <v>18000</v>
      </c>
      <c r="I532" s="126" t="s">
        <v>2646</v>
      </c>
      <c r="J532" s="174">
        <v>46032</v>
      </c>
      <c r="K532" s="126" t="s">
        <v>3071</v>
      </c>
      <c r="L532" s="126" t="s">
        <v>2680</v>
      </c>
      <c r="M532" s="128" t="b">
        <v>0</v>
      </c>
      <c r="N532" s="122"/>
    </row>
    <row r="533" spans="1:14" ht="15.75">
      <c r="A533" s="121"/>
      <c r="B533" s="121"/>
      <c r="C533" s="121"/>
      <c r="D533" s="126" t="s">
        <v>1952</v>
      </c>
      <c r="E533" s="126" t="s">
        <v>2942</v>
      </c>
      <c r="F533" s="126" t="s">
        <v>1889</v>
      </c>
      <c r="G533" s="126" t="s">
        <v>21</v>
      </c>
      <c r="H533" s="127">
        <v>36500</v>
      </c>
      <c r="I533" s="126" t="s">
        <v>2646</v>
      </c>
      <c r="J533" s="174">
        <v>46032</v>
      </c>
      <c r="K533" s="126" t="s">
        <v>3071</v>
      </c>
      <c r="L533" s="126" t="s">
        <v>2680</v>
      </c>
      <c r="M533" s="128" t="b">
        <v>0</v>
      </c>
      <c r="N533" s="122"/>
    </row>
    <row r="534" spans="1:14" ht="15.75">
      <c r="A534" s="121"/>
      <c r="B534" s="121"/>
      <c r="C534" s="121"/>
      <c r="D534" s="126" t="s">
        <v>88</v>
      </c>
      <c r="E534" s="126" t="s">
        <v>2914</v>
      </c>
      <c r="F534" s="126" t="s">
        <v>2074</v>
      </c>
      <c r="G534" s="126" t="s">
        <v>23</v>
      </c>
      <c r="H534" s="127">
        <v>23500</v>
      </c>
      <c r="I534" s="126" t="s">
        <v>2646</v>
      </c>
      <c r="J534" s="174">
        <v>46032</v>
      </c>
      <c r="K534" s="126" t="s">
        <v>3071</v>
      </c>
      <c r="L534" s="126" t="s">
        <v>2671</v>
      </c>
      <c r="M534" s="128" t="b">
        <v>0</v>
      </c>
      <c r="N534" s="122"/>
    </row>
    <row r="535" spans="1:14" ht="15.75">
      <c r="A535" s="121"/>
      <c r="B535" s="121"/>
      <c r="C535" s="121"/>
      <c r="D535" s="126" t="s">
        <v>88</v>
      </c>
      <c r="E535" s="126" t="s">
        <v>2914</v>
      </c>
      <c r="F535" s="126" t="s">
        <v>1900</v>
      </c>
      <c r="G535" s="126" t="s">
        <v>21</v>
      </c>
      <c r="H535" s="127">
        <v>29500</v>
      </c>
      <c r="I535" s="126" t="s">
        <v>2646</v>
      </c>
      <c r="J535" s="174">
        <v>46032</v>
      </c>
      <c r="K535" s="126" t="s">
        <v>3071</v>
      </c>
      <c r="L535" s="126" t="s">
        <v>2671</v>
      </c>
      <c r="M535" s="128" t="b">
        <v>0</v>
      </c>
      <c r="N535" s="122"/>
    </row>
    <row r="536" spans="1:14" ht="15.75">
      <c r="A536" s="121"/>
      <c r="B536" s="121"/>
      <c r="C536" s="121"/>
      <c r="D536" s="126" t="s">
        <v>88</v>
      </c>
      <c r="E536" s="126" t="s">
        <v>2914</v>
      </c>
      <c r="F536" s="126" t="s">
        <v>2653</v>
      </c>
      <c r="G536" s="126" t="s">
        <v>20</v>
      </c>
      <c r="H536" s="127">
        <v>9675</v>
      </c>
      <c r="I536" s="126" t="s">
        <v>2646</v>
      </c>
      <c r="J536" s="174">
        <v>46032</v>
      </c>
      <c r="K536" s="126" t="s">
        <v>3071</v>
      </c>
      <c r="L536" s="126" t="s">
        <v>2671</v>
      </c>
      <c r="M536" s="128" t="b">
        <v>0</v>
      </c>
      <c r="N536" s="122"/>
    </row>
    <row r="537" spans="1:14" ht="15.75">
      <c r="A537" s="121"/>
      <c r="B537" s="121"/>
      <c r="C537" s="121"/>
      <c r="D537" s="126" t="s">
        <v>88</v>
      </c>
      <c r="E537" s="126" t="s">
        <v>2914</v>
      </c>
      <c r="F537" s="126" t="s">
        <v>2618</v>
      </c>
      <c r="G537" s="126" t="s">
        <v>1695</v>
      </c>
      <c r="H537" s="127">
        <v>53500</v>
      </c>
      <c r="I537" s="126" t="s">
        <v>2646</v>
      </c>
      <c r="J537" s="174">
        <v>46032</v>
      </c>
      <c r="K537" s="126" t="s">
        <v>3071</v>
      </c>
      <c r="L537" s="126" t="s">
        <v>2671</v>
      </c>
      <c r="M537" s="128" t="b">
        <v>0</v>
      </c>
      <c r="N537" s="122"/>
    </row>
    <row r="538" spans="1:14" ht="15.75">
      <c r="A538" s="121"/>
      <c r="B538" s="121"/>
      <c r="C538" s="121"/>
      <c r="D538" s="126" t="s">
        <v>88</v>
      </c>
      <c r="E538" s="126" t="s">
        <v>2914</v>
      </c>
      <c r="F538" s="126" t="s">
        <v>2217</v>
      </c>
      <c r="G538" s="126" t="s">
        <v>21</v>
      </c>
      <c r="H538" s="127">
        <v>10500</v>
      </c>
      <c r="I538" s="126" t="s">
        <v>2646</v>
      </c>
      <c r="J538" s="174">
        <v>46032</v>
      </c>
      <c r="K538" s="126" t="s">
        <v>3071</v>
      </c>
      <c r="L538" s="126" t="s">
        <v>2671</v>
      </c>
      <c r="M538" s="128" t="b">
        <v>0</v>
      </c>
      <c r="N538" s="122"/>
    </row>
    <row r="539" spans="1:14" ht="15.75">
      <c r="A539" s="121"/>
      <c r="B539" s="121"/>
      <c r="C539" s="121"/>
      <c r="D539" s="126" t="s">
        <v>1978</v>
      </c>
      <c r="E539" s="126" t="s">
        <v>2757</v>
      </c>
      <c r="F539" s="126" t="s">
        <v>2758</v>
      </c>
      <c r="G539" s="126" t="s">
        <v>2666</v>
      </c>
      <c r="H539" s="127">
        <v>40000</v>
      </c>
      <c r="I539" s="126" t="s">
        <v>2666</v>
      </c>
      <c r="J539" s="174">
        <v>46123</v>
      </c>
      <c r="K539" s="174">
        <v>46457</v>
      </c>
      <c r="L539" s="126" t="s">
        <v>2667</v>
      </c>
      <c r="M539" s="128" t="b">
        <v>0</v>
      </c>
      <c r="N539" s="122"/>
    </row>
    <row r="540" spans="1:14" ht="15.75">
      <c r="A540" s="121"/>
      <c r="B540" s="121"/>
      <c r="C540" s="121"/>
      <c r="D540" s="126" t="s">
        <v>178</v>
      </c>
      <c r="E540" s="126" t="s">
        <v>2875</v>
      </c>
      <c r="F540" s="126" t="s">
        <v>2624</v>
      </c>
      <c r="G540" s="126" t="s">
        <v>27</v>
      </c>
      <c r="H540" s="127">
        <v>15975</v>
      </c>
      <c r="I540" s="126" t="s">
        <v>2646</v>
      </c>
      <c r="J540" s="174">
        <v>46034</v>
      </c>
      <c r="K540" s="126" t="s">
        <v>3072</v>
      </c>
      <c r="L540" s="126" t="s">
        <v>2643</v>
      </c>
      <c r="M540" s="128" t="b">
        <v>0</v>
      </c>
      <c r="N540" s="122"/>
    </row>
    <row r="541" spans="1:14" ht="15.75">
      <c r="A541" s="121"/>
      <c r="B541" s="121"/>
      <c r="C541" s="121"/>
      <c r="D541" s="126" t="s">
        <v>1965</v>
      </c>
      <c r="E541" s="126" t="s">
        <v>2816</v>
      </c>
      <c r="F541" s="126" t="s">
        <v>2653</v>
      </c>
      <c r="G541" s="126" t="s">
        <v>20</v>
      </c>
      <c r="H541" s="127">
        <v>7336</v>
      </c>
      <c r="I541" s="126" t="s">
        <v>2646</v>
      </c>
      <c r="J541" s="174">
        <v>46246</v>
      </c>
      <c r="K541" s="174">
        <v>46580</v>
      </c>
      <c r="L541" s="126" t="s">
        <v>2656</v>
      </c>
      <c r="M541" s="128" t="b">
        <v>0</v>
      </c>
      <c r="N541" s="122"/>
    </row>
    <row r="542" spans="1:14" ht="15.75">
      <c r="A542" s="121"/>
      <c r="B542" s="121"/>
      <c r="C542" s="121"/>
      <c r="D542" s="126" t="s">
        <v>64</v>
      </c>
      <c r="E542" s="126" t="s">
        <v>2689</v>
      </c>
      <c r="F542" s="126" t="s">
        <v>1904</v>
      </c>
      <c r="G542" s="126" t="s">
        <v>25</v>
      </c>
      <c r="H542" s="127">
        <v>28000</v>
      </c>
      <c r="I542" s="126" t="s">
        <v>2646</v>
      </c>
      <c r="J542" s="174">
        <v>46388</v>
      </c>
      <c r="K542" s="126" t="s">
        <v>3073</v>
      </c>
      <c r="L542" s="126" t="s">
        <v>2667</v>
      </c>
      <c r="M542" s="128" t="b">
        <v>0</v>
      </c>
      <c r="N542" s="122"/>
    </row>
    <row r="543" spans="1:14" ht="15.75">
      <c r="A543" s="121"/>
      <c r="B543" s="121"/>
      <c r="C543" s="121"/>
      <c r="D543" s="126" t="s">
        <v>1975</v>
      </c>
      <c r="E543" s="126" t="s">
        <v>2859</v>
      </c>
      <c r="F543" s="126" t="s">
        <v>29</v>
      </c>
      <c r="G543" s="126" t="s">
        <v>29</v>
      </c>
      <c r="H543" s="127">
        <v>21876.99</v>
      </c>
      <c r="I543" s="126" t="s">
        <v>2646</v>
      </c>
      <c r="J543" s="174">
        <v>46388</v>
      </c>
      <c r="K543" s="126" t="s">
        <v>3073</v>
      </c>
      <c r="L543" s="126" t="s">
        <v>2667</v>
      </c>
      <c r="M543" s="128" t="b">
        <v>0</v>
      </c>
      <c r="N543" s="122"/>
    </row>
    <row r="544" spans="1:14" ht="15.75">
      <c r="A544" s="121"/>
      <c r="B544" s="121"/>
      <c r="C544" s="121"/>
      <c r="D544" s="126" t="s">
        <v>1975</v>
      </c>
      <c r="E544" s="126" t="s">
        <v>2859</v>
      </c>
      <c r="F544" s="126" t="s">
        <v>21</v>
      </c>
      <c r="G544" s="126" t="s">
        <v>21</v>
      </c>
      <c r="H544" s="127">
        <v>32815.49</v>
      </c>
      <c r="I544" s="126" t="s">
        <v>2646</v>
      </c>
      <c r="J544" s="174">
        <v>46388</v>
      </c>
      <c r="K544" s="126" t="s">
        <v>3073</v>
      </c>
      <c r="L544" s="126" t="s">
        <v>2667</v>
      </c>
      <c r="M544" s="128" t="b">
        <v>0</v>
      </c>
      <c r="N544" s="122"/>
    </row>
    <row r="545" spans="1:14" ht="15.75">
      <c r="A545" s="121"/>
      <c r="B545" s="121"/>
      <c r="C545" s="121"/>
      <c r="D545" s="126" t="s">
        <v>1975</v>
      </c>
      <c r="E545" s="126" t="s">
        <v>2859</v>
      </c>
      <c r="F545" s="126" t="s">
        <v>25</v>
      </c>
      <c r="G545" s="126" t="s">
        <v>25</v>
      </c>
      <c r="H545" s="127">
        <v>10362.780000000001</v>
      </c>
      <c r="I545" s="126" t="s">
        <v>2646</v>
      </c>
      <c r="J545" s="174">
        <v>46388</v>
      </c>
      <c r="K545" s="126" t="s">
        <v>3073</v>
      </c>
      <c r="L545" s="126" t="s">
        <v>2667</v>
      </c>
      <c r="M545" s="128" t="b">
        <v>0</v>
      </c>
      <c r="N545" s="122"/>
    </row>
    <row r="546" spans="1:14" ht="15.75">
      <c r="A546" s="121"/>
      <c r="B546" s="121"/>
      <c r="C546" s="121"/>
      <c r="D546" s="126" t="s">
        <v>1975</v>
      </c>
      <c r="E546" s="126" t="s">
        <v>2859</v>
      </c>
      <c r="F546" s="126" t="s">
        <v>23</v>
      </c>
      <c r="G546" s="126" t="s">
        <v>23</v>
      </c>
      <c r="H546" s="127">
        <v>36845.46</v>
      </c>
      <c r="I546" s="126" t="s">
        <v>2646</v>
      </c>
      <c r="J546" s="174">
        <v>46388</v>
      </c>
      <c r="K546" s="126" t="s">
        <v>3073</v>
      </c>
      <c r="L546" s="126" t="s">
        <v>2667</v>
      </c>
      <c r="M546" s="128" t="b">
        <v>0</v>
      </c>
      <c r="N546" s="122"/>
    </row>
    <row r="547" spans="1:14" ht="15.75">
      <c r="A547" s="121"/>
      <c r="B547" s="121"/>
      <c r="C547" s="121"/>
      <c r="D547" s="126" t="s">
        <v>1975</v>
      </c>
      <c r="E547" s="126" t="s">
        <v>2859</v>
      </c>
      <c r="F547" s="126" t="s">
        <v>27</v>
      </c>
      <c r="G547" s="126" t="s">
        <v>27</v>
      </c>
      <c r="H547" s="127">
        <v>44905.4</v>
      </c>
      <c r="I547" s="126" t="s">
        <v>2646</v>
      </c>
      <c r="J547" s="174">
        <v>46388</v>
      </c>
      <c r="K547" s="126" t="s">
        <v>3073</v>
      </c>
      <c r="L547" s="126" t="s">
        <v>2667</v>
      </c>
      <c r="M547" s="128" t="b">
        <v>0</v>
      </c>
      <c r="N547" s="122"/>
    </row>
    <row r="548" spans="1:14" ht="15.75">
      <c r="A548" s="121"/>
      <c r="B548" s="121"/>
      <c r="C548" s="121"/>
      <c r="D548" s="126" t="s">
        <v>1975</v>
      </c>
      <c r="E548" s="126" t="s">
        <v>2859</v>
      </c>
      <c r="F548" s="126" t="s">
        <v>2653</v>
      </c>
      <c r="G548" s="126" t="s">
        <v>20</v>
      </c>
      <c r="H548" s="127">
        <v>8059.94</v>
      </c>
      <c r="I548" s="126" t="s">
        <v>2646</v>
      </c>
      <c r="J548" s="174">
        <v>46388</v>
      </c>
      <c r="K548" s="126" t="s">
        <v>3073</v>
      </c>
      <c r="L548" s="126" t="s">
        <v>2667</v>
      </c>
      <c r="M548" s="128" t="b">
        <v>0</v>
      </c>
      <c r="N548" s="122"/>
    </row>
    <row r="549" spans="1:14" ht="15.75">
      <c r="A549" s="121"/>
      <c r="B549" s="121"/>
      <c r="C549" s="121"/>
      <c r="D549" s="126" t="s">
        <v>1975</v>
      </c>
      <c r="E549" s="126" t="s">
        <v>2859</v>
      </c>
      <c r="F549" s="126" t="s">
        <v>2621</v>
      </c>
      <c r="G549" s="126" t="s">
        <v>1931</v>
      </c>
      <c r="H549" s="127">
        <v>12089.92</v>
      </c>
      <c r="I549" s="126" t="s">
        <v>2646</v>
      </c>
      <c r="J549" s="174">
        <v>46388</v>
      </c>
      <c r="K549" s="126" t="s">
        <v>3073</v>
      </c>
      <c r="L549" s="126" t="s">
        <v>2667</v>
      </c>
      <c r="M549" s="128" t="b">
        <v>0</v>
      </c>
      <c r="N549" s="122"/>
    </row>
    <row r="550" spans="1:14" ht="15.75">
      <c r="A550" s="121"/>
      <c r="B550" s="121"/>
      <c r="C550" s="121"/>
      <c r="D550" s="126" t="s">
        <v>1975</v>
      </c>
      <c r="E550" s="126" t="s">
        <v>2859</v>
      </c>
      <c r="F550" s="126" t="s">
        <v>26</v>
      </c>
      <c r="G550" s="126" t="s">
        <v>25</v>
      </c>
      <c r="H550" s="127">
        <v>16119.89</v>
      </c>
      <c r="I550" s="126" t="s">
        <v>2646</v>
      </c>
      <c r="J550" s="174">
        <v>46388</v>
      </c>
      <c r="K550" s="126" t="s">
        <v>3073</v>
      </c>
      <c r="L550" s="126" t="s">
        <v>2667</v>
      </c>
      <c r="M550" s="128" t="b">
        <v>0</v>
      </c>
      <c r="N550" s="122"/>
    </row>
    <row r="551" spans="1:14" ht="15.75">
      <c r="A551" s="121"/>
      <c r="B551" s="121"/>
      <c r="C551" s="121"/>
      <c r="D551" s="126" t="s">
        <v>1975</v>
      </c>
      <c r="E551" s="126" t="s">
        <v>2859</v>
      </c>
      <c r="F551" s="126" t="s">
        <v>30</v>
      </c>
      <c r="G551" s="126" t="s">
        <v>29</v>
      </c>
      <c r="H551" s="127">
        <v>8347.7999999999993</v>
      </c>
      <c r="I551" s="126" t="s">
        <v>2646</v>
      </c>
      <c r="J551" s="174">
        <v>46388</v>
      </c>
      <c r="K551" s="126" t="s">
        <v>3073</v>
      </c>
      <c r="L551" s="126" t="s">
        <v>2667</v>
      </c>
      <c r="M551" s="128" t="b">
        <v>0</v>
      </c>
      <c r="N551" s="122"/>
    </row>
    <row r="552" spans="1:14" ht="15.75">
      <c r="A552" s="121"/>
      <c r="B552" s="121"/>
      <c r="C552" s="121"/>
      <c r="D552" s="126" t="s">
        <v>1975</v>
      </c>
      <c r="E552" s="126" t="s">
        <v>2859</v>
      </c>
      <c r="F552" s="126" t="s">
        <v>24</v>
      </c>
      <c r="G552" s="126" t="s">
        <v>1695</v>
      </c>
      <c r="H552" s="127">
        <v>41451.14</v>
      </c>
      <c r="I552" s="126" t="s">
        <v>2646</v>
      </c>
      <c r="J552" s="174">
        <v>46388</v>
      </c>
      <c r="K552" s="126" t="s">
        <v>3073</v>
      </c>
      <c r="L552" s="126" t="s">
        <v>2667</v>
      </c>
      <c r="M552" s="128" t="b">
        <v>0</v>
      </c>
      <c r="N552" s="122"/>
    </row>
    <row r="553" spans="1:14" ht="15.75">
      <c r="A553" s="121"/>
      <c r="B553" s="121"/>
      <c r="C553" s="121"/>
      <c r="D553" s="126" t="s">
        <v>1975</v>
      </c>
      <c r="E553" s="126" t="s">
        <v>2859</v>
      </c>
      <c r="F553" s="126" t="s">
        <v>31</v>
      </c>
      <c r="G553" s="126" t="s">
        <v>31</v>
      </c>
      <c r="H553" s="127">
        <v>33391.199999999997</v>
      </c>
      <c r="I553" s="126" t="s">
        <v>2646</v>
      </c>
      <c r="J553" s="174">
        <v>46388</v>
      </c>
      <c r="K553" s="126" t="s">
        <v>3073</v>
      </c>
      <c r="L553" s="126" t="s">
        <v>2667</v>
      </c>
      <c r="M553" s="128" t="b">
        <v>0</v>
      </c>
      <c r="N553" s="122"/>
    </row>
    <row r="554" spans="1:14" ht="15.75">
      <c r="A554" s="121"/>
      <c r="B554" s="121"/>
      <c r="C554" s="121"/>
      <c r="D554" s="126" t="s">
        <v>75</v>
      </c>
      <c r="E554" s="126" t="s">
        <v>2827</v>
      </c>
      <c r="F554" s="126" t="s">
        <v>2618</v>
      </c>
      <c r="G554" s="126" t="s">
        <v>1695</v>
      </c>
      <c r="H554" s="127">
        <v>58176.85</v>
      </c>
      <c r="I554" s="126" t="s">
        <v>2646</v>
      </c>
      <c r="J554" s="174">
        <v>46388</v>
      </c>
      <c r="K554" s="126" t="s">
        <v>3073</v>
      </c>
      <c r="L554" s="126" t="s">
        <v>2667</v>
      </c>
      <c r="M554" s="128" t="b">
        <v>0</v>
      </c>
      <c r="N554" s="122"/>
    </row>
    <row r="555" spans="1:14" ht="15.75">
      <c r="A555" s="121"/>
      <c r="B555" s="121"/>
      <c r="C555" s="121"/>
      <c r="D555" s="126" t="s">
        <v>75</v>
      </c>
      <c r="E555" s="126" t="s">
        <v>2827</v>
      </c>
      <c r="F555" s="126" t="s">
        <v>1886</v>
      </c>
      <c r="G555" s="126" t="s">
        <v>21</v>
      </c>
      <c r="H555" s="127">
        <v>30923.95</v>
      </c>
      <c r="I555" s="126" t="s">
        <v>2646</v>
      </c>
      <c r="J555" s="174">
        <v>46388</v>
      </c>
      <c r="K555" s="126" t="s">
        <v>3073</v>
      </c>
      <c r="L555" s="126" t="s">
        <v>2667</v>
      </c>
      <c r="M555" s="128" t="b">
        <v>0</v>
      </c>
      <c r="N555" s="122"/>
    </row>
    <row r="556" spans="1:14" ht="15.75">
      <c r="A556" s="121"/>
      <c r="B556" s="121"/>
      <c r="C556" s="121"/>
      <c r="D556" s="126" t="s">
        <v>75</v>
      </c>
      <c r="E556" s="126" t="s">
        <v>2827</v>
      </c>
      <c r="F556" s="126" t="s">
        <v>1900</v>
      </c>
      <c r="G556" s="126" t="s">
        <v>21</v>
      </c>
      <c r="H556" s="127">
        <v>31340.84</v>
      </c>
      <c r="I556" s="126" t="s">
        <v>2646</v>
      </c>
      <c r="J556" s="174">
        <v>46388</v>
      </c>
      <c r="K556" s="126" t="s">
        <v>3073</v>
      </c>
      <c r="L556" s="126" t="s">
        <v>2667</v>
      </c>
      <c r="M556" s="128" t="b">
        <v>0</v>
      </c>
      <c r="N556" s="122"/>
    </row>
    <row r="557" spans="1:14" ht="15.75">
      <c r="A557" s="121"/>
      <c r="B557" s="121"/>
      <c r="C557" s="121"/>
      <c r="D557" s="126" t="s">
        <v>75</v>
      </c>
      <c r="E557" s="126" t="s">
        <v>2827</v>
      </c>
      <c r="F557" s="126" t="s">
        <v>1843</v>
      </c>
      <c r="G557" s="126" t="s">
        <v>21</v>
      </c>
      <c r="H557" s="127">
        <v>13436.66</v>
      </c>
      <c r="I557" s="126" t="s">
        <v>2646</v>
      </c>
      <c r="J557" s="174">
        <v>46388</v>
      </c>
      <c r="K557" s="126" t="s">
        <v>3073</v>
      </c>
      <c r="L557" s="126" t="s">
        <v>2667</v>
      </c>
      <c r="M557" s="128" t="b">
        <v>0</v>
      </c>
      <c r="N557" s="122"/>
    </row>
    <row r="558" spans="1:14" ht="15.75">
      <c r="A558" s="121"/>
      <c r="B558" s="121"/>
      <c r="C558" s="121"/>
      <c r="D558" s="126" t="s">
        <v>75</v>
      </c>
      <c r="E558" s="126" t="s">
        <v>2827</v>
      </c>
      <c r="F558" s="126" t="s">
        <v>2653</v>
      </c>
      <c r="G558" s="126" t="s">
        <v>20</v>
      </c>
      <c r="H558" s="127">
        <v>14232.07</v>
      </c>
      <c r="I558" s="126" t="s">
        <v>2646</v>
      </c>
      <c r="J558" s="174">
        <v>46388</v>
      </c>
      <c r="K558" s="126" t="s">
        <v>3073</v>
      </c>
      <c r="L558" s="126" t="s">
        <v>2667</v>
      </c>
      <c r="M558" s="128" t="b">
        <v>0</v>
      </c>
      <c r="N558" s="122"/>
    </row>
    <row r="559" spans="1:14" ht="15.75">
      <c r="A559" s="121"/>
      <c r="B559" s="121"/>
      <c r="C559" s="121"/>
      <c r="D559" s="126" t="s">
        <v>56</v>
      </c>
      <c r="E559" s="126" t="s">
        <v>2678</v>
      </c>
      <c r="F559" s="126" t="s">
        <v>1889</v>
      </c>
      <c r="G559" s="126" t="s">
        <v>21</v>
      </c>
      <c r="H559" s="127">
        <v>70384.23</v>
      </c>
      <c r="I559" s="126" t="s">
        <v>2646</v>
      </c>
      <c r="J559" s="174">
        <v>46388</v>
      </c>
      <c r="K559" s="126" t="s">
        <v>3073</v>
      </c>
      <c r="L559" s="126" t="s">
        <v>2667</v>
      </c>
      <c r="M559" s="128" t="b">
        <v>0</v>
      </c>
      <c r="N559" s="122"/>
    </row>
    <row r="560" spans="1:14" ht="15.75">
      <c r="A560" s="121"/>
      <c r="B560" s="121"/>
      <c r="C560" s="121"/>
      <c r="D560" s="126" t="s">
        <v>71</v>
      </c>
      <c r="E560" s="126" t="s">
        <v>2721</v>
      </c>
      <c r="F560" s="126" t="s">
        <v>1918</v>
      </c>
      <c r="G560" s="126" t="s">
        <v>25</v>
      </c>
      <c r="H560" s="127">
        <v>32070</v>
      </c>
      <c r="I560" s="126" t="s">
        <v>2646</v>
      </c>
      <c r="J560" s="174">
        <v>46388</v>
      </c>
      <c r="K560" s="126" t="s">
        <v>3073</v>
      </c>
      <c r="L560" s="126" t="s">
        <v>2671</v>
      </c>
      <c r="M560" s="128" t="b">
        <v>0</v>
      </c>
      <c r="N560" s="122"/>
    </row>
    <row r="561" spans="1:14" ht="15.75">
      <c r="A561" s="121"/>
      <c r="B561" s="121"/>
      <c r="C561" s="121"/>
      <c r="D561" s="126" t="s">
        <v>71</v>
      </c>
      <c r="E561" s="126" t="s">
        <v>2721</v>
      </c>
      <c r="F561" s="126" t="s">
        <v>1900</v>
      </c>
      <c r="G561" s="126" t="s">
        <v>21</v>
      </c>
      <c r="H561" s="127">
        <v>29000</v>
      </c>
      <c r="I561" s="126" t="s">
        <v>2646</v>
      </c>
      <c r="J561" s="174">
        <v>46388</v>
      </c>
      <c r="K561" s="126" t="s">
        <v>3073</v>
      </c>
      <c r="L561" s="126" t="s">
        <v>2671</v>
      </c>
      <c r="M561" s="128" t="b">
        <v>0</v>
      </c>
      <c r="N561" s="122"/>
    </row>
    <row r="562" spans="1:14" ht="15.75">
      <c r="A562" s="121"/>
      <c r="B562" s="121"/>
      <c r="C562" s="121"/>
      <c r="D562" s="126" t="s">
        <v>71</v>
      </c>
      <c r="E562" s="126" t="s">
        <v>2721</v>
      </c>
      <c r="F562" s="126" t="s">
        <v>1889</v>
      </c>
      <c r="G562" s="126" t="s">
        <v>21</v>
      </c>
      <c r="H562" s="127">
        <v>49000</v>
      </c>
      <c r="I562" s="126" t="s">
        <v>2646</v>
      </c>
      <c r="J562" s="174">
        <v>46388</v>
      </c>
      <c r="K562" s="126" t="s">
        <v>3073</v>
      </c>
      <c r="L562" s="126" t="s">
        <v>2671</v>
      </c>
      <c r="M562" s="128" t="b">
        <v>0</v>
      </c>
      <c r="N562" s="122"/>
    </row>
    <row r="563" spans="1:14" ht="15.75">
      <c r="A563" s="121"/>
      <c r="B563" s="121"/>
      <c r="C563" s="121"/>
      <c r="D563" s="126" t="s">
        <v>71</v>
      </c>
      <c r="E563" s="126" t="s">
        <v>2721</v>
      </c>
      <c r="F563" s="126" t="s">
        <v>2074</v>
      </c>
      <c r="G563" s="126" t="s">
        <v>23</v>
      </c>
      <c r="H563" s="127">
        <v>30000</v>
      </c>
      <c r="I563" s="126" t="s">
        <v>2646</v>
      </c>
      <c r="J563" s="174">
        <v>46388</v>
      </c>
      <c r="K563" s="126" t="s">
        <v>3073</v>
      </c>
      <c r="L563" s="126" t="s">
        <v>2671</v>
      </c>
      <c r="M563" s="128" t="b">
        <v>0</v>
      </c>
      <c r="N563" s="122"/>
    </row>
    <row r="564" spans="1:14" ht="15.75">
      <c r="A564" s="121"/>
      <c r="B564" s="121"/>
      <c r="C564" s="121"/>
      <c r="D564" s="126" t="s">
        <v>71</v>
      </c>
      <c r="E564" s="126" t="s">
        <v>2721</v>
      </c>
      <c r="F564" s="126" t="s">
        <v>2112</v>
      </c>
      <c r="G564" s="126" t="s">
        <v>1931</v>
      </c>
      <c r="H564" s="127">
        <v>14000</v>
      </c>
      <c r="I564" s="126" t="s">
        <v>2646</v>
      </c>
      <c r="J564" s="174">
        <v>46388</v>
      </c>
      <c r="K564" s="126" t="s">
        <v>3073</v>
      </c>
      <c r="L564" s="126" t="s">
        <v>2671</v>
      </c>
      <c r="M564" s="128" t="b">
        <v>0</v>
      </c>
      <c r="N564" s="122"/>
    </row>
    <row r="565" spans="1:14" ht="15.75">
      <c r="A565" s="121"/>
      <c r="B565" s="121"/>
      <c r="C565" s="121"/>
      <c r="D565" s="126" t="s">
        <v>71</v>
      </c>
      <c r="E565" s="126" t="s">
        <v>2721</v>
      </c>
      <c r="F565" s="126" t="s">
        <v>2622</v>
      </c>
      <c r="G565" s="126" t="s">
        <v>29</v>
      </c>
      <c r="H565" s="127">
        <v>25000</v>
      </c>
      <c r="I565" s="126" t="s">
        <v>2646</v>
      </c>
      <c r="J565" s="174">
        <v>46388</v>
      </c>
      <c r="K565" s="126" t="s">
        <v>3073</v>
      </c>
      <c r="L565" s="126" t="s">
        <v>2671</v>
      </c>
      <c r="M565" s="128" t="b">
        <v>0</v>
      </c>
      <c r="N565" s="122"/>
    </row>
    <row r="566" spans="1:14" ht="15.75">
      <c r="A566" s="121"/>
      <c r="B566" s="121"/>
      <c r="C566" s="121"/>
      <c r="D566" s="126" t="s">
        <v>71</v>
      </c>
      <c r="E566" s="126" t="s">
        <v>2721</v>
      </c>
      <c r="F566" s="126" t="s">
        <v>2653</v>
      </c>
      <c r="G566" s="126" t="s">
        <v>20</v>
      </c>
      <c r="H566" s="127">
        <v>15000</v>
      </c>
      <c r="I566" s="126" t="s">
        <v>2646</v>
      </c>
      <c r="J566" s="174">
        <v>46388</v>
      </c>
      <c r="K566" s="126" t="s">
        <v>3073</v>
      </c>
      <c r="L566" s="126" t="s">
        <v>2671</v>
      </c>
      <c r="M566" s="128" t="b">
        <v>0</v>
      </c>
      <c r="N566" s="122"/>
    </row>
    <row r="567" spans="1:14" ht="15.75">
      <c r="A567" s="121"/>
      <c r="B567" s="121"/>
      <c r="C567" s="121"/>
      <c r="D567" s="126" t="s">
        <v>1977</v>
      </c>
      <c r="E567" s="126" t="s">
        <v>2807</v>
      </c>
      <c r="F567" s="126" t="s">
        <v>2055</v>
      </c>
      <c r="G567" s="126" t="s">
        <v>27</v>
      </c>
      <c r="H567" s="127">
        <v>12761</v>
      </c>
      <c r="I567" s="126" t="s">
        <v>2646</v>
      </c>
      <c r="J567" s="174">
        <v>46388</v>
      </c>
      <c r="K567" s="126" t="s">
        <v>3073</v>
      </c>
      <c r="L567" s="126" t="s">
        <v>2643</v>
      </c>
      <c r="M567" s="128" t="b">
        <v>0</v>
      </c>
      <c r="N567" s="122"/>
    </row>
    <row r="568" spans="1:14" ht="15.75">
      <c r="A568" s="121"/>
      <c r="B568" s="121"/>
      <c r="C568" s="121"/>
      <c r="D568" s="126" t="s">
        <v>1977</v>
      </c>
      <c r="E568" s="126" t="s">
        <v>2807</v>
      </c>
      <c r="F568" s="126" t="s">
        <v>2653</v>
      </c>
      <c r="G568" s="126" t="s">
        <v>20</v>
      </c>
      <c r="H568" s="127">
        <v>5000</v>
      </c>
      <c r="I568" s="126" t="s">
        <v>2646</v>
      </c>
      <c r="J568" s="174">
        <v>46388</v>
      </c>
      <c r="K568" s="126" t="s">
        <v>3073</v>
      </c>
      <c r="L568" s="126" t="s">
        <v>2643</v>
      </c>
      <c r="M568" s="128" t="b">
        <v>0</v>
      </c>
      <c r="N568" s="122"/>
    </row>
    <row r="569" spans="1:14" ht="15.75">
      <c r="A569" s="121"/>
      <c r="B569" s="121"/>
      <c r="C569" s="121"/>
      <c r="D569" s="126" t="s">
        <v>1983</v>
      </c>
      <c r="E569" s="126" t="s">
        <v>2738</v>
      </c>
      <c r="F569" s="126" t="s">
        <v>1817</v>
      </c>
      <c r="G569" s="126" t="s">
        <v>35</v>
      </c>
      <c r="H569" s="127">
        <v>21000</v>
      </c>
      <c r="I569" s="126" t="s">
        <v>2646</v>
      </c>
      <c r="J569" s="126" t="s">
        <v>3074</v>
      </c>
      <c r="K569" s="126" t="s">
        <v>3075</v>
      </c>
      <c r="L569" s="126" t="s">
        <v>2643</v>
      </c>
      <c r="M569" s="128" t="b">
        <v>0</v>
      </c>
      <c r="N569" s="122"/>
    </row>
    <row r="570" spans="1:14" ht="15.75">
      <c r="A570" s="121"/>
      <c r="B570" s="121"/>
      <c r="C570" s="121"/>
      <c r="D570" s="126" t="s">
        <v>1983</v>
      </c>
      <c r="E570" s="126" t="s">
        <v>2738</v>
      </c>
      <c r="F570" s="126" t="s">
        <v>2653</v>
      </c>
      <c r="G570" s="126" t="s">
        <v>20</v>
      </c>
      <c r="H570" s="127">
        <v>5208</v>
      </c>
      <c r="I570" s="126" t="s">
        <v>2646</v>
      </c>
      <c r="J570" s="126" t="s">
        <v>3074</v>
      </c>
      <c r="K570" s="126" t="s">
        <v>3075</v>
      </c>
      <c r="L570" s="126" t="s">
        <v>2643</v>
      </c>
      <c r="M570" s="128" t="b">
        <v>0</v>
      </c>
      <c r="N570" s="122"/>
    </row>
    <row r="571" spans="1:14" ht="15.75">
      <c r="A571" s="121"/>
      <c r="B571" s="121"/>
      <c r="C571" s="121"/>
      <c r="D571" s="126" t="s">
        <v>1992</v>
      </c>
      <c r="E571" s="126" t="s">
        <v>2822</v>
      </c>
      <c r="F571" s="126" t="s">
        <v>2653</v>
      </c>
      <c r="G571" s="126" t="s">
        <v>20</v>
      </c>
      <c r="H571" s="127">
        <v>5162</v>
      </c>
      <c r="I571" s="126" t="s">
        <v>2646</v>
      </c>
      <c r="J571" s="126" t="s">
        <v>3076</v>
      </c>
      <c r="K571" s="126" t="s">
        <v>3077</v>
      </c>
      <c r="L571" s="126" t="s">
        <v>2656</v>
      </c>
      <c r="M571" s="128" t="b">
        <v>0</v>
      </c>
      <c r="N571" s="122"/>
    </row>
    <row r="572" spans="1:14" ht="15.75">
      <c r="A572" s="121"/>
      <c r="B572" s="121"/>
      <c r="C572" s="121"/>
      <c r="D572" s="126" t="s">
        <v>1994</v>
      </c>
      <c r="E572" s="126" t="s">
        <v>2865</v>
      </c>
      <c r="F572" s="126" t="s">
        <v>2653</v>
      </c>
      <c r="G572" s="126" t="s">
        <v>20</v>
      </c>
      <c r="H572" s="127">
        <v>4465</v>
      </c>
      <c r="I572" s="126" t="s">
        <v>2646</v>
      </c>
      <c r="J572" s="174">
        <v>46390</v>
      </c>
      <c r="K572" s="126" t="s">
        <v>3078</v>
      </c>
      <c r="L572" s="126" t="s">
        <v>2656</v>
      </c>
      <c r="M572" s="128" t="b">
        <v>0</v>
      </c>
      <c r="N572" s="122"/>
    </row>
    <row r="573" spans="1:14" ht="15.75">
      <c r="A573" s="121"/>
      <c r="B573" s="121"/>
      <c r="C573" s="121"/>
      <c r="D573" s="126" t="s">
        <v>361</v>
      </c>
      <c r="E573" s="126" t="s">
        <v>2755</v>
      </c>
      <c r="F573" s="126" t="s">
        <v>2624</v>
      </c>
      <c r="G573" s="126" t="s">
        <v>27</v>
      </c>
      <c r="H573" s="129">
        <v>49280</v>
      </c>
      <c r="I573" s="126" t="s">
        <v>2655</v>
      </c>
      <c r="J573" s="174">
        <v>46176</v>
      </c>
      <c r="K573" s="174">
        <v>46876</v>
      </c>
      <c r="L573" s="126" t="s">
        <v>2647</v>
      </c>
      <c r="M573" s="128" t="b">
        <v>0</v>
      </c>
      <c r="N573" s="122"/>
    </row>
    <row r="574" spans="1:14" ht="15.75">
      <c r="A574" s="121"/>
      <c r="B574" s="121"/>
      <c r="C574" s="121"/>
      <c r="D574" s="126" t="s">
        <v>118</v>
      </c>
      <c r="E574" s="126" t="s">
        <v>2937</v>
      </c>
      <c r="F574" s="126" t="s">
        <v>2617</v>
      </c>
      <c r="G574" s="126" t="s">
        <v>23</v>
      </c>
      <c r="H574" s="127">
        <v>12000</v>
      </c>
      <c r="I574" s="126" t="s">
        <v>2646</v>
      </c>
      <c r="J574" s="126" t="s">
        <v>3079</v>
      </c>
      <c r="K574" s="126" t="s">
        <v>3080</v>
      </c>
      <c r="L574" s="126" t="s">
        <v>2773</v>
      </c>
      <c r="M574" s="128" t="b">
        <v>0</v>
      </c>
      <c r="N574" s="122"/>
    </row>
    <row r="575" spans="1:14" ht="15.75">
      <c r="A575" s="121"/>
      <c r="B575" s="121"/>
      <c r="C575" s="121"/>
      <c r="D575" s="126" t="s">
        <v>2021</v>
      </c>
      <c r="E575" s="126" t="s">
        <v>2751</v>
      </c>
      <c r="F575" s="126" t="s">
        <v>2645</v>
      </c>
      <c r="G575" s="126" t="s">
        <v>1902</v>
      </c>
      <c r="H575" s="129">
        <v>20293</v>
      </c>
      <c r="I575" s="126" t="s">
        <v>2655</v>
      </c>
      <c r="J575" s="126" t="s">
        <v>3081</v>
      </c>
      <c r="K575" s="126" t="s">
        <v>3082</v>
      </c>
      <c r="L575" s="126" t="s">
        <v>2647</v>
      </c>
      <c r="M575" s="128" t="b">
        <v>0</v>
      </c>
      <c r="N575" s="122"/>
    </row>
    <row r="576" spans="1:14" ht="15.75">
      <c r="A576" s="121"/>
      <c r="B576" s="121"/>
      <c r="C576" s="121"/>
      <c r="D576" s="126" t="s">
        <v>2021</v>
      </c>
      <c r="E576" s="126" t="s">
        <v>2751</v>
      </c>
      <c r="F576" s="126" t="s">
        <v>1898</v>
      </c>
      <c r="G576" s="126" t="s">
        <v>29</v>
      </c>
      <c r="H576" s="129">
        <v>22322</v>
      </c>
      <c r="I576" s="126" t="s">
        <v>2655</v>
      </c>
      <c r="J576" s="126" t="s">
        <v>3081</v>
      </c>
      <c r="K576" s="126" t="s">
        <v>3082</v>
      </c>
      <c r="L576" s="126" t="s">
        <v>2647</v>
      </c>
      <c r="M576" s="128" t="b">
        <v>0</v>
      </c>
      <c r="N576" s="122"/>
    </row>
    <row r="577" spans="1:14" ht="15.75">
      <c r="A577" s="121"/>
      <c r="B577" s="121"/>
      <c r="C577" s="121"/>
      <c r="D577" s="126" t="s">
        <v>1998</v>
      </c>
      <c r="E577" s="126" t="s">
        <v>2912</v>
      </c>
      <c r="F577" s="126" t="s">
        <v>2055</v>
      </c>
      <c r="G577" s="126" t="s">
        <v>27</v>
      </c>
      <c r="H577" s="127">
        <v>18531</v>
      </c>
      <c r="I577" s="126" t="s">
        <v>2646</v>
      </c>
      <c r="J577" s="126" t="s">
        <v>3083</v>
      </c>
      <c r="K577" s="126" t="s">
        <v>3084</v>
      </c>
      <c r="L577" s="126" t="s">
        <v>2643</v>
      </c>
      <c r="M577" s="128" t="b">
        <v>0</v>
      </c>
      <c r="N577" s="122"/>
    </row>
    <row r="578" spans="1:14" ht="15.75">
      <c r="A578" s="121"/>
      <c r="B578" s="121"/>
      <c r="C578" s="121"/>
      <c r="D578" s="126" t="s">
        <v>1998</v>
      </c>
      <c r="E578" s="126" t="s">
        <v>2912</v>
      </c>
      <c r="F578" s="126" t="s">
        <v>2074</v>
      </c>
      <c r="G578" s="126" t="s">
        <v>23</v>
      </c>
      <c r="H578" s="127">
        <v>22990</v>
      </c>
      <c r="I578" s="126" t="s">
        <v>2646</v>
      </c>
      <c r="J578" s="126" t="s">
        <v>3083</v>
      </c>
      <c r="K578" s="126" t="s">
        <v>3084</v>
      </c>
      <c r="L578" s="126" t="s">
        <v>2643</v>
      </c>
      <c r="M578" s="128" t="b">
        <v>0</v>
      </c>
      <c r="N578" s="122"/>
    </row>
    <row r="579" spans="1:14" ht="15.75">
      <c r="A579" s="121"/>
      <c r="B579" s="121"/>
      <c r="C579" s="121"/>
      <c r="D579" s="126" t="s">
        <v>1998</v>
      </c>
      <c r="E579" s="126" t="s">
        <v>2912</v>
      </c>
      <c r="F579" s="126" t="s">
        <v>2653</v>
      </c>
      <c r="G579" s="126" t="s">
        <v>20</v>
      </c>
      <c r="H579" s="127">
        <v>10000</v>
      </c>
      <c r="I579" s="126" t="s">
        <v>2646</v>
      </c>
      <c r="J579" s="126" t="s">
        <v>3083</v>
      </c>
      <c r="K579" s="126" t="s">
        <v>3084</v>
      </c>
      <c r="L579" s="126" t="s">
        <v>2643</v>
      </c>
      <c r="M579" s="128" t="b">
        <v>0</v>
      </c>
      <c r="N579" s="122"/>
    </row>
    <row r="580" spans="1:14" ht="15.75">
      <c r="A580" s="121"/>
      <c r="B580" s="121"/>
      <c r="C580" s="121"/>
      <c r="D580" s="126" t="s">
        <v>2004</v>
      </c>
      <c r="E580" s="126" t="s">
        <v>2897</v>
      </c>
      <c r="F580" s="126" t="s">
        <v>2653</v>
      </c>
      <c r="G580" s="126" t="s">
        <v>20</v>
      </c>
      <c r="H580" s="127">
        <v>2282</v>
      </c>
      <c r="I580" s="126" t="s">
        <v>2646</v>
      </c>
      <c r="J580" s="174">
        <v>46391</v>
      </c>
      <c r="K580" s="126" t="s">
        <v>3085</v>
      </c>
      <c r="L580" s="126" t="s">
        <v>2656</v>
      </c>
      <c r="M580" s="128" t="b">
        <v>0</v>
      </c>
      <c r="N580" s="122"/>
    </row>
    <row r="581" spans="1:14" ht="15.75">
      <c r="A581" s="121"/>
      <c r="B581" s="121"/>
      <c r="C581" s="121"/>
      <c r="D581" s="126" t="s">
        <v>425</v>
      </c>
      <c r="E581" s="126" t="s">
        <v>2841</v>
      </c>
      <c r="F581" s="126" t="s">
        <v>2653</v>
      </c>
      <c r="G581" s="126" t="s">
        <v>20</v>
      </c>
      <c r="H581" s="127">
        <v>4222</v>
      </c>
      <c r="I581" s="126" t="s">
        <v>2646</v>
      </c>
      <c r="J581" s="174">
        <v>46391</v>
      </c>
      <c r="K581" s="126" t="s">
        <v>3085</v>
      </c>
      <c r="L581" s="126" t="s">
        <v>2656</v>
      </c>
      <c r="M581" s="128" t="b">
        <v>0</v>
      </c>
      <c r="N581" s="122"/>
    </row>
    <row r="582" spans="1:14" ht="15.75">
      <c r="A582" s="121"/>
      <c r="B582" s="121"/>
      <c r="C582" s="121"/>
      <c r="D582" s="126" t="s">
        <v>167</v>
      </c>
      <c r="E582" s="126" t="s">
        <v>2800</v>
      </c>
      <c r="F582" s="126" t="s">
        <v>1830</v>
      </c>
      <c r="G582" s="126" t="s">
        <v>21</v>
      </c>
      <c r="H582" s="127">
        <v>20995</v>
      </c>
      <c r="I582" s="126" t="s">
        <v>2646</v>
      </c>
      <c r="J582" s="174">
        <v>46391</v>
      </c>
      <c r="K582" s="126" t="s">
        <v>3085</v>
      </c>
      <c r="L582" s="126" t="s">
        <v>2680</v>
      </c>
      <c r="M582" s="128" t="b">
        <v>0</v>
      </c>
      <c r="N582" s="122"/>
    </row>
    <row r="583" spans="1:14" ht="15.75">
      <c r="A583" s="121"/>
      <c r="B583" s="121"/>
      <c r="C583" s="121"/>
      <c r="D583" s="126" t="s">
        <v>1009</v>
      </c>
      <c r="E583" s="126" t="s">
        <v>2782</v>
      </c>
      <c r="F583" s="126" t="s">
        <v>2653</v>
      </c>
      <c r="G583" s="126" t="s">
        <v>20</v>
      </c>
      <c r="H583" s="127">
        <v>1195</v>
      </c>
      <c r="I583" s="126" t="s">
        <v>2646</v>
      </c>
      <c r="J583" s="174">
        <v>46391</v>
      </c>
      <c r="K583" s="126" t="s">
        <v>3085</v>
      </c>
      <c r="L583" s="126" t="s">
        <v>2656</v>
      </c>
      <c r="M583" s="128" t="b">
        <v>0</v>
      </c>
      <c r="N583" s="122"/>
    </row>
    <row r="584" spans="1:14" ht="15.75">
      <c r="A584" s="121"/>
      <c r="B584" s="121"/>
      <c r="C584" s="121"/>
      <c r="D584" s="126" t="s">
        <v>1074</v>
      </c>
      <c r="E584" s="126" t="s">
        <v>2862</v>
      </c>
      <c r="F584" s="126" t="s">
        <v>2653</v>
      </c>
      <c r="G584" s="126" t="s">
        <v>20</v>
      </c>
      <c r="H584" s="127">
        <v>8624.7000000000007</v>
      </c>
      <c r="I584" s="126" t="s">
        <v>2646</v>
      </c>
      <c r="J584" s="174">
        <v>46391</v>
      </c>
      <c r="K584" s="126" t="s">
        <v>3085</v>
      </c>
      <c r="L584" s="126" t="s">
        <v>2656</v>
      </c>
      <c r="M584" s="128" t="b">
        <v>1</v>
      </c>
      <c r="N584" s="122"/>
    </row>
    <row r="585" spans="1:14" ht="15.75">
      <c r="A585" s="121"/>
      <c r="B585" s="121"/>
      <c r="C585" s="121"/>
      <c r="D585" s="126" t="s">
        <v>2009</v>
      </c>
      <c r="E585" s="126" t="s">
        <v>2707</v>
      </c>
      <c r="F585" s="126" t="s">
        <v>2653</v>
      </c>
      <c r="G585" s="126" t="s">
        <v>20</v>
      </c>
      <c r="H585" s="127">
        <v>22000</v>
      </c>
      <c r="I585" s="126" t="s">
        <v>2646</v>
      </c>
      <c r="J585" s="174">
        <v>46391</v>
      </c>
      <c r="K585" s="126" t="s">
        <v>3085</v>
      </c>
      <c r="L585" s="126" t="s">
        <v>2680</v>
      </c>
      <c r="M585" s="128" t="b">
        <v>0</v>
      </c>
      <c r="N585" s="122"/>
    </row>
    <row r="586" spans="1:14" ht="15.75">
      <c r="A586" s="121"/>
      <c r="B586" s="121"/>
      <c r="C586" s="121"/>
      <c r="D586" s="126" t="s">
        <v>2009</v>
      </c>
      <c r="E586" s="126" t="s">
        <v>2707</v>
      </c>
      <c r="F586" s="126" t="s">
        <v>2074</v>
      </c>
      <c r="G586" s="126" t="s">
        <v>23</v>
      </c>
      <c r="H586" s="127">
        <v>22000</v>
      </c>
      <c r="I586" s="126" t="s">
        <v>2646</v>
      </c>
      <c r="J586" s="174">
        <v>46391</v>
      </c>
      <c r="K586" s="126" t="s">
        <v>3085</v>
      </c>
      <c r="L586" s="126" t="s">
        <v>2680</v>
      </c>
      <c r="M586" s="128" t="b">
        <v>0</v>
      </c>
      <c r="N586" s="122"/>
    </row>
    <row r="587" spans="1:14" ht="15.75">
      <c r="A587" s="121"/>
      <c r="B587" s="121"/>
      <c r="C587" s="121"/>
      <c r="D587" s="126" t="s">
        <v>2009</v>
      </c>
      <c r="E587" s="126" t="s">
        <v>2707</v>
      </c>
      <c r="F587" s="126" t="s">
        <v>2618</v>
      </c>
      <c r="G587" s="126" t="s">
        <v>1695</v>
      </c>
      <c r="H587" s="127">
        <v>20000</v>
      </c>
      <c r="I587" s="126" t="s">
        <v>2646</v>
      </c>
      <c r="J587" s="174">
        <v>46391</v>
      </c>
      <c r="K587" s="126" t="s">
        <v>3085</v>
      </c>
      <c r="L587" s="126" t="s">
        <v>2680</v>
      </c>
      <c r="M587" s="128" t="b">
        <v>0</v>
      </c>
      <c r="N587" s="122"/>
    </row>
    <row r="588" spans="1:14" ht="15.75">
      <c r="A588" s="121"/>
      <c r="B588" s="121"/>
      <c r="C588" s="121"/>
      <c r="D588" s="126" t="s">
        <v>2009</v>
      </c>
      <c r="E588" s="126" t="s">
        <v>2707</v>
      </c>
      <c r="F588" s="126" t="s">
        <v>1889</v>
      </c>
      <c r="G588" s="126" t="s">
        <v>21</v>
      </c>
      <c r="H588" s="127">
        <v>20000</v>
      </c>
      <c r="I588" s="126" t="s">
        <v>2646</v>
      </c>
      <c r="J588" s="174">
        <v>46391</v>
      </c>
      <c r="K588" s="126" t="s">
        <v>3085</v>
      </c>
      <c r="L588" s="126" t="s">
        <v>2680</v>
      </c>
      <c r="M588" s="128" t="b">
        <v>0</v>
      </c>
      <c r="N588" s="122"/>
    </row>
    <row r="589" spans="1:14" ht="15.75">
      <c r="A589" s="121"/>
      <c r="B589" s="121"/>
      <c r="C589" s="121"/>
      <c r="D589" s="126" t="s">
        <v>181</v>
      </c>
      <c r="E589" s="126" t="s">
        <v>2902</v>
      </c>
      <c r="F589" s="126" t="s">
        <v>2653</v>
      </c>
      <c r="G589" s="126" t="s">
        <v>20</v>
      </c>
      <c r="H589" s="127">
        <v>4950</v>
      </c>
      <c r="I589" s="126" t="s">
        <v>2646</v>
      </c>
      <c r="J589" s="174">
        <v>46391</v>
      </c>
      <c r="K589" s="126" t="s">
        <v>3085</v>
      </c>
      <c r="L589" s="126" t="s">
        <v>2671</v>
      </c>
      <c r="M589" s="128" t="b">
        <v>0</v>
      </c>
      <c r="N589" s="122"/>
    </row>
    <row r="590" spans="1:14" ht="15.75">
      <c r="A590" s="121"/>
      <c r="B590" s="121"/>
      <c r="C590" s="121"/>
      <c r="D590" s="126" t="s">
        <v>181</v>
      </c>
      <c r="E590" s="126" t="s">
        <v>2902</v>
      </c>
      <c r="F590" s="126" t="s">
        <v>1820</v>
      </c>
      <c r="G590" s="126" t="s">
        <v>25</v>
      </c>
      <c r="H590" s="127">
        <v>8000</v>
      </c>
      <c r="I590" s="126" t="s">
        <v>2646</v>
      </c>
      <c r="J590" s="174">
        <v>46391</v>
      </c>
      <c r="K590" s="126" t="s">
        <v>3085</v>
      </c>
      <c r="L590" s="126" t="s">
        <v>2671</v>
      </c>
      <c r="M590" s="128" t="b">
        <v>0</v>
      </c>
      <c r="N590" s="122"/>
    </row>
    <row r="591" spans="1:14" ht="15.75">
      <c r="A591" s="121"/>
      <c r="B591" s="121"/>
      <c r="C591" s="121"/>
      <c r="D591" s="126" t="s">
        <v>1963</v>
      </c>
      <c r="E591" s="126" t="s">
        <v>2868</v>
      </c>
      <c r="F591" s="126" t="s">
        <v>1838</v>
      </c>
      <c r="G591" s="126" t="s">
        <v>25</v>
      </c>
      <c r="H591" s="127">
        <v>7606</v>
      </c>
      <c r="I591" s="126" t="s">
        <v>2646</v>
      </c>
      <c r="J591" s="174">
        <v>46391</v>
      </c>
      <c r="K591" s="126" t="s">
        <v>3085</v>
      </c>
      <c r="L591" s="126" t="s">
        <v>2680</v>
      </c>
      <c r="M591" s="128" t="b">
        <v>0</v>
      </c>
      <c r="N591" s="122"/>
    </row>
    <row r="592" spans="1:14" ht="15.75">
      <c r="A592" s="121"/>
      <c r="B592" s="121"/>
      <c r="C592" s="121"/>
      <c r="D592" s="126" t="s">
        <v>1963</v>
      </c>
      <c r="E592" s="126" t="s">
        <v>2868</v>
      </c>
      <c r="F592" s="126" t="s">
        <v>1891</v>
      </c>
      <c r="G592" s="126" t="s">
        <v>23</v>
      </c>
      <c r="H592" s="127">
        <v>7804</v>
      </c>
      <c r="I592" s="126" t="s">
        <v>2646</v>
      </c>
      <c r="J592" s="174">
        <v>46391</v>
      </c>
      <c r="K592" s="126" t="s">
        <v>3085</v>
      </c>
      <c r="L592" s="126" t="s">
        <v>2680</v>
      </c>
      <c r="M592" s="128" t="b">
        <v>0</v>
      </c>
      <c r="N592" s="122"/>
    </row>
    <row r="593" spans="1:14" ht="15.75">
      <c r="A593" s="121"/>
      <c r="B593" s="121"/>
      <c r="C593" s="121"/>
      <c r="D593" s="126" t="s">
        <v>1963</v>
      </c>
      <c r="E593" s="126" t="s">
        <v>2868</v>
      </c>
      <c r="F593" s="126" t="s">
        <v>1822</v>
      </c>
      <c r="G593" s="126" t="s">
        <v>23</v>
      </c>
      <c r="H593" s="127">
        <v>7804</v>
      </c>
      <c r="I593" s="126" t="s">
        <v>2646</v>
      </c>
      <c r="J593" s="174">
        <v>46391</v>
      </c>
      <c r="K593" s="126" t="s">
        <v>3085</v>
      </c>
      <c r="L593" s="126" t="s">
        <v>2680</v>
      </c>
      <c r="M593" s="128" t="b">
        <v>0</v>
      </c>
      <c r="N593" s="122"/>
    </row>
    <row r="594" spans="1:14" ht="15.75">
      <c r="A594" s="121"/>
      <c r="B594" s="121"/>
      <c r="C594" s="121"/>
      <c r="D594" s="126" t="s">
        <v>1963</v>
      </c>
      <c r="E594" s="126" t="s">
        <v>2868</v>
      </c>
      <c r="F594" s="126" t="s">
        <v>1916</v>
      </c>
      <c r="G594" s="126" t="s">
        <v>25</v>
      </c>
      <c r="H594" s="127">
        <v>7914</v>
      </c>
      <c r="I594" s="126" t="s">
        <v>2646</v>
      </c>
      <c r="J594" s="174">
        <v>46391</v>
      </c>
      <c r="K594" s="126" t="s">
        <v>3085</v>
      </c>
      <c r="L594" s="126" t="s">
        <v>2680</v>
      </c>
      <c r="M594" s="128" t="b">
        <v>0</v>
      </c>
      <c r="N594" s="122"/>
    </row>
    <row r="595" spans="1:14" ht="15.75">
      <c r="A595" s="121"/>
      <c r="B595" s="121"/>
      <c r="C595" s="121"/>
      <c r="D595" s="126" t="s">
        <v>1963</v>
      </c>
      <c r="E595" s="126" t="s">
        <v>2868</v>
      </c>
      <c r="F595" s="126" t="s">
        <v>1820</v>
      </c>
      <c r="G595" s="126" t="s">
        <v>25</v>
      </c>
      <c r="H595" s="127">
        <v>11280</v>
      </c>
      <c r="I595" s="126" t="s">
        <v>2646</v>
      </c>
      <c r="J595" s="174">
        <v>46391</v>
      </c>
      <c r="K595" s="126" t="s">
        <v>3085</v>
      </c>
      <c r="L595" s="126" t="s">
        <v>2680</v>
      </c>
      <c r="M595" s="128" t="b">
        <v>0</v>
      </c>
      <c r="N595" s="122"/>
    </row>
    <row r="596" spans="1:14" ht="15.75">
      <c r="A596" s="121"/>
      <c r="B596" s="121"/>
      <c r="C596" s="121"/>
      <c r="D596" s="126" t="s">
        <v>1963</v>
      </c>
      <c r="E596" s="126" t="s">
        <v>2868</v>
      </c>
      <c r="F596" s="126" t="s">
        <v>1906</v>
      </c>
      <c r="G596" s="126" t="s">
        <v>21</v>
      </c>
      <c r="H596" s="127">
        <v>12997</v>
      </c>
      <c r="I596" s="126" t="s">
        <v>2646</v>
      </c>
      <c r="J596" s="174">
        <v>46391</v>
      </c>
      <c r="K596" s="126" t="s">
        <v>3085</v>
      </c>
      <c r="L596" s="126" t="s">
        <v>2680</v>
      </c>
      <c r="M596" s="128" t="b">
        <v>0</v>
      </c>
      <c r="N596" s="122"/>
    </row>
    <row r="597" spans="1:14" ht="15.75">
      <c r="A597" s="121"/>
      <c r="B597" s="121"/>
      <c r="C597" s="121"/>
      <c r="D597" s="126" t="s">
        <v>1963</v>
      </c>
      <c r="E597" s="126" t="s">
        <v>2868</v>
      </c>
      <c r="F597" s="126" t="s">
        <v>1843</v>
      </c>
      <c r="G597" s="126" t="s">
        <v>21</v>
      </c>
      <c r="H597" s="127">
        <v>11429</v>
      </c>
      <c r="I597" s="126" t="s">
        <v>2646</v>
      </c>
      <c r="J597" s="174">
        <v>46391</v>
      </c>
      <c r="K597" s="126" t="s">
        <v>3085</v>
      </c>
      <c r="L597" s="126" t="s">
        <v>2680</v>
      </c>
      <c r="M597" s="128" t="b">
        <v>0</v>
      </c>
      <c r="N597" s="122"/>
    </row>
    <row r="598" spans="1:14" ht="15.75">
      <c r="A598" s="121"/>
      <c r="B598" s="121"/>
      <c r="C598" s="121"/>
      <c r="D598" s="126" t="s">
        <v>1963</v>
      </c>
      <c r="E598" s="126" t="s">
        <v>2868</v>
      </c>
      <c r="F598" s="126" t="s">
        <v>2653</v>
      </c>
      <c r="G598" s="126" t="s">
        <v>20</v>
      </c>
      <c r="H598" s="127">
        <v>18933</v>
      </c>
      <c r="I598" s="126" t="s">
        <v>2646</v>
      </c>
      <c r="J598" s="174">
        <v>46391</v>
      </c>
      <c r="K598" s="126" t="s">
        <v>3085</v>
      </c>
      <c r="L598" s="126" t="s">
        <v>2680</v>
      </c>
      <c r="M598" s="128" t="b">
        <v>0</v>
      </c>
      <c r="N598" s="122"/>
    </row>
    <row r="599" spans="1:14" ht="15.75">
      <c r="A599" s="121"/>
      <c r="B599" s="121"/>
      <c r="C599" s="121"/>
      <c r="D599" s="126" t="s">
        <v>1963</v>
      </c>
      <c r="E599" s="126" t="s">
        <v>2868</v>
      </c>
      <c r="F599" s="126" t="s">
        <v>1917</v>
      </c>
      <c r="G599" s="126" t="s">
        <v>25</v>
      </c>
      <c r="H599" s="127">
        <v>9991</v>
      </c>
      <c r="I599" s="126" t="s">
        <v>2646</v>
      </c>
      <c r="J599" s="174">
        <v>46391</v>
      </c>
      <c r="K599" s="126" t="s">
        <v>3085</v>
      </c>
      <c r="L599" s="126" t="s">
        <v>2680</v>
      </c>
      <c r="M599" s="128" t="b">
        <v>0</v>
      </c>
      <c r="N599" s="122"/>
    </row>
    <row r="600" spans="1:14" ht="15.75">
      <c r="A600" s="121"/>
      <c r="B600" s="121"/>
      <c r="C600" s="121"/>
      <c r="D600" s="126" t="s">
        <v>1963</v>
      </c>
      <c r="E600" s="126" t="s">
        <v>2868</v>
      </c>
      <c r="F600" s="126" t="s">
        <v>1826</v>
      </c>
      <c r="G600" s="126" t="s">
        <v>25</v>
      </c>
      <c r="H600" s="127">
        <v>8894</v>
      </c>
      <c r="I600" s="126" t="s">
        <v>2646</v>
      </c>
      <c r="J600" s="174">
        <v>46391</v>
      </c>
      <c r="K600" s="126" t="s">
        <v>3085</v>
      </c>
      <c r="L600" s="126" t="s">
        <v>2680</v>
      </c>
      <c r="M600" s="128" t="b">
        <v>0</v>
      </c>
      <c r="N600" s="122"/>
    </row>
    <row r="601" spans="1:14" ht="15.75">
      <c r="A601" s="121"/>
      <c r="B601" s="121"/>
      <c r="C601" s="121"/>
      <c r="D601" s="126" t="s">
        <v>1963</v>
      </c>
      <c r="E601" s="126" t="s">
        <v>2868</v>
      </c>
      <c r="F601" s="126" t="s">
        <v>2626</v>
      </c>
      <c r="G601" s="126" t="s">
        <v>23</v>
      </c>
      <c r="H601" s="127">
        <v>5375</v>
      </c>
      <c r="I601" s="126" t="s">
        <v>2646</v>
      </c>
      <c r="J601" s="174">
        <v>46391</v>
      </c>
      <c r="K601" s="126" t="s">
        <v>3085</v>
      </c>
      <c r="L601" s="126" t="s">
        <v>2680</v>
      </c>
      <c r="M601" s="128" t="b">
        <v>0</v>
      </c>
      <c r="N601" s="122"/>
    </row>
    <row r="602" spans="1:14" ht="15.75">
      <c r="A602" s="121"/>
      <c r="B602" s="121"/>
      <c r="C602" s="121"/>
      <c r="D602" s="126" t="s">
        <v>1963</v>
      </c>
      <c r="E602" s="126" t="s">
        <v>2868</v>
      </c>
      <c r="F602" s="126" t="s">
        <v>2617</v>
      </c>
      <c r="G602" s="126" t="s">
        <v>23</v>
      </c>
      <c r="H602" s="127">
        <v>16125</v>
      </c>
      <c r="I602" s="126" t="s">
        <v>2646</v>
      </c>
      <c r="J602" s="174">
        <v>46391</v>
      </c>
      <c r="K602" s="126" t="s">
        <v>3085</v>
      </c>
      <c r="L602" s="126" t="s">
        <v>2680</v>
      </c>
      <c r="M602" s="128" t="b">
        <v>0</v>
      </c>
      <c r="N602" s="122"/>
    </row>
    <row r="603" spans="1:14" ht="15.75">
      <c r="A603" s="121"/>
      <c r="B603" s="121"/>
      <c r="C603" s="121"/>
      <c r="D603" s="126" t="s">
        <v>1963</v>
      </c>
      <c r="E603" s="126" t="s">
        <v>2868</v>
      </c>
      <c r="F603" s="126" t="s">
        <v>1808</v>
      </c>
      <c r="G603" s="126" t="s">
        <v>25</v>
      </c>
      <c r="H603" s="127">
        <v>7740</v>
      </c>
      <c r="I603" s="126" t="s">
        <v>2646</v>
      </c>
      <c r="J603" s="174">
        <v>46391</v>
      </c>
      <c r="K603" s="126" t="s">
        <v>3085</v>
      </c>
      <c r="L603" s="126" t="s">
        <v>2680</v>
      </c>
      <c r="M603" s="128" t="b">
        <v>0</v>
      </c>
      <c r="N603" s="122"/>
    </row>
    <row r="604" spans="1:14" ht="15.75">
      <c r="A604" s="121"/>
      <c r="B604" s="121"/>
      <c r="C604" s="121"/>
      <c r="D604" s="126" t="s">
        <v>1963</v>
      </c>
      <c r="E604" s="126" t="s">
        <v>2868</v>
      </c>
      <c r="F604" s="126" t="s">
        <v>1845</v>
      </c>
      <c r="G604" s="126" t="s">
        <v>31</v>
      </c>
      <c r="H604" s="127">
        <v>12540</v>
      </c>
      <c r="I604" s="126" t="s">
        <v>2646</v>
      </c>
      <c r="J604" s="174">
        <v>46391</v>
      </c>
      <c r="K604" s="126" t="s">
        <v>3085</v>
      </c>
      <c r="L604" s="126" t="s">
        <v>2680</v>
      </c>
      <c r="M604" s="128" t="b">
        <v>0</v>
      </c>
      <c r="N604" s="122"/>
    </row>
    <row r="605" spans="1:14" ht="15.75">
      <c r="A605" s="121"/>
      <c r="B605" s="121"/>
      <c r="C605" s="121"/>
      <c r="D605" s="126" t="s">
        <v>1963</v>
      </c>
      <c r="E605" s="126" t="s">
        <v>2868</v>
      </c>
      <c r="F605" s="126" t="s">
        <v>1907</v>
      </c>
      <c r="G605" s="126" t="s">
        <v>21</v>
      </c>
      <c r="H605" s="127">
        <v>14388</v>
      </c>
      <c r="I605" s="126" t="s">
        <v>2646</v>
      </c>
      <c r="J605" s="174">
        <v>46391</v>
      </c>
      <c r="K605" s="126" t="s">
        <v>3085</v>
      </c>
      <c r="L605" s="126" t="s">
        <v>2680</v>
      </c>
      <c r="M605" s="128" t="b">
        <v>0</v>
      </c>
      <c r="N605" s="122"/>
    </row>
    <row r="606" spans="1:14" ht="15.75">
      <c r="A606" s="121"/>
      <c r="B606" s="121"/>
      <c r="C606" s="121"/>
      <c r="D606" s="126" t="s">
        <v>2001</v>
      </c>
      <c r="E606" s="126" t="s">
        <v>2814</v>
      </c>
      <c r="F606" s="126" t="s">
        <v>2217</v>
      </c>
      <c r="G606" s="126" t="s">
        <v>21</v>
      </c>
      <c r="H606" s="127">
        <v>13606</v>
      </c>
      <c r="I606" s="126" t="s">
        <v>2646</v>
      </c>
      <c r="J606" s="174">
        <v>46391</v>
      </c>
      <c r="K606" s="126" t="s">
        <v>3085</v>
      </c>
      <c r="L606" s="126" t="s">
        <v>2643</v>
      </c>
      <c r="M606" s="128" t="b">
        <v>0</v>
      </c>
      <c r="N606" s="122"/>
    </row>
    <row r="607" spans="1:14" ht="15.75">
      <c r="A607" s="121"/>
      <c r="B607" s="121"/>
      <c r="C607" s="121"/>
      <c r="D607" s="126" t="s">
        <v>2001</v>
      </c>
      <c r="E607" s="126" t="s">
        <v>2814</v>
      </c>
      <c r="F607" s="126" t="s">
        <v>2653</v>
      </c>
      <c r="G607" s="126" t="s">
        <v>20</v>
      </c>
      <c r="H607" s="127">
        <v>14956</v>
      </c>
      <c r="I607" s="126" t="s">
        <v>2646</v>
      </c>
      <c r="J607" s="174">
        <v>46391</v>
      </c>
      <c r="K607" s="126" t="s">
        <v>3085</v>
      </c>
      <c r="L607" s="126" t="s">
        <v>2643</v>
      </c>
      <c r="M607" s="128" t="b">
        <v>0</v>
      </c>
      <c r="N607" s="122"/>
    </row>
    <row r="608" spans="1:14" ht="15.75">
      <c r="A608" s="121"/>
      <c r="B608" s="121"/>
      <c r="C608" s="121"/>
      <c r="D608" s="126" t="s">
        <v>2001</v>
      </c>
      <c r="E608" s="126" t="s">
        <v>2814</v>
      </c>
      <c r="F608" s="126" t="s">
        <v>1823</v>
      </c>
      <c r="G608" s="126" t="s">
        <v>21</v>
      </c>
      <c r="H608" s="127">
        <v>18198</v>
      </c>
      <c r="I608" s="126" t="s">
        <v>2646</v>
      </c>
      <c r="J608" s="174">
        <v>46391</v>
      </c>
      <c r="K608" s="126" t="s">
        <v>3085</v>
      </c>
      <c r="L608" s="126" t="s">
        <v>2643</v>
      </c>
      <c r="M608" s="128" t="b">
        <v>0</v>
      </c>
      <c r="N608" s="122"/>
    </row>
    <row r="609" spans="1:14" ht="15.75">
      <c r="A609" s="121"/>
      <c r="B609" s="121"/>
      <c r="C609" s="121"/>
      <c r="D609" s="126" t="s">
        <v>2001</v>
      </c>
      <c r="E609" s="126" t="s">
        <v>2814</v>
      </c>
      <c r="F609" s="126" t="s">
        <v>2112</v>
      </c>
      <c r="G609" s="126" t="s">
        <v>1931</v>
      </c>
      <c r="H609" s="127">
        <v>15815</v>
      </c>
      <c r="I609" s="126" t="s">
        <v>2646</v>
      </c>
      <c r="J609" s="174">
        <v>46391</v>
      </c>
      <c r="K609" s="126" t="s">
        <v>3085</v>
      </c>
      <c r="L609" s="126" t="s">
        <v>2643</v>
      </c>
      <c r="M609" s="128" t="b">
        <v>0</v>
      </c>
      <c r="N609" s="122"/>
    </row>
    <row r="610" spans="1:14" ht="15.75">
      <c r="A610" s="121"/>
      <c r="B610" s="121"/>
      <c r="C610" s="121"/>
      <c r="D610" s="126" t="s">
        <v>2003</v>
      </c>
      <c r="E610" s="126" t="s">
        <v>2749</v>
      </c>
      <c r="F610" s="126" t="s">
        <v>2653</v>
      </c>
      <c r="G610" s="126" t="s">
        <v>20</v>
      </c>
      <c r="H610" s="127">
        <v>14326</v>
      </c>
      <c r="I610" s="126" t="s">
        <v>2646</v>
      </c>
      <c r="J610" s="174">
        <v>46391</v>
      </c>
      <c r="K610" s="126" t="s">
        <v>3085</v>
      </c>
      <c r="L610" s="126" t="s">
        <v>2656</v>
      </c>
      <c r="M610" s="128" t="b">
        <v>0</v>
      </c>
      <c r="N610" s="122"/>
    </row>
    <row r="611" spans="1:14" ht="15.75">
      <c r="A611" s="121"/>
      <c r="B611" s="121"/>
      <c r="C611" s="121"/>
      <c r="D611" s="126" t="s">
        <v>2003</v>
      </c>
      <c r="E611" s="126" t="s">
        <v>2749</v>
      </c>
      <c r="F611" s="126" t="s">
        <v>33</v>
      </c>
      <c r="G611" s="126" t="s">
        <v>20</v>
      </c>
      <c r="H611" s="127">
        <v>4326</v>
      </c>
      <c r="I611" s="126" t="s">
        <v>2646</v>
      </c>
      <c r="J611" s="174">
        <v>46391</v>
      </c>
      <c r="K611" s="126" t="s">
        <v>3085</v>
      </c>
      <c r="L611" s="126" t="s">
        <v>2656</v>
      </c>
      <c r="M611" s="128" t="b">
        <v>0</v>
      </c>
      <c r="N611" s="122"/>
    </row>
    <row r="612" spans="1:14" ht="15.75">
      <c r="A612" s="121"/>
      <c r="B612" s="121"/>
      <c r="C612" s="121"/>
      <c r="D612" s="126" t="s">
        <v>2013</v>
      </c>
      <c r="E612" s="126" t="s">
        <v>2733</v>
      </c>
      <c r="F612" s="126" t="s">
        <v>2653</v>
      </c>
      <c r="G612" s="126" t="s">
        <v>20</v>
      </c>
      <c r="H612" s="127">
        <v>1902</v>
      </c>
      <c r="I612" s="126" t="s">
        <v>2646</v>
      </c>
      <c r="J612" s="126" t="s">
        <v>3055</v>
      </c>
      <c r="K612" s="126" t="s">
        <v>3086</v>
      </c>
      <c r="L612" s="126" t="s">
        <v>2656</v>
      </c>
      <c r="M612" s="128" t="b">
        <v>0</v>
      </c>
      <c r="N612" s="122"/>
    </row>
    <row r="613" spans="1:14" ht="15.75">
      <c r="A613" s="121"/>
      <c r="B613" s="121"/>
      <c r="C613" s="121"/>
      <c r="D613" s="126" t="s">
        <v>1081</v>
      </c>
      <c r="E613" s="126" t="s">
        <v>2895</v>
      </c>
      <c r="F613" s="126" t="s">
        <v>2625</v>
      </c>
      <c r="G613" s="126" t="s">
        <v>27</v>
      </c>
      <c r="H613" s="127">
        <v>14717</v>
      </c>
      <c r="I613" s="126" t="s">
        <v>2646</v>
      </c>
      <c r="J613" s="126" t="s">
        <v>3064</v>
      </c>
      <c r="K613" s="126" t="s">
        <v>3087</v>
      </c>
      <c r="L613" s="126" t="s">
        <v>2656</v>
      </c>
      <c r="M613" s="128" t="b">
        <v>0</v>
      </c>
      <c r="N613" s="122"/>
    </row>
    <row r="614" spans="1:14" ht="15.75">
      <c r="A614" s="121"/>
      <c r="B614" s="121"/>
      <c r="C614" s="121"/>
      <c r="D614" s="126" t="s">
        <v>1081</v>
      </c>
      <c r="E614" s="126" t="s">
        <v>2895</v>
      </c>
      <c r="F614" s="126" t="s">
        <v>2653</v>
      </c>
      <c r="G614" s="126" t="s">
        <v>20</v>
      </c>
      <c r="H614" s="127">
        <v>5431</v>
      </c>
      <c r="I614" s="126" t="s">
        <v>2646</v>
      </c>
      <c r="J614" s="126" t="s">
        <v>3064</v>
      </c>
      <c r="K614" s="126" t="s">
        <v>3087</v>
      </c>
      <c r="L614" s="126" t="s">
        <v>2656</v>
      </c>
      <c r="M614" s="128" t="b">
        <v>0</v>
      </c>
      <c r="N614" s="122"/>
    </row>
    <row r="615" spans="1:14" ht="15.75">
      <c r="A615" s="121"/>
      <c r="B615" s="121"/>
      <c r="C615" s="121"/>
      <c r="D615" s="126" t="s">
        <v>1166</v>
      </c>
      <c r="E615" s="126" t="s">
        <v>2685</v>
      </c>
      <c r="F615" s="126" t="s">
        <v>2653</v>
      </c>
      <c r="G615" s="126" t="s">
        <v>20</v>
      </c>
      <c r="H615" s="127">
        <v>8966</v>
      </c>
      <c r="I615" s="126" t="s">
        <v>2646</v>
      </c>
      <c r="J615" s="174">
        <v>46392</v>
      </c>
      <c r="K615" s="126" t="s">
        <v>3088</v>
      </c>
      <c r="L615" s="126" t="s">
        <v>2656</v>
      </c>
      <c r="M615" s="128" t="b">
        <v>1</v>
      </c>
      <c r="N615" s="122"/>
    </row>
    <row r="616" spans="1:14" ht="15.75">
      <c r="A616" s="121"/>
      <c r="B616" s="121"/>
      <c r="C616" s="121"/>
      <c r="D616" s="126" t="s">
        <v>1935</v>
      </c>
      <c r="E616" s="126" t="s">
        <v>2839</v>
      </c>
      <c r="F616" s="126" t="s">
        <v>2653</v>
      </c>
      <c r="G616" s="126" t="s">
        <v>20</v>
      </c>
      <c r="H616" s="127">
        <v>8222</v>
      </c>
      <c r="I616" s="126" t="s">
        <v>2646</v>
      </c>
      <c r="J616" s="174">
        <v>46393</v>
      </c>
      <c r="K616" s="126" t="s">
        <v>3089</v>
      </c>
      <c r="L616" s="126" t="s">
        <v>2656</v>
      </c>
      <c r="M616" s="128" t="b">
        <v>0</v>
      </c>
      <c r="N616" s="122"/>
    </row>
    <row r="617" spans="1:14" ht="15.75">
      <c r="A617" s="121"/>
      <c r="B617" s="121"/>
      <c r="C617" s="121"/>
      <c r="D617" s="126" t="s">
        <v>118</v>
      </c>
      <c r="E617" s="126" t="s">
        <v>2938</v>
      </c>
      <c r="F617" s="126" t="s">
        <v>2617</v>
      </c>
      <c r="G617" s="126" t="s">
        <v>23</v>
      </c>
      <c r="H617" s="127">
        <v>13000</v>
      </c>
      <c r="I617" s="126" t="s">
        <v>2646</v>
      </c>
      <c r="J617" s="126" t="s">
        <v>3090</v>
      </c>
      <c r="K617" s="126" t="s">
        <v>3091</v>
      </c>
      <c r="L617" s="126" t="s">
        <v>2773</v>
      </c>
      <c r="M617" s="128" t="b">
        <v>0</v>
      </c>
      <c r="N617" s="122"/>
    </row>
    <row r="618" spans="1:14" ht="15.75">
      <c r="A618" s="121"/>
      <c r="B618" s="121"/>
      <c r="C618" s="121"/>
      <c r="D618" s="126" t="s">
        <v>2009</v>
      </c>
      <c r="E618" s="126" t="s">
        <v>2708</v>
      </c>
      <c r="F618" s="126" t="s">
        <v>2653</v>
      </c>
      <c r="G618" s="126" t="s">
        <v>20</v>
      </c>
      <c r="H618" s="127">
        <v>23250</v>
      </c>
      <c r="I618" s="126" t="s">
        <v>2646</v>
      </c>
      <c r="J618" s="174">
        <v>46756</v>
      </c>
      <c r="K618" s="126" t="s">
        <v>3092</v>
      </c>
      <c r="L618" s="126" t="s">
        <v>2680</v>
      </c>
      <c r="M618" s="128" t="b">
        <v>0</v>
      </c>
      <c r="N618" s="122"/>
    </row>
    <row r="619" spans="1:14" ht="15.75">
      <c r="A619" s="121"/>
      <c r="B619" s="121"/>
      <c r="C619" s="121"/>
      <c r="D619" s="126" t="s">
        <v>2009</v>
      </c>
      <c r="E619" s="126" t="s">
        <v>2708</v>
      </c>
      <c r="F619" s="126" t="s">
        <v>2074</v>
      </c>
      <c r="G619" s="126" t="s">
        <v>23</v>
      </c>
      <c r="H619" s="127">
        <v>23250</v>
      </c>
      <c r="I619" s="126" t="s">
        <v>2646</v>
      </c>
      <c r="J619" s="174">
        <v>46756</v>
      </c>
      <c r="K619" s="126" t="s">
        <v>3092</v>
      </c>
      <c r="L619" s="126" t="s">
        <v>2680</v>
      </c>
      <c r="M619" s="128" t="b">
        <v>0</v>
      </c>
      <c r="N619" s="122"/>
    </row>
    <row r="620" spans="1:14" ht="15.75">
      <c r="A620" s="121"/>
      <c r="B620" s="121"/>
      <c r="C620" s="121"/>
      <c r="D620" s="126" t="s">
        <v>2009</v>
      </c>
      <c r="E620" s="126" t="s">
        <v>2708</v>
      </c>
      <c r="F620" s="126" t="s">
        <v>2618</v>
      </c>
      <c r="G620" s="126" t="s">
        <v>1695</v>
      </c>
      <c r="H620" s="127">
        <v>21250</v>
      </c>
      <c r="I620" s="126" t="s">
        <v>2646</v>
      </c>
      <c r="J620" s="174">
        <v>46756</v>
      </c>
      <c r="K620" s="126" t="s">
        <v>3092</v>
      </c>
      <c r="L620" s="126" t="s">
        <v>2680</v>
      </c>
      <c r="M620" s="128" t="b">
        <v>0</v>
      </c>
      <c r="N620" s="122"/>
    </row>
    <row r="621" spans="1:14" ht="15.75">
      <c r="A621" s="121"/>
      <c r="B621" s="121"/>
      <c r="C621" s="121"/>
      <c r="D621" s="126" t="s">
        <v>2009</v>
      </c>
      <c r="E621" s="126" t="s">
        <v>2708</v>
      </c>
      <c r="F621" s="126" t="s">
        <v>1889</v>
      </c>
      <c r="G621" s="126" t="s">
        <v>21</v>
      </c>
      <c r="H621" s="127">
        <v>21250</v>
      </c>
      <c r="I621" s="126" t="s">
        <v>2646</v>
      </c>
      <c r="J621" s="174">
        <v>46756</v>
      </c>
      <c r="K621" s="126" t="s">
        <v>3092</v>
      </c>
      <c r="L621" s="126" t="s">
        <v>2680</v>
      </c>
      <c r="M621" s="128" t="b">
        <v>0</v>
      </c>
      <c r="N621" s="122"/>
    </row>
    <row r="622" spans="1:14" ht="15.75">
      <c r="A622" s="121"/>
      <c r="B622" s="131" t="s">
        <v>1675</v>
      </c>
      <c r="C622" s="132" t="s">
        <v>3093</v>
      </c>
      <c r="D622" s="132"/>
      <c r="E622" s="132"/>
      <c r="F622" s="132"/>
      <c r="G622" s="132"/>
      <c r="H622" s="133">
        <v>8556583.3915350493</v>
      </c>
      <c r="I622" s="133"/>
      <c r="J622" s="133"/>
      <c r="K622" s="133"/>
      <c r="L622" s="133"/>
      <c r="M622" s="134">
        <v>12</v>
      </c>
      <c r="N622" s="122"/>
    </row>
    <row r="623" spans="1:14" ht="15.75">
      <c r="A623" s="121"/>
      <c r="B623" s="135"/>
      <c r="C623" s="132" t="s">
        <v>3094</v>
      </c>
      <c r="D623" s="134">
        <v>218</v>
      </c>
      <c r="E623" s="134"/>
      <c r="F623" s="134"/>
      <c r="G623" s="134"/>
      <c r="H623" s="134"/>
      <c r="I623" s="134"/>
      <c r="J623" s="134"/>
      <c r="K623" s="134"/>
      <c r="L623" s="134"/>
      <c r="M623" s="134"/>
      <c r="N623" s="122"/>
    </row>
    <row r="624" spans="1:14" ht="15.75">
      <c r="A624" s="121"/>
      <c r="B624" s="136"/>
      <c r="C624" s="132" t="s">
        <v>3095</v>
      </c>
      <c r="D624" s="134">
        <v>601</v>
      </c>
      <c r="E624" s="134"/>
      <c r="F624" s="134"/>
      <c r="G624" s="134"/>
      <c r="H624" s="134"/>
      <c r="I624" s="134"/>
      <c r="J624" s="134"/>
      <c r="K624" s="134"/>
      <c r="L624" s="134"/>
      <c r="M624" s="134"/>
      <c r="N624" s="12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9425F-7292-44E6-84E6-BEDDCF969830}">
  <dimension ref="A1:AD225"/>
  <sheetViews>
    <sheetView tabSelected="1" zoomScaleNormal="100" workbookViewId="0">
      <pane xSplit="1" ySplit="3" topLeftCell="B4" activePane="bottomRight" state="frozen"/>
      <selection pane="bottomRight" activeCell="E106" sqref="E106"/>
      <selection pane="bottomLeft" activeCell="A4" sqref="A4"/>
      <selection pane="topRight" activeCell="B1" sqref="B1"/>
    </sheetView>
  </sheetViews>
  <sheetFormatPr defaultRowHeight="15"/>
  <cols>
    <col min="1" max="1" width="39.28515625" bestFit="1" customWidth="1"/>
    <col min="2" max="11" width="11.85546875" customWidth="1"/>
    <col min="12" max="12" width="1.85546875" customWidth="1"/>
    <col min="13" max="22" width="13.7109375" customWidth="1"/>
    <col min="27" max="27" width="35.28515625" bestFit="1" customWidth="1"/>
    <col min="28" max="28" width="9.85546875" bestFit="1" customWidth="1"/>
  </cols>
  <sheetData>
    <row r="1" spans="1:28" ht="15.75">
      <c r="A1" s="203" t="s">
        <v>3096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AA1" s="175" t="s">
        <v>3097</v>
      </c>
    </row>
    <row r="2" spans="1:28">
      <c r="B2" s="207" t="s">
        <v>3098</v>
      </c>
      <c r="C2" s="207"/>
      <c r="D2" s="207"/>
      <c r="E2" s="207"/>
      <c r="F2" s="207"/>
      <c r="G2" s="207"/>
      <c r="H2" s="207"/>
      <c r="I2" s="207"/>
      <c r="J2" s="207"/>
      <c r="K2" s="207"/>
      <c r="M2" s="208" t="s">
        <v>3099</v>
      </c>
      <c r="N2" s="208"/>
      <c r="O2" s="208"/>
      <c r="P2" s="208"/>
      <c r="Q2" s="208"/>
      <c r="R2" s="208"/>
      <c r="S2" s="208"/>
      <c r="T2" s="208"/>
      <c r="U2" s="208"/>
      <c r="V2" s="208"/>
    </row>
    <row r="3" spans="1:28" ht="34.5" customHeight="1">
      <c r="A3" s="157" t="s">
        <v>3100</v>
      </c>
      <c r="B3" s="158" t="s">
        <v>20</v>
      </c>
      <c r="C3" s="158" t="s">
        <v>25</v>
      </c>
      <c r="D3" s="158" t="s">
        <v>27</v>
      </c>
      <c r="E3" s="158" t="s">
        <v>29</v>
      </c>
      <c r="F3" s="158" t="s">
        <v>31</v>
      </c>
      <c r="G3" s="158" t="s">
        <v>21</v>
      </c>
      <c r="H3" s="158" t="s">
        <v>23</v>
      </c>
      <c r="I3" s="158" t="s">
        <v>1931</v>
      </c>
      <c r="J3" s="158" t="s">
        <v>35</v>
      </c>
      <c r="K3" s="158" t="s">
        <v>1695</v>
      </c>
      <c r="L3" s="159"/>
      <c r="M3" s="160" t="s">
        <v>20</v>
      </c>
      <c r="N3" s="160" t="s">
        <v>25</v>
      </c>
      <c r="O3" s="160" t="s">
        <v>27</v>
      </c>
      <c r="P3" s="160" t="s">
        <v>29</v>
      </c>
      <c r="Q3" s="160" t="s">
        <v>31</v>
      </c>
      <c r="R3" s="160" t="s">
        <v>21</v>
      </c>
      <c r="S3" s="160" t="s">
        <v>23</v>
      </c>
      <c r="T3" s="160" t="s">
        <v>1931</v>
      </c>
      <c r="U3" s="160" t="s">
        <v>35</v>
      </c>
      <c r="V3" s="160" t="s">
        <v>1695</v>
      </c>
      <c r="AA3" s="177" t="s">
        <v>3101</v>
      </c>
      <c r="AB3" s="177" t="s">
        <v>3102</v>
      </c>
    </row>
    <row r="4" spans="1:28" ht="15" customHeight="1">
      <c r="A4" s="154" t="s">
        <v>913</v>
      </c>
      <c r="B4" s="155">
        <f>IFERROR(MIN(1,COUNTIFS('Product Order Book'!$A$2:$A$1057,$A4,'Product Order Book'!$E$2:$E$1057,B$3)/INDEX('Clean Package Product Lists'!$C:$C,MATCH(B$3,'Clean Package Product Lists'!$A:$A,0))),"")</f>
        <v>0</v>
      </c>
      <c r="C4" s="155">
        <f>IFERROR(MIN(1,COUNTIFS('Product Order Book'!$A$2:$A$1057,$A4,'Product Order Book'!$E$2:$E$1057,C$3)/INDEX('Clean Package Product Lists'!$C:$C,MATCH(C$3,'Clean Package Product Lists'!$A:$A,0))),"")</f>
        <v>0</v>
      </c>
      <c r="D4" s="155">
        <f>IFERROR(MIN(1,COUNTIFS('Product Order Book'!$A$2:$A$1057,$A4,'Product Order Book'!$E$2:$E$1057,D$3)/INDEX('Clean Package Product Lists'!$C:$C,MATCH(D$3,'Clean Package Product Lists'!$A:$A,0))),"")</f>
        <v>0</v>
      </c>
      <c r="E4" s="155">
        <f>IFERROR(MIN(1,COUNTIFS('Product Order Book'!$A$2:$A$1057,$A4,'Product Order Book'!$E$2:$E$1057,E$3)/INDEX('Clean Package Product Lists'!$C:$C,MATCH(E$3,'Clean Package Product Lists'!$A:$A,0))),"")</f>
        <v>0</v>
      </c>
      <c r="F4" s="155">
        <f>IFERROR(MIN(1,COUNTIFS('Product Order Book'!$A$2:$A$1057,$A4,'Product Order Book'!$E$2:$E$1057,F$3)/INDEX('Clean Package Product Lists'!$C:$C,MATCH(F$3,'Clean Package Product Lists'!$A:$A,0))),"")</f>
        <v>0</v>
      </c>
      <c r="G4" s="155">
        <f>IFERROR(MIN(1,COUNTIFS('Product Order Book'!$A$2:$A$1057,$A4,'Product Order Book'!$E$2:$E$1057,G$3)/INDEX('Clean Package Product Lists'!$C:$C,MATCH(G$3,'Clean Package Product Lists'!$A:$A,0))),"")</f>
        <v>0</v>
      </c>
      <c r="H4" s="155">
        <f>IFERROR(MIN(1,COUNTIFS('Product Order Book'!$A$2:$A$1057,$A4,'Product Order Book'!$E$2:$E$1057,H$3)/INDEX('Clean Package Product Lists'!$C:$C,MATCH(H$3,'Clean Package Product Lists'!$A:$A,0))),"")</f>
        <v>0</v>
      </c>
      <c r="I4" s="155">
        <f>IFERROR(MIN(1,COUNTIFS('Product Order Book'!$A$2:$A$1057,$A4,'Product Order Book'!$E$2:$E$1057,I$3)/INDEX('Clean Package Product Lists'!$C:$C,MATCH(I$3,'Clean Package Product Lists'!$A:$A,0))),"")</f>
        <v>0</v>
      </c>
      <c r="J4" s="155">
        <f>IFERROR(MIN(1,COUNTIFS('Product Order Book'!$A$2:$A$1057,$A4,'Product Order Book'!$E$2:$E$1057,J$3)/INDEX('Clean Package Product Lists'!$C:$C,MATCH(J$3,'Clean Package Product Lists'!$A:$A,0))),"")</f>
        <v>1</v>
      </c>
      <c r="K4" s="155">
        <f>IFERROR(MIN(1,COUNTIFS('Product Order Book'!$A$2:$A$1057,$A4,'Product Order Book'!$E$2:$E$1057,K$3)/INDEX('Clean Package Product Lists'!$C:$C,MATCH(K$3,'Clean Package Product Lists'!$A:$A,0))),"")</f>
        <v>0</v>
      </c>
      <c r="L4" s="154"/>
      <c r="M4" s="156" t="str">
        <f>IF(COUNTIFS('Product Order Book'!$A:$A,$A4,'Product Order Book'!$E:$E,M$3)&gt;0,"✓ Takes",IF(IFERROR(VLOOKUP($A4,'Whitespace Analysis'!$A:$AH,12,0),0)=1,"◎ Should","– N/A"))</f>
        <v>◎ Should</v>
      </c>
      <c r="N4" s="156" t="str">
        <f>IF(COUNTIFS('Product Order Book'!$A:$A,$A4,'Product Order Book'!$E:$E,N$3)&gt;0,"✓ Takes",IF(IFERROR(VLOOKUP($A4,'Whitespace Analysis'!$A:$AH,20,0),0)=1,"◎ Should","– N/A"))</f>
        <v>– N/A</v>
      </c>
      <c r="O4" s="156" t="str">
        <f>IF(COUNTIFS('Product Order Book'!$A:$A,$A4,'Product Order Book'!$E:$E,O$3)&gt;0,"✓ Takes",IF(IFERROR(VLOOKUP($A4,'Whitespace Analysis'!$A:$AH,22,0),0)=1,"◎ Should","– N/A"))</f>
        <v>– N/A</v>
      </c>
      <c r="P4" s="156" t="str">
        <f>IF(COUNTIFS('Product Order Book'!$A:$A,$A4,'Product Order Book'!$E:$E,P$3)&gt;0,"✓ Takes",IF(IFERROR(VLOOKUP($A4,'Whitespace Analysis'!$A:$AH,24,0),0)=1,"◎ Should","– N/A"))</f>
        <v>– N/A</v>
      </c>
      <c r="Q4" s="156" t="str">
        <f>IF(COUNTIFS('Product Order Book'!$A:$A,$A4,'Product Order Book'!$E:$E,Q$3)&gt;0,"✓ Takes",IF(IFERROR(VLOOKUP($A4,'Whitespace Analysis'!$A:$AH,26,0),0)=1,"◎ Should","– N/A"))</f>
        <v>– N/A</v>
      </c>
      <c r="R4" s="156" t="str">
        <f>IF(COUNTIFS('Product Order Book'!$A:$A,$A4,'Product Order Book'!$E:$E,R$3)&gt;0,"✓ Takes",IF(IFERROR(VLOOKUP($A4,'Whitespace Analysis'!$A:$AH,16,0),0)=1,"◎ Should","– N/A"))</f>
        <v>– N/A</v>
      </c>
      <c r="S4" s="156" t="str">
        <f>IF(COUNTIFS('Product Order Book'!$A:$A,$A4,'Product Order Book'!$E:$E,S$3)&gt;0,"✓ Takes",IF(IFERROR(VLOOKUP($A4,'Whitespace Analysis'!$A:$AH,18,0),0)=1,"◎ Should","– N/A"))</f>
        <v>– N/A</v>
      </c>
      <c r="T4" s="156" t="str">
        <f>IF(COUNTIFS('Product Order Book'!$A:$A,$A4,'Product Order Book'!$E:$E,T$3)&gt;0,"✓ Takes",IF(IFERROR(VLOOKUP($A4,'Whitespace Analysis'!$A:$AH,28,0),0)=1,"◎ Should","– N/A"))</f>
        <v>– N/A</v>
      </c>
      <c r="U4" s="156" t="str">
        <f>IF(COUNTIFS('Product Order Book'!$A:$A,$A4,'Product Order Book'!$E:$E,U$3)&gt;0,"✓ Takes",IF(IFERROR(VLOOKUP($A4,'Whitespace Analysis'!$A:$AH,30,0),0)=1,"◎ Should","– N/A"))</f>
        <v>✓ Takes</v>
      </c>
      <c r="V4" s="156" t="str">
        <f>IF(COUNTIFS('Product Order Book'!$A:$A,$A4,'Product Order Book'!$E:$E,V$3)&gt;0,"✓ Takes",IF(IFERROR(VLOOKUP($A4,'Whitespace Analysis'!$A:$AH,14,0),0)=1,"◎ Should","– N/A"))</f>
        <v>– N/A</v>
      </c>
      <c r="AA4" s="154" t="s">
        <v>3103</v>
      </c>
      <c r="AB4" s="156">
        <f>COUNTIFS($B$4:$B$221,0)</f>
        <v>83</v>
      </c>
    </row>
    <row r="5" spans="1:28" ht="15" customHeight="1">
      <c r="A5" s="154" t="s">
        <v>1115</v>
      </c>
      <c r="B5" s="155">
        <f>IFERROR(MIN(1,COUNTIFS('Product Order Book'!$A$2:$A$1057,$A5,'Product Order Book'!$E$2:$E$1057,B$3)/INDEX('Clean Package Product Lists'!$C:$C,MATCH(B$3,'Clean Package Product Lists'!$A:$A,0))),"")</f>
        <v>0</v>
      </c>
      <c r="C5" s="155">
        <f>IFERROR(MIN(1,COUNTIFS('Product Order Book'!$A$2:$A$1057,$A5,'Product Order Book'!$E$2:$E$1057,C$3)/INDEX('Clean Package Product Lists'!$C:$C,MATCH(C$3,'Clean Package Product Lists'!$A:$A,0))),"")</f>
        <v>0.2857142857142857</v>
      </c>
      <c r="D5" s="155">
        <f>IFERROR(MIN(1,COUNTIFS('Product Order Book'!$A$2:$A$1057,$A5,'Product Order Book'!$E$2:$E$1057,D$3)/INDEX('Clean Package Product Lists'!$C:$C,MATCH(D$3,'Clean Package Product Lists'!$A:$A,0))),"")</f>
        <v>0</v>
      </c>
      <c r="E5" s="155">
        <f>IFERROR(MIN(1,COUNTIFS('Product Order Book'!$A$2:$A$1057,$A5,'Product Order Book'!$E$2:$E$1057,E$3)/INDEX('Clean Package Product Lists'!$C:$C,MATCH(E$3,'Clean Package Product Lists'!$A:$A,0))),"")</f>
        <v>0</v>
      </c>
      <c r="F5" s="155">
        <f>IFERROR(MIN(1,COUNTIFS('Product Order Book'!$A$2:$A$1057,$A5,'Product Order Book'!$E$2:$E$1057,F$3)/INDEX('Clean Package Product Lists'!$C:$C,MATCH(F$3,'Clean Package Product Lists'!$A:$A,0))),"")</f>
        <v>0</v>
      </c>
      <c r="G5" s="155">
        <f>IFERROR(MIN(1,COUNTIFS('Product Order Book'!$A$2:$A$1057,$A5,'Product Order Book'!$E$2:$E$1057,G$3)/INDEX('Clean Package Product Lists'!$C:$C,MATCH(G$3,'Clean Package Product Lists'!$A:$A,0))),"")</f>
        <v>0</v>
      </c>
      <c r="H5" s="155">
        <f>IFERROR(MIN(1,COUNTIFS('Product Order Book'!$A$2:$A$1057,$A5,'Product Order Book'!$E$2:$E$1057,H$3)/INDEX('Clean Package Product Lists'!$C:$C,MATCH(H$3,'Clean Package Product Lists'!$A:$A,0))),"")</f>
        <v>0</v>
      </c>
      <c r="I5" s="155">
        <f>IFERROR(MIN(1,COUNTIFS('Product Order Book'!$A$2:$A$1057,$A5,'Product Order Book'!$E$2:$E$1057,I$3)/INDEX('Clean Package Product Lists'!$C:$C,MATCH(I$3,'Clean Package Product Lists'!$A:$A,0))),"")</f>
        <v>0</v>
      </c>
      <c r="J5" s="155">
        <f>IFERROR(MIN(1,COUNTIFS('Product Order Book'!$A$2:$A$1057,$A5,'Product Order Book'!$E$2:$E$1057,J$3)/INDEX('Clean Package Product Lists'!$C:$C,MATCH(J$3,'Clean Package Product Lists'!$A:$A,0))),"")</f>
        <v>0</v>
      </c>
      <c r="K5" s="155">
        <f>IFERROR(MIN(1,COUNTIFS('Product Order Book'!$A$2:$A$1057,$A5,'Product Order Book'!$E$2:$E$1057,K$3)/INDEX('Clean Package Product Lists'!$C:$C,MATCH(K$3,'Clean Package Product Lists'!$A:$A,0))),"")</f>
        <v>0</v>
      </c>
      <c r="L5" s="154"/>
      <c r="M5" s="156" t="str">
        <f>IF(COUNTIFS('Product Order Book'!$A:$A,$A5,'Product Order Book'!$E:$E,M$3)&gt;0,"✓ Takes",IF(IFERROR(VLOOKUP($A5,'Whitespace Analysis'!$A:$AH,12,0),0)=1,"◎ Should","– N/A"))</f>
        <v>◎ Should</v>
      </c>
      <c r="N5" s="156" t="str">
        <f>IF(COUNTIFS('Product Order Book'!$A:$A,$A5,'Product Order Book'!$E:$E,N$3)&gt;0,"✓ Takes",IF(IFERROR(VLOOKUP($A5,'Whitespace Analysis'!$A:$AH,20,0),0)=1,"◎ Should","– N/A"))</f>
        <v>✓ Takes</v>
      </c>
      <c r="O5" s="156" t="str">
        <f>IF(COUNTIFS('Product Order Book'!$A:$A,$A5,'Product Order Book'!$E:$E,O$3)&gt;0,"✓ Takes",IF(IFERROR(VLOOKUP($A5,'Whitespace Analysis'!$A:$AH,22,0),0)=1,"◎ Should","– N/A"))</f>
        <v>– N/A</v>
      </c>
      <c r="P5" s="156" t="str">
        <f>IF(COUNTIFS('Product Order Book'!$A:$A,$A5,'Product Order Book'!$E:$E,P$3)&gt;0,"✓ Takes",IF(IFERROR(VLOOKUP($A5,'Whitespace Analysis'!$A:$AH,24,0),0)=1,"◎ Should","– N/A"))</f>
        <v>– N/A</v>
      </c>
      <c r="Q5" s="156" t="str">
        <f>IF(COUNTIFS('Product Order Book'!$A:$A,$A5,'Product Order Book'!$E:$E,Q$3)&gt;0,"✓ Takes",IF(IFERROR(VLOOKUP($A5,'Whitespace Analysis'!$A:$AH,26,0),0)=1,"◎ Should","– N/A"))</f>
        <v>– N/A</v>
      </c>
      <c r="R5" s="156" t="str">
        <f>IF(COUNTIFS('Product Order Book'!$A:$A,$A5,'Product Order Book'!$E:$E,R$3)&gt;0,"✓ Takes",IF(IFERROR(VLOOKUP($A5,'Whitespace Analysis'!$A:$AH,16,0),0)=1,"◎ Should","– N/A"))</f>
        <v>◎ Should</v>
      </c>
      <c r="S5" s="156" t="str">
        <f>IF(COUNTIFS('Product Order Book'!$A:$A,$A5,'Product Order Book'!$E:$E,S$3)&gt;0,"✓ Takes",IF(IFERROR(VLOOKUP($A5,'Whitespace Analysis'!$A:$AH,18,0),0)=1,"◎ Should","– N/A"))</f>
        <v>◎ Should</v>
      </c>
      <c r="T5" s="156" t="str">
        <f>IF(COUNTIFS('Product Order Book'!$A:$A,$A5,'Product Order Book'!$E:$E,T$3)&gt;0,"✓ Takes",IF(IFERROR(VLOOKUP($A5,'Whitespace Analysis'!$A:$AH,28,0),0)=1,"◎ Should","– N/A"))</f>
        <v>◎ Should</v>
      </c>
      <c r="U5" s="156" t="str">
        <f>IF(COUNTIFS('Product Order Book'!$A:$A,$A5,'Product Order Book'!$E:$E,U$3)&gt;0,"✓ Takes",IF(IFERROR(VLOOKUP($A5,'Whitespace Analysis'!$A:$AH,30,0),0)=1,"◎ Should","– N/A"))</f>
        <v>– N/A</v>
      </c>
      <c r="V5" s="156" t="str">
        <f>IF(COUNTIFS('Product Order Book'!$A:$A,$A5,'Product Order Book'!$E:$E,V$3)&gt;0,"✓ Takes",IF(IFERROR(VLOOKUP($A5,'Whitespace Analysis'!$A:$AH,14,0),0)=1,"◎ Should","– N/A"))</f>
        <v>– N/A</v>
      </c>
      <c r="AA5" s="154" t="s">
        <v>3104</v>
      </c>
      <c r="AB5" s="156">
        <f>COUNTIFS($B$4:$B$221,1,$C$4:$C$221,0,$D$4:$D$221,0,$E$4:$E$221,0,$F$4:$F$221,0,$G$4:$G$221,0,$H$4:$H$221,0,$I$4:$I$221,0,$J$4:$J$221,0,$K$4:$K$221,0)</f>
        <v>63</v>
      </c>
    </row>
    <row r="6" spans="1:28" ht="15" customHeight="1">
      <c r="A6" s="154" t="s">
        <v>1946</v>
      </c>
      <c r="B6" s="155">
        <f>IFERROR(MIN(1,COUNTIFS('Product Order Book'!$A$2:$A$1057,$A6,'Product Order Book'!$E$2:$E$1057,B$3)/INDEX('Clean Package Product Lists'!$C:$C,MATCH(B$3,'Clean Package Product Lists'!$A:$A,0))),"")</f>
        <v>1</v>
      </c>
      <c r="C6" s="155">
        <f>IFERROR(MIN(1,COUNTIFS('Product Order Book'!$A$2:$A$1057,$A6,'Product Order Book'!$E$2:$E$1057,C$3)/INDEX('Clean Package Product Lists'!$C:$C,MATCH(C$3,'Clean Package Product Lists'!$A:$A,0))),"")</f>
        <v>0</v>
      </c>
      <c r="D6" s="155">
        <f>IFERROR(MIN(1,COUNTIFS('Product Order Book'!$A$2:$A$1057,$A6,'Product Order Book'!$E$2:$E$1057,D$3)/INDEX('Clean Package Product Lists'!$C:$C,MATCH(D$3,'Clean Package Product Lists'!$A:$A,0))),"")</f>
        <v>0</v>
      </c>
      <c r="E6" s="155">
        <f>IFERROR(MIN(1,COUNTIFS('Product Order Book'!$A$2:$A$1057,$A6,'Product Order Book'!$E$2:$E$1057,E$3)/INDEX('Clean Package Product Lists'!$C:$C,MATCH(E$3,'Clean Package Product Lists'!$A:$A,0))),"")</f>
        <v>0</v>
      </c>
      <c r="F6" s="155">
        <f>IFERROR(MIN(1,COUNTIFS('Product Order Book'!$A$2:$A$1057,$A6,'Product Order Book'!$E$2:$E$1057,F$3)/INDEX('Clean Package Product Lists'!$C:$C,MATCH(F$3,'Clean Package Product Lists'!$A:$A,0))),"")</f>
        <v>0</v>
      </c>
      <c r="G6" s="155">
        <f>IFERROR(MIN(1,COUNTIFS('Product Order Book'!$A$2:$A$1057,$A6,'Product Order Book'!$E$2:$E$1057,G$3)/INDEX('Clean Package Product Lists'!$C:$C,MATCH(G$3,'Clean Package Product Lists'!$A:$A,0))),"")</f>
        <v>0</v>
      </c>
      <c r="H6" s="155">
        <f>IFERROR(MIN(1,COUNTIFS('Product Order Book'!$A$2:$A$1057,$A6,'Product Order Book'!$E$2:$E$1057,H$3)/INDEX('Clean Package Product Lists'!$C:$C,MATCH(H$3,'Clean Package Product Lists'!$A:$A,0))),"")</f>
        <v>0</v>
      </c>
      <c r="I6" s="155">
        <f>IFERROR(MIN(1,COUNTIFS('Product Order Book'!$A$2:$A$1057,$A6,'Product Order Book'!$E$2:$E$1057,I$3)/INDEX('Clean Package Product Lists'!$C:$C,MATCH(I$3,'Clean Package Product Lists'!$A:$A,0))),"")</f>
        <v>0</v>
      </c>
      <c r="J6" s="155">
        <f>IFERROR(MIN(1,COUNTIFS('Product Order Book'!$A$2:$A$1057,$A6,'Product Order Book'!$E$2:$E$1057,J$3)/INDEX('Clean Package Product Lists'!$C:$C,MATCH(J$3,'Clean Package Product Lists'!$A:$A,0))),"")</f>
        <v>1</v>
      </c>
      <c r="K6" s="155">
        <f>IFERROR(MIN(1,COUNTIFS('Product Order Book'!$A$2:$A$1057,$A6,'Product Order Book'!$E$2:$E$1057,K$3)/INDEX('Clean Package Product Lists'!$C:$C,MATCH(K$3,'Clean Package Product Lists'!$A:$A,0))),"")</f>
        <v>0</v>
      </c>
      <c r="L6" s="154"/>
      <c r="M6" s="156" t="str">
        <f>IF(COUNTIFS('Product Order Book'!$A:$A,$A6,'Product Order Book'!$E:$E,M$3)&gt;0,"✓ Takes",IF(IFERROR(VLOOKUP($A6,'Whitespace Analysis'!$A:$AH,12,0),0)=1,"◎ Should","– N/A"))</f>
        <v>✓ Takes</v>
      </c>
      <c r="N6" s="156" t="str">
        <f>IF(COUNTIFS('Product Order Book'!$A:$A,$A6,'Product Order Book'!$E:$E,N$3)&gt;0,"✓ Takes",IF(IFERROR(VLOOKUP($A6,'Whitespace Analysis'!$A:$AH,20,0),0)=1,"◎ Should","– N/A"))</f>
        <v>◎ Should</v>
      </c>
      <c r="O6" s="156" t="str">
        <f>IF(COUNTIFS('Product Order Book'!$A:$A,$A6,'Product Order Book'!$E:$E,O$3)&gt;0,"✓ Takes",IF(IFERROR(VLOOKUP($A6,'Whitespace Analysis'!$A:$AH,22,0),0)=1,"◎ Should","– N/A"))</f>
        <v>◎ Should</v>
      </c>
      <c r="P6" s="156" t="str">
        <f>IF(COUNTIFS('Product Order Book'!$A:$A,$A6,'Product Order Book'!$E:$E,P$3)&gt;0,"✓ Takes",IF(IFERROR(VLOOKUP($A6,'Whitespace Analysis'!$A:$AH,24,0),0)=1,"◎ Should","– N/A"))</f>
        <v>◎ Should</v>
      </c>
      <c r="Q6" s="156" t="str">
        <f>IF(COUNTIFS('Product Order Book'!$A:$A,$A6,'Product Order Book'!$E:$E,Q$3)&gt;0,"✓ Takes",IF(IFERROR(VLOOKUP($A6,'Whitespace Analysis'!$A:$AH,26,0),0)=1,"◎ Should","– N/A"))</f>
        <v>◎ Should</v>
      </c>
      <c r="R6" s="156" t="str">
        <f>IF(COUNTIFS('Product Order Book'!$A:$A,$A6,'Product Order Book'!$E:$E,R$3)&gt;0,"✓ Takes",IF(IFERROR(VLOOKUP($A6,'Whitespace Analysis'!$A:$AH,16,0),0)=1,"◎ Should","– N/A"))</f>
        <v>– N/A</v>
      </c>
      <c r="S6" s="156" t="str">
        <f>IF(COUNTIFS('Product Order Book'!$A:$A,$A6,'Product Order Book'!$E:$E,S$3)&gt;0,"✓ Takes",IF(IFERROR(VLOOKUP($A6,'Whitespace Analysis'!$A:$AH,18,0),0)=1,"◎ Should","– N/A"))</f>
        <v>– N/A</v>
      </c>
      <c r="T6" s="156" t="str">
        <f>IF(COUNTIFS('Product Order Book'!$A:$A,$A6,'Product Order Book'!$E:$E,T$3)&gt;0,"✓ Takes",IF(IFERROR(VLOOKUP($A6,'Whitespace Analysis'!$A:$AH,28,0),0)=1,"◎ Should","– N/A"))</f>
        <v>◎ Should</v>
      </c>
      <c r="U6" s="156" t="str">
        <f>IF(COUNTIFS('Product Order Book'!$A:$A,$A6,'Product Order Book'!$E:$E,U$3)&gt;0,"✓ Takes",IF(IFERROR(VLOOKUP($A6,'Whitespace Analysis'!$A:$AH,30,0),0)=1,"◎ Should","– N/A"))</f>
        <v>✓ Takes</v>
      </c>
      <c r="V6" s="156" t="str">
        <f>IF(COUNTIFS('Product Order Book'!$A:$A,$A6,'Product Order Book'!$E:$E,V$3)&gt;0,"✓ Takes",IF(IFERROR(VLOOKUP($A6,'Whitespace Analysis'!$A:$AH,14,0),0)=1,"◎ Should","– N/A"))</f>
        <v>◎ Should</v>
      </c>
      <c r="AA6" s="154" t="s">
        <v>23</v>
      </c>
      <c r="AB6" s="156">
        <f>COUNTIFS($B$4:$B$221,1,H$4:H$221,"&gt;"&amp;0)</f>
        <v>33</v>
      </c>
    </row>
    <row r="7" spans="1:28" ht="15" customHeight="1">
      <c r="A7" s="154" t="s">
        <v>188</v>
      </c>
      <c r="B7" s="155">
        <f>IFERROR(MIN(1,COUNTIFS('Product Order Book'!$A$2:$A$1057,$A7,'Product Order Book'!$E$2:$E$1057,B$3)/INDEX('Clean Package Product Lists'!$C:$C,MATCH(B$3,'Clean Package Product Lists'!$A:$A,0))),"")</f>
        <v>0</v>
      </c>
      <c r="C7" s="155">
        <f>IFERROR(MIN(1,COUNTIFS('Product Order Book'!$A$2:$A$1057,$A7,'Product Order Book'!$E$2:$E$1057,C$3)/INDEX('Clean Package Product Lists'!$C:$C,MATCH(C$3,'Clean Package Product Lists'!$A:$A,0))),"")</f>
        <v>0.14285714285714285</v>
      </c>
      <c r="D7" s="155">
        <f>IFERROR(MIN(1,COUNTIFS('Product Order Book'!$A$2:$A$1057,$A7,'Product Order Book'!$E$2:$E$1057,D$3)/INDEX('Clean Package Product Lists'!$C:$C,MATCH(D$3,'Clean Package Product Lists'!$A:$A,0))),"")</f>
        <v>0</v>
      </c>
      <c r="E7" s="155">
        <f>IFERROR(MIN(1,COUNTIFS('Product Order Book'!$A$2:$A$1057,$A7,'Product Order Book'!$E$2:$E$1057,E$3)/INDEX('Clean Package Product Lists'!$C:$C,MATCH(E$3,'Clean Package Product Lists'!$A:$A,0))),"")</f>
        <v>0</v>
      </c>
      <c r="F7" s="155">
        <f>IFERROR(MIN(1,COUNTIFS('Product Order Book'!$A$2:$A$1057,$A7,'Product Order Book'!$E$2:$E$1057,F$3)/INDEX('Clean Package Product Lists'!$C:$C,MATCH(F$3,'Clean Package Product Lists'!$A:$A,0))),"")</f>
        <v>0</v>
      </c>
      <c r="G7" s="155">
        <f>IFERROR(MIN(1,COUNTIFS('Product Order Book'!$A$2:$A$1057,$A7,'Product Order Book'!$E$2:$E$1057,G$3)/INDEX('Clean Package Product Lists'!$C:$C,MATCH(G$3,'Clean Package Product Lists'!$A:$A,0))),"")</f>
        <v>0</v>
      </c>
      <c r="H7" s="155">
        <f>IFERROR(MIN(1,COUNTIFS('Product Order Book'!$A$2:$A$1057,$A7,'Product Order Book'!$E$2:$E$1057,H$3)/INDEX('Clean Package Product Lists'!$C:$C,MATCH(H$3,'Clean Package Product Lists'!$A:$A,0))),"")</f>
        <v>0</v>
      </c>
      <c r="I7" s="155">
        <f>IFERROR(MIN(1,COUNTIFS('Product Order Book'!$A$2:$A$1057,$A7,'Product Order Book'!$E$2:$E$1057,I$3)/INDEX('Clean Package Product Lists'!$C:$C,MATCH(I$3,'Clean Package Product Lists'!$A:$A,0))),"")</f>
        <v>0</v>
      </c>
      <c r="J7" s="155">
        <f>IFERROR(MIN(1,COUNTIFS('Product Order Book'!$A$2:$A$1057,$A7,'Product Order Book'!$E$2:$E$1057,J$3)/INDEX('Clean Package Product Lists'!$C:$C,MATCH(J$3,'Clean Package Product Lists'!$A:$A,0))),"")</f>
        <v>0</v>
      </c>
      <c r="K7" s="155">
        <f>IFERROR(MIN(1,COUNTIFS('Product Order Book'!$A$2:$A$1057,$A7,'Product Order Book'!$E$2:$E$1057,K$3)/INDEX('Clean Package Product Lists'!$C:$C,MATCH(K$3,'Clean Package Product Lists'!$A:$A,0))),"")</f>
        <v>0</v>
      </c>
      <c r="L7" s="154"/>
      <c r="M7" s="156" t="str">
        <f>IF(COUNTIFS('Product Order Book'!$A:$A,$A7,'Product Order Book'!$E:$E,M$3)&gt;0,"✓ Takes",IF(IFERROR(VLOOKUP($A7,'Whitespace Analysis'!$A:$AH,12,0),0)=1,"◎ Should","– N/A"))</f>
        <v>◎ Should</v>
      </c>
      <c r="N7" s="156" t="str">
        <f>IF(COUNTIFS('Product Order Book'!$A:$A,$A7,'Product Order Book'!$E:$E,N$3)&gt;0,"✓ Takes",IF(IFERROR(VLOOKUP($A7,'Whitespace Analysis'!$A:$AH,20,0),0)=1,"◎ Should","– N/A"))</f>
        <v>✓ Takes</v>
      </c>
      <c r="O7" s="156" t="str">
        <f>IF(COUNTIFS('Product Order Book'!$A:$A,$A7,'Product Order Book'!$E:$E,O$3)&gt;0,"✓ Takes",IF(IFERROR(VLOOKUP($A7,'Whitespace Analysis'!$A:$AH,22,0),0)=1,"◎ Should","– N/A"))</f>
        <v>◎ Should</v>
      </c>
      <c r="P7" s="156" t="str">
        <f>IF(COUNTIFS('Product Order Book'!$A:$A,$A7,'Product Order Book'!$E:$E,P$3)&gt;0,"✓ Takes",IF(IFERROR(VLOOKUP($A7,'Whitespace Analysis'!$A:$AH,24,0),0)=1,"◎ Should","– N/A"))</f>
        <v>◎ Should</v>
      </c>
      <c r="Q7" s="156" t="str">
        <f>IF(COUNTIFS('Product Order Book'!$A:$A,$A7,'Product Order Book'!$E:$E,Q$3)&gt;0,"✓ Takes",IF(IFERROR(VLOOKUP($A7,'Whitespace Analysis'!$A:$AH,26,0),0)=1,"◎ Should","– N/A"))</f>
        <v>◎ Should</v>
      </c>
      <c r="R7" s="156" t="str">
        <f>IF(COUNTIFS('Product Order Book'!$A:$A,$A7,'Product Order Book'!$E:$E,R$3)&gt;0,"✓ Takes",IF(IFERROR(VLOOKUP($A7,'Whitespace Analysis'!$A:$AH,16,0),0)=1,"◎ Should","– N/A"))</f>
        <v>– N/A</v>
      </c>
      <c r="S7" s="156" t="str">
        <f>IF(COUNTIFS('Product Order Book'!$A:$A,$A7,'Product Order Book'!$E:$E,S$3)&gt;0,"✓ Takes",IF(IFERROR(VLOOKUP($A7,'Whitespace Analysis'!$A:$AH,18,0),0)=1,"◎ Should","– N/A"))</f>
        <v>– N/A</v>
      </c>
      <c r="T7" s="156" t="str">
        <f>IF(COUNTIFS('Product Order Book'!$A:$A,$A7,'Product Order Book'!$E:$E,T$3)&gt;0,"✓ Takes",IF(IFERROR(VLOOKUP($A7,'Whitespace Analysis'!$A:$AH,28,0),0)=1,"◎ Should","– N/A"))</f>
        <v>– N/A</v>
      </c>
      <c r="U7" s="156" t="str">
        <f>IF(COUNTIFS('Product Order Book'!$A:$A,$A7,'Product Order Book'!$E:$E,U$3)&gt;0,"✓ Takes",IF(IFERROR(VLOOKUP($A7,'Whitespace Analysis'!$A:$AH,30,0),0)=1,"◎ Should","– N/A"))</f>
        <v>– N/A</v>
      </c>
      <c r="V7" s="156" t="str">
        <f>IF(COUNTIFS('Product Order Book'!$A:$A,$A7,'Product Order Book'!$E:$E,V$3)&gt;0,"✓ Takes",IF(IFERROR(VLOOKUP($A7,'Whitespace Analysis'!$A:$AH,14,0),0)=1,"◎ Should","– N/A"))</f>
        <v>◎ Should</v>
      </c>
      <c r="AA7" s="154" t="s">
        <v>25</v>
      </c>
      <c r="AB7" s="156">
        <f>COUNTIFS($B$4:$B$221,1,C$4:C$221,"&gt;"&amp;0)</f>
        <v>29</v>
      </c>
    </row>
    <row r="8" spans="1:28" ht="15" customHeight="1">
      <c r="A8" s="154" t="s">
        <v>820</v>
      </c>
      <c r="B8" s="155">
        <f>IFERROR(MIN(1,COUNTIFS('Product Order Book'!$A$2:$A$1057,$A8,'Product Order Book'!$E$2:$E$1057,B$3)/INDEX('Clean Package Product Lists'!$C:$C,MATCH(B$3,'Clean Package Product Lists'!$A:$A,0))),"")</f>
        <v>1</v>
      </c>
      <c r="C8" s="155">
        <f>IFERROR(MIN(1,COUNTIFS('Product Order Book'!$A$2:$A$1057,$A8,'Product Order Book'!$E$2:$E$1057,C$3)/INDEX('Clean Package Product Lists'!$C:$C,MATCH(C$3,'Clean Package Product Lists'!$A:$A,0))),"")</f>
        <v>0</v>
      </c>
      <c r="D8" s="155">
        <f>IFERROR(MIN(1,COUNTIFS('Product Order Book'!$A$2:$A$1057,$A8,'Product Order Book'!$E$2:$E$1057,D$3)/INDEX('Clean Package Product Lists'!$C:$C,MATCH(D$3,'Clean Package Product Lists'!$A:$A,0))),"")</f>
        <v>0</v>
      </c>
      <c r="E8" s="155">
        <f>IFERROR(MIN(1,COUNTIFS('Product Order Book'!$A$2:$A$1057,$A8,'Product Order Book'!$E$2:$E$1057,E$3)/INDEX('Clean Package Product Lists'!$C:$C,MATCH(E$3,'Clean Package Product Lists'!$A:$A,0))),"")</f>
        <v>0</v>
      </c>
      <c r="F8" s="155">
        <f>IFERROR(MIN(1,COUNTIFS('Product Order Book'!$A$2:$A$1057,$A8,'Product Order Book'!$E$2:$E$1057,F$3)/INDEX('Clean Package Product Lists'!$C:$C,MATCH(F$3,'Clean Package Product Lists'!$A:$A,0))),"")</f>
        <v>0</v>
      </c>
      <c r="G8" s="155">
        <f>IFERROR(MIN(1,COUNTIFS('Product Order Book'!$A$2:$A$1057,$A8,'Product Order Book'!$E$2:$E$1057,G$3)/INDEX('Clean Package Product Lists'!$C:$C,MATCH(G$3,'Clean Package Product Lists'!$A:$A,0))),"")</f>
        <v>0</v>
      </c>
      <c r="H8" s="155">
        <f>IFERROR(MIN(1,COUNTIFS('Product Order Book'!$A$2:$A$1057,$A8,'Product Order Book'!$E$2:$E$1057,H$3)/INDEX('Clean Package Product Lists'!$C:$C,MATCH(H$3,'Clean Package Product Lists'!$A:$A,0))),"")</f>
        <v>0</v>
      </c>
      <c r="I8" s="155">
        <f>IFERROR(MIN(1,COUNTIFS('Product Order Book'!$A$2:$A$1057,$A8,'Product Order Book'!$E$2:$E$1057,I$3)/INDEX('Clean Package Product Lists'!$C:$C,MATCH(I$3,'Clean Package Product Lists'!$A:$A,0))),"")</f>
        <v>0</v>
      </c>
      <c r="J8" s="155">
        <f>IFERROR(MIN(1,COUNTIFS('Product Order Book'!$A$2:$A$1057,$A8,'Product Order Book'!$E$2:$E$1057,J$3)/INDEX('Clean Package Product Lists'!$C:$C,MATCH(J$3,'Clean Package Product Lists'!$A:$A,0))),"")</f>
        <v>0</v>
      </c>
      <c r="K8" s="155">
        <f>IFERROR(MIN(1,COUNTIFS('Product Order Book'!$A$2:$A$1057,$A8,'Product Order Book'!$E$2:$E$1057,K$3)/INDEX('Clean Package Product Lists'!$C:$C,MATCH(K$3,'Clean Package Product Lists'!$A:$A,0))),"")</f>
        <v>0</v>
      </c>
      <c r="L8" s="154"/>
      <c r="M8" s="156" t="str">
        <f>IF(COUNTIFS('Product Order Book'!$A:$A,$A8,'Product Order Book'!$E:$E,M$3)&gt;0,"✓ Takes",IF(IFERROR(VLOOKUP($A8,'Whitespace Analysis'!$A:$AH,12,0),0)=1,"◎ Should","– N/A"))</f>
        <v>✓ Takes</v>
      </c>
      <c r="N8" s="156" t="str">
        <f>IF(COUNTIFS('Product Order Book'!$A:$A,$A8,'Product Order Book'!$E:$E,N$3)&gt;0,"✓ Takes",IF(IFERROR(VLOOKUP($A8,'Whitespace Analysis'!$A:$AH,20,0),0)=1,"◎ Should","– N/A"))</f>
        <v>– N/A</v>
      </c>
      <c r="O8" s="156" t="str">
        <f>IF(COUNTIFS('Product Order Book'!$A:$A,$A8,'Product Order Book'!$E:$E,O$3)&gt;0,"✓ Takes",IF(IFERROR(VLOOKUP($A8,'Whitespace Analysis'!$A:$AH,22,0),0)=1,"◎ Should","– N/A"))</f>
        <v>– N/A</v>
      </c>
      <c r="P8" s="156" t="str">
        <f>IF(COUNTIFS('Product Order Book'!$A:$A,$A8,'Product Order Book'!$E:$E,P$3)&gt;0,"✓ Takes",IF(IFERROR(VLOOKUP($A8,'Whitespace Analysis'!$A:$AH,24,0),0)=1,"◎ Should","– N/A"))</f>
        <v>– N/A</v>
      </c>
      <c r="Q8" s="156" t="str">
        <f>IF(COUNTIFS('Product Order Book'!$A:$A,$A8,'Product Order Book'!$E:$E,Q$3)&gt;0,"✓ Takes",IF(IFERROR(VLOOKUP($A8,'Whitespace Analysis'!$A:$AH,26,0),0)=1,"◎ Should","– N/A"))</f>
        <v>– N/A</v>
      </c>
      <c r="R8" s="156" t="str">
        <f>IF(COUNTIFS('Product Order Book'!$A:$A,$A8,'Product Order Book'!$E:$E,R$3)&gt;0,"✓ Takes",IF(IFERROR(VLOOKUP($A8,'Whitespace Analysis'!$A:$AH,16,0),0)=1,"◎ Should","– N/A"))</f>
        <v>◎ Should</v>
      </c>
      <c r="S8" s="156" t="str">
        <f>IF(COUNTIFS('Product Order Book'!$A:$A,$A8,'Product Order Book'!$E:$E,S$3)&gt;0,"✓ Takes",IF(IFERROR(VLOOKUP($A8,'Whitespace Analysis'!$A:$AH,18,0),0)=1,"◎ Should","– N/A"))</f>
        <v>◎ Should</v>
      </c>
      <c r="T8" s="156" t="str">
        <f>IF(COUNTIFS('Product Order Book'!$A:$A,$A8,'Product Order Book'!$E:$E,T$3)&gt;0,"✓ Takes",IF(IFERROR(VLOOKUP($A8,'Whitespace Analysis'!$A:$AH,28,0),0)=1,"◎ Should","– N/A"))</f>
        <v>◎ Should</v>
      </c>
      <c r="U8" s="156" t="str">
        <f>IF(COUNTIFS('Product Order Book'!$A:$A,$A8,'Product Order Book'!$E:$E,U$3)&gt;0,"✓ Takes",IF(IFERROR(VLOOKUP($A8,'Whitespace Analysis'!$A:$AH,30,0),0)=1,"◎ Should","– N/A"))</f>
        <v>– N/A</v>
      </c>
      <c r="V8" s="156" t="str">
        <f>IF(COUNTIFS('Product Order Book'!$A:$A,$A8,'Product Order Book'!$E:$E,V$3)&gt;0,"✓ Takes",IF(IFERROR(VLOOKUP($A8,'Whitespace Analysis'!$A:$AH,14,0),0)=1,"◎ Should","– N/A"))</f>
        <v>– N/A</v>
      </c>
      <c r="AA8" s="154" t="s">
        <v>21</v>
      </c>
      <c r="AB8" s="156">
        <f>COUNTIFS($B$4:$B$221,1,G$4:G$221,"&gt;"&amp;0)</f>
        <v>27</v>
      </c>
    </row>
    <row r="9" spans="1:28" ht="15" customHeight="1">
      <c r="A9" s="154" t="s">
        <v>2015</v>
      </c>
      <c r="B9" s="155">
        <f>IFERROR(MIN(1,COUNTIFS('Product Order Book'!$A$2:$A$1057,$A9,'Product Order Book'!$E$2:$E$1057,B$3)/INDEX('Clean Package Product Lists'!$C:$C,MATCH(B$3,'Clean Package Product Lists'!$A:$A,0))),"")</f>
        <v>0</v>
      </c>
      <c r="C9" s="155">
        <f>IFERROR(MIN(1,COUNTIFS('Product Order Book'!$A$2:$A$1057,$A9,'Product Order Book'!$E$2:$E$1057,C$3)/INDEX('Clean Package Product Lists'!$C:$C,MATCH(C$3,'Clean Package Product Lists'!$A:$A,0))),"")</f>
        <v>0</v>
      </c>
      <c r="D9" s="155">
        <f>IFERROR(MIN(1,COUNTIFS('Product Order Book'!$A$2:$A$1057,$A9,'Product Order Book'!$E$2:$E$1057,D$3)/INDEX('Clean Package Product Lists'!$C:$C,MATCH(D$3,'Clean Package Product Lists'!$A:$A,0))),"")</f>
        <v>0</v>
      </c>
      <c r="E9" s="155">
        <f>IFERROR(MIN(1,COUNTIFS('Product Order Book'!$A$2:$A$1057,$A9,'Product Order Book'!$E$2:$E$1057,E$3)/INDEX('Clean Package Product Lists'!$C:$C,MATCH(E$3,'Clean Package Product Lists'!$A:$A,0))),"")</f>
        <v>0</v>
      </c>
      <c r="F9" s="155">
        <f>IFERROR(MIN(1,COUNTIFS('Product Order Book'!$A$2:$A$1057,$A9,'Product Order Book'!$E$2:$E$1057,F$3)/INDEX('Clean Package Product Lists'!$C:$C,MATCH(F$3,'Clean Package Product Lists'!$A:$A,0))),"")</f>
        <v>0.33333333333333331</v>
      </c>
      <c r="G9" s="155">
        <f>IFERROR(MIN(1,COUNTIFS('Product Order Book'!$A$2:$A$1057,$A9,'Product Order Book'!$E$2:$E$1057,G$3)/INDEX('Clean Package Product Lists'!$C:$C,MATCH(G$3,'Clean Package Product Lists'!$A:$A,0))),"")</f>
        <v>0</v>
      </c>
      <c r="H9" s="155">
        <f>IFERROR(MIN(1,COUNTIFS('Product Order Book'!$A$2:$A$1057,$A9,'Product Order Book'!$E$2:$E$1057,H$3)/INDEX('Clean Package Product Lists'!$C:$C,MATCH(H$3,'Clean Package Product Lists'!$A:$A,0))),"")</f>
        <v>0</v>
      </c>
      <c r="I9" s="155">
        <f>IFERROR(MIN(1,COUNTIFS('Product Order Book'!$A$2:$A$1057,$A9,'Product Order Book'!$E$2:$E$1057,I$3)/INDEX('Clean Package Product Lists'!$C:$C,MATCH(I$3,'Clean Package Product Lists'!$A:$A,0))),"")</f>
        <v>0</v>
      </c>
      <c r="J9" s="155">
        <f>IFERROR(MIN(1,COUNTIFS('Product Order Book'!$A$2:$A$1057,$A9,'Product Order Book'!$E$2:$E$1057,J$3)/INDEX('Clean Package Product Lists'!$C:$C,MATCH(J$3,'Clean Package Product Lists'!$A:$A,0))),"")</f>
        <v>0</v>
      </c>
      <c r="K9" s="155">
        <f>IFERROR(MIN(1,COUNTIFS('Product Order Book'!$A$2:$A$1057,$A9,'Product Order Book'!$E$2:$E$1057,K$3)/INDEX('Clean Package Product Lists'!$C:$C,MATCH(K$3,'Clean Package Product Lists'!$A:$A,0))),"")</f>
        <v>0</v>
      </c>
      <c r="L9" s="154"/>
      <c r="M9" s="156" t="str">
        <f>IF(COUNTIFS('Product Order Book'!$A:$A,$A9,'Product Order Book'!$E:$E,M$3)&gt;0,"✓ Takes",IF(IFERROR(VLOOKUP($A9,'Whitespace Analysis'!$A:$AH,12,0),0)=1,"◎ Should","– N/A"))</f>
        <v>◎ Should</v>
      </c>
      <c r="N9" s="156" t="str">
        <f>IF(COUNTIFS('Product Order Book'!$A:$A,$A9,'Product Order Book'!$E:$E,N$3)&gt;0,"✓ Takes",IF(IFERROR(VLOOKUP($A9,'Whitespace Analysis'!$A:$AH,20,0),0)=1,"◎ Should","– N/A"))</f>
        <v>◎ Should</v>
      </c>
      <c r="O9" s="156" t="str">
        <f>IF(COUNTIFS('Product Order Book'!$A:$A,$A9,'Product Order Book'!$E:$E,O$3)&gt;0,"✓ Takes",IF(IFERROR(VLOOKUP($A9,'Whitespace Analysis'!$A:$AH,22,0),0)=1,"◎ Should","– N/A"))</f>
        <v>◎ Should</v>
      </c>
      <c r="P9" s="156" t="str">
        <f>IF(COUNTIFS('Product Order Book'!$A:$A,$A9,'Product Order Book'!$E:$E,P$3)&gt;0,"✓ Takes",IF(IFERROR(VLOOKUP($A9,'Whitespace Analysis'!$A:$AH,24,0),0)=1,"◎ Should","– N/A"))</f>
        <v>– N/A</v>
      </c>
      <c r="Q9" s="156" t="str">
        <f>IF(COUNTIFS('Product Order Book'!$A:$A,$A9,'Product Order Book'!$E:$E,Q$3)&gt;0,"✓ Takes",IF(IFERROR(VLOOKUP($A9,'Whitespace Analysis'!$A:$AH,26,0),0)=1,"◎ Should","– N/A"))</f>
        <v>✓ Takes</v>
      </c>
      <c r="R9" s="156" t="str">
        <f>IF(COUNTIFS('Product Order Book'!$A:$A,$A9,'Product Order Book'!$E:$E,R$3)&gt;0,"✓ Takes",IF(IFERROR(VLOOKUP($A9,'Whitespace Analysis'!$A:$AH,16,0),0)=1,"◎ Should","– N/A"))</f>
        <v>– N/A</v>
      </c>
      <c r="S9" s="156" t="str">
        <f>IF(COUNTIFS('Product Order Book'!$A:$A,$A9,'Product Order Book'!$E:$E,S$3)&gt;0,"✓ Takes",IF(IFERROR(VLOOKUP($A9,'Whitespace Analysis'!$A:$AH,18,0),0)=1,"◎ Should","– N/A"))</f>
        <v>– N/A</v>
      </c>
      <c r="T9" s="156" t="str">
        <f>IF(COUNTIFS('Product Order Book'!$A:$A,$A9,'Product Order Book'!$E:$E,T$3)&gt;0,"✓ Takes",IF(IFERROR(VLOOKUP($A9,'Whitespace Analysis'!$A:$AH,28,0),0)=1,"◎ Should","– N/A"))</f>
        <v>– N/A</v>
      </c>
      <c r="U9" s="156" t="str">
        <f>IF(COUNTIFS('Product Order Book'!$A:$A,$A9,'Product Order Book'!$E:$E,U$3)&gt;0,"✓ Takes",IF(IFERROR(VLOOKUP($A9,'Whitespace Analysis'!$A:$AH,30,0),0)=1,"◎ Should","– N/A"))</f>
        <v>– N/A</v>
      </c>
      <c r="V9" s="156" t="str">
        <f>IF(COUNTIFS('Product Order Book'!$A:$A,$A9,'Product Order Book'!$E:$E,V$3)&gt;0,"✓ Takes",IF(IFERROR(VLOOKUP($A9,'Whitespace Analysis'!$A:$AH,14,0),0)=1,"◎ Should","– N/A"))</f>
        <v>◎ Should</v>
      </c>
      <c r="AA9" s="154" t="s">
        <v>1695</v>
      </c>
      <c r="AB9" s="156">
        <f>COUNTIFS($B$4:$B$221,1,K$4:K$221,"&gt;"&amp;0)</f>
        <v>20</v>
      </c>
    </row>
    <row r="10" spans="1:28" ht="15" customHeight="1">
      <c r="A10" s="154" t="s">
        <v>923</v>
      </c>
      <c r="B10" s="155">
        <f>IFERROR(MIN(1,COUNTIFS('Product Order Book'!$A$2:$A$1057,$A10,'Product Order Book'!$E$2:$E$1057,B$3)/INDEX('Clean Package Product Lists'!$C:$C,MATCH(B$3,'Clean Package Product Lists'!$A:$A,0))),"")</f>
        <v>1</v>
      </c>
      <c r="C10" s="155">
        <f>IFERROR(MIN(1,COUNTIFS('Product Order Book'!$A$2:$A$1057,$A10,'Product Order Book'!$E$2:$E$1057,C$3)/INDEX('Clean Package Product Lists'!$C:$C,MATCH(C$3,'Clean Package Product Lists'!$A:$A,0))),"")</f>
        <v>0</v>
      </c>
      <c r="D10" s="155">
        <f>IFERROR(MIN(1,COUNTIFS('Product Order Book'!$A$2:$A$1057,$A10,'Product Order Book'!$E$2:$E$1057,D$3)/INDEX('Clean Package Product Lists'!$C:$C,MATCH(D$3,'Clean Package Product Lists'!$A:$A,0))),"")</f>
        <v>0</v>
      </c>
      <c r="E10" s="155">
        <f>IFERROR(MIN(1,COUNTIFS('Product Order Book'!$A$2:$A$1057,$A10,'Product Order Book'!$E$2:$E$1057,E$3)/INDEX('Clean Package Product Lists'!$C:$C,MATCH(E$3,'Clean Package Product Lists'!$A:$A,0))),"")</f>
        <v>0</v>
      </c>
      <c r="F10" s="155">
        <f>IFERROR(MIN(1,COUNTIFS('Product Order Book'!$A$2:$A$1057,$A10,'Product Order Book'!$E$2:$E$1057,F$3)/INDEX('Clean Package Product Lists'!$C:$C,MATCH(F$3,'Clean Package Product Lists'!$A:$A,0))),"")</f>
        <v>0</v>
      </c>
      <c r="G10" s="155">
        <f>IFERROR(MIN(1,COUNTIFS('Product Order Book'!$A$2:$A$1057,$A10,'Product Order Book'!$E$2:$E$1057,G$3)/INDEX('Clean Package Product Lists'!$C:$C,MATCH(G$3,'Clean Package Product Lists'!$A:$A,0))),"")</f>
        <v>0</v>
      </c>
      <c r="H10" s="155">
        <f>IFERROR(MIN(1,COUNTIFS('Product Order Book'!$A$2:$A$1057,$A10,'Product Order Book'!$E$2:$E$1057,H$3)/INDEX('Clean Package Product Lists'!$C:$C,MATCH(H$3,'Clean Package Product Lists'!$A:$A,0))),"")</f>
        <v>0</v>
      </c>
      <c r="I10" s="155">
        <f>IFERROR(MIN(1,COUNTIFS('Product Order Book'!$A$2:$A$1057,$A10,'Product Order Book'!$E$2:$E$1057,I$3)/INDEX('Clean Package Product Lists'!$C:$C,MATCH(I$3,'Clean Package Product Lists'!$A:$A,0))),"")</f>
        <v>0</v>
      </c>
      <c r="J10" s="155">
        <f>IFERROR(MIN(1,COUNTIFS('Product Order Book'!$A$2:$A$1057,$A10,'Product Order Book'!$E$2:$E$1057,J$3)/INDEX('Clean Package Product Lists'!$C:$C,MATCH(J$3,'Clean Package Product Lists'!$A:$A,0))),"")</f>
        <v>0</v>
      </c>
      <c r="K10" s="155">
        <f>IFERROR(MIN(1,COUNTIFS('Product Order Book'!$A$2:$A$1057,$A10,'Product Order Book'!$E$2:$E$1057,K$3)/INDEX('Clean Package Product Lists'!$C:$C,MATCH(K$3,'Clean Package Product Lists'!$A:$A,0))),"")</f>
        <v>0</v>
      </c>
      <c r="L10" s="154"/>
      <c r="M10" s="156" t="str">
        <f>IF(COUNTIFS('Product Order Book'!$A:$A,$A10,'Product Order Book'!$E:$E,M$3)&gt;0,"✓ Takes",IF(IFERROR(VLOOKUP($A10,'Whitespace Analysis'!$A:$AH,12,0),0)=1,"◎ Should","– N/A"))</f>
        <v>✓ Takes</v>
      </c>
      <c r="N10" s="156" t="str">
        <f>IF(COUNTIFS('Product Order Book'!$A:$A,$A10,'Product Order Book'!$E:$E,N$3)&gt;0,"✓ Takes",IF(IFERROR(VLOOKUP($A10,'Whitespace Analysis'!$A:$AH,20,0),0)=1,"◎ Should","– N/A"))</f>
        <v>– N/A</v>
      </c>
      <c r="O10" s="156" t="str">
        <f>IF(COUNTIFS('Product Order Book'!$A:$A,$A10,'Product Order Book'!$E:$E,O$3)&gt;0,"✓ Takes",IF(IFERROR(VLOOKUP($A10,'Whitespace Analysis'!$A:$AH,22,0),0)=1,"◎ Should","– N/A"))</f>
        <v>– N/A</v>
      </c>
      <c r="P10" s="156" t="str">
        <f>IF(COUNTIFS('Product Order Book'!$A:$A,$A10,'Product Order Book'!$E:$E,P$3)&gt;0,"✓ Takes",IF(IFERROR(VLOOKUP($A10,'Whitespace Analysis'!$A:$AH,24,0),0)=1,"◎ Should","– N/A"))</f>
        <v>– N/A</v>
      </c>
      <c r="Q10" s="156" t="str">
        <f>IF(COUNTIFS('Product Order Book'!$A:$A,$A10,'Product Order Book'!$E:$E,Q$3)&gt;0,"✓ Takes",IF(IFERROR(VLOOKUP($A10,'Whitespace Analysis'!$A:$AH,26,0),0)=1,"◎ Should","– N/A"))</f>
        <v>– N/A</v>
      </c>
      <c r="R10" s="156" t="str">
        <f>IF(COUNTIFS('Product Order Book'!$A:$A,$A10,'Product Order Book'!$E:$E,R$3)&gt;0,"✓ Takes",IF(IFERROR(VLOOKUP($A10,'Whitespace Analysis'!$A:$AH,16,0),0)=1,"◎ Should","– N/A"))</f>
        <v>◎ Should</v>
      </c>
      <c r="S10" s="156" t="str">
        <f>IF(COUNTIFS('Product Order Book'!$A:$A,$A10,'Product Order Book'!$E:$E,S$3)&gt;0,"✓ Takes",IF(IFERROR(VLOOKUP($A10,'Whitespace Analysis'!$A:$AH,18,0),0)=1,"◎ Should","– N/A"))</f>
        <v>◎ Should</v>
      </c>
      <c r="T10" s="156" t="str">
        <f>IF(COUNTIFS('Product Order Book'!$A:$A,$A10,'Product Order Book'!$E:$E,T$3)&gt;0,"✓ Takes",IF(IFERROR(VLOOKUP($A10,'Whitespace Analysis'!$A:$AH,28,0),0)=1,"◎ Should","– N/A"))</f>
        <v>◎ Should</v>
      </c>
      <c r="U10" s="156" t="str">
        <f>IF(COUNTIFS('Product Order Book'!$A:$A,$A10,'Product Order Book'!$E:$E,U$3)&gt;0,"✓ Takes",IF(IFERROR(VLOOKUP($A10,'Whitespace Analysis'!$A:$AH,30,0),0)=1,"◎ Should","– N/A"))</f>
        <v>– N/A</v>
      </c>
      <c r="V10" s="156" t="str">
        <f>IF(COUNTIFS('Product Order Book'!$A:$A,$A10,'Product Order Book'!$E:$E,V$3)&gt;0,"✓ Takes",IF(IFERROR(VLOOKUP($A10,'Whitespace Analysis'!$A:$AH,14,0),0)=1,"◎ Should","– N/A"))</f>
        <v>– N/A</v>
      </c>
      <c r="AA10" s="154" t="s">
        <v>29</v>
      </c>
      <c r="AB10" s="156">
        <f>COUNTIFS($B$4:$B$221,1,E$4:E$221,"&gt;"&amp;0)</f>
        <v>11</v>
      </c>
    </row>
    <row r="11" spans="1:28" ht="15" customHeight="1">
      <c r="A11" s="154" t="s">
        <v>1985</v>
      </c>
      <c r="B11" s="155">
        <f>IFERROR(MIN(1,COUNTIFS('Product Order Book'!$A$2:$A$1057,$A11,'Product Order Book'!$E$2:$E$1057,B$3)/INDEX('Clean Package Product Lists'!$C:$C,MATCH(B$3,'Clean Package Product Lists'!$A:$A,0))),"")</f>
        <v>1</v>
      </c>
      <c r="C11" s="155">
        <f>IFERROR(MIN(1,COUNTIFS('Product Order Book'!$A$2:$A$1057,$A11,'Product Order Book'!$E$2:$E$1057,C$3)/INDEX('Clean Package Product Lists'!$C:$C,MATCH(C$3,'Clean Package Product Lists'!$A:$A,0))),"")</f>
        <v>0</v>
      </c>
      <c r="D11" s="155">
        <f>IFERROR(MIN(1,COUNTIFS('Product Order Book'!$A$2:$A$1057,$A11,'Product Order Book'!$E$2:$E$1057,D$3)/INDEX('Clean Package Product Lists'!$C:$C,MATCH(D$3,'Clean Package Product Lists'!$A:$A,0))),"")</f>
        <v>0</v>
      </c>
      <c r="E11" s="155">
        <f>IFERROR(MIN(1,COUNTIFS('Product Order Book'!$A$2:$A$1057,$A11,'Product Order Book'!$E$2:$E$1057,E$3)/INDEX('Clean Package Product Lists'!$C:$C,MATCH(E$3,'Clean Package Product Lists'!$A:$A,0))),"")</f>
        <v>0</v>
      </c>
      <c r="F11" s="155">
        <f>IFERROR(MIN(1,COUNTIFS('Product Order Book'!$A$2:$A$1057,$A11,'Product Order Book'!$E$2:$E$1057,F$3)/INDEX('Clean Package Product Lists'!$C:$C,MATCH(F$3,'Clean Package Product Lists'!$A:$A,0))),"")</f>
        <v>0</v>
      </c>
      <c r="G11" s="155">
        <f>IFERROR(MIN(1,COUNTIFS('Product Order Book'!$A$2:$A$1057,$A11,'Product Order Book'!$E$2:$E$1057,G$3)/INDEX('Clean Package Product Lists'!$C:$C,MATCH(G$3,'Clean Package Product Lists'!$A:$A,0))),"")</f>
        <v>0</v>
      </c>
      <c r="H11" s="155">
        <f>IFERROR(MIN(1,COUNTIFS('Product Order Book'!$A$2:$A$1057,$A11,'Product Order Book'!$E$2:$E$1057,H$3)/INDEX('Clean Package Product Lists'!$C:$C,MATCH(H$3,'Clean Package Product Lists'!$A:$A,0))),"")</f>
        <v>0</v>
      </c>
      <c r="I11" s="155">
        <f>IFERROR(MIN(1,COUNTIFS('Product Order Book'!$A$2:$A$1057,$A11,'Product Order Book'!$E$2:$E$1057,I$3)/INDEX('Clean Package Product Lists'!$C:$C,MATCH(I$3,'Clean Package Product Lists'!$A:$A,0))),"")</f>
        <v>0</v>
      </c>
      <c r="J11" s="155">
        <f>IFERROR(MIN(1,COUNTIFS('Product Order Book'!$A$2:$A$1057,$A11,'Product Order Book'!$E$2:$E$1057,J$3)/INDEX('Clean Package Product Lists'!$C:$C,MATCH(J$3,'Clean Package Product Lists'!$A:$A,0))),"")</f>
        <v>0</v>
      </c>
      <c r="K11" s="155">
        <f>IFERROR(MIN(1,COUNTIFS('Product Order Book'!$A$2:$A$1057,$A11,'Product Order Book'!$E$2:$E$1057,K$3)/INDEX('Clean Package Product Lists'!$C:$C,MATCH(K$3,'Clean Package Product Lists'!$A:$A,0))),"")</f>
        <v>0</v>
      </c>
      <c r="L11" s="154"/>
      <c r="M11" s="156" t="str">
        <f>IF(COUNTIFS('Product Order Book'!$A:$A,$A11,'Product Order Book'!$E:$E,M$3)&gt;0,"✓ Takes",IF(IFERROR(VLOOKUP($A11,'Whitespace Analysis'!$A:$AH,12,0),0)=1,"◎ Should","– N/A"))</f>
        <v>✓ Takes</v>
      </c>
      <c r="N11" s="156" t="str">
        <f>IF(COUNTIFS('Product Order Book'!$A:$A,$A11,'Product Order Book'!$E:$E,N$3)&gt;0,"✓ Takes",IF(IFERROR(VLOOKUP($A11,'Whitespace Analysis'!$A:$AH,20,0),0)=1,"◎ Should","– N/A"))</f>
        <v>◎ Should</v>
      </c>
      <c r="O11" s="156" t="str">
        <f>IF(COUNTIFS('Product Order Book'!$A:$A,$A11,'Product Order Book'!$E:$E,O$3)&gt;0,"✓ Takes",IF(IFERROR(VLOOKUP($A11,'Whitespace Analysis'!$A:$AH,22,0),0)=1,"◎ Should","– N/A"))</f>
        <v>◎ Should</v>
      </c>
      <c r="P11" s="156" t="str">
        <f>IF(COUNTIFS('Product Order Book'!$A:$A,$A11,'Product Order Book'!$E:$E,P$3)&gt;0,"✓ Takes",IF(IFERROR(VLOOKUP($A11,'Whitespace Analysis'!$A:$AH,24,0),0)=1,"◎ Should","– N/A"))</f>
        <v>◎ Should</v>
      </c>
      <c r="Q11" s="156" t="str">
        <f>IF(COUNTIFS('Product Order Book'!$A:$A,$A11,'Product Order Book'!$E:$E,Q$3)&gt;0,"✓ Takes",IF(IFERROR(VLOOKUP($A11,'Whitespace Analysis'!$A:$AH,26,0),0)=1,"◎ Should","– N/A"))</f>
        <v>◎ Should</v>
      </c>
      <c r="R11" s="156" t="str">
        <f>IF(COUNTIFS('Product Order Book'!$A:$A,$A11,'Product Order Book'!$E:$E,R$3)&gt;0,"✓ Takes",IF(IFERROR(VLOOKUP($A11,'Whitespace Analysis'!$A:$AH,16,0),0)=1,"◎ Should","– N/A"))</f>
        <v>– N/A</v>
      </c>
      <c r="S11" s="156" t="str">
        <f>IF(COUNTIFS('Product Order Book'!$A:$A,$A11,'Product Order Book'!$E:$E,S$3)&gt;0,"✓ Takes",IF(IFERROR(VLOOKUP($A11,'Whitespace Analysis'!$A:$AH,18,0),0)=1,"◎ Should","– N/A"))</f>
        <v>– N/A</v>
      </c>
      <c r="T11" s="156" t="str">
        <f>IF(COUNTIFS('Product Order Book'!$A:$A,$A11,'Product Order Book'!$E:$E,T$3)&gt;0,"✓ Takes",IF(IFERROR(VLOOKUP($A11,'Whitespace Analysis'!$A:$AH,28,0),0)=1,"◎ Should","– N/A"))</f>
        <v>– N/A</v>
      </c>
      <c r="U11" s="156" t="str">
        <f>IF(COUNTIFS('Product Order Book'!$A:$A,$A11,'Product Order Book'!$E:$E,U$3)&gt;0,"✓ Takes",IF(IFERROR(VLOOKUP($A11,'Whitespace Analysis'!$A:$AH,30,0),0)=1,"◎ Should","– N/A"))</f>
        <v>– N/A</v>
      </c>
      <c r="V11" s="156" t="str">
        <f>IF(COUNTIFS('Product Order Book'!$A:$A,$A11,'Product Order Book'!$E:$E,V$3)&gt;0,"✓ Takes",IF(IFERROR(VLOOKUP($A11,'Whitespace Analysis'!$A:$AH,14,0),0)=1,"◎ Should","– N/A"))</f>
        <v>– N/A</v>
      </c>
      <c r="AA11" s="154" t="s">
        <v>31</v>
      </c>
      <c r="AB11" s="156">
        <f>COUNTIFS($B$4:$B$221,1,F$4:F$221,"&gt;"&amp;0)</f>
        <v>11</v>
      </c>
    </row>
    <row r="12" spans="1:28" ht="15" customHeight="1">
      <c r="A12" s="154" t="s">
        <v>193</v>
      </c>
      <c r="B12" s="155">
        <f>IFERROR(MIN(1,COUNTIFS('Product Order Book'!$A$2:$A$1057,$A12,'Product Order Book'!$E$2:$E$1057,B$3)/INDEX('Clean Package Product Lists'!$C:$C,MATCH(B$3,'Clean Package Product Lists'!$A:$A,0))),"")</f>
        <v>0</v>
      </c>
      <c r="C12" s="155">
        <f>IFERROR(MIN(1,COUNTIFS('Product Order Book'!$A$2:$A$1057,$A12,'Product Order Book'!$E$2:$E$1057,C$3)/INDEX('Clean Package Product Lists'!$C:$C,MATCH(C$3,'Clean Package Product Lists'!$A:$A,0))),"")</f>
        <v>0</v>
      </c>
      <c r="D12" s="155">
        <f>IFERROR(MIN(1,COUNTIFS('Product Order Book'!$A$2:$A$1057,$A12,'Product Order Book'!$E$2:$E$1057,D$3)/INDEX('Clean Package Product Lists'!$C:$C,MATCH(D$3,'Clean Package Product Lists'!$A:$A,0))),"")</f>
        <v>0</v>
      </c>
      <c r="E12" s="155">
        <f>IFERROR(MIN(1,COUNTIFS('Product Order Book'!$A$2:$A$1057,$A12,'Product Order Book'!$E$2:$E$1057,E$3)/INDEX('Clean Package Product Lists'!$C:$C,MATCH(E$3,'Clean Package Product Lists'!$A:$A,0))),"")</f>
        <v>0</v>
      </c>
      <c r="F12" s="155">
        <f>IFERROR(MIN(1,COUNTIFS('Product Order Book'!$A$2:$A$1057,$A12,'Product Order Book'!$E$2:$E$1057,F$3)/INDEX('Clean Package Product Lists'!$C:$C,MATCH(F$3,'Clean Package Product Lists'!$A:$A,0))),"")</f>
        <v>0</v>
      </c>
      <c r="G12" s="155">
        <f>IFERROR(MIN(1,COUNTIFS('Product Order Book'!$A$2:$A$1057,$A12,'Product Order Book'!$E$2:$E$1057,G$3)/INDEX('Clean Package Product Lists'!$C:$C,MATCH(G$3,'Clean Package Product Lists'!$A:$A,0))),"")</f>
        <v>0</v>
      </c>
      <c r="H12" s="155">
        <f>IFERROR(MIN(1,COUNTIFS('Product Order Book'!$A$2:$A$1057,$A12,'Product Order Book'!$E$2:$E$1057,H$3)/INDEX('Clean Package Product Lists'!$C:$C,MATCH(H$3,'Clean Package Product Lists'!$A:$A,0))),"")</f>
        <v>0</v>
      </c>
      <c r="I12" s="155">
        <f>IFERROR(MIN(1,COUNTIFS('Product Order Book'!$A$2:$A$1057,$A12,'Product Order Book'!$E$2:$E$1057,I$3)/INDEX('Clean Package Product Lists'!$C:$C,MATCH(I$3,'Clean Package Product Lists'!$A:$A,0))),"")</f>
        <v>0</v>
      </c>
      <c r="J12" s="155">
        <f>IFERROR(MIN(1,COUNTIFS('Product Order Book'!$A$2:$A$1057,$A12,'Product Order Book'!$E$2:$E$1057,J$3)/INDEX('Clean Package Product Lists'!$C:$C,MATCH(J$3,'Clean Package Product Lists'!$A:$A,0))),"")</f>
        <v>1</v>
      </c>
      <c r="K12" s="155">
        <f>IFERROR(MIN(1,COUNTIFS('Product Order Book'!$A$2:$A$1057,$A12,'Product Order Book'!$E$2:$E$1057,K$3)/INDEX('Clean Package Product Lists'!$C:$C,MATCH(K$3,'Clean Package Product Lists'!$A:$A,0))),"")</f>
        <v>0</v>
      </c>
      <c r="L12" s="154"/>
      <c r="M12" s="156" t="str">
        <f>IF(COUNTIFS('Product Order Book'!$A:$A,$A12,'Product Order Book'!$E:$E,M$3)&gt;0,"✓ Takes",IF(IFERROR(VLOOKUP($A12,'Whitespace Analysis'!$A:$AH,12,0),0)=1,"◎ Should","– N/A"))</f>
        <v>◎ Should</v>
      </c>
      <c r="N12" s="156" t="str">
        <f>IF(COUNTIFS('Product Order Book'!$A:$A,$A12,'Product Order Book'!$E:$E,N$3)&gt;0,"✓ Takes",IF(IFERROR(VLOOKUP($A12,'Whitespace Analysis'!$A:$AH,20,0),0)=1,"◎ Should","– N/A"))</f>
        <v>– N/A</v>
      </c>
      <c r="O12" s="156" t="str">
        <f>IF(COUNTIFS('Product Order Book'!$A:$A,$A12,'Product Order Book'!$E:$E,O$3)&gt;0,"✓ Takes",IF(IFERROR(VLOOKUP($A12,'Whitespace Analysis'!$A:$AH,22,0),0)=1,"◎ Should","– N/A"))</f>
        <v>– N/A</v>
      </c>
      <c r="P12" s="156" t="str">
        <f>IF(COUNTIFS('Product Order Book'!$A:$A,$A12,'Product Order Book'!$E:$E,P$3)&gt;0,"✓ Takes",IF(IFERROR(VLOOKUP($A12,'Whitespace Analysis'!$A:$AH,24,0),0)=1,"◎ Should","– N/A"))</f>
        <v>– N/A</v>
      </c>
      <c r="Q12" s="156" t="str">
        <f>IF(COUNTIFS('Product Order Book'!$A:$A,$A12,'Product Order Book'!$E:$E,Q$3)&gt;0,"✓ Takes",IF(IFERROR(VLOOKUP($A12,'Whitespace Analysis'!$A:$AH,26,0),0)=1,"◎ Should","– N/A"))</f>
        <v>– N/A</v>
      </c>
      <c r="R12" s="156" t="str">
        <f>IF(COUNTIFS('Product Order Book'!$A:$A,$A12,'Product Order Book'!$E:$E,R$3)&gt;0,"✓ Takes",IF(IFERROR(VLOOKUP($A12,'Whitespace Analysis'!$A:$AH,16,0),0)=1,"◎ Should","– N/A"))</f>
        <v>– N/A</v>
      </c>
      <c r="S12" s="156" t="str">
        <f>IF(COUNTIFS('Product Order Book'!$A:$A,$A12,'Product Order Book'!$E:$E,S$3)&gt;0,"✓ Takes",IF(IFERROR(VLOOKUP($A12,'Whitespace Analysis'!$A:$AH,18,0),0)=1,"◎ Should","– N/A"))</f>
        <v>– N/A</v>
      </c>
      <c r="T12" s="156" t="str">
        <f>IF(COUNTIFS('Product Order Book'!$A:$A,$A12,'Product Order Book'!$E:$E,T$3)&gt;0,"✓ Takes",IF(IFERROR(VLOOKUP($A12,'Whitespace Analysis'!$A:$AH,28,0),0)=1,"◎ Should","– N/A"))</f>
        <v>◎ Should</v>
      </c>
      <c r="U12" s="156" t="str">
        <f>IF(COUNTIFS('Product Order Book'!$A:$A,$A12,'Product Order Book'!$E:$E,U$3)&gt;0,"✓ Takes",IF(IFERROR(VLOOKUP($A12,'Whitespace Analysis'!$A:$AH,30,0),0)=1,"◎ Should","– N/A"))</f>
        <v>✓ Takes</v>
      </c>
      <c r="V12" s="156" t="str">
        <f>IF(COUNTIFS('Product Order Book'!$A:$A,$A12,'Product Order Book'!$E:$E,V$3)&gt;0,"✓ Takes",IF(IFERROR(VLOOKUP($A12,'Whitespace Analysis'!$A:$AH,14,0),0)=1,"◎ Should","– N/A"))</f>
        <v>◎ Should</v>
      </c>
      <c r="AA12" s="154" t="s">
        <v>27</v>
      </c>
      <c r="AB12" s="156">
        <f>COUNTIFS($B$4:$B$221,1,D$4:D$221,"&gt;"&amp;0)</f>
        <v>8</v>
      </c>
    </row>
    <row r="13" spans="1:28" ht="15" customHeight="1">
      <c r="A13" s="154" t="str" cm="1">
        <f t="array" ref="A13:A225">_xlfn._xlws.SORT(_xlfn.UNIQUE('Product Order Book'!A2:A1053),,1)</f>
        <v>1ENERGY Group Ltd</v>
      </c>
      <c r="B13" s="155">
        <f>IFERROR(MIN(1,COUNTIFS('Product Order Book'!$A$2:$A$1057,$A13,'Product Order Book'!$E$2:$E$1057,B$3)/INDEX('Clean Package Product Lists'!$C:$C,MATCH(B$3,'Clean Package Product Lists'!$A:$A,0))),"")</f>
        <v>0</v>
      </c>
      <c r="C13" s="155">
        <f>IFERROR(MIN(1,COUNTIFS('Product Order Book'!$A$2:$A$1057,$A13,'Product Order Book'!$E$2:$E$1057,C$3)/INDEX('Clean Package Product Lists'!$C:$C,MATCH(C$3,'Clean Package Product Lists'!$A:$A,0))),"")</f>
        <v>0</v>
      </c>
      <c r="D13" s="155">
        <f>IFERROR(MIN(1,COUNTIFS('Product Order Book'!$A$2:$A$1057,$A13,'Product Order Book'!$E$2:$E$1057,D$3)/INDEX('Clean Package Product Lists'!$C:$C,MATCH(D$3,'Clean Package Product Lists'!$A:$A,0))),"")</f>
        <v>0</v>
      </c>
      <c r="E13" s="155">
        <f>IFERROR(MIN(1,COUNTIFS('Product Order Book'!$A$2:$A$1057,$A13,'Product Order Book'!$E$2:$E$1057,E$3)/INDEX('Clean Package Product Lists'!$C:$C,MATCH(E$3,'Clean Package Product Lists'!$A:$A,0))),"")</f>
        <v>0</v>
      </c>
      <c r="F13" s="155">
        <f>IFERROR(MIN(1,COUNTIFS('Product Order Book'!$A$2:$A$1057,$A13,'Product Order Book'!$E$2:$E$1057,F$3)/INDEX('Clean Package Product Lists'!$C:$C,MATCH(F$3,'Clean Package Product Lists'!$A:$A,0))),"")</f>
        <v>0</v>
      </c>
      <c r="G13" s="155">
        <f>IFERROR(MIN(1,COUNTIFS('Product Order Book'!$A$2:$A$1057,$A13,'Product Order Book'!$E$2:$E$1057,G$3)/INDEX('Clean Package Product Lists'!$C:$C,MATCH(G$3,'Clean Package Product Lists'!$A:$A,0))),"")</f>
        <v>0</v>
      </c>
      <c r="H13" s="155">
        <f>IFERROR(MIN(1,COUNTIFS('Product Order Book'!$A$2:$A$1057,$A13,'Product Order Book'!$E$2:$E$1057,H$3)/INDEX('Clean Package Product Lists'!$C:$C,MATCH(H$3,'Clean Package Product Lists'!$A:$A,0))),"")</f>
        <v>0</v>
      </c>
      <c r="I13" s="155">
        <f>IFERROR(MIN(1,COUNTIFS('Product Order Book'!$A$2:$A$1057,$A13,'Product Order Book'!$E$2:$E$1057,I$3)/INDEX('Clean Package Product Lists'!$C:$C,MATCH(I$3,'Clean Package Product Lists'!$A:$A,0))),"")</f>
        <v>0</v>
      </c>
      <c r="J13" s="155">
        <f>IFERROR(MIN(1,COUNTIFS('Product Order Book'!$A$2:$A$1057,$A13,'Product Order Book'!$E$2:$E$1057,J$3)/INDEX('Clean Package Product Lists'!$C:$C,MATCH(J$3,'Clean Package Product Lists'!$A:$A,0))),"")</f>
        <v>1</v>
      </c>
      <c r="K13" s="155">
        <f>IFERROR(MIN(1,COUNTIFS('Product Order Book'!$A$2:$A$1057,$A13,'Product Order Book'!$E$2:$E$1057,K$3)/INDEX('Clean Package Product Lists'!$C:$C,MATCH(K$3,'Clean Package Product Lists'!$A:$A,0))),"")</f>
        <v>0</v>
      </c>
      <c r="L13" s="154"/>
      <c r="M13" s="156" t="str">
        <f>IF(COUNTIFS('Product Order Book'!$A:$A,$A13,'Product Order Book'!$E:$E,M$3)&gt;0,"✓ Takes",IF(IFERROR(VLOOKUP($A13,'Whitespace Analysis'!$A:$AH,12,0),0)=1,"◎ Should","– N/A"))</f>
        <v>◎ Should</v>
      </c>
      <c r="N13" s="156" t="str">
        <f>IF(COUNTIFS('Product Order Book'!$A:$A,$A13,'Product Order Book'!$E:$E,N$3)&gt;0,"✓ Takes",IF(IFERROR(VLOOKUP($A13,'Whitespace Analysis'!$A:$AH,20,0),0)=1,"◎ Should","– N/A"))</f>
        <v>– N/A</v>
      </c>
      <c r="O13" s="156" t="str">
        <f>IF(COUNTIFS('Product Order Book'!$A:$A,$A13,'Product Order Book'!$E:$E,O$3)&gt;0,"✓ Takes",IF(IFERROR(VLOOKUP($A13,'Whitespace Analysis'!$A:$AH,22,0),0)=1,"◎ Should","– N/A"))</f>
        <v>– N/A</v>
      </c>
      <c r="P13" s="156" t="str">
        <f>IF(COUNTIFS('Product Order Book'!$A:$A,$A13,'Product Order Book'!$E:$E,P$3)&gt;0,"✓ Takes",IF(IFERROR(VLOOKUP($A13,'Whitespace Analysis'!$A:$AH,24,0),0)=1,"◎ Should","– N/A"))</f>
        <v>– N/A</v>
      </c>
      <c r="Q13" s="156" t="str">
        <f>IF(COUNTIFS('Product Order Book'!$A:$A,$A13,'Product Order Book'!$E:$E,Q$3)&gt;0,"✓ Takes",IF(IFERROR(VLOOKUP($A13,'Whitespace Analysis'!$A:$AH,26,0),0)=1,"◎ Should","– N/A"))</f>
        <v>– N/A</v>
      </c>
      <c r="R13" s="156" t="str">
        <f>IF(COUNTIFS('Product Order Book'!$A:$A,$A13,'Product Order Book'!$E:$E,R$3)&gt;0,"✓ Takes",IF(IFERROR(VLOOKUP($A13,'Whitespace Analysis'!$A:$AH,16,0),0)=1,"◎ Should","– N/A"))</f>
        <v>– N/A</v>
      </c>
      <c r="S13" s="156" t="str">
        <f>IF(COUNTIFS('Product Order Book'!$A:$A,$A13,'Product Order Book'!$E:$E,S$3)&gt;0,"✓ Takes",IF(IFERROR(VLOOKUP($A13,'Whitespace Analysis'!$A:$AH,18,0),0)=1,"◎ Should","– N/A"))</f>
        <v>– N/A</v>
      </c>
      <c r="T13" s="156" t="str">
        <f>IF(COUNTIFS('Product Order Book'!$A:$A,$A13,'Product Order Book'!$E:$E,T$3)&gt;0,"✓ Takes",IF(IFERROR(VLOOKUP($A13,'Whitespace Analysis'!$A:$AH,28,0),0)=1,"◎ Should","– N/A"))</f>
        <v>– N/A</v>
      </c>
      <c r="U13" s="156" t="str">
        <f>IF(COUNTIFS('Product Order Book'!$A:$A,$A13,'Product Order Book'!$E:$E,U$3)&gt;0,"✓ Takes",IF(IFERROR(VLOOKUP($A13,'Whitespace Analysis'!$A:$AH,30,0),0)=1,"◎ Should","– N/A"))</f>
        <v>✓ Takes</v>
      </c>
      <c r="V13" s="156" t="str">
        <f>IF(COUNTIFS('Product Order Book'!$A:$A,$A13,'Product Order Book'!$E:$E,V$3)&gt;0,"✓ Takes",IF(IFERROR(VLOOKUP($A13,'Whitespace Analysis'!$A:$AH,14,0),0)=1,"◎ Should","– N/A"))</f>
        <v>– N/A</v>
      </c>
      <c r="AA13" s="154" t="s">
        <v>1931</v>
      </c>
      <c r="AB13" s="156">
        <f>COUNTIFS($B$4:$B$221,1,I$4:I$221,"&gt;"&amp;0)</f>
        <v>6</v>
      </c>
    </row>
    <row r="14" spans="1:28" ht="15" customHeight="1">
      <c r="A14" s="154" t="str">
        <v>Action Renewables Energy Trading Limited</v>
      </c>
      <c r="B14" s="155">
        <f>IFERROR(MIN(1,COUNTIFS('Product Order Book'!$A$2:$A$1057,$A14,'Product Order Book'!$E$2:$E$1057,B$3)/INDEX('Clean Package Product Lists'!$C:$C,MATCH(B$3,'Clean Package Product Lists'!$A:$A,0))),"")</f>
        <v>0</v>
      </c>
      <c r="C14" s="155">
        <f>IFERROR(MIN(1,COUNTIFS('Product Order Book'!$A$2:$A$1057,$A14,'Product Order Book'!$E$2:$E$1057,C$3)/INDEX('Clean Package Product Lists'!$C:$C,MATCH(C$3,'Clean Package Product Lists'!$A:$A,0))),"")</f>
        <v>0.2857142857142857</v>
      </c>
      <c r="D14" s="155">
        <f>IFERROR(MIN(1,COUNTIFS('Product Order Book'!$A$2:$A$1057,$A14,'Product Order Book'!$E$2:$E$1057,D$3)/INDEX('Clean Package Product Lists'!$C:$C,MATCH(D$3,'Clean Package Product Lists'!$A:$A,0))),"")</f>
        <v>0</v>
      </c>
      <c r="E14" s="155">
        <f>IFERROR(MIN(1,COUNTIFS('Product Order Book'!$A$2:$A$1057,$A14,'Product Order Book'!$E$2:$E$1057,E$3)/INDEX('Clean Package Product Lists'!$C:$C,MATCH(E$3,'Clean Package Product Lists'!$A:$A,0))),"")</f>
        <v>0</v>
      </c>
      <c r="F14" s="155">
        <f>IFERROR(MIN(1,COUNTIFS('Product Order Book'!$A$2:$A$1057,$A14,'Product Order Book'!$E$2:$E$1057,F$3)/INDEX('Clean Package Product Lists'!$C:$C,MATCH(F$3,'Clean Package Product Lists'!$A:$A,0))),"")</f>
        <v>0</v>
      </c>
      <c r="G14" s="155">
        <f>IFERROR(MIN(1,COUNTIFS('Product Order Book'!$A$2:$A$1057,$A14,'Product Order Book'!$E$2:$E$1057,G$3)/INDEX('Clean Package Product Lists'!$C:$C,MATCH(G$3,'Clean Package Product Lists'!$A:$A,0))),"")</f>
        <v>0</v>
      </c>
      <c r="H14" s="155">
        <f>IFERROR(MIN(1,COUNTIFS('Product Order Book'!$A$2:$A$1057,$A14,'Product Order Book'!$E$2:$E$1057,H$3)/INDEX('Clean Package Product Lists'!$C:$C,MATCH(H$3,'Clean Package Product Lists'!$A:$A,0))),"")</f>
        <v>0</v>
      </c>
      <c r="I14" s="155">
        <f>IFERROR(MIN(1,COUNTIFS('Product Order Book'!$A$2:$A$1057,$A14,'Product Order Book'!$E$2:$E$1057,I$3)/INDEX('Clean Package Product Lists'!$C:$C,MATCH(I$3,'Clean Package Product Lists'!$A:$A,0))),"")</f>
        <v>0</v>
      </c>
      <c r="J14" s="155">
        <f>IFERROR(MIN(1,COUNTIFS('Product Order Book'!$A$2:$A$1057,$A14,'Product Order Book'!$E$2:$E$1057,J$3)/INDEX('Clean Package Product Lists'!$C:$C,MATCH(J$3,'Clean Package Product Lists'!$A:$A,0))),"")</f>
        <v>0</v>
      </c>
      <c r="K14" s="155">
        <f>IFERROR(MIN(1,COUNTIFS('Product Order Book'!$A$2:$A$1057,$A14,'Product Order Book'!$E$2:$E$1057,K$3)/INDEX('Clean Package Product Lists'!$C:$C,MATCH(K$3,'Clean Package Product Lists'!$A:$A,0))),"")</f>
        <v>0</v>
      </c>
      <c r="L14" s="154"/>
      <c r="M14" s="156" t="str">
        <f>IF(COUNTIFS('Product Order Book'!$A:$A,$A14,'Product Order Book'!$E:$E,M$3)&gt;0,"✓ Takes",IF(IFERROR(VLOOKUP($A14,'Whitespace Analysis'!$A:$AH,12,0),0)=1,"◎ Should","– N/A"))</f>
        <v>◎ Should</v>
      </c>
      <c r="N14" s="156" t="str">
        <f>IF(COUNTIFS('Product Order Book'!$A:$A,$A14,'Product Order Book'!$E:$E,N$3)&gt;0,"✓ Takes",IF(IFERROR(VLOOKUP($A14,'Whitespace Analysis'!$A:$AH,20,0),0)=1,"◎ Should","– N/A"))</f>
        <v>✓ Takes</v>
      </c>
      <c r="O14" s="156" t="str">
        <f>IF(COUNTIFS('Product Order Book'!$A:$A,$A14,'Product Order Book'!$E:$E,O$3)&gt;0,"✓ Takes",IF(IFERROR(VLOOKUP($A14,'Whitespace Analysis'!$A:$AH,22,0),0)=1,"◎ Should","– N/A"))</f>
        <v>– N/A</v>
      </c>
      <c r="P14" s="156" t="str">
        <f>IF(COUNTIFS('Product Order Book'!$A:$A,$A14,'Product Order Book'!$E:$E,P$3)&gt;0,"✓ Takes",IF(IFERROR(VLOOKUP($A14,'Whitespace Analysis'!$A:$AH,24,0),0)=1,"◎ Should","– N/A"))</f>
        <v>– N/A</v>
      </c>
      <c r="Q14" s="156" t="str">
        <f>IF(COUNTIFS('Product Order Book'!$A:$A,$A14,'Product Order Book'!$E:$E,Q$3)&gt;0,"✓ Takes",IF(IFERROR(VLOOKUP($A14,'Whitespace Analysis'!$A:$AH,26,0),0)=1,"◎ Should","– N/A"))</f>
        <v>– N/A</v>
      </c>
      <c r="R14" s="156" t="str">
        <f>IF(COUNTIFS('Product Order Book'!$A:$A,$A14,'Product Order Book'!$E:$E,R$3)&gt;0,"✓ Takes",IF(IFERROR(VLOOKUP($A14,'Whitespace Analysis'!$A:$AH,16,0),0)=1,"◎ Should","– N/A"))</f>
        <v>◎ Should</v>
      </c>
      <c r="S14" s="156" t="str">
        <f>IF(COUNTIFS('Product Order Book'!$A:$A,$A14,'Product Order Book'!$E:$E,S$3)&gt;0,"✓ Takes",IF(IFERROR(VLOOKUP($A14,'Whitespace Analysis'!$A:$AH,18,0),0)=1,"◎ Should","– N/A"))</f>
        <v>◎ Should</v>
      </c>
      <c r="T14" s="156" t="str">
        <f>IF(COUNTIFS('Product Order Book'!$A:$A,$A14,'Product Order Book'!$E:$E,T$3)&gt;0,"✓ Takes",IF(IFERROR(VLOOKUP($A14,'Whitespace Analysis'!$A:$AH,28,0),0)=1,"◎ Should","– N/A"))</f>
        <v>◎ Should</v>
      </c>
      <c r="U14" s="156" t="str">
        <f>IF(COUNTIFS('Product Order Book'!$A:$A,$A14,'Product Order Book'!$E:$E,U$3)&gt;0,"✓ Takes",IF(IFERROR(VLOOKUP($A14,'Whitespace Analysis'!$A:$AH,30,0),0)=1,"◎ Should","– N/A"))</f>
        <v>– N/A</v>
      </c>
      <c r="V14" s="156" t="str">
        <f>IF(COUNTIFS('Product Order Book'!$A:$A,$A14,'Product Order Book'!$E:$E,V$3)&gt;0,"✓ Takes",IF(IFERROR(VLOOKUP($A14,'Whitespace Analysis'!$A:$AH,14,0),0)=1,"◎ Should","– N/A"))</f>
        <v>– N/A</v>
      </c>
      <c r="AA14" s="154" t="s">
        <v>35</v>
      </c>
      <c r="AB14" s="156">
        <f>COUNTIFS($B$4:$B$221,1,J$4:J$221,"&gt;"&amp;0)</f>
        <v>7</v>
      </c>
    </row>
    <row r="15" spans="1:28" ht="15" customHeight="1">
      <c r="A15" s="154" t="str">
        <v>Aggreko IPP Solutions Development Limited</v>
      </c>
      <c r="B15" s="155">
        <f>IFERROR(MIN(1,COUNTIFS('Product Order Book'!$A$2:$A$1057,$A15,'Product Order Book'!$E$2:$E$1057,B$3)/INDEX('Clean Package Product Lists'!$C:$C,MATCH(B$3,'Clean Package Product Lists'!$A:$A,0))),"")</f>
        <v>1</v>
      </c>
      <c r="C15" s="155">
        <f>IFERROR(MIN(1,COUNTIFS('Product Order Book'!$A$2:$A$1057,$A15,'Product Order Book'!$E$2:$E$1057,C$3)/INDEX('Clean Package Product Lists'!$C:$C,MATCH(C$3,'Clean Package Product Lists'!$A:$A,0))),"")</f>
        <v>0</v>
      </c>
      <c r="D15" s="155">
        <f>IFERROR(MIN(1,COUNTIFS('Product Order Book'!$A$2:$A$1057,$A15,'Product Order Book'!$E$2:$E$1057,D$3)/INDEX('Clean Package Product Lists'!$C:$C,MATCH(D$3,'Clean Package Product Lists'!$A:$A,0))),"")</f>
        <v>0</v>
      </c>
      <c r="E15" s="155">
        <f>IFERROR(MIN(1,COUNTIFS('Product Order Book'!$A$2:$A$1057,$A15,'Product Order Book'!$E$2:$E$1057,E$3)/INDEX('Clean Package Product Lists'!$C:$C,MATCH(E$3,'Clean Package Product Lists'!$A:$A,0))),"")</f>
        <v>0</v>
      </c>
      <c r="F15" s="155">
        <f>IFERROR(MIN(1,COUNTIFS('Product Order Book'!$A$2:$A$1057,$A15,'Product Order Book'!$E$2:$E$1057,F$3)/INDEX('Clean Package Product Lists'!$C:$C,MATCH(F$3,'Clean Package Product Lists'!$A:$A,0))),"")</f>
        <v>0</v>
      </c>
      <c r="G15" s="155">
        <f>IFERROR(MIN(1,COUNTIFS('Product Order Book'!$A$2:$A$1057,$A15,'Product Order Book'!$E$2:$E$1057,G$3)/INDEX('Clean Package Product Lists'!$C:$C,MATCH(G$3,'Clean Package Product Lists'!$A:$A,0))),"")</f>
        <v>0</v>
      </c>
      <c r="H15" s="155">
        <f>IFERROR(MIN(1,COUNTIFS('Product Order Book'!$A$2:$A$1057,$A15,'Product Order Book'!$E$2:$E$1057,H$3)/INDEX('Clean Package Product Lists'!$C:$C,MATCH(H$3,'Clean Package Product Lists'!$A:$A,0))),"")</f>
        <v>0</v>
      </c>
      <c r="I15" s="155">
        <f>IFERROR(MIN(1,COUNTIFS('Product Order Book'!$A$2:$A$1057,$A15,'Product Order Book'!$E$2:$E$1057,I$3)/INDEX('Clean Package Product Lists'!$C:$C,MATCH(I$3,'Clean Package Product Lists'!$A:$A,0))),"")</f>
        <v>0</v>
      </c>
      <c r="J15" s="155">
        <f>IFERROR(MIN(1,COUNTIFS('Product Order Book'!$A$2:$A$1057,$A15,'Product Order Book'!$E$2:$E$1057,J$3)/INDEX('Clean Package Product Lists'!$C:$C,MATCH(J$3,'Clean Package Product Lists'!$A:$A,0))),"")</f>
        <v>1</v>
      </c>
      <c r="K15" s="155">
        <f>IFERROR(MIN(1,COUNTIFS('Product Order Book'!$A$2:$A$1057,$A15,'Product Order Book'!$E$2:$E$1057,K$3)/INDEX('Clean Package Product Lists'!$C:$C,MATCH(K$3,'Clean Package Product Lists'!$A:$A,0))),"")</f>
        <v>0</v>
      </c>
      <c r="L15" s="154"/>
      <c r="M15" s="156" t="str">
        <f>IF(COUNTIFS('Product Order Book'!$A:$A,$A15,'Product Order Book'!$E:$E,M$3)&gt;0,"✓ Takes",IF(IFERROR(VLOOKUP($A15,'Whitespace Analysis'!$A:$AH,12,0),0)=1,"◎ Should","– N/A"))</f>
        <v>✓ Takes</v>
      </c>
      <c r="N15" s="156" t="str">
        <f>IF(COUNTIFS('Product Order Book'!$A:$A,$A15,'Product Order Book'!$E:$E,N$3)&gt;0,"✓ Takes",IF(IFERROR(VLOOKUP($A15,'Whitespace Analysis'!$A:$AH,20,0),0)=1,"◎ Should","– N/A"))</f>
        <v>◎ Should</v>
      </c>
      <c r="O15" s="156" t="str">
        <f>IF(COUNTIFS('Product Order Book'!$A:$A,$A15,'Product Order Book'!$E:$E,O$3)&gt;0,"✓ Takes",IF(IFERROR(VLOOKUP($A15,'Whitespace Analysis'!$A:$AH,22,0),0)=1,"◎ Should","– N/A"))</f>
        <v>◎ Should</v>
      </c>
      <c r="P15" s="156" t="str">
        <f>IF(COUNTIFS('Product Order Book'!$A:$A,$A15,'Product Order Book'!$E:$E,P$3)&gt;0,"✓ Takes",IF(IFERROR(VLOOKUP($A15,'Whitespace Analysis'!$A:$AH,24,0),0)=1,"◎ Should","– N/A"))</f>
        <v>◎ Should</v>
      </c>
      <c r="Q15" s="156" t="str">
        <f>IF(COUNTIFS('Product Order Book'!$A:$A,$A15,'Product Order Book'!$E:$E,Q$3)&gt;0,"✓ Takes",IF(IFERROR(VLOOKUP($A15,'Whitespace Analysis'!$A:$AH,26,0),0)=1,"◎ Should","– N/A"))</f>
        <v>◎ Should</v>
      </c>
      <c r="R15" s="156" t="str">
        <f>IF(COUNTIFS('Product Order Book'!$A:$A,$A15,'Product Order Book'!$E:$E,R$3)&gt;0,"✓ Takes",IF(IFERROR(VLOOKUP($A15,'Whitespace Analysis'!$A:$AH,16,0),0)=1,"◎ Should","– N/A"))</f>
        <v>– N/A</v>
      </c>
      <c r="S15" s="156" t="str">
        <f>IF(COUNTIFS('Product Order Book'!$A:$A,$A15,'Product Order Book'!$E:$E,S$3)&gt;0,"✓ Takes",IF(IFERROR(VLOOKUP($A15,'Whitespace Analysis'!$A:$AH,18,0),0)=1,"◎ Should","– N/A"))</f>
        <v>– N/A</v>
      </c>
      <c r="T15" s="156" t="str">
        <f>IF(COUNTIFS('Product Order Book'!$A:$A,$A15,'Product Order Book'!$E:$E,T$3)&gt;0,"✓ Takes",IF(IFERROR(VLOOKUP($A15,'Whitespace Analysis'!$A:$AH,28,0),0)=1,"◎ Should","– N/A"))</f>
        <v>◎ Should</v>
      </c>
      <c r="U15" s="156" t="str">
        <f>IF(COUNTIFS('Product Order Book'!$A:$A,$A15,'Product Order Book'!$E:$E,U$3)&gt;0,"✓ Takes",IF(IFERROR(VLOOKUP($A15,'Whitespace Analysis'!$A:$AH,30,0),0)=1,"◎ Should","– N/A"))</f>
        <v>✓ Takes</v>
      </c>
      <c r="V15" s="156" t="str">
        <f>IF(COUNTIFS('Product Order Book'!$A:$A,$A15,'Product Order Book'!$E:$E,V$3)&gt;0,"✓ Takes",IF(IFERROR(VLOOKUP($A15,'Whitespace Analysis'!$A:$AH,14,0),0)=1,"◎ Should","– N/A"))</f>
        <v>◎ Should</v>
      </c>
    </row>
    <row r="16" spans="1:28" ht="15" customHeight="1">
      <c r="A16" s="154" t="str">
        <v>Alpha Real Capital LLP</v>
      </c>
      <c r="B16" s="155">
        <f>IFERROR(MIN(1,COUNTIFS('Product Order Book'!$A$2:$A$1057,$A16,'Product Order Book'!$E$2:$E$1057,B$3)/INDEX('Clean Package Product Lists'!$C:$C,MATCH(B$3,'Clean Package Product Lists'!$A:$A,0))),"")</f>
        <v>0</v>
      </c>
      <c r="C16" s="155">
        <f>IFERROR(MIN(1,COUNTIFS('Product Order Book'!$A$2:$A$1057,$A16,'Product Order Book'!$E$2:$E$1057,C$3)/INDEX('Clean Package Product Lists'!$C:$C,MATCH(C$3,'Clean Package Product Lists'!$A:$A,0))),"")</f>
        <v>0.14285714285714285</v>
      </c>
      <c r="D16" s="155">
        <f>IFERROR(MIN(1,COUNTIFS('Product Order Book'!$A$2:$A$1057,$A16,'Product Order Book'!$E$2:$E$1057,D$3)/INDEX('Clean Package Product Lists'!$C:$C,MATCH(D$3,'Clean Package Product Lists'!$A:$A,0))),"")</f>
        <v>0</v>
      </c>
      <c r="E16" s="155">
        <f>IFERROR(MIN(1,COUNTIFS('Product Order Book'!$A$2:$A$1057,$A16,'Product Order Book'!$E$2:$E$1057,E$3)/INDEX('Clean Package Product Lists'!$C:$C,MATCH(E$3,'Clean Package Product Lists'!$A:$A,0))),"")</f>
        <v>0</v>
      </c>
      <c r="F16" s="155">
        <f>IFERROR(MIN(1,COUNTIFS('Product Order Book'!$A$2:$A$1057,$A16,'Product Order Book'!$E$2:$E$1057,F$3)/INDEX('Clean Package Product Lists'!$C:$C,MATCH(F$3,'Clean Package Product Lists'!$A:$A,0))),"")</f>
        <v>0</v>
      </c>
      <c r="G16" s="155">
        <f>IFERROR(MIN(1,COUNTIFS('Product Order Book'!$A$2:$A$1057,$A16,'Product Order Book'!$E$2:$E$1057,G$3)/INDEX('Clean Package Product Lists'!$C:$C,MATCH(G$3,'Clean Package Product Lists'!$A:$A,0))),"")</f>
        <v>0</v>
      </c>
      <c r="H16" s="155">
        <f>IFERROR(MIN(1,COUNTIFS('Product Order Book'!$A$2:$A$1057,$A16,'Product Order Book'!$E$2:$E$1057,H$3)/INDEX('Clean Package Product Lists'!$C:$C,MATCH(H$3,'Clean Package Product Lists'!$A:$A,0))),"")</f>
        <v>0</v>
      </c>
      <c r="I16" s="155">
        <f>IFERROR(MIN(1,COUNTIFS('Product Order Book'!$A$2:$A$1057,$A16,'Product Order Book'!$E$2:$E$1057,I$3)/INDEX('Clean Package Product Lists'!$C:$C,MATCH(I$3,'Clean Package Product Lists'!$A:$A,0))),"")</f>
        <v>0</v>
      </c>
      <c r="J16" s="155">
        <f>IFERROR(MIN(1,COUNTIFS('Product Order Book'!$A$2:$A$1057,$A16,'Product Order Book'!$E$2:$E$1057,J$3)/INDEX('Clean Package Product Lists'!$C:$C,MATCH(J$3,'Clean Package Product Lists'!$A:$A,0))),"")</f>
        <v>0</v>
      </c>
      <c r="K16" s="155">
        <f>IFERROR(MIN(1,COUNTIFS('Product Order Book'!$A$2:$A$1057,$A16,'Product Order Book'!$E$2:$E$1057,K$3)/INDEX('Clean Package Product Lists'!$C:$C,MATCH(K$3,'Clean Package Product Lists'!$A:$A,0))),"")</f>
        <v>0</v>
      </c>
      <c r="L16" s="154"/>
      <c r="M16" s="156" t="str">
        <f>IF(COUNTIFS('Product Order Book'!$A:$A,$A16,'Product Order Book'!$E:$E,M$3)&gt;0,"✓ Takes",IF(IFERROR(VLOOKUP($A16,'Whitespace Analysis'!$A:$AH,12,0),0)=1,"◎ Should","– N/A"))</f>
        <v>◎ Should</v>
      </c>
      <c r="N16" s="156" t="str">
        <f>IF(COUNTIFS('Product Order Book'!$A:$A,$A16,'Product Order Book'!$E:$E,N$3)&gt;0,"✓ Takes",IF(IFERROR(VLOOKUP($A16,'Whitespace Analysis'!$A:$AH,20,0),0)=1,"◎ Should","– N/A"))</f>
        <v>✓ Takes</v>
      </c>
      <c r="O16" s="156" t="str">
        <f>IF(COUNTIFS('Product Order Book'!$A:$A,$A16,'Product Order Book'!$E:$E,O$3)&gt;0,"✓ Takes",IF(IFERROR(VLOOKUP($A16,'Whitespace Analysis'!$A:$AH,22,0),0)=1,"◎ Should","– N/A"))</f>
        <v>◎ Should</v>
      </c>
      <c r="P16" s="156" t="str">
        <f>IF(COUNTIFS('Product Order Book'!$A:$A,$A16,'Product Order Book'!$E:$E,P$3)&gt;0,"✓ Takes",IF(IFERROR(VLOOKUP($A16,'Whitespace Analysis'!$A:$AH,24,0),0)=1,"◎ Should","– N/A"))</f>
        <v>◎ Should</v>
      </c>
      <c r="Q16" s="156" t="str">
        <f>IF(COUNTIFS('Product Order Book'!$A:$A,$A16,'Product Order Book'!$E:$E,Q$3)&gt;0,"✓ Takes",IF(IFERROR(VLOOKUP($A16,'Whitespace Analysis'!$A:$AH,26,0),0)=1,"◎ Should","– N/A"))</f>
        <v>◎ Should</v>
      </c>
      <c r="R16" s="156" t="str">
        <f>IF(COUNTIFS('Product Order Book'!$A:$A,$A16,'Product Order Book'!$E:$E,R$3)&gt;0,"✓ Takes",IF(IFERROR(VLOOKUP($A16,'Whitespace Analysis'!$A:$AH,16,0),0)=1,"◎ Should","– N/A"))</f>
        <v>– N/A</v>
      </c>
      <c r="S16" s="156" t="str">
        <f>IF(COUNTIFS('Product Order Book'!$A:$A,$A16,'Product Order Book'!$E:$E,S$3)&gt;0,"✓ Takes",IF(IFERROR(VLOOKUP($A16,'Whitespace Analysis'!$A:$AH,18,0),0)=1,"◎ Should","– N/A"))</f>
        <v>– N/A</v>
      </c>
      <c r="T16" s="156" t="str">
        <f>IF(COUNTIFS('Product Order Book'!$A:$A,$A16,'Product Order Book'!$E:$E,T$3)&gt;0,"✓ Takes",IF(IFERROR(VLOOKUP($A16,'Whitespace Analysis'!$A:$AH,28,0),0)=1,"◎ Should","– N/A"))</f>
        <v>– N/A</v>
      </c>
      <c r="U16" s="156" t="str">
        <f>IF(COUNTIFS('Product Order Book'!$A:$A,$A16,'Product Order Book'!$E:$E,U$3)&gt;0,"✓ Takes",IF(IFERROR(VLOOKUP($A16,'Whitespace Analysis'!$A:$AH,30,0),0)=1,"◎ Should","– N/A"))</f>
        <v>– N/A</v>
      </c>
      <c r="V16" s="156" t="str">
        <f>IF(COUNTIFS('Product Order Book'!$A:$A,$A16,'Product Order Book'!$E:$E,V$3)&gt;0,"✓ Takes",IF(IFERROR(VLOOKUP($A16,'Whitespace Analysis'!$A:$AH,14,0),0)=1,"◎ Should","– N/A"))</f>
        <v>◎ Should</v>
      </c>
      <c r="AA16" s="175" t="s">
        <v>3105</v>
      </c>
    </row>
    <row r="17" spans="1:30" ht="15" customHeight="1">
      <c r="A17" s="154" t="str">
        <v>Ameresco Limited</v>
      </c>
      <c r="B17" s="155">
        <f>IFERROR(MIN(1,COUNTIFS('Product Order Book'!$A$2:$A$1057,$A17,'Product Order Book'!$E$2:$E$1057,B$3)/INDEX('Clean Package Product Lists'!$C:$C,MATCH(B$3,'Clean Package Product Lists'!$A:$A,0))),"")</f>
        <v>1</v>
      </c>
      <c r="C17" s="155">
        <f>IFERROR(MIN(1,COUNTIFS('Product Order Book'!$A$2:$A$1057,$A17,'Product Order Book'!$E$2:$E$1057,C$3)/INDEX('Clean Package Product Lists'!$C:$C,MATCH(C$3,'Clean Package Product Lists'!$A:$A,0))),"")</f>
        <v>0</v>
      </c>
      <c r="D17" s="155">
        <f>IFERROR(MIN(1,COUNTIFS('Product Order Book'!$A$2:$A$1057,$A17,'Product Order Book'!$E$2:$E$1057,D$3)/INDEX('Clean Package Product Lists'!$C:$C,MATCH(D$3,'Clean Package Product Lists'!$A:$A,0))),"")</f>
        <v>0</v>
      </c>
      <c r="E17" s="155">
        <f>IFERROR(MIN(1,COUNTIFS('Product Order Book'!$A$2:$A$1057,$A17,'Product Order Book'!$E$2:$E$1057,E$3)/INDEX('Clean Package Product Lists'!$C:$C,MATCH(E$3,'Clean Package Product Lists'!$A:$A,0))),"")</f>
        <v>0</v>
      </c>
      <c r="F17" s="155">
        <f>IFERROR(MIN(1,COUNTIFS('Product Order Book'!$A$2:$A$1057,$A17,'Product Order Book'!$E$2:$E$1057,F$3)/INDEX('Clean Package Product Lists'!$C:$C,MATCH(F$3,'Clean Package Product Lists'!$A:$A,0))),"")</f>
        <v>0</v>
      </c>
      <c r="G17" s="155">
        <f>IFERROR(MIN(1,COUNTIFS('Product Order Book'!$A$2:$A$1057,$A17,'Product Order Book'!$E$2:$E$1057,G$3)/INDEX('Clean Package Product Lists'!$C:$C,MATCH(G$3,'Clean Package Product Lists'!$A:$A,0))),"")</f>
        <v>0</v>
      </c>
      <c r="H17" s="155">
        <f>IFERROR(MIN(1,COUNTIFS('Product Order Book'!$A$2:$A$1057,$A17,'Product Order Book'!$E$2:$E$1057,H$3)/INDEX('Clean Package Product Lists'!$C:$C,MATCH(H$3,'Clean Package Product Lists'!$A:$A,0))),"")</f>
        <v>0</v>
      </c>
      <c r="I17" s="155">
        <f>IFERROR(MIN(1,COUNTIFS('Product Order Book'!$A$2:$A$1057,$A17,'Product Order Book'!$E$2:$E$1057,I$3)/INDEX('Clean Package Product Lists'!$C:$C,MATCH(I$3,'Clean Package Product Lists'!$A:$A,0))),"")</f>
        <v>0</v>
      </c>
      <c r="J17" s="155">
        <f>IFERROR(MIN(1,COUNTIFS('Product Order Book'!$A$2:$A$1057,$A17,'Product Order Book'!$E$2:$E$1057,J$3)/INDEX('Clean Package Product Lists'!$C:$C,MATCH(J$3,'Clean Package Product Lists'!$A:$A,0))),"")</f>
        <v>0</v>
      </c>
      <c r="K17" s="155">
        <f>IFERROR(MIN(1,COUNTIFS('Product Order Book'!$A$2:$A$1057,$A17,'Product Order Book'!$E$2:$E$1057,K$3)/INDEX('Clean Package Product Lists'!$C:$C,MATCH(K$3,'Clean Package Product Lists'!$A:$A,0))),"")</f>
        <v>0</v>
      </c>
      <c r="L17" s="154"/>
      <c r="M17" s="156" t="str">
        <f>IF(COUNTIFS('Product Order Book'!$A:$A,$A17,'Product Order Book'!$E:$E,M$3)&gt;0,"✓ Takes",IF(IFERROR(VLOOKUP($A17,'Whitespace Analysis'!$A:$AH,12,0),0)=1,"◎ Should","– N/A"))</f>
        <v>✓ Takes</v>
      </c>
      <c r="N17" s="156" t="str">
        <f>IF(COUNTIFS('Product Order Book'!$A:$A,$A17,'Product Order Book'!$E:$E,N$3)&gt;0,"✓ Takes",IF(IFERROR(VLOOKUP($A17,'Whitespace Analysis'!$A:$AH,20,0),0)=1,"◎ Should","– N/A"))</f>
        <v>– N/A</v>
      </c>
      <c r="O17" s="156" t="str">
        <f>IF(COUNTIFS('Product Order Book'!$A:$A,$A17,'Product Order Book'!$E:$E,O$3)&gt;0,"✓ Takes",IF(IFERROR(VLOOKUP($A17,'Whitespace Analysis'!$A:$AH,22,0),0)=1,"◎ Should","– N/A"))</f>
        <v>– N/A</v>
      </c>
      <c r="P17" s="156" t="str">
        <f>IF(COUNTIFS('Product Order Book'!$A:$A,$A17,'Product Order Book'!$E:$E,P$3)&gt;0,"✓ Takes",IF(IFERROR(VLOOKUP($A17,'Whitespace Analysis'!$A:$AH,24,0),0)=1,"◎ Should","– N/A"))</f>
        <v>– N/A</v>
      </c>
      <c r="Q17" s="156" t="str">
        <f>IF(COUNTIFS('Product Order Book'!$A:$A,$A17,'Product Order Book'!$E:$E,Q$3)&gt;0,"✓ Takes",IF(IFERROR(VLOOKUP($A17,'Whitespace Analysis'!$A:$AH,26,0),0)=1,"◎ Should","– N/A"))</f>
        <v>– N/A</v>
      </c>
      <c r="R17" s="156" t="str">
        <f>IF(COUNTIFS('Product Order Book'!$A:$A,$A17,'Product Order Book'!$E:$E,R$3)&gt;0,"✓ Takes",IF(IFERROR(VLOOKUP($A17,'Whitespace Analysis'!$A:$AH,16,0),0)=1,"◎ Should","– N/A"))</f>
        <v>◎ Should</v>
      </c>
      <c r="S17" s="156" t="str">
        <f>IF(COUNTIFS('Product Order Book'!$A:$A,$A17,'Product Order Book'!$E:$E,S$3)&gt;0,"✓ Takes",IF(IFERROR(VLOOKUP($A17,'Whitespace Analysis'!$A:$AH,18,0),0)=1,"◎ Should","– N/A"))</f>
        <v>◎ Should</v>
      </c>
      <c r="T17" s="156" t="str">
        <f>IF(COUNTIFS('Product Order Book'!$A:$A,$A17,'Product Order Book'!$E:$E,T$3)&gt;0,"✓ Takes",IF(IFERROR(VLOOKUP($A17,'Whitespace Analysis'!$A:$AH,28,0),0)=1,"◎ Should","– N/A"))</f>
        <v>◎ Should</v>
      </c>
      <c r="U17" s="156" t="str">
        <f>IF(COUNTIFS('Product Order Book'!$A:$A,$A17,'Product Order Book'!$E:$E,U$3)&gt;0,"✓ Takes",IF(IFERROR(VLOOKUP($A17,'Whitespace Analysis'!$A:$AH,30,0),0)=1,"◎ Should","– N/A"))</f>
        <v>– N/A</v>
      </c>
      <c r="V17" s="156" t="str">
        <f>IF(COUNTIFS('Product Order Book'!$A:$A,$A17,'Product Order Book'!$E:$E,V$3)&gt;0,"✓ Takes",IF(IFERROR(VLOOKUP($A17,'Whitespace Analysis'!$A:$AH,14,0),0)=1,"◎ Should","– N/A"))</f>
        <v>– N/A</v>
      </c>
      <c r="AA17" s="177" t="s">
        <v>3106</v>
      </c>
      <c r="AB17" s="177" t="s">
        <v>3095</v>
      </c>
      <c r="AC17" s="177" t="s">
        <v>3107</v>
      </c>
    </row>
    <row r="18" spans="1:30" ht="15" customHeight="1">
      <c r="A18" s="154" t="str">
        <v>Anesco Limited</v>
      </c>
      <c r="B18" s="155">
        <f>IFERROR(MIN(1,COUNTIFS('Product Order Book'!$A$2:$A$1057,$A18,'Product Order Book'!$E$2:$E$1057,B$3)/INDEX('Clean Package Product Lists'!$C:$C,MATCH(B$3,'Clean Package Product Lists'!$A:$A,0))),"")</f>
        <v>0</v>
      </c>
      <c r="C18" s="155">
        <f>IFERROR(MIN(1,COUNTIFS('Product Order Book'!$A$2:$A$1057,$A18,'Product Order Book'!$E$2:$E$1057,C$3)/INDEX('Clean Package Product Lists'!$C:$C,MATCH(C$3,'Clean Package Product Lists'!$A:$A,0))),"")</f>
        <v>0</v>
      </c>
      <c r="D18" s="155">
        <f>IFERROR(MIN(1,COUNTIFS('Product Order Book'!$A$2:$A$1057,$A18,'Product Order Book'!$E$2:$E$1057,D$3)/INDEX('Clean Package Product Lists'!$C:$C,MATCH(D$3,'Clean Package Product Lists'!$A:$A,0))),"")</f>
        <v>0</v>
      </c>
      <c r="E18" s="155">
        <f>IFERROR(MIN(1,COUNTIFS('Product Order Book'!$A$2:$A$1057,$A18,'Product Order Book'!$E$2:$E$1057,E$3)/INDEX('Clean Package Product Lists'!$C:$C,MATCH(E$3,'Clean Package Product Lists'!$A:$A,0))),"")</f>
        <v>0</v>
      </c>
      <c r="F18" s="155">
        <f>IFERROR(MIN(1,COUNTIFS('Product Order Book'!$A$2:$A$1057,$A18,'Product Order Book'!$E$2:$E$1057,F$3)/INDEX('Clean Package Product Lists'!$C:$C,MATCH(F$3,'Clean Package Product Lists'!$A:$A,0))),"")</f>
        <v>0.33333333333333331</v>
      </c>
      <c r="G18" s="155">
        <f>IFERROR(MIN(1,COUNTIFS('Product Order Book'!$A$2:$A$1057,$A18,'Product Order Book'!$E$2:$E$1057,G$3)/INDEX('Clean Package Product Lists'!$C:$C,MATCH(G$3,'Clean Package Product Lists'!$A:$A,0))),"")</f>
        <v>0</v>
      </c>
      <c r="H18" s="155">
        <f>IFERROR(MIN(1,COUNTIFS('Product Order Book'!$A$2:$A$1057,$A18,'Product Order Book'!$E$2:$E$1057,H$3)/INDEX('Clean Package Product Lists'!$C:$C,MATCH(H$3,'Clean Package Product Lists'!$A:$A,0))),"")</f>
        <v>0</v>
      </c>
      <c r="I18" s="155">
        <f>IFERROR(MIN(1,COUNTIFS('Product Order Book'!$A$2:$A$1057,$A18,'Product Order Book'!$E$2:$E$1057,I$3)/INDEX('Clean Package Product Lists'!$C:$C,MATCH(I$3,'Clean Package Product Lists'!$A:$A,0))),"")</f>
        <v>0</v>
      </c>
      <c r="J18" s="155">
        <f>IFERROR(MIN(1,COUNTIFS('Product Order Book'!$A$2:$A$1057,$A18,'Product Order Book'!$E$2:$E$1057,J$3)/INDEX('Clean Package Product Lists'!$C:$C,MATCH(J$3,'Clean Package Product Lists'!$A:$A,0))),"")</f>
        <v>0</v>
      </c>
      <c r="K18" s="155">
        <f>IFERROR(MIN(1,COUNTIFS('Product Order Book'!$A$2:$A$1057,$A18,'Product Order Book'!$E$2:$E$1057,K$3)/INDEX('Clean Package Product Lists'!$C:$C,MATCH(K$3,'Clean Package Product Lists'!$A:$A,0))),"")</f>
        <v>0</v>
      </c>
      <c r="L18" s="154"/>
      <c r="M18" s="156" t="str">
        <f>IF(COUNTIFS('Product Order Book'!$A:$A,$A18,'Product Order Book'!$E:$E,M$3)&gt;0,"✓ Takes",IF(IFERROR(VLOOKUP($A18,'Whitespace Analysis'!$A:$AH,12,0),0)=1,"◎ Should","– N/A"))</f>
        <v>◎ Should</v>
      </c>
      <c r="N18" s="156" t="str">
        <f>IF(COUNTIFS('Product Order Book'!$A:$A,$A18,'Product Order Book'!$E:$E,N$3)&gt;0,"✓ Takes",IF(IFERROR(VLOOKUP($A18,'Whitespace Analysis'!$A:$AH,20,0),0)=1,"◎ Should","– N/A"))</f>
        <v>◎ Should</v>
      </c>
      <c r="O18" s="156" t="str">
        <f>IF(COUNTIFS('Product Order Book'!$A:$A,$A18,'Product Order Book'!$E:$E,O$3)&gt;0,"✓ Takes",IF(IFERROR(VLOOKUP($A18,'Whitespace Analysis'!$A:$AH,22,0),0)=1,"◎ Should","– N/A"))</f>
        <v>◎ Should</v>
      </c>
      <c r="P18" s="156" t="str">
        <f>IF(COUNTIFS('Product Order Book'!$A:$A,$A18,'Product Order Book'!$E:$E,P$3)&gt;0,"✓ Takes",IF(IFERROR(VLOOKUP($A18,'Whitespace Analysis'!$A:$AH,24,0),0)=1,"◎ Should","– N/A"))</f>
        <v>– N/A</v>
      </c>
      <c r="Q18" s="156" t="str">
        <f>IF(COUNTIFS('Product Order Book'!$A:$A,$A18,'Product Order Book'!$E:$E,Q$3)&gt;0,"✓ Takes",IF(IFERROR(VLOOKUP($A18,'Whitespace Analysis'!$A:$AH,26,0),0)=1,"◎ Should","– N/A"))</f>
        <v>✓ Takes</v>
      </c>
      <c r="R18" s="156" t="str">
        <f>IF(COUNTIFS('Product Order Book'!$A:$A,$A18,'Product Order Book'!$E:$E,R$3)&gt;0,"✓ Takes",IF(IFERROR(VLOOKUP($A18,'Whitespace Analysis'!$A:$AH,16,0),0)=1,"◎ Should","– N/A"))</f>
        <v>– N/A</v>
      </c>
      <c r="S18" s="156" t="str">
        <f>IF(COUNTIFS('Product Order Book'!$A:$A,$A18,'Product Order Book'!$E:$E,S$3)&gt;0,"✓ Takes",IF(IFERROR(VLOOKUP($A18,'Whitespace Analysis'!$A:$AH,18,0),0)=1,"◎ Should","– N/A"))</f>
        <v>– N/A</v>
      </c>
      <c r="T18" s="156" t="str">
        <f>IF(COUNTIFS('Product Order Book'!$A:$A,$A18,'Product Order Book'!$E:$E,T$3)&gt;0,"✓ Takes",IF(IFERROR(VLOOKUP($A18,'Whitespace Analysis'!$A:$AH,28,0),0)=1,"◎ Should","– N/A"))</f>
        <v>– N/A</v>
      </c>
      <c r="U18" s="156" t="str">
        <f>IF(COUNTIFS('Product Order Book'!$A:$A,$A18,'Product Order Book'!$E:$E,U$3)&gt;0,"✓ Takes",IF(IFERROR(VLOOKUP($A18,'Whitespace Analysis'!$A:$AH,30,0),0)=1,"◎ Should","– N/A"))</f>
        <v>– N/A</v>
      </c>
      <c r="V18" s="156" t="str">
        <f>IF(COUNTIFS('Product Order Book'!$A:$A,$A18,'Product Order Book'!$E:$E,V$3)&gt;0,"✓ Takes",IF(IFERROR(VLOOKUP($A18,'Whitespace Analysis'!$A:$AH,14,0),0)=1,"◎ Should","– N/A"))</f>
        <v>◎ Should</v>
      </c>
      <c r="AA18" s="154" t="s">
        <v>3108</v>
      </c>
      <c r="AB18" s="156" cm="1">
        <f t="array" ref="AB18">SUMPRODUCT(($B$4:$B$225=1)*(MMULT(($C$4:$K$225&gt;0)*1,{1;1;1;1;1;1;1;1;1})=0))</f>
        <v>63</v>
      </c>
      <c r="AC18" s="179">
        <f>AB18/SUM($AB$18:$AB$27)</f>
        <v>0.46666666666666667</v>
      </c>
    </row>
    <row r="19" spans="1:30" ht="15" customHeight="1">
      <c r="A19" s="154" t="str">
        <v>Apple Tree Value Solutions Limited</v>
      </c>
      <c r="B19" s="155">
        <f>IFERROR(MIN(1,COUNTIFS('Product Order Book'!$A$2:$A$1057,$A19,'Product Order Book'!$E$2:$E$1057,B$3)/INDEX('Clean Package Product Lists'!$C:$C,MATCH(B$3,'Clean Package Product Lists'!$A:$A,0))),"")</f>
        <v>1</v>
      </c>
      <c r="C19" s="155">
        <f>IFERROR(MIN(1,COUNTIFS('Product Order Book'!$A$2:$A$1057,$A19,'Product Order Book'!$E$2:$E$1057,C$3)/INDEX('Clean Package Product Lists'!$C:$C,MATCH(C$3,'Clean Package Product Lists'!$A:$A,0))),"")</f>
        <v>0</v>
      </c>
      <c r="D19" s="155">
        <f>IFERROR(MIN(1,COUNTIFS('Product Order Book'!$A$2:$A$1057,$A19,'Product Order Book'!$E$2:$E$1057,D$3)/INDEX('Clean Package Product Lists'!$C:$C,MATCH(D$3,'Clean Package Product Lists'!$A:$A,0))),"")</f>
        <v>0</v>
      </c>
      <c r="E19" s="155">
        <f>IFERROR(MIN(1,COUNTIFS('Product Order Book'!$A$2:$A$1057,$A19,'Product Order Book'!$E$2:$E$1057,E$3)/INDEX('Clean Package Product Lists'!$C:$C,MATCH(E$3,'Clean Package Product Lists'!$A:$A,0))),"")</f>
        <v>0</v>
      </c>
      <c r="F19" s="155">
        <f>IFERROR(MIN(1,COUNTIFS('Product Order Book'!$A$2:$A$1057,$A19,'Product Order Book'!$E$2:$E$1057,F$3)/INDEX('Clean Package Product Lists'!$C:$C,MATCH(F$3,'Clean Package Product Lists'!$A:$A,0))),"")</f>
        <v>0</v>
      </c>
      <c r="G19" s="155">
        <f>IFERROR(MIN(1,COUNTIFS('Product Order Book'!$A$2:$A$1057,$A19,'Product Order Book'!$E$2:$E$1057,G$3)/INDEX('Clean Package Product Lists'!$C:$C,MATCH(G$3,'Clean Package Product Lists'!$A:$A,0))),"")</f>
        <v>0</v>
      </c>
      <c r="H19" s="155">
        <f>IFERROR(MIN(1,COUNTIFS('Product Order Book'!$A$2:$A$1057,$A19,'Product Order Book'!$E$2:$E$1057,H$3)/INDEX('Clean Package Product Lists'!$C:$C,MATCH(H$3,'Clean Package Product Lists'!$A:$A,0))),"")</f>
        <v>0</v>
      </c>
      <c r="I19" s="155">
        <f>IFERROR(MIN(1,COUNTIFS('Product Order Book'!$A$2:$A$1057,$A19,'Product Order Book'!$E$2:$E$1057,I$3)/INDEX('Clean Package Product Lists'!$C:$C,MATCH(I$3,'Clean Package Product Lists'!$A:$A,0))),"")</f>
        <v>0</v>
      </c>
      <c r="J19" s="155">
        <f>IFERROR(MIN(1,COUNTIFS('Product Order Book'!$A$2:$A$1057,$A19,'Product Order Book'!$E$2:$E$1057,J$3)/INDEX('Clean Package Product Lists'!$C:$C,MATCH(J$3,'Clean Package Product Lists'!$A:$A,0))),"")</f>
        <v>0</v>
      </c>
      <c r="K19" s="155">
        <f>IFERROR(MIN(1,COUNTIFS('Product Order Book'!$A$2:$A$1057,$A19,'Product Order Book'!$E$2:$E$1057,K$3)/INDEX('Clean Package Product Lists'!$C:$C,MATCH(K$3,'Clean Package Product Lists'!$A:$A,0))),"")</f>
        <v>0</v>
      </c>
      <c r="L19" s="154"/>
      <c r="M19" s="156" t="str">
        <f>IF(COUNTIFS('Product Order Book'!$A:$A,$A19,'Product Order Book'!$E:$E,M$3)&gt;0,"✓ Takes",IF(IFERROR(VLOOKUP($A19,'Whitespace Analysis'!$A:$AH,12,0),0)=1,"◎ Should","– N/A"))</f>
        <v>✓ Takes</v>
      </c>
      <c r="N19" s="156" t="str">
        <f>IF(COUNTIFS('Product Order Book'!$A:$A,$A19,'Product Order Book'!$E:$E,N$3)&gt;0,"✓ Takes",IF(IFERROR(VLOOKUP($A19,'Whitespace Analysis'!$A:$AH,20,0),0)=1,"◎ Should","– N/A"))</f>
        <v>– N/A</v>
      </c>
      <c r="O19" s="156" t="str">
        <f>IF(COUNTIFS('Product Order Book'!$A:$A,$A19,'Product Order Book'!$E:$E,O$3)&gt;0,"✓ Takes",IF(IFERROR(VLOOKUP($A19,'Whitespace Analysis'!$A:$AH,22,0),0)=1,"◎ Should","– N/A"))</f>
        <v>– N/A</v>
      </c>
      <c r="P19" s="156" t="str">
        <f>IF(COUNTIFS('Product Order Book'!$A:$A,$A19,'Product Order Book'!$E:$E,P$3)&gt;0,"✓ Takes",IF(IFERROR(VLOOKUP($A19,'Whitespace Analysis'!$A:$AH,24,0),0)=1,"◎ Should","– N/A"))</f>
        <v>– N/A</v>
      </c>
      <c r="Q19" s="156" t="str">
        <f>IF(COUNTIFS('Product Order Book'!$A:$A,$A19,'Product Order Book'!$E:$E,Q$3)&gt;0,"✓ Takes",IF(IFERROR(VLOOKUP($A19,'Whitespace Analysis'!$A:$AH,26,0),0)=1,"◎ Should","– N/A"))</f>
        <v>– N/A</v>
      </c>
      <c r="R19" s="156" t="str">
        <f>IF(COUNTIFS('Product Order Book'!$A:$A,$A19,'Product Order Book'!$E:$E,R$3)&gt;0,"✓ Takes",IF(IFERROR(VLOOKUP($A19,'Whitespace Analysis'!$A:$AH,16,0),0)=1,"◎ Should","– N/A"))</f>
        <v>◎ Should</v>
      </c>
      <c r="S19" s="156" t="str">
        <f>IF(COUNTIFS('Product Order Book'!$A:$A,$A19,'Product Order Book'!$E:$E,S$3)&gt;0,"✓ Takes",IF(IFERROR(VLOOKUP($A19,'Whitespace Analysis'!$A:$AH,18,0),0)=1,"◎ Should","– N/A"))</f>
        <v>◎ Should</v>
      </c>
      <c r="T19" s="156" t="str">
        <f>IF(COUNTIFS('Product Order Book'!$A:$A,$A19,'Product Order Book'!$E:$E,T$3)&gt;0,"✓ Takes",IF(IFERROR(VLOOKUP($A19,'Whitespace Analysis'!$A:$AH,28,0),0)=1,"◎ Should","– N/A"))</f>
        <v>◎ Should</v>
      </c>
      <c r="U19" s="156" t="str">
        <f>IF(COUNTIFS('Product Order Book'!$A:$A,$A19,'Product Order Book'!$E:$E,U$3)&gt;0,"✓ Takes",IF(IFERROR(VLOOKUP($A19,'Whitespace Analysis'!$A:$AH,30,0),0)=1,"◎ Should","– N/A"))</f>
        <v>– N/A</v>
      </c>
      <c r="V19" s="156" t="str">
        <f>IF(COUNTIFS('Product Order Book'!$A:$A,$A19,'Product Order Book'!$E:$E,V$3)&gt;0,"✓ Takes",IF(IFERROR(VLOOKUP($A19,'Whitespace Analysis'!$A:$AH,14,0),0)=1,"◎ Should","– N/A"))</f>
        <v>– N/A</v>
      </c>
      <c r="AA19" s="154" t="s">
        <v>3109</v>
      </c>
      <c r="AB19" s="156" cm="1">
        <f t="array" ref="AB19">SUMPRODUCT(($B$4:$B$221=1)*(MMULT(($C$4:$K$221&gt;0)*1,{1;1;1;1;1;1;1;1;1})=AD19))</f>
        <v>31</v>
      </c>
      <c r="AC19" s="179">
        <f t="shared" ref="AC19:AC27" si="0">AB19/SUM($AB$18:$AB$27)</f>
        <v>0.22962962962962963</v>
      </c>
      <c r="AD19">
        <v>1</v>
      </c>
    </row>
    <row r="20" spans="1:30" ht="15" customHeight="1">
      <c r="A20" s="154" t="str">
        <v>Asper Iona Holding Company Limited</v>
      </c>
      <c r="B20" s="155">
        <f>IFERROR(MIN(1,COUNTIFS('Product Order Book'!$A$2:$A$1057,$A20,'Product Order Book'!$E$2:$E$1057,B$3)/INDEX('Clean Package Product Lists'!$C:$C,MATCH(B$3,'Clean Package Product Lists'!$A:$A,0))),"")</f>
        <v>1</v>
      </c>
      <c r="C20" s="155">
        <f>IFERROR(MIN(1,COUNTIFS('Product Order Book'!$A$2:$A$1057,$A20,'Product Order Book'!$E$2:$E$1057,C$3)/INDEX('Clean Package Product Lists'!$C:$C,MATCH(C$3,'Clean Package Product Lists'!$A:$A,0))),"")</f>
        <v>0</v>
      </c>
      <c r="D20" s="155">
        <f>IFERROR(MIN(1,COUNTIFS('Product Order Book'!$A$2:$A$1057,$A20,'Product Order Book'!$E$2:$E$1057,D$3)/INDEX('Clean Package Product Lists'!$C:$C,MATCH(D$3,'Clean Package Product Lists'!$A:$A,0))),"")</f>
        <v>0</v>
      </c>
      <c r="E20" s="155">
        <f>IFERROR(MIN(1,COUNTIFS('Product Order Book'!$A$2:$A$1057,$A20,'Product Order Book'!$E$2:$E$1057,E$3)/INDEX('Clean Package Product Lists'!$C:$C,MATCH(E$3,'Clean Package Product Lists'!$A:$A,0))),"")</f>
        <v>0</v>
      </c>
      <c r="F20" s="155">
        <f>IFERROR(MIN(1,COUNTIFS('Product Order Book'!$A$2:$A$1057,$A20,'Product Order Book'!$E$2:$E$1057,F$3)/INDEX('Clean Package Product Lists'!$C:$C,MATCH(F$3,'Clean Package Product Lists'!$A:$A,0))),"")</f>
        <v>0</v>
      </c>
      <c r="G20" s="155">
        <f>IFERROR(MIN(1,COUNTIFS('Product Order Book'!$A$2:$A$1057,$A20,'Product Order Book'!$E$2:$E$1057,G$3)/INDEX('Clean Package Product Lists'!$C:$C,MATCH(G$3,'Clean Package Product Lists'!$A:$A,0))),"")</f>
        <v>0</v>
      </c>
      <c r="H20" s="155">
        <f>IFERROR(MIN(1,COUNTIFS('Product Order Book'!$A$2:$A$1057,$A20,'Product Order Book'!$E$2:$E$1057,H$3)/INDEX('Clean Package Product Lists'!$C:$C,MATCH(H$3,'Clean Package Product Lists'!$A:$A,0))),"")</f>
        <v>0</v>
      </c>
      <c r="I20" s="155">
        <f>IFERROR(MIN(1,COUNTIFS('Product Order Book'!$A$2:$A$1057,$A20,'Product Order Book'!$E$2:$E$1057,I$3)/INDEX('Clean Package Product Lists'!$C:$C,MATCH(I$3,'Clean Package Product Lists'!$A:$A,0))),"")</f>
        <v>0</v>
      </c>
      <c r="J20" s="155">
        <f>IFERROR(MIN(1,COUNTIFS('Product Order Book'!$A$2:$A$1057,$A20,'Product Order Book'!$E$2:$E$1057,J$3)/INDEX('Clean Package Product Lists'!$C:$C,MATCH(J$3,'Clean Package Product Lists'!$A:$A,0))),"")</f>
        <v>0</v>
      </c>
      <c r="K20" s="155">
        <f>IFERROR(MIN(1,COUNTIFS('Product Order Book'!$A$2:$A$1057,$A20,'Product Order Book'!$E$2:$E$1057,K$3)/INDEX('Clean Package Product Lists'!$C:$C,MATCH(K$3,'Clean Package Product Lists'!$A:$A,0))),"")</f>
        <v>0</v>
      </c>
      <c r="L20" s="154"/>
      <c r="M20" s="156" t="str">
        <f>IF(COUNTIFS('Product Order Book'!$A:$A,$A20,'Product Order Book'!$E:$E,M$3)&gt;0,"✓ Takes",IF(IFERROR(VLOOKUP($A20,'Whitespace Analysis'!$A:$AH,12,0),0)=1,"◎ Should","– N/A"))</f>
        <v>✓ Takes</v>
      </c>
      <c r="N20" s="156" t="str">
        <f>IF(COUNTIFS('Product Order Book'!$A:$A,$A20,'Product Order Book'!$E:$E,N$3)&gt;0,"✓ Takes",IF(IFERROR(VLOOKUP($A20,'Whitespace Analysis'!$A:$AH,20,0),0)=1,"◎ Should","– N/A"))</f>
        <v>◎ Should</v>
      </c>
      <c r="O20" s="156" t="str">
        <f>IF(COUNTIFS('Product Order Book'!$A:$A,$A20,'Product Order Book'!$E:$E,O$3)&gt;0,"✓ Takes",IF(IFERROR(VLOOKUP($A20,'Whitespace Analysis'!$A:$AH,22,0),0)=1,"◎ Should","– N/A"))</f>
        <v>◎ Should</v>
      </c>
      <c r="P20" s="156" t="str">
        <f>IF(COUNTIFS('Product Order Book'!$A:$A,$A20,'Product Order Book'!$E:$E,P$3)&gt;0,"✓ Takes",IF(IFERROR(VLOOKUP($A20,'Whitespace Analysis'!$A:$AH,24,0),0)=1,"◎ Should","– N/A"))</f>
        <v>◎ Should</v>
      </c>
      <c r="Q20" s="156" t="str">
        <f>IF(COUNTIFS('Product Order Book'!$A:$A,$A20,'Product Order Book'!$E:$E,Q$3)&gt;0,"✓ Takes",IF(IFERROR(VLOOKUP($A20,'Whitespace Analysis'!$A:$AH,26,0),0)=1,"◎ Should","– N/A"))</f>
        <v>◎ Should</v>
      </c>
      <c r="R20" s="156" t="str">
        <f>IF(COUNTIFS('Product Order Book'!$A:$A,$A20,'Product Order Book'!$E:$E,R$3)&gt;0,"✓ Takes",IF(IFERROR(VLOOKUP($A20,'Whitespace Analysis'!$A:$AH,16,0),0)=1,"◎ Should","– N/A"))</f>
        <v>– N/A</v>
      </c>
      <c r="S20" s="156" t="str">
        <f>IF(COUNTIFS('Product Order Book'!$A:$A,$A20,'Product Order Book'!$E:$E,S$3)&gt;0,"✓ Takes",IF(IFERROR(VLOOKUP($A20,'Whitespace Analysis'!$A:$AH,18,0),0)=1,"◎ Should","– N/A"))</f>
        <v>– N/A</v>
      </c>
      <c r="T20" s="156" t="str">
        <f>IF(COUNTIFS('Product Order Book'!$A:$A,$A20,'Product Order Book'!$E:$E,T$3)&gt;0,"✓ Takes",IF(IFERROR(VLOOKUP($A20,'Whitespace Analysis'!$A:$AH,28,0),0)=1,"◎ Should","– N/A"))</f>
        <v>– N/A</v>
      </c>
      <c r="U20" s="156" t="str">
        <f>IF(COUNTIFS('Product Order Book'!$A:$A,$A20,'Product Order Book'!$E:$E,U$3)&gt;0,"✓ Takes",IF(IFERROR(VLOOKUP($A20,'Whitespace Analysis'!$A:$AH,30,0),0)=1,"◎ Should","– N/A"))</f>
        <v>– N/A</v>
      </c>
      <c r="V20" s="156" t="str">
        <f>IF(COUNTIFS('Product Order Book'!$A:$A,$A20,'Product Order Book'!$E:$E,V$3)&gt;0,"✓ Takes",IF(IFERROR(VLOOKUP($A20,'Whitespace Analysis'!$A:$AH,14,0),0)=1,"◎ Should","– N/A"))</f>
        <v>– N/A</v>
      </c>
      <c r="AA20" s="154" t="s">
        <v>3110</v>
      </c>
      <c r="AB20" s="156" cm="1">
        <f t="array" ref="AB20">SUMPRODUCT(($B$4:$B$221=1)*(MMULT(($C$4:$K$221&gt;0)*1,{1;1;1;1;1;1;1;1;1})=AD20))</f>
        <v>19</v>
      </c>
      <c r="AC20" s="179">
        <f t="shared" si="0"/>
        <v>0.14074074074074075</v>
      </c>
      <c r="AD20">
        <v>2</v>
      </c>
    </row>
    <row r="21" spans="1:30" ht="15" customHeight="1">
      <c r="A21" s="154" t="str">
        <v>Associated British Ports</v>
      </c>
      <c r="B21" s="155">
        <f>IFERROR(MIN(1,COUNTIFS('Product Order Book'!$A$2:$A$1057,$A21,'Product Order Book'!$E$2:$E$1057,B$3)/INDEX('Clean Package Product Lists'!$C:$C,MATCH(B$3,'Clean Package Product Lists'!$A:$A,0))),"")</f>
        <v>0</v>
      </c>
      <c r="C21" s="155">
        <f>IFERROR(MIN(1,COUNTIFS('Product Order Book'!$A$2:$A$1057,$A21,'Product Order Book'!$E$2:$E$1057,C$3)/INDEX('Clean Package Product Lists'!$C:$C,MATCH(C$3,'Clean Package Product Lists'!$A:$A,0))),"")</f>
        <v>0</v>
      </c>
      <c r="D21" s="155">
        <f>IFERROR(MIN(1,COUNTIFS('Product Order Book'!$A$2:$A$1057,$A21,'Product Order Book'!$E$2:$E$1057,D$3)/INDEX('Clean Package Product Lists'!$C:$C,MATCH(D$3,'Clean Package Product Lists'!$A:$A,0))),"")</f>
        <v>0</v>
      </c>
      <c r="E21" s="155">
        <f>IFERROR(MIN(1,COUNTIFS('Product Order Book'!$A$2:$A$1057,$A21,'Product Order Book'!$E$2:$E$1057,E$3)/INDEX('Clean Package Product Lists'!$C:$C,MATCH(E$3,'Clean Package Product Lists'!$A:$A,0))),"")</f>
        <v>0</v>
      </c>
      <c r="F21" s="155">
        <f>IFERROR(MIN(1,COUNTIFS('Product Order Book'!$A$2:$A$1057,$A21,'Product Order Book'!$E$2:$E$1057,F$3)/INDEX('Clean Package Product Lists'!$C:$C,MATCH(F$3,'Clean Package Product Lists'!$A:$A,0))),"")</f>
        <v>0</v>
      </c>
      <c r="G21" s="155">
        <f>IFERROR(MIN(1,COUNTIFS('Product Order Book'!$A$2:$A$1057,$A21,'Product Order Book'!$E$2:$E$1057,G$3)/INDEX('Clean Package Product Lists'!$C:$C,MATCH(G$3,'Clean Package Product Lists'!$A:$A,0))),"")</f>
        <v>0</v>
      </c>
      <c r="H21" s="155">
        <f>IFERROR(MIN(1,COUNTIFS('Product Order Book'!$A$2:$A$1057,$A21,'Product Order Book'!$E$2:$E$1057,H$3)/INDEX('Clean Package Product Lists'!$C:$C,MATCH(H$3,'Clean Package Product Lists'!$A:$A,0))),"")</f>
        <v>0</v>
      </c>
      <c r="I21" s="155">
        <f>IFERROR(MIN(1,COUNTIFS('Product Order Book'!$A$2:$A$1057,$A21,'Product Order Book'!$E$2:$E$1057,I$3)/INDEX('Clean Package Product Lists'!$C:$C,MATCH(I$3,'Clean Package Product Lists'!$A:$A,0))),"")</f>
        <v>0</v>
      </c>
      <c r="J21" s="155">
        <f>IFERROR(MIN(1,COUNTIFS('Product Order Book'!$A$2:$A$1057,$A21,'Product Order Book'!$E$2:$E$1057,J$3)/INDEX('Clean Package Product Lists'!$C:$C,MATCH(J$3,'Clean Package Product Lists'!$A:$A,0))),"")</f>
        <v>1</v>
      </c>
      <c r="K21" s="155">
        <f>IFERROR(MIN(1,COUNTIFS('Product Order Book'!$A$2:$A$1057,$A21,'Product Order Book'!$E$2:$E$1057,K$3)/INDEX('Clean Package Product Lists'!$C:$C,MATCH(K$3,'Clean Package Product Lists'!$A:$A,0))),"")</f>
        <v>0</v>
      </c>
      <c r="L21" s="154"/>
      <c r="M21" s="156" t="str">
        <f>IF(COUNTIFS('Product Order Book'!$A:$A,$A21,'Product Order Book'!$E:$E,M$3)&gt;0,"✓ Takes",IF(IFERROR(VLOOKUP($A21,'Whitespace Analysis'!$A:$AH,12,0),0)=1,"◎ Should","– N/A"))</f>
        <v>◎ Should</v>
      </c>
      <c r="N21" s="156" t="str">
        <f>IF(COUNTIFS('Product Order Book'!$A:$A,$A21,'Product Order Book'!$E:$E,N$3)&gt;0,"✓ Takes",IF(IFERROR(VLOOKUP($A21,'Whitespace Analysis'!$A:$AH,20,0),0)=1,"◎ Should","– N/A"))</f>
        <v>– N/A</v>
      </c>
      <c r="O21" s="156" t="str">
        <f>IF(COUNTIFS('Product Order Book'!$A:$A,$A21,'Product Order Book'!$E:$E,O$3)&gt;0,"✓ Takes",IF(IFERROR(VLOOKUP($A21,'Whitespace Analysis'!$A:$AH,22,0),0)=1,"◎ Should","– N/A"))</f>
        <v>– N/A</v>
      </c>
      <c r="P21" s="156" t="str">
        <f>IF(COUNTIFS('Product Order Book'!$A:$A,$A21,'Product Order Book'!$E:$E,P$3)&gt;0,"✓ Takes",IF(IFERROR(VLOOKUP($A21,'Whitespace Analysis'!$A:$AH,24,0),0)=1,"◎ Should","– N/A"))</f>
        <v>– N/A</v>
      </c>
      <c r="Q21" s="156" t="str">
        <f>IF(COUNTIFS('Product Order Book'!$A:$A,$A21,'Product Order Book'!$E:$E,Q$3)&gt;0,"✓ Takes",IF(IFERROR(VLOOKUP($A21,'Whitespace Analysis'!$A:$AH,26,0),0)=1,"◎ Should","– N/A"))</f>
        <v>– N/A</v>
      </c>
      <c r="R21" s="156" t="str">
        <f>IF(COUNTIFS('Product Order Book'!$A:$A,$A21,'Product Order Book'!$E:$E,R$3)&gt;0,"✓ Takes",IF(IFERROR(VLOOKUP($A21,'Whitespace Analysis'!$A:$AH,16,0),0)=1,"◎ Should","– N/A"))</f>
        <v>– N/A</v>
      </c>
      <c r="S21" s="156" t="str">
        <f>IF(COUNTIFS('Product Order Book'!$A:$A,$A21,'Product Order Book'!$E:$E,S$3)&gt;0,"✓ Takes",IF(IFERROR(VLOOKUP($A21,'Whitespace Analysis'!$A:$AH,18,0),0)=1,"◎ Should","– N/A"))</f>
        <v>– N/A</v>
      </c>
      <c r="T21" s="156" t="str">
        <f>IF(COUNTIFS('Product Order Book'!$A:$A,$A21,'Product Order Book'!$E:$E,T$3)&gt;0,"✓ Takes",IF(IFERROR(VLOOKUP($A21,'Whitespace Analysis'!$A:$AH,28,0),0)=1,"◎ Should","– N/A"))</f>
        <v>◎ Should</v>
      </c>
      <c r="U21" s="156" t="str">
        <f>IF(COUNTIFS('Product Order Book'!$A:$A,$A21,'Product Order Book'!$E:$E,U$3)&gt;0,"✓ Takes",IF(IFERROR(VLOOKUP($A21,'Whitespace Analysis'!$A:$AH,30,0),0)=1,"◎ Should","– N/A"))</f>
        <v>✓ Takes</v>
      </c>
      <c r="V21" s="156" t="str">
        <f>IF(COUNTIFS('Product Order Book'!$A:$A,$A21,'Product Order Book'!$E:$E,V$3)&gt;0,"✓ Takes",IF(IFERROR(VLOOKUP($A21,'Whitespace Analysis'!$A:$AH,14,0),0)=1,"◎ Should","– N/A"))</f>
        <v>◎ Should</v>
      </c>
      <c r="AA21" s="154" t="s">
        <v>3111</v>
      </c>
      <c r="AB21" s="156" cm="1">
        <f t="array" ref="AB21">SUMPRODUCT(($B$4:$B$221=1)*(MMULT(($C$4:$K$221&gt;0)*1,{1;1;1;1;1;1;1;1;1})=AD21))</f>
        <v>13</v>
      </c>
      <c r="AC21" s="179">
        <f t="shared" si="0"/>
        <v>9.6296296296296297E-2</v>
      </c>
      <c r="AD21">
        <v>3</v>
      </c>
    </row>
    <row r="22" spans="1:30" ht="15" customHeight="1">
      <c r="A22" s="154" t="str">
        <v>Axpo UK Limited</v>
      </c>
      <c r="B22" s="155">
        <f>IFERROR(MIN(1,COUNTIFS('Product Order Book'!$A$2:$A$1057,$A22,'Product Order Book'!$E$2:$E$1057,B$3)/INDEX('Clean Package Product Lists'!$C:$C,MATCH(B$3,'Clean Package Product Lists'!$A:$A,0))),"")</f>
        <v>1</v>
      </c>
      <c r="C22" s="155">
        <f>IFERROR(MIN(1,COUNTIFS('Product Order Book'!$A$2:$A$1057,$A22,'Product Order Book'!$E$2:$E$1057,C$3)/INDEX('Clean Package Product Lists'!$C:$C,MATCH(C$3,'Clean Package Product Lists'!$A:$A,0))),"")</f>
        <v>0.14285714285714285</v>
      </c>
      <c r="D22" s="155">
        <f>IFERROR(MIN(1,COUNTIFS('Product Order Book'!$A$2:$A$1057,$A22,'Product Order Book'!$E$2:$E$1057,D$3)/INDEX('Clean Package Product Lists'!$C:$C,MATCH(D$3,'Clean Package Product Lists'!$A:$A,0))),"")</f>
        <v>0</v>
      </c>
      <c r="E22" s="155">
        <f>IFERROR(MIN(1,COUNTIFS('Product Order Book'!$A$2:$A$1057,$A22,'Product Order Book'!$E$2:$E$1057,E$3)/INDEX('Clean Package Product Lists'!$C:$C,MATCH(E$3,'Clean Package Product Lists'!$A:$A,0))),"")</f>
        <v>0</v>
      </c>
      <c r="F22" s="155">
        <f>IFERROR(MIN(1,COUNTIFS('Product Order Book'!$A$2:$A$1057,$A22,'Product Order Book'!$E$2:$E$1057,F$3)/INDEX('Clean Package Product Lists'!$C:$C,MATCH(F$3,'Clean Package Product Lists'!$A:$A,0))),"")</f>
        <v>0</v>
      </c>
      <c r="G22" s="155">
        <f>IFERROR(MIN(1,COUNTIFS('Product Order Book'!$A$2:$A$1057,$A22,'Product Order Book'!$E$2:$E$1057,G$3)/INDEX('Clean Package Product Lists'!$C:$C,MATCH(G$3,'Clean Package Product Lists'!$A:$A,0))),"")</f>
        <v>0</v>
      </c>
      <c r="H22" s="155">
        <f>IFERROR(MIN(1,COUNTIFS('Product Order Book'!$A$2:$A$1057,$A22,'Product Order Book'!$E$2:$E$1057,H$3)/INDEX('Clean Package Product Lists'!$C:$C,MATCH(H$3,'Clean Package Product Lists'!$A:$A,0))),"")</f>
        <v>0</v>
      </c>
      <c r="I22" s="155">
        <f>IFERROR(MIN(1,COUNTIFS('Product Order Book'!$A$2:$A$1057,$A22,'Product Order Book'!$E$2:$E$1057,I$3)/INDEX('Clean Package Product Lists'!$C:$C,MATCH(I$3,'Clean Package Product Lists'!$A:$A,0))),"")</f>
        <v>0</v>
      </c>
      <c r="J22" s="155">
        <f>IFERROR(MIN(1,COUNTIFS('Product Order Book'!$A$2:$A$1057,$A22,'Product Order Book'!$E$2:$E$1057,J$3)/INDEX('Clean Package Product Lists'!$C:$C,MATCH(J$3,'Clean Package Product Lists'!$A:$A,0))),"")</f>
        <v>0</v>
      </c>
      <c r="K22" s="155">
        <f>IFERROR(MIN(1,COUNTIFS('Product Order Book'!$A$2:$A$1057,$A22,'Product Order Book'!$E$2:$E$1057,K$3)/INDEX('Clean Package Product Lists'!$C:$C,MATCH(K$3,'Clean Package Product Lists'!$A:$A,0))),"")</f>
        <v>0</v>
      </c>
      <c r="L22" s="154"/>
      <c r="M22" s="156" t="str">
        <f>IF(COUNTIFS('Product Order Book'!$A:$A,$A22,'Product Order Book'!$E:$E,M$3)&gt;0,"✓ Takes",IF(IFERROR(VLOOKUP($A22,'Whitespace Analysis'!$A:$AH,12,0),0)=1,"◎ Should","– N/A"))</f>
        <v>✓ Takes</v>
      </c>
      <c r="N22" s="156" t="str">
        <f>IF(COUNTIFS('Product Order Book'!$A:$A,$A22,'Product Order Book'!$E:$E,N$3)&gt;0,"✓ Takes",IF(IFERROR(VLOOKUP($A22,'Whitespace Analysis'!$A:$AH,20,0),0)=1,"◎ Should","– N/A"))</f>
        <v>✓ Takes</v>
      </c>
      <c r="O22" s="156" t="str">
        <f>IF(COUNTIFS('Product Order Book'!$A:$A,$A22,'Product Order Book'!$E:$E,O$3)&gt;0,"✓ Takes",IF(IFERROR(VLOOKUP($A22,'Whitespace Analysis'!$A:$AH,22,0),0)=1,"◎ Should","– N/A"))</f>
        <v>– N/A</v>
      </c>
      <c r="P22" s="156" t="str">
        <f>IF(COUNTIFS('Product Order Book'!$A:$A,$A22,'Product Order Book'!$E:$E,P$3)&gt;0,"✓ Takes",IF(IFERROR(VLOOKUP($A22,'Whitespace Analysis'!$A:$AH,24,0),0)=1,"◎ Should","– N/A"))</f>
        <v>◎ Should</v>
      </c>
      <c r="Q22" s="156" t="str">
        <f>IF(COUNTIFS('Product Order Book'!$A:$A,$A22,'Product Order Book'!$E:$E,Q$3)&gt;0,"✓ Takes",IF(IFERROR(VLOOKUP($A22,'Whitespace Analysis'!$A:$AH,26,0),0)=1,"◎ Should","– N/A"))</f>
        <v>◎ Should</v>
      </c>
      <c r="R22" s="156" t="str">
        <f>IF(COUNTIFS('Product Order Book'!$A:$A,$A22,'Product Order Book'!$E:$E,R$3)&gt;0,"✓ Takes",IF(IFERROR(VLOOKUP($A22,'Whitespace Analysis'!$A:$AH,16,0),0)=1,"◎ Should","– N/A"))</f>
        <v>◎ Should</v>
      </c>
      <c r="S22" s="156" t="str">
        <f>IF(COUNTIFS('Product Order Book'!$A:$A,$A22,'Product Order Book'!$E:$E,S$3)&gt;0,"✓ Takes",IF(IFERROR(VLOOKUP($A22,'Whitespace Analysis'!$A:$AH,18,0),0)=1,"◎ Should","– N/A"))</f>
        <v>◎ Should</v>
      </c>
      <c r="T22" s="156" t="str">
        <f>IF(COUNTIFS('Product Order Book'!$A:$A,$A22,'Product Order Book'!$E:$E,T$3)&gt;0,"✓ Takes",IF(IFERROR(VLOOKUP($A22,'Whitespace Analysis'!$A:$AH,28,0),0)=1,"◎ Should","– N/A"))</f>
        <v>– N/A</v>
      </c>
      <c r="U22" s="156" t="str">
        <f>IF(COUNTIFS('Product Order Book'!$A:$A,$A22,'Product Order Book'!$E:$E,U$3)&gt;0,"✓ Takes",IF(IFERROR(VLOOKUP($A22,'Whitespace Analysis'!$A:$AH,30,0),0)=1,"◎ Should","– N/A"))</f>
        <v>– N/A</v>
      </c>
      <c r="V22" s="156" t="str">
        <f>IF(COUNTIFS('Product Order Book'!$A:$A,$A22,'Product Order Book'!$E:$E,V$3)&gt;0,"✓ Takes",IF(IFERROR(VLOOKUP($A22,'Whitespace Analysis'!$A:$AH,14,0),0)=1,"◎ Should","– N/A"))</f>
        <v>◎ Should</v>
      </c>
      <c r="AA22" s="154" t="s">
        <v>3112</v>
      </c>
      <c r="AB22" s="156" cm="1">
        <f t="array" ref="AB22">SUMPRODUCT(($B$4:$B$221=1)*(MMULT(($C$4:$K$221&gt;0)*1,{1;1;1;1;1;1;1;1;1})=AD22))</f>
        <v>4</v>
      </c>
      <c r="AC22" s="179">
        <f t="shared" si="0"/>
        <v>2.9629629629629631E-2</v>
      </c>
      <c r="AD22">
        <v>4</v>
      </c>
    </row>
    <row r="23" spans="1:30" ht="15" customHeight="1">
      <c r="A23" s="154" t="str">
        <v>Bevan Brittan LLP</v>
      </c>
      <c r="B23" s="155">
        <f>IFERROR(MIN(1,COUNTIFS('Product Order Book'!$A$2:$A$1057,$A23,'Product Order Book'!$E$2:$E$1057,B$3)/INDEX('Clean Package Product Lists'!$C:$C,MATCH(B$3,'Clean Package Product Lists'!$A:$A,0))),"")</f>
        <v>0</v>
      </c>
      <c r="C23" s="155">
        <f>IFERROR(MIN(1,COUNTIFS('Product Order Book'!$A$2:$A$1057,$A23,'Product Order Book'!$E$2:$E$1057,C$3)/INDEX('Clean Package Product Lists'!$C:$C,MATCH(C$3,'Clean Package Product Lists'!$A:$A,0))),"")</f>
        <v>0</v>
      </c>
      <c r="D23" s="155">
        <f>IFERROR(MIN(1,COUNTIFS('Product Order Book'!$A$2:$A$1057,$A23,'Product Order Book'!$E$2:$E$1057,D$3)/INDEX('Clean Package Product Lists'!$C:$C,MATCH(D$3,'Clean Package Product Lists'!$A:$A,0))),"")</f>
        <v>0</v>
      </c>
      <c r="E23" s="155">
        <f>IFERROR(MIN(1,COUNTIFS('Product Order Book'!$A$2:$A$1057,$A23,'Product Order Book'!$E$2:$E$1057,E$3)/INDEX('Clean Package Product Lists'!$C:$C,MATCH(E$3,'Clean Package Product Lists'!$A:$A,0))),"")</f>
        <v>0</v>
      </c>
      <c r="F23" s="155">
        <f>IFERROR(MIN(1,COUNTIFS('Product Order Book'!$A$2:$A$1057,$A23,'Product Order Book'!$E$2:$E$1057,F$3)/INDEX('Clean Package Product Lists'!$C:$C,MATCH(F$3,'Clean Package Product Lists'!$A:$A,0))),"")</f>
        <v>0</v>
      </c>
      <c r="G23" s="155">
        <f>IFERROR(MIN(1,COUNTIFS('Product Order Book'!$A$2:$A$1057,$A23,'Product Order Book'!$E$2:$E$1057,G$3)/INDEX('Clean Package Product Lists'!$C:$C,MATCH(G$3,'Clean Package Product Lists'!$A:$A,0))),"")</f>
        <v>0</v>
      </c>
      <c r="H23" s="155">
        <f>IFERROR(MIN(1,COUNTIFS('Product Order Book'!$A$2:$A$1057,$A23,'Product Order Book'!$E$2:$E$1057,H$3)/INDEX('Clean Package Product Lists'!$C:$C,MATCH(H$3,'Clean Package Product Lists'!$A:$A,0))),"")</f>
        <v>0</v>
      </c>
      <c r="I23" s="155">
        <f>IFERROR(MIN(1,COUNTIFS('Product Order Book'!$A$2:$A$1057,$A23,'Product Order Book'!$E$2:$E$1057,I$3)/INDEX('Clean Package Product Lists'!$C:$C,MATCH(I$3,'Clean Package Product Lists'!$A:$A,0))),"")</f>
        <v>0</v>
      </c>
      <c r="J23" s="155">
        <f>IFERROR(MIN(1,COUNTIFS('Product Order Book'!$A$2:$A$1057,$A23,'Product Order Book'!$E$2:$E$1057,J$3)/INDEX('Clean Package Product Lists'!$C:$C,MATCH(J$3,'Clean Package Product Lists'!$A:$A,0))),"")</f>
        <v>0</v>
      </c>
      <c r="K23" s="155">
        <f>IFERROR(MIN(1,COUNTIFS('Product Order Book'!$A$2:$A$1057,$A23,'Product Order Book'!$E$2:$E$1057,K$3)/INDEX('Clean Package Product Lists'!$C:$C,MATCH(K$3,'Clean Package Product Lists'!$A:$A,0))),"")</f>
        <v>0</v>
      </c>
      <c r="L23" s="154"/>
      <c r="M23" s="156" t="str">
        <f>IF(COUNTIFS('Product Order Book'!$A:$A,$A23,'Product Order Book'!$E:$E,M$3)&gt;0,"✓ Takes",IF(IFERROR(VLOOKUP($A23,'Whitespace Analysis'!$A:$AH,12,0),0)=1,"◎ Should","– N/A"))</f>
        <v>– N/A</v>
      </c>
      <c r="N23" s="156" t="str">
        <f>IF(COUNTIFS('Product Order Book'!$A:$A,$A23,'Product Order Book'!$E:$E,N$3)&gt;0,"✓ Takes",IF(IFERROR(VLOOKUP($A23,'Whitespace Analysis'!$A:$AH,20,0),0)=1,"◎ Should","– N/A"))</f>
        <v>– N/A</v>
      </c>
      <c r="O23" s="156" t="str">
        <f>IF(COUNTIFS('Product Order Book'!$A:$A,$A23,'Product Order Book'!$E:$E,O$3)&gt;0,"✓ Takes",IF(IFERROR(VLOOKUP($A23,'Whitespace Analysis'!$A:$AH,22,0),0)=1,"◎ Should","– N/A"))</f>
        <v>– N/A</v>
      </c>
      <c r="P23" s="156" t="str">
        <f>IF(COUNTIFS('Product Order Book'!$A:$A,$A23,'Product Order Book'!$E:$E,P$3)&gt;0,"✓ Takes",IF(IFERROR(VLOOKUP($A23,'Whitespace Analysis'!$A:$AH,24,0),0)=1,"◎ Should","– N/A"))</f>
        <v>– N/A</v>
      </c>
      <c r="Q23" s="156" t="str">
        <f>IF(COUNTIFS('Product Order Book'!$A:$A,$A23,'Product Order Book'!$E:$E,Q$3)&gt;0,"✓ Takes",IF(IFERROR(VLOOKUP($A23,'Whitespace Analysis'!$A:$AH,26,0),0)=1,"◎ Should","– N/A"))</f>
        <v>– N/A</v>
      </c>
      <c r="R23" s="156" t="str">
        <f>IF(COUNTIFS('Product Order Book'!$A:$A,$A23,'Product Order Book'!$E:$E,R$3)&gt;0,"✓ Takes",IF(IFERROR(VLOOKUP($A23,'Whitespace Analysis'!$A:$AH,16,0),0)=1,"◎ Should","– N/A"))</f>
        <v>– N/A</v>
      </c>
      <c r="S23" s="156" t="str">
        <f>IF(COUNTIFS('Product Order Book'!$A:$A,$A23,'Product Order Book'!$E:$E,S$3)&gt;0,"✓ Takes",IF(IFERROR(VLOOKUP($A23,'Whitespace Analysis'!$A:$AH,18,0),0)=1,"◎ Should","– N/A"))</f>
        <v>– N/A</v>
      </c>
      <c r="T23" s="156" t="str">
        <f>IF(COUNTIFS('Product Order Book'!$A:$A,$A23,'Product Order Book'!$E:$E,T$3)&gt;0,"✓ Takes",IF(IFERROR(VLOOKUP($A23,'Whitespace Analysis'!$A:$AH,28,0),0)=1,"◎ Should","– N/A"))</f>
        <v>– N/A</v>
      </c>
      <c r="U23" s="156" t="str">
        <f>IF(COUNTIFS('Product Order Book'!$A:$A,$A23,'Product Order Book'!$E:$E,U$3)&gt;0,"✓ Takes",IF(IFERROR(VLOOKUP($A23,'Whitespace Analysis'!$A:$AH,30,0),0)=1,"◎ Should","– N/A"))</f>
        <v>– N/A</v>
      </c>
      <c r="V23" s="156" t="str">
        <f>IF(COUNTIFS('Product Order Book'!$A:$A,$A23,'Product Order Book'!$E:$E,V$3)&gt;0,"✓ Takes",IF(IFERROR(VLOOKUP($A23,'Whitespace Analysis'!$A:$AH,14,0),0)=1,"◎ Should","– N/A"))</f>
        <v>– N/A</v>
      </c>
      <c r="AA23" s="154" t="s">
        <v>3113</v>
      </c>
      <c r="AB23" s="156" cm="1">
        <f t="array" ref="AB23">SUMPRODUCT(($B$4:$B$221=1)*(MMULT(($C$4:$K$221&gt;0)*1,{1;1;1;1;1;1;1;1;1})=AD23))</f>
        <v>3</v>
      </c>
      <c r="AC23" s="179">
        <f t="shared" si="0"/>
        <v>2.2222222222222223E-2</v>
      </c>
      <c r="AD23">
        <v>5</v>
      </c>
    </row>
    <row r="24" spans="1:30" ht="15" customHeight="1">
      <c r="A24" s="154" t="str">
        <v>Biffa Waste Services Ltd</v>
      </c>
      <c r="B24" s="155">
        <f>IFERROR(MIN(1,COUNTIFS('Product Order Book'!$A$2:$A$1057,$A24,'Product Order Book'!$E$2:$E$1057,B$3)/INDEX('Clean Package Product Lists'!$C:$C,MATCH(B$3,'Clean Package Product Lists'!$A:$A,0))),"")</f>
        <v>1</v>
      </c>
      <c r="C24" s="155">
        <f>IFERROR(MIN(1,COUNTIFS('Product Order Book'!$A$2:$A$1057,$A24,'Product Order Book'!$E$2:$E$1057,C$3)/INDEX('Clean Package Product Lists'!$C:$C,MATCH(C$3,'Clean Package Product Lists'!$A:$A,0))),"")</f>
        <v>1</v>
      </c>
      <c r="D24" s="155">
        <f>IFERROR(MIN(1,COUNTIFS('Product Order Book'!$A$2:$A$1057,$A24,'Product Order Book'!$E$2:$E$1057,D$3)/INDEX('Clean Package Product Lists'!$C:$C,MATCH(D$3,'Clean Package Product Lists'!$A:$A,0))),"")</f>
        <v>0</v>
      </c>
      <c r="E24" s="155">
        <f>IFERROR(MIN(1,COUNTIFS('Product Order Book'!$A$2:$A$1057,$A24,'Product Order Book'!$E$2:$E$1057,E$3)/INDEX('Clean Package Product Lists'!$C:$C,MATCH(E$3,'Clean Package Product Lists'!$A:$A,0))),"")</f>
        <v>0</v>
      </c>
      <c r="F24" s="155">
        <f>IFERROR(MIN(1,COUNTIFS('Product Order Book'!$A$2:$A$1057,$A24,'Product Order Book'!$E$2:$E$1057,F$3)/INDEX('Clean Package Product Lists'!$C:$C,MATCH(F$3,'Clean Package Product Lists'!$A:$A,0))),"")</f>
        <v>0</v>
      </c>
      <c r="G24" s="155">
        <f>IFERROR(MIN(1,COUNTIFS('Product Order Book'!$A$2:$A$1057,$A24,'Product Order Book'!$E$2:$E$1057,G$3)/INDEX('Clean Package Product Lists'!$C:$C,MATCH(G$3,'Clean Package Product Lists'!$A:$A,0))),"")</f>
        <v>0</v>
      </c>
      <c r="H24" s="155">
        <f>IFERROR(MIN(1,COUNTIFS('Product Order Book'!$A$2:$A$1057,$A24,'Product Order Book'!$E$2:$E$1057,H$3)/INDEX('Clean Package Product Lists'!$C:$C,MATCH(H$3,'Clean Package Product Lists'!$A:$A,0))),"")</f>
        <v>0</v>
      </c>
      <c r="I24" s="155">
        <f>IFERROR(MIN(1,COUNTIFS('Product Order Book'!$A$2:$A$1057,$A24,'Product Order Book'!$E$2:$E$1057,I$3)/INDEX('Clean Package Product Lists'!$C:$C,MATCH(I$3,'Clean Package Product Lists'!$A:$A,0))),"")</f>
        <v>0</v>
      </c>
      <c r="J24" s="155">
        <f>IFERROR(MIN(1,COUNTIFS('Product Order Book'!$A$2:$A$1057,$A24,'Product Order Book'!$E$2:$E$1057,J$3)/INDEX('Clean Package Product Lists'!$C:$C,MATCH(J$3,'Clean Package Product Lists'!$A:$A,0))),"")</f>
        <v>0</v>
      </c>
      <c r="K24" s="155">
        <f>IFERROR(MIN(1,COUNTIFS('Product Order Book'!$A$2:$A$1057,$A24,'Product Order Book'!$E$2:$E$1057,K$3)/INDEX('Clean Package Product Lists'!$C:$C,MATCH(K$3,'Clean Package Product Lists'!$A:$A,0))),"")</f>
        <v>0</v>
      </c>
      <c r="L24" s="154"/>
      <c r="M24" s="156" t="str">
        <f>IF(COUNTIFS('Product Order Book'!$A:$A,$A24,'Product Order Book'!$E:$E,M$3)&gt;0,"✓ Takes",IF(IFERROR(VLOOKUP($A24,'Whitespace Analysis'!$A:$AH,12,0),0)=1,"◎ Should","– N/A"))</f>
        <v>✓ Takes</v>
      </c>
      <c r="N24" s="156" t="str">
        <f>IF(COUNTIFS('Product Order Book'!$A:$A,$A24,'Product Order Book'!$E:$E,N$3)&gt;0,"✓ Takes",IF(IFERROR(VLOOKUP($A24,'Whitespace Analysis'!$A:$AH,20,0),0)=1,"◎ Should","– N/A"))</f>
        <v>✓ Takes</v>
      </c>
      <c r="O24" s="156" t="str">
        <f>IF(COUNTIFS('Product Order Book'!$A:$A,$A24,'Product Order Book'!$E:$E,O$3)&gt;0,"✓ Takes",IF(IFERROR(VLOOKUP($A24,'Whitespace Analysis'!$A:$AH,22,0),0)=1,"◎ Should","– N/A"))</f>
        <v>◎ Should</v>
      </c>
      <c r="P24" s="156" t="str">
        <f>IF(COUNTIFS('Product Order Book'!$A:$A,$A24,'Product Order Book'!$E:$E,P$3)&gt;0,"✓ Takes",IF(IFERROR(VLOOKUP($A24,'Whitespace Analysis'!$A:$AH,24,0),0)=1,"◎ Should","– N/A"))</f>
        <v>– N/A</v>
      </c>
      <c r="Q24" s="156" t="str">
        <f>IF(COUNTIFS('Product Order Book'!$A:$A,$A24,'Product Order Book'!$E:$E,Q$3)&gt;0,"✓ Takes",IF(IFERROR(VLOOKUP($A24,'Whitespace Analysis'!$A:$AH,26,0),0)=1,"◎ Should","– N/A"))</f>
        <v>– N/A</v>
      </c>
      <c r="R24" s="156" t="str">
        <f>IF(COUNTIFS('Product Order Book'!$A:$A,$A24,'Product Order Book'!$E:$E,R$3)&gt;0,"✓ Takes",IF(IFERROR(VLOOKUP($A24,'Whitespace Analysis'!$A:$AH,16,0),0)=1,"◎ Should","– N/A"))</f>
        <v>– N/A</v>
      </c>
      <c r="S24" s="156" t="str">
        <f>IF(COUNTIFS('Product Order Book'!$A:$A,$A24,'Product Order Book'!$E:$E,S$3)&gt;0,"✓ Takes",IF(IFERROR(VLOOKUP($A24,'Whitespace Analysis'!$A:$AH,18,0),0)=1,"◎ Should","– N/A"))</f>
        <v>– N/A</v>
      </c>
      <c r="T24" s="156" t="str">
        <f>IF(COUNTIFS('Product Order Book'!$A:$A,$A24,'Product Order Book'!$E:$E,T$3)&gt;0,"✓ Takes",IF(IFERROR(VLOOKUP($A24,'Whitespace Analysis'!$A:$AH,28,0),0)=1,"◎ Should","– N/A"))</f>
        <v>◎ Should</v>
      </c>
      <c r="U24" s="156" t="str">
        <f>IF(COUNTIFS('Product Order Book'!$A:$A,$A24,'Product Order Book'!$E:$E,U$3)&gt;0,"✓ Takes",IF(IFERROR(VLOOKUP($A24,'Whitespace Analysis'!$A:$AH,30,0),0)=1,"◎ Should","– N/A"))</f>
        <v>◎ Should</v>
      </c>
      <c r="V24" s="156" t="str">
        <f>IF(COUNTIFS('Product Order Book'!$A:$A,$A24,'Product Order Book'!$E:$E,V$3)&gt;0,"✓ Takes",IF(IFERROR(VLOOKUP($A24,'Whitespace Analysis'!$A:$AH,14,0),0)=1,"◎ Should","– N/A"))</f>
        <v>◎ Should</v>
      </c>
      <c r="AA24" s="154" t="s">
        <v>3114</v>
      </c>
      <c r="AB24" s="156" cm="1">
        <f t="array" ref="AB24">SUMPRODUCT(($B$4:$B$221=1)*(MMULT(($C$4:$K$221&gt;0)*1,{1;1;1;1;1;1;1;1;1})=AD24))</f>
        <v>1</v>
      </c>
      <c r="AC24" s="179">
        <f t="shared" si="0"/>
        <v>7.4074074074074077E-3</v>
      </c>
      <c r="AD24">
        <v>6</v>
      </c>
    </row>
    <row r="25" spans="1:30" ht="15" customHeight="1">
      <c r="A25" s="154" t="str">
        <v>Bio Capital Ltd</v>
      </c>
      <c r="B25" s="155">
        <f>IFERROR(MIN(1,COUNTIFS('Product Order Book'!$A$2:$A$1057,$A25,'Product Order Book'!$E$2:$E$1057,B$3)/INDEX('Clean Package Product Lists'!$C:$C,MATCH(B$3,'Clean Package Product Lists'!$A:$A,0))),"")</f>
        <v>0</v>
      </c>
      <c r="C25" s="155">
        <f>IFERROR(MIN(1,COUNTIFS('Product Order Book'!$A$2:$A$1057,$A25,'Product Order Book'!$E$2:$E$1057,C$3)/INDEX('Clean Package Product Lists'!$C:$C,MATCH(C$3,'Clean Package Product Lists'!$A:$A,0))),"")</f>
        <v>0.14285714285714285</v>
      </c>
      <c r="D25" s="155">
        <f>IFERROR(MIN(1,COUNTIFS('Product Order Book'!$A$2:$A$1057,$A25,'Product Order Book'!$E$2:$E$1057,D$3)/INDEX('Clean Package Product Lists'!$C:$C,MATCH(D$3,'Clean Package Product Lists'!$A:$A,0))),"")</f>
        <v>0</v>
      </c>
      <c r="E25" s="155">
        <f>IFERROR(MIN(1,COUNTIFS('Product Order Book'!$A$2:$A$1057,$A25,'Product Order Book'!$E$2:$E$1057,E$3)/INDEX('Clean Package Product Lists'!$C:$C,MATCH(E$3,'Clean Package Product Lists'!$A:$A,0))),"")</f>
        <v>0</v>
      </c>
      <c r="F25" s="155">
        <f>IFERROR(MIN(1,COUNTIFS('Product Order Book'!$A$2:$A$1057,$A25,'Product Order Book'!$E$2:$E$1057,F$3)/INDEX('Clean Package Product Lists'!$C:$C,MATCH(F$3,'Clean Package Product Lists'!$A:$A,0))),"")</f>
        <v>0</v>
      </c>
      <c r="G25" s="155">
        <f>IFERROR(MIN(1,COUNTIFS('Product Order Book'!$A$2:$A$1057,$A25,'Product Order Book'!$E$2:$E$1057,G$3)/INDEX('Clean Package Product Lists'!$C:$C,MATCH(G$3,'Clean Package Product Lists'!$A:$A,0))),"")</f>
        <v>0</v>
      </c>
      <c r="H25" s="155">
        <f>IFERROR(MIN(1,COUNTIFS('Product Order Book'!$A$2:$A$1057,$A25,'Product Order Book'!$E$2:$E$1057,H$3)/INDEX('Clean Package Product Lists'!$C:$C,MATCH(H$3,'Clean Package Product Lists'!$A:$A,0))),"")</f>
        <v>0</v>
      </c>
      <c r="I25" s="155">
        <f>IFERROR(MIN(1,COUNTIFS('Product Order Book'!$A$2:$A$1057,$A25,'Product Order Book'!$E$2:$E$1057,I$3)/INDEX('Clean Package Product Lists'!$C:$C,MATCH(I$3,'Clean Package Product Lists'!$A:$A,0))),"")</f>
        <v>0</v>
      </c>
      <c r="J25" s="155">
        <f>IFERROR(MIN(1,COUNTIFS('Product Order Book'!$A$2:$A$1057,$A25,'Product Order Book'!$E$2:$E$1057,J$3)/INDEX('Clean Package Product Lists'!$C:$C,MATCH(J$3,'Clean Package Product Lists'!$A:$A,0))),"")</f>
        <v>0</v>
      </c>
      <c r="K25" s="155">
        <f>IFERROR(MIN(1,COUNTIFS('Product Order Book'!$A$2:$A$1057,$A25,'Product Order Book'!$E$2:$E$1057,K$3)/INDEX('Clean Package Product Lists'!$C:$C,MATCH(K$3,'Clean Package Product Lists'!$A:$A,0))),"")</f>
        <v>0</v>
      </c>
      <c r="L25" s="154"/>
      <c r="M25" s="156" t="str">
        <f>IF(COUNTIFS('Product Order Book'!$A:$A,$A25,'Product Order Book'!$E:$E,M$3)&gt;0,"✓ Takes",IF(IFERROR(VLOOKUP($A25,'Whitespace Analysis'!$A:$AH,12,0),0)=1,"◎ Should","– N/A"))</f>
        <v>◎ Should</v>
      </c>
      <c r="N25" s="156" t="str">
        <f>IF(COUNTIFS('Product Order Book'!$A:$A,$A25,'Product Order Book'!$E:$E,N$3)&gt;0,"✓ Takes",IF(IFERROR(VLOOKUP($A25,'Whitespace Analysis'!$A:$AH,20,0),0)=1,"◎ Should","– N/A"))</f>
        <v>✓ Takes</v>
      </c>
      <c r="O25" s="156" t="str">
        <f>IF(COUNTIFS('Product Order Book'!$A:$A,$A25,'Product Order Book'!$E:$E,O$3)&gt;0,"✓ Takes",IF(IFERROR(VLOOKUP($A25,'Whitespace Analysis'!$A:$AH,22,0),0)=1,"◎ Should","– N/A"))</f>
        <v>◎ Should</v>
      </c>
      <c r="P25" s="156" t="str">
        <f>IF(COUNTIFS('Product Order Book'!$A:$A,$A25,'Product Order Book'!$E:$E,P$3)&gt;0,"✓ Takes",IF(IFERROR(VLOOKUP($A25,'Whitespace Analysis'!$A:$AH,24,0),0)=1,"◎ Should","– N/A"))</f>
        <v>◎ Should</v>
      </c>
      <c r="Q25" s="156" t="str">
        <f>IF(COUNTIFS('Product Order Book'!$A:$A,$A25,'Product Order Book'!$E:$E,Q$3)&gt;0,"✓ Takes",IF(IFERROR(VLOOKUP($A25,'Whitespace Analysis'!$A:$AH,26,0),0)=1,"◎ Should","– N/A"))</f>
        <v>◎ Should</v>
      </c>
      <c r="R25" s="156" t="str">
        <f>IF(COUNTIFS('Product Order Book'!$A:$A,$A25,'Product Order Book'!$E:$E,R$3)&gt;0,"✓ Takes",IF(IFERROR(VLOOKUP($A25,'Whitespace Analysis'!$A:$AH,16,0),0)=1,"◎ Should","– N/A"))</f>
        <v>– N/A</v>
      </c>
      <c r="S25" s="156" t="str">
        <f>IF(COUNTIFS('Product Order Book'!$A:$A,$A25,'Product Order Book'!$E:$E,S$3)&gt;0,"✓ Takes",IF(IFERROR(VLOOKUP($A25,'Whitespace Analysis'!$A:$AH,18,0),0)=1,"◎ Should","– N/A"))</f>
        <v>– N/A</v>
      </c>
      <c r="T25" s="156" t="str">
        <f>IF(COUNTIFS('Product Order Book'!$A:$A,$A25,'Product Order Book'!$E:$E,T$3)&gt;0,"✓ Takes",IF(IFERROR(VLOOKUP($A25,'Whitespace Analysis'!$A:$AH,28,0),0)=1,"◎ Should","– N/A"))</f>
        <v>– N/A</v>
      </c>
      <c r="U25" s="156" t="str">
        <f>IF(COUNTIFS('Product Order Book'!$A:$A,$A25,'Product Order Book'!$E:$E,U$3)&gt;0,"✓ Takes",IF(IFERROR(VLOOKUP($A25,'Whitespace Analysis'!$A:$AH,30,0),0)=1,"◎ Should","– N/A"))</f>
        <v>– N/A</v>
      </c>
      <c r="V25" s="156" t="str">
        <f>IF(COUNTIFS('Product Order Book'!$A:$A,$A25,'Product Order Book'!$E:$E,V$3)&gt;0,"✓ Takes",IF(IFERROR(VLOOKUP($A25,'Whitespace Analysis'!$A:$AH,14,0),0)=1,"◎ Should","– N/A"))</f>
        <v>◎ Should</v>
      </c>
      <c r="AA25" s="154" t="s">
        <v>3115</v>
      </c>
      <c r="AB25" s="156" cm="1">
        <f t="array" ref="AB25">SUMPRODUCT(($B$4:$B$221=1)*(MMULT(($C$4:$K$221&gt;0)*1,{1;1;1;1;1;1;1;1;1})=AD25))</f>
        <v>1</v>
      </c>
      <c r="AC25" s="179">
        <f t="shared" si="0"/>
        <v>7.4074074074074077E-3</v>
      </c>
      <c r="AD25">
        <v>7</v>
      </c>
    </row>
    <row r="26" spans="1:30" ht="15" customHeight="1">
      <c r="A26" s="154" t="str">
        <v>Bluefield Renewables 1 Ltd</v>
      </c>
      <c r="B26" s="155">
        <f>IFERROR(MIN(1,COUNTIFS('Product Order Book'!$A$2:$A$1057,$A26,'Product Order Book'!$E$2:$E$1057,B$3)/INDEX('Clean Package Product Lists'!$C:$C,MATCH(B$3,'Clean Package Product Lists'!$A:$A,0))),"")</f>
        <v>1</v>
      </c>
      <c r="C26" s="155">
        <f>IFERROR(MIN(1,COUNTIFS('Product Order Book'!$A$2:$A$1057,$A26,'Product Order Book'!$E$2:$E$1057,C$3)/INDEX('Clean Package Product Lists'!$C:$C,MATCH(C$3,'Clean Package Product Lists'!$A:$A,0))),"")</f>
        <v>0.2857142857142857</v>
      </c>
      <c r="D26" s="155">
        <f>IFERROR(MIN(1,COUNTIFS('Product Order Book'!$A$2:$A$1057,$A26,'Product Order Book'!$E$2:$E$1057,D$3)/INDEX('Clean Package Product Lists'!$C:$C,MATCH(D$3,'Clean Package Product Lists'!$A:$A,0))),"")</f>
        <v>0</v>
      </c>
      <c r="E26" s="155">
        <f>IFERROR(MIN(1,COUNTIFS('Product Order Book'!$A$2:$A$1057,$A26,'Product Order Book'!$E$2:$E$1057,E$3)/INDEX('Clean Package Product Lists'!$C:$C,MATCH(E$3,'Clean Package Product Lists'!$A:$A,0))),"")</f>
        <v>0</v>
      </c>
      <c r="F26" s="155">
        <f>IFERROR(MIN(1,COUNTIFS('Product Order Book'!$A$2:$A$1057,$A26,'Product Order Book'!$E$2:$E$1057,F$3)/INDEX('Clean Package Product Lists'!$C:$C,MATCH(F$3,'Clean Package Product Lists'!$A:$A,0))),"")</f>
        <v>0</v>
      </c>
      <c r="G26" s="155">
        <f>IFERROR(MIN(1,COUNTIFS('Product Order Book'!$A$2:$A$1057,$A26,'Product Order Book'!$E$2:$E$1057,G$3)/INDEX('Clean Package Product Lists'!$C:$C,MATCH(G$3,'Clean Package Product Lists'!$A:$A,0))),"")</f>
        <v>0</v>
      </c>
      <c r="H26" s="155">
        <f>IFERROR(MIN(1,COUNTIFS('Product Order Book'!$A$2:$A$1057,$A26,'Product Order Book'!$E$2:$E$1057,H$3)/INDEX('Clean Package Product Lists'!$C:$C,MATCH(H$3,'Clean Package Product Lists'!$A:$A,0))),"")</f>
        <v>0</v>
      </c>
      <c r="I26" s="155">
        <f>IFERROR(MIN(1,COUNTIFS('Product Order Book'!$A$2:$A$1057,$A26,'Product Order Book'!$E$2:$E$1057,I$3)/INDEX('Clean Package Product Lists'!$C:$C,MATCH(I$3,'Clean Package Product Lists'!$A:$A,0))),"")</f>
        <v>0</v>
      </c>
      <c r="J26" s="155">
        <f>IFERROR(MIN(1,COUNTIFS('Product Order Book'!$A$2:$A$1057,$A26,'Product Order Book'!$E$2:$E$1057,J$3)/INDEX('Clean Package Product Lists'!$C:$C,MATCH(J$3,'Clean Package Product Lists'!$A:$A,0))),"")</f>
        <v>0</v>
      </c>
      <c r="K26" s="155">
        <f>IFERROR(MIN(1,COUNTIFS('Product Order Book'!$A$2:$A$1057,$A26,'Product Order Book'!$E$2:$E$1057,K$3)/INDEX('Clean Package Product Lists'!$C:$C,MATCH(K$3,'Clean Package Product Lists'!$A:$A,0))),"")</f>
        <v>0</v>
      </c>
      <c r="L26" s="154"/>
      <c r="M26" s="156" t="str">
        <f>IF(COUNTIFS('Product Order Book'!$A:$A,$A26,'Product Order Book'!$E:$E,M$3)&gt;0,"✓ Takes",IF(IFERROR(VLOOKUP($A26,'Whitespace Analysis'!$A:$AH,12,0),0)=1,"◎ Should","– N/A"))</f>
        <v>✓ Takes</v>
      </c>
      <c r="N26" s="156" t="str">
        <f>IF(COUNTIFS('Product Order Book'!$A:$A,$A26,'Product Order Book'!$E:$E,N$3)&gt;0,"✓ Takes",IF(IFERROR(VLOOKUP($A26,'Whitespace Analysis'!$A:$AH,20,0),0)=1,"◎ Should","– N/A"))</f>
        <v>✓ Takes</v>
      </c>
      <c r="O26" s="156" t="str">
        <f>IF(COUNTIFS('Product Order Book'!$A:$A,$A26,'Product Order Book'!$E:$E,O$3)&gt;0,"✓ Takes",IF(IFERROR(VLOOKUP($A26,'Whitespace Analysis'!$A:$AH,22,0),0)=1,"◎ Should","– N/A"))</f>
        <v>◎ Should</v>
      </c>
      <c r="P26" s="156" t="str">
        <f>IF(COUNTIFS('Product Order Book'!$A:$A,$A26,'Product Order Book'!$E:$E,P$3)&gt;0,"✓ Takes",IF(IFERROR(VLOOKUP($A26,'Whitespace Analysis'!$A:$AH,24,0),0)=1,"◎ Should","– N/A"))</f>
        <v>◎ Should</v>
      </c>
      <c r="Q26" s="156" t="str">
        <f>IF(COUNTIFS('Product Order Book'!$A:$A,$A26,'Product Order Book'!$E:$E,Q$3)&gt;0,"✓ Takes",IF(IFERROR(VLOOKUP($A26,'Whitespace Analysis'!$A:$AH,26,0),0)=1,"◎ Should","– N/A"))</f>
        <v>◎ Should</v>
      </c>
      <c r="R26" s="156" t="str">
        <f>IF(COUNTIFS('Product Order Book'!$A:$A,$A26,'Product Order Book'!$E:$E,R$3)&gt;0,"✓ Takes",IF(IFERROR(VLOOKUP($A26,'Whitespace Analysis'!$A:$AH,16,0),0)=1,"◎ Should","– N/A"))</f>
        <v>– N/A</v>
      </c>
      <c r="S26" s="156" t="str">
        <f>IF(COUNTIFS('Product Order Book'!$A:$A,$A26,'Product Order Book'!$E:$E,S$3)&gt;0,"✓ Takes",IF(IFERROR(VLOOKUP($A26,'Whitespace Analysis'!$A:$AH,18,0),0)=1,"◎ Should","– N/A"))</f>
        <v>– N/A</v>
      </c>
      <c r="T26" s="156" t="str">
        <f>IF(COUNTIFS('Product Order Book'!$A:$A,$A26,'Product Order Book'!$E:$E,T$3)&gt;0,"✓ Takes",IF(IFERROR(VLOOKUP($A26,'Whitespace Analysis'!$A:$AH,28,0),0)=1,"◎ Should","– N/A"))</f>
        <v>– N/A</v>
      </c>
      <c r="U26" s="156" t="str">
        <f>IF(COUNTIFS('Product Order Book'!$A:$A,$A26,'Product Order Book'!$E:$E,U$3)&gt;0,"✓ Takes",IF(IFERROR(VLOOKUP($A26,'Whitespace Analysis'!$A:$AH,30,0),0)=1,"◎ Should","– N/A"))</f>
        <v>– N/A</v>
      </c>
      <c r="V26" s="156" t="str">
        <f>IF(COUNTIFS('Product Order Book'!$A:$A,$A26,'Product Order Book'!$E:$E,V$3)&gt;0,"✓ Takes",IF(IFERROR(VLOOKUP($A26,'Whitespace Analysis'!$A:$AH,14,0),0)=1,"◎ Should","– N/A"))</f>
        <v>◎ Should</v>
      </c>
      <c r="AA26" s="154" t="s">
        <v>3116</v>
      </c>
      <c r="AB26" s="156" cm="1">
        <f t="array" ref="AB26">SUMPRODUCT(($B$4:$B$221=1)*(MMULT(($C$4:$K$221&gt;0)*1,{1;1;1;1;1;1;1;1;1})=AD26))</f>
        <v>0</v>
      </c>
      <c r="AC26" s="179">
        <f t="shared" si="0"/>
        <v>0</v>
      </c>
      <c r="AD26">
        <v>8</v>
      </c>
    </row>
    <row r="27" spans="1:30" ht="15" customHeight="1">
      <c r="A27" s="154" t="str">
        <v>Boom Power Ltd</v>
      </c>
      <c r="B27" s="155">
        <f>IFERROR(MIN(1,COUNTIFS('Product Order Book'!$A$2:$A$1057,$A27,'Product Order Book'!$E$2:$E$1057,B$3)/INDEX('Clean Package Product Lists'!$C:$C,MATCH(B$3,'Clean Package Product Lists'!$A:$A,0))),"")</f>
        <v>0</v>
      </c>
      <c r="C27" s="155">
        <f>IFERROR(MIN(1,COUNTIFS('Product Order Book'!$A$2:$A$1057,$A27,'Product Order Book'!$E$2:$E$1057,C$3)/INDEX('Clean Package Product Lists'!$C:$C,MATCH(C$3,'Clean Package Product Lists'!$A:$A,0))),"")</f>
        <v>0</v>
      </c>
      <c r="D27" s="155">
        <f>IFERROR(MIN(1,COUNTIFS('Product Order Book'!$A$2:$A$1057,$A27,'Product Order Book'!$E$2:$E$1057,D$3)/INDEX('Clean Package Product Lists'!$C:$C,MATCH(D$3,'Clean Package Product Lists'!$A:$A,0))),"")</f>
        <v>0</v>
      </c>
      <c r="E27" s="155">
        <f>IFERROR(MIN(1,COUNTIFS('Product Order Book'!$A$2:$A$1057,$A27,'Product Order Book'!$E$2:$E$1057,E$3)/INDEX('Clean Package Product Lists'!$C:$C,MATCH(E$3,'Clean Package Product Lists'!$A:$A,0))),"")</f>
        <v>0</v>
      </c>
      <c r="F27" s="155">
        <f>IFERROR(MIN(1,COUNTIFS('Product Order Book'!$A$2:$A$1057,$A27,'Product Order Book'!$E$2:$E$1057,F$3)/INDEX('Clean Package Product Lists'!$C:$C,MATCH(F$3,'Clean Package Product Lists'!$A:$A,0))),"")</f>
        <v>0.33333333333333331</v>
      </c>
      <c r="G27" s="155">
        <f>IFERROR(MIN(1,COUNTIFS('Product Order Book'!$A$2:$A$1057,$A27,'Product Order Book'!$E$2:$E$1057,G$3)/INDEX('Clean Package Product Lists'!$C:$C,MATCH(G$3,'Clean Package Product Lists'!$A:$A,0))),"")</f>
        <v>0</v>
      </c>
      <c r="H27" s="155">
        <f>IFERROR(MIN(1,COUNTIFS('Product Order Book'!$A$2:$A$1057,$A27,'Product Order Book'!$E$2:$E$1057,H$3)/INDEX('Clean Package Product Lists'!$C:$C,MATCH(H$3,'Clean Package Product Lists'!$A:$A,0))),"")</f>
        <v>0</v>
      </c>
      <c r="I27" s="155">
        <f>IFERROR(MIN(1,COUNTIFS('Product Order Book'!$A$2:$A$1057,$A27,'Product Order Book'!$E$2:$E$1057,I$3)/INDEX('Clean Package Product Lists'!$C:$C,MATCH(I$3,'Clean Package Product Lists'!$A:$A,0))),"")</f>
        <v>0</v>
      </c>
      <c r="J27" s="155">
        <f>IFERROR(MIN(1,COUNTIFS('Product Order Book'!$A$2:$A$1057,$A27,'Product Order Book'!$E$2:$E$1057,J$3)/INDEX('Clean Package Product Lists'!$C:$C,MATCH(J$3,'Clean Package Product Lists'!$A:$A,0))),"")</f>
        <v>0</v>
      </c>
      <c r="K27" s="155">
        <f>IFERROR(MIN(1,COUNTIFS('Product Order Book'!$A$2:$A$1057,$A27,'Product Order Book'!$E$2:$E$1057,K$3)/INDEX('Clean Package Product Lists'!$C:$C,MATCH(K$3,'Clean Package Product Lists'!$A:$A,0))),"")</f>
        <v>0</v>
      </c>
      <c r="L27" s="154"/>
      <c r="M27" s="156" t="str">
        <f>IF(COUNTIFS('Product Order Book'!$A:$A,$A27,'Product Order Book'!$E:$E,M$3)&gt;0,"✓ Takes",IF(IFERROR(VLOOKUP($A27,'Whitespace Analysis'!$A:$AH,12,0),0)=1,"◎ Should","– N/A"))</f>
        <v>◎ Should</v>
      </c>
      <c r="N27" s="156" t="str">
        <f>IF(COUNTIFS('Product Order Book'!$A:$A,$A27,'Product Order Book'!$E:$E,N$3)&gt;0,"✓ Takes",IF(IFERROR(VLOOKUP($A27,'Whitespace Analysis'!$A:$AH,20,0),0)=1,"◎ Should","– N/A"))</f>
        <v>◎ Should</v>
      </c>
      <c r="O27" s="156" t="str">
        <f>IF(COUNTIFS('Product Order Book'!$A:$A,$A27,'Product Order Book'!$E:$E,O$3)&gt;0,"✓ Takes",IF(IFERROR(VLOOKUP($A27,'Whitespace Analysis'!$A:$AH,22,0),0)=1,"◎ Should","– N/A"))</f>
        <v>◎ Should</v>
      </c>
      <c r="P27" s="156" t="str">
        <f>IF(COUNTIFS('Product Order Book'!$A:$A,$A27,'Product Order Book'!$E:$E,P$3)&gt;0,"✓ Takes",IF(IFERROR(VLOOKUP($A27,'Whitespace Analysis'!$A:$AH,24,0),0)=1,"◎ Should","– N/A"))</f>
        <v>– N/A</v>
      </c>
      <c r="Q27" s="156" t="str">
        <f>IF(COUNTIFS('Product Order Book'!$A:$A,$A27,'Product Order Book'!$E:$E,Q$3)&gt;0,"✓ Takes",IF(IFERROR(VLOOKUP($A27,'Whitespace Analysis'!$A:$AH,26,0),0)=1,"◎ Should","– N/A"))</f>
        <v>✓ Takes</v>
      </c>
      <c r="R27" s="156" t="str">
        <f>IF(COUNTIFS('Product Order Book'!$A:$A,$A27,'Product Order Book'!$E:$E,R$3)&gt;0,"✓ Takes",IF(IFERROR(VLOOKUP($A27,'Whitespace Analysis'!$A:$AH,16,0),0)=1,"◎ Should","– N/A"))</f>
        <v>– N/A</v>
      </c>
      <c r="S27" s="156" t="str">
        <f>IF(COUNTIFS('Product Order Book'!$A:$A,$A27,'Product Order Book'!$E:$E,S$3)&gt;0,"✓ Takes",IF(IFERROR(VLOOKUP($A27,'Whitespace Analysis'!$A:$AH,18,0),0)=1,"◎ Should","– N/A"))</f>
        <v>– N/A</v>
      </c>
      <c r="T27" s="156" t="str">
        <f>IF(COUNTIFS('Product Order Book'!$A:$A,$A27,'Product Order Book'!$E:$E,T$3)&gt;0,"✓ Takes",IF(IFERROR(VLOOKUP($A27,'Whitespace Analysis'!$A:$AH,28,0),0)=1,"◎ Should","– N/A"))</f>
        <v>– N/A</v>
      </c>
      <c r="U27" s="156" t="str">
        <f>IF(COUNTIFS('Product Order Book'!$A:$A,$A27,'Product Order Book'!$E:$E,U$3)&gt;0,"✓ Takes",IF(IFERROR(VLOOKUP($A27,'Whitespace Analysis'!$A:$AH,30,0),0)=1,"◎ Should","– N/A"))</f>
        <v>– N/A</v>
      </c>
      <c r="V27" s="156" t="str">
        <f>IF(COUNTIFS('Product Order Book'!$A:$A,$A27,'Product Order Book'!$E:$E,V$3)&gt;0,"✓ Takes",IF(IFERROR(VLOOKUP($A27,'Whitespace Analysis'!$A:$AH,14,0),0)=1,"◎ Should","– N/A"))</f>
        <v>◎ Should</v>
      </c>
      <c r="AA27" s="154" t="s">
        <v>3117</v>
      </c>
      <c r="AB27" s="156" cm="1">
        <f t="array" ref="AB27">SUMPRODUCT(($B$4:$B$221=1)*(MMULT(($C$4:$K$221&gt;0)*1,{1;1;1;1;1;1;1;1;1})=AD27))</f>
        <v>0</v>
      </c>
      <c r="AC27" s="179">
        <f t="shared" si="0"/>
        <v>0</v>
      </c>
      <c r="AD27">
        <v>9</v>
      </c>
    </row>
    <row r="28" spans="1:30" ht="15" customHeight="1">
      <c r="A28" s="154" t="str">
        <v>Boralex Operations &amp; Development</v>
      </c>
      <c r="B28" s="155">
        <f>IFERROR(MIN(1,COUNTIFS('Product Order Book'!$A$2:$A$1057,$A28,'Product Order Book'!$E$2:$E$1057,B$3)/INDEX('Clean Package Product Lists'!$C:$C,MATCH(B$3,'Clean Package Product Lists'!$A:$A,0))),"")</f>
        <v>0</v>
      </c>
      <c r="C28" s="155">
        <f>IFERROR(MIN(1,COUNTIFS('Product Order Book'!$A$2:$A$1057,$A28,'Product Order Book'!$E$2:$E$1057,C$3)/INDEX('Clean Package Product Lists'!$C:$C,MATCH(C$3,'Clean Package Product Lists'!$A:$A,0))),"")</f>
        <v>0</v>
      </c>
      <c r="D28" s="155">
        <f>IFERROR(MIN(1,COUNTIFS('Product Order Book'!$A$2:$A$1057,$A28,'Product Order Book'!$E$2:$E$1057,D$3)/INDEX('Clean Package Product Lists'!$C:$C,MATCH(D$3,'Clean Package Product Lists'!$A:$A,0))),"")</f>
        <v>0</v>
      </c>
      <c r="E28" s="155">
        <f>IFERROR(MIN(1,COUNTIFS('Product Order Book'!$A$2:$A$1057,$A28,'Product Order Book'!$E$2:$E$1057,E$3)/INDEX('Clean Package Product Lists'!$C:$C,MATCH(E$3,'Clean Package Product Lists'!$A:$A,0))),"")</f>
        <v>0</v>
      </c>
      <c r="F28" s="155">
        <f>IFERROR(MIN(1,COUNTIFS('Product Order Book'!$A$2:$A$1057,$A28,'Product Order Book'!$E$2:$E$1057,F$3)/INDEX('Clean Package Product Lists'!$C:$C,MATCH(F$3,'Clean Package Product Lists'!$A:$A,0))),"")</f>
        <v>0.33333333333333331</v>
      </c>
      <c r="G28" s="155">
        <f>IFERROR(MIN(1,COUNTIFS('Product Order Book'!$A$2:$A$1057,$A28,'Product Order Book'!$E$2:$E$1057,G$3)/INDEX('Clean Package Product Lists'!$C:$C,MATCH(G$3,'Clean Package Product Lists'!$A:$A,0))),"")</f>
        <v>0</v>
      </c>
      <c r="H28" s="155">
        <f>IFERROR(MIN(1,COUNTIFS('Product Order Book'!$A$2:$A$1057,$A28,'Product Order Book'!$E$2:$E$1057,H$3)/INDEX('Clean Package Product Lists'!$C:$C,MATCH(H$3,'Clean Package Product Lists'!$A:$A,0))),"")</f>
        <v>0</v>
      </c>
      <c r="I28" s="155">
        <f>IFERROR(MIN(1,COUNTIFS('Product Order Book'!$A$2:$A$1057,$A28,'Product Order Book'!$E$2:$E$1057,I$3)/INDEX('Clean Package Product Lists'!$C:$C,MATCH(I$3,'Clean Package Product Lists'!$A:$A,0))),"")</f>
        <v>0</v>
      </c>
      <c r="J28" s="155">
        <f>IFERROR(MIN(1,COUNTIFS('Product Order Book'!$A$2:$A$1057,$A28,'Product Order Book'!$E$2:$E$1057,J$3)/INDEX('Clean Package Product Lists'!$C:$C,MATCH(J$3,'Clean Package Product Lists'!$A:$A,0))),"")</f>
        <v>0</v>
      </c>
      <c r="K28" s="155">
        <f>IFERROR(MIN(1,COUNTIFS('Product Order Book'!$A$2:$A$1057,$A28,'Product Order Book'!$E$2:$E$1057,K$3)/INDEX('Clean Package Product Lists'!$C:$C,MATCH(K$3,'Clean Package Product Lists'!$A:$A,0))),"")</f>
        <v>0</v>
      </c>
      <c r="L28" s="154"/>
      <c r="M28" s="156" t="str">
        <f>IF(COUNTIFS('Product Order Book'!$A:$A,$A28,'Product Order Book'!$E:$E,M$3)&gt;0,"✓ Takes",IF(IFERROR(VLOOKUP($A28,'Whitespace Analysis'!$A:$AH,12,0),0)=1,"◎ Should","– N/A"))</f>
        <v>– N/A</v>
      </c>
      <c r="N28" s="156" t="str">
        <f>IF(COUNTIFS('Product Order Book'!$A:$A,$A28,'Product Order Book'!$E:$E,N$3)&gt;0,"✓ Takes",IF(IFERROR(VLOOKUP($A28,'Whitespace Analysis'!$A:$AH,20,0),0)=1,"◎ Should","– N/A"))</f>
        <v>– N/A</v>
      </c>
      <c r="O28" s="156" t="str">
        <f>IF(COUNTIFS('Product Order Book'!$A:$A,$A28,'Product Order Book'!$E:$E,O$3)&gt;0,"✓ Takes",IF(IFERROR(VLOOKUP($A28,'Whitespace Analysis'!$A:$AH,22,0),0)=1,"◎ Should","– N/A"))</f>
        <v>– N/A</v>
      </c>
      <c r="P28" s="156" t="str">
        <f>IF(COUNTIFS('Product Order Book'!$A:$A,$A28,'Product Order Book'!$E:$E,P$3)&gt;0,"✓ Takes",IF(IFERROR(VLOOKUP($A28,'Whitespace Analysis'!$A:$AH,24,0),0)=1,"◎ Should","– N/A"))</f>
        <v>– N/A</v>
      </c>
      <c r="Q28" s="156" t="str">
        <f>IF(COUNTIFS('Product Order Book'!$A:$A,$A28,'Product Order Book'!$E:$E,Q$3)&gt;0,"✓ Takes",IF(IFERROR(VLOOKUP($A28,'Whitespace Analysis'!$A:$AH,26,0),0)=1,"◎ Should","– N/A"))</f>
        <v>✓ Takes</v>
      </c>
      <c r="R28" s="156" t="str">
        <f>IF(COUNTIFS('Product Order Book'!$A:$A,$A28,'Product Order Book'!$E:$E,R$3)&gt;0,"✓ Takes",IF(IFERROR(VLOOKUP($A28,'Whitespace Analysis'!$A:$AH,16,0),0)=1,"◎ Should","– N/A"))</f>
        <v>– N/A</v>
      </c>
      <c r="S28" s="156" t="str">
        <f>IF(COUNTIFS('Product Order Book'!$A:$A,$A28,'Product Order Book'!$E:$E,S$3)&gt;0,"✓ Takes",IF(IFERROR(VLOOKUP($A28,'Whitespace Analysis'!$A:$AH,18,0),0)=1,"◎ Should","– N/A"))</f>
        <v>– N/A</v>
      </c>
      <c r="T28" s="156" t="str">
        <f>IF(COUNTIFS('Product Order Book'!$A:$A,$A28,'Product Order Book'!$E:$E,T$3)&gt;0,"✓ Takes",IF(IFERROR(VLOOKUP($A28,'Whitespace Analysis'!$A:$AH,28,0),0)=1,"◎ Should","– N/A"))</f>
        <v>– N/A</v>
      </c>
      <c r="U28" s="156" t="str">
        <f>IF(COUNTIFS('Product Order Book'!$A:$A,$A28,'Product Order Book'!$E:$E,U$3)&gt;0,"✓ Takes",IF(IFERROR(VLOOKUP($A28,'Whitespace Analysis'!$A:$AH,30,0),0)=1,"◎ Should","– N/A"))</f>
        <v>– N/A</v>
      </c>
      <c r="V28" s="156" t="str">
        <f>IF(COUNTIFS('Product Order Book'!$A:$A,$A28,'Product Order Book'!$E:$E,V$3)&gt;0,"✓ Takes",IF(IFERROR(VLOOKUP($A28,'Whitespace Analysis'!$A:$AH,14,0),0)=1,"◎ Should","– N/A"))</f>
        <v>– N/A</v>
      </c>
      <c r="AA28" s="176" t="s">
        <v>3118</v>
      </c>
      <c r="AB28" s="178">
        <f>SUM(AB18:AB27)</f>
        <v>135</v>
      </c>
    </row>
    <row r="29" spans="1:30" ht="15" customHeight="1">
      <c r="A29" s="154" t="str">
        <v>Boston Consulting Group UK LLP</v>
      </c>
      <c r="B29" s="155">
        <f>IFERROR(MIN(1,COUNTIFS('Product Order Book'!$A$2:$A$1057,$A29,'Product Order Book'!$E$2:$E$1057,B$3)/INDEX('Clean Package Product Lists'!$C:$C,MATCH(B$3,'Clean Package Product Lists'!$A:$A,0))),"")</f>
        <v>1</v>
      </c>
      <c r="C29" s="155">
        <f>IFERROR(MIN(1,COUNTIFS('Product Order Book'!$A$2:$A$1057,$A29,'Product Order Book'!$E$2:$E$1057,C$3)/INDEX('Clean Package Product Lists'!$C:$C,MATCH(C$3,'Clean Package Product Lists'!$A:$A,0))),"")</f>
        <v>0</v>
      </c>
      <c r="D29" s="155">
        <f>IFERROR(MIN(1,COUNTIFS('Product Order Book'!$A$2:$A$1057,$A29,'Product Order Book'!$E$2:$E$1057,D$3)/INDEX('Clean Package Product Lists'!$C:$C,MATCH(D$3,'Clean Package Product Lists'!$A:$A,0))),"")</f>
        <v>0</v>
      </c>
      <c r="E29" s="155">
        <f>IFERROR(MIN(1,COUNTIFS('Product Order Book'!$A$2:$A$1057,$A29,'Product Order Book'!$E$2:$E$1057,E$3)/INDEX('Clean Package Product Lists'!$C:$C,MATCH(E$3,'Clean Package Product Lists'!$A:$A,0))),"")</f>
        <v>0</v>
      </c>
      <c r="F29" s="155">
        <f>IFERROR(MIN(1,COUNTIFS('Product Order Book'!$A$2:$A$1057,$A29,'Product Order Book'!$E$2:$E$1057,F$3)/INDEX('Clean Package Product Lists'!$C:$C,MATCH(F$3,'Clean Package Product Lists'!$A:$A,0))),"")</f>
        <v>0</v>
      </c>
      <c r="G29" s="155">
        <f>IFERROR(MIN(1,COUNTIFS('Product Order Book'!$A$2:$A$1057,$A29,'Product Order Book'!$E$2:$E$1057,G$3)/INDEX('Clean Package Product Lists'!$C:$C,MATCH(G$3,'Clean Package Product Lists'!$A:$A,0))),"")</f>
        <v>0</v>
      </c>
      <c r="H29" s="155">
        <f>IFERROR(MIN(1,COUNTIFS('Product Order Book'!$A$2:$A$1057,$A29,'Product Order Book'!$E$2:$E$1057,H$3)/INDEX('Clean Package Product Lists'!$C:$C,MATCH(H$3,'Clean Package Product Lists'!$A:$A,0))),"")</f>
        <v>0</v>
      </c>
      <c r="I29" s="155">
        <f>IFERROR(MIN(1,COUNTIFS('Product Order Book'!$A$2:$A$1057,$A29,'Product Order Book'!$E$2:$E$1057,I$3)/INDEX('Clean Package Product Lists'!$C:$C,MATCH(I$3,'Clean Package Product Lists'!$A:$A,0))),"")</f>
        <v>0</v>
      </c>
      <c r="J29" s="155">
        <f>IFERROR(MIN(1,COUNTIFS('Product Order Book'!$A$2:$A$1057,$A29,'Product Order Book'!$E$2:$E$1057,J$3)/INDEX('Clean Package Product Lists'!$C:$C,MATCH(J$3,'Clean Package Product Lists'!$A:$A,0))),"")</f>
        <v>0</v>
      </c>
      <c r="K29" s="155">
        <f>IFERROR(MIN(1,COUNTIFS('Product Order Book'!$A$2:$A$1057,$A29,'Product Order Book'!$E$2:$E$1057,K$3)/INDEX('Clean Package Product Lists'!$C:$C,MATCH(K$3,'Clean Package Product Lists'!$A:$A,0))),"")</f>
        <v>0</v>
      </c>
      <c r="L29" s="154"/>
      <c r="M29" s="156" t="str">
        <f>IF(COUNTIFS('Product Order Book'!$A:$A,$A29,'Product Order Book'!$E:$E,M$3)&gt;0,"✓ Takes",IF(IFERROR(VLOOKUP($A29,'Whitespace Analysis'!$A:$AH,12,0),0)=1,"◎ Should","– N/A"))</f>
        <v>✓ Takes</v>
      </c>
      <c r="N29" s="156" t="str">
        <f>IF(COUNTIFS('Product Order Book'!$A:$A,$A29,'Product Order Book'!$E:$E,N$3)&gt;0,"✓ Takes",IF(IFERROR(VLOOKUP($A29,'Whitespace Analysis'!$A:$AH,20,0),0)=1,"◎ Should","– N/A"))</f>
        <v>– N/A</v>
      </c>
      <c r="O29" s="156" t="str">
        <f>IF(COUNTIFS('Product Order Book'!$A:$A,$A29,'Product Order Book'!$E:$E,O$3)&gt;0,"✓ Takes",IF(IFERROR(VLOOKUP($A29,'Whitespace Analysis'!$A:$AH,22,0),0)=1,"◎ Should","– N/A"))</f>
        <v>– N/A</v>
      </c>
      <c r="P29" s="156" t="str">
        <f>IF(COUNTIFS('Product Order Book'!$A:$A,$A29,'Product Order Book'!$E:$E,P$3)&gt;0,"✓ Takes",IF(IFERROR(VLOOKUP($A29,'Whitespace Analysis'!$A:$AH,24,0),0)=1,"◎ Should","– N/A"))</f>
        <v>– N/A</v>
      </c>
      <c r="Q29" s="156" t="str">
        <f>IF(COUNTIFS('Product Order Book'!$A:$A,$A29,'Product Order Book'!$E:$E,Q$3)&gt;0,"✓ Takes",IF(IFERROR(VLOOKUP($A29,'Whitespace Analysis'!$A:$AH,26,0),0)=1,"◎ Should","– N/A"))</f>
        <v>– N/A</v>
      </c>
      <c r="R29" s="156" t="str">
        <f>IF(COUNTIFS('Product Order Book'!$A:$A,$A29,'Product Order Book'!$E:$E,R$3)&gt;0,"✓ Takes",IF(IFERROR(VLOOKUP($A29,'Whitespace Analysis'!$A:$AH,16,0),0)=1,"◎ Should","– N/A"))</f>
        <v>– N/A</v>
      </c>
      <c r="S29" s="156" t="str">
        <f>IF(COUNTIFS('Product Order Book'!$A:$A,$A29,'Product Order Book'!$E:$E,S$3)&gt;0,"✓ Takes",IF(IFERROR(VLOOKUP($A29,'Whitespace Analysis'!$A:$AH,18,0),0)=1,"◎ Should","– N/A"))</f>
        <v>– N/A</v>
      </c>
      <c r="T29" s="156" t="str">
        <f>IF(COUNTIFS('Product Order Book'!$A:$A,$A29,'Product Order Book'!$E:$E,T$3)&gt;0,"✓ Takes",IF(IFERROR(VLOOKUP($A29,'Whitespace Analysis'!$A:$AH,28,0),0)=1,"◎ Should","– N/A"))</f>
        <v>– N/A</v>
      </c>
      <c r="U29" s="156" t="str">
        <f>IF(COUNTIFS('Product Order Book'!$A:$A,$A29,'Product Order Book'!$E:$E,U$3)&gt;0,"✓ Takes",IF(IFERROR(VLOOKUP($A29,'Whitespace Analysis'!$A:$AH,30,0),0)=1,"◎ Should","– N/A"))</f>
        <v>– N/A</v>
      </c>
      <c r="V29" s="156" t="str">
        <f>IF(COUNTIFS('Product Order Book'!$A:$A,$A29,'Product Order Book'!$E:$E,V$3)&gt;0,"✓ Takes",IF(IFERROR(VLOOKUP($A29,'Whitespace Analysis'!$A:$AH,14,0),0)=1,"◎ Should","– N/A"))</f>
        <v>– N/A</v>
      </c>
    </row>
    <row r="30" spans="1:30" ht="15" customHeight="1">
      <c r="A30" s="154" t="str">
        <v>British Gas Trading Ltd</v>
      </c>
      <c r="B30" s="155">
        <f>IFERROR(MIN(1,COUNTIFS('Product Order Book'!$A$2:$A$1057,$A30,'Product Order Book'!$E$2:$E$1057,B$3)/INDEX('Clean Package Product Lists'!$C:$C,MATCH(B$3,'Clean Package Product Lists'!$A:$A,0))),"")</f>
        <v>0</v>
      </c>
      <c r="C30" s="155">
        <f>IFERROR(MIN(1,COUNTIFS('Product Order Book'!$A$2:$A$1057,$A30,'Product Order Book'!$E$2:$E$1057,C$3)/INDEX('Clean Package Product Lists'!$C:$C,MATCH(C$3,'Clean Package Product Lists'!$A:$A,0))),"")</f>
        <v>0</v>
      </c>
      <c r="D30" s="155">
        <f>IFERROR(MIN(1,COUNTIFS('Product Order Book'!$A$2:$A$1057,$A30,'Product Order Book'!$E$2:$E$1057,D$3)/INDEX('Clean Package Product Lists'!$C:$C,MATCH(D$3,'Clean Package Product Lists'!$A:$A,0))),"")</f>
        <v>0</v>
      </c>
      <c r="E30" s="155">
        <f>IFERROR(MIN(1,COUNTIFS('Product Order Book'!$A$2:$A$1057,$A30,'Product Order Book'!$E$2:$E$1057,E$3)/INDEX('Clean Package Product Lists'!$C:$C,MATCH(E$3,'Clean Package Product Lists'!$A:$A,0))),"")</f>
        <v>0</v>
      </c>
      <c r="F30" s="155">
        <f>IFERROR(MIN(1,COUNTIFS('Product Order Book'!$A$2:$A$1057,$A30,'Product Order Book'!$E$2:$E$1057,F$3)/INDEX('Clean Package Product Lists'!$C:$C,MATCH(F$3,'Clean Package Product Lists'!$A:$A,0))),"")</f>
        <v>0</v>
      </c>
      <c r="G30" s="155">
        <f>IFERROR(MIN(1,COUNTIFS('Product Order Book'!$A$2:$A$1057,$A30,'Product Order Book'!$E$2:$E$1057,G$3)/INDEX('Clean Package Product Lists'!$C:$C,MATCH(G$3,'Clean Package Product Lists'!$A:$A,0))),"")</f>
        <v>1</v>
      </c>
      <c r="H30" s="155">
        <f>IFERROR(MIN(1,COUNTIFS('Product Order Book'!$A$2:$A$1057,$A30,'Product Order Book'!$E$2:$E$1057,H$3)/INDEX('Clean Package Product Lists'!$C:$C,MATCH(H$3,'Clean Package Product Lists'!$A:$A,0))),"")</f>
        <v>0.75</v>
      </c>
      <c r="I30" s="155">
        <f>IFERROR(MIN(1,COUNTIFS('Product Order Book'!$A$2:$A$1057,$A30,'Product Order Book'!$E$2:$E$1057,I$3)/INDEX('Clean Package Product Lists'!$C:$C,MATCH(I$3,'Clean Package Product Lists'!$A:$A,0))),"")</f>
        <v>0</v>
      </c>
      <c r="J30" s="155">
        <f>IFERROR(MIN(1,COUNTIFS('Product Order Book'!$A$2:$A$1057,$A30,'Product Order Book'!$E$2:$E$1057,J$3)/INDEX('Clean Package Product Lists'!$C:$C,MATCH(J$3,'Clean Package Product Lists'!$A:$A,0))),"")</f>
        <v>0</v>
      </c>
      <c r="K30" s="155">
        <f>IFERROR(MIN(1,COUNTIFS('Product Order Book'!$A$2:$A$1057,$A30,'Product Order Book'!$E$2:$E$1057,K$3)/INDEX('Clean Package Product Lists'!$C:$C,MATCH(K$3,'Clean Package Product Lists'!$A:$A,0))),"")</f>
        <v>0</v>
      </c>
      <c r="L30" s="154"/>
      <c r="M30" s="156" t="str">
        <f>IF(COUNTIFS('Product Order Book'!$A:$A,$A30,'Product Order Book'!$E:$E,M$3)&gt;0,"✓ Takes",IF(IFERROR(VLOOKUP($A30,'Whitespace Analysis'!$A:$AH,12,0),0)=1,"◎ Should","– N/A"))</f>
        <v>◎ Should</v>
      </c>
      <c r="N30" s="156" t="str">
        <f>IF(COUNTIFS('Product Order Book'!$A:$A,$A30,'Product Order Book'!$E:$E,N$3)&gt;0,"✓ Takes",IF(IFERROR(VLOOKUP($A30,'Whitespace Analysis'!$A:$AH,20,0),0)=1,"◎ Should","– N/A"))</f>
        <v>◎ Should</v>
      </c>
      <c r="O30" s="156" t="str">
        <f>IF(COUNTIFS('Product Order Book'!$A:$A,$A30,'Product Order Book'!$E:$E,O$3)&gt;0,"✓ Takes",IF(IFERROR(VLOOKUP($A30,'Whitespace Analysis'!$A:$AH,22,0),0)=1,"◎ Should","– N/A"))</f>
        <v>◎ Should</v>
      </c>
      <c r="P30" s="156" t="str">
        <f>IF(COUNTIFS('Product Order Book'!$A:$A,$A30,'Product Order Book'!$E:$E,P$3)&gt;0,"✓ Takes",IF(IFERROR(VLOOKUP($A30,'Whitespace Analysis'!$A:$AH,24,0),0)=1,"◎ Should","– N/A"))</f>
        <v>◎ Should</v>
      </c>
      <c r="Q30" s="156" t="str">
        <f>IF(COUNTIFS('Product Order Book'!$A:$A,$A30,'Product Order Book'!$E:$E,Q$3)&gt;0,"✓ Takes",IF(IFERROR(VLOOKUP($A30,'Whitespace Analysis'!$A:$AH,26,0),0)=1,"◎ Should","– N/A"))</f>
        <v>◎ Should</v>
      </c>
      <c r="R30" s="156" t="str">
        <f>IF(COUNTIFS('Product Order Book'!$A:$A,$A30,'Product Order Book'!$E:$E,R$3)&gt;0,"✓ Takes",IF(IFERROR(VLOOKUP($A30,'Whitespace Analysis'!$A:$AH,16,0),0)=1,"◎ Should","– N/A"))</f>
        <v>✓ Takes</v>
      </c>
      <c r="S30" s="156" t="str">
        <f>IF(COUNTIFS('Product Order Book'!$A:$A,$A30,'Product Order Book'!$E:$E,S$3)&gt;0,"✓ Takes",IF(IFERROR(VLOOKUP($A30,'Whitespace Analysis'!$A:$AH,18,0),0)=1,"◎ Should","– N/A"))</f>
        <v>✓ Takes</v>
      </c>
      <c r="T30" s="156" t="str">
        <f>IF(COUNTIFS('Product Order Book'!$A:$A,$A30,'Product Order Book'!$E:$E,T$3)&gt;0,"✓ Takes",IF(IFERROR(VLOOKUP($A30,'Whitespace Analysis'!$A:$AH,28,0),0)=1,"◎ Should","– N/A"))</f>
        <v>– N/A</v>
      </c>
      <c r="U30" s="156" t="str">
        <f>IF(COUNTIFS('Product Order Book'!$A:$A,$A30,'Product Order Book'!$E:$E,U$3)&gt;0,"✓ Takes",IF(IFERROR(VLOOKUP($A30,'Whitespace Analysis'!$A:$AH,30,0),0)=1,"◎ Should","– N/A"))</f>
        <v>– N/A</v>
      </c>
      <c r="V30" s="156" t="str">
        <f>IF(COUNTIFS('Product Order Book'!$A:$A,$A30,'Product Order Book'!$E:$E,V$3)&gt;0,"✓ Takes",IF(IFERROR(VLOOKUP($A30,'Whitespace Analysis'!$A:$AH,14,0),0)=1,"◎ Should","– N/A"))</f>
        <v>◎ Should</v>
      </c>
    </row>
    <row r="31" spans="1:30" ht="15" customHeight="1">
      <c r="A31" s="154" t="str">
        <v>Brook Green Supply Limited</v>
      </c>
      <c r="B31" s="155">
        <f>IFERROR(MIN(1,COUNTIFS('Product Order Book'!$A$2:$A$1057,$A31,'Product Order Book'!$E$2:$E$1057,B$3)/INDEX('Clean Package Product Lists'!$C:$C,MATCH(B$3,'Clean Package Product Lists'!$A:$A,0))),"")</f>
        <v>0</v>
      </c>
      <c r="C31" s="155">
        <f>IFERROR(MIN(1,COUNTIFS('Product Order Book'!$A$2:$A$1057,$A31,'Product Order Book'!$E$2:$E$1057,C$3)/INDEX('Clean Package Product Lists'!$C:$C,MATCH(C$3,'Clean Package Product Lists'!$A:$A,0))),"")</f>
        <v>0.2857142857142857</v>
      </c>
      <c r="D31" s="155">
        <f>IFERROR(MIN(1,COUNTIFS('Product Order Book'!$A$2:$A$1057,$A31,'Product Order Book'!$E$2:$E$1057,D$3)/INDEX('Clean Package Product Lists'!$C:$C,MATCH(D$3,'Clean Package Product Lists'!$A:$A,0))),"")</f>
        <v>0</v>
      </c>
      <c r="E31" s="155">
        <f>IFERROR(MIN(1,COUNTIFS('Product Order Book'!$A$2:$A$1057,$A31,'Product Order Book'!$E$2:$E$1057,E$3)/INDEX('Clean Package Product Lists'!$C:$C,MATCH(E$3,'Clean Package Product Lists'!$A:$A,0))),"")</f>
        <v>0</v>
      </c>
      <c r="F31" s="155">
        <f>IFERROR(MIN(1,COUNTIFS('Product Order Book'!$A$2:$A$1057,$A31,'Product Order Book'!$E$2:$E$1057,F$3)/INDEX('Clean Package Product Lists'!$C:$C,MATCH(F$3,'Clean Package Product Lists'!$A:$A,0))),"")</f>
        <v>0.33333333333333331</v>
      </c>
      <c r="G31" s="155">
        <f>IFERROR(MIN(1,COUNTIFS('Product Order Book'!$A$2:$A$1057,$A31,'Product Order Book'!$E$2:$E$1057,G$3)/INDEX('Clean Package Product Lists'!$C:$C,MATCH(G$3,'Clean Package Product Lists'!$A:$A,0))),"")</f>
        <v>0.27272727272727271</v>
      </c>
      <c r="H31" s="155">
        <f>IFERROR(MIN(1,COUNTIFS('Product Order Book'!$A$2:$A$1057,$A31,'Product Order Book'!$E$2:$E$1057,H$3)/INDEX('Clean Package Product Lists'!$C:$C,MATCH(H$3,'Clean Package Product Lists'!$A:$A,0))),"")</f>
        <v>0.75</v>
      </c>
      <c r="I31" s="155">
        <f>IFERROR(MIN(1,COUNTIFS('Product Order Book'!$A$2:$A$1057,$A31,'Product Order Book'!$E$2:$E$1057,I$3)/INDEX('Clean Package Product Lists'!$C:$C,MATCH(I$3,'Clean Package Product Lists'!$A:$A,0))),"")</f>
        <v>0</v>
      </c>
      <c r="J31" s="155">
        <f>IFERROR(MIN(1,COUNTIFS('Product Order Book'!$A$2:$A$1057,$A31,'Product Order Book'!$E$2:$E$1057,J$3)/INDEX('Clean Package Product Lists'!$C:$C,MATCH(J$3,'Clean Package Product Lists'!$A:$A,0))),"")</f>
        <v>0</v>
      </c>
      <c r="K31" s="155">
        <f>IFERROR(MIN(1,COUNTIFS('Product Order Book'!$A$2:$A$1057,$A31,'Product Order Book'!$E$2:$E$1057,K$3)/INDEX('Clean Package Product Lists'!$C:$C,MATCH(K$3,'Clean Package Product Lists'!$A:$A,0))),"")</f>
        <v>0.2</v>
      </c>
      <c r="L31" s="154"/>
      <c r="M31" s="156" t="str">
        <f>IF(COUNTIFS('Product Order Book'!$A:$A,$A31,'Product Order Book'!$E:$E,M$3)&gt;0,"✓ Takes",IF(IFERROR(VLOOKUP($A31,'Whitespace Analysis'!$A:$AH,12,0),0)=1,"◎ Should","– N/A"))</f>
        <v>◎ Should</v>
      </c>
      <c r="N31" s="156" t="str">
        <f>IF(COUNTIFS('Product Order Book'!$A:$A,$A31,'Product Order Book'!$E:$E,N$3)&gt;0,"✓ Takes",IF(IFERROR(VLOOKUP($A31,'Whitespace Analysis'!$A:$AH,20,0),0)=1,"◎ Should","– N/A"))</f>
        <v>✓ Takes</v>
      </c>
      <c r="O31" s="156" t="str">
        <f>IF(COUNTIFS('Product Order Book'!$A:$A,$A31,'Product Order Book'!$E:$E,O$3)&gt;0,"✓ Takes",IF(IFERROR(VLOOKUP($A31,'Whitespace Analysis'!$A:$AH,22,0),0)=1,"◎ Should","– N/A"))</f>
        <v>– N/A</v>
      </c>
      <c r="P31" s="156" t="str">
        <f>IF(COUNTIFS('Product Order Book'!$A:$A,$A31,'Product Order Book'!$E:$E,P$3)&gt;0,"✓ Takes",IF(IFERROR(VLOOKUP($A31,'Whitespace Analysis'!$A:$AH,24,0),0)=1,"◎ Should","– N/A"))</f>
        <v>◎ Should</v>
      </c>
      <c r="Q31" s="156" t="str">
        <f>IF(COUNTIFS('Product Order Book'!$A:$A,$A31,'Product Order Book'!$E:$E,Q$3)&gt;0,"✓ Takes",IF(IFERROR(VLOOKUP($A31,'Whitespace Analysis'!$A:$AH,26,0),0)=1,"◎ Should","– N/A"))</f>
        <v>✓ Takes</v>
      </c>
      <c r="R31" s="156" t="str">
        <f>IF(COUNTIFS('Product Order Book'!$A:$A,$A31,'Product Order Book'!$E:$E,R$3)&gt;0,"✓ Takes",IF(IFERROR(VLOOKUP($A31,'Whitespace Analysis'!$A:$AH,16,0),0)=1,"◎ Should","– N/A"))</f>
        <v>✓ Takes</v>
      </c>
      <c r="S31" s="156" t="str">
        <f>IF(COUNTIFS('Product Order Book'!$A:$A,$A31,'Product Order Book'!$E:$E,S$3)&gt;0,"✓ Takes",IF(IFERROR(VLOOKUP($A31,'Whitespace Analysis'!$A:$AH,18,0),0)=1,"◎ Should","– N/A"))</f>
        <v>✓ Takes</v>
      </c>
      <c r="T31" s="156" t="str">
        <f>IF(COUNTIFS('Product Order Book'!$A:$A,$A31,'Product Order Book'!$E:$E,T$3)&gt;0,"✓ Takes",IF(IFERROR(VLOOKUP($A31,'Whitespace Analysis'!$A:$AH,28,0),0)=1,"◎ Should","– N/A"))</f>
        <v>– N/A</v>
      </c>
      <c r="U31" s="156" t="str">
        <f>IF(COUNTIFS('Product Order Book'!$A:$A,$A31,'Product Order Book'!$E:$E,U$3)&gt;0,"✓ Takes",IF(IFERROR(VLOOKUP($A31,'Whitespace Analysis'!$A:$AH,30,0),0)=1,"◎ Should","– N/A"))</f>
        <v>– N/A</v>
      </c>
      <c r="V31" s="156" t="str">
        <f>IF(COUNTIFS('Product Order Book'!$A:$A,$A31,'Product Order Book'!$E:$E,V$3)&gt;0,"✓ Takes",IF(IFERROR(VLOOKUP($A31,'Whitespace Analysis'!$A:$AH,14,0),0)=1,"◎ Should","– N/A"))</f>
        <v>✓ Takes</v>
      </c>
    </row>
    <row r="32" spans="1:30" ht="15" customHeight="1">
      <c r="A32" s="154" t="str">
        <v>BSR Group Holdings Limited</v>
      </c>
      <c r="B32" s="155">
        <f>IFERROR(MIN(1,COUNTIFS('Product Order Book'!$A$2:$A$1057,$A32,'Product Order Book'!$E$2:$E$1057,B$3)/INDEX('Clean Package Product Lists'!$C:$C,MATCH(B$3,'Clean Package Product Lists'!$A:$A,0))),"")</f>
        <v>0</v>
      </c>
      <c r="C32" s="155">
        <f>IFERROR(MIN(1,COUNTIFS('Product Order Book'!$A$2:$A$1057,$A32,'Product Order Book'!$E$2:$E$1057,C$3)/INDEX('Clean Package Product Lists'!$C:$C,MATCH(C$3,'Clean Package Product Lists'!$A:$A,0))),"")</f>
        <v>0</v>
      </c>
      <c r="D32" s="155">
        <f>IFERROR(MIN(1,COUNTIFS('Product Order Book'!$A$2:$A$1057,$A32,'Product Order Book'!$E$2:$E$1057,D$3)/INDEX('Clean Package Product Lists'!$C:$C,MATCH(D$3,'Clean Package Product Lists'!$A:$A,0))),"")</f>
        <v>0</v>
      </c>
      <c r="E32" s="155">
        <f>IFERROR(MIN(1,COUNTIFS('Product Order Book'!$A$2:$A$1057,$A32,'Product Order Book'!$E$2:$E$1057,E$3)/INDEX('Clean Package Product Lists'!$C:$C,MATCH(E$3,'Clean Package Product Lists'!$A:$A,0))),"")</f>
        <v>0</v>
      </c>
      <c r="F32" s="155">
        <f>IFERROR(MIN(1,COUNTIFS('Product Order Book'!$A$2:$A$1057,$A32,'Product Order Book'!$E$2:$E$1057,F$3)/INDEX('Clean Package Product Lists'!$C:$C,MATCH(F$3,'Clean Package Product Lists'!$A:$A,0))),"")</f>
        <v>0.33333333333333331</v>
      </c>
      <c r="G32" s="155">
        <f>IFERROR(MIN(1,COUNTIFS('Product Order Book'!$A$2:$A$1057,$A32,'Product Order Book'!$E$2:$E$1057,G$3)/INDEX('Clean Package Product Lists'!$C:$C,MATCH(G$3,'Clean Package Product Lists'!$A:$A,0))),"")</f>
        <v>0</v>
      </c>
      <c r="H32" s="155">
        <f>IFERROR(MIN(1,COUNTIFS('Product Order Book'!$A$2:$A$1057,$A32,'Product Order Book'!$E$2:$E$1057,H$3)/INDEX('Clean Package Product Lists'!$C:$C,MATCH(H$3,'Clean Package Product Lists'!$A:$A,0))),"")</f>
        <v>0</v>
      </c>
      <c r="I32" s="155">
        <f>IFERROR(MIN(1,COUNTIFS('Product Order Book'!$A$2:$A$1057,$A32,'Product Order Book'!$E$2:$E$1057,I$3)/INDEX('Clean Package Product Lists'!$C:$C,MATCH(I$3,'Clean Package Product Lists'!$A:$A,0))),"")</f>
        <v>0</v>
      </c>
      <c r="J32" s="155">
        <f>IFERROR(MIN(1,COUNTIFS('Product Order Book'!$A$2:$A$1057,$A32,'Product Order Book'!$E$2:$E$1057,J$3)/INDEX('Clean Package Product Lists'!$C:$C,MATCH(J$3,'Clean Package Product Lists'!$A:$A,0))),"")</f>
        <v>0</v>
      </c>
      <c r="K32" s="155">
        <f>IFERROR(MIN(1,COUNTIFS('Product Order Book'!$A$2:$A$1057,$A32,'Product Order Book'!$E$2:$E$1057,K$3)/INDEX('Clean Package Product Lists'!$C:$C,MATCH(K$3,'Clean Package Product Lists'!$A:$A,0))),"")</f>
        <v>0</v>
      </c>
      <c r="L32" s="154"/>
      <c r="M32" s="156" t="str">
        <f>IF(COUNTIFS('Product Order Book'!$A:$A,$A32,'Product Order Book'!$E:$E,M$3)&gt;0,"✓ Takes",IF(IFERROR(VLOOKUP($A32,'Whitespace Analysis'!$A:$AH,12,0),0)=1,"◎ Should","– N/A"))</f>
        <v>◎ Should</v>
      </c>
      <c r="N32" s="156" t="str">
        <f>IF(COUNTIFS('Product Order Book'!$A:$A,$A32,'Product Order Book'!$E:$E,N$3)&gt;0,"✓ Takes",IF(IFERROR(VLOOKUP($A32,'Whitespace Analysis'!$A:$AH,20,0),0)=1,"◎ Should","– N/A"))</f>
        <v>◎ Should</v>
      </c>
      <c r="O32" s="156" t="str">
        <f>IF(COUNTIFS('Product Order Book'!$A:$A,$A32,'Product Order Book'!$E:$E,O$3)&gt;0,"✓ Takes",IF(IFERROR(VLOOKUP($A32,'Whitespace Analysis'!$A:$AH,22,0),0)=1,"◎ Should","– N/A"))</f>
        <v>◎ Should</v>
      </c>
      <c r="P32" s="156" t="str">
        <f>IF(COUNTIFS('Product Order Book'!$A:$A,$A32,'Product Order Book'!$E:$E,P$3)&gt;0,"✓ Takes",IF(IFERROR(VLOOKUP($A32,'Whitespace Analysis'!$A:$AH,24,0),0)=1,"◎ Should","– N/A"))</f>
        <v>◎ Should</v>
      </c>
      <c r="Q32" s="156" t="str">
        <f>IF(COUNTIFS('Product Order Book'!$A:$A,$A32,'Product Order Book'!$E:$E,Q$3)&gt;0,"✓ Takes",IF(IFERROR(VLOOKUP($A32,'Whitespace Analysis'!$A:$AH,26,0),0)=1,"◎ Should","– N/A"))</f>
        <v>✓ Takes</v>
      </c>
      <c r="R32" s="156" t="str">
        <f>IF(COUNTIFS('Product Order Book'!$A:$A,$A32,'Product Order Book'!$E:$E,R$3)&gt;0,"✓ Takes",IF(IFERROR(VLOOKUP($A32,'Whitespace Analysis'!$A:$AH,16,0),0)=1,"◎ Should","– N/A"))</f>
        <v>– N/A</v>
      </c>
      <c r="S32" s="156" t="str">
        <f>IF(COUNTIFS('Product Order Book'!$A:$A,$A32,'Product Order Book'!$E:$E,S$3)&gt;0,"✓ Takes",IF(IFERROR(VLOOKUP($A32,'Whitespace Analysis'!$A:$AH,18,0),0)=1,"◎ Should","– N/A"))</f>
        <v>– N/A</v>
      </c>
      <c r="T32" s="156" t="str">
        <f>IF(COUNTIFS('Product Order Book'!$A:$A,$A32,'Product Order Book'!$E:$E,T$3)&gt;0,"✓ Takes",IF(IFERROR(VLOOKUP($A32,'Whitespace Analysis'!$A:$AH,28,0),0)=1,"◎ Should","– N/A"))</f>
        <v>– N/A</v>
      </c>
      <c r="U32" s="156" t="str">
        <f>IF(COUNTIFS('Product Order Book'!$A:$A,$A32,'Product Order Book'!$E:$E,U$3)&gt;0,"✓ Takes",IF(IFERROR(VLOOKUP($A32,'Whitespace Analysis'!$A:$AH,30,0),0)=1,"◎ Should","– N/A"))</f>
        <v>– N/A</v>
      </c>
      <c r="V32" s="156" t="str">
        <f>IF(COUNTIFS('Product Order Book'!$A:$A,$A32,'Product Order Book'!$E:$E,V$3)&gt;0,"✓ Takes",IF(IFERROR(VLOOKUP($A32,'Whitespace Analysis'!$A:$AH,14,0),0)=1,"◎ Should","– N/A"))</f>
        <v>◎ Should</v>
      </c>
    </row>
    <row r="33" spans="1:22" ht="15" customHeight="1">
      <c r="A33" s="154" t="str">
        <v>Bute Energy Ltd</v>
      </c>
      <c r="B33" s="155">
        <f>IFERROR(MIN(1,COUNTIFS('Product Order Book'!$A$2:$A$1057,$A33,'Product Order Book'!$E$2:$E$1057,B$3)/INDEX('Clean Package Product Lists'!$C:$C,MATCH(B$3,'Clean Package Product Lists'!$A:$A,0))),"")</f>
        <v>1</v>
      </c>
      <c r="C33" s="155">
        <f>IFERROR(MIN(1,COUNTIFS('Product Order Book'!$A$2:$A$1057,$A33,'Product Order Book'!$E$2:$E$1057,C$3)/INDEX('Clean Package Product Lists'!$C:$C,MATCH(C$3,'Clean Package Product Lists'!$A:$A,0))),"")</f>
        <v>0.14285714285714285</v>
      </c>
      <c r="D33" s="155">
        <f>IFERROR(MIN(1,COUNTIFS('Product Order Book'!$A$2:$A$1057,$A33,'Product Order Book'!$E$2:$E$1057,D$3)/INDEX('Clean Package Product Lists'!$C:$C,MATCH(D$3,'Clean Package Product Lists'!$A:$A,0))),"")</f>
        <v>0</v>
      </c>
      <c r="E33" s="155">
        <f>IFERROR(MIN(1,COUNTIFS('Product Order Book'!$A$2:$A$1057,$A33,'Product Order Book'!$E$2:$E$1057,E$3)/INDEX('Clean Package Product Lists'!$C:$C,MATCH(E$3,'Clean Package Product Lists'!$A:$A,0))),"")</f>
        <v>0</v>
      </c>
      <c r="F33" s="155">
        <f>IFERROR(MIN(1,COUNTIFS('Product Order Book'!$A$2:$A$1057,$A33,'Product Order Book'!$E$2:$E$1057,F$3)/INDEX('Clean Package Product Lists'!$C:$C,MATCH(F$3,'Clean Package Product Lists'!$A:$A,0))),"")</f>
        <v>0</v>
      </c>
      <c r="G33" s="155">
        <f>IFERROR(MIN(1,COUNTIFS('Product Order Book'!$A$2:$A$1057,$A33,'Product Order Book'!$E$2:$E$1057,G$3)/INDEX('Clean Package Product Lists'!$C:$C,MATCH(G$3,'Clean Package Product Lists'!$A:$A,0))),"")</f>
        <v>0</v>
      </c>
      <c r="H33" s="155">
        <f>IFERROR(MIN(1,COUNTIFS('Product Order Book'!$A$2:$A$1057,$A33,'Product Order Book'!$E$2:$E$1057,H$3)/INDEX('Clean Package Product Lists'!$C:$C,MATCH(H$3,'Clean Package Product Lists'!$A:$A,0))),"")</f>
        <v>0</v>
      </c>
      <c r="I33" s="155">
        <f>IFERROR(MIN(1,COUNTIFS('Product Order Book'!$A$2:$A$1057,$A33,'Product Order Book'!$E$2:$E$1057,I$3)/INDEX('Clean Package Product Lists'!$C:$C,MATCH(I$3,'Clean Package Product Lists'!$A:$A,0))),"")</f>
        <v>0</v>
      </c>
      <c r="J33" s="155">
        <f>IFERROR(MIN(1,COUNTIFS('Product Order Book'!$A$2:$A$1057,$A33,'Product Order Book'!$E$2:$E$1057,J$3)/INDEX('Clean Package Product Lists'!$C:$C,MATCH(J$3,'Clean Package Product Lists'!$A:$A,0))),"")</f>
        <v>0</v>
      </c>
      <c r="K33" s="155">
        <f>IFERROR(MIN(1,COUNTIFS('Product Order Book'!$A$2:$A$1057,$A33,'Product Order Book'!$E$2:$E$1057,K$3)/INDEX('Clean Package Product Lists'!$C:$C,MATCH(K$3,'Clean Package Product Lists'!$A:$A,0))),"")</f>
        <v>0.2</v>
      </c>
      <c r="L33" s="154"/>
      <c r="M33" s="156" t="str">
        <f>IF(COUNTIFS('Product Order Book'!$A:$A,$A33,'Product Order Book'!$E:$E,M$3)&gt;0,"✓ Takes",IF(IFERROR(VLOOKUP($A33,'Whitespace Analysis'!$A:$AH,12,0),0)=1,"◎ Should","– N/A"))</f>
        <v>✓ Takes</v>
      </c>
      <c r="N33" s="156" t="str">
        <f>IF(COUNTIFS('Product Order Book'!$A:$A,$A33,'Product Order Book'!$E:$E,N$3)&gt;0,"✓ Takes",IF(IFERROR(VLOOKUP($A33,'Whitespace Analysis'!$A:$AH,20,0),0)=1,"◎ Should","– N/A"))</f>
        <v>✓ Takes</v>
      </c>
      <c r="O33" s="156" t="str">
        <f>IF(COUNTIFS('Product Order Book'!$A:$A,$A33,'Product Order Book'!$E:$E,O$3)&gt;0,"✓ Takes",IF(IFERROR(VLOOKUP($A33,'Whitespace Analysis'!$A:$AH,22,0),0)=1,"◎ Should","– N/A"))</f>
        <v>◎ Should</v>
      </c>
      <c r="P33" s="156" t="str">
        <f>IF(COUNTIFS('Product Order Book'!$A:$A,$A33,'Product Order Book'!$E:$E,P$3)&gt;0,"✓ Takes",IF(IFERROR(VLOOKUP($A33,'Whitespace Analysis'!$A:$AH,24,0),0)=1,"◎ Should","– N/A"))</f>
        <v>– N/A</v>
      </c>
      <c r="Q33" s="156" t="str">
        <f>IF(COUNTIFS('Product Order Book'!$A:$A,$A33,'Product Order Book'!$E:$E,Q$3)&gt;0,"✓ Takes",IF(IFERROR(VLOOKUP($A33,'Whitespace Analysis'!$A:$AH,26,0),0)=1,"◎ Should","– N/A"))</f>
        <v>– N/A</v>
      </c>
      <c r="R33" s="156" t="str">
        <f>IF(COUNTIFS('Product Order Book'!$A:$A,$A33,'Product Order Book'!$E:$E,R$3)&gt;0,"✓ Takes",IF(IFERROR(VLOOKUP($A33,'Whitespace Analysis'!$A:$AH,16,0),0)=1,"◎ Should","– N/A"))</f>
        <v>– N/A</v>
      </c>
      <c r="S33" s="156" t="str">
        <f>IF(COUNTIFS('Product Order Book'!$A:$A,$A33,'Product Order Book'!$E:$E,S$3)&gt;0,"✓ Takes",IF(IFERROR(VLOOKUP($A33,'Whitespace Analysis'!$A:$AH,18,0),0)=1,"◎ Should","– N/A"))</f>
        <v>– N/A</v>
      </c>
      <c r="T33" s="156" t="str">
        <f>IF(COUNTIFS('Product Order Book'!$A:$A,$A33,'Product Order Book'!$E:$E,T$3)&gt;0,"✓ Takes",IF(IFERROR(VLOOKUP($A33,'Whitespace Analysis'!$A:$AH,28,0),0)=1,"◎ Should","– N/A"))</f>
        <v>– N/A</v>
      </c>
      <c r="U33" s="156" t="str">
        <f>IF(COUNTIFS('Product Order Book'!$A:$A,$A33,'Product Order Book'!$E:$E,U$3)&gt;0,"✓ Takes",IF(IFERROR(VLOOKUP($A33,'Whitespace Analysis'!$A:$AH,30,0),0)=1,"◎ Should","– N/A"))</f>
        <v>– N/A</v>
      </c>
      <c r="V33" s="156" t="str">
        <f>IF(COUNTIFS('Product Order Book'!$A:$A,$A33,'Product Order Book'!$E:$E,V$3)&gt;0,"✓ Takes",IF(IFERROR(VLOOKUP($A33,'Whitespace Analysis'!$A:$AH,14,0),0)=1,"◎ Should","– N/A"))</f>
        <v>✓ Takes</v>
      </c>
    </row>
    <row r="34" spans="1:22" ht="15" customHeight="1">
      <c r="A34" s="154" t="str">
        <v>Cambridge Economic Policy Associates Limited</v>
      </c>
      <c r="B34" s="155">
        <f>IFERROR(MIN(1,COUNTIFS('Product Order Book'!$A$2:$A$1057,$A34,'Product Order Book'!$E$2:$E$1057,B$3)/INDEX('Clean Package Product Lists'!$C:$C,MATCH(B$3,'Clean Package Product Lists'!$A:$A,0))),"")</f>
        <v>1</v>
      </c>
      <c r="C34" s="155">
        <f>IFERROR(MIN(1,COUNTIFS('Product Order Book'!$A$2:$A$1057,$A34,'Product Order Book'!$E$2:$E$1057,C$3)/INDEX('Clean Package Product Lists'!$C:$C,MATCH(C$3,'Clean Package Product Lists'!$A:$A,0))),"")</f>
        <v>0</v>
      </c>
      <c r="D34" s="155">
        <f>IFERROR(MIN(1,COUNTIFS('Product Order Book'!$A$2:$A$1057,$A34,'Product Order Book'!$E$2:$E$1057,D$3)/INDEX('Clean Package Product Lists'!$C:$C,MATCH(D$3,'Clean Package Product Lists'!$A:$A,0))),"")</f>
        <v>0</v>
      </c>
      <c r="E34" s="155">
        <f>IFERROR(MIN(1,COUNTIFS('Product Order Book'!$A$2:$A$1057,$A34,'Product Order Book'!$E$2:$E$1057,E$3)/INDEX('Clean Package Product Lists'!$C:$C,MATCH(E$3,'Clean Package Product Lists'!$A:$A,0))),"")</f>
        <v>0</v>
      </c>
      <c r="F34" s="155">
        <f>IFERROR(MIN(1,COUNTIFS('Product Order Book'!$A$2:$A$1057,$A34,'Product Order Book'!$E$2:$E$1057,F$3)/INDEX('Clean Package Product Lists'!$C:$C,MATCH(F$3,'Clean Package Product Lists'!$A:$A,0))),"")</f>
        <v>0</v>
      </c>
      <c r="G34" s="155">
        <f>IFERROR(MIN(1,COUNTIFS('Product Order Book'!$A$2:$A$1057,$A34,'Product Order Book'!$E$2:$E$1057,G$3)/INDEX('Clean Package Product Lists'!$C:$C,MATCH(G$3,'Clean Package Product Lists'!$A:$A,0))),"")</f>
        <v>0</v>
      </c>
      <c r="H34" s="155">
        <f>IFERROR(MIN(1,COUNTIFS('Product Order Book'!$A$2:$A$1057,$A34,'Product Order Book'!$E$2:$E$1057,H$3)/INDEX('Clean Package Product Lists'!$C:$C,MATCH(H$3,'Clean Package Product Lists'!$A:$A,0))),"")</f>
        <v>0</v>
      </c>
      <c r="I34" s="155">
        <f>IFERROR(MIN(1,COUNTIFS('Product Order Book'!$A$2:$A$1057,$A34,'Product Order Book'!$E$2:$E$1057,I$3)/INDEX('Clean Package Product Lists'!$C:$C,MATCH(I$3,'Clean Package Product Lists'!$A:$A,0))),"")</f>
        <v>0</v>
      </c>
      <c r="J34" s="155">
        <f>IFERROR(MIN(1,COUNTIFS('Product Order Book'!$A$2:$A$1057,$A34,'Product Order Book'!$E$2:$E$1057,J$3)/INDEX('Clean Package Product Lists'!$C:$C,MATCH(J$3,'Clean Package Product Lists'!$A:$A,0))),"")</f>
        <v>0</v>
      </c>
      <c r="K34" s="155">
        <f>IFERROR(MIN(1,COUNTIFS('Product Order Book'!$A$2:$A$1057,$A34,'Product Order Book'!$E$2:$E$1057,K$3)/INDEX('Clean Package Product Lists'!$C:$C,MATCH(K$3,'Clean Package Product Lists'!$A:$A,0))),"")</f>
        <v>0</v>
      </c>
      <c r="L34" s="154"/>
      <c r="M34" s="156" t="str">
        <f>IF(COUNTIFS('Product Order Book'!$A:$A,$A34,'Product Order Book'!$E:$E,M$3)&gt;0,"✓ Takes",IF(IFERROR(VLOOKUP($A34,'Whitespace Analysis'!$A:$AH,12,0),0)=1,"◎ Should","– N/A"))</f>
        <v>✓ Takes</v>
      </c>
      <c r="N34" s="156" t="str">
        <f>IF(COUNTIFS('Product Order Book'!$A:$A,$A34,'Product Order Book'!$E:$E,N$3)&gt;0,"✓ Takes",IF(IFERROR(VLOOKUP($A34,'Whitespace Analysis'!$A:$AH,20,0),0)=1,"◎ Should","– N/A"))</f>
        <v>– N/A</v>
      </c>
      <c r="O34" s="156" t="str">
        <f>IF(COUNTIFS('Product Order Book'!$A:$A,$A34,'Product Order Book'!$E:$E,O$3)&gt;0,"✓ Takes",IF(IFERROR(VLOOKUP($A34,'Whitespace Analysis'!$A:$AH,22,0),0)=1,"◎ Should","– N/A"))</f>
        <v>– N/A</v>
      </c>
      <c r="P34" s="156" t="str">
        <f>IF(COUNTIFS('Product Order Book'!$A:$A,$A34,'Product Order Book'!$E:$E,P$3)&gt;0,"✓ Takes",IF(IFERROR(VLOOKUP($A34,'Whitespace Analysis'!$A:$AH,24,0),0)=1,"◎ Should","– N/A"))</f>
        <v>– N/A</v>
      </c>
      <c r="Q34" s="156" t="str">
        <f>IF(COUNTIFS('Product Order Book'!$A:$A,$A34,'Product Order Book'!$E:$E,Q$3)&gt;0,"✓ Takes",IF(IFERROR(VLOOKUP($A34,'Whitespace Analysis'!$A:$AH,26,0),0)=1,"◎ Should","– N/A"))</f>
        <v>– N/A</v>
      </c>
      <c r="R34" s="156" t="str">
        <f>IF(COUNTIFS('Product Order Book'!$A:$A,$A34,'Product Order Book'!$E:$E,R$3)&gt;0,"✓ Takes",IF(IFERROR(VLOOKUP($A34,'Whitespace Analysis'!$A:$AH,16,0),0)=1,"◎ Should","– N/A"))</f>
        <v>– N/A</v>
      </c>
      <c r="S34" s="156" t="str">
        <f>IF(COUNTIFS('Product Order Book'!$A:$A,$A34,'Product Order Book'!$E:$E,S$3)&gt;0,"✓ Takes",IF(IFERROR(VLOOKUP($A34,'Whitespace Analysis'!$A:$AH,18,0),0)=1,"◎ Should","– N/A"))</f>
        <v>– N/A</v>
      </c>
      <c r="T34" s="156" t="str">
        <f>IF(COUNTIFS('Product Order Book'!$A:$A,$A34,'Product Order Book'!$E:$E,T$3)&gt;0,"✓ Takes",IF(IFERROR(VLOOKUP($A34,'Whitespace Analysis'!$A:$AH,28,0),0)=1,"◎ Should","– N/A"))</f>
        <v>– N/A</v>
      </c>
      <c r="U34" s="156" t="str">
        <f>IF(COUNTIFS('Product Order Book'!$A:$A,$A34,'Product Order Book'!$E:$E,U$3)&gt;0,"✓ Takes",IF(IFERROR(VLOOKUP($A34,'Whitespace Analysis'!$A:$AH,30,0),0)=1,"◎ Should","– N/A"))</f>
        <v>– N/A</v>
      </c>
      <c r="V34" s="156" t="str">
        <f>IF(COUNTIFS('Product Order Book'!$A:$A,$A34,'Product Order Book'!$E:$E,V$3)&gt;0,"✓ Takes",IF(IFERROR(VLOOKUP($A34,'Whitespace Analysis'!$A:$AH,14,0),0)=1,"◎ Should","– N/A"))</f>
        <v>– N/A</v>
      </c>
    </row>
    <row r="35" spans="1:22" ht="15" customHeight="1">
      <c r="A35" s="154" t="str">
        <v>Cargill Plc</v>
      </c>
      <c r="B35" s="155">
        <f>IFERROR(MIN(1,COUNTIFS('Product Order Book'!$A$2:$A$1057,$A35,'Product Order Book'!$E$2:$E$1057,B$3)/INDEX('Clean Package Product Lists'!$C:$C,MATCH(B$3,'Clean Package Product Lists'!$A:$A,0))),"")</f>
        <v>0</v>
      </c>
      <c r="C35" s="155">
        <f>IFERROR(MIN(1,COUNTIFS('Product Order Book'!$A$2:$A$1057,$A35,'Product Order Book'!$E$2:$E$1057,C$3)/INDEX('Clean Package Product Lists'!$C:$C,MATCH(C$3,'Clean Package Product Lists'!$A:$A,0))),"")</f>
        <v>0</v>
      </c>
      <c r="D35" s="155">
        <f>IFERROR(MIN(1,COUNTIFS('Product Order Book'!$A$2:$A$1057,$A35,'Product Order Book'!$E$2:$E$1057,D$3)/INDEX('Clean Package Product Lists'!$C:$C,MATCH(D$3,'Clean Package Product Lists'!$A:$A,0))),"")</f>
        <v>0</v>
      </c>
      <c r="E35" s="155">
        <f>IFERROR(MIN(1,COUNTIFS('Product Order Book'!$A$2:$A$1057,$A35,'Product Order Book'!$E$2:$E$1057,E$3)/INDEX('Clean Package Product Lists'!$C:$C,MATCH(E$3,'Clean Package Product Lists'!$A:$A,0))),"")</f>
        <v>0</v>
      </c>
      <c r="F35" s="155">
        <f>IFERROR(MIN(1,COUNTIFS('Product Order Book'!$A$2:$A$1057,$A35,'Product Order Book'!$E$2:$E$1057,F$3)/INDEX('Clean Package Product Lists'!$C:$C,MATCH(F$3,'Clean Package Product Lists'!$A:$A,0))),"")</f>
        <v>1</v>
      </c>
      <c r="G35" s="155">
        <f>IFERROR(MIN(1,COUNTIFS('Product Order Book'!$A$2:$A$1057,$A35,'Product Order Book'!$E$2:$E$1057,G$3)/INDEX('Clean Package Product Lists'!$C:$C,MATCH(G$3,'Clean Package Product Lists'!$A:$A,0))),"")</f>
        <v>0</v>
      </c>
      <c r="H35" s="155">
        <f>IFERROR(MIN(1,COUNTIFS('Product Order Book'!$A$2:$A$1057,$A35,'Product Order Book'!$E$2:$E$1057,H$3)/INDEX('Clean Package Product Lists'!$C:$C,MATCH(H$3,'Clean Package Product Lists'!$A:$A,0))),"")</f>
        <v>0</v>
      </c>
      <c r="I35" s="155">
        <f>IFERROR(MIN(1,COUNTIFS('Product Order Book'!$A$2:$A$1057,$A35,'Product Order Book'!$E$2:$E$1057,I$3)/INDEX('Clean Package Product Lists'!$C:$C,MATCH(I$3,'Clean Package Product Lists'!$A:$A,0))),"")</f>
        <v>0</v>
      </c>
      <c r="J35" s="155">
        <f>IFERROR(MIN(1,COUNTIFS('Product Order Book'!$A$2:$A$1057,$A35,'Product Order Book'!$E$2:$E$1057,J$3)/INDEX('Clean Package Product Lists'!$C:$C,MATCH(J$3,'Clean Package Product Lists'!$A:$A,0))),"")</f>
        <v>0</v>
      </c>
      <c r="K35" s="155">
        <f>IFERROR(MIN(1,COUNTIFS('Product Order Book'!$A$2:$A$1057,$A35,'Product Order Book'!$E$2:$E$1057,K$3)/INDEX('Clean Package Product Lists'!$C:$C,MATCH(K$3,'Clean Package Product Lists'!$A:$A,0))),"")</f>
        <v>0</v>
      </c>
      <c r="L35" s="154"/>
      <c r="M35" s="156" t="str">
        <f>IF(COUNTIFS('Product Order Book'!$A:$A,$A35,'Product Order Book'!$E:$E,M$3)&gt;0,"✓ Takes",IF(IFERROR(VLOOKUP($A35,'Whitespace Analysis'!$A:$AH,12,0),0)=1,"◎ Should","– N/A"))</f>
        <v>◎ Should</v>
      </c>
      <c r="N35" s="156" t="str">
        <f>IF(COUNTIFS('Product Order Book'!$A:$A,$A35,'Product Order Book'!$E:$E,N$3)&gt;0,"✓ Takes",IF(IFERROR(VLOOKUP($A35,'Whitespace Analysis'!$A:$AH,20,0),0)=1,"◎ Should","– N/A"))</f>
        <v>◎ Should</v>
      </c>
      <c r="O35" s="156" t="str">
        <f>IF(COUNTIFS('Product Order Book'!$A:$A,$A35,'Product Order Book'!$E:$E,O$3)&gt;0,"✓ Takes",IF(IFERROR(VLOOKUP($A35,'Whitespace Analysis'!$A:$AH,22,0),0)=1,"◎ Should","– N/A"))</f>
        <v>◎ Should</v>
      </c>
      <c r="P35" s="156" t="str">
        <f>IF(COUNTIFS('Product Order Book'!$A:$A,$A35,'Product Order Book'!$E:$E,P$3)&gt;0,"✓ Takes",IF(IFERROR(VLOOKUP($A35,'Whitespace Analysis'!$A:$AH,24,0),0)=1,"◎ Should","– N/A"))</f>
        <v>◎ Should</v>
      </c>
      <c r="Q35" s="156" t="str">
        <f>IF(COUNTIFS('Product Order Book'!$A:$A,$A35,'Product Order Book'!$E:$E,Q$3)&gt;0,"✓ Takes",IF(IFERROR(VLOOKUP($A35,'Whitespace Analysis'!$A:$AH,26,0),0)=1,"◎ Should","– N/A"))</f>
        <v>✓ Takes</v>
      </c>
      <c r="R35" s="156" t="str">
        <f>IF(COUNTIFS('Product Order Book'!$A:$A,$A35,'Product Order Book'!$E:$E,R$3)&gt;0,"✓ Takes",IF(IFERROR(VLOOKUP($A35,'Whitespace Analysis'!$A:$AH,16,0),0)=1,"◎ Should","– N/A"))</f>
        <v>– N/A</v>
      </c>
      <c r="S35" s="156" t="str">
        <f>IF(COUNTIFS('Product Order Book'!$A:$A,$A35,'Product Order Book'!$E:$E,S$3)&gt;0,"✓ Takes",IF(IFERROR(VLOOKUP($A35,'Whitespace Analysis'!$A:$AH,18,0),0)=1,"◎ Should","– N/A"))</f>
        <v>– N/A</v>
      </c>
      <c r="T35" s="156" t="str">
        <f>IF(COUNTIFS('Product Order Book'!$A:$A,$A35,'Product Order Book'!$E:$E,T$3)&gt;0,"✓ Takes",IF(IFERROR(VLOOKUP($A35,'Whitespace Analysis'!$A:$AH,28,0),0)=1,"◎ Should","– N/A"))</f>
        <v>– N/A</v>
      </c>
      <c r="U35" s="156" t="str">
        <f>IF(COUNTIFS('Product Order Book'!$A:$A,$A35,'Product Order Book'!$E:$E,U$3)&gt;0,"✓ Takes",IF(IFERROR(VLOOKUP($A35,'Whitespace Analysis'!$A:$AH,30,0),0)=1,"◎ Should","– N/A"))</f>
        <v>– N/A</v>
      </c>
      <c r="V35" s="156" t="str">
        <f>IF(COUNTIFS('Product Order Book'!$A:$A,$A35,'Product Order Book'!$E:$E,V$3)&gt;0,"✓ Takes",IF(IFERROR(VLOOKUP($A35,'Whitespace Analysis'!$A:$AH,14,0),0)=1,"◎ Should","– N/A"))</f>
        <v>◎ Should</v>
      </c>
    </row>
    <row r="36" spans="1:22" ht="15" customHeight="1">
      <c r="A36" s="154" t="str">
        <v>Centrica Energy Limited</v>
      </c>
      <c r="B36" s="155">
        <f>IFERROR(MIN(1,COUNTIFS('Product Order Book'!$A$2:$A$1057,$A36,'Product Order Book'!$E$2:$E$1057,B$3)/INDEX('Clean Package Product Lists'!$C:$C,MATCH(B$3,'Clean Package Product Lists'!$A:$A,0))),"")</f>
        <v>0</v>
      </c>
      <c r="C36" s="155">
        <f>IFERROR(MIN(1,COUNTIFS('Product Order Book'!$A$2:$A$1057,$A36,'Product Order Book'!$E$2:$E$1057,C$3)/INDEX('Clean Package Product Lists'!$C:$C,MATCH(C$3,'Clean Package Product Lists'!$A:$A,0))),"")</f>
        <v>1</v>
      </c>
      <c r="D36" s="155">
        <f>IFERROR(MIN(1,COUNTIFS('Product Order Book'!$A$2:$A$1057,$A36,'Product Order Book'!$E$2:$E$1057,D$3)/INDEX('Clean Package Product Lists'!$C:$C,MATCH(D$3,'Clean Package Product Lists'!$A:$A,0))),"")</f>
        <v>0</v>
      </c>
      <c r="E36" s="155">
        <f>IFERROR(MIN(1,COUNTIFS('Product Order Book'!$A$2:$A$1057,$A36,'Product Order Book'!$E$2:$E$1057,E$3)/INDEX('Clean Package Product Lists'!$C:$C,MATCH(E$3,'Clean Package Product Lists'!$A:$A,0))),"")</f>
        <v>0</v>
      </c>
      <c r="F36" s="155">
        <f>IFERROR(MIN(1,COUNTIFS('Product Order Book'!$A$2:$A$1057,$A36,'Product Order Book'!$E$2:$E$1057,F$3)/INDEX('Clean Package Product Lists'!$C:$C,MATCH(F$3,'Clean Package Product Lists'!$A:$A,0))),"")</f>
        <v>0</v>
      </c>
      <c r="G36" s="155">
        <f>IFERROR(MIN(1,COUNTIFS('Product Order Book'!$A$2:$A$1057,$A36,'Product Order Book'!$E$2:$E$1057,G$3)/INDEX('Clean Package Product Lists'!$C:$C,MATCH(G$3,'Clean Package Product Lists'!$A:$A,0))),"")</f>
        <v>0</v>
      </c>
      <c r="H36" s="155">
        <f>IFERROR(MIN(1,COUNTIFS('Product Order Book'!$A$2:$A$1057,$A36,'Product Order Book'!$E$2:$E$1057,H$3)/INDEX('Clean Package Product Lists'!$C:$C,MATCH(H$3,'Clean Package Product Lists'!$A:$A,0))),"")</f>
        <v>0</v>
      </c>
      <c r="I36" s="155">
        <f>IFERROR(MIN(1,COUNTIFS('Product Order Book'!$A$2:$A$1057,$A36,'Product Order Book'!$E$2:$E$1057,I$3)/INDEX('Clean Package Product Lists'!$C:$C,MATCH(I$3,'Clean Package Product Lists'!$A:$A,0))),"")</f>
        <v>0</v>
      </c>
      <c r="J36" s="155">
        <f>IFERROR(MIN(1,COUNTIFS('Product Order Book'!$A$2:$A$1057,$A36,'Product Order Book'!$E$2:$E$1057,J$3)/INDEX('Clean Package Product Lists'!$C:$C,MATCH(J$3,'Clean Package Product Lists'!$A:$A,0))),"")</f>
        <v>0</v>
      </c>
      <c r="K36" s="155">
        <f>IFERROR(MIN(1,COUNTIFS('Product Order Book'!$A$2:$A$1057,$A36,'Product Order Book'!$E$2:$E$1057,K$3)/INDEX('Clean Package Product Lists'!$C:$C,MATCH(K$3,'Clean Package Product Lists'!$A:$A,0))),"")</f>
        <v>0</v>
      </c>
      <c r="L36" s="154"/>
      <c r="M36" s="156" t="str">
        <f>IF(COUNTIFS('Product Order Book'!$A:$A,$A36,'Product Order Book'!$E:$E,M$3)&gt;0,"✓ Takes",IF(IFERROR(VLOOKUP($A36,'Whitespace Analysis'!$A:$AH,12,0),0)=1,"◎ Should","– N/A"))</f>
        <v>◎ Should</v>
      </c>
      <c r="N36" s="156" t="str">
        <f>IF(COUNTIFS('Product Order Book'!$A:$A,$A36,'Product Order Book'!$E:$E,N$3)&gt;0,"✓ Takes",IF(IFERROR(VLOOKUP($A36,'Whitespace Analysis'!$A:$AH,20,0),0)=1,"◎ Should","– N/A"))</f>
        <v>✓ Takes</v>
      </c>
      <c r="O36" s="156" t="str">
        <f>IF(COUNTIFS('Product Order Book'!$A:$A,$A36,'Product Order Book'!$E:$E,O$3)&gt;0,"✓ Takes",IF(IFERROR(VLOOKUP($A36,'Whitespace Analysis'!$A:$AH,22,0),0)=1,"◎ Should","– N/A"))</f>
        <v>◎ Should</v>
      </c>
      <c r="P36" s="156" t="str">
        <f>IF(COUNTIFS('Product Order Book'!$A:$A,$A36,'Product Order Book'!$E:$E,P$3)&gt;0,"✓ Takes",IF(IFERROR(VLOOKUP($A36,'Whitespace Analysis'!$A:$AH,24,0),0)=1,"◎ Should","– N/A"))</f>
        <v>◎ Should</v>
      </c>
      <c r="Q36" s="156" t="str">
        <f>IF(COUNTIFS('Product Order Book'!$A:$A,$A36,'Product Order Book'!$E:$E,Q$3)&gt;0,"✓ Takes",IF(IFERROR(VLOOKUP($A36,'Whitespace Analysis'!$A:$AH,26,0),0)=1,"◎ Should","– N/A"))</f>
        <v>◎ Should</v>
      </c>
      <c r="R36" s="156" t="str">
        <f>IF(COUNTIFS('Product Order Book'!$A:$A,$A36,'Product Order Book'!$E:$E,R$3)&gt;0,"✓ Takes",IF(IFERROR(VLOOKUP($A36,'Whitespace Analysis'!$A:$AH,16,0),0)=1,"◎ Should","– N/A"))</f>
        <v>◎ Should</v>
      </c>
      <c r="S36" s="156" t="str">
        <f>IF(COUNTIFS('Product Order Book'!$A:$A,$A36,'Product Order Book'!$E:$E,S$3)&gt;0,"✓ Takes",IF(IFERROR(VLOOKUP($A36,'Whitespace Analysis'!$A:$AH,18,0),0)=1,"◎ Should","– N/A"))</f>
        <v>◎ Should</v>
      </c>
      <c r="T36" s="156" t="str">
        <f>IF(COUNTIFS('Product Order Book'!$A:$A,$A36,'Product Order Book'!$E:$E,T$3)&gt;0,"✓ Takes",IF(IFERROR(VLOOKUP($A36,'Whitespace Analysis'!$A:$AH,28,0),0)=1,"◎ Should","– N/A"))</f>
        <v>– N/A</v>
      </c>
      <c r="U36" s="156" t="str">
        <f>IF(COUNTIFS('Product Order Book'!$A:$A,$A36,'Product Order Book'!$E:$E,U$3)&gt;0,"✓ Takes",IF(IFERROR(VLOOKUP($A36,'Whitespace Analysis'!$A:$AH,30,0),0)=1,"◎ Should","– N/A"))</f>
        <v>– N/A</v>
      </c>
      <c r="V36" s="156" t="str">
        <f>IF(COUNTIFS('Product Order Book'!$A:$A,$A36,'Product Order Book'!$E:$E,V$3)&gt;0,"✓ Takes",IF(IFERROR(VLOOKUP($A36,'Whitespace Analysis'!$A:$AH,14,0),0)=1,"◎ Should","– N/A"))</f>
        <v>◎ Should</v>
      </c>
    </row>
    <row r="37" spans="1:22" ht="15" customHeight="1">
      <c r="A37" s="154" t="str">
        <v>Cicero Consulting Ltd</v>
      </c>
      <c r="B37" s="155">
        <f>IFERROR(MIN(1,COUNTIFS('Product Order Book'!$A$2:$A$1057,$A37,'Product Order Book'!$E$2:$E$1057,B$3)/INDEX('Clean Package Product Lists'!$C:$C,MATCH(B$3,'Clean Package Product Lists'!$A:$A,0))),"")</f>
        <v>1</v>
      </c>
      <c r="C37" s="155">
        <f>IFERROR(MIN(1,COUNTIFS('Product Order Book'!$A$2:$A$1057,$A37,'Product Order Book'!$E$2:$E$1057,C$3)/INDEX('Clean Package Product Lists'!$C:$C,MATCH(C$3,'Clean Package Product Lists'!$A:$A,0))),"")</f>
        <v>0</v>
      </c>
      <c r="D37" s="155">
        <f>IFERROR(MIN(1,COUNTIFS('Product Order Book'!$A$2:$A$1057,$A37,'Product Order Book'!$E$2:$E$1057,D$3)/INDEX('Clean Package Product Lists'!$C:$C,MATCH(D$3,'Clean Package Product Lists'!$A:$A,0))),"")</f>
        <v>0</v>
      </c>
      <c r="E37" s="155">
        <f>IFERROR(MIN(1,COUNTIFS('Product Order Book'!$A$2:$A$1057,$A37,'Product Order Book'!$E$2:$E$1057,E$3)/INDEX('Clean Package Product Lists'!$C:$C,MATCH(E$3,'Clean Package Product Lists'!$A:$A,0))),"")</f>
        <v>0</v>
      </c>
      <c r="F37" s="155">
        <f>IFERROR(MIN(1,COUNTIFS('Product Order Book'!$A$2:$A$1057,$A37,'Product Order Book'!$E$2:$E$1057,F$3)/INDEX('Clean Package Product Lists'!$C:$C,MATCH(F$3,'Clean Package Product Lists'!$A:$A,0))),"")</f>
        <v>0</v>
      </c>
      <c r="G37" s="155">
        <f>IFERROR(MIN(1,COUNTIFS('Product Order Book'!$A$2:$A$1057,$A37,'Product Order Book'!$E$2:$E$1057,G$3)/INDEX('Clean Package Product Lists'!$C:$C,MATCH(G$3,'Clean Package Product Lists'!$A:$A,0))),"")</f>
        <v>0</v>
      </c>
      <c r="H37" s="155">
        <f>IFERROR(MIN(1,COUNTIFS('Product Order Book'!$A$2:$A$1057,$A37,'Product Order Book'!$E$2:$E$1057,H$3)/INDEX('Clean Package Product Lists'!$C:$C,MATCH(H$3,'Clean Package Product Lists'!$A:$A,0))),"")</f>
        <v>0</v>
      </c>
      <c r="I37" s="155">
        <f>IFERROR(MIN(1,COUNTIFS('Product Order Book'!$A$2:$A$1057,$A37,'Product Order Book'!$E$2:$E$1057,I$3)/INDEX('Clean Package Product Lists'!$C:$C,MATCH(I$3,'Clean Package Product Lists'!$A:$A,0))),"")</f>
        <v>0</v>
      </c>
      <c r="J37" s="155">
        <f>IFERROR(MIN(1,COUNTIFS('Product Order Book'!$A$2:$A$1057,$A37,'Product Order Book'!$E$2:$E$1057,J$3)/INDEX('Clean Package Product Lists'!$C:$C,MATCH(J$3,'Clean Package Product Lists'!$A:$A,0))),"")</f>
        <v>0</v>
      </c>
      <c r="K37" s="155">
        <f>IFERROR(MIN(1,COUNTIFS('Product Order Book'!$A$2:$A$1057,$A37,'Product Order Book'!$E$2:$E$1057,K$3)/INDEX('Clean Package Product Lists'!$C:$C,MATCH(K$3,'Clean Package Product Lists'!$A:$A,0))),"")</f>
        <v>0</v>
      </c>
      <c r="L37" s="154"/>
      <c r="M37" s="156" t="str">
        <f>IF(COUNTIFS('Product Order Book'!$A:$A,$A37,'Product Order Book'!$E:$E,M$3)&gt;0,"✓ Takes",IF(IFERROR(VLOOKUP($A37,'Whitespace Analysis'!$A:$AH,12,0),0)=1,"◎ Should","– N/A"))</f>
        <v>✓ Takes</v>
      </c>
      <c r="N37" s="156" t="str">
        <f>IF(COUNTIFS('Product Order Book'!$A:$A,$A37,'Product Order Book'!$E:$E,N$3)&gt;0,"✓ Takes",IF(IFERROR(VLOOKUP($A37,'Whitespace Analysis'!$A:$AH,20,0),0)=1,"◎ Should","– N/A"))</f>
        <v>– N/A</v>
      </c>
      <c r="O37" s="156" t="str">
        <f>IF(COUNTIFS('Product Order Book'!$A:$A,$A37,'Product Order Book'!$E:$E,O$3)&gt;0,"✓ Takes",IF(IFERROR(VLOOKUP($A37,'Whitespace Analysis'!$A:$AH,22,0),0)=1,"◎ Should","– N/A"))</f>
        <v>– N/A</v>
      </c>
      <c r="P37" s="156" t="str">
        <f>IF(COUNTIFS('Product Order Book'!$A:$A,$A37,'Product Order Book'!$E:$E,P$3)&gt;0,"✓ Takes",IF(IFERROR(VLOOKUP($A37,'Whitespace Analysis'!$A:$AH,24,0),0)=1,"◎ Should","– N/A"))</f>
        <v>– N/A</v>
      </c>
      <c r="Q37" s="156" t="str">
        <f>IF(COUNTIFS('Product Order Book'!$A:$A,$A37,'Product Order Book'!$E:$E,Q$3)&gt;0,"✓ Takes",IF(IFERROR(VLOOKUP($A37,'Whitespace Analysis'!$A:$AH,26,0),0)=1,"◎ Should","– N/A"))</f>
        <v>– N/A</v>
      </c>
      <c r="R37" s="156" t="str">
        <f>IF(COUNTIFS('Product Order Book'!$A:$A,$A37,'Product Order Book'!$E:$E,R$3)&gt;0,"✓ Takes",IF(IFERROR(VLOOKUP($A37,'Whitespace Analysis'!$A:$AH,16,0),0)=1,"◎ Should","– N/A"))</f>
        <v>– N/A</v>
      </c>
      <c r="S37" s="156" t="str">
        <f>IF(COUNTIFS('Product Order Book'!$A:$A,$A37,'Product Order Book'!$E:$E,S$3)&gt;0,"✓ Takes",IF(IFERROR(VLOOKUP($A37,'Whitespace Analysis'!$A:$AH,18,0),0)=1,"◎ Should","– N/A"))</f>
        <v>– N/A</v>
      </c>
      <c r="T37" s="156" t="str">
        <f>IF(COUNTIFS('Product Order Book'!$A:$A,$A37,'Product Order Book'!$E:$E,T$3)&gt;0,"✓ Takes",IF(IFERROR(VLOOKUP($A37,'Whitespace Analysis'!$A:$AH,28,0),0)=1,"◎ Should","– N/A"))</f>
        <v>– N/A</v>
      </c>
      <c r="U37" s="156" t="str">
        <f>IF(COUNTIFS('Product Order Book'!$A:$A,$A37,'Product Order Book'!$E:$E,U$3)&gt;0,"✓ Takes",IF(IFERROR(VLOOKUP($A37,'Whitespace Analysis'!$A:$AH,30,0),0)=1,"◎ Should","– N/A"))</f>
        <v>– N/A</v>
      </c>
      <c r="V37" s="156" t="str">
        <f>IF(COUNTIFS('Product Order Book'!$A:$A,$A37,'Product Order Book'!$E:$E,V$3)&gt;0,"✓ Takes",IF(IFERROR(VLOOKUP($A37,'Whitespace Analysis'!$A:$AH,14,0),0)=1,"◎ Should","– N/A"))</f>
        <v>– N/A</v>
      </c>
    </row>
    <row r="38" spans="1:22" ht="15" customHeight="1">
      <c r="A38" s="154" t="str">
        <v>Citizens Advice Limited</v>
      </c>
      <c r="B38" s="155">
        <f>IFERROR(MIN(1,COUNTIFS('Product Order Book'!$A$2:$A$1057,$A38,'Product Order Book'!$E$2:$E$1057,B$3)/INDEX('Clean Package Product Lists'!$C:$C,MATCH(B$3,'Clean Package Product Lists'!$A:$A,0))),"")</f>
        <v>1</v>
      </c>
      <c r="C38" s="155">
        <f>IFERROR(MIN(1,COUNTIFS('Product Order Book'!$A$2:$A$1057,$A38,'Product Order Book'!$E$2:$E$1057,C$3)/INDEX('Clean Package Product Lists'!$C:$C,MATCH(C$3,'Clean Package Product Lists'!$A:$A,0))),"")</f>
        <v>0</v>
      </c>
      <c r="D38" s="155">
        <f>IFERROR(MIN(1,COUNTIFS('Product Order Book'!$A$2:$A$1057,$A38,'Product Order Book'!$E$2:$E$1057,D$3)/INDEX('Clean Package Product Lists'!$C:$C,MATCH(D$3,'Clean Package Product Lists'!$A:$A,0))),"")</f>
        <v>0</v>
      </c>
      <c r="E38" s="155">
        <f>IFERROR(MIN(1,COUNTIFS('Product Order Book'!$A$2:$A$1057,$A38,'Product Order Book'!$E$2:$E$1057,E$3)/INDEX('Clean Package Product Lists'!$C:$C,MATCH(E$3,'Clean Package Product Lists'!$A:$A,0))),"")</f>
        <v>0.25</v>
      </c>
      <c r="F38" s="155">
        <f>IFERROR(MIN(1,COUNTIFS('Product Order Book'!$A$2:$A$1057,$A38,'Product Order Book'!$E$2:$E$1057,F$3)/INDEX('Clean Package Product Lists'!$C:$C,MATCH(F$3,'Clean Package Product Lists'!$A:$A,0))),"")</f>
        <v>0</v>
      </c>
      <c r="G38" s="155">
        <f>IFERROR(MIN(1,COUNTIFS('Product Order Book'!$A$2:$A$1057,$A38,'Product Order Book'!$E$2:$E$1057,G$3)/INDEX('Clean Package Product Lists'!$C:$C,MATCH(G$3,'Clean Package Product Lists'!$A:$A,0))),"")</f>
        <v>0.36363636363636365</v>
      </c>
      <c r="H38" s="155">
        <f>IFERROR(MIN(1,COUNTIFS('Product Order Book'!$A$2:$A$1057,$A38,'Product Order Book'!$E$2:$E$1057,H$3)/INDEX('Clean Package Product Lists'!$C:$C,MATCH(H$3,'Clean Package Product Lists'!$A:$A,0))),"")</f>
        <v>0.25</v>
      </c>
      <c r="I38" s="155">
        <f>IFERROR(MIN(1,COUNTIFS('Product Order Book'!$A$2:$A$1057,$A38,'Product Order Book'!$E$2:$E$1057,I$3)/INDEX('Clean Package Product Lists'!$C:$C,MATCH(I$3,'Clean Package Product Lists'!$A:$A,0))),"")</f>
        <v>0</v>
      </c>
      <c r="J38" s="155">
        <f>IFERROR(MIN(1,COUNTIFS('Product Order Book'!$A$2:$A$1057,$A38,'Product Order Book'!$E$2:$E$1057,J$3)/INDEX('Clean Package Product Lists'!$C:$C,MATCH(J$3,'Clean Package Product Lists'!$A:$A,0))),"")</f>
        <v>0</v>
      </c>
      <c r="K38" s="155">
        <f>IFERROR(MIN(1,COUNTIFS('Product Order Book'!$A$2:$A$1057,$A38,'Product Order Book'!$E$2:$E$1057,K$3)/INDEX('Clean Package Product Lists'!$C:$C,MATCH(K$3,'Clean Package Product Lists'!$A:$A,0))),"")</f>
        <v>0</v>
      </c>
      <c r="L38" s="154"/>
      <c r="M38" s="156" t="str">
        <f>IF(COUNTIFS('Product Order Book'!$A:$A,$A38,'Product Order Book'!$E:$E,M$3)&gt;0,"✓ Takes",IF(IFERROR(VLOOKUP($A38,'Whitespace Analysis'!$A:$AH,12,0),0)=1,"◎ Should","– N/A"))</f>
        <v>✓ Takes</v>
      </c>
      <c r="N38" s="156" t="str">
        <f>IF(COUNTIFS('Product Order Book'!$A:$A,$A38,'Product Order Book'!$E:$E,N$3)&gt;0,"✓ Takes",IF(IFERROR(VLOOKUP($A38,'Whitespace Analysis'!$A:$AH,20,0),0)=1,"◎ Should","– N/A"))</f>
        <v>– N/A</v>
      </c>
      <c r="O38" s="156" t="str">
        <f>IF(COUNTIFS('Product Order Book'!$A:$A,$A38,'Product Order Book'!$E:$E,O$3)&gt;0,"✓ Takes",IF(IFERROR(VLOOKUP($A38,'Whitespace Analysis'!$A:$AH,22,0),0)=1,"◎ Should","– N/A"))</f>
        <v>– N/A</v>
      </c>
      <c r="P38" s="156" t="str">
        <f>IF(COUNTIFS('Product Order Book'!$A:$A,$A38,'Product Order Book'!$E:$E,P$3)&gt;0,"✓ Takes",IF(IFERROR(VLOOKUP($A38,'Whitespace Analysis'!$A:$AH,24,0),0)=1,"◎ Should","– N/A"))</f>
        <v>✓ Takes</v>
      </c>
      <c r="Q38" s="156" t="str">
        <f>IF(COUNTIFS('Product Order Book'!$A:$A,$A38,'Product Order Book'!$E:$E,Q$3)&gt;0,"✓ Takes",IF(IFERROR(VLOOKUP($A38,'Whitespace Analysis'!$A:$AH,26,0),0)=1,"◎ Should","– N/A"))</f>
        <v>– N/A</v>
      </c>
      <c r="R38" s="156" t="str">
        <f>IF(COUNTIFS('Product Order Book'!$A:$A,$A38,'Product Order Book'!$E:$E,R$3)&gt;0,"✓ Takes",IF(IFERROR(VLOOKUP($A38,'Whitespace Analysis'!$A:$AH,16,0),0)=1,"◎ Should","– N/A"))</f>
        <v>✓ Takes</v>
      </c>
      <c r="S38" s="156" t="str">
        <f>IF(COUNTIFS('Product Order Book'!$A:$A,$A38,'Product Order Book'!$E:$E,S$3)&gt;0,"✓ Takes",IF(IFERROR(VLOOKUP($A38,'Whitespace Analysis'!$A:$AH,18,0),0)=1,"◎ Should","– N/A"))</f>
        <v>✓ Takes</v>
      </c>
      <c r="T38" s="156" t="str">
        <f>IF(COUNTIFS('Product Order Book'!$A:$A,$A38,'Product Order Book'!$E:$E,T$3)&gt;0,"✓ Takes",IF(IFERROR(VLOOKUP($A38,'Whitespace Analysis'!$A:$AH,28,0),0)=1,"◎ Should","– N/A"))</f>
        <v>– N/A</v>
      </c>
      <c r="U38" s="156" t="str">
        <f>IF(COUNTIFS('Product Order Book'!$A:$A,$A38,'Product Order Book'!$E:$E,U$3)&gt;0,"✓ Takes",IF(IFERROR(VLOOKUP($A38,'Whitespace Analysis'!$A:$AH,30,0),0)=1,"◎ Should","– N/A"))</f>
        <v>– N/A</v>
      </c>
      <c r="V38" s="156" t="str">
        <f>IF(COUNTIFS('Product Order Book'!$A:$A,$A38,'Product Order Book'!$E:$E,V$3)&gt;0,"✓ Takes",IF(IFERROR(VLOOKUP($A38,'Whitespace Analysis'!$A:$AH,14,0),0)=1,"◎ Should","– N/A"))</f>
        <v>– N/A</v>
      </c>
    </row>
    <row r="39" spans="1:22" ht="15" customHeight="1">
      <c r="A39" s="154" t="str">
        <v>Click Energy</v>
      </c>
      <c r="B39" s="155">
        <f>IFERROR(MIN(1,COUNTIFS('Product Order Book'!$A$2:$A$1057,$A39,'Product Order Book'!$E$2:$E$1057,B$3)/INDEX('Clean Package Product Lists'!$C:$C,MATCH(B$3,'Clean Package Product Lists'!$A:$A,0))),"")</f>
        <v>0</v>
      </c>
      <c r="C39" s="155">
        <f>IFERROR(MIN(1,COUNTIFS('Product Order Book'!$A$2:$A$1057,$A39,'Product Order Book'!$E$2:$E$1057,C$3)/INDEX('Clean Package Product Lists'!$C:$C,MATCH(C$3,'Clean Package Product Lists'!$A:$A,0))),"")</f>
        <v>0</v>
      </c>
      <c r="D39" s="155">
        <f>IFERROR(MIN(1,COUNTIFS('Product Order Book'!$A$2:$A$1057,$A39,'Product Order Book'!$E$2:$E$1057,D$3)/INDEX('Clean Package Product Lists'!$C:$C,MATCH(D$3,'Clean Package Product Lists'!$A:$A,0))),"")</f>
        <v>0</v>
      </c>
      <c r="E39" s="155">
        <f>IFERROR(MIN(1,COUNTIFS('Product Order Book'!$A$2:$A$1057,$A39,'Product Order Book'!$E$2:$E$1057,E$3)/INDEX('Clean Package Product Lists'!$C:$C,MATCH(E$3,'Clean Package Product Lists'!$A:$A,0))),"")</f>
        <v>0</v>
      </c>
      <c r="F39" s="155">
        <f>IFERROR(MIN(1,COUNTIFS('Product Order Book'!$A$2:$A$1057,$A39,'Product Order Book'!$E$2:$E$1057,F$3)/INDEX('Clean Package Product Lists'!$C:$C,MATCH(F$3,'Clean Package Product Lists'!$A:$A,0))),"")</f>
        <v>0</v>
      </c>
      <c r="G39" s="155">
        <f>IFERROR(MIN(1,COUNTIFS('Product Order Book'!$A$2:$A$1057,$A39,'Product Order Book'!$E$2:$E$1057,G$3)/INDEX('Clean Package Product Lists'!$C:$C,MATCH(G$3,'Clean Package Product Lists'!$A:$A,0))),"")</f>
        <v>0</v>
      </c>
      <c r="H39" s="155">
        <f>IFERROR(MIN(1,COUNTIFS('Product Order Book'!$A$2:$A$1057,$A39,'Product Order Book'!$E$2:$E$1057,H$3)/INDEX('Clean Package Product Lists'!$C:$C,MATCH(H$3,'Clean Package Product Lists'!$A:$A,0))),"")</f>
        <v>0</v>
      </c>
      <c r="I39" s="155">
        <f>IFERROR(MIN(1,COUNTIFS('Product Order Book'!$A$2:$A$1057,$A39,'Product Order Book'!$E$2:$E$1057,I$3)/INDEX('Clean Package Product Lists'!$C:$C,MATCH(I$3,'Clean Package Product Lists'!$A:$A,0))),"")</f>
        <v>0</v>
      </c>
      <c r="J39" s="155">
        <f>IFERROR(MIN(1,COUNTIFS('Product Order Book'!$A$2:$A$1057,$A39,'Product Order Book'!$E$2:$E$1057,J$3)/INDEX('Clean Package Product Lists'!$C:$C,MATCH(J$3,'Clean Package Product Lists'!$A:$A,0))),"")</f>
        <v>0</v>
      </c>
      <c r="K39" s="155">
        <f>IFERROR(MIN(1,COUNTIFS('Product Order Book'!$A$2:$A$1057,$A39,'Product Order Book'!$E$2:$E$1057,K$3)/INDEX('Clean Package Product Lists'!$C:$C,MATCH(K$3,'Clean Package Product Lists'!$A:$A,0))),"")</f>
        <v>0</v>
      </c>
      <c r="L39" s="154"/>
      <c r="M39" s="156" t="str">
        <f>IF(COUNTIFS('Product Order Book'!$A:$A,$A39,'Product Order Book'!$E:$E,M$3)&gt;0,"✓ Takes",IF(IFERROR(VLOOKUP($A39,'Whitespace Analysis'!$A:$AH,12,0),0)=1,"◎ Should","– N/A"))</f>
        <v>– N/A</v>
      </c>
      <c r="N39" s="156" t="str">
        <f>IF(COUNTIFS('Product Order Book'!$A:$A,$A39,'Product Order Book'!$E:$E,N$3)&gt;0,"✓ Takes",IF(IFERROR(VLOOKUP($A39,'Whitespace Analysis'!$A:$AH,20,0),0)=1,"◎ Should","– N/A"))</f>
        <v>– N/A</v>
      </c>
      <c r="O39" s="156" t="str">
        <f>IF(COUNTIFS('Product Order Book'!$A:$A,$A39,'Product Order Book'!$E:$E,O$3)&gt;0,"✓ Takes",IF(IFERROR(VLOOKUP($A39,'Whitespace Analysis'!$A:$AH,22,0),0)=1,"◎ Should","– N/A"))</f>
        <v>– N/A</v>
      </c>
      <c r="P39" s="156" t="str">
        <f>IF(COUNTIFS('Product Order Book'!$A:$A,$A39,'Product Order Book'!$E:$E,P$3)&gt;0,"✓ Takes",IF(IFERROR(VLOOKUP($A39,'Whitespace Analysis'!$A:$AH,24,0),0)=1,"◎ Should","– N/A"))</f>
        <v>– N/A</v>
      </c>
      <c r="Q39" s="156" t="str">
        <f>IF(COUNTIFS('Product Order Book'!$A:$A,$A39,'Product Order Book'!$E:$E,Q$3)&gt;0,"✓ Takes",IF(IFERROR(VLOOKUP($A39,'Whitespace Analysis'!$A:$AH,26,0),0)=1,"◎ Should","– N/A"))</f>
        <v>– N/A</v>
      </c>
      <c r="R39" s="156" t="str">
        <f>IF(COUNTIFS('Product Order Book'!$A:$A,$A39,'Product Order Book'!$E:$E,R$3)&gt;0,"✓ Takes",IF(IFERROR(VLOOKUP($A39,'Whitespace Analysis'!$A:$AH,16,0),0)=1,"◎ Should","– N/A"))</f>
        <v>– N/A</v>
      </c>
      <c r="S39" s="156" t="str">
        <f>IF(COUNTIFS('Product Order Book'!$A:$A,$A39,'Product Order Book'!$E:$E,S$3)&gt;0,"✓ Takes",IF(IFERROR(VLOOKUP($A39,'Whitespace Analysis'!$A:$AH,18,0),0)=1,"◎ Should","– N/A"))</f>
        <v>– N/A</v>
      </c>
      <c r="T39" s="156" t="str">
        <f>IF(COUNTIFS('Product Order Book'!$A:$A,$A39,'Product Order Book'!$E:$E,T$3)&gt;0,"✓ Takes",IF(IFERROR(VLOOKUP($A39,'Whitespace Analysis'!$A:$AH,28,0),0)=1,"◎ Should","– N/A"))</f>
        <v>– N/A</v>
      </c>
      <c r="U39" s="156" t="str">
        <f>IF(COUNTIFS('Product Order Book'!$A:$A,$A39,'Product Order Book'!$E:$E,U$3)&gt;0,"✓ Takes",IF(IFERROR(VLOOKUP($A39,'Whitespace Analysis'!$A:$AH,30,0),0)=1,"◎ Should","– N/A"))</f>
        <v>– N/A</v>
      </c>
      <c r="V39" s="156" t="str">
        <f>IF(COUNTIFS('Product Order Book'!$A:$A,$A39,'Product Order Book'!$E:$E,V$3)&gt;0,"✓ Takes",IF(IFERROR(VLOOKUP($A39,'Whitespace Analysis'!$A:$AH,14,0),0)=1,"◎ Should","– N/A"))</f>
        <v>– N/A</v>
      </c>
    </row>
    <row r="40" spans="1:22" ht="15" customHeight="1">
      <c r="A40" s="154" t="str">
        <v>Committee on Climate Change</v>
      </c>
      <c r="B40" s="155">
        <f>IFERROR(MIN(1,COUNTIFS('Product Order Book'!$A$2:$A$1057,$A40,'Product Order Book'!$E$2:$E$1057,B$3)/INDEX('Clean Package Product Lists'!$C:$C,MATCH(B$3,'Clean Package Product Lists'!$A:$A,0))),"")</f>
        <v>1</v>
      </c>
      <c r="C40" s="155">
        <f>IFERROR(MIN(1,COUNTIFS('Product Order Book'!$A$2:$A$1057,$A40,'Product Order Book'!$E$2:$E$1057,C$3)/INDEX('Clean Package Product Lists'!$C:$C,MATCH(C$3,'Clean Package Product Lists'!$A:$A,0))),"")</f>
        <v>0</v>
      </c>
      <c r="D40" s="155">
        <f>IFERROR(MIN(1,COUNTIFS('Product Order Book'!$A$2:$A$1057,$A40,'Product Order Book'!$E$2:$E$1057,D$3)/INDEX('Clean Package Product Lists'!$C:$C,MATCH(D$3,'Clean Package Product Lists'!$A:$A,0))),"")</f>
        <v>0</v>
      </c>
      <c r="E40" s="155">
        <f>IFERROR(MIN(1,COUNTIFS('Product Order Book'!$A$2:$A$1057,$A40,'Product Order Book'!$E$2:$E$1057,E$3)/INDEX('Clean Package Product Lists'!$C:$C,MATCH(E$3,'Clean Package Product Lists'!$A:$A,0))),"")</f>
        <v>0</v>
      </c>
      <c r="F40" s="155">
        <f>IFERROR(MIN(1,COUNTIFS('Product Order Book'!$A$2:$A$1057,$A40,'Product Order Book'!$E$2:$E$1057,F$3)/INDEX('Clean Package Product Lists'!$C:$C,MATCH(F$3,'Clean Package Product Lists'!$A:$A,0))),"")</f>
        <v>0</v>
      </c>
      <c r="G40" s="155">
        <f>IFERROR(MIN(1,COUNTIFS('Product Order Book'!$A$2:$A$1057,$A40,'Product Order Book'!$E$2:$E$1057,G$3)/INDEX('Clean Package Product Lists'!$C:$C,MATCH(G$3,'Clean Package Product Lists'!$A:$A,0))),"")</f>
        <v>0</v>
      </c>
      <c r="H40" s="155">
        <f>IFERROR(MIN(1,COUNTIFS('Product Order Book'!$A$2:$A$1057,$A40,'Product Order Book'!$E$2:$E$1057,H$3)/INDEX('Clean Package Product Lists'!$C:$C,MATCH(H$3,'Clean Package Product Lists'!$A:$A,0))),"")</f>
        <v>0</v>
      </c>
      <c r="I40" s="155">
        <f>IFERROR(MIN(1,COUNTIFS('Product Order Book'!$A$2:$A$1057,$A40,'Product Order Book'!$E$2:$E$1057,I$3)/INDEX('Clean Package Product Lists'!$C:$C,MATCH(I$3,'Clean Package Product Lists'!$A:$A,0))),"")</f>
        <v>0</v>
      </c>
      <c r="J40" s="155">
        <f>IFERROR(MIN(1,COUNTIFS('Product Order Book'!$A$2:$A$1057,$A40,'Product Order Book'!$E$2:$E$1057,J$3)/INDEX('Clean Package Product Lists'!$C:$C,MATCH(J$3,'Clean Package Product Lists'!$A:$A,0))),"")</f>
        <v>0</v>
      </c>
      <c r="K40" s="155">
        <f>IFERROR(MIN(1,COUNTIFS('Product Order Book'!$A$2:$A$1057,$A40,'Product Order Book'!$E$2:$E$1057,K$3)/INDEX('Clean Package Product Lists'!$C:$C,MATCH(K$3,'Clean Package Product Lists'!$A:$A,0))),"")</f>
        <v>0</v>
      </c>
      <c r="L40" s="154"/>
      <c r="M40" s="156" t="str">
        <f>IF(COUNTIFS('Product Order Book'!$A:$A,$A40,'Product Order Book'!$E:$E,M$3)&gt;0,"✓ Takes",IF(IFERROR(VLOOKUP($A40,'Whitespace Analysis'!$A:$AH,12,0),0)=1,"◎ Should","– N/A"))</f>
        <v>✓ Takes</v>
      </c>
      <c r="N40" s="156" t="str">
        <f>IF(COUNTIFS('Product Order Book'!$A:$A,$A40,'Product Order Book'!$E:$E,N$3)&gt;0,"✓ Takes",IF(IFERROR(VLOOKUP($A40,'Whitespace Analysis'!$A:$AH,20,0),0)=1,"◎ Should","– N/A"))</f>
        <v>– N/A</v>
      </c>
      <c r="O40" s="156" t="str">
        <f>IF(COUNTIFS('Product Order Book'!$A:$A,$A40,'Product Order Book'!$E:$E,O$3)&gt;0,"✓ Takes",IF(IFERROR(VLOOKUP($A40,'Whitespace Analysis'!$A:$AH,22,0),0)=1,"◎ Should","– N/A"))</f>
        <v>– N/A</v>
      </c>
      <c r="P40" s="156" t="str">
        <f>IF(COUNTIFS('Product Order Book'!$A:$A,$A40,'Product Order Book'!$E:$E,P$3)&gt;0,"✓ Takes",IF(IFERROR(VLOOKUP($A40,'Whitespace Analysis'!$A:$AH,24,0),0)=1,"◎ Should","– N/A"))</f>
        <v>– N/A</v>
      </c>
      <c r="Q40" s="156" t="str">
        <f>IF(COUNTIFS('Product Order Book'!$A:$A,$A40,'Product Order Book'!$E:$E,Q$3)&gt;0,"✓ Takes",IF(IFERROR(VLOOKUP($A40,'Whitespace Analysis'!$A:$AH,26,0),0)=1,"◎ Should","– N/A"))</f>
        <v>– N/A</v>
      </c>
      <c r="R40" s="156" t="str">
        <f>IF(COUNTIFS('Product Order Book'!$A:$A,$A40,'Product Order Book'!$E:$E,R$3)&gt;0,"✓ Takes",IF(IFERROR(VLOOKUP($A40,'Whitespace Analysis'!$A:$AH,16,0),0)=1,"◎ Should","– N/A"))</f>
        <v>– N/A</v>
      </c>
      <c r="S40" s="156" t="str">
        <f>IF(COUNTIFS('Product Order Book'!$A:$A,$A40,'Product Order Book'!$E:$E,S$3)&gt;0,"✓ Takes",IF(IFERROR(VLOOKUP($A40,'Whitespace Analysis'!$A:$AH,18,0),0)=1,"◎ Should","– N/A"))</f>
        <v>– N/A</v>
      </c>
      <c r="T40" s="156" t="str">
        <f>IF(COUNTIFS('Product Order Book'!$A:$A,$A40,'Product Order Book'!$E:$E,T$3)&gt;0,"✓ Takes",IF(IFERROR(VLOOKUP($A40,'Whitespace Analysis'!$A:$AH,28,0),0)=1,"◎ Should","– N/A"))</f>
        <v>– N/A</v>
      </c>
      <c r="U40" s="156" t="str">
        <f>IF(COUNTIFS('Product Order Book'!$A:$A,$A40,'Product Order Book'!$E:$E,U$3)&gt;0,"✓ Takes",IF(IFERROR(VLOOKUP($A40,'Whitespace Analysis'!$A:$AH,30,0),0)=1,"◎ Should","– N/A"))</f>
        <v>– N/A</v>
      </c>
      <c r="V40" s="156" t="str">
        <f>IF(COUNTIFS('Product Order Book'!$A:$A,$A40,'Product Order Book'!$E:$E,V$3)&gt;0,"✓ Takes",IF(IFERROR(VLOOKUP($A40,'Whitespace Analysis'!$A:$AH,14,0),0)=1,"◎ Should","– N/A"))</f>
        <v>– N/A</v>
      </c>
    </row>
    <row r="41" spans="1:22" ht="15" customHeight="1">
      <c r="A41" s="154" t="str">
        <v>Conrad Energy (Trading) Limited</v>
      </c>
      <c r="B41" s="155">
        <f>IFERROR(MIN(1,COUNTIFS('Product Order Book'!$A$2:$A$1057,$A41,'Product Order Book'!$E$2:$E$1057,B$3)/INDEX('Clean Package Product Lists'!$C:$C,MATCH(B$3,'Clean Package Product Lists'!$A:$A,0))),"")</f>
        <v>1</v>
      </c>
      <c r="C41" s="155">
        <f>IFERROR(MIN(1,COUNTIFS('Product Order Book'!$A$2:$A$1057,$A41,'Product Order Book'!$E$2:$E$1057,C$3)/INDEX('Clean Package Product Lists'!$C:$C,MATCH(C$3,'Clean Package Product Lists'!$A:$A,0))),"")</f>
        <v>0.14285714285714285</v>
      </c>
      <c r="D41" s="155">
        <f>IFERROR(MIN(1,COUNTIFS('Product Order Book'!$A$2:$A$1057,$A41,'Product Order Book'!$E$2:$E$1057,D$3)/INDEX('Clean Package Product Lists'!$C:$C,MATCH(D$3,'Clean Package Product Lists'!$A:$A,0))),"")</f>
        <v>0</v>
      </c>
      <c r="E41" s="155">
        <f>IFERROR(MIN(1,COUNTIFS('Product Order Book'!$A$2:$A$1057,$A41,'Product Order Book'!$E$2:$E$1057,E$3)/INDEX('Clean Package Product Lists'!$C:$C,MATCH(E$3,'Clean Package Product Lists'!$A:$A,0))),"")</f>
        <v>0.5</v>
      </c>
      <c r="F41" s="155">
        <f>IFERROR(MIN(1,COUNTIFS('Product Order Book'!$A$2:$A$1057,$A41,'Product Order Book'!$E$2:$E$1057,F$3)/INDEX('Clean Package Product Lists'!$C:$C,MATCH(F$3,'Clean Package Product Lists'!$A:$A,0))),"")</f>
        <v>0</v>
      </c>
      <c r="G41" s="155">
        <f>IFERROR(MIN(1,COUNTIFS('Product Order Book'!$A$2:$A$1057,$A41,'Product Order Book'!$E$2:$E$1057,G$3)/INDEX('Clean Package Product Lists'!$C:$C,MATCH(G$3,'Clean Package Product Lists'!$A:$A,0))),"")</f>
        <v>0.27272727272727271</v>
      </c>
      <c r="H41" s="155">
        <f>IFERROR(MIN(1,COUNTIFS('Product Order Book'!$A$2:$A$1057,$A41,'Product Order Book'!$E$2:$E$1057,H$3)/INDEX('Clean Package Product Lists'!$C:$C,MATCH(H$3,'Clean Package Product Lists'!$A:$A,0))),"")</f>
        <v>0.25</v>
      </c>
      <c r="I41" s="155">
        <f>IFERROR(MIN(1,COUNTIFS('Product Order Book'!$A$2:$A$1057,$A41,'Product Order Book'!$E$2:$E$1057,I$3)/INDEX('Clean Package Product Lists'!$C:$C,MATCH(I$3,'Clean Package Product Lists'!$A:$A,0))),"")</f>
        <v>0</v>
      </c>
      <c r="J41" s="155">
        <f>IFERROR(MIN(1,COUNTIFS('Product Order Book'!$A$2:$A$1057,$A41,'Product Order Book'!$E$2:$E$1057,J$3)/INDEX('Clean Package Product Lists'!$C:$C,MATCH(J$3,'Clean Package Product Lists'!$A:$A,0))),"")</f>
        <v>0</v>
      </c>
      <c r="K41" s="155">
        <f>IFERROR(MIN(1,COUNTIFS('Product Order Book'!$A$2:$A$1057,$A41,'Product Order Book'!$E$2:$E$1057,K$3)/INDEX('Clean Package Product Lists'!$C:$C,MATCH(K$3,'Clean Package Product Lists'!$A:$A,0))),"")</f>
        <v>1</v>
      </c>
      <c r="L41" s="154"/>
      <c r="M41" s="156" t="str">
        <f>IF(COUNTIFS('Product Order Book'!$A:$A,$A41,'Product Order Book'!$E:$E,M$3)&gt;0,"✓ Takes",IF(IFERROR(VLOOKUP($A41,'Whitespace Analysis'!$A:$AH,12,0),0)=1,"◎ Should","– N/A"))</f>
        <v>✓ Takes</v>
      </c>
      <c r="N41" s="156" t="str">
        <f>IF(COUNTIFS('Product Order Book'!$A:$A,$A41,'Product Order Book'!$E:$E,N$3)&gt;0,"✓ Takes",IF(IFERROR(VLOOKUP($A41,'Whitespace Analysis'!$A:$AH,20,0),0)=1,"◎ Should","– N/A"))</f>
        <v>✓ Takes</v>
      </c>
      <c r="O41" s="156" t="str">
        <f>IF(COUNTIFS('Product Order Book'!$A:$A,$A41,'Product Order Book'!$E:$E,O$3)&gt;0,"✓ Takes",IF(IFERROR(VLOOKUP($A41,'Whitespace Analysis'!$A:$AH,22,0),0)=1,"◎ Should","– N/A"))</f>
        <v>– N/A</v>
      </c>
      <c r="P41" s="156" t="str">
        <f>IF(COUNTIFS('Product Order Book'!$A:$A,$A41,'Product Order Book'!$E:$E,P$3)&gt;0,"✓ Takes",IF(IFERROR(VLOOKUP($A41,'Whitespace Analysis'!$A:$AH,24,0),0)=1,"◎ Should","– N/A"))</f>
        <v>✓ Takes</v>
      </c>
      <c r="Q41" s="156" t="str">
        <f>IF(COUNTIFS('Product Order Book'!$A:$A,$A41,'Product Order Book'!$E:$E,Q$3)&gt;0,"✓ Takes",IF(IFERROR(VLOOKUP($A41,'Whitespace Analysis'!$A:$AH,26,0),0)=1,"◎ Should","– N/A"))</f>
        <v>◎ Should</v>
      </c>
      <c r="R41" s="156" t="str">
        <f>IF(COUNTIFS('Product Order Book'!$A:$A,$A41,'Product Order Book'!$E:$E,R$3)&gt;0,"✓ Takes",IF(IFERROR(VLOOKUP($A41,'Whitespace Analysis'!$A:$AH,16,0),0)=1,"◎ Should","– N/A"))</f>
        <v>✓ Takes</v>
      </c>
      <c r="S41" s="156" t="str">
        <f>IF(COUNTIFS('Product Order Book'!$A:$A,$A41,'Product Order Book'!$E:$E,S$3)&gt;0,"✓ Takes",IF(IFERROR(VLOOKUP($A41,'Whitespace Analysis'!$A:$AH,18,0),0)=1,"◎ Should","– N/A"))</f>
        <v>✓ Takes</v>
      </c>
      <c r="T41" s="156" t="str">
        <f>IF(COUNTIFS('Product Order Book'!$A:$A,$A41,'Product Order Book'!$E:$E,T$3)&gt;0,"✓ Takes",IF(IFERROR(VLOOKUP($A41,'Whitespace Analysis'!$A:$AH,28,0),0)=1,"◎ Should","– N/A"))</f>
        <v>– N/A</v>
      </c>
      <c r="U41" s="156" t="str">
        <f>IF(COUNTIFS('Product Order Book'!$A:$A,$A41,'Product Order Book'!$E:$E,U$3)&gt;0,"✓ Takes",IF(IFERROR(VLOOKUP($A41,'Whitespace Analysis'!$A:$AH,30,0),0)=1,"◎ Should","– N/A"))</f>
        <v>– N/A</v>
      </c>
      <c r="V41" s="156" t="str">
        <f>IF(COUNTIFS('Product Order Book'!$A:$A,$A41,'Product Order Book'!$E:$E,V$3)&gt;0,"✓ Takes",IF(IFERROR(VLOOKUP($A41,'Whitespace Analysis'!$A:$AH,14,0),0)=1,"◎ Should","– N/A"))</f>
        <v>✓ Takes</v>
      </c>
    </row>
    <row r="42" spans="1:22" ht="15" customHeight="1">
      <c r="A42" s="154" t="str">
        <v>Constellation Energy Limited</v>
      </c>
      <c r="B42" s="155">
        <f>IFERROR(MIN(1,COUNTIFS('Product Order Book'!$A$2:$A$1057,$A42,'Product Order Book'!$E$2:$E$1057,B$3)/INDEX('Clean Package Product Lists'!$C:$C,MATCH(B$3,'Clean Package Product Lists'!$A:$A,0))),"")</f>
        <v>1</v>
      </c>
      <c r="C42" s="155">
        <f>IFERROR(MIN(1,COUNTIFS('Product Order Book'!$A$2:$A$1057,$A42,'Product Order Book'!$E$2:$E$1057,C$3)/INDEX('Clean Package Product Lists'!$C:$C,MATCH(C$3,'Clean Package Product Lists'!$A:$A,0))),"")</f>
        <v>1</v>
      </c>
      <c r="D42" s="155">
        <f>IFERROR(MIN(1,COUNTIFS('Product Order Book'!$A$2:$A$1057,$A42,'Product Order Book'!$E$2:$E$1057,D$3)/INDEX('Clean Package Product Lists'!$C:$C,MATCH(D$3,'Clean Package Product Lists'!$A:$A,0))),"")</f>
        <v>0</v>
      </c>
      <c r="E42" s="155">
        <f>IFERROR(MIN(1,COUNTIFS('Product Order Book'!$A$2:$A$1057,$A42,'Product Order Book'!$E$2:$E$1057,E$3)/INDEX('Clean Package Product Lists'!$C:$C,MATCH(E$3,'Clean Package Product Lists'!$A:$A,0))),"")</f>
        <v>0</v>
      </c>
      <c r="F42" s="155">
        <f>IFERROR(MIN(1,COUNTIFS('Product Order Book'!$A$2:$A$1057,$A42,'Product Order Book'!$E$2:$E$1057,F$3)/INDEX('Clean Package Product Lists'!$C:$C,MATCH(F$3,'Clean Package Product Lists'!$A:$A,0))),"")</f>
        <v>0</v>
      </c>
      <c r="G42" s="155">
        <f>IFERROR(MIN(1,COUNTIFS('Product Order Book'!$A$2:$A$1057,$A42,'Product Order Book'!$E$2:$E$1057,G$3)/INDEX('Clean Package Product Lists'!$C:$C,MATCH(G$3,'Clean Package Product Lists'!$A:$A,0))),"")</f>
        <v>0</v>
      </c>
      <c r="H42" s="155">
        <f>IFERROR(MIN(1,COUNTIFS('Product Order Book'!$A$2:$A$1057,$A42,'Product Order Book'!$E$2:$E$1057,H$3)/INDEX('Clean Package Product Lists'!$C:$C,MATCH(H$3,'Clean Package Product Lists'!$A:$A,0))),"")</f>
        <v>0.25</v>
      </c>
      <c r="I42" s="155">
        <f>IFERROR(MIN(1,COUNTIFS('Product Order Book'!$A$2:$A$1057,$A42,'Product Order Book'!$E$2:$E$1057,I$3)/INDEX('Clean Package Product Lists'!$C:$C,MATCH(I$3,'Clean Package Product Lists'!$A:$A,0))),"")</f>
        <v>0</v>
      </c>
      <c r="J42" s="155">
        <f>IFERROR(MIN(1,COUNTIFS('Product Order Book'!$A$2:$A$1057,$A42,'Product Order Book'!$E$2:$E$1057,J$3)/INDEX('Clean Package Product Lists'!$C:$C,MATCH(J$3,'Clean Package Product Lists'!$A:$A,0))),"")</f>
        <v>0</v>
      </c>
      <c r="K42" s="155">
        <f>IFERROR(MIN(1,COUNTIFS('Product Order Book'!$A$2:$A$1057,$A42,'Product Order Book'!$E$2:$E$1057,K$3)/INDEX('Clean Package Product Lists'!$C:$C,MATCH(K$3,'Clean Package Product Lists'!$A:$A,0))),"")</f>
        <v>0</v>
      </c>
      <c r="L42" s="154"/>
      <c r="M42" s="156" t="str">
        <f>IF(COUNTIFS('Product Order Book'!$A:$A,$A42,'Product Order Book'!$E:$E,M$3)&gt;0,"✓ Takes",IF(IFERROR(VLOOKUP($A42,'Whitespace Analysis'!$A:$AH,12,0),0)=1,"◎ Should","– N/A"))</f>
        <v>✓ Takes</v>
      </c>
      <c r="N42" s="156" t="str">
        <f>IF(COUNTIFS('Product Order Book'!$A:$A,$A42,'Product Order Book'!$E:$E,N$3)&gt;0,"✓ Takes",IF(IFERROR(VLOOKUP($A42,'Whitespace Analysis'!$A:$AH,20,0),0)=1,"◎ Should","– N/A"))</f>
        <v>✓ Takes</v>
      </c>
      <c r="O42" s="156" t="str">
        <f>IF(COUNTIFS('Product Order Book'!$A:$A,$A42,'Product Order Book'!$E:$E,O$3)&gt;0,"✓ Takes",IF(IFERROR(VLOOKUP($A42,'Whitespace Analysis'!$A:$AH,22,0),0)=1,"◎ Should","– N/A"))</f>
        <v>– N/A</v>
      </c>
      <c r="P42" s="156" t="str">
        <f>IF(COUNTIFS('Product Order Book'!$A:$A,$A42,'Product Order Book'!$E:$E,P$3)&gt;0,"✓ Takes",IF(IFERROR(VLOOKUP($A42,'Whitespace Analysis'!$A:$AH,24,0),0)=1,"◎ Should","– N/A"))</f>
        <v>◎ Should</v>
      </c>
      <c r="Q42" s="156" t="str">
        <f>IF(COUNTIFS('Product Order Book'!$A:$A,$A42,'Product Order Book'!$E:$E,Q$3)&gt;0,"✓ Takes",IF(IFERROR(VLOOKUP($A42,'Whitespace Analysis'!$A:$AH,26,0),0)=1,"◎ Should","– N/A"))</f>
        <v>◎ Should</v>
      </c>
      <c r="R42" s="156" t="str">
        <f>IF(COUNTIFS('Product Order Book'!$A:$A,$A42,'Product Order Book'!$E:$E,R$3)&gt;0,"✓ Takes",IF(IFERROR(VLOOKUP($A42,'Whitespace Analysis'!$A:$AH,16,0),0)=1,"◎ Should","– N/A"))</f>
        <v>◎ Should</v>
      </c>
      <c r="S42" s="156" t="str">
        <f>IF(COUNTIFS('Product Order Book'!$A:$A,$A42,'Product Order Book'!$E:$E,S$3)&gt;0,"✓ Takes",IF(IFERROR(VLOOKUP($A42,'Whitespace Analysis'!$A:$AH,18,0),0)=1,"◎ Should","– N/A"))</f>
        <v>✓ Takes</v>
      </c>
      <c r="T42" s="156" t="str">
        <f>IF(COUNTIFS('Product Order Book'!$A:$A,$A42,'Product Order Book'!$E:$E,T$3)&gt;0,"✓ Takes",IF(IFERROR(VLOOKUP($A42,'Whitespace Analysis'!$A:$AH,28,0),0)=1,"◎ Should","– N/A"))</f>
        <v>– N/A</v>
      </c>
      <c r="U42" s="156" t="str">
        <f>IF(COUNTIFS('Product Order Book'!$A:$A,$A42,'Product Order Book'!$E:$E,U$3)&gt;0,"✓ Takes",IF(IFERROR(VLOOKUP($A42,'Whitespace Analysis'!$A:$AH,30,0),0)=1,"◎ Should","– N/A"))</f>
        <v>– N/A</v>
      </c>
      <c r="V42" s="156" t="str">
        <f>IF(COUNTIFS('Product Order Book'!$A:$A,$A42,'Product Order Book'!$E:$E,V$3)&gt;0,"✓ Takes",IF(IFERROR(VLOOKUP($A42,'Whitespace Analysis'!$A:$AH,14,0),0)=1,"◎ Should","– N/A"))</f>
        <v>– N/A</v>
      </c>
    </row>
    <row r="43" spans="1:22" ht="15" customHeight="1">
      <c r="A43" s="154" t="str">
        <v>Consultus International UK (The Energy Brokers) Limited</v>
      </c>
      <c r="B43" s="155">
        <f>IFERROR(MIN(1,COUNTIFS('Product Order Book'!$A$2:$A$1057,$A43,'Product Order Book'!$E$2:$E$1057,B$3)/INDEX('Clean Package Product Lists'!$C:$C,MATCH(B$3,'Clean Package Product Lists'!$A:$A,0))),"")</f>
        <v>0</v>
      </c>
      <c r="C43" s="155">
        <f>IFERROR(MIN(1,COUNTIFS('Product Order Book'!$A$2:$A$1057,$A43,'Product Order Book'!$E$2:$E$1057,C$3)/INDEX('Clean Package Product Lists'!$C:$C,MATCH(C$3,'Clean Package Product Lists'!$A:$A,0))),"")</f>
        <v>0</v>
      </c>
      <c r="D43" s="155">
        <f>IFERROR(MIN(1,COUNTIFS('Product Order Book'!$A$2:$A$1057,$A43,'Product Order Book'!$E$2:$E$1057,D$3)/INDEX('Clean Package Product Lists'!$C:$C,MATCH(D$3,'Clean Package Product Lists'!$A:$A,0))),"")</f>
        <v>0</v>
      </c>
      <c r="E43" s="155">
        <f>IFERROR(MIN(1,COUNTIFS('Product Order Book'!$A$2:$A$1057,$A43,'Product Order Book'!$E$2:$E$1057,E$3)/INDEX('Clean Package Product Lists'!$C:$C,MATCH(E$3,'Clean Package Product Lists'!$A:$A,0))),"")</f>
        <v>0</v>
      </c>
      <c r="F43" s="155">
        <f>IFERROR(MIN(1,COUNTIFS('Product Order Book'!$A$2:$A$1057,$A43,'Product Order Book'!$E$2:$E$1057,F$3)/INDEX('Clean Package Product Lists'!$C:$C,MATCH(F$3,'Clean Package Product Lists'!$A:$A,0))),"")</f>
        <v>0</v>
      </c>
      <c r="G43" s="155">
        <f>IFERROR(MIN(1,COUNTIFS('Product Order Book'!$A$2:$A$1057,$A43,'Product Order Book'!$E$2:$E$1057,G$3)/INDEX('Clean Package Product Lists'!$C:$C,MATCH(G$3,'Clean Package Product Lists'!$A:$A,0))),"")</f>
        <v>9.0909090909090912E-2</v>
      </c>
      <c r="H43" s="155">
        <f>IFERROR(MIN(1,COUNTIFS('Product Order Book'!$A$2:$A$1057,$A43,'Product Order Book'!$E$2:$E$1057,H$3)/INDEX('Clean Package Product Lists'!$C:$C,MATCH(H$3,'Clean Package Product Lists'!$A:$A,0))),"")</f>
        <v>0.25</v>
      </c>
      <c r="I43" s="155">
        <f>IFERROR(MIN(1,COUNTIFS('Product Order Book'!$A$2:$A$1057,$A43,'Product Order Book'!$E$2:$E$1057,I$3)/INDEX('Clean Package Product Lists'!$C:$C,MATCH(I$3,'Clean Package Product Lists'!$A:$A,0))),"")</f>
        <v>0</v>
      </c>
      <c r="J43" s="155">
        <f>IFERROR(MIN(1,COUNTIFS('Product Order Book'!$A$2:$A$1057,$A43,'Product Order Book'!$E$2:$E$1057,J$3)/INDEX('Clean Package Product Lists'!$C:$C,MATCH(J$3,'Clean Package Product Lists'!$A:$A,0))),"")</f>
        <v>0</v>
      </c>
      <c r="K43" s="155">
        <f>IFERROR(MIN(1,COUNTIFS('Product Order Book'!$A$2:$A$1057,$A43,'Product Order Book'!$E$2:$E$1057,K$3)/INDEX('Clean Package Product Lists'!$C:$C,MATCH(K$3,'Clean Package Product Lists'!$A:$A,0))),"")</f>
        <v>0</v>
      </c>
      <c r="L43" s="154"/>
      <c r="M43" s="156" t="str">
        <f>IF(COUNTIFS('Product Order Book'!$A:$A,$A43,'Product Order Book'!$E:$E,M$3)&gt;0,"✓ Takes",IF(IFERROR(VLOOKUP($A43,'Whitespace Analysis'!$A:$AH,12,0),0)=1,"◎ Should","– N/A"))</f>
        <v>◎ Should</v>
      </c>
      <c r="N43" s="156" t="str">
        <f>IF(COUNTIFS('Product Order Book'!$A:$A,$A43,'Product Order Book'!$E:$E,N$3)&gt;0,"✓ Takes",IF(IFERROR(VLOOKUP($A43,'Whitespace Analysis'!$A:$AH,20,0),0)=1,"◎ Should","– N/A"))</f>
        <v>– N/A</v>
      </c>
      <c r="O43" s="156" t="str">
        <f>IF(COUNTIFS('Product Order Book'!$A:$A,$A43,'Product Order Book'!$E:$E,O$3)&gt;0,"✓ Takes",IF(IFERROR(VLOOKUP($A43,'Whitespace Analysis'!$A:$AH,22,0),0)=1,"◎ Should","– N/A"))</f>
        <v>– N/A</v>
      </c>
      <c r="P43" s="156" t="str">
        <f>IF(COUNTIFS('Product Order Book'!$A:$A,$A43,'Product Order Book'!$E:$E,P$3)&gt;0,"✓ Takes",IF(IFERROR(VLOOKUP($A43,'Whitespace Analysis'!$A:$AH,24,0),0)=1,"◎ Should","– N/A"))</f>
        <v>– N/A</v>
      </c>
      <c r="Q43" s="156" t="str">
        <f>IF(COUNTIFS('Product Order Book'!$A:$A,$A43,'Product Order Book'!$E:$E,Q$3)&gt;0,"✓ Takes",IF(IFERROR(VLOOKUP($A43,'Whitespace Analysis'!$A:$AH,26,0),0)=1,"◎ Should","– N/A"))</f>
        <v>– N/A</v>
      </c>
      <c r="R43" s="156" t="str">
        <f>IF(COUNTIFS('Product Order Book'!$A:$A,$A43,'Product Order Book'!$E:$E,R$3)&gt;0,"✓ Takes",IF(IFERROR(VLOOKUP($A43,'Whitespace Analysis'!$A:$AH,16,0),0)=1,"◎ Should","– N/A"))</f>
        <v>✓ Takes</v>
      </c>
      <c r="S43" s="156" t="str">
        <f>IF(COUNTIFS('Product Order Book'!$A:$A,$A43,'Product Order Book'!$E:$E,S$3)&gt;0,"✓ Takes",IF(IFERROR(VLOOKUP($A43,'Whitespace Analysis'!$A:$AH,18,0),0)=1,"◎ Should","– N/A"))</f>
        <v>✓ Takes</v>
      </c>
      <c r="T43" s="156" t="str">
        <f>IF(COUNTIFS('Product Order Book'!$A:$A,$A43,'Product Order Book'!$E:$E,T$3)&gt;0,"✓ Takes",IF(IFERROR(VLOOKUP($A43,'Whitespace Analysis'!$A:$AH,28,0),0)=1,"◎ Should","– N/A"))</f>
        <v>◎ Should</v>
      </c>
      <c r="U43" s="156" t="str">
        <f>IF(COUNTIFS('Product Order Book'!$A:$A,$A43,'Product Order Book'!$E:$E,U$3)&gt;0,"✓ Takes",IF(IFERROR(VLOOKUP($A43,'Whitespace Analysis'!$A:$AH,30,0),0)=1,"◎ Should","– N/A"))</f>
        <v>– N/A</v>
      </c>
      <c r="V43" s="156" t="str">
        <f>IF(COUNTIFS('Product Order Book'!$A:$A,$A43,'Product Order Book'!$E:$E,V$3)&gt;0,"✓ Takes",IF(IFERROR(VLOOKUP($A43,'Whitespace Analysis'!$A:$AH,14,0),0)=1,"◎ Should","– N/A"))</f>
        <v>– N/A</v>
      </c>
    </row>
    <row r="44" spans="1:22" ht="15" customHeight="1">
      <c r="A44" s="154" t="str">
        <v>Consumer Scotland</v>
      </c>
      <c r="B44" s="155">
        <f>IFERROR(MIN(1,COUNTIFS('Product Order Book'!$A$2:$A$1057,$A44,'Product Order Book'!$E$2:$E$1057,B$3)/INDEX('Clean Package Product Lists'!$C:$C,MATCH(B$3,'Clean Package Product Lists'!$A:$A,0))),"")</f>
        <v>1</v>
      </c>
      <c r="C44" s="155">
        <f>IFERROR(MIN(1,COUNTIFS('Product Order Book'!$A$2:$A$1057,$A44,'Product Order Book'!$E$2:$E$1057,C$3)/INDEX('Clean Package Product Lists'!$C:$C,MATCH(C$3,'Clean Package Product Lists'!$A:$A,0))),"")</f>
        <v>0</v>
      </c>
      <c r="D44" s="155">
        <f>IFERROR(MIN(1,COUNTIFS('Product Order Book'!$A$2:$A$1057,$A44,'Product Order Book'!$E$2:$E$1057,D$3)/INDEX('Clean Package Product Lists'!$C:$C,MATCH(D$3,'Clean Package Product Lists'!$A:$A,0))),"")</f>
        <v>0</v>
      </c>
      <c r="E44" s="155">
        <f>IFERROR(MIN(1,COUNTIFS('Product Order Book'!$A$2:$A$1057,$A44,'Product Order Book'!$E$2:$E$1057,E$3)/INDEX('Clean Package Product Lists'!$C:$C,MATCH(E$3,'Clean Package Product Lists'!$A:$A,0))),"")</f>
        <v>0</v>
      </c>
      <c r="F44" s="155">
        <f>IFERROR(MIN(1,COUNTIFS('Product Order Book'!$A$2:$A$1057,$A44,'Product Order Book'!$E$2:$E$1057,F$3)/INDEX('Clean Package Product Lists'!$C:$C,MATCH(F$3,'Clean Package Product Lists'!$A:$A,0))),"")</f>
        <v>0</v>
      </c>
      <c r="G44" s="155">
        <f>IFERROR(MIN(1,COUNTIFS('Product Order Book'!$A$2:$A$1057,$A44,'Product Order Book'!$E$2:$E$1057,G$3)/INDEX('Clean Package Product Lists'!$C:$C,MATCH(G$3,'Clean Package Product Lists'!$A:$A,0))),"")</f>
        <v>0</v>
      </c>
      <c r="H44" s="155">
        <f>IFERROR(MIN(1,COUNTIFS('Product Order Book'!$A$2:$A$1057,$A44,'Product Order Book'!$E$2:$E$1057,H$3)/INDEX('Clean Package Product Lists'!$C:$C,MATCH(H$3,'Clean Package Product Lists'!$A:$A,0))),"")</f>
        <v>0</v>
      </c>
      <c r="I44" s="155">
        <f>IFERROR(MIN(1,COUNTIFS('Product Order Book'!$A$2:$A$1057,$A44,'Product Order Book'!$E$2:$E$1057,I$3)/INDEX('Clean Package Product Lists'!$C:$C,MATCH(I$3,'Clean Package Product Lists'!$A:$A,0))),"")</f>
        <v>0</v>
      </c>
      <c r="J44" s="155">
        <f>IFERROR(MIN(1,COUNTIFS('Product Order Book'!$A$2:$A$1057,$A44,'Product Order Book'!$E$2:$E$1057,J$3)/INDEX('Clean Package Product Lists'!$C:$C,MATCH(J$3,'Clean Package Product Lists'!$A:$A,0))),"")</f>
        <v>0</v>
      </c>
      <c r="K44" s="155">
        <f>IFERROR(MIN(1,COUNTIFS('Product Order Book'!$A$2:$A$1057,$A44,'Product Order Book'!$E$2:$E$1057,K$3)/INDEX('Clean Package Product Lists'!$C:$C,MATCH(K$3,'Clean Package Product Lists'!$A:$A,0))),"")</f>
        <v>0</v>
      </c>
      <c r="L44" s="154"/>
      <c r="M44" s="156" t="str">
        <f>IF(COUNTIFS('Product Order Book'!$A:$A,$A44,'Product Order Book'!$E:$E,M$3)&gt;0,"✓ Takes",IF(IFERROR(VLOOKUP($A44,'Whitespace Analysis'!$A:$AH,12,0),0)=1,"◎ Should","– N/A"))</f>
        <v>✓ Takes</v>
      </c>
      <c r="N44" s="156" t="str">
        <f>IF(COUNTIFS('Product Order Book'!$A:$A,$A44,'Product Order Book'!$E:$E,N$3)&gt;0,"✓ Takes",IF(IFERROR(VLOOKUP($A44,'Whitespace Analysis'!$A:$AH,20,0),0)=1,"◎ Should","– N/A"))</f>
        <v>– N/A</v>
      </c>
      <c r="O44" s="156" t="str">
        <f>IF(COUNTIFS('Product Order Book'!$A:$A,$A44,'Product Order Book'!$E:$E,O$3)&gt;0,"✓ Takes",IF(IFERROR(VLOOKUP($A44,'Whitespace Analysis'!$A:$AH,22,0),0)=1,"◎ Should","– N/A"))</f>
        <v>– N/A</v>
      </c>
      <c r="P44" s="156" t="str">
        <f>IF(COUNTIFS('Product Order Book'!$A:$A,$A44,'Product Order Book'!$E:$E,P$3)&gt;0,"✓ Takes",IF(IFERROR(VLOOKUP($A44,'Whitespace Analysis'!$A:$AH,24,0),0)=1,"◎ Should","– N/A"))</f>
        <v>– N/A</v>
      </c>
      <c r="Q44" s="156" t="str">
        <f>IF(COUNTIFS('Product Order Book'!$A:$A,$A44,'Product Order Book'!$E:$E,Q$3)&gt;0,"✓ Takes",IF(IFERROR(VLOOKUP($A44,'Whitespace Analysis'!$A:$AH,26,0),0)=1,"◎ Should","– N/A"))</f>
        <v>– N/A</v>
      </c>
      <c r="R44" s="156" t="str">
        <f>IF(COUNTIFS('Product Order Book'!$A:$A,$A44,'Product Order Book'!$E:$E,R$3)&gt;0,"✓ Takes",IF(IFERROR(VLOOKUP($A44,'Whitespace Analysis'!$A:$AH,16,0),0)=1,"◎ Should","– N/A"))</f>
        <v>– N/A</v>
      </c>
      <c r="S44" s="156" t="str">
        <f>IF(COUNTIFS('Product Order Book'!$A:$A,$A44,'Product Order Book'!$E:$E,S$3)&gt;0,"✓ Takes",IF(IFERROR(VLOOKUP($A44,'Whitespace Analysis'!$A:$AH,18,0),0)=1,"◎ Should","– N/A"))</f>
        <v>– N/A</v>
      </c>
      <c r="T44" s="156" t="str">
        <f>IF(COUNTIFS('Product Order Book'!$A:$A,$A44,'Product Order Book'!$E:$E,T$3)&gt;0,"✓ Takes",IF(IFERROR(VLOOKUP($A44,'Whitespace Analysis'!$A:$AH,28,0),0)=1,"◎ Should","– N/A"))</f>
        <v>– N/A</v>
      </c>
      <c r="U44" s="156" t="str">
        <f>IF(COUNTIFS('Product Order Book'!$A:$A,$A44,'Product Order Book'!$E:$E,U$3)&gt;0,"✓ Takes",IF(IFERROR(VLOOKUP($A44,'Whitespace Analysis'!$A:$AH,30,0),0)=1,"◎ Should","– N/A"))</f>
        <v>– N/A</v>
      </c>
      <c r="V44" s="156" t="str">
        <f>IF(COUNTIFS('Product Order Book'!$A:$A,$A44,'Product Order Book'!$E:$E,V$3)&gt;0,"✓ Takes",IF(IFERROR(VLOOKUP($A44,'Whitespace Analysis'!$A:$AH,14,0),0)=1,"◎ Should","– N/A"))</f>
        <v>– N/A</v>
      </c>
    </row>
    <row r="45" spans="1:22" ht="15" customHeight="1">
      <c r="A45" s="154" t="str">
        <v>Co-operative Group Limited</v>
      </c>
      <c r="B45" s="155">
        <f>IFERROR(MIN(1,COUNTIFS('Product Order Book'!$A$2:$A$1057,$A45,'Product Order Book'!$E$2:$E$1057,B$3)/INDEX('Clean Package Product Lists'!$C:$C,MATCH(B$3,'Clean Package Product Lists'!$A:$A,0))),"")</f>
        <v>1</v>
      </c>
      <c r="C45" s="155">
        <f>IFERROR(MIN(1,COUNTIFS('Product Order Book'!$A$2:$A$1057,$A45,'Product Order Book'!$E$2:$E$1057,C$3)/INDEX('Clean Package Product Lists'!$C:$C,MATCH(C$3,'Clean Package Product Lists'!$A:$A,0))),"")</f>
        <v>0</v>
      </c>
      <c r="D45" s="155">
        <f>IFERROR(MIN(1,COUNTIFS('Product Order Book'!$A$2:$A$1057,$A45,'Product Order Book'!$E$2:$E$1057,D$3)/INDEX('Clean Package Product Lists'!$C:$C,MATCH(D$3,'Clean Package Product Lists'!$A:$A,0))),"")</f>
        <v>0.33333333333333331</v>
      </c>
      <c r="E45" s="155">
        <f>IFERROR(MIN(1,COUNTIFS('Product Order Book'!$A$2:$A$1057,$A45,'Product Order Book'!$E$2:$E$1057,E$3)/INDEX('Clean Package Product Lists'!$C:$C,MATCH(E$3,'Clean Package Product Lists'!$A:$A,0))),"")</f>
        <v>0</v>
      </c>
      <c r="F45" s="155">
        <f>IFERROR(MIN(1,COUNTIFS('Product Order Book'!$A$2:$A$1057,$A45,'Product Order Book'!$E$2:$E$1057,F$3)/INDEX('Clean Package Product Lists'!$C:$C,MATCH(F$3,'Clean Package Product Lists'!$A:$A,0))),"")</f>
        <v>0</v>
      </c>
      <c r="G45" s="155">
        <f>IFERROR(MIN(1,COUNTIFS('Product Order Book'!$A$2:$A$1057,$A45,'Product Order Book'!$E$2:$E$1057,G$3)/INDEX('Clean Package Product Lists'!$C:$C,MATCH(G$3,'Clean Package Product Lists'!$A:$A,0))),"")</f>
        <v>0</v>
      </c>
      <c r="H45" s="155">
        <f>IFERROR(MIN(1,COUNTIFS('Product Order Book'!$A$2:$A$1057,$A45,'Product Order Book'!$E$2:$E$1057,H$3)/INDEX('Clean Package Product Lists'!$C:$C,MATCH(H$3,'Clean Package Product Lists'!$A:$A,0))),"")</f>
        <v>0.25</v>
      </c>
      <c r="I45" s="155">
        <f>IFERROR(MIN(1,COUNTIFS('Product Order Book'!$A$2:$A$1057,$A45,'Product Order Book'!$E$2:$E$1057,I$3)/INDEX('Clean Package Product Lists'!$C:$C,MATCH(I$3,'Clean Package Product Lists'!$A:$A,0))),"")</f>
        <v>0</v>
      </c>
      <c r="J45" s="155">
        <f>IFERROR(MIN(1,COUNTIFS('Product Order Book'!$A$2:$A$1057,$A45,'Product Order Book'!$E$2:$E$1057,J$3)/INDEX('Clean Package Product Lists'!$C:$C,MATCH(J$3,'Clean Package Product Lists'!$A:$A,0))),"")</f>
        <v>0</v>
      </c>
      <c r="K45" s="155">
        <f>IFERROR(MIN(1,COUNTIFS('Product Order Book'!$A$2:$A$1057,$A45,'Product Order Book'!$E$2:$E$1057,K$3)/INDEX('Clean Package Product Lists'!$C:$C,MATCH(K$3,'Clean Package Product Lists'!$A:$A,0))),"")</f>
        <v>0</v>
      </c>
      <c r="L45" s="154"/>
      <c r="M45" s="156" t="str">
        <f>IF(COUNTIFS('Product Order Book'!$A:$A,$A45,'Product Order Book'!$E:$E,M$3)&gt;0,"✓ Takes",IF(IFERROR(VLOOKUP($A45,'Whitespace Analysis'!$A:$AH,12,0),0)=1,"◎ Should","– N/A"))</f>
        <v>✓ Takes</v>
      </c>
      <c r="N45" s="156" t="str">
        <f>IF(COUNTIFS('Product Order Book'!$A:$A,$A45,'Product Order Book'!$E:$E,N$3)&gt;0,"✓ Takes",IF(IFERROR(VLOOKUP($A45,'Whitespace Analysis'!$A:$AH,20,0),0)=1,"◎ Should","– N/A"))</f>
        <v>– N/A</v>
      </c>
      <c r="O45" s="156" t="str">
        <f>IF(COUNTIFS('Product Order Book'!$A:$A,$A45,'Product Order Book'!$E:$E,O$3)&gt;0,"✓ Takes",IF(IFERROR(VLOOKUP($A45,'Whitespace Analysis'!$A:$AH,22,0),0)=1,"◎ Should","– N/A"))</f>
        <v>✓ Takes</v>
      </c>
      <c r="P45" s="156" t="str">
        <f>IF(COUNTIFS('Product Order Book'!$A:$A,$A45,'Product Order Book'!$E:$E,P$3)&gt;0,"✓ Takes",IF(IFERROR(VLOOKUP($A45,'Whitespace Analysis'!$A:$AH,24,0),0)=1,"◎ Should","– N/A"))</f>
        <v>◎ Should</v>
      </c>
      <c r="Q45" s="156" t="str">
        <f>IF(COUNTIFS('Product Order Book'!$A:$A,$A45,'Product Order Book'!$E:$E,Q$3)&gt;0,"✓ Takes",IF(IFERROR(VLOOKUP($A45,'Whitespace Analysis'!$A:$AH,26,0),0)=1,"◎ Should","– N/A"))</f>
        <v>– N/A</v>
      </c>
      <c r="R45" s="156" t="str">
        <f>IF(COUNTIFS('Product Order Book'!$A:$A,$A45,'Product Order Book'!$E:$E,R$3)&gt;0,"✓ Takes",IF(IFERROR(VLOOKUP($A45,'Whitespace Analysis'!$A:$AH,16,0),0)=1,"◎ Should","– N/A"))</f>
        <v>◎ Should</v>
      </c>
      <c r="S45" s="156" t="str">
        <f>IF(COUNTIFS('Product Order Book'!$A:$A,$A45,'Product Order Book'!$E:$E,S$3)&gt;0,"✓ Takes",IF(IFERROR(VLOOKUP($A45,'Whitespace Analysis'!$A:$AH,18,0),0)=1,"◎ Should","– N/A"))</f>
        <v>✓ Takes</v>
      </c>
      <c r="T45" s="156" t="str">
        <f>IF(COUNTIFS('Product Order Book'!$A:$A,$A45,'Product Order Book'!$E:$E,T$3)&gt;0,"✓ Takes",IF(IFERROR(VLOOKUP($A45,'Whitespace Analysis'!$A:$AH,28,0),0)=1,"◎ Should","– N/A"))</f>
        <v>– N/A</v>
      </c>
      <c r="U45" s="156" t="str">
        <f>IF(COUNTIFS('Product Order Book'!$A:$A,$A45,'Product Order Book'!$E:$E,U$3)&gt;0,"✓ Takes",IF(IFERROR(VLOOKUP($A45,'Whitespace Analysis'!$A:$AH,30,0),0)=1,"◎ Should","– N/A"))</f>
        <v>– N/A</v>
      </c>
      <c r="V45" s="156" t="str">
        <f>IF(COUNTIFS('Product Order Book'!$A:$A,$A45,'Product Order Book'!$E:$E,V$3)&gt;0,"✓ Takes",IF(IFERROR(VLOOKUP($A45,'Whitespace Analysis'!$A:$AH,14,0),0)=1,"◎ Should","– N/A"))</f>
        <v>◎ Should</v>
      </c>
    </row>
    <row r="46" spans="1:22" ht="15" customHeight="1">
      <c r="A46" s="154" t="str">
        <v>Copenhagen Infrastructure Service Company LTD</v>
      </c>
      <c r="B46" s="155">
        <f>IFERROR(MIN(1,COUNTIFS('Product Order Book'!$A$2:$A$1057,$A46,'Product Order Book'!$E$2:$E$1057,B$3)/INDEX('Clean Package Product Lists'!$C:$C,MATCH(B$3,'Clean Package Product Lists'!$A:$A,0))),"")</f>
        <v>1</v>
      </c>
      <c r="C46" s="155">
        <f>IFERROR(MIN(1,COUNTIFS('Product Order Book'!$A$2:$A$1057,$A46,'Product Order Book'!$E$2:$E$1057,C$3)/INDEX('Clean Package Product Lists'!$C:$C,MATCH(C$3,'Clean Package Product Lists'!$A:$A,0))),"")</f>
        <v>0</v>
      </c>
      <c r="D46" s="155">
        <f>IFERROR(MIN(1,COUNTIFS('Product Order Book'!$A$2:$A$1057,$A46,'Product Order Book'!$E$2:$E$1057,D$3)/INDEX('Clean Package Product Lists'!$C:$C,MATCH(D$3,'Clean Package Product Lists'!$A:$A,0))),"")</f>
        <v>0</v>
      </c>
      <c r="E46" s="155">
        <f>IFERROR(MIN(1,COUNTIFS('Product Order Book'!$A$2:$A$1057,$A46,'Product Order Book'!$E$2:$E$1057,E$3)/INDEX('Clean Package Product Lists'!$C:$C,MATCH(E$3,'Clean Package Product Lists'!$A:$A,0))),"")</f>
        <v>0</v>
      </c>
      <c r="F46" s="155">
        <f>IFERROR(MIN(1,COUNTIFS('Product Order Book'!$A$2:$A$1057,$A46,'Product Order Book'!$E$2:$E$1057,F$3)/INDEX('Clean Package Product Lists'!$C:$C,MATCH(F$3,'Clean Package Product Lists'!$A:$A,0))),"")</f>
        <v>0</v>
      </c>
      <c r="G46" s="155">
        <f>IFERROR(MIN(1,COUNTIFS('Product Order Book'!$A$2:$A$1057,$A46,'Product Order Book'!$E$2:$E$1057,G$3)/INDEX('Clean Package Product Lists'!$C:$C,MATCH(G$3,'Clean Package Product Lists'!$A:$A,0))),"")</f>
        <v>0</v>
      </c>
      <c r="H46" s="155">
        <f>IFERROR(MIN(1,COUNTIFS('Product Order Book'!$A$2:$A$1057,$A46,'Product Order Book'!$E$2:$E$1057,H$3)/INDEX('Clean Package Product Lists'!$C:$C,MATCH(H$3,'Clean Package Product Lists'!$A:$A,0))),"")</f>
        <v>0</v>
      </c>
      <c r="I46" s="155">
        <f>IFERROR(MIN(1,COUNTIFS('Product Order Book'!$A$2:$A$1057,$A46,'Product Order Book'!$E$2:$E$1057,I$3)/INDEX('Clean Package Product Lists'!$C:$C,MATCH(I$3,'Clean Package Product Lists'!$A:$A,0))),"")</f>
        <v>0</v>
      </c>
      <c r="J46" s="155">
        <f>IFERROR(MIN(1,COUNTIFS('Product Order Book'!$A$2:$A$1057,$A46,'Product Order Book'!$E$2:$E$1057,J$3)/INDEX('Clean Package Product Lists'!$C:$C,MATCH(J$3,'Clean Package Product Lists'!$A:$A,0))),"")</f>
        <v>0</v>
      </c>
      <c r="K46" s="155">
        <f>IFERROR(MIN(1,COUNTIFS('Product Order Book'!$A$2:$A$1057,$A46,'Product Order Book'!$E$2:$E$1057,K$3)/INDEX('Clean Package Product Lists'!$C:$C,MATCH(K$3,'Clean Package Product Lists'!$A:$A,0))),"")</f>
        <v>0</v>
      </c>
      <c r="L46" s="154"/>
      <c r="M46" s="156" t="str">
        <f>IF(COUNTIFS('Product Order Book'!$A:$A,$A46,'Product Order Book'!$E:$E,M$3)&gt;0,"✓ Takes",IF(IFERROR(VLOOKUP($A46,'Whitespace Analysis'!$A:$AH,12,0),0)=1,"◎ Should","– N/A"))</f>
        <v>✓ Takes</v>
      </c>
      <c r="N46" s="156" t="str">
        <f>IF(COUNTIFS('Product Order Book'!$A:$A,$A46,'Product Order Book'!$E:$E,N$3)&gt;0,"✓ Takes",IF(IFERROR(VLOOKUP($A46,'Whitespace Analysis'!$A:$AH,20,0),0)=1,"◎ Should","– N/A"))</f>
        <v>◎ Should</v>
      </c>
      <c r="O46" s="156" t="str">
        <f>IF(COUNTIFS('Product Order Book'!$A:$A,$A46,'Product Order Book'!$E:$E,O$3)&gt;0,"✓ Takes",IF(IFERROR(VLOOKUP($A46,'Whitespace Analysis'!$A:$AH,22,0),0)=1,"◎ Should","– N/A"))</f>
        <v>◎ Should</v>
      </c>
      <c r="P46" s="156" t="str">
        <f>IF(COUNTIFS('Product Order Book'!$A:$A,$A46,'Product Order Book'!$E:$E,P$3)&gt;0,"✓ Takes",IF(IFERROR(VLOOKUP($A46,'Whitespace Analysis'!$A:$AH,24,0),0)=1,"◎ Should","– N/A"))</f>
        <v>◎ Should</v>
      </c>
      <c r="Q46" s="156" t="str">
        <f>IF(COUNTIFS('Product Order Book'!$A:$A,$A46,'Product Order Book'!$E:$E,Q$3)&gt;0,"✓ Takes",IF(IFERROR(VLOOKUP($A46,'Whitespace Analysis'!$A:$AH,26,0),0)=1,"◎ Should","– N/A"))</f>
        <v>◎ Should</v>
      </c>
      <c r="R46" s="156" t="str">
        <f>IF(COUNTIFS('Product Order Book'!$A:$A,$A46,'Product Order Book'!$E:$E,R$3)&gt;0,"✓ Takes",IF(IFERROR(VLOOKUP($A46,'Whitespace Analysis'!$A:$AH,16,0),0)=1,"◎ Should","– N/A"))</f>
        <v>– N/A</v>
      </c>
      <c r="S46" s="156" t="str">
        <f>IF(COUNTIFS('Product Order Book'!$A:$A,$A46,'Product Order Book'!$E:$E,S$3)&gt;0,"✓ Takes",IF(IFERROR(VLOOKUP($A46,'Whitespace Analysis'!$A:$AH,18,0),0)=1,"◎ Should","– N/A"))</f>
        <v>– N/A</v>
      </c>
      <c r="T46" s="156" t="str">
        <f>IF(COUNTIFS('Product Order Book'!$A:$A,$A46,'Product Order Book'!$E:$E,T$3)&gt;0,"✓ Takes",IF(IFERROR(VLOOKUP($A46,'Whitespace Analysis'!$A:$AH,28,0),0)=1,"◎ Should","– N/A"))</f>
        <v>– N/A</v>
      </c>
      <c r="U46" s="156" t="str">
        <f>IF(COUNTIFS('Product Order Book'!$A:$A,$A46,'Product Order Book'!$E:$E,U$3)&gt;0,"✓ Takes",IF(IFERROR(VLOOKUP($A46,'Whitespace Analysis'!$A:$AH,30,0),0)=1,"◎ Should","– N/A"))</f>
        <v>– N/A</v>
      </c>
      <c r="V46" s="156" t="str">
        <f>IF(COUNTIFS('Product Order Book'!$A:$A,$A46,'Product Order Book'!$E:$E,V$3)&gt;0,"✓ Takes",IF(IFERROR(VLOOKUP($A46,'Whitespace Analysis'!$A:$AH,14,0),0)=1,"◎ Should","– N/A"))</f>
        <v>◎ Should</v>
      </c>
    </row>
    <row r="47" spans="1:22" ht="15" customHeight="1">
      <c r="A47" s="154" t="str">
        <v>Corona Energy Retail Ltd</v>
      </c>
      <c r="B47" s="155">
        <f>IFERROR(MIN(1,COUNTIFS('Product Order Book'!$A$2:$A$1057,$A47,'Product Order Book'!$E$2:$E$1057,B$3)/INDEX('Clean Package Product Lists'!$C:$C,MATCH(B$3,'Clean Package Product Lists'!$A:$A,0))),"")</f>
        <v>1</v>
      </c>
      <c r="C47" s="155">
        <f>IFERROR(MIN(1,COUNTIFS('Product Order Book'!$A$2:$A$1057,$A47,'Product Order Book'!$E$2:$E$1057,C$3)/INDEX('Clean Package Product Lists'!$C:$C,MATCH(C$3,'Clean Package Product Lists'!$A:$A,0))),"")</f>
        <v>0.2857142857142857</v>
      </c>
      <c r="D47" s="155">
        <f>IFERROR(MIN(1,COUNTIFS('Product Order Book'!$A$2:$A$1057,$A47,'Product Order Book'!$E$2:$E$1057,D$3)/INDEX('Clean Package Product Lists'!$C:$C,MATCH(D$3,'Clean Package Product Lists'!$A:$A,0))),"")</f>
        <v>0</v>
      </c>
      <c r="E47" s="155">
        <f>IFERROR(MIN(1,COUNTIFS('Product Order Book'!$A$2:$A$1057,$A47,'Product Order Book'!$E$2:$E$1057,E$3)/INDEX('Clean Package Product Lists'!$C:$C,MATCH(E$3,'Clean Package Product Lists'!$A:$A,0))),"")</f>
        <v>0</v>
      </c>
      <c r="F47" s="155">
        <f>IFERROR(MIN(1,COUNTIFS('Product Order Book'!$A$2:$A$1057,$A47,'Product Order Book'!$E$2:$E$1057,F$3)/INDEX('Clean Package Product Lists'!$C:$C,MATCH(F$3,'Clean Package Product Lists'!$A:$A,0))),"")</f>
        <v>0</v>
      </c>
      <c r="G47" s="155">
        <f>IFERROR(MIN(1,COUNTIFS('Product Order Book'!$A$2:$A$1057,$A47,'Product Order Book'!$E$2:$E$1057,G$3)/INDEX('Clean Package Product Lists'!$C:$C,MATCH(G$3,'Clean Package Product Lists'!$A:$A,0))),"")</f>
        <v>0.54545454545454541</v>
      </c>
      <c r="H47" s="155">
        <f>IFERROR(MIN(1,COUNTIFS('Product Order Book'!$A$2:$A$1057,$A47,'Product Order Book'!$E$2:$E$1057,H$3)/INDEX('Clean Package Product Lists'!$C:$C,MATCH(H$3,'Clean Package Product Lists'!$A:$A,0))),"")</f>
        <v>0.75</v>
      </c>
      <c r="I47" s="155">
        <f>IFERROR(MIN(1,COUNTIFS('Product Order Book'!$A$2:$A$1057,$A47,'Product Order Book'!$E$2:$E$1057,I$3)/INDEX('Clean Package Product Lists'!$C:$C,MATCH(I$3,'Clean Package Product Lists'!$A:$A,0))),"")</f>
        <v>0</v>
      </c>
      <c r="J47" s="155">
        <f>IFERROR(MIN(1,COUNTIFS('Product Order Book'!$A$2:$A$1057,$A47,'Product Order Book'!$E$2:$E$1057,J$3)/INDEX('Clean Package Product Lists'!$C:$C,MATCH(J$3,'Clean Package Product Lists'!$A:$A,0))),"")</f>
        <v>0</v>
      </c>
      <c r="K47" s="155">
        <f>IFERROR(MIN(1,COUNTIFS('Product Order Book'!$A$2:$A$1057,$A47,'Product Order Book'!$E$2:$E$1057,K$3)/INDEX('Clean Package Product Lists'!$C:$C,MATCH(K$3,'Clean Package Product Lists'!$A:$A,0))),"")</f>
        <v>0</v>
      </c>
      <c r="L47" s="154"/>
      <c r="M47" s="156" t="str">
        <f>IF(COUNTIFS('Product Order Book'!$A:$A,$A47,'Product Order Book'!$E:$E,M$3)&gt;0,"✓ Takes",IF(IFERROR(VLOOKUP($A47,'Whitespace Analysis'!$A:$AH,12,0),0)=1,"◎ Should","– N/A"))</f>
        <v>✓ Takes</v>
      </c>
      <c r="N47" s="156" t="str">
        <f>IF(COUNTIFS('Product Order Book'!$A:$A,$A47,'Product Order Book'!$E:$E,N$3)&gt;0,"✓ Takes",IF(IFERROR(VLOOKUP($A47,'Whitespace Analysis'!$A:$AH,20,0),0)=1,"◎ Should","– N/A"))</f>
        <v>✓ Takes</v>
      </c>
      <c r="O47" s="156" t="str">
        <f>IF(COUNTIFS('Product Order Book'!$A:$A,$A47,'Product Order Book'!$E:$E,O$3)&gt;0,"✓ Takes",IF(IFERROR(VLOOKUP($A47,'Whitespace Analysis'!$A:$AH,22,0),0)=1,"◎ Should","– N/A"))</f>
        <v>– N/A</v>
      </c>
      <c r="P47" s="156" t="str">
        <f>IF(COUNTIFS('Product Order Book'!$A:$A,$A47,'Product Order Book'!$E:$E,P$3)&gt;0,"✓ Takes",IF(IFERROR(VLOOKUP($A47,'Whitespace Analysis'!$A:$AH,24,0),0)=1,"◎ Should","– N/A"))</f>
        <v>◎ Should</v>
      </c>
      <c r="Q47" s="156" t="str">
        <f>IF(COUNTIFS('Product Order Book'!$A:$A,$A47,'Product Order Book'!$E:$E,Q$3)&gt;0,"✓ Takes",IF(IFERROR(VLOOKUP($A47,'Whitespace Analysis'!$A:$AH,26,0),0)=1,"◎ Should","– N/A"))</f>
        <v>◎ Should</v>
      </c>
      <c r="R47" s="156" t="str">
        <f>IF(COUNTIFS('Product Order Book'!$A:$A,$A47,'Product Order Book'!$E:$E,R$3)&gt;0,"✓ Takes",IF(IFERROR(VLOOKUP($A47,'Whitespace Analysis'!$A:$AH,16,0),0)=1,"◎ Should","– N/A"))</f>
        <v>✓ Takes</v>
      </c>
      <c r="S47" s="156" t="str">
        <f>IF(COUNTIFS('Product Order Book'!$A:$A,$A47,'Product Order Book'!$E:$E,S$3)&gt;0,"✓ Takes",IF(IFERROR(VLOOKUP($A47,'Whitespace Analysis'!$A:$AH,18,0),0)=1,"◎ Should","– N/A"))</f>
        <v>✓ Takes</v>
      </c>
      <c r="T47" s="156" t="str">
        <f>IF(COUNTIFS('Product Order Book'!$A:$A,$A47,'Product Order Book'!$E:$E,T$3)&gt;0,"✓ Takes",IF(IFERROR(VLOOKUP($A47,'Whitespace Analysis'!$A:$AH,28,0),0)=1,"◎ Should","– N/A"))</f>
        <v>– N/A</v>
      </c>
      <c r="U47" s="156" t="str">
        <f>IF(COUNTIFS('Product Order Book'!$A:$A,$A47,'Product Order Book'!$E:$E,U$3)&gt;0,"✓ Takes",IF(IFERROR(VLOOKUP($A47,'Whitespace Analysis'!$A:$AH,30,0),0)=1,"◎ Should","– N/A"))</f>
        <v>– N/A</v>
      </c>
      <c r="V47" s="156" t="str">
        <f>IF(COUNTIFS('Product Order Book'!$A:$A,$A47,'Product Order Book'!$E:$E,V$3)&gt;0,"✓ Takes",IF(IFERROR(VLOOKUP($A47,'Whitespace Analysis'!$A:$AH,14,0),0)=1,"◎ Should","– N/A"))</f>
        <v>◎ Should</v>
      </c>
    </row>
    <row r="48" spans="1:22" ht="15" customHeight="1">
      <c r="A48" s="154" t="str">
        <v>Crown Gas and Power</v>
      </c>
      <c r="B48" s="155">
        <f>IFERROR(MIN(1,COUNTIFS('Product Order Book'!$A$2:$A$1057,$A48,'Product Order Book'!$E$2:$E$1057,B$3)/INDEX('Clean Package Product Lists'!$C:$C,MATCH(B$3,'Clean Package Product Lists'!$A:$A,0))),"")</f>
        <v>1</v>
      </c>
      <c r="C48" s="155">
        <f>IFERROR(MIN(1,COUNTIFS('Product Order Book'!$A$2:$A$1057,$A48,'Product Order Book'!$E$2:$E$1057,C$3)/INDEX('Clean Package Product Lists'!$C:$C,MATCH(C$3,'Clean Package Product Lists'!$A:$A,0))),"")</f>
        <v>0</v>
      </c>
      <c r="D48" s="155">
        <f>IFERROR(MIN(1,COUNTIFS('Product Order Book'!$A$2:$A$1057,$A48,'Product Order Book'!$E$2:$E$1057,D$3)/INDEX('Clean Package Product Lists'!$C:$C,MATCH(D$3,'Clean Package Product Lists'!$A:$A,0))),"")</f>
        <v>0</v>
      </c>
      <c r="E48" s="155">
        <f>IFERROR(MIN(1,COUNTIFS('Product Order Book'!$A$2:$A$1057,$A48,'Product Order Book'!$E$2:$E$1057,E$3)/INDEX('Clean Package Product Lists'!$C:$C,MATCH(E$3,'Clean Package Product Lists'!$A:$A,0))),"")</f>
        <v>0</v>
      </c>
      <c r="F48" s="155">
        <f>IFERROR(MIN(1,COUNTIFS('Product Order Book'!$A$2:$A$1057,$A48,'Product Order Book'!$E$2:$E$1057,F$3)/INDEX('Clean Package Product Lists'!$C:$C,MATCH(F$3,'Clean Package Product Lists'!$A:$A,0))),"")</f>
        <v>0</v>
      </c>
      <c r="G48" s="155">
        <f>IFERROR(MIN(1,COUNTIFS('Product Order Book'!$A$2:$A$1057,$A48,'Product Order Book'!$E$2:$E$1057,G$3)/INDEX('Clean Package Product Lists'!$C:$C,MATCH(G$3,'Clean Package Product Lists'!$A:$A,0))),"")</f>
        <v>1</v>
      </c>
      <c r="H48" s="155">
        <f>IFERROR(MIN(1,COUNTIFS('Product Order Book'!$A$2:$A$1057,$A48,'Product Order Book'!$E$2:$E$1057,H$3)/INDEX('Clean Package Product Lists'!$C:$C,MATCH(H$3,'Clean Package Product Lists'!$A:$A,0))),"")</f>
        <v>1</v>
      </c>
      <c r="I48" s="155">
        <f>IFERROR(MIN(1,COUNTIFS('Product Order Book'!$A$2:$A$1057,$A48,'Product Order Book'!$E$2:$E$1057,I$3)/INDEX('Clean Package Product Lists'!$C:$C,MATCH(I$3,'Clean Package Product Lists'!$A:$A,0))),"")</f>
        <v>0</v>
      </c>
      <c r="J48" s="155">
        <f>IFERROR(MIN(1,COUNTIFS('Product Order Book'!$A$2:$A$1057,$A48,'Product Order Book'!$E$2:$E$1057,J$3)/INDEX('Clean Package Product Lists'!$C:$C,MATCH(J$3,'Clean Package Product Lists'!$A:$A,0))),"")</f>
        <v>0</v>
      </c>
      <c r="K48" s="155">
        <f>IFERROR(MIN(1,COUNTIFS('Product Order Book'!$A$2:$A$1057,$A48,'Product Order Book'!$E$2:$E$1057,K$3)/INDEX('Clean Package Product Lists'!$C:$C,MATCH(K$3,'Clean Package Product Lists'!$A:$A,0))),"")</f>
        <v>1</v>
      </c>
      <c r="L48" s="154"/>
      <c r="M48" s="156" t="str">
        <f>IF(COUNTIFS('Product Order Book'!$A:$A,$A48,'Product Order Book'!$E:$E,M$3)&gt;0,"✓ Takes",IF(IFERROR(VLOOKUP($A48,'Whitespace Analysis'!$A:$AH,12,0),0)=1,"◎ Should","– N/A"))</f>
        <v>✓ Takes</v>
      </c>
      <c r="N48" s="156" t="str">
        <f>IF(COUNTIFS('Product Order Book'!$A:$A,$A48,'Product Order Book'!$E:$E,N$3)&gt;0,"✓ Takes",IF(IFERROR(VLOOKUP($A48,'Whitespace Analysis'!$A:$AH,20,0),0)=1,"◎ Should","– N/A"))</f>
        <v>– N/A</v>
      </c>
      <c r="O48" s="156" t="str">
        <f>IF(COUNTIFS('Product Order Book'!$A:$A,$A48,'Product Order Book'!$E:$E,O$3)&gt;0,"✓ Takes",IF(IFERROR(VLOOKUP($A48,'Whitespace Analysis'!$A:$AH,22,0),0)=1,"◎ Should","– N/A"))</f>
        <v>– N/A</v>
      </c>
      <c r="P48" s="156" t="str">
        <f>IF(COUNTIFS('Product Order Book'!$A:$A,$A48,'Product Order Book'!$E:$E,P$3)&gt;0,"✓ Takes",IF(IFERROR(VLOOKUP($A48,'Whitespace Analysis'!$A:$AH,24,0),0)=1,"◎ Should","– N/A"))</f>
        <v>◎ Should</v>
      </c>
      <c r="Q48" s="156" t="str">
        <f>IF(COUNTIFS('Product Order Book'!$A:$A,$A48,'Product Order Book'!$E:$E,Q$3)&gt;0,"✓ Takes",IF(IFERROR(VLOOKUP($A48,'Whitespace Analysis'!$A:$AH,26,0),0)=1,"◎ Should","– N/A"))</f>
        <v>– N/A</v>
      </c>
      <c r="R48" s="156" t="str">
        <f>IF(COUNTIFS('Product Order Book'!$A:$A,$A48,'Product Order Book'!$E:$E,R$3)&gt;0,"✓ Takes",IF(IFERROR(VLOOKUP($A48,'Whitespace Analysis'!$A:$AH,16,0),0)=1,"◎ Should","– N/A"))</f>
        <v>✓ Takes</v>
      </c>
      <c r="S48" s="156" t="str">
        <f>IF(COUNTIFS('Product Order Book'!$A:$A,$A48,'Product Order Book'!$E:$E,S$3)&gt;0,"✓ Takes",IF(IFERROR(VLOOKUP($A48,'Whitespace Analysis'!$A:$AH,18,0),0)=1,"◎ Should","– N/A"))</f>
        <v>✓ Takes</v>
      </c>
      <c r="T48" s="156" t="str">
        <f>IF(COUNTIFS('Product Order Book'!$A:$A,$A48,'Product Order Book'!$E:$E,T$3)&gt;0,"✓ Takes",IF(IFERROR(VLOOKUP($A48,'Whitespace Analysis'!$A:$AH,28,0),0)=1,"◎ Should","– N/A"))</f>
        <v>– N/A</v>
      </c>
      <c r="U48" s="156" t="str">
        <f>IF(COUNTIFS('Product Order Book'!$A:$A,$A48,'Product Order Book'!$E:$E,U$3)&gt;0,"✓ Takes",IF(IFERROR(VLOOKUP($A48,'Whitespace Analysis'!$A:$AH,30,0),0)=1,"◎ Should","– N/A"))</f>
        <v>– N/A</v>
      </c>
      <c r="V48" s="156" t="str">
        <f>IF(COUNTIFS('Product Order Book'!$A:$A,$A48,'Product Order Book'!$E:$E,V$3)&gt;0,"✓ Takes",IF(IFERROR(VLOOKUP($A48,'Whitespace Analysis'!$A:$AH,14,0),0)=1,"◎ Should","– N/A"))</f>
        <v>✓ Takes</v>
      </c>
    </row>
    <row r="49" spans="1:22" ht="15" customHeight="1">
      <c r="A49" s="154" t="str">
        <v>Danske Commodities</v>
      </c>
      <c r="B49" s="155">
        <f>IFERROR(MIN(1,COUNTIFS('Product Order Book'!$A$2:$A$1057,$A49,'Product Order Book'!$E$2:$E$1057,B$3)/INDEX('Clean Package Product Lists'!$C:$C,MATCH(B$3,'Clean Package Product Lists'!$A:$A,0))),"")</f>
        <v>0</v>
      </c>
      <c r="C49" s="155">
        <f>IFERROR(MIN(1,COUNTIFS('Product Order Book'!$A$2:$A$1057,$A49,'Product Order Book'!$E$2:$E$1057,C$3)/INDEX('Clean Package Product Lists'!$C:$C,MATCH(C$3,'Clean Package Product Lists'!$A:$A,0))),"")</f>
        <v>0.14285714285714285</v>
      </c>
      <c r="D49" s="155">
        <f>IFERROR(MIN(1,COUNTIFS('Product Order Book'!$A$2:$A$1057,$A49,'Product Order Book'!$E$2:$E$1057,D$3)/INDEX('Clean Package Product Lists'!$C:$C,MATCH(D$3,'Clean Package Product Lists'!$A:$A,0))),"")</f>
        <v>0</v>
      </c>
      <c r="E49" s="155">
        <f>IFERROR(MIN(1,COUNTIFS('Product Order Book'!$A$2:$A$1057,$A49,'Product Order Book'!$E$2:$E$1057,E$3)/INDEX('Clean Package Product Lists'!$C:$C,MATCH(E$3,'Clean Package Product Lists'!$A:$A,0))),"")</f>
        <v>0</v>
      </c>
      <c r="F49" s="155">
        <f>IFERROR(MIN(1,COUNTIFS('Product Order Book'!$A$2:$A$1057,$A49,'Product Order Book'!$E$2:$E$1057,F$3)/INDEX('Clean Package Product Lists'!$C:$C,MATCH(F$3,'Clean Package Product Lists'!$A:$A,0))),"")</f>
        <v>0</v>
      </c>
      <c r="G49" s="155">
        <f>IFERROR(MIN(1,COUNTIFS('Product Order Book'!$A$2:$A$1057,$A49,'Product Order Book'!$E$2:$E$1057,G$3)/INDEX('Clean Package Product Lists'!$C:$C,MATCH(G$3,'Clean Package Product Lists'!$A:$A,0))),"")</f>
        <v>0</v>
      </c>
      <c r="H49" s="155">
        <f>IFERROR(MIN(1,COUNTIFS('Product Order Book'!$A$2:$A$1057,$A49,'Product Order Book'!$E$2:$E$1057,H$3)/INDEX('Clean Package Product Lists'!$C:$C,MATCH(H$3,'Clean Package Product Lists'!$A:$A,0))),"")</f>
        <v>0</v>
      </c>
      <c r="I49" s="155">
        <f>IFERROR(MIN(1,COUNTIFS('Product Order Book'!$A$2:$A$1057,$A49,'Product Order Book'!$E$2:$E$1057,I$3)/INDEX('Clean Package Product Lists'!$C:$C,MATCH(I$3,'Clean Package Product Lists'!$A:$A,0))),"")</f>
        <v>0</v>
      </c>
      <c r="J49" s="155">
        <f>IFERROR(MIN(1,COUNTIFS('Product Order Book'!$A$2:$A$1057,$A49,'Product Order Book'!$E$2:$E$1057,J$3)/INDEX('Clean Package Product Lists'!$C:$C,MATCH(J$3,'Clean Package Product Lists'!$A:$A,0))),"")</f>
        <v>0</v>
      </c>
      <c r="K49" s="155">
        <f>IFERROR(MIN(1,COUNTIFS('Product Order Book'!$A$2:$A$1057,$A49,'Product Order Book'!$E$2:$E$1057,K$3)/INDEX('Clean Package Product Lists'!$C:$C,MATCH(K$3,'Clean Package Product Lists'!$A:$A,0))),"")</f>
        <v>0</v>
      </c>
      <c r="L49" s="154"/>
      <c r="M49" s="156" t="str">
        <f>IF(COUNTIFS('Product Order Book'!$A:$A,$A49,'Product Order Book'!$E:$E,M$3)&gt;0,"✓ Takes",IF(IFERROR(VLOOKUP($A49,'Whitespace Analysis'!$A:$AH,12,0),0)=1,"◎ Should","– N/A"))</f>
        <v>◎ Should</v>
      </c>
      <c r="N49" s="156" t="str">
        <f>IF(COUNTIFS('Product Order Book'!$A:$A,$A49,'Product Order Book'!$E:$E,N$3)&gt;0,"✓ Takes",IF(IFERROR(VLOOKUP($A49,'Whitespace Analysis'!$A:$AH,20,0),0)=1,"◎ Should","– N/A"))</f>
        <v>✓ Takes</v>
      </c>
      <c r="O49" s="156" t="str">
        <f>IF(COUNTIFS('Product Order Book'!$A:$A,$A49,'Product Order Book'!$E:$E,O$3)&gt;0,"✓ Takes",IF(IFERROR(VLOOKUP($A49,'Whitespace Analysis'!$A:$AH,22,0),0)=1,"◎ Should","– N/A"))</f>
        <v>– N/A</v>
      </c>
      <c r="P49" s="156" t="str">
        <f>IF(COUNTIFS('Product Order Book'!$A:$A,$A49,'Product Order Book'!$E:$E,P$3)&gt;0,"✓ Takes",IF(IFERROR(VLOOKUP($A49,'Whitespace Analysis'!$A:$AH,24,0),0)=1,"◎ Should","– N/A"))</f>
        <v>◎ Should</v>
      </c>
      <c r="Q49" s="156" t="str">
        <f>IF(COUNTIFS('Product Order Book'!$A:$A,$A49,'Product Order Book'!$E:$E,Q$3)&gt;0,"✓ Takes",IF(IFERROR(VLOOKUP($A49,'Whitespace Analysis'!$A:$AH,26,0),0)=1,"◎ Should","– N/A"))</f>
        <v>◎ Should</v>
      </c>
      <c r="R49" s="156" t="str">
        <f>IF(COUNTIFS('Product Order Book'!$A:$A,$A49,'Product Order Book'!$E:$E,R$3)&gt;0,"✓ Takes",IF(IFERROR(VLOOKUP($A49,'Whitespace Analysis'!$A:$AH,16,0),0)=1,"◎ Should","– N/A"))</f>
        <v>◎ Should</v>
      </c>
      <c r="S49" s="156" t="str">
        <f>IF(COUNTIFS('Product Order Book'!$A:$A,$A49,'Product Order Book'!$E:$E,S$3)&gt;0,"✓ Takes",IF(IFERROR(VLOOKUP($A49,'Whitespace Analysis'!$A:$AH,18,0),0)=1,"◎ Should","– N/A"))</f>
        <v>– N/A</v>
      </c>
      <c r="T49" s="156" t="str">
        <f>IF(COUNTIFS('Product Order Book'!$A:$A,$A49,'Product Order Book'!$E:$E,T$3)&gt;0,"✓ Takes",IF(IFERROR(VLOOKUP($A49,'Whitespace Analysis'!$A:$AH,28,0),0)=1,"◎ Should","– N/A"))</f>
        <v>– N/A</v>
      </c>
      <c r="U49" s="156" t="str">
        <f>IF(COUNTIFS('Product Order Book'!$A:$A,$A49,'Product Order Book'!$E:$E,U$3)&gt;0,"✓ Takes",IF(IFERROR(VLOOKUP($A49,'Whitespace Analysis'!$A:$AH,30,0),0)=1,"◎ Should","– N/A"))</f>
        <v>– N/A</v>
      </c>
      <c r="V49" s="156" t="str">
        <f>IF(COUNTIFS('Product Order Book'!$A:$A,$A49,'Product Order Book'!$E:$E,V$3)&gt;0,"✓ Takes",IF(IFERROR(VLOOKUP($A49,'Whitespace Analysis'!$A:$AH,14,0),0)=1,"◎ Should","– N/A"))</f>
        <v>– N/A</v>
      </c>
    </row>
    <row r="50" spans="1:22" ht="15" customHeight="1">
      <c r="A50" s="154" t="str">
        <v>Department for Energy &amp; Net Zero</v>
      </c>
      <c r="B50" s="155">
        <f>IFERROR(MIN(1,COUNTIFS('Product Order Book'!$A$2:$A$1057,$A50,'Product Order Book'!$E$2:$E$1057,B$3)/INDEX('Clean Package Product Lists'!$C:$C,MATCH(B$3,'Clean Package Product Lists'!$A:$A,0))),"")</f>
        <v>1</v>
      </c>
      <c r="C50" s="155">
        <f>IFERROR(MIN(1,COUNTIFS('Product Order Book'!$A$2:$A$1057,$A50,'Product Order Book'!$E$2:$E$1057,C$3)/INDEX('Clean Package Product Lists'!$C:$C,MATCH(C$3,'Clean Package Product Lists'!$A:$A,0))),"")</f>
        <v>0</v>
      </c>
      <c r="D50" s="155">
        <f>IFERROR(MIN(1,COUNTIFS('Product Order Book'!$A$2:$A$1057,$A50,'Product Order Book'!$E$2:$E$1057,D$3)/INDEX('Clean Package Product Lists'!$C:$C,MATCH(D$3,'Clean Package Product Lists'!$A:$A,0))),"")</f>
        <v>0</v>
      </c>
      <c r="E50" s="155">
        <f>IFERROR(MIN(1,COUNTIFS('Product Order Book'!$A$2:$A$1057,$A50,'Product Order Book'!$E$2:$E$1057,E$3)/INDEX('Clean Package Product Lists'!$C:$C,MATCH(E$3,'Clean Package Product Lists'!$A:$A,0))),"")</f>
        <v>0</v>
      </c>
      <c r="F50" s="155">
        <f>IFERROR(MIN(1,COUNTIFS('Product Order Book'!$A$2:$A$1057,$A50,'Product Order Book'!$E$2:$E$1057,F$3)/INDEX('Clean Package Product Lists'!$C:$C,MATCH(F$3,'Clean Package Product Lists'!$A:$A,0))),"")</f>
        <v>0</v>
      </c>
      <c r="G50" s="155">
        <f>IFERROR(MIN(1,COUNTIFS('Product Order Book'!$A$2:$A$1057,$A50,'Product Order Book'!$E$2:$E$1057,G$3)/INDEX('Clean Package Product Lists'!$C:$C,MATCH(G$3,'Clean Package Product Lists'!$A:$A,0))),"")</f>
        <v>1</v>
      </c>
      <c r="H50" s="155">
        <f>IFERROR(MIN(1,COUNTIFS('Product Order Book'!$A$2:$A$1057,$A50,'Product Order Book'!$E$2:$E$1057,H$3)/INDEX('Clean Package Product Lists'!$C:$C,MATCH(H$3,'Clean Package Product Lists'!$A:$A,0))),"")</f>
        <v>0</v>
      </c>
      <c r="I50" s="155">
        <f>IFERROR(MIN(1,COUNTIFS('Product Order Book'!$A$2:$A$1057,$A50,'Product Order Book'!$E$2:$E$1057,I$3)/INDEX('Clean Package Product Lists'!$C:$C,MATCH(I$3,'Clean Package Product Lists'!$A:$A,0))),"")</f>
        <v>1</v>
      </c>
      <c r="J50" s="155">
        <f>IFERROR(MIN(1,COUNTIFS('Product Order Book'!$A$2:$A$1057,$A50,'Product Order Book'!$E$2:$E$1057,J$3)/INDEX('Clean Package Product Lists'!$C:$C,MATCH(J$3,'Clean Package Product Lists'!$A:$A,0))),"")</f>
        <v>0</v>
      </c>
      <c r="K50" s="155">
        <f>IFERROR(MIN(1,COUNTIFS('Product Order Book'!$A$2:$A$1057,$A50,'Product Order Book'!$E$2:$E$1057,K$3)/INDEX('Clean Package Product Lists'!$C:$C,MATCH(K$3,'Clean Package Product Lists'!$A:$A,0))),"")</f>
        <v>0</v>
      </c>
      <c r="L50" s="154"/>
      <c r="M50" s="156" t="str">
        <f>IF(COUNTIFS('Product Order Book'!$A:$A,$A50,'Product Order Book'!$E:$E,M$3)&gt;0,"✓ Takes",IF(IFERROR(VLOOKUP($A50,'Whitespace Analysis'!$A:$AH,12,0),0)=1,"◎ Should","– N/A"))</f>
        <v>✓ Takes</v>
      </c>
      <c r="N50" s="156" t="str">
        <f>IF(COUNTIFS('Product Order Book'!$A:$A,$A50,'Product Order Book'!$E:$E,N$3)&gt;0,"✓ Takes",IF(IFERROR(VLOOKUP($A50,'Whitespace Analysis'!$A:$AH,20,0),0)=1,"◎ Should","– N/A"))</f>
        <v>– N/A</v>
      </c>
      <c r="O50" s="156" t="str">
        <f>IF(COUNTIFS('Product Order Book'!$A:$A,$A50,'Product Order Book'!$E:$E,O$3)&gt;0,"✓ Takes",IF(IFERROR(VLOOKUP($A50,'Whitespace Analysis'!$A:$AH,22,0),0)=1,"◎ Should","– N/A"))</f>
        <v>– N/A</v>
      </c>
      <c r="P50" s="156" t="str">
        <f>IF(COUNTIFS('Product Order Book'!$A:$A,$A50,'Product Order Book'!$E:$E,P$3)&gt;0,"✓ Takes",IF(IFERROR(VLOOKUP($A50,'Whitespace Analysis'!$A:$AH,24,0),0)=1,"◎ Should","– N/A"))</f>
        <v>– N/A</v>
      </c>
      <c r="Q50" s="156" t="str">
        <f>IF(COUNTIFS('Product Order Book'!$A:$A,$A50,'Product Order Book'!$E:$E,Q$3)&gt;0,"✓ Takes",IF(IFERROR(VLOOKUP($A50,'Whitespace Analysis'!$A:$AH,26,0),0)=1,"◎ Should","– N/A"))</f>
        <v>– N/A</v>
      </c>
      <c r="R50" s="156" t="str">
        <f>IF(COUNTIFS('Product Order Book'!$A:$A,$A50,'Product Order Book'!$E:$E,R$3)&gt;0,"✓ Takes",IF(IFERROR(VLOOKUP($A50,'Whitespace Analysis'!$A:$AH,16,0),0)=1,"◎ Should","– N/A"))</f>
        <v>✓ Takes</v>
      </c>
      <c r="S50" s="156" t="str">
        <f>IF(COUNTIFS('Product Order Book'!$A:$A,$A50,'Product Order Book'!$E:$E,S$3)&gt;0,"✓ Takes",IF(IFERROR(VLOOKUP($A50,'Whitespace Analysis'!$A:$AH,18,0),0)=1,"◎ Should","– N/A"))</f>
        <v>– N/A</v>
      </c>
      <c r="T50" s="156" t="str">
        <f>IF(COUNTIFS('Product Order Book'!$A:$A,$A50,'Product Order Book'!$E:$E,T$3)&gt;0,"✓ Takes",IF(IFERROR(VLOOKUP($A50,'Whitespace Analysis'!$A:$AH,28,0),0)=1,"◎ Should","– N/A"))</f>
        <v>✓ Takes</v>
      </c>
      <c r="U50" s="156" t="str">
        <f>IF(COUNTIFS('Product Order Book'!$A:$A,$A50,'Product Order Book'!$E:$E,U$3)&gt;0,"✓ Takes",IF(IFERROR(VLOOKUP($A50,'Whitespace Analysis'!$A:$AH,30,0),0)=1,"◎ Should","– N/A"))</f>
        <v>– N/A</v>
      </c>
      <c r="V50" s="156" t="str">
        <f>IF(COUNTIFS('Product Order Book'!$A:$A,$A50,'Product Order Book'!$E:$E,V$3)&gt;0,"✓ Takes",IF(IFERROR(VLOOKUP($A50,'Whitespace Analysis'!$A:$AH,14,0),0)=1,"◎ Should","– N/A"))</f>
        <v>– N/A</v>
      </c>
    </row>
    <row r="51" spans="1:22" ht="15" customHeight="1">
      <c r="A51" s="154" t="str">
        <v>Department for the Economy (NI)</v>
      </c>
      <c r="B51" s="155">
        <f>IFERROR(MIN(1,COUNTIFS('Product Order Book'!$A$2:$A$1057,$A51,'Product Order Book'!$E$2:$E$1057,B$3)/INDEX('Clean Package Product Lists'!$C:$C,MATCH(B$3,'Clean Package Product Lists'!$A:$A,0))),"")</f>
        <v>0</v>
      </c>
      <c r="C51" s="155">
        <f>IFERROR(MIN(1,COUNTIFS('Product Order Book'!$A$2:$A$1057,$A51,'Product Order Book'!$E$2:$E$1057,C$3)/INDEX('Clean Package Product Lists'!$C:$C,MATCH(C$3,'Clean Package Product Lists'!$A:$A,0))),"")</f>
        <v>0</v>
      </c>
      <c r="D51" s="155">
        <f>IFERROR(MIN(1,COUNTIFS('Product Order Book'!$A$2:$A$1057,$A51,'Product Order Book'!$E$2:$E$1057,D$3)/INDEX('Clean Package Product Lists'!$C:$C,MATCH(D$3,'Clean Package Product Lists'!$A:$A,0))),"")</f>
        <v>0</v>
      </c>
      <c r="E51" s="155">
        <f>IFERROR(MIN(1,COUNTIFS('Product Order Book'!$A$2:$A$1057,$A51,'Product Order Book'!$E$2:$E$1057,E$3)/INDEX('Clean Package Product Lists'!$C:$C,MATCH(E$3,'Clean Package Product Lists'!$A:$A,0))),"")</f>
        <v>0</v>
      </c>
      <c r="F51" s="155">
        <f>IFERROR(MIN(1,COUNTIFS('Product Order Book'!$A$2:$A$1057,$A51,'Product Order Book'!$E$2:$E$1057,F$3)/INDEX('Clean Package Product Lists'!$C:$C,MATCH(F$3,'Clean Package Product Lists'!$A:$A,0))),"")</f>
        <v>0</v>
      </c>
      <c r="G51" s="155">
        <f>IFERROR(MIN(1,COUNTIFS('Product Order Book'!$A$2:$A$1057,$A51,'Product Order Book'!$E$2:$E$1057,G$3)/INDEX('Clean Package Product Lists'!$C:$C,MATCH(G$3,'Clean Package Product Lists'!$A:$A,0))),"")</f>
        <v>0</v>
      </c>
      <c r="H51" s="155">
        <f>IFERROR(MIN(1,COUNTIFS('Product Order Book'!$A$2:$A$1057,$A51,'Product Order Book'!$E$2:$E$1057,H$3)/INDEX('Clean Package Product Lists'!$C:$C,MATCH(H$3,'Clean Package Product Lists'!$A:$A,0))),"")</f>
        <v>0</v>
      </c>
      <c r="I51" s="155">
        <f>IFERROR(MIN(1,COUNTIFS('Product Order Book'!$A$2:$A$1057,$A51,'Product Order Book'!$E$2:$E$1057,I$3)/INDEX('Clean Package Product Lists'!$C:$C,MATCH(I$3,'Clean Package Product Lists'!$A:$A,0))),"")</f>
        <v>0</v>
      </c>
      <c r="J51" s="155">
        <f>IFERROR(MIN(1,COUNTIFS('Product Order Book'!$A$2:$A$1057,$A51,'Product Order Book'!$E$2:$E$1057,J$3)/INDEX('Clean Package Product Lists'!$C:$C,MATCH(J$3,'Clean Package Product Lists'!$A:$A,0))),"")</f>
        <v>0</v>
      </c>
      <c r="K51" s="155">
        <f>IFERROR(MIN(1,COUNTIFS('Product Order Book'!$A$2:$A$1057,$A51,'Product Order Book'!$E$2:$E$1057,K$3)/INDEX('Clean Package Product Lists'!$C:$C,MATCH(K$3,'Clean Package Product Lists'!$A:$A,0))),"")</f>
        <v>0</v>
      </c>
      <c r="L51" s="154"/>
      <c r="M51" s="156" t="str">
        <f>IF(COUNTIFS('Product Order Book'!$A:$A,$A51,'Product Order Book'!$E:$E,M$3)&gt;0,"✓ Takes",IF(IFERROR(VLOOKUP($A51,'Whitespace Analysis'!$A:$AH,12,0),0)=1,"◎ Should","– N/A"))</f>
        <v>– N/A</v>
      </c>
      <c r="N51" s="156" t="str">
        <f>IF(COUNTIFS('Product Order Book'!$A:$A,$A51,'Product Order Book'!$E:$E,N$3)&gt;0,"✓ Takes",IF(IFERROR(VLOOKUP($A51,'Whitespace Analysis'!$A:$AH,20,0),0)=1,"◎ Should","– N/A"))</f>
        <v>– N/A</v>
      </c>
      <c r="O51" s="156" t="str">
        <f>IF(COUNTIFS('Product Order Book'!$A:$A,$A51,'Product Order Book'!$E:$E,O$3)&gt;0,"✓ Takes",IF(IFERROR(VLOOKUP($A51,'Whitespace Analysis'!$A:$AH,22,0),0)=1,"◎ Should","– N/A"))</f>
        <v>– N/A</v>
      </c>
      <c r="P51" s="156" t="str">
        <f>IF(COUNTIFS('Product Order Book'!$A:$A,$A51,'Product Order Book'!$E:$E,P$3)&gt;0,"✓ Takes",IF(IFERROR(VLOOKUP($A51,'Whitespace Analysis'!$A:$AH,24,0),0)=1,"◎ Should","– N/A"))</f>
        <v>– N/A</v>
      </c>
      <c r="Q51" s="156" t="str">
        <f>IF(COUNTIFS('Product Order Book'!$A:$A,$A51,'Product Order Book'!$E:$E,Q$3)&gt;0,"✓ Takes",IF(IFERROR(VLOOKUP($A51,'Whitespace Analysis'!$A:$AH,26,0),0)=1,"◎ Should","– N/A"))</f>
        <v>– N/A</v>
      </c>
      <c r="R51" s="156" t="str">
        <f>IF(COUNTIFS('Product Order Book'!$A:$A,$A51,'Product Order Book'!$E:$E,R$3)&gt;0,"✓ Takes",IF(IFERROR(VLOOKUP($A51,'Whitespace Analysis'!$A:$AH,16,0),0)=1,"◎ Should","– N/A"))</f>
        <v>– N/A</v>
      </c>
      <c r="S51" s="156" t="str">
        <f>IF(COUNTIFS('Product Order Book'!$A:$A,$A51,'Product Order Book'!$E:$E,S$3)&gt;0,"✓ Takes",IF(IFERROR(VLOOKUP($A51,'Whitespace Analysis'!$A:$AH,18,0),0)=1,"◎ Should","– N/A"))</f>
        <v>– N/A</v>
      </c>
      <c r="T51" s="156" t="str">
        <f>IF(COUNTIFS('Product Order Book'!$A:$A,$A51,'Product Order Book'!$E:$E,T$3)&gt;0,"✓ Takes",IF(IFERROR(VLOOKUP($A51,'Whitespace Analysis'!$A:$AH,28,0),0)=1,"◎ Should","– N/A"))</f>
        <v>– N/A</v>
      </c>
      <c r="U51" s="156" t="str">
        <f>IF(COUNTIFS('Product Order Book'!$A:$A,$A51,'Product Order Book'!$E:$E,U$3)&gt;0,"✓ Takes",IF(IFERROR(VLOOKUP($A51,'Whitespace Analysis'!$A:$AH,30,0),0)=1,"◎ Should","– N/A"))</f>
        <v>– N/A</v>
      </c>
      <c r="V51" s="156" t="str">
        <f>IF(COUNTIFS('Product Order Book'!$A:$A,$A51,'Product Order Book'!$E:$E,V$3)&gt;0,"✓ Takes",IF(IFERROR(VLOOKUP($A51,'Whitespace Analysis'!$A:$AH,14,0),0)=1,"◎ Should","– N/A"))</f>
        <v>– N/A</v>
      </c>
    </row>
    <row r="52" spans="1:22" ht="15" customHeight="1">
      <c r="A52" s="154" t="str">
        <v>DNV Services UK Limited</v>
      </c>
      <c r="B52" s="155">
        <f>IFERROR(MIN(1,COUNTIFS('Product Order Book'!$A$2:$A$1057,$A52,'Product Order Book'!$E$2:$E$1057,B$3)/INDEX('Clean Package Product Lists'!$C:$C,MATCH(B$3,'Clean Package Product Lists'!$A:$A,0))),"")</f>
        <v>1</v>
      </c>
      <c r="C52" s="155">
        <f>IFERROR(MIN(1,COUNTIFS('Product Order Book'!$A$2:$A$1057,$A52,'Product Order Book'!$E$2:$E$1057,C$3)/INDEX('Clean Package Product Lists'!$C:$C,MATCH(C$3,'Clean Package Product Lists'!$A:$A,0))),"")</f>
        <v>0</v>
      </c>
      <c r="D52" s="155">
        <f>IFERROR(MIN(1,COUNTIFS('Product Order Book'!$A$2:$A$1057,$A52,'Product Order Book'!$E$2:$E$1057,D$3)/INDEX('Clean Package Product Lists'!$C:$C,MATCH(D$3,'Clean Package Product Lists'!$A:$A,0))),"")</f>
        <v>0</v>
      </c>
      <c r="E52" s="155">
        <f>IFERROR(MIN(1,COUNTIFS('Product Order Book'!$A$2:$A$1057,$A52,'Product Order Book'!$E$2:$E$1057,E$3)/INDEX('Clean Package Product Lists'!$C:$C,MATCH(E$3,'Clean Package Product Lists'!$A:$A,0))),"")</f>
        <v>0</v>
      </c>
      <c r="F52" s="155">
        <f>IFERROR(MIN(1,COUNTIFS('Product Order Book'!$A$2:$A$1057,$A52,'Product Order Book'!$E$2:$E$1057,F$3)/INDEX('Clean Package Product Lists'!$C:$C,MATCH(F$3,'Clean Package Product Lists'!$A:$A,0))),"")</f>
        <v>0</v>
      </c>
      <c r="G52" s="155">
        <f>IFERROR(MIN(1,COUNTIFS('Product Order Book'!$A$2:$A$1057,$A52,'Product Order Book'!$E$2:$E$1057,G$3)/INDEX('Clean Package Product Lists'!$C:$C,MATCH(G$3,'Clean Package Product Lists'!$A:$A,0))),"")</f>
        <v>0</v>
      </c>
      <c r="H52" s="155">
        <f>IFERROR(MIN(1,COUNTIFS('Product Order Book'!$A$2:$A$1057,$A52,'Product Order Book'!$E$2:$E$1057,H$3)/INDEX('Clean Package Product Lists'!$C:$C,MATCH(H$3,'Clean Package Product Lists'!$A:$A,0))),"")</f>
        <v>0</v>
      </c>
      <c r="I52" s="155">
        <f>IFERROR(MIN(1,COUNTIFS('Product Order Book'!$A$2:$A$1057,$A52,'Product Order Book'!$E$2:$E$1057,I$3)/INDEX('Clean Package Product Lists'!$C:$C,MATCH(I$3,'Clean Package Product Lists'!$A:$A,0))),"")</f>
        <v>0</v>
      </c>
      <c r="J52" s="155">
        <f>IFERROR(MIN(1,COUNTIFS('Product Order Book'!$A$2:$A$1057,$A52,'Product Order Book'!$E$2:$E$1057,J$3)/INDEX('Clean Package Product Lists'!$C:$C,MATCH(J$3,'Clean Package Product Lists'!$A:$A,0))),"")</f>
        <v>0</v>
      </c>
      <c r="K52" s="155">
        <f>IFERROR(MIN(1,COUNTIFS('Product Order Book'!$A$2:$A$1057,$A52,'Product Order Book'!$E$2:$E$1057,K$3)/INDEX('Clean Package Product Lists'!$C:$C,MATCH(K$3,'Clean Package Product Lists'!$A:$A,0))),"")</f>
        <v>0</v>
      </c>
      <c r="L52" s="154"/>
      <c r="M52" s="156" t="str">
        <f>IF(COUNTIFS('Product Order Book'!$A:$A,$A52,'Product Order Book'!$E:$E,M$3)&gt;0,"✓ Takes",IF(IFERROR(VLOOKUP($A52,'Whitespace Analysis'!$A:$AH,12,0),0)=1,"◎ Should","– N/A"))</f>
        <v>✓ Takes</v>
      </c>
      <c r="N52" s="156" t="str">
        <f>IF(COUNTIFS('Product Order Book'!$A:$A,$A52,'Product Order Book'!$E:$E,N$3)&gt;0,"✓ Takes",IF(IFERROR(VLOOKUP($A52,'Whitespace Analysis'!$A:$AH,20,0),0)=1,"◎ Should","– N/A"))</f>
        <v>– N/A</v>
      </c>
      <c r="O52" s="156" t="str">
        <f>IF(COUNTIFS('Product Order Book'!$A:$A,$A52,'Product Order Book'!$E:$E,O$3)&gt;0,"✓ Takes",IF(IFERROR(VLOOKUP($A52,'Whitespace Analysis'!$A:$AH,22,0),0)=1,"◎ Should","– N/A"))</f>
        <v>– N/A</v>
      </c>
      <c r="P52" s="156" t="str">
        <f>IF(COUNTIFS('Product Order Book'!$A:$A,$A52,'Product Order Book'!$E:$E,P$3)&gt;0,"✓ Takes",IF(IFERROR(VLOOKUP($A52,'Whitespace Analysis'!$A:$AH,24,0),0)=1,"◎ Should","– N/A"))</f>
        <v>– N/A</v>
      </c>
      <c r="Q52" s="156" t="str">
        <f>IF(COUNTIFS('Product Order Book'!$A:$A,$A52,'Product Order Book'!$E:$E,Q$3)&gt;0,"✓ Takes",IF(IFERROR(VLOOKUP($A52,'Whitespace Analysis'!$A:$AH,26,0),0)=1,"◎ Should","– N/A"))</f>
        <v>– N/A</v>
      </c>
      <c r="R52" s="156" t="str">
        <f>IF(COUNTIFS('Product Order Book'!$A:$A,$A52,'Product Order Book'!$E:$E,R$3)&gt;0,"✓ Takes",IF(IFERROR(VLOOKUP($A52,'Whitespace Analysis'!$A:$AH,16,0),0)=1,"◎ Should","– N/A"))</f>
        <v>– N/A</v>
      </c>
      <c r="S52" s="156" t="str">
        <f>IF(COUNTIFS('Product Order Book'!$A:$A,$A52,'Product Order Book'!$E:$E,S$3)&gt;0,"✓ Takes",IF(IFERROR(VLOOKUP($A52,'Whitespace Analysis'!$A:$AH,18,0),0)=1,"◎ Should","– N/A"))</f>
        <v>– N/A</v>
      </c>
      <c r="T52" s="156" t="str">
        <f>IF(COUNTIFS('Product Order Book'!$A:$A,$A52,'Product Order Book'!$E:$E,T$3)&gt;0,"✓ Takes",IF(IFERROR(VLOOKUP($A52,'Whitespace Analysis'!$A:$AH,28,0),0)=1,"◎ Should","– N/A"))</f>
        <v>– N/A</v>
      </c>
      <c r="U52" s="156" t="str">
        <f>IF(COUNTIFS('Product Order Book'!$A:$A,$A52,'Product Order Book'!$E:$E,U$3)&gt;0,"✓ Takes",IF(IFERROR(VLOOKUP($A52,'Whitespace Analysis'!$A:$AH,30,0),0)=1,"◎ Should","– N/A"))</f>
        <v>– N/A</v>
      </c>
      <c r="V52" s="156" t="str">
        <f>IF(COUNTIFS('Product Order Book'!$A:$A,$A52,'Product Order Book'!$E:$E,V$3)&gt;0,"✓ Takes",IF(IFERROR(VLOOKUP($A52,'Whitespace Analysis'!$A:$AH,14,0),0)=1,"◎ Should","– N/A"))</f>
        <v>– N/A</v>
      </c>
    </row>
    <row r="53" spans="1:22" ht="15" customHeight="1">
      <c r="A53" s="154" t="str">
        <v>Drax Corporate Limited</v>
      </c>
      <c r="B53" s="155">
        <f>IFERROR(MIN(1,COUNTIFS('Product Order Book'!$A$2:$A$1057,$A53,'Product Order Book'!$E$2:$E$1057,B$3)/INDEX('Clean Package Product Lists'!$C:$C,MATCH(B$3,'Clean Package Product Lists'!$A:$A,0))),"")</f>
        <v>1</v>
      </c>
      <c r="C53" s="155">
        <f>IFERROR(MIN(1,COUNTIFS('Product Order Book'!$A$2:$A$1057,$A53,'Product Order Book'!$E$2:$E$1057,C$3)/INDEX('Clean Package Product Lists'!$C:$C,MATCH(C$3,'Clean Package Product Lists'!$A:$A,0))),"")</f>
        <v>0.7142857142857143</v>
      </c>
      <c r="D53" s="155">
        <f>IFERROR(MIN(1,COUNTIFS('Product Order Book'!$A$2:$A$1057,$A53,'Product Order Book'!$E$2:$E$1057,D$3)/INDEX('Clean Package Product Lists'!$C:$C,MATCH(D$3,'Clean Package Product Lists'!$A:$A,0))),"")</f>
        <v>0</v>
      </c>
      <c r="E53" s="155">
        <f>IFERROR(MIN(1,COUNTIFS('Product Order Book'!$A$2:$A$1057,$A53,'Product Order Book'!$E$2:$E$1057,E$3)/INDEX('Clean Package Product Lists'!$C:$C,MATCH(E$3,'Clean Package Product Lists'!$A:$A,0))),"")</f>
        <v>0</v>
      </c>
      <c r="F53" s="155">
        <f>IFERROR(MIN(1,COUNTIFS('Product Order Book'!$A$2:$A$1057,$A53,'Product Order Book'!$E$2:$E$1057,F$3)/INDEX('Clean Package Product Lists'!$C:$C,MATCH(F$3,'Clean Package Product Lists'!$A:$A,0))),"")</f>
        <v>0</v>
      </c>
      <c r="G53" s="155">
        <f>IFERROR(MIN(1,COUNTIFS('Product Order Book'!$A$2:$A$1057,$A53,'Product Order Book'!$E$2:$E$1057,G$3)/INDEX('Clean Package Product Lists'!$C:$C,MATCH(G$3,'Clean Package Product Lists'!$A:$A,0))),"")</f>
        <v>9.0909090909090912E-2</v>
      </c>
      <c r="H53" s="155">
        <f>IFERROR(MIN(1,COUNTIFS('Product Order Book'!$A$2:$A$1057,$A53,'Product Order Book'!$E$2:$E$1057,H$3)/INDEX('Clean Package Product Lists'!$C:$C,MATCH(H$3,'Clean Package Product Lists'!$A:$A,0))),"")</f>
        <v>0</v>
      </c>
      <c r="I53" s="155">
        <f>IFERROR(MIN(1,COUNTIFS('Product Order Book'!$A$2:$A$1057,$A53,'Product Order Book'!$E$2:$E$1057,I$3)/INDEX('Clean Package Product Lists'!$C:$C,MATCH(I$3,'Clean Package Product Lists'!$A:$A,0))),"")</f>
        <v>0</v>
      </c>
      <c r="J53" s="155">
        <f>IFERROR(MIN(1,COUNTIFS('Product Order Book'!$A$2:$A$1057,$A53,'Product Order Book'!$E$2:$E$1057,J$3)/INDEX('Clean Package Product Lists'!$C:$C,MATCH(J$3,'Clean Package Product Lists'!$A:$A,0))),"")</f>
        <v>0</v>
      </c>
      <c r="K53" s="155">
        <f>IFERROR(MIN(1,COUNTIFS('Product Order Book'!$A$2:$A$1057,$A53,'Product Order Book'!$E$2:$E$1057,K$3)/INDEX('Clean Package Product Lists'!$C:$C,MATCH(K$3,'Clean Package Product Lists'!$A:$A,0))),"")</f>
        <v>0</v>
      </c>
      <c r="L53" s="154"/>
      <c r="M53" s="156" t="str">
        <f>IF(COUNTIFS('Product Order Book'!$A:$A,$A53,'Product Order Book'!$E:$E,M$3)&gt;0,"✓ Takes",IF(IFERROR(VLOOKUP($A53,'Whitespace Analysis'!$A:$AH,12,0),0)=1,"◎ Should","– N/A"))</f>
        <v>✓ Takes</v>
      </c>
      <c r="N53" s="156" t="str">
        <f>IF(COUNTIFS('Product Order Book'!$A:$A,$A53,'Product Order Book'!$E:$E,N$3)&gt;0,"✓ Takes",IF(IFERROR(VLOOKUP($A53,'Whitespace Analysis'!$A:$AH,20,0),0)=1,"◎ Should","– N/A"))</f>
        <v>✓ Takes</v>
      </c>
      <c r="O53" s="156" t="str">
        <f>IF(COUNTIFS('Product Order Book'!$A:$A,$A53,'Product Order Book'!$E:$E,O$3)&gt;0,"✓ Takes",IF(IFERROR(VLOOKUP($A53,'Whitespace Analysis'!$A:$AH,22,0),0)=1,"◎ Should","– N/A"))</f>
        <v>– N/A</v>
      </c>
      <c r="P53" s="156" t="str">
        <f>IF(COUNTIFS('Product Order Book'!$A:$A,$A53,'Product Order Book'!$E:$E,P$3)&gt;0,"✓ Takes",IF(IFERROR(VLOOKUP($A53,'Whitespace Analysis'!$A:$AH,24,0),0)=1,"◎ Should","– N/A"))</f>
        <v>◎ Should</v>
      </c>
      <c r="Q53" s="156" t="str">
        <f>IF(COUNTIFS('Product Order Book'!$A:$A,$A53,'Product Order Book'!$E:$E,Q$3)&gt;0,"✓ Takes",IF(IFERROR(VLOOKUP($A53,'Whitespace Analysis'!$A:$AH,26,0),0)=1,"◎ Should","– N/A"))</f>
        <v>◎ Should</v>
      </c>
      <c r="R53" s="156" t="str">
        <f>IF(COUNTIFS('Product Order Book'!$A:$A,$A53,'Product Order Book'!$E:$E,R$3)&gt;0,"✓ Takes",IF(IFERROR(VLOOKUP($A53,'Whitespace Analysis'!$A:$AH,16,0),0)=1,"◎ Should","– N/A"))</f>
        <v>✓ Takes</v>
      </c>
      <c r="S53" s="156" t="str">
        <f>IF(COUNTIFS('Product Order Book'!$A:$A,$A53,'Product Order Book'!$E:$E,S$3)&gt;0,"✓ Takes",IF(IFERROR(VLOOKUP($A53,'Whitespace Analysis'!$A:$AH,18,0),0)=1,"◎ Should","– N/A"))</f>
        <v>– N/A</v>
      </c>
      <c r="T53" s="156" t="str">
        <f>IF(COUNTIFS('Product Order Book'!$A:$A,$A53,'Product Order Book'!$E:$E,T$3)&gt;0,"✓ Takes",IF(IFERROR(VLOOKUP($A53,'Whitespace Analysis'!$A:$AH,28,0),0)=1,"◎ Should","– N/A"))</f>
        <v>– N/A</v>
      </c>
      <c r="U53" s="156" t="str">
        <f>IF(COUNTIFS('Product Order Book'!$A:$A,$A53,'Product Order Book'!$E:$E,U$3)&gt;0,"✓ Takes",IF(IFERROR(VLOOKUP($A53,'Whitespace Analysis'!$A:$AH,30,0),0)=1,"◎ Should","– N/A"))</f>
        <v>– N/A</v>
      </c>
      <c r="V53" s="156" t="str">
        <f>IF(COUNTIFS('Product Order Book'!$A:$A,$A53,'Product Order Book'!$E:$E,V$3)&gt;0,"✓ Takes",IF(IFERROR(VLOOKUP($A53,'Whitespace Analysis'!$A:$AH,14,0),0)=1,"◎ Should","– N/A"))</f>
        <v>◎ Should</v>
      </c>
    </row>
    <row r="54" spans="1:22" ht="15" customHeight="1">
      <c r="A54" s="154" t="str">
        <v>E.ON Energy Solutions Ltd</v>
      </c>
      <c r="B54" s="155">
        <f>IFERROR(MIN(1,COUNTIFS('Product Order Book'!$A$2:$A$1057,$A54,'Product Order Book'!$E$2:$E$1057,B$3)/INDEX('Clean Package Product Lists'!$C:$C,MATCH(B$3,'Clean Package Product Lists'!$A:$A,0))),"")</f>
        <v>1</v>
      </c>
      <c r="C54" s="155">
        <f>IFERROR(MIN(1,COUNTIFS('Product Order Book'!$A$2:$A$1057,$A54,'Product Order Book'!$E$2:$E$1057,C$3)/INDEX('Clean Package Product Lists'!$C:$C,MATCH(C$3,'Clean Package Product Lists'!$A:$A,0))),"")</f>
        <v>0</v>
      </c>
      <c r="D54" s="155">
        <f>IFERROR(MIN(1,COUNTIFS('Product Order Book'!$A$2:$A$1057,$A54,'Product Order Book'!$E$2:$E$1057,D$3)/INDEX('Clean Package Product Lists'!$C:$C,MATCH(D$3,'Clean Package Product Lists'!$A:$A,0))),"")</f>
        <v>0</v>
      </c>
      <c r="E54" s="155">
        <f>IFERROR(MIN(1,COUNTIFS('Product Order Book'!$A$2:$A$1057,$A54,'Product Order Book'!$E$2:$E$1057,E$3)/INDEX('Clean Package Product Lists'!$C:$C,MATCH(E$3,'Clean Package Product Lists'!$A:$A,0))),"")</f>
        <v>0</v>
      </c>
      <c r="F54" s="155">
        <f>IFERROR(MIN(1,COUNTIFS('Product Order Book'!$A$2:$A$1057,$A54,'Product Order Book'!$E$2:$E$1057,F$3)/INDEX('Clean Package Product Lists'!$C:$C,MATCH(F$3,'Clean Package Product Lists'!$A:$A,0))),"")</f>
        <v>0</v>
      </c>
      <c r="G54" s="155">
        <f>IFERROR(MIN(1,COUNTIFS('Product Order Book'!$A$2:$A$1057,$A54,'Product Order Book'!$E$2:$E$1057,G$3)/INDEX('Clean Package Product Lists'!$C:$C,MATCH(G$3,'Clean Package Product Lists'!$A:$A,0))),"")</f>
        <v>0.63636363636363635</v>
      </c>
      <c r="H54" s="155">
        <f>IFERROR(MIN(1,COUNTIFS('Product Order Book'!$A$2:$A$1057,$A54,'Product Order Book'!$E$2:$E$1057,H$3)/INDEX('Clean Package Product Lists'!$C:$C,MATCH(H$3,'Clean Package Product Lists'!$A:$A,0))),"")</f>
        <v>0.25</v>
      </c>
      <c r="I54" s="155">
        <f>IFERROR(MIN(1,COUNTIFS('Product Order Book'!$A$2:$A$1057,$A54,'Product Order Book'!$E$2:$E$1057,I$3)/INDEX('Clean Package Product Lists'!$C:$C,MATCH(I$3,'Clean Package Product Lists'!$A:$A,0))),"")</f>
        <v>1</v>
      </c>
      <c r="J54" s="155">
        <f>IFERROR(MIN(1,COUNTIFS('Product Order Book'!$A$2:$A$1057,$A54,'Product Order Book'!$E$2:$E$1057,J$3)/INDEX('Clean Package Product Lists'!$C:$C,MATCH(J$3,'Clean Package Product Lists'!$A:$A,0))),"")</f>
        <v>0</v>
      </c>
      <c r="K54" s="155">
        <f>IFERROR(MIN(1,COUNTIFS('Product Order Book'!$A$2:$A$1057,$A54,'Product Order Book'!$E$2:$E$1057,K$3)/INDEX('Clean Package Product Lists'!$C:$C,MATCH(K$3,'Clean Package Product Lists'!$A:$A,0))),"")</f>
        <v>0</v>
      </c>
      <c r="L54" s="154"/>
      <c r="M54" s="156" t="str">
        <f>IF(COUNTIFS('Product Order Book'!$A:$A,$A54,'Product Order Book'!$E:$E,M$3)&gt;0,"✓ Takes",IF(IFERROR(VLOOKUP($A54,'Whitespace Analysis'!$A:$AH,12,0),0)=1,"◎ Should","– N/A"))</f>
        <v>✓ Takes</v>
      </c>
      <c r="N54" s="156" t="str">
        <f>IF(COUNTIFS('Product Order Book'!$A:$A,$A54,'Product Order Book'!$E:$E,N$3)&gt;0,"✓ Takes",IF(IFERROR(VLOOKUP($A54,'Whitespace Analysis'!$A:$AH,20,0),0)=1,"◎ Should","– N/A"))</f>
        <v>– N/A</v>
      </c>
      <c r="O54" s="156" t="str">
        <f>IF(COUNTIFS('Product Order Book'!$A:$A,$A54,'Product Order Book'!$E:$E,O$3)&gt;0,"✓ Takes",IF(IFERROR(VLOOKUP($A54,'Whitespace Analysis'!$A:$AH,22,0),0)=1,"◎ Should","– N/A"))</f>
        <v>– N/A</v>
      </c>
      <c r="P54" s="156" t="str">
        <f>IF(COUNTIFS('Product Order Book'!$A:$A,$A54,'Product Order Book'!$E:$E,P$3)&gt;0,"✓ Takes",IF(IFERROR(VLOOKUP($A54,'Whitespace Analysis'!$A:$AH,24,0),0)=1,"◎ Should","– N/A"))</f>
        <v>– N/A</v>
      </c>
      <c r="Q54" s="156" t="str">
        <f>IF(COUNTIFS('Product Order Book'!$A:$A,$A54,'Product Order Book'!$E:$E,Q$3)&gt;0,"✓ Takes",IF(IFERROR(VLOOKUP($A54,'Whitespace Analysis'!$A:$AH,26,0),0)=1,"◎ Should","– N/A"))</f>
        <v>– N/A</v>
      </c>
      <c r="R54" s="156" t="str">
        <f>IF(COUNTIFS('Product Order Book'!$A:$A,$A54,'Product Order Book'!$E:$E,R$3)&gt;0,"✓ Takes",IF(IFERROR(VLOOKUP($A54,'Whitespace Analysis'!$A:$AH,16,0),0)=1,"◎ Should","– N/A"))</f>
        <v>✓ Takes</v>
      </c>
      <c r="S54" s="156" t="str">
        <f>IF(COUNTIFS('Product Order Book'!$A:$A,$A54,'Product Order Book'!$E:$E,S$3)&gt;0,"✓ Takes",IF(IFERROR(VLOOKUP($A54,'Whitespace Analysis'!$A:$AH,18,0),0)=1,"◎ Should","– N/A"))</f>
        <v>✓ Takes</v>
      </c>
      <c r="T54" s="156" t="str">
        <f>IF(COUNTIFS('Product Order Book'!$A:$A,$A54,'Product Order Book'!$E:$E,T$3)&gt;0,"✓ Takes",IF(IFERROR(VLOOKUP($A54,'Whitespace Analysis'!$A:$AH,28,0),0)=1,"◎ Should","– N/A"))</f>
        <v>✓ Takes</v>
      </c>
      <c r="U54" s="156" t="str">
        <f>IF(COUNTIFS('Product Order Book'!$A:$A,$A54,'Product Order Book'!$E:$E,U$3)&gt;0,"✓ Takes",IF(IFERROR(VLOOKUP($A54,'Whitespace Analysis'!$A:$AH,30,0),0)=1,"◎ Should","– N/A"))</f>
        <v>– N/A</v>
      </c>
      <c r="V54" s="156" t="str">
        <f>IF(COUNTIFS('Product Order Book'!$A:$A,$A54,'Product Order Book'!$E:$E,V$3)&gt;0,"✓ Takes",IF(IFERROR(VLOOKUP($A54,'Whitespace Analysis'!$A:$AH,14,0),0)=1,"◎ Should","– N/A"))</f>
        <v>– N/A</v>
      </c>
    </row>
    <row r="55" spans="1:22" ht="15" customHeight="1">
      <c r="A55" s="154" t="str">
        <v>Eastern Shires Purchasing Organisation</v>
      </c>
      <c r="B55" s="155">
        <f>IFERROR(MIN(1,COUNTIFS('Product Order Book'!$A$2:$A$1057,$A55,'Product Order Book'!$E$2:$E$1057,B$3)/INDEX('Clean Package Product Lists'!$C:$C,MATCH(B$3,'Clean Package Product Lists'!$A:$A,0))),"")</f>
        <v>0</v>
      </c>
      <c r="C55" s="155">
        <f>IFERROR(MIN(1,COUNTIFS('Product Order Book'!$A$2:$A$1057,$A55,'Product Order Book'!$E$2:$E$1057,C$3)/INDEX('Clean Package Product Lists'!$C:$C,MATCH(C$3,'Clean Package Product Lists'!$A:$A,0))),"")</f>
        <v>0</v>
      </c>
      <c r="D55" s="155">
        <f>IFERROR(MIN(1,COUNTIFS('Product Order Book'!$A$2:$A$1057,$A55,'Product Order Book'!$E$2:$E$1057,D$3)/INDEX('Clean Package Product Lists'!$C:$C,MATCH(D$3,'Clean Package Product Lists'!$A:$A,0))),"")</f>
        <v>0</v>
      </c>
      <c r="E55" s="155">
        <f>IFERROR(MIN(1,COUNTIFS('Product Order Book'!$A$2:$A$1057,$A55,'Product Order Book'!$E$2:$E$1057,E$3)/INDEX('Clean Package Product Lists'!$C:$C,MATCH(E$3,'Clean Package Product Lists'!$A:$A,0))),"")</f>
        <v>0</v>
      </c>
      <c r="F55" s="155">
        <f>IFERROR(MIN(1,COUNTIFS('Product Order Book'!$A$2:$A$1057,$A55,'Product Order Book'!$E$2:$E$1057,F$3)/INDEX('Clean Package Product Lists'!$C:$C,MATCH(F$3,'Clean Package Product Lists'!$A:$A,0))),"")</f>
        <v>0</v>
      </c>
      <c r="G55" s="155">
        <f>IFERROR(MIN(1,COUNTIFS('Product Order Book'!$A$2:$A$1057,$A55,'Product Order Book'!$E$2:$E$1057,G$3)/INDEX('Clean Package Product Lists'!$C:$C,MATCH(G$3,'Clean Package Product Lists'!$A:$A,0))),"")</f>
        <v>0</v>
      </c>
      <c r="H55" s="155">
        <f>IFERROR(MIN(1,COUNTIFS('Product Order Book'!$A$2:$A$1057,$A55,'Product Order Book'!$E$2:$E$1057,H$3)/INDEX('Clean Package Product Lists'!$C:$C,MATCH(H$3,'Clean Package Product Lists'!$A:$A,0))),"")</f>
        <v>0.25</v>
      </c>
      <c r="I55" s="155">
        <f>IFERROR(MIN(1,COUNTIFS('Product Order Book'!$A$2:$A$1057,$A55,'Product Order Book'!$E$2:$E$1057,I$3)/INDEX('Clean Package Product Lists'!$C:$C,MATCH(I$3,'Clean Package Product Lists'!$A:$A,0))),"")</f>
        <v>0</v>
      </c>
      <c r="J55" s="155">
        <f>IFERROR(MIN(1,COUNTIFS('Product Order Book'!$A$2:$A$1057,$A55,'Product Order Book'!$E$2:$E$1057,J$3)/INDEX('Clean Package Product Lists'!$C:$C,MATCH(J$3,'Clean Package Product Lists'!$A:$A,0))),"")</f>
        <v>0</v>
      </c>
      <c r="K55" s="155">
        <f>IFERROR(MIN(1,COUNTIFS('Product Order Book'!$A$2:$A$1057,$A55,'Product Order Book'!$E$2:$E$1057,K$3)/INDEX('Clean Package Product Lists'!$C:$C,MATCH(K$3,'Clean Package Product Lists'!$A:$A,0))),"")</f>
        <v>0</v>
      </c>
      <c r="L55" s="154"/>
      <c r="M55" s="156" t="str">
        <f>IF(COUNTIFS('Product Order Book'!$A:$A,$A55,'Product Order Book'!$E:$E,M$3)&gt;0,"✓ Takes",IF(IFERROR(VLOOKUP($A55,'Whitespace Analysis'!$A:$AH,12,0),0)=1,"◎ Should","– N/A"))</f>
        <v>◎ Should</v>
      </c>
      <c r="N55" s="156" t="str">
        <f>IF(COUNTIFS('Product Order Book'!$A:$A,$A55,'Product Order Book'!$E:$E,N$3)&gt;0,"✓ Takes",IF(IFERROR(VLOOKUP($A55,'Whitespace Analysis'!$A:$AH,20,0),0)=1,"◎ Should","– N/A"))</f>
        <v>– N/A</v>
      </c>
      <c r="O55" s="156" t="str">
        <f>IF(COUNTIFS('Product Order Book'!$A:$A,$A55,'Product Order Book'!$E:$E,O$3)&gt;0,"✓ Takes",IF(IFERROR(VLOOKUP($A55,'Whitespace Analysis'!$A:$AH,22,0),0)=1,"◎ Should","– N/A"))</f>
        <v>– N/A</v>
      </c>
      <c r="P55" s="156" t="str">
        <f>IF(COUNTIFS('Product Order Book'!$A:$A,$A55,'Product Order Book'!$E:$E,P$3)&gt;0,"✓ Takes",IF(IFERROR(VLOOKUP($A55,'Whitespace Analysis'!$A:$AH,24,0),0)=1,"◎ Should","– N/A"))</f>
        <v>– N/A</v>
      </c>
      <c r="Q55" s="156" t="str">
        <f>IF(COUNTIFS('Product Order Book'!$A:$A,$A55,'Product Order Book'!$E:$E,Q$3)&gt;0,"✓ Takes",IF(IFERROR(VLOOKUP($A55,'Whitespace Analysis'!$A:$AH,26,0),0)=1,"◎ Should","– N/A"))</f>
        <v>– N/A</v>
      </c>
      <c r="R55" s="156" t="str">
        <f>IF(COUNTIFS('Product Order Book'!$A:$A,$A55,'Product Order Book'!$E:$E,R$3)&gt;0,"✓ Takes",IF(IFERROR(VLOOKUP($A55,'Whitespace Analysis'!$A:$AH,16,0),0)=1,"◎ Should","– N/A"))</f>
        <v>◎ Should</v>
      </c>
      <c r="S55" s="156" t="str">
        <f>IF(COUNTIFS('Product Order Book'!$A:$A,$A55,'Product Order Book'!$E:$E,S$3)&gt;0,"✓ Takes",IF(IFERROR(VLOOKUP($A55,'Whitespace Analysis'!$A:$AH,18,0),0)=1,"◎ Should","– N/A"))</f>
        <v>✓ Takes</v>
      </c>
      <c r="T55" s="156" t="str">
        <f>IF(COUNTIFS('Product Order Book'!$A:$A,$A55,'Product Order Book'!$E:$E,T$3)&gt;0,"✓ Takes",IF(IFERROR(VLOOKUP($A55,'Whitespace Analysis'!$A:$AH,28,0),0)=1,"◎ Should","– N/A"))</f>
        <v>◎ Should</v>
      </c>
      <c r="U55" s="156" t="str">
        <f>IF(COUNTIFS('Product Order Book'!$A:$A,$A55,'Product Order Book'!$E:$E,U$3)&gt;0,"✓ Takes",IF(IFERROR(VLOOKUP($A55,'Whitespace Analysis'!$A:$AH,30,0),0)=1,"◎ Should","– N/A"))</f>
        <v>– N/A</v>
      </c>
      <c r="V55" s="156" t="str">
        <f>IF(COUNTIFS('Product Order Book'!$A:$A,$A55,'Product Order Book'!$E:$E,V$3)&gt;0,"✓ Takes",IF(IFERROR(VLOOKUP($A55,'Whitespace Analysis'!$A:$AH,14,0),0)=1,"◎ Should","– N/A"))</f>
        <v>– N/A</v>
      </c>
    </row>
    <row r="56" spans="1:22" ht="15" customHeight="1">
      <c r="A56" s="154" t="str">
        <v>Echelon Clondalkin DC Services Ltd</v>
      </c>
      <c r="B56" s="155">
        <f>IFERROR(MIN(1,COUNTIFS('Product Order Book'!$A$2:$A$1057,$A56,'Product Order Book'!$E$2:$E$1057,B$3)/INDEX('Clean Package Product Lists'!$C:$C,MATCH(B$3,'Clean Package Product Lists'!$A:$A,0))),"")</f>
        <v>0</v>
      </c>
      <c r="C56" s="155">
        <f>IFERROR(MIN(1,COUNTIFS('Product Order Book'!$A$2:$A$1057,$A56,'Product Order Book'!$E$2:$E$1057,C$3)/INDEX('Clean Package Product Lists'!$C:$C,MATCH(C$3,'Clean Package Product Lists'!$A:$A,0))),"")</f>
        <v>0</v>
      </c>
      <c r="D56" s="155">
        <f>IFERROR(MIN(1,COUNTIFS('Product Order Book'!$A$2:$A$1057,$A56,'Product Order Book'!$E$2:$E$1057,D$3)/INDEX('Clean Package Product Lists'!$C:$C,MATCH(D$3,'Clean Package Product Lists'!$A:$A,0))),"")</f>
        <v>0</v>
      </c>
      <c r="E56" s="155">
        <f>IFERROR(MIN(1,COUNTIFS('Product Order Book'!$A$2:$A$1057,$A56,'Product Order Book'!$E$2:$E$1057,E$3)/INDEX('Clean Package Product Lists'!$C:$C,MATCH(E$3,'Clean Package Product Lists'!$A:$A,0))),"")</f>
        <v>0</v>
      </c>
      <c r="F56" s="155">
        <f>IFERROR(MIN(1,COUNTIFS('Product Order Book'!$A$2:$A$1057,$A56,'Product Order Book'!$E$2:$E$1057,F$3)/INDEX('Clean Package Product Lists'!$C:$C,MATCH(F$3,'Clean Package Product Lists'!$A:$A,0))),"")</f>
        <v>0</v>
      </c>
      <c r="G56" s="155">
        <f>IFERROR(MIN(1,COUNTIFS('Product Order Book'!$A$2:$A$1057,$A56,'Product Order Book'!$E$2:$E$1057,G$3)/INDEX('Clean Package Product Lists'!$C:$C,MATCH(G$3,'Clean Package Product Lists'!$A:$A,0))),"")</f>
        <v>0</v>
      </c>
      <c r="H56" s="155">
        <f>IFERROR(MIN(1,COUNTIFS('Product Order Book'!$A$2:$A$1057,$A56,'Product Order Book'!$E$2:$E$1057,H$3)/INDEX('Clean Package Product Lists'!$C:$C,MATCH(H$3,'Clean Package Product Lists'!$A:$A,0))),"")</f>
        <v>0</v>
      </c>
      <c r="I56" s="155">
        <f>IFERROR(MIN(1,COUNTIFS('Product Order Book'!$A$2:$A$1057,$A56,'Product Order Book'!$E$2:$E$1057,I$3)/INDEX('Clean Package Product Lists'!$C:$C,MATCH(I$3,'Clean Package Product Lists'!$A:$A,0))),"")</f>
        <v>0</v>
      </c>
      <c r="J56" s="155">
        <f>IFERROR(MIN(1,COUNTIFS('Product Order Book'!$A$2:$A$1057,$A56,'Product Order Book'!$E$2:$E$1057,J$3)/INDEX('Clean Package Product Lists'!$C:$C,MATCH(J$3,'Clean Package Product Lists'!$A:$A,0))),"")</f>
        <v>0</v>
      </c>
      <c r="K56" s="155">
        <f>IFERROR(MIN(1,COUNTIFS('Product Order Book'!$A$2:$A$1057,$A56,'Product Order Book'!$E$2:$E$1057,K$3)/INDEX('Clean Package Product Lists'!$C:$C,MATCH(K$3,'Clean Package Product Lists'!$A:$A,0))),"")</f>
        <v>0</v>
      </c>
      <c r="L56" s="154"/>
      <c r="M56" s="156" t="str">
        <f>IF(COUNTIFS('Product Order Book'!$A:$A,$A56,'Product Order Book'!$E:$E,M$3)&gt;0,"✓ Takes",IF(IFERROR(VLOOKUP($A56,'Whitespace Analysis'!$A:$AH,12,0),0)=1,"◎ Should","– N/A"))</f>
        <v>– N/A</v>
      </c>
      <c r="N56" s="156" t="str">
        <f>IF(COUNTIFS('Product Order Book'!$A:$A,$A56,'Product Order Book'!$E:$E,N$3)&gt;0,"✓ Takes",IF(IFERROR(VLOOKUP($A56,'Whitespace Analysis'!$A:$AH,20,0),0)=1,"◎ Should","– N/A"))</f>
        <v>– N/A</v>
      </c>
      <c r="O56" s="156" t="str">
        <f>IF(COUNTIFS('Product Order Book'!$A:$A,$A56,'Product Order Book'!$E:$E,O$3)&gt;0,"✓ Takes",IF(IFERROR(VLOOKUP($A56,'Whitespace Analysis'!$A:$AH,22,0),0)=1,"◎ Should","– N/A"))</f>
        <v>– N/A</v>
      </c>
      <c r="P56" s="156" t="str">
        <f>IF(COUNTIFS('Product Order Book'!$A:$A,$A56,'Product Order Book'!$E:$E,P$3)&gt;0,"✓ Takes",IF(IFERROR(VLOOKUP($A56,'Whitespace Analysis'!$A:$AH,24,0),0)=1,"◎ Should","– N/A"))</f>
        <v>– N/A</v>
      </c>
      <c r="Q56" s="156" t="str">
        <f>IF(COUNTIFS('Product Order Book'!$A:$A,$A56,'Product Order Book'!$E:$E,Q$3)&gt;0,"✓ Takes",IF(IFERROR(VLOOKUP($A56,'Whitespace Analysis'!$A:$AH,26,0),0)=1,"◎ Should","– N/A"))</f>
        <v>– N/A</v>
      </c>
      <c r="R56" s="156" t="str">
        <f>IF(COUNTIFS('Product Order Book'!$A:$A,$A56,'Product Order Book'!$E:$E,R$3)&gt;0,"✓ Takes",IF(IFERROR(VLOOKUP($A56,'Whitespace Analysis'!$A:$AH,16,0),0)=1,"◎ Should","– N/A"))</f>
        <v>– N/A</v>
      </c>
      <c r="S56" s="156" t="str">
        <f>IF(COUNTIFS('Product Order Book'!$A:$A,$A56,'Product Order Book'!$E:$E,S$3)&gt;0,"✓ Takes",IF(IFERROR(VLOOKUP($A56,'Whitespace Analysis'!$A:$AH,18,0),0)=1,"◎ Should","– N/A"))</f>
        <v>– N/A</v>
      </c>
      <c r="T56" s="156" t="str">
        <f>IF(COUNTIFS('Product Order Book'!$A:$A,$A56,'Product Order Book'!$E:$E,T$3)&gt;0,"✓ Takes",IF(IFERROR(VLOOKUP($A56,'Whitespace Analysis'!$A:$AH,28,0),0)=1,"◎ Should","– N/A"))</f>
        <v>– N/A</v>
      </c>
      <c r="U56" s="156" t="str">
        <f>IF(COUNTIFS('Product Order Book'!$A:$A,$A56,'Product Order Book'!$E:$E,U$3)&gt;0,"✓ Takes",IF(IFERROR(VLOOKUP($A56,'Whitespace Analysis'!$A:$AH,30,0),0)=1,"◎ Should","– N/A"))</f>
        <v>– N/A</v>
      </c>
      <c r="V56" s="156" t="str">
        <f>IF(COUNTIFS('Product Order Book'!$A:$A,$A56,'Product Order Book'!$E:$E,V$3)&gt;0,"✓ Takes",IF(IFERROR(VLOOKUP($A56,'Whitespace Analysis'!$A:$AH,14,0),0)=1,"◎ Should","– N/A"))</f>
        <v>– N/A</v>
      </c>
    </row>
    <row r="57" spans="1:22" ht="15" customHeight="1">
      <c r="A57" s="154" t="str">
        <v>Ecotricity Group Ltd</v>
      </c>
      <c r="B57" s="155">
        <f>IFERROR(MIN(1,COUNTIFS('Product Order Book'!$A$2:$A$1057,$A57,'Product Order Book'!$E$2:$E$1057,B$3)/INDEX('Clean Package Product Lists'!$C:$C,MATCH(B$3,'Clean Package Product Lists'!$A:$A,0))),"")</f>
        <v>1</v>
      </c>
      <c r="C57" s="155">
        <f>IFERROR(MIN(1,COUNTIFS('Product Order Book'!$A$2:$A$1057,$A57,'Product Order Book'!$E$2:$E$1057,C$3)/INDEX('Clean Package Product Lists'!$C:$C,MATCH(C$3,'Clean Package Product Lists'!$A:$A,0))),"")</f>
        <v>0.7142857142857143</v>
      </c>
      <c r="D57" s="155">
        <f>IFERROR(MIN(1,COUNTIFS('Product Order Book'!$A$2:$A$1057,$A57,'Product Order Book'!$E$2:$E$1057,D$3)/INDEX('Clean Package Product Lists'!$C:$C,MATCH(D$3,'Clean Package Product Lists'!$A:$A,0))),"")</f>
        <v>0</v>
      </c>
      <c r="E57" s="155">
        <f>IFERROR(MIN(1,COUNTIFS('Product Order Book'!$A$2:$A$1057,$A57,'Product Order Book'!$E$2:$E$1057,E$3)/INDEX('Clean Package Product Lists'!$C:$C,MATCH(E$3,'Clean Package Product Lists'!$A:$A,0))),"")</f>
        <v>0</v>
      </c>
      <c r="F57" s="155">
        <f>IFERROR(MIN(1,COUNTIFS('Product Order Book'!$A$2:$A$1057,$A57,'Product Order Book'!$E$2:$E$1057,F$3)/INDEX('Clean Package Product Lists'!$C:$C,MATCH(F$3,'Clean Package Product Lists'!$A:$A,0))),"")</f>
        <v>0</v>
      </c>
      <c r="G57" s="155">
        <f>IFERROR(MIN(1,COUNTIFS('Product Order Book'!$A$2:$A$1057,$A57,'Product Order Book'!$E$2:$E$1057,G$3)/INDEX('Clean Package Product Lists'!$C:$C,MATCH(G$3,'Clean Package Product Lists'!$A:$A,0))),"")</f>
        <v>0.54545454545454541</v>
      </c>
      <c r="H57" s="155">
        <f>IFERROR(MIN(1,COUNTIFS('Product Order Book'!$A$2:$A$1057,$A57,'Product Order Book'!$E$2:$E$1057,H$3)/INDEX('Clean Package Product Lists'!$C:$C,MATCH(H$3,'Clean Package Product Lists'!$A:$A,0))),"")</f>
        <v>0</v>
      </c>
      <c r="I57" s="155">
        <f>IFERROR(MIN(1,COUNTIFS('Product Order Book'!$A$2:$A$1057,$A57,'Product Order Book'!$E$2:$E$1057,I$3)/INDEX('Clean Package Product Lists'!$C:$C,MATCH(I$3,'Clean Package Product Lists'!$A:$A,0))),"")</f>
        <v>0</v>
      </c>
      <c r="J57" s="155">
        <f>IFERROR(MIN(1,COUNTIFS('Product Order Book'!$A$2:$A$1057,$A57,'Product Order Book'!$E$2:$E$1057,J$3)/INDEX('Clean Package Product Lists'!$C:$C,MATCH(J$3,'Clean Package Product Lists'!$A:$A,0))),"")</f>
        <v>0</v>
      </c>
      <c r="K57" s="155">
        <f>IFERROR(MIN(1,COUNTIFS('Product Order Book'!$A$2:$A$1057,$A57,'Product Order Book'!$E$2:$E$1057,K$3)/INDEX('Clean Package Product Lists'!$C:$C,MATCH(K$3,'Clean Package Product Lists'!$A:$A,0))),"")</f>
        <v>1</v>
      </c>
      <c r="L57" s="154"/>
      <c r="M57" s="156" t="str">
        <f>IF(COUNTIFS('Product Order Book'!$A:$A,$A57,'Product Order Book'!$E:$E,M$3)&gt;0,"✓ Takes",IF(IFERROR(VLOOKUP($A57,'Whitespace Analysis'!$A:$AH,12,0),0)=1,"◎ Should","– N/A"))</f>
        <v>✓ Takes</v>
      </c>
      <c r="N57" s="156" t="str">
        <f>IF(COUNTIFS('Product Order Book'!$A:$A,$A57,'Product Order Book'!$E:$E,N$3)&gt;0,"✓ Takes",IF(IFERROR(VLOOKUP($A57,'Whitespace Analysis'!$A:$AH,20,0),0)=1,"◎ Should","– N/A"))</f>
        <v>✓ Takes</v>
      </c>
      <c r="O57" s="156" t="str">
        <f>IF(COUNTIFS('Product Order Book'!$A:$A,$A57,'Product Order Book'!$E:$E,O$3)&gt;0,"✓ Takes",IF(IFERROR(VLOOKUP($A57,'Whitespace Analysis'!$A:$AH,22,0),0)=1,"◎ Should","– N/A"))</f>
        <v>◎ Should</v>
      </c>
      <c r="P57" s="156" t="str">
        <f>IF(COUNTIFS('Product Order Book'!$A:$A,$A57,'Product Order Book'!$E:$E,P$3)&gt;0,"✓ Takes",IF(IFERROR(VLOOKUP($A57,'Whitespace Analysis'!$A:$AH,24,0),0)=1,"◎ Should","– N/A"))</f>
        <v>◎ Should</v>
      </c>
      <c r="Q57" s="156" t="str">
        <f>IF(COUNTIFS('Product Order Book'!$A:$A,$A57,'Product Order Book'!$E:$E,Q$3)&gt;0,"✓ Takes",IF(IFERROR(VLOOKUP($A57,'Whitespace Analysis'!$A:$AH,26,0),0)=1,"◎ Should","– N/A"))</f>
        <v>– N/A</v>
      </c>
      <c r="R57" s="156" t="str">
        <f>IF(COUNTIFS('Product Order Book'!$A:$A,$A57,'Product Order Book'!$E:$E,R$3)&gt;0,"✓ Takes",IF(IFERROR(VLOOKUP($A57,'Whitespace Analysis'!$A:$AH,16,0),0)=1,"◎ Should","– N/A"))</f>
        <v>✓ Takes</v>
      </c>
      <c r="S57" s="156" t="str">
        <f>IF(COUNTIFS('Product Order Book'!$A:$A,$A57,'Product Order Book'!$E:$E,S$3)&gt;0,"✓ Takes",IF(IFERROR(VLOOKUP($A57,'Whitespace Analysis'!$A:$AH,18,0),0)=1,"◎ Should","– N/A"))</f>
        <v>◎ Should</v>
      </c>
      <c r="T57" s="156" t="str">
        <f>IF(COUNTIFS('Product Order Book'!$A:$A,$A57,'Product Order Book'!$E:$E,T$3)&gt;0,"✓ Takes",IF(IFERROR(VLOOKUP($A57,'Whitespace Analysis'!$A:$AH,28,0),0)=1,"◎ Should","– N/A"))</f>
        <v>– N/A</v>
      </c>
      <c r="U57" s="156" t="str">
        <f>IF(COUNTIFS('Product Order Book'!$A:$A,$A57,'Product Order Book'!$E:$E,U$3)&gt;0,"✓ Takes",IF(IFERROR(VLOOKUP($A57,'Whitespace Analysis'!$A:$AH,30,0),0)=1,"◎ Should","– N/A"))</f>
        <v>– N/A</v>
      </c>
      <c r="V57" s="156" t="str">
        <f>IF(COUNTIFS('Product Order Book'!$A:$A,$A57,'Product Order Book'!$E:$E,V$3)&gt;0,"✓ Takes",IF(IFERROR(VLOOKUP($A57,'Whitespace Analysis'!$A:$AH,14,0),0)=1,"◎ Should","– N/A"))</f>
        <v>✓ Takes</v>
      </c>
    </row>
    <row r="58" spans="1:22" ht="15" customHeight="1">
      <c r="A58" s="154" t="str">
        <v>EDF Energy Customers Limited</v>
      </c>
      <c r="B58" s="155">
        <f>IFERROR(MIN(1,COUNTIFS('Product Order Book'!$A$2:$A$1057,$A58,'Product Order Book'!$E$2:$E$1057,B$3)/INDEX('Clean Package Product Lists'!$C:$C,MATCH(B$3,'Clean Package Product Lists'!$A:$A,0))),"")</f>
        <v>1</v>
      </c>
      <c r="C58" s="155">
        <f>IFERROR(MIN(1,COUNTIFS('Product Order Book'!$A$2:$A$1057,$A58,'Product Order Book'!$E$2:$E$1057,C$3)/INDEX('Clean Package Product Lists'!$C:$C,MATCH(C$3,'Clean Package Product Lists'!$A:$A,0))),"")</f>
        <v>1</v>
      </c>
      <c r="D58" s="155">
        <f>IFERROR(MIN(1,COUNTIFS('Product Order Book'!$A$2:$A$1057,$A58,'Product Order Book'!$E$2:$E$1057,D$3)/INDEX('Clean Package Product Lists'!$C:$C,MATCH(D$3,'Clean Package Product Lists'!$A:$A,0))),"")</f>
        <v>0</v>
      </c>
      <c r="E58" s="155">
        <f>IFERROR(MIN(1,COUNTIFS('Product Order Book'!$A$2:$A$1057,$A58,'Product Order Book'!$E$2:$E$1057,E$3)/INDEX('Clean Package Product Lists'!$C:$C,MATCH(E$3,'Clean Package Product Lists'!$A:$A,0))),"")</f>
        <v>1</v>
      </c>
      <c r="F58" s="155">
        <f>IFERROR(MIN(1,COUNTIFS('Product Order Book'!$A$2:$A$1057,$A58,'Product Order Book'!$E$2:$E$1057,F$3)/INDEX('Clean Package Product Lists'!$C:$C,MATCH(F$3,'Clean Package Product Lists'!$A:$A,0))),"")</f>
        <v>0</v>
      </c>
      <c r="G58" s="155">
        <f>IFERROR(MIN(1,COUNTIFS('Product Order Book'!$A$2:$A$1057,$A58,'Product Order Book'!$E$2:$E$1057,G$3)/INDEX('Clean Package Product Lists'!$C:$C,MATCH(G$3,'Clean Package Product Lists'!$A:$A,0))),"")</f>
        <v>1</v>
      </c>
      <c r="H58" s="155">
        <f>IFERROR(MIN(1,COUNTIFS('Product Order Book'!$A$2:$A$1057,$A58,'Product Order Book'!$E$2:$E$1057,H$3)/INDEX('Clean Package Product Lists'!$C:$C,MATCH(H$3,'Clean Package Product Lists'!$A:$A,0))),"")</f>
        <v>1</v>
      </c>
      <c r="I58" s="155">
        <f>IFERROR(MIN(1,COUNTIFS('Product Order Book'!$A$2:$A$1057,$A58,'Product Order Book'!$E$2:$E$1057,I$3)/INDEX('Clean Package Product Lists'!$C:$C,MATCH(I$3,'Clean Package Product Lists'!$A:$A,0))),"")</f>
        <v>1</v>
      </c>
      <c r="J58" s="155">
        <f>IFERROR(MIN(1,COUNTIFS('Product Order Book'!$A$2:$A$1057,$A58,'Product Order Book'!$E$2:$E$1057,J$3)/INDEX('Clean Package Product Lists'!$C:$C,MATCH(J$3,'Clean Package Product Lists'!$A:$A,0))),"")</f>
        <v>0</v>
      </c>
      <c r="K58" s="155">
        <f>IFERROR(MIN(1,COUNTIFS('Product Order Book'!$A$2:$A$1057,$A58,'Product Order Book'!$E$2:$E$1057,K$3)/INDEX('Clean Package Product Lists'!$C:$C,MATCH(K$3,'Clean Package Product Lists'!$A:$A,0))),"")</f>
        <v>0</v>
      </c>
      <c r="L58" s="154"/>
      <c r="M58" s="156" t="str">
        <f>IF(COUNTIFS('Product Order Book'!$A:$A,$A58,'Product Order Book'!$E:$E,M$3)&gt;0,"✓ Takes",IF(IFERROR(VLOOKUP($A58,'Whitespace Analysis'!$A:$AH,12,0),0)=1,"◎ Should","– N/A"))</f>
        <v>✓ Takes</v>
      </c>
      <c r="N58" s="156" t="str">
        <f>IF(COUNTIFS('Product Order Book'!$A:$A,$A58,'Product Order Book'!$E:$E,N$3)&gt;0,"✓ Takes",IF(IFERROR(VLOOKUP($A58,'Whitespace Analysis'!$A:$AH,20,0),0)=1,"◎ Should","– N/A"))</f>
        <v>✓ Takes</v>
      </c>
      <c r="O58" s="156" t="str">
        <f>IF(COUNTIFS('Product Order Book'!$A:$A,$A58,'Product Order Book'!$E:$E,O$3)&gt;0,"✓ Takes",IF(IFERROR(VLOOKUP($A58,'Whitespace Analysis'!$A:$AH,22,0),0)=1,"◎ Should","– N/A"))</f>
        <v>– N/A</v>
      </c>
      <c r="P58" s="156" t="str">
        <f>IF(COUNTIFS('Product Order Book'!$A:$A,$A58,'Product Order Book'!$E:$E,P$3)&gt;0,"✓ Takes",IF(IFERROR(VLOOKUP($A58,'Whitespace Analysis'!$A:$AH,24,0),0)=1,"◎ Should","– N/A"))</f>
        <v>✓ Takes</v>
      </c>
      <c r="Q58" s="156" t="str">
        <f>IF(COUNTIFS('Product Order Book'!$A:$A,$A58,'Product Order Book'!$E:$E,Q$3)&gt;0,"✓ Takes",IF(IFERROR(VLOOKUP($A58,'Whitespace Analysis'!$A:$AH,26,0),0)=1,"◎ Should","– N/A"))</f>
        <v>– N/A</v>
      </c>
      <c r="R58" s="156" t="str">
        <f>IF(COUNTIFS('Product Order Book'!$A:$A,$A58,'Product Order Book'!$E:$E,R$3)&gt;0,"✓ Takes",IF(IFERROR(VLOOKUP($A58,'Whitespace Analysis'!$A:$AH,16,0),0)=1,"◎ Should","– N/A"))</f>
        <v>✓ Takes</v>
      </c>
      <c r="S58" s="156" t="str">
        <f>IF(COUNTIFS('Product Order Book'!$A:$A,$A58,'Product Order Book'!$E:$E,S$3)&gt;0,"✓ Takes",IF(IFERROR(VLOOKUP($A58,'Whitespace Analysis'!$A:$AH,18,0),0)=1,"◎ Should","– N/A"))</f>
        <v>✓ Takes</v>
      </c>
      <c r="T58" s="156" t="str">
        <f>IF(COUNTIFS('Product Order Book'!$A:$A,$A58,'Product Order Book'!$E:$E,T$3)&gt;0,"✓ Takes",IF(IFERROR(VLOOKUP($A58,'Whitespace Analysis'!$A:$AH,28,0),0)=1,"◎ Should","– N/A"))</f>
        <v>✓ Takes</v>
      </c>
      <c r="U58" s="156" t="str">
        <f>IF(COUNTIFS('Product Order Book'!$A:$A,$A58,'Product Order Book'!$E:$E,U$3)&gt;0,"✓ Takes",IF(IFERROR(VLOOKUP($A58,'Whitespace Analysis'!$A:$AH,30,0),0)=1,"◎ Should","– N/A"))</f>
        <v>– N/A</v>
      </c>
      <c r="V58" s="156" t="str">
        <f>IF(COUNTIFS('Product Order Book'!$A:$A,$A58,'Product Order Book'!$E:$E,V$3)&gt;0,"✓ Takes",IF(IFERROR(VLOOKUP($A58,'Whitespace Analysis'!$A:$AH,14,0),0)=1,"◎ Should","– N/A"))</f>
        <v>◎ Should</v>
      </c>
    </row>
    <row r="59" spans="1:22" ht="15" customHeight="1">
      <c r="A59" s="154" t="str">
        <v>EDF Power Solutions UK and Ireland</v>
      </c>
      <c r="B59" s="155">
        <f>IFERROR(MIN(1,COUNTIFS('Product Order Book'!$A$2:$A$1057,$A59,'Product Order Book'!$E$2:$E$1057,B$3)/INDEX('Clean Package Product Lists'!$C:$C,MATCH(B$3,'Clean Package Product Lists'!$A:$A,0))),"")</f>
        <v>1</v>
      </c>
      <c r="C59" s="155">
        <f>IFERROR(MIN(1,COUNTIFS('Product Order Book'!$A$2:$A$1057,$A59,'Product Order Book'!$E$2:$E$1057,C$3)/INDEX('Clean Package Product Lists'!$C:$C,MATCH(C$3,'Clean Package Product Lists'!$A:$A,0))),"")</f>
        <v>1</v>
      </c>
      <c r="D59" s="155">
        <f>IFERROR(MIN(1,COUNTIFS('Product Order Book'!$A$2:$A$1057,$A59,'Product Order Book'!$E$2:$E$1057,D$3)/INDEX('Clean Package Product Lists'!$C:$C,MATCH(D$3,'Clean Package Product Lists'!$A:$A,0))),"")</f>
        <v>0</v>
      </c>
      <c r="E59" s="155">
        <f>IFERROR(MIN(1,COUNTIFS('Product Order Book'!$A$2:$A$1057,$A59,'Product Order Book'!$E$2:$E$1057,E$3)/INDEX('Clean Package Product Lists'!$C:$C,MATCH(E$3,'Clean Package Product Lists'!$A:$A,0))),"")</f>
        <v>0.5</v>
      </c>
      <c r="F59" s="155">
        <f>IFERROR(MIN(1,COUNTIFS('Product Order Book'!$A$2:$A$1057,$A59,'Product Order Book'!$E$2:$E$1057,F$3)/INDEX('Clean Package Product Lists'!$C:$C,MATCH(F$3,'Clean Package Product Lists'!$A:$A,0))),"")</f>
        <v>0</v>
      </c>
      <c r="G59" s="155">
        <f>IFERROR(MIN(1,COUNTIFS('Product Order Book'!$A$2:$A$1057,$A59,'Product Order Book'!$E$2:$E$1057,G$3)/INDEX('Clean Package Product Lists'!$C:$C,MATCH(G$3,'Clean Package Product Lists'!$A:$A,0))),"")</f>
        <v>9.0909090909090912E-2</v>
      </c>
      <c r="H59" s="155">
        <f>IFERROR(MIN(1,COUNTIFS('Product Order Book'!$A$2:$A$1057,$A59,'Product Order Book'!$E$2:$E$1057,H$3)/INDEX('Clean Package Product Lists'!$C:$C,MATCH(H$3,'Clean Package Product Lists'!$A:$A,0))),"")</f>
        <v>0</v>
      </c>
      <c r="I59" s="155">
        <f>IFERROR(MIN(1,COUNTIFS('Product Order Book'!$A$2:$A$1057,$A59,'Product Order Book'!$E$2:$E$1057,I$3)/INDEX('Clean Package Product Lists'!$C:$C,MATCH(I$3,'Clean Package Product Lists'!$A:$A,0))),"")</f>
        <v>0</v>
      </c>
      <c r="J59" s="155">
        <f>IFERROR(MIN(1,COUNTIFS('Product Order Book'!$A$2:$A$1057,$A59,'Product Order Book'!$E$2:$E$1057,J$3)/INDEX('Clean Package Product Lists'!$C:$C,MATCH(J$3,'Clean Package Product Lists'!$A:$A,0))),"")</f>
        <v>0</v>
      </c>
      <c r="K59" s="155">
        <f>IFERROR(MIN(1,COUNTIFS('Product Order Book'!$A$2:$A$1057,$A59,'Product Order Book'!$E$2:$E$1057,K$3)/INDEX('Clean Package Product Lists'!$C:$C,MATCH(K$3,'Clean Package Product Lists'!$A:$A,0))),"")</f>
        <v>0</v>
      </c>
      <c r="L59" s="154"/>
      <c r="M59" s="156" t="str">
        <f>IF(COUNTIFS('Product Order Book'!$A:$A,$A59,'Product Order Book'!$E:$E,M$3)&gt;0,"✓ Takes",IF(IFERROR(VLOOKUP($A59,'Whitespace Analysis'!$A:$AH,12,0),0)=1,"◎ Should","– N/A"))</f>
        <v>✓ Takes</v>
      </c>
      <c r="N59" s="156" t="str">
        <f>IF(COUNTIFS('Product Order Book'!$A:$A,$A59,'Product Order Book'!$E:$E,N$3)&gt;0,"✓ Takes",IF(IFERROR(VLOOKUP($A59,'Whitespace Analysis'!$A:$AH,20,0),0)=1,"◎ Should","– N/A"))</f>
        <v>✓ Takes</v>
      </c>
      <c r="O59" s="156" t="str">
        <f>IF(COUNTIFS('Product Order Book'!$A:$A,$A59,'Product Order Book'!$E:$E,O$3)&gt;0,"✓ Takes",IF(IFERROR(VLOOKUP($A59,'Whitespace Analysis'!$A:$AH,22,0),0)=1,"◎ Should","– N/A"))</f>
        <v>◎ Should</v>
      </c>
      <c r="P59" s="156" t="str">
        <f>IF(COUNTIFS('Product Order Book'!$A:$A,$A59,'Product Order Book'!$E:$E,P$3)&gt;0,"✓ Takes",IF(IFERROR(VLOOKUP($A59,'Whitespace Analysis'!$A:$AH,24,0),0)=1,"◎ Should","– N/A"))</f>
        <v>✓ Takes</v>
      </c>
      <c r="Q59" s="156" t="str">
        <f>IF(COUNTIFS('Product Order Book'!$A:$A,$A59,'Product Order Book'!$E:$E,Q$3)&gt;0,"✓ Takes",IF(IFERROR(VLOOKUP($A59,'Whitespace Analysis'!$A:$AH,26,0),0)=1,"◎ Should","– N/A"))</f>
        <v>◎ Should</v>
      </c>
      <c r="R59" s="156" t="str">
        <f>IF(COUNTIFS('Product Order Book'!$A:$A,$A59,'Product Order Book'!$E:$E,R$3)&gt;0,"✓ Takes",IF(IFERROR(VLOOKUP($A59,'Whitespace Analysis'!$A:$AH,16,0),0)=1,"◎ Should","– N/A"))</f>
        <v>✓ Takes</v>
      </c>
      <c r="S59" s="156" t="str">
        <f>IF(COUNTIFS('Product Order Book'!$A:$A,$A59,'Product Order Book'!$E:$E,S$3)&gt;0,"✓ Takes",IF(IFERROR(VLOOKUP($A59,'Whitespace Analysis'!$A:$AH,18,0),0)=1,"◎ Should","– N/A"))</f>
        <v>◎ Should</v>
      </c>
      <c r="T59" s="156" t="str">
        <f>IF(COUNTIFS('Product Order Book'!$A:$A,$A59,'Product Order Book'!$E:$E,T$3)&gt;0,"✓ Takes",IF(IFERROR(VLOOKUP($A59,'Whitespace Analysis'!$A:$AH,28,0),0)=1,"◎ Should","– N/A"))</f>
        <v>– N/A</v>
      </c>
      <c r="U59" s="156" t="str">
        <f>IF(COUNTIFS('Product Order Book'!$A:$A,$A59,'Product Order Book'!$E:$E,U$3)&gt;0,"✓ Takes",IF(IFERROR(VLOOKUP($A59,'Whitespace Analysis'!$A:$AH,30,0),0)=1,"◎ Should","– N/A"))</f>
        <v>– N/A</v>
      </c>
      <c r="V59" s="156" t="str">
        <f>IF(COUNTIFS('Product Order Book'!$A:$A,$A59,'Product Order Book'!$E:$E,V$3)&gt;0,"✓ Takes",IF(IFERROR(VLOOKUP($A59,'Whitespace Analysis'!$A:$AH,14,0),0)=1,"◎ Should","– N/A"))</f>
        <v>◎ Should</v>
      </c>
    </row>
    <row r="60" spans="1:22" ht="15" customHeight="1">
      <c r="A60" s="154" t="str">
        <v>EDW Technology Ltd</v>
      </c>
      <c r="B60" s="155">
        <f>IFERROR(MIN(1,COUNTIFS('Product Order Book'!$A$2:$A$1057,$A60,'Product Order Book'!$E$2:$E$1057,B$3)/INDEX('Clean Package Product Lists'!$C:$C,MATCH(B$3,'Clean Package Product Lists'!$A:$A,0))),"")</f>
        <v>1</v>
      </c>
      <c r="C60" s="155">
        <f>IFERROR(MIN(1,COUNTIFS('Product Order Book'!$A$2:$A$1057,$A60,'Product Order Book'!$E$2:$E$1057,C$3)/INDEX('Clean Package Product Lists'!$C:$C,MATCH(C$3,'Clean Package Product Lists'!$A:$A,0))),"")</f>
        <v>0</v>
      </c>
      <c r="D60" s="155">
        <f>IFERROR(MIN(1,COUNTIFS('Product Order Book'!$A$2:$A$1057,$A60,'Product Order Book'!$E$2:$E$1057,D$3)/INDEX('Clean Package Product Lists'!$C:$C,MATCH(D$3,'Clean Package Product Lists'!$A:$A,0))),"")</f>
        <v>0</v>
      </c>
      <c r="E60" s="155">
        <f>IFERROR(MIN(1,COUNTIFS('Product Order Book'!$A$2:$A$1057,$A60,'Product Order Book'!$E$2:$E$1057,E$3)/INDEX('Clean Package Product Lists'!$C:$C,MATCH(E$3,'Clean Package Product Lists'!$A:$A,0))),"")</f>
        <v>0</v>
      </c>
      <c r="F60" s="155">
        <f>IFERROR(MIN(1,COUNTIFS('Product Order Book'!$A$2:$A$1057,$A60,'Product Order Book'!$E$2:$E$1057,F$3)/INDEX('Clean Package Product Lists'!$C:$C,MATCH(F$3,'Clean Package Product Lists'!$A:$A,0))),"")</f>
        <v>0</v>
      </c>
      <c r="G60" s="155">
        <f>IFERROR(MIN(1,COUNTIFS('Product Order Book'!$A$2:$A$1057,$A60,'Product Order Book'!$E$2:$E$1057,G$3)/INDEX('Clean Package Product Lists'!$C:$C,MATCH(G$3,'Clean Package Product Lists'!$A:$A,0))),"")</f>
        <v>0</v>
      </c>
      <c r="H60" s="155">
        <f>IFERROR(MIN(1,COUNTIFS('Product Order Book'!$A$2:$A$1057,$A60,'Product Order Book'!$E$2:$E$1057,H$3)/INDEX('Clean Package Product Lists'!$C:$C,MATCH(H$3,'Clean Package Product Lists'!$A:$A,0))),"")</f>
        <v>0</v>
      </c>
      <c r="I60" s="155">
        <f>IFERROR(MIN(1,COUNTIFS('Product Order Book'!$A$2:$A$1057,$A60,'Product Order Book'!$E$2:$E$1057,I$3)/INDEX('Clean Package Product Lists'!$C:$C,MATCH(I$3,'Clean Package Product Lists'!$A:$A,0))),"")</f>
        <v>0</v>
      </c>
      <c r="J60" s="155">
        <f>IFERROR(MIN(1,COUNTIFS('Product Order Book'!$A$2:$A$1057,$A60,'Product Order Book'!$E$2:$E$1057,J$3)/INDEX('Clean Package Product Lists'!$C:$C,MATCH(J$3,'Clean Package Product Lists'!$A:$A,0))),"")</f>
        <v>0</v>
      </c>
      <c r="K60" s="155">
        <f>IFERROR(MIN(1,COUNTIFS('Product Order Book'!$A$2:$A$1057,$A60,'Product Order Book'!$E$2:$E$1057,K$3)/INDEX('Clean Package Product Lists'!$C:$C,MATCH(K$3,'Clean Package Product Lists'!$A:$A,0))),"")</f>
        <v>0</v>
      </c>
      <c r="L60" s="154"/>
      <c r="M60" s="156" t="str">
        <f>IF(COUNTIFS('Product Order Book'!$A:$A,$A60,'Product Order Book'!$E:$E,M$3)&gt;0,"✓ Takes",IF(IFERROR(VLOOKUP($A60,'Whitespace Analysis'!$A:$AH,12,0),0)=1,"◎ Should","– N/A"))</f>
        <v>✓ Takes</v>
      </c>
      <c r="N60" s="156" t="str">
        <f>IF(COUNTIFS('Product Order Book'!$A:$A,$A60,'Product Order Book'!$E:$E,N$3)&gt;0,"✓ Takes",IF(IFERROR(VLOOKUP($A60,'Whitespace Analysis'!$A:$AH,20,0),0)=1,"◎ Should","– N/A"))</f>
        <v>– N/A</v>
      </c>
      <c r="O60" s="156" t="str">
        <f>IF(COUNTIFS('Product Order Book'!$A:$A,$A60,'Product Order Book'!$E:$E,O$3)&gt;0,"✓ Takes",IF(IFERROR(VLOOKUP($A60,'Whitespace Analysis'!$A:$AH,22,0),0)=1,"◎ Should","– N/A"))</f>
        <v>– N/A</v>
      </c>
      <c r="P60" s="156" t="str">
        <f>IF(COUNTIFS('Product Order Book'!$A:$A,$A60,'Product Order Book'!$E:$E,P$3)&gt;0,"✓ Takes",IF(IFERROR(VLOOKUP($A60,'Whitespace Analysis'!$A:$AH,24,0),0)=1,"◎ Should","– N/A"))</f>
        <v>– N/A</v>
      </c>
      <c r="Q60" s="156" t="str">
        <f>IF(COUNTIFS('Product Order Book'!$A:$A,$A60,'Product Order Book'!$E:$E,Q$3)&gt;0,"✓ Takes",IF(IFERROR(VLOOKUP($A60,'Whitespace Analysis'!$A:$AH,26,0),0)=1,"◎ Should","– N/A"))</f>
        <v>– N/A</v>
      </c>
      <c r="R60" s="156" t="str">
        <f>IF(COUNTIFS('Product Order Book'!$A:$A,$A60,'Product Order Book'!$E:$E,R$3)&gt;0,"✓ Takes",IF(IFERROR(VLOOKUP($A60,'Whitespace Analysis'!$A:$AH,16,0),0)=1,"◎ Should","– N/A"))</f>
        <v>◎ Should</v>
      </c>
      <c r="S60" s="156" t="str">
        <f>IF(COUNTIFS('Product Order Book'!$A:$A,$A60,'Product Order Book'!$E:$E,S$3)&gt;0,"✓ Takes",IF(IFERROR(VLOOKUP($A60,'Whitespace Analysis'!$A:$AH,18,0),0)=1,"◎ Should","– N/A"))</f>
        <v>◎ Should</v>
      </c>
      <c r="T60" s="156" t="str">
        <f>IF(COUNTIFS('Product Order Book'!$A:$A,$A60,'Product Order Book'!$E:$E,T$3)&gt;0,"✓ Takes",IF(IFERROR(VLOOKUP($A60,'Whitespace Analysis'!$A:$AH,28,0),0)=1,"◎ Should","– N/A"))</f>
        <v>◎ Should</v>
      </c>
      <c r="U60" s="156" t="str">
        <f>IF(COUNTIFS('Product Order Book'!$A:$A,$A60,'Product Order Book'!$E:$E,U$3)&gt;0,"✓ Takes",IF(IFERROR(VLOOKUP($A60,'Whitespace Analysis'!$A:$AH,30,0),0)=1,"◎ Should","– N/A"))</f>
        <v>– N/A</v>
      </c>
      <c r="V60" s="156" t="str">
        <f>IF(COUNTIFS('Product Order Book'!$A:$A,$A60,'Product Order Book'!$E:$E,V$3)&gt;0,"✓ Takes",IF(IFERROR(VLOOKUP($A60,'Whitespace Analysis'!$A:$AH,14,0),0)=1,"◎ Should","– N/A"))</f>
        <v>◎ Should</v>
      </c>
    </row>
    <row r="61" spans="1:22" ht="15" customHeight="1">
      <c r="A61" s="154" t="str">
        <v>Eku Energy Ltd</v>
      </c>
      <c r="B61" s="155">
        <f>IFERROR(MIN(1,COUNTIFS('Product Order Book'!$A$2:$A$1057,$A61,'Product Order Book'!$E$2:$E$1057,B$3)/INDEX('Clean Package Product Lists'!$C:$C,MATCH(B$3,'Clean Package Product Lists'!$A:$A,0))),"")</f>
        <v>0</v>
      </c>
      <c r="C61" s="155">
        <f>IFERROR(MIN(1,COUNTIFS('Product Order Book'!$A$2:$A$1057,$A61,'Product Order Book'!$E$2:$E$1057,C$3)/INDEX('Clean Package Product Lists'!$C:$C,MATCH(C$3,'Clean Package Product Lists'!$A:$A,0))),"")</f>
        <v>0</v>
      </c>
      <c r="D61" s="155">
        <f>IFERROR(MIN(1,COUNTIFS('Product Order Book'!$A$2:$A$1057,$A61,'Product Order Book'!$E$2:$E$1057,D$3)/INDEX('Clean Package Product Lists'!$C:$C,MATCH(D$3,'Clean Package Product Lists'!$A:$A,0))),"")</f>
        <v>0</v>
      </c>
      <c r="E61" s="155">
        <f>IFERROR(MIN(1,COUNTIFS('Product Order Book'!$A$2:$A$1057,$A61,'Product Order Book'!$E$2:$E$1057,E$3)/INDEX('Clean Package Product Lists'!$C:$C,MATCH(E$3,'Clean Package Product Lists'!$A:$A,0))),"")</f>
        <v>0.25</v>
      </c>
      <c r="F61" s="155">
        <f>IFERROR(MIN(1,COUNTIFS('Product Order Book'!$A$2:$A$1057,$A61,'Product Order Book'!$E$2:$E$1057,F$3)/INDEX('Clean Package Product Lists'!$C:$C,MATCH(F$3,'Clean Package Product Lists'!$A:$A,0))),"")</f>
        <v>0</v>
      </c>
      <c r="G61" s="155">
        <f>IFERROR(MIN(1,COUNTIFS('Product Order Book'!$A$2:$A$1057,$A61,'Product Order Book'!$E$2:$E$1057,G$3)/INDEX('Clean Package Product Lists'!$C:$C,MATCH(G$3,'Clean Package Product Lists'!$A:$A,0))),"")</f>
        <v>0</v>
      </c>
      <c r="H61" s="155">
        <f>IFERROR(MIN(1,COUNTIFS('Product Order Book'!$A$2:$A$1057,$A61,'Product Order Book'!$E$2:$E$1057,H$3)/INDEX('Clean Package Product Lists'!$C:$C,MATCH(H$3,'Clean Package Product Lists'!$A:$A,0))),"")</f>
        <v>0</v>
      </c>
      <c r="I61" s="155">
        <f>IFERROR(MIN(1,COUNTIFS('Product Order Book'!$A$2:$A$1057,$A61,'Product Order Book'!$E$2:$E$1057,I$3)/INDEX('Clean Package Product Lists'!$C:$C,MATCH(I$3,'Clean Package Product Lists'!$A:$A,0))),"")</f>
        <v>0</v>
      </c>
      <c r="J61" s="155">
        <f>IFERROR(MIN(1,COUNTIFS('Product Order Book'!$A$2:$A$1057,$A61,'Product Order Book'!$E$2:$E$1057,J$3)/INDEX('Clean Package Product Lists'!$C:$C,MATCH(J$3,'Clean Package Product Lists'!$A:$A,0))),"")</f>
        <v>0</v>
      </c>
      <c r="K61" s="155">
        <f>IFERROR(MIN(1,COUNTIFS('Product Order Book'!$A$2:$A$1057,$A61,'Product Order Book'!$E$2:$E$1057,K$3)/INDEX('Clean Package Product Lists'!$C:$C,MATCH(K$3,'Clean Package Product Lists'!$A:$A,0))),"")</f>
        <v>0</v>
      </c>
      <c r="L61" s="154"/>
      <c r="M61" s="156" t="str">
        <f>IF(COUNTIFS('Product Order Book'!$A:$A,$A61,'Product Order Book'!$E:$E,M$3)&gt;0,"✓ Takes",IF(IFERROR(VLOOKUP($A61,'Whitespace Analysis'!$A:$AH,12,0),0)=1,"◎ Should","– N/A"))</f>
        <v>◎ Should</v>
      </c>
      <c r="N61" s="156" t="str">
        <f>IF(COUNTIFS('Product Order Book'!$A:$A,$A61,'Product Order Book'!$E:$E,N$3)&gt;0,"✓ Takes",IF(IFERROR(VLOOKUP($A61,'Whitespace Analysis'!$A:$AH,20,0),0)=1,"◎ Should","– N/A"))</f>
        <v>– N/A</v>
      </c>
      <c r="O61" s="156" t="str">
        <f>IF(COUNTIFS('Product Order Book'!$A:$A,$A61,'Product Order Book'!$E:$E,O$3)&gt;0,"✓ Takes",IF(IFERROR(VLOOKUP($A61,'Whitespace Analysis'!$A:$AH,22,0),0)=1,"◎ Should","– N/A"))</f>
        <v>– N/A</v>
      </c>
      <c r="P61" s="156" t="str">
        <f>IF(COUNTIFS('Product Order Book'!$A:$A,$A61,'Product Order Book'!$E:$E,P$3)&gt;0,"✓ Takes",IF(IFERROR(VLOOKUP($A61,'Whitespace Analysis'!$A:$AH,24,0),0)=1,"◎ Should","– N/A"))</f>
        <v>✓ Takes</v>
      </c>
      <c r="Q61" s="156" t="str">
        <f>IF(COUNTIFS('Product Order Book'!$A:$A,$A61,'Product Order Book'!$E:$E,Q$3)&gt;0,"✓ Takes",IF(IFERROR(VLOOKUP($A61,'Whitespace Analysis'!$A:$AH,26,0),0)=1,"◎ Should","– N/A"))</f>
        <v>◎ Should</v>
      </c>
      <c r="R61" s="156" t="str">
        <f>IF(COUNTIFS('Product Order Book'!$A:$A,$A61,'Product Order Book'!$E:$E,R$3)&gt;0,"✓ Takes",IF(IFERROR(VLOOKUP($A61,'Whitespace Analysis'!$A:$AH,16,0),0)=1,"◎ Should","– N/A"))</f>
        <v>– N/A</v>
      </c>
      <c r="S61" s="156" t="str">
        <f>IF(COUNTIFS('Product Order Book'!$A:$A,$A61,'Product Order Book'!$E:$E,S$3)&gt;0,"✓ Takes",IF(IFERROR(VLOOKUP($A61,'Whitespace Analysis'!$A:$AH,18,0),0)=1,"◎ Should","– N/A"))</f>
        <v>– N/A</v>
      </c>
      <c r="T61" s="156" t="str">
        <f>IF(COUNTIFS('Product Order Book'!$A:$A,$A61,'Product Order Book'!$E:$E,T$3)&gt;0,"✓ Takes",IF(IFERROR(VLOOKUP($A61,'Whitespace Analysis'!$A:$AH,28,0),0)=1,"◎ Should","– N/A"))</f>
        <v>– N/A</v>
      </c>
      <c r="U61" s="156" t="str">
        <f>IF(COUNTIFS('Product Order Book'!$A:$A,$A61,'Product Order Book'!$E:$E,U$3)&gt;0,"✓ Takes",IF(IFERROR(VLOOKUP($A61,'Whitespace Analysis'!$A:$AH,30,0),0)=1,"◎ Should","– N/A"))</f>
        <v>– N/A</v>
      </c>
      <c r="V61" s="156" t="str">
        <f>IF(COUNTIFS('Product Order Book'!$A:$A,$A61,'Product Order Book'!$E:$E,V$3)&gt;0,"✓ Takes",IF(IFERROR(VLOOKUP($A61,'Whitespace Analysis'!$A:$AH,14,0),0)=1,"◎ Should","– N/A"))</f>
        <v>◎ Should</v>
      </c>
    </row>
    <row r="62" spans="1:22" ht="15" customHeight="1">
      <c r="A62" s="154" t="str">
        <v>ElectraLink Limited</v>
      </c>
      <c r="B62" s="155">
        <f>IFERROR(MIN(1,COUNTIFS('Product Order Book'!$A$2:$A$1057,$A62,'Product Order Book'!$E$2:$E$1057,B$3)/INDEX('Clean Package Product Lists'!$C:$C,MATCH(B$3,'Clean Package Product Lists'!$A:$A,0))),"")</f>
        <v>1</v>
      </c>
      <c r="C62" s="155">
        <f>IFERROR(MIN(1,COUNTIFS('Product Order Book'!$A$2:$A$1057,$A62,'Product Order Book'!$E$2:$E$1057,C$3)/INDEX('Clean Package Product Lists'!$C:$C,MATCH(C$3,'Clean Package Product Lists'!$A:$A,0))),"")</f>
        <v>0</v>
      </c>
      <c r="D62" s="155">
        <f>IFERROR(MIN(1,COUNTIFS('Product Order Book'!$A$2:$A$1057,$A62,'Product Order Book'!$E$2:$E$1057,D$3)/INDEX('Clean Package Product Lists'!$C:$C,MATCH(D$3,'Clean Package Product Lists'!$A:$A,0))),"")</f>
        <v>0</v>
      </c>
      <c r="E62" s="155">
        <f>IFERROR(MIN(1,COUNTIFS('Product Order Book'!$A$2:$A$1057,$A62,'Product Order Book'!$E$2:$E$1057,E$3)/INDEX('Clean Package Product Lists'!$C:$C,MATCH(E$3,'Clean Package Product Lists'!$A:$A,0))),"")</f>
        <v>0</v>
      </c>
      <c r="F62" s="155">
        <f>IFERROR(MIN(1,COUNTIFS('Product Order Book'!$A$2:$A$1057,$A62,'Product Order Book'!$E$2:$E$1057,F$3)/INDEX('Clean Package Product Lists'!$C:$C,MATCH(F$3,'Clean Package Product Lists'!$A:$A,0))),"")</f>
        <v>0</v>
      </c>
      <c r="G62" s="155">
        <f>IFERROR(MIN(1,COUNTIFS('Product Order Book'!$A$2:$A$1057,$A62,'Product Order Book'!$E$2:$E$1057,G$3)/INDEX('Clean Package Product Lists'!$C:$C,MATCH(G$3,'Clean Package Product Lists'!$A:$A,0))),"")</f>
        <v>9.0909090909090912E-2</v>
      </c>
      <c r="H62" s="155">
        <f>IFERROR(MIN(1,COUNTIFS('Product Order Book'!$A$2:$A$1057,$A62,'Product Order Book'!$E$2:$E$1057,H$3)/INDEX('Clean Package Product Lists'!$C:$C,MATCH(H$3,'Clean Package Product Lists'!$A:$A,0))),"")</f>
        <v>0</v>
      </c>
      <c r="I62" s="155">
        <f>IFERROR(MIN(1,COUNTIFS('Product Order Book'!$A$2:$A$1057,$A62,'Product Order Book'!$E$2:$E$1057,I$3)/INDEX('Clean Package Product Lists'!$C:$C,MATCH(I$3,'Clean Package Product Lists'!$A:$A,0))),"")</f>
        <v>0</v>
      </c>
      <c r="J62" s="155">
        <f>IFERROR(MIN(1,COUNTIFS('Product Order Book'!$A$2:$A$1057,$A62,'Product Order Book'!$E$2:$E$1057,J$3)/INDEX('Clean Package Product Lists'!$C:$C,MATCH(J$3,'Clean Package Product Lists'!$A:$A,0))),"")</f>
        <v>0</v>
      </c>
      <c r="K62" s="155">
        <f>IFERROR(MIN(1,COUNTIFS('Product Order Book'!$A$2:$A$1057,$A62,'Product Order Book'!$E$2:$E$1057,K$3)/INDEX('Clean Package Product Lists'!$C:$C,MATCH(K$3,'Clean Package Product Lists'!$A:$A,0))),"")</f>
        <v>0</v>
      </c>
      <c r="L62" s="154"/>
      <c r="M62" s="156" t="str">
        <f>IF(COUNTIFS('Product Order Book'!$A:$A,$A62,'Product Order Book'!$E:$E,M$3)&gt;0,"✓ Takes",IF(IFERROR(VLOOKUP($A62,'Whitespace Analysis'!$A:$AH,12,0),0)=1,"◎ Should","– N/A"))</f>
        <v>✓ Takes</v>
      </c>
      <c r="N62" s="156" t="str">
        <f>IF(COUNTIFS('Product Order Book'!$A:$A,$A62,'Product Order Book'!$E:$E,N$3)&gt;0,"✓ Takes",IF(IFERROR(VLOOKUP($A62,'Whitespace Analysis'!$A:$AH,20,0),0)=1,"◎ Should","– N/A"))</f>
        <v>– N/A</v>
      </c>
      <c r="O62" s="156" t="str">
        <f>IF(COUNTIFS('Product Order Book'!$A:$A,$A62,'Product Order Book'!$E:$E,O$3)&gt;0,"✓ Takes",IF(IFERROR(VLOOKUP($A62,'Whitespace Analysis'!$A:$AH,22,0),0)=1,"◎ Should","– N/A"))</f>
        <v>– N/A</v>
      </c>
      <c r="P62" s="156" t="str">
        <f>IF(COUNTIFS('Product Order Book'!$A:$A,$A62,'Product Order Book'!$E:$E,P$3)&gt;0,"✓ Takes",IF(IFERROR(VLOOKUP($A62,'Whitespace Analysis'!$A:$AH,24,0),0)=1,"◎ Should","– N/A"))</f>
        <v>– N/A</v>
      </c>
      <c r="Q62" s="156" t="str">
        <f>IF(COUNTIFS('Product Order Book'!$A:$A,$A62,'Product Order Book'!$E:$E,Q$3)&gt;0,"✓ Takes",IF(IFERROR(VLOOKUP($A62,'Whitespace Analysis'!$A:$AH,26,0),0)=1,"◎ Should","– N/A"))</f>
        <v>– N/A</v>
      </c>
      <c r="R62" s="156" t="str">
        <f>IF(COUNTIFS('Product Order Book'!$A:$A,$A62,'Product Order Book'!$E:$E,R$3)&gt;0,"✓ Takes",IF(IFERROR(VLOOKUP($A62,'Whitespace Analysis'!$A:$AH,16,0),0)=1,"◎ Should","– N/A"))</f>
        <v>✓ Takes</v>
      </c>
      <c r="S62" s="156" t="str">
        <f>IF(COUNTIFS('Product Order Book'!$A:$A,$A62,'Product Order Book'!$E:$E,S$3)&gt;0,"✓ Takes",IF(IFERROR(VLOOKUP($A62,'Whitespace Analysis'!$A:$AH,18,0),0)=1,"◎ Should","– N/A"))</f>
        <v>– N/A</v>
      </c>
      <c r="T62" s="156" t="str">
        <f>IF(COUNTIFS('Product Order Book'!$A:$A,$A62,'Product Order Book'!$E:$E,T$3)&gt;0,"✓ Takes",IF(IFERROR(VLOOKUP($A62,'Whitespace Analysis'!$A:$AH,28,0),0)=1,"◎ Should","– N/A"))</f>
        <v>– N/A</v>
      </c>
      <c r="U62" s="156" t="str">
        <f>IF(COUNTIFS('Product Order Book'!$A:$A,$A62,'Product Order Book'!$E:$E,U$3)&gt;0,"✓ Takes",IF(IFERROR(VLOOKUP($A62,'Whitespace Analysis'!$A:$AH,30,0),0)=1,"◎ Should","– N/A"))</f>
        <v>– N/A</v>
      </c>
      <c r="V62" s="156" t="str">
        <f>IF(COUNTIFS('Product Order Book'!$A:$A,$A62,'Product Order Book'!$E:$E,V$3)&gt;0,"✓ Takes",IF(IFERROR(VLOOKUP($A62,'Whitespace Analysis'!$A:$AH,14,0),0)=1,"◎ Should","– N/A"))</f>
        <v>◎ Should</v>
      </c>
    </row>
    <row r="63" spans="1:22" ht="15" customHeight="1">
      <c r="A63" s="154" t="str">
        <v>Electricity Association of Ireland</v>
      </c>
      <c r="B63" s="155">
        <f>IFERROR(MIN(1,COUNTIFS('Product Order Book'!$A$2:$A$1057,$A63,'Product Order Book'!$E$2:$E$1057,B$3)/INDEX('Clean Package Product Lists'!$C:$C,MATCH(B$3,'Clean Package Product Lists'!$A:$A,0))),"")</f>
        <v>0</v>
      </c>
      <c r="C63" s="155">
        <f>IFERROR(MIN(1,COUNTIFS('Product Order Book'!$A$2:$A$1057,$A63,'Product Order Book'!$E$2:$E$1057,C$3)/INDEX('Clean Package Product Lists'!$C:$C,MATCH(C$3,'Clean Package Product Lists'!$A:$A,0))),"")</f>
        <v>0</v>
      </c>
      <c r="D63" s="155">
        <f>IFERROR(MIN(1,COUNTIFS('Product Order Book'!$A$2:$A$1057,$A63,'Product Order Book'!$E$2:$E$1057,D$3)/INDEX('Clean Package Product Lists'!$C:$C,MATCH(D$3,'Clean Package Product Lists'!$A:$A,0))),"")</f>
        <v>0</v>
      </c>
      <c r="E63" s="155">
        <f>IFERROR(MIN(1,COUNTIFS('Product Order Book'!$A$2:$A$1057,$A63,'Product Order Book'!$E$2:$E$1057,E$3)/INDEX('Clean Package Product Lists'!$C:$C,MATCH(E$3,'Clean Package Product Lists'!$A:$A,0))),"")</f>
        <v>0</v>
      </c>
      <c r="F63" s="155">
        <f>IFERROR(MIN(1,COUNTIFS('Product Order Book'!$A$2:$A$1057,$A63,'Product Order Book'!$E$2:$E$1057,F$3)/INDEX('Clean Package Product Lists'!$C:$C,MATCH(F$3,'Clean Package Product Lists'!$A:$A,0))),"")</f>
        <v>0</v>
      </c>
      <c r="G63" s="155">
        <f>IFERROR(MIN(1,COUNTIFS('Product Order Book'!$A$2:$A$1057,$A63,'Product Order Book'!$E$2:$E$1057,G$3)/INDEX('Clean Package Product Lists'!$C:$C,MATCH(G$3,'Clean Package Product Lists'!$A:$A,0))),"")</f>
        <v>0</v>
      </c>
      <c r="H63" s="155">
        <f>IFERROR(MIN(1,COUNTIFS('Product Order Book'!$A$2:$A$1057,$A63,'Product Order Book'!$E$2:$E$1057,H$3)/INDEX('Clean Package Product Lists'!$C:$C,MATCH(H$3,'Clean Package Product Lists'!$A:$A,0))),"")</f>
        <v>0</v>
      </c>
      <c r="I63" s="155">
        <f>IFERROR(MIN(1,COUNTIFS('Product Order Book'!$A$2:$A$1057,$A63,'Product Order Book'!$E$2:$E$1057,I$3)/INDEX('Clean Package Product Lists'!$C:$C,MATCH(I$3,'Clean Package Product Lists'!$A:$A,0))),"")</f>
        <v>0</v>
      </c>
      <c r="J63" s="155">
        <f>IFERROR(MIN(1,COUNTIFS('Product Order Book'!$A$2:$A$1057,$A63,'Product Order Book'!$E$2:$E$1057,J$3)/INDEX('Clean Package Product Lists'!$C:$C,MATCH(J$3,'Clean Package Product Lists'!$A:$A,0))),"")</f>
        <v>0</v>
      </c>
      <c r="K63" s="155">
        <f>IFERROR(MIN(1,COUNTIFS('Product Order Book'!$A$2:$A$1057,$A63,'Product Order Book'!$E$2:$E$1057,K$3)/INDEX('Clean Package Product Lists'!$C:$C,MATCH(K$3,'Clean Package Product Lists'!$A:$A,0))),"")</f>
        <v>0</v>
      </c>
      <c r="L63" s="154"/>
      <c r="M63" s="156" t="str">
        <f>IF(COUNTIFS('Product Order Book'!$A:$A,$A63,'Product Order Book'!$E:$E,M$3)&gt;0,"✓ Takes",IF(IFERROR(VLOOKUP($A63,'Whitespace Analysis'!$A:$AH,12,0),0)=1,"◎ Should","– N/A"))</f>
        <v>– N/A</v>
      </c>
      <c r="N63" s="156" t="str">
        <f>IF(COUNTIFS('Product Order Book'!$A:$A,$A63,'Product Order Book'!$E:$E,N$3)&gt;0,"✓ Takes",IF(IFERROR(VLOOKUP($A63,'Whitespace Analysis'!$A:$AH,20,0),0)=1,"◎ Should","– N/A"))</f>
        <v>– N/A</v>
      </c>
      <c r="O63" s="156" t="str">
        <f>IF(COUNTIFS('Product Order Book'!$A:$A,$A63,'Product Order Book'!$E:$E,O$3)&gt;0,"✓ Takes",IF(IFERROR(VLOOKUP($A63,'Whitespace Analysis'!$A:$AH,22,0),0)=1,"◎ Should","– N/A"))</f>
        <v>– N/A</v>
      </c>
      <c r="P63" s="156" t="str">
        <f>IF(COUNTIFS('Product Order Book'!$A:$A,$A63,'Product Order Book'!$E:$E,P$3)&gt;0,"✓ Takes",IF(IFERROR(VLOOKUP($A63,'Whitespace Analysis'!$A:$AH,24,0),0)=1,"◎ Should","– N/A"))</f>
        <v>– N/A</v>
      </c>
      <c r="Q63" s="156" t="str">
        <f>IF(COUNTIFS('Product Order Book'!$A:$A,$A63,'Product Order Book'!$E:$E,Q$3)&gt;0,"✓ Takes",IF(IFERROR(VLOOKUP($A63,'Whitespace Analysis'!$A:$AH,26,0),0)=1,"◎ Should","– N/A"))</f>
        <v>– N/A</v>
      </c>
      <c r="R63" s="156" t="str">
        <f>IF(COUNTIFS('Product Order Book'!$A:$A,$A63,'Product Order Book'!$E:$E,R$3)&gt;0,"✓ Takes",IF(IFERROR(VLOOKUP($A63,'Whitespace Analysis'!$A:$AH,16,0),0)=1,"◎ Should","– N/A"))</f>
        <v>– N/A</v>
      </c>
      <c r="S63" s="156" t="str">
        <f>IF(COUNTIFS('Product Order Book'!$A:$A,$A63,'Product Order Book'!$E:$E,S$3)&gt;0,"✓ Takes",IF(IFERROR(VLOOKUP($A63,'Whitespace Analysis'!$A:$AH,18,0),0)=1,"◎ Should","– N/A"))</f>
        <v>– N/A</v>
      </c>
      <c r="T63" s="156" t="str">
        <f>IF(COUNTIFS('Product Order Book'!$A:$A,$A63,'Product Order Book'!$E:$E,T$3)&gt;0,"✓ Takes",IF(IFERROR(VLOOKUP($A63,'Whitespace Analysis'!$A:$AH,28,0),0)=1,"◎ Should","– N/A"))</f>
        <v>– N/A</v>
      </c>
      <c r="U63" s="156" t="str">
        <f>IF(COUNTIFS('Product Order Book'!$A:$A,$A63,'Product Order Book'!$E:$E,U$3)&gt;0,"✓ Takes",IF(IFERROR(VLOOKUP($A63,'Whitespace Analysis'!$A:$AH,30,0),0)=1,"◎ Should","– N/A"))</f>
        <v>– N/A</v>
      </c>
      <c r="V63" s="156" t="str">
        <f>IF(COUNTIFS('Product Order Book'!$A:$A,$A63,'Product Order Book'!$E:$E,V$3)&gt;0,"✓ Takes",IF(IFERROR(VLOOKUP($A63,'Whitespace Analysis'!$A:$AH,14,0),0)=1,"◎ Should","– N/A"))</f>
        <v>– N/A</v>
      </c>
    </row>
    <row r="64" spans="1:22" ht="15" customHeight="1">
      <c r="A64" s="154" t="str">
        <v>Elexon Limited</v>
      </c>
      <c r="B64" s="155">
        <f>IFERROR(MIN(1,COUNTIFS('Product Order Book'!$A$2:$A$1057,$A64,'Product Order Book'!$E$2:$E$1057,B$3)/INDEX('Clean Package Product Lists'!$C:$C,MATCH(B$3,'Clean Package Product Lists'!$A:$A,0))),"")</f>
        <v>1</v>
      </c>
      <c r="C64" s="155">
        <f>IFERROR(MIN(1,COUNTIFS('Product Order Book'!$A$2:$A$1057,$A64,'Product Order Book'!$E$2:$E$1057,C$3)/INDEX('Clean Package Product Lists'!$C:$C,MATCH(C$3,'Clean Package Product Lists'!$A:$A,0))),"")</f>
        <v>0</v>
      </c>
      <c r="D64" s="155">
        <f>IFERROR(MIN(1,COUNTIFS('Product Order Book'!$A$2:$A$1057,$A64,'Product Order Book'!$E$2:$E$1057,D$3)/INDEX('Clean Package Product Lists'!$C:$C,MATCH(D$3,'Clean Package Product Lists'!$A:$A,0))),"")</f>
        <v>0</v>
      </c>
      <c r="E64" s="155">
        <f>IFERROR(MIN(1,COUNTIFS('Product Order Book'!$A$2:$A$1057,$A64,'Product Order Book'!$E$2:$E$1057,E$3)/INDEX('Clean Package Product Lists'!$C:$C,MATCH(E$3,'Clean Package Product Lists'!$A:$A,0))),"")</f>
        <v>0</v>
      </c>
      <c r="F64" s="155">
        <f>IFERROR(MIN(1,COUNTIFS('Product Order Book'!$A$2:$A$1057,$A64,'Product Order Book'!$E$2:$E$1057,F$3)/INDEX('Clean Package Product Lists'!$C:$C,MATCH(F$3,'Clean Package Product Lists'!$A:$A,0))),"")</f>
        <v>0</v>
      </c>
      <c r="G64" s="155">
        <f>IFERROR(MIN(1,COUNTIFS('Product Order Book'!$A$2:$A$1057,$A64,'Product Order Book'!$E$2:$E$1057,G$3)/INDEX('Clean Package Product Lists'!$C:$C,MATCH(G$3,'Clean Package Product Lists'!$A:$A,0))),"")</f>
        <v>0</v>
      </c>
      <c r="H64" s="155">
        <f>IFERROR(MIN(1,COUNTIFS('Product Order Book'!$A$2:$A$1057,$A64,'Product Order Book'!$E$2:$E$1057,H$3)/INDEX('Clean Package Product Lists'!$C:$C,MATCH(H$3,'Clean Package Product Lists'!$A:$A,0))),"")</f>
        <v>0</v>
      </c>
      <c r="I64" s="155">
        <f>IFERROR(MIN(1,COUNTIFS('Product Order Book'!$A$2:$A$1057,$A64,'Product Order Book'!$E$2:$E$1057,I$3)/INDEX('Clean Package Product Lists'!$C:$C,MATCH(I$3,'Clean Package Product Lists'!$A:$A,0))),"")</f>
        <v>0</v>
      </c>
      <c r="J64" s="155">
        <f>IFERROR(MIN(1,COUNTIFS('Product Order Book'!$A$2:$A$1057,$A64,'Product Order Book'!$E$2:$E$1057,J$3)/INDEX('Clean Package Product Lists'!$C:$C,MATCH(J$3,'Clean Package Product Lists'!$A:$A,0))),"")</f>
        <v>0</v>
      </c>
      <c r="K64" s="155">
        <f>IFERROR(MIN(1,COUNTIFS('Product Order Book'!$A$2:$A$1057,$A64,'Product Order Book'!$E$2:$E$1057,K$3)/INDEX('Clean Package Product Lists'!$C:$C,MATCH(K$3,'Clean Package Product Lists'!$A:$A,0))),"")</f>
        <v>0</v>
      </c>
      <c r="L64" s="154"/>
      <c r="M64" s="156" t="str">
        <f>IF(COUNTIFS('Product Order Book'!$A:$A,$A64,'Product Order Book'!$E:$E,M$3)&gt;0,"✓ Takes",IF(IFERROR(VLOOKUP($A64,'Whitespace Analysis'!$A:$AH,12,0),0)=1,"◎ Should","– N/A"))</f>
        <v>✓ Takes</v>
      </c>
      <c r="N64" s="156" t="str">
        <f>IF(COUNTIFS('Product Order Book'!$A:$A,$A64,'Product Order Book'!$E:$E,N$3)&gt;0,"✓ Takes",IF(IFERROR(VLOOKUP($A64,'Whitespace Analysis'!$A:$AH,20,0),0)=1,"◎ Should","– N/A"))</f>
        <v>– N/A</v>
      </c>
      <c r="O64" s="156" t="str">
        <f>IF(COUNTIFS('Product Order Book'!$A:$A,$A64,'Product Order Book'!$E:$E,O$3)&gt;0,"✓ Takes",IF(IFERROR(VLOOKUP($A64,'Whitespace Analysis'!$A:$AH,22,0),0)=1,"◎ Should","– N/A"))</f>
        <v>– N/A</v>
      </c>
      <c r="P64" s="156" t="str">
        <f>IF(COUNTIFS('Product Order Book'!$A:$A,$A64,'Product Order Book'!$E:$E,P$3)&gt;0,"✓ Takes",IF(IFERROR(VLOOKUP($A64,'Whitespace Analysis'!$A:$AH,24,0),0)=1,"◎ Should","– N/A"))</f>
        <v>– N/A</v>
      </c>
      <c r="Q64" s="156" t="str">
        <f>IF(COUNTIFS('Product Order Book'!$A:$A,$A64,'Product Order Book'!$E:$E,Q$3)&gt;0,"✓ Takes",IF(IFERROR(VLOOKUP($A64,'Whitespace Analysis'!$A:$AH,26,0),0)=1,"◎ Should","– N/A"))</f>
        <v>– N/A</v>
      </c>
      <c r="R64" s="156" t="str">
        <f>IF(COUNTIFS('Product Order Book'!$A:$A,$A64,'Product Order Book'!$E:$E,R$3)&gt;0,"✓ Takes",IF(IFERROR(VLOOKUP($A64,'Whitespace Analysis'!$A:$AH,16,0),0)=1,"◎ Should","– N/A"))</f>
        <v>– N/A</v>
      </c>
      <c r="S64" s="156" t="str">
        <f>IF(COUNTIFS('Product Order Book'!$A:$A,$A64,'Product Order Book'!$E:$E,S$3)&gt;0,"✓ Takes",IF(IFERROR(VLOOKUP($A64,'Whitespace Analysis'!$A:$AH,18,0),0)=1,"◎ Should","– N/A"))</f>
        <v>– N/A</v>
      </c>
      <c r="T64" s="156" t="str">
        <f>IF(COUNTIFS('Product Order Book'!$A:$A,$A64,'Product Order Book'!$E:$E,T$3)&gt;0,"✓ Takes",IF(IFERROR(VLOOKUP($A64,'Whitespace Analysis'!$A:$AH,28,0),0)=1,"◎ Should","– N/A"))</f>
        <v>– N/A</v>
      </c>
      <c r="U64" s="156" t="str">
        <f>IF(COUNTIFS('Product Order Book'!$A:$A,$A64,'Product Order Book'!$E:$E,U$3)&gt;0,"✓ Takes",IF(IFERROR(VLOOKUP($A64,'Whitespace Analysis'!$A:$AH,30,0),0)=1,"◎ Should","– N/A"))</f>
        <v>– N/A</v>
      </c>
      <c r="V64" s="156" t="str">
        <f>IF(COUNTIFS('Product Order Book'!$A:$A,$A64,'Product Order Book'!$E:$E,V$3)&gt;0,"✓ Takes",IF(IFERROR(VLOOKUP($A64,'Whitespace Analysis'!$A:$AH,14,0),0)=1,"◎ Should","– N/A"))</f>
        <v>– N/A</v>
      </c>
    </row>
    <row r="65" spans="1:22" ht="15" customHeight="1">
      <c r="A65" s="154" t="str">
        <v>Eneco Energy Trade B.V.</v>
      </c>
      <c r="B65" s="155">
        <f>IFERROR(MIN(1,COUNTIFS('Product Order Book'!$A$2:$A$1057,$A65,'Product Order Book'!$E$2:$E$1057,B$3)/INDEX('Clean Package Product Lists'!$C:$C,MATCH(B$3,'Clean Package Product Lists'!$A:$A,0))),"")</f>
        <v>1</v>
      </c>
      <c r="C65" s="155">
        <f>IFERROR(MIN(1,COUNTIFS('Product Order Book'!$A$2:$A$1057,$A65,'Product Order Book'!$E$2:$E$1057,C$3)/INDEX('Clean Package Product Lists'!$C:$C,MATCH(C$3,'Clean Package Product Lists'!$A:$A,0))),"")</f>
        <v>0.7142857142857143</v>
      </c>
      <c r="D65" s="155">
        <f>IFERROR(MIN(1,COUNTIFS('Product Order Book'!$A$2:$A$1057,$A65,'Product Order Book'!$E$2:$E$1057,D$3)/INDEX('Clean Package Product Lists'!$C:$C,MATCH(D$3,'Clean Package Product Lists'!$A:$A,0))),"")</f>
        <v>0</v>
      </c>
      <c r="E65" s="155">
        <f>IFERROR(MIN(1,COUNTIFS('Product Order Book'!$A$2:$A$1057,$A65,'Product Order Book'!$E$2:$E$1057,E$3)/INDEX('Clean Package Product Lists'!$C:$C,MATCH(E$3,'Clean Package Product Lists'!$A:$A,0))),"")</f>
        <v>1</v>
      </c>
      <c r="F65" s="155">
        <f>IFERROR(MIN(1,COUNTIFS('Product Order Book'!$A$2:$A$1057,$A65,'Product Order Book'!$E$2:$E$1057,F$3)/INDEX('Clean Package Product Lists'!$C:$C,MATCH(F$3,'Clean Package Product Lists'!$A:$A,0))),"")</f>
        <v>0</v>
      </c>
      <c r="G65" s="155">
        <f>IFERROR(MIN(1,COUNTIFS('Product Order Book'!$A$2:$A$1057,$A65,'Product Order Book'!$E$2:$E$1057,G$3)/INDEX('Clean Package Product Lists'!$C:$C,MATCH(G$3,'Clean Package Product Lists'!$A:$A,0))),"")</f>
        <v>0</v>
      </c>
      <c r="H65" s="155">
        <f>IFERROR(MIN(1,COUNTIFS('Product Order Book'!$A$2:$A$1057,$A65,'Product Order Book'!$E$2:$E$1057,H$3)/INDEX('Clean Package Product Lists'!$C:$C,MATCH(H$3,'Clean Package Product Lists'!$A:$A,0))),"")</f>
        <v>0</v>
      </c>
      <c r="I65" s="155">
        <f>IFERROR(MIN(1,COUNTIFS('Product Order Book'!$A$2:$A$1057,$A65,'Product Order Book'!$E$2:$E$1057,I$3)/INDEX('Clean Package Product Lists'!$C:$C,MATCH(I$3,'Clean Package Product Lists'!$A:$A,0))),"")</f>
        <v>0</v>
      </c>
      <c r="J65" s="155">
        <f>IFERROR(MIN(1,COUNTIFS('Product Order Book'!$A$2:$A$1057,$A65,'Product Order Book'!$E$2:$E$1057,J$3)/INDEX('Clean Package Product Lists'!$C:$C,MATCH(J$3,'Clean Package Product Lists'!$A:$A,0))),"")</f>
        <v>0</v>
      </c>
      <c r="K65" s="155">
        <f>IFERROR(MIN(1,COUNTIFS('Product Order Book'!$A$2:$A$1057,$A65,'Product Order Book'!$E$2:$E$1057,K$3)/INDEX('Clean Package Product Lists'!$C:$C,MATCH(K$3,'Clean Package Product Lists'!$A:$A,0))),"")</f>
        <v>0</v>
      </c>
      <c r="L65" s="154"/>
      <c r="M65" s="156" t="str">
        <f>IF(COUNTIFS('Product Order Book'!$A:$A,$A65,'Product Order Book'!$E:$E,M$3)&gt;0,"✓ Takes",IF(IFERROR(VLOOKUP($A65,'Whitespace Analysis'!$A:$AH,12,0),0)=1,"◎ Should","– N/A"))</f>
        <v>✓ Takes</v>
      </c>
      <c r="N65" s="156" t="str">
        <f>IF(COUNTIFS('Product Order Book'!$A:$A,$A65,'Product Order Book'!$E:$E,N$3)&gt;0,"✓ Takes",IF(IFERROR(VLOOKUP($A65,'Whitespace Analysis'!$A:$AH,20,0),0)=1,"◎ Should","– N/A"))</f>
        <v>✓ Takes</v>
      </c>
      <c r="O65" s="156" t="str">
        <f>IF(COUNTIFS('Product Order Book'!$A:$A,$A65,'Product Order Book'!$E:$E,O$3)&gt;0,"✓ Takes",IF(IFERROR(VLOOKUP($A65,'Whitespace Analysis'!$A:$AH,22,0),0)=1,"◎ Should","– N/A"))</f>
        <v>◎ Should</v>
      </c>
      <c r="P65" s="156" t="str">
        <f>IF(COUNTIFS('Product Order Book'!$A:$A,$A65,'Product Order Book'!$E:$E,P$3)&gt;0,"✓ Takes",IF(IFERROR(VLOOKUP($A65,'Whitespace Analysis'!$A:$AH,24,0),0)=1,"◎ Should","– N/A"))</f>
        <v>✓ Takes</v>
      </c>
      <c r="Q65" s="156" t="str">
        <f>IF(COUNTIFS('Product Order Book'!$A:$A,$A65,'Product Order Book'!$E:$E,Q$3)&gt;0,"✓ Takes",IF(IFERROR(VLOOKUP($A65,'Whitespace Analysis'!$A:$AH,26,0),0)=1,"◎ Should","– N/A"))</f>
        <v>– N/A</v>
      </c>
      <c r="R65" s="156" t="str">
        <f>IF(COUNTIFS('Product Order Book'!$A:$A,$A65,'Product Order Book'!$E:$E,R$3)&gt;0,"✓ Takes",IF(IFERROR(VLOOKUP($A65,'Whitespace Analysis'!$A:$AH,16,0),0)=1,"◎ Should","– N/A"))</f>
        <v>◎ Should</v>
      </c>
      <c r="S65" s="156" t="str">
        <f>IF(COUNTIFS('Product Order Book'!$A:$A,$A65,'Product Order Book'!$E:$E,S$3)&gt;0,"✓ Takes",IF(IFERROR(VLOOKUP($A65,'Whitespace Analysis'!$A:$AH,18,0),0)=1,"◎ Should","– N/A"))</f>
        <v>◎ Should</v>
      </c>
      <c r="T65" s="156" t="str">
        <f>IF(COUNTIFS('Product Order Book'!$A:$A,$A65,'Product Order Book'!$E:$E,T$3)&gt;0,"✓ Takes",IF(IFERROR(VLOOKUP($A65,'Whitespace Analysis'!$A:$AH,28,0),0)=1,"◎ Should","– N/A"))</f>
        <v>– N/A</v>
      </c>
      <c r="U65" s="156" t="str">
        <f>IF(COUNTIFS('Product Order Book'!$A:$A,$A65,'Product Order Book'!$E:$E,U$3)&gt;0,"✓ Takes",IF(IFERROR(VLOOKUP($A65,'Whitespace Analysis'!$A:$AH,30,0),0)=1,"◎ Should","– N/A"))</f>
        <v>– N/A</v>
      </c>
      <c r="V65" s="156" t="str">
        <f>IF(COUNTIFS('Product Order Book'!$A:$A,$A65,'Product Order Book'!$E:$E,V$3)&gt;0,"✓ Takes",IF(IFERROR(VLOOKUP($A65,'Whitespace Analysis'!$A:$AH,14,0),0)=1,"◎ Should","– N/A"))</f>
        <v>◎ Should</v>
      </c>
    </row>
    <row r="66" spans="1:22" ht="15" customHeight="1">
      <c r="A66" s="154" t="str">
        <v>Energia</v>
      </c>
      <c r="B66" s="155">
        <f>IFERROR(MIN(1,COUNTIFS('Product Order Book'!$A$2:$A$1057,$A66,'Product Order Book'!$E$2:$E$1057,B$3)/INDEX('Clean Package Product Lists'!$C:$C,MATCH(B$3,'Clean Package Product Lists'!$A:$A,0))),"")</f>
        <v>1</v>
      </c>
      <c r="C66" s="155">
        <f>IFERROR(MIN(1,COUNTIFS('Product Order Book'!$A$2:$A$1057,$A66,'Product Order Book'!$E$2:$E$1057,C$3)/INDEX('Clean Package Product Lists'!$C:$C,MATCH(C$3,'Clean Package Product Lists'!$A:$A,0))),"")</f>
        <v>0</v>
      </c>
      <c r="D66" s="155">
        <f>IFERROR(MIN(1,COUNTIFS('Product Order Book'!$A$2:$A$1057,$A66,'Product Order Book'!$E$2:$E$1057,D$3)/INDEX('Clean Package Product Lists'!$C:$C,MATCH(D$3,'Clean Package Product Lists'!$A:$A,0))),"")</f>
        <v>0</v>
      </c>
      <c r="E66" s="155">
        <f>IFERROR(MIN(1,COUNTIFS('Product Order Book'!$A$2:$A$1057,$A66,'Product Order Book'!$E$2:$E$1057,E$3)/INDEX('Clean Package Product Lists'!$C:$C,MATCH(E$3,'Clean Package Product Lists'!$A:$A,0))),"")</f>
        <v>0</v>
      </c>
      <c r="F66" s="155">
        <f>IFERROR(MIN(1,COUNTIFS('Product Order Book'!$A$2:$A$1057,$A66,'Product Order Book'!$E$2:$E$1057,F$3)/INDEX('Clean Package Product Lists'!$C:$C,MATCH(F$3,'Clean Package Product Lists'!$A:$A,0))),"")</f>
        <v>0</v>
      </c>
      <c r="G66" s="155">
        <f>IFERROR(MIN(1,COUNTIFS('Product Order Book'!$A$2:$A$1057,$A66,'Product Order Book'!$E$2:$E$1057,G$3)/INDEX('Clean Package Product Lists'!$C:$C,MATCH(G$3,'Clean Package Product Lists'!$A:$A,0))),"")</f>
        <v>0</v>
      </c>
      <c r="H66" s="155">
        <f>IFERROR(MIN(1,COUNTIFS('Product Order Book'!$A$2:$A$1057,$A66,'Product Order Book'!$E$2:$E$1057,H$3)/INDEX('Clean Package Product Lists'!$C:$C,MATCH(H$3,'Clean Package Product Lists'!$A:$A,0))),"")</f>
        <v>0</v>
      </c>
      <c r="I66" s="155">
        <f>IFERROR(MIN(1,COUNTIFS('Product Order Book'!$A$2:$A$1057,$A66,'Product Order Book'!$E$2:$E$1057,I$3)/INDEX('Clean Package Product Lists'!$C:$C,MATCH(I$3,'Clean Package Product Lists'!$A:$A,0))),"")</f>
        <v>0</v>
      </c>
      <c r="J66" s="155">
        <f>IFERROR(MIN(1,COUNTIFS('Product Order Book'!$A$2:$A$1057,$A66,'Product Order Book'!$E$2:$E$1057,J$3)/INDEX('Clean Package Product Lists'!$C:$C,MATCH(J$3,'Clean Package Product Lists'!$A:$A,0))),"")</f>
        <v>0</v>
      </c>
      <c r="K66" s="155">
        <f>IFERROR(MIN(1,COUNTIFS('Product Order Book'!$A$2:$A$1057,$A66,'Product Order Book'!$E$2:$E$1057,K$3)/INDEX('Clean Package Product Lists'!$C:$C,MATCH(K$3,'Clean Package Product Lists'!$A:$A,0))),"")</f>
        <v>0</v>
      </c>
      <c r="L66" s="154"/>
      <c r="M66" s="156" t="str">
        <f>IF(COUNTIFS('Product Order Book'!$A:$A,$A66,'Product Order Book'!$E:$E,M$3)&gt;0,"✓ Takes",IF(IFERROR(VLOOKUP($A66,'Whitespace Analysis'!$A:$AH,12,0),0)=1,"◎ Should","– N/A"))</f>
        <v>✓ Takes</v>
      </c>
      <c r="N66" s="156" t="str">
        <f>IF(COUNTIFS('Product Order Book'!$A:$A,$A66,'Product Order Book'!$E:$E,N$3)&gt;0,"✓ Takes",IF(IFERROR(VLOOKUP($A66,'Whitespace Analysis'!$A:$AH,20,0),0)=1,"◎ Should","– N/A"))</f>
        <v>◎ Should</v>
      </c>
      <c r="O66" s="156" t="str">
        <f>IF(COUNTIFS('Product Order Book'!$A:$A,$A66,'Product Order Book'!$E:$E,O$3)&gt;0,"✓ Takes",IF(IFERROR(VLOOKUP($A66,'Whitespace Analysis'!$A:$AH,22,0),0)=1,"◎ Should","– N/A"))</f>
        <v>◎ Should</v>
      </c>
      <c r="P66" s="156" t="str">
        <f>IF(COUNTIFS('Product Order Book'!$A:$A,$A66,'Product Order Book'!$E:$E,P$3)&gt;0,"✓ Takes",IF(IFERROR(VLOOKUP($A66,'Whitespace Analysis'!$A:$AH,24,0),0)=1,"◎ Should","– N/A"))</f>
        <v>◎ Should</v>
      </c>
      <c r="Q66" s="156" t="str">
        <f>IF(COUNTIFS('Product Order Book'!$A:$A,$A66,'Product Order Book'!$E:$E,Q$3)&gt;0,"✓ Takes",IF(IFERROR(VLOOKUP($A66,'Whitespace Analysis'!$A:$AH,26,0),0)=1,"◎ Should","– N/A"))</f>
        <v>– N/A</v>
      </c>
      <c r="R66" s="156" t="str">
        <f>IF(COUNTIFS('Product Order Book'!$A:$A,$A66,'Product Order Book'!$E:$E,R$3)&gt;0,"✓ Takes",IF(IFERROR(VLOOKUP($A66,'Whitespace Analysis'!$A:$AH,16,0),0)=1,"◎ Should","– N/A"))</f>
        <v>◎ Should</v>
      </c>
      <c r="S66" s="156" t="str">
        <f>IF(COUNTIFS('Product Order Book'!$A:$A,$A66,'Product Order Book'!$E:$E,S$3)&gt;0,"✓ Takes",IF(IFERROR(VLOOKUP($A66,'Whitespace Analysis'!$A:$AH,18,0),0)=1,"◎ Should","– N/A"))</f>
        <v>◎ Should</v>
      </c>
      <c r="T66" s="156" t="str">
        <f>IF(COUNTIFS('Product Order Book'!$A:$A,$A66,'Product Order Book'!$E:$E,T$3)&gt;0,"✓ Takes",IF(IFERROR(VLOOKUP($A66,'Whitespace Analysis'!$A:$AH,28,0),0)=1,"◎ Should","– N/A"))</f>
        <v>– N/A</v>
      </c>
      <c r="U66" s="156" t="str">
        <f>IF(COUNTIFS('Product Order Book'!$A:$A,$A66,'Product Order Book'!$E:$E,U$3)&gt;0,"✓ Takes",IF(IFERROR(VLOOKUP($A66,'Whitespace Analysis'!$A:$AH,30,0),0)=1,"◎ Should","– N/A"))</f>
        <v>– N/A</v>
      </c>
      <c r="V66" s="156" t="str">
        <f>IF(COUNTIFS('Product Order Book'!$A:$A,$A66,'Product Order Book'!$E:$E,V$3)&gt;0,"✓ Takes",IF(IFERROR(VLOOKUP($A66,'Whitespace Analysis'!$A:$AH,14,0),0)=1,"◎ Should","– N/A"))</f>
        <v>◎ Should</v>
      </c>
    </row>
    <row r="67" spans="1:22" ht="15" customHeight="1">
      <c r="A67" s="154" t="str">
        <v>Energy Developments (UK) Limited</v>
      </c>
      <c r="B67" s="155">
        <f>IFERROR(MIN(1,COUNTIFS('Product Order Book'!$A$2:$A$1057,$A67,'Product Order Book'!$E$2:$E$1057,B$3)/INDEX('Clean Package Product Lists'!$C:$C,MATCH(B$3,'Clean Package Product Lists'!$A:$A,0))),"")</f>
        <v>1</v>
      </c>
      <c r="C67" s="155">
        <f>IFERROR(MIN(1,COUNTIFS('Product Order Book'!$A$2:$A$1057,$A67,'Product Order Book'!$E$2:$E$1057,C$3)/INDEX('Clean Package Product Lists'!$C:$C,MATCH(C$3,'Clean Package Product Lists'!$A:$A,0))),"")</f>
        <v>0.2857142857142857</v>
      </c>
      <c r="D67" s="155">
        <f>IFERROR(MIN(1,COUNTIFS('Product Order Book'!$A$2:$A$1057,$A67,'Product Order Book'!$E$2:$E$1057,D$3)/INDEX('Clean Package Product Lists'!$C:$C,MATCH(D$3,'Clean Package Product Lists'!$A:$A,0))),"")</f>
        <v>0.33333333333333331</v>
      </c>
      <c r="E67" s="155">
        <f>IFERROR(MIN(1,COUNTIFS('Product Order Book'!$A$2:$A$1057,$A67,'Product Order Book'!$E$2:$E$1057,E$3)/INDEX('Clean Package Product Lists'!$C:$C,MATCH(E$3,'Clean Package Product Lists'!$A:$A,0))),"")</f>
        <v>0</v>
      </c>
      <c r="F67" s="155">
        <f>IFERROR(MIN(1,COUNTIFS('Product Order Book'!$A$2:$A$1057,$A67,'Product Order Book'!$E$2:$E$1057,F$3)/INDEX('Clean Package Product Lists'!$C:$C,MATCH(F$3,'Clean Package Product Lists'!$A:$A,0))),"")</f>
        <v>0</v>
      </c>
      <c r="G67" s="155">
        <f>IFERROR(MIN(1,COUNTIFS('Product Order Book'!$A$2:$A$1057,$A67,'Product Order Book'!$E$2:$E$1057,G$3)/INDEX('Clean Package Product Lists'!$C:$C,MATCH(G$3,'Clean Package Product Lists'!$A:$A,0))),"")</f>
        <v>0</v>
      </c>
      <c r="H67" s="155">
        <f>IFERROR(MIN(1,COUNTIFS('Product Order Book'!$A$2:$A$1057,$A67,'Product Order Book'!$E$2:$E$1057,H$3)/INDEX('Clean Package Product Lists'!$C:$C,MATCH(H$3,'Clean Package Product Lists'!$A:$A,0))),"")</f>
        <v>0</v>
      </c>
      <c r="I67" s="155">
        <f>IFERROR(MIN(1,COUNTIFS('Product Order Book'!$A$2:$A$1057,$A67,'Product Order Book'!$E$2:$E$1057,I$3)/INDEX('Clean Package Product Lists'!$C:$C,MATCH(I$3,'Clean Package Product Lists'!$A:$A,0))),"")</f>
        <v>0</v>
      </c>
      <c r="J67" s="155">
        <f>IFERROR(MIN(1,COUNTIFS('Product Order Book'!$A$2:$A$1057,$A67,'Product Order Book'!$E$2:$E$1057,J$3)/INDEX('Clean Package Product Lists'!$C:$C,MATCH(J$3,'Clean Package Product Lists'!$A:$A,0))),"")</f>
        <v>0</v>
      </c>
      <c r="K67" s="155">
        <f>IFERROR(MIN(1,COUNTIFS('Product Order Book'!$A$2:$A$1057,$A67,'Product Order Book'!$E$2:$E$1057,K$3)/INDEX('Clean Package Product Lists'!$C:$C,MATCH(K$3,'Clean Package Product Lists'!$A:$A,0))),"")</f>
        <v>0</v>
      </c>
      <c r="L67" s="154"/>
      <c r="M67" s="156" t="str">
        <f>IF(COUNTIFS('Product Order Book'!$A:$A,$A67,'Product Order Book'!$E:$E,M$3)&gt;0,"✓ Takes",IF(IFERROR(VLOOKUP($A67,'Whitespace Analysis'!$A:$AH,12,0),0)=1,"◎ Should","– N/A"))</f>
        <v>✓ Takes</v>
      </c>
      <c r="N67" s="156" t="str">
        <f>IF(COUNTIFS('Product Order Book'!$A:$A,$A67,'Product Order Book'!$E:$E,N$3)&gt;0,"✓ Takes",IF(IFERROR(VLOOKUP($A67,'Whitespace Analysis'!$A:$AH,20,0),0)=1,"◎ Should","– N/A"))</f>
        <v>✓ Takes</v>
      </c>
      <c r="O67" s="156" t="str">
        <f>IF(COUNTIFS('Product Order Book'!$A:$A,$A67,'Product Order Book'!$E:$E,O$3)&gt;0,"✓ Takes",IF(IFERROR(VLOOKUP($A67,'Whitespace Analysis'!$A:$AH,22,0),0)=1,"◎ Should","– N/A"))</f>
        <v>✓ Takes</v>
      </c>
      <c r="P67" s="156" t="str">
        <f>IF(COUNTIFS('Product Order Book'!$A:$A,$A67,'Product Order Book'!$E:$E,P$3)&gt;0,"✓ Takes",IF(IFERROR(VLOOKUP($A67,'Whitespace Analysis'!$A:$AH,24,0),0)=1,"◎ Should","– N/A"))</f>
        <v>◎ Should</v>
      </c>
      <c r="Q67" s="156" t="str">
        <f>IF(COUNTIFS('Product Order Book'!$A:$A,$A67,'Product Order Book'!$E:$E,Q$3)&gt;0,"✓ Takes",IF(IFERROR(VLOOKUP($A67,'Whitespace Analysis'!$A:$AH,26,0),0)=1,"◎ Should","– N/A"))</f>
        <v>◎ Should</v>
      </c>
      <c r="R67" s="156" t="str">
        <f>IF(COUNTIFS('Product Order Book'!$A:$A,$A67,'Product Order Book'!$E:$E,R$3)&gt;0,"✓ Takes",IF(IFERROR(VLOOKUP($A67,'Whitespace Analysis'!$A:$AH,16,0),0)=1,"◎ Should","– N/A"))</f>
        <v>– N/A</v>
      </c>
      <c r="S67" s="156" t="str">
        <f>IF(COUNTIFS('Product Order Book'!$A:$A,$A67,'Product Order Book'!$E:$E,S$3)&gt;0,"✓ Takes",IF(IFERROR(VLOOKUP($A67,'Whitespace Analysis'!$A:$AH,18,0),0)=1,"◎ Should","– N/A"))</f>
        <v>– N/A</v>
      </c>
      <c r="T67" s="156" t="str">
        <f>IF(COUNTIFS('Product Order Book'!$A:$A,$A67,'Product Order Book'!$E:$E,T$3)&gt;0,"✓ Takes",IF(IFERROR(VLOOKUP($A67,'Whitespace Analysis'!$A:$AH,28,0),0)=1,"◎ Should","– N/A"))</f>
        <v>– N/A</v>
      </c>
      <c r="U67" s="156" t="str">
        <f>IF(COUNTIFS('Product Order Book'!$A:$A,$A67,'Product Order Book'!$E:$E,U$3)&gt;0,"✓ Takes",IF(IFERROR(VLOOKUP($A67,'Whitespace Analysis'!$A:$AH,30,0),0)=1,"◎ Should","– N/A"))</f>
        <v>– N/A</v>
      </c>
      <c r="V67" s="156" t="str">
        <f>IF(COUNTIFS('Product Order Book'!$A:$A,$A67,'Product Order Book'!$E:$E,V$3)&gt;0,"✓ Takes",IF(IFERROR(VLOOKUP($A67,'Whitespace Analysis'!$A:$AH,14,0),0)=1,"◎ Should","– N/A"))</f>
        <v>◎ Should</v>
      </c>
    </row>
    <row r="68" spans="1:22" ht="15" customHeight="1">
      <c r="A68" s="154" t="str">
        <v>Energy Exemplar (Europe) Limited</v>
      </c>
      <c r="B68" s="155">
        <f>IFERROR(MIN(1,COUNTIFS('Product Order Book'!$A$2:$A$1057,$A68,'Product Order Book'!$E$2:$E$1057,B$3)/INDEX('Clean Package Product Lists'!$C:$C,MATCH(B$3,'Clean Package Product Lists'!$A:$A,0))),"")</f>
        <v>1</v>
      </c>
      <c r="C68" s="155">
        <f>IFERROR(MIN(1,COUNTIFS('Product Order Book'!$A$2:$A$1057,$A68,'Product Order Book'!$E$2:$E$1057,C$3)/INDEX('Clean Package Product Lists'!$C:$C,MATCH(C$3,'Clean Package Product Lists'!$A:$A,0))),"")</f>
        <v>0</v>
      </c>
      <c r="D68" s="155">
        <f>IFERROR(MIN(1,COUNTIFS('Product Order Book'!$A$2:$A$1057,$A68,'Product Order Book'!$E$2:$E$1057,D$3)/INDEX('Clean Package Product Lists'!$C:$C,MATCH(D$3,'Clean Package Product Lists'!$A:$A,0))),"")</f>
        <v>0</v>
      </c>
      <c r="E68" s="155">
        <f>IFERROR(MIN(1,COUNTIFS('Product Order Book'!$A$2:$A$1057,$A68,'Product Order Book'!$E$2:$E$1057,E$3)/INDEX('Clean Package Product Lists'!$C:$C,MATCH(E$3,'Clean Package Product Lists'!$A:$A,0))),"")</f>
        <v>0</v>
      </c>
      <c r="F68" s="155">
        <f>IFERROR(MIN(1,COUNTIFS('Product Order Book'!$A$2:$A$1057,$A68,'Product Order Book'!$E$2:$E$1057,F$3)/INDEX('Clean Package Product Lists'!$C:$C,MATCH(F$3,'Clean Package Product Lists'!$A:$A,0))),"")</f>
        <v>0</v>
      </c>
      <c r="G68" s="155">
        <f>IFERROR(MIN(1,COUNTIFS('Product Order Book'!$A$2:$A$1057,$A68,'Product Order Book'!$E$2:$E$1057,G$3)/INDEX('Clean Package Product Lists'!$C:$C,MATCH(G$3,'Clean Package Product Lists'!$A:$A,0))),"")</f>
        <v>0</v>
      </c>
      <c r="H68" s="155">
        <f>IFERROR(MIN(1,COUNTIFS('Product Order Book'!$A$2:$A$1057,$A68,'Product Order Book'!$E$2:$E$1057,H$3)/INDEX('Clean Package Product Lists'!$C:$C,MATCH(H$3,'Clean Package Product Lists'!$A:$A,0))),"")</f>
        <v>0</v>
      </c>
      <c r="I68" s="155">
        <f>IFERROR(MIN(1,COUNTIFS('Product Order Book'!$A$2:$A$1057,$A68,'Product Order Book'!$E$2:$E$1057,I$3)/INDEX('Clean Package Product Lists'!$C:$C,MATCH(I$3,'Clean Package Product Lists'!$A:$A,0))),"")</f>
        <v>0</v>
      </c>
      <c r="J68" s="155">
        <f>IFERROR(MIN(1,COUNTIFS('Product Order Book'!$A$2:$A$1057,$A68,'Product Order Book'!$E$2:$E$1057,J$3)/INDEX('Clean Package Product Lists'!$C:$C,MATCH(J$3,'Clean Package Product Lists'!$A:$A,0))),"")</f>
        <v>0</v>
      </c>
      <c r="K68" s="155">
        <f>IFERROR(MIN(1,COUNTIFS('Product Order Book'!$A$2:$A$1057,$A68,'Product Order Book'!$E$2:$E$1057,K$3)/INDEX('Clean Package Product Lists'!$C:$C,MATCH(K$3,'Clean Package Product Lists'!$A:$A,0))),"")</f>
        <v>0</v>
      </c>
      <c r="L68" s="154"/>
      <c r="M68" s="156" t="str">
        <f>IF(COUNTIFS('Product Order Book'!$A:$A,$A68,'Product Order Book'!$E:$E,M$3)&gt;0,"✓ Takes",IF(IFERROR(VLOOKUP($A68,'Whitespace Analysis'!$A:$AH,12,0),0)=1,"◎ Should","– N/A"))</f>
        <v>✓ Takes</v>
      </c>
      <c r="N68" s="156" t="str">
        <f>IF(COUNTIFS('Product Order Book'!$A:$A,$A68,'Product Order Book'!$E:$E,N$3)&gt;0,"✓ Takes",IF(IFERROR(VLOOKUP($A68,'Whitespace Analysis'!$A:$AH,20,0),0)=1,"◎ Should","– N/A"))</f>
        <v>– N/A</v>
      </c>
      <c r="O68" s="156" t="str">
        <f>IF(COUNTIFS('Product Order Book'!$A:$A,$A68,'Product Order Book'!$E:$E,O$3)&gt;0,"✓ Takes",IF(IFERROR(VLOOKUP($A68,'Whitespace Analysis'!$A:$AH,22,0),0)=1,"◎ Should","– N/A"))</f>
        <v>– N/A</v>
      </c>
      <c r="P68" s="156" t="str">
        <f>IF(COUNTIFS('Product Order Book'!$A:$A,$A68,'Product Order Book'!$E:$E,P$3)&gt;0,"✓ Takes",IF(IFERROR(VLOOKUP($A68,'Whitespace Analysis'!$A:$AH,24,0),0)=1,"◎ Should","– N/A"))</f>
        <v>– N/A</v>
      </c>
      <c r="Q68" s="156" t="str">
        <f>IF(COUNTIFS('Product Order Book'!$A:$A,$A68,'Product Order Book'!$E:$E,Q$3)&gt;0,"✓ Takes",IF(IFERROR(VLOOKUP($A68,'Whitespace Analysis'!$A:$AH,26,0),0)=1,"◎ Should","– N/A"))</f>
        <v>– N/A</v>
      </c>
      <c r="R68" s="156" t="str">
        <f>IF(COUNTIFS('Product Order Book'!$A:$A,$A68,'Product Order Book'!$E:$E,R$3)&gt;0,"✓ Takes",IF(IFERROR(VLOOKUP($A68,'Whitespace Analysis'!$A:$AH,16,0),0)=1,"◎ Should","– N/A"))</f>
        <v>– N/A</v>
      </c>
      <c r="S68" s="156" t="str">
        <f>IF(COUNTIFS('Product Order Book'!$A:$A,$A68,'Product Order Book'!$E:$E,S$3)&gt;0,"✓ Takes",IF(IFERROR(VLOOKUP($A68,'Whitespace Analysis'!$A:$AH,18,0),0)=1,"◎ Should","– N/A"))</f>
        <v>– N/A</v>
      </c>
      <c r="T68" s="156" t="str">
        <f>IF(COUNTIFS('Product Order Book'!$A:$A,$A68,'Product Order Book'!$E:$E,T$3)&gt;0,"✓ Takes",IF(IFERROR(VLOOKUP($A68,'Whitespace Analysis'!$A:$AH,28,0),0)=1,"◎ Should","– N/A"))</f>
        <v>– N/A</v>
      </c>
      <c r="U68" s="156" t="str">
        <f>IF(COUNTIFS('Product Order Book'!$A:$A,$A68,'Product Order Book'!$E:$E,U$3)&gt;0,"✓ Takes",IF(IFERROR(VLOOKUP($A68,'Whitespace Analysis'!$A:$AH,30,0),0)=1,"◎ Should","– N/A"))</f>
        <v>– N/A</v>
      </c>
      <c r="V68" s="156" t="str">
        <f>IF(COUNTIFS('Product Order Book'!$A:$A,$A68,'Product Order Book'!$E:$E,V$3)&gt;0,"✓ Takes",IF(IFERROR(VLOOKUP($A68,'Whitespace Analysis'!$A:$AH,14,0),0)=1,"◎ Should","– N/A"))</f>
        <v>– N/A</v>
      </c>
    </row>
    <row r="69" spans="1:22" ht="15" customHeight="1">
      <c r="A69" s="154" t="str">
        <v>Energy Intensive Users Group (EIUG)</v>
      </c>
      <c r="B69" s="155">
        <f>IFERROR(MIN(1,COUNTIFS('Product Order Book'!$A$2:$A$1057,$A69,'Product Order Book'!$E$2:$E$1057,B$3)/INDEX('Clean Package Product Lists'!$C:$C,MATCH(B$3,'Clean Package Product Lists'!$A:$A,0))),"")</f>
        <v>1</v>
      </c>
      <c r="C69" s="155">
        <f>IFERROR(MIN(1,COUNTIFS('Product Order Book'!$A$2:$A$1057,$A69,'Product Order Book'!$E$2:$E$1057,C$3)/INDEX('Clean Package Product Lists'!$C:$C,MATCH(C$3,'Clean Package Product Lists'!$A:$A,0))),"")</f>
        <v>0</v>
      </c>
      <c r="D69" s="155">
        <f>IFERROR(MIN(1,COUNTIFS('Product Order Book'!$A$2:$A$1057,$A69,'Product Order Book'!$E$2:$E$1057,D$3)/INDEX('Clean Package Product Lists'!$C:$C,MATCH(D$3,'Clean Package Product Lists'!$A:$A,0))),"")</f>
        <v>0</v>
      </c>
      <c r="E69" s="155">
        <f>IFERROR(MIN(1,COUNTIFS('Product Order Book'!$A$2:$A$1057,$A69,'Product Order Book'!$E$2:$E$1057,E$3)/INDEX('Clean Package Product Lists'!$C:$C,MATCH(E$3,'Clean Package Product Lists'!$A:$A,0))),"")</f>
        <v>0</v>
      </c>
      <c r="F69" s="155">
        <f>IFERROR(MIN(1,COUNTIFS('Product Order Book'!$A$2:$A$1057,$A69,'Product Order Book'!$E$2:$E$1057,F$3)/INDEX('Clean Package Product Lists'!$C:$C,MATCH(F$3,'Clean Package Product Lists'!$A:$A,0))),"")</f>
        <v>0</v>
      </c>
      <c r="G69" s="155">
        <f>IFERROR(MIN(1,COUNTIFS('Product Order Book'!$A$2:$A$1057,$A69,'Product Order Book'!$E$2:$E$1057,G$3)/INDEX('Clean Package Product Lists'!$C:$C,MATCH(G$3,'Clean Package Product Lists'!$A:$A,0))),"")</f>
        <v>0</v>
      </c>
      <c r="H69" s="155">
        <f>IFERROR(MIN(1,COUNTIFS('Product Order Book'!$A$2:$A$1057,$A69,'Product Order Book'!$E$2:$E$1057,H$3)/INDEX('Clean Package Product Lists'!$C:$C,MATCH(H$3,'Clean Package Product Lists'!$A:$A,0))),"")</f>
        <v>0</v>
      </c>
      <c r="I69" s="155">
        <f>IFERROR(MIN(1,COUNTIFS('Product Order Book'!$A$2:$A$1057,$A69,'Product Order Book'!$E$2:$E$1057,I$3)/INDEX('Clean Package Product Lists'!$C:$C,MATCH(I$3,'Clean Package Product Lists'!$A:$A,0))),"")</f>
        <v>0</v>
      </c>
      <c r="J69" s="155">
        <f>IFERROR(MIN(1,COUNTIFS('Product Order Book'!$A$2:$A$1057,$A69,'Product Order Book'!$E$2:$E$1057,J$3)/INDEX('Clean Package Product Lists'!$C:$C,MATCH(J$3,'Clean Package Product Lists'!$A:$A,0))),"")</f>
        <v>0</v>
      </c>
      <c r="K69" s="155">
        <f>IFERROR(MIN(1,COUNTIFS('Product Order Book'!$A$2:$A$1057,$A69,'Product Order Book'!$E$2:$E$1057,K$3)/INDEX('Clean Package Product Lists'!$C:$C,MATCH(K$3,'Clean Package Product Lists'!$A:$A,0))),"")</f>
        <v>0</v>
      </c>
      <c r="L69" s="154"/>
      <c r="M69" s="156" t="str">
        <f>IF(COUNTIFS('Product Order Book'!$A:$A,$A69,'Product Order Book'!$E:$E,M$3)&gt;0,"✓ Takes",IF(IFERROR(VLOOKUP($A69,'Whitespace Analysis'!$A:$AH,12,0),0)=1,"◎ Should","– N/A"))</f>
        <v>✓ Takes</v>
      </c>
      <c r="N69" s="156" t="str">
        <f>IF(COUNTIFS('Product Order Book'!$A:$A,$A69,'Product Order Book'!$E:$E,N$3)&gt;0,"✓ Takes",IF(IFERROR(VLOOKUP($A69,'Whitespace Analysis'!$A:$AH,20,0),0)=1,"◎ Should","– N/A"))</f>
        <v>– N/A</v>
      </c>
      <c r="O69" s="156" t="str">
        <f>IF(COUNTIFS('Product Order Book'!$A:$A,$A69,'Product Order Book'!$E:$E,O$3)&gt;0,"✓ Takes",IF(IFERROR(VLOOKUP($A69,'Whitespace Analysis'!$A:$AH,22,0),0)=1,"◎ Should","– N/A"))</f>
        <v>– N/A</v>
      </c>
      <c r="P69" s="156" t="str">
        <f>IF(COUNTIFS('Product Order Book'!$A:$A,$A69,'Product Order Book'!$E:$E,P$3)&gt;0,"✓ Takes",IF(IFERROR(VLOOKUP($A69,'Whitespace Analysis'!$A:$AH,24,0),0)=1,"◎ Should","– N/A"))</f>
        <v>– N/A</v>
      </c>
      <c r="Q69" s="156" t="str">
        <f>IF(COUNTIFS('Product Order Book'!$A:$A,$A69,'Product Order Book'!$E:$E,Q$3)&gt;0,"✓ Takes",IF(IFERROR(VLOOKUP($A69,'Whitespace Analysis'!$A:$AH,26,0),0)=1,"◎ Should","– N/A"))</f>
        <v>– N/A</v>
      </c>
      <c r="R69" s="156" t="str">
        <f>IF(COUNTIFS('Product Order Book'!$A:$A,$A69,'Product Order Book'!$E:$E,R$3)&gt;0,"✓ Takes",IF(IFERROR(VLOOKUP($A69,'Whitespace Analysis'!$A:$AH,16,0),0)=1,"◎ Should","– N/A"))</f>
        <v>– N/A</v>
      </c>
      <c r="S69" s="156" t="str">
        <f>IF(COUNTIFS('Product Order Book'!$A:$A,$A69,'Product Order Book'!$E:$E,S$3)&gt;0,"✓ Takes",IF(IFERROR(VLOOKUP($A69,'Whitespace Analysis'!$A:$AH,18,0),0)=1,"◎ Should","– N/A"))</f>
        <v>– N/A</v>
      </c>
      <c r="T69" s="156" t="str">
        <f>IF(COUNTIFS('Product Order Book'!$A:$A,$A69,'Product Order Book'!$E:$E,T$3)&gt;0,"✓ Takes",IF(IFERROR(VLOOKUP($A69,'Whitespace Analysis'!$A:$AH,28,0),0)=1,"◎ Should","– N/A"))</f>
        <v>◎ Should</v>
      </c>
      <c r="U69" s="156" t="str">
        <f>IF(COUNTIFS('Product Order Book'!$A:$A,$A69,'Product Order Book'!$E:$E,U$3)&gt;0,"✓ Takes",IF(IFERROR(VLOOKUP($A69,'Whitespace Analysis'!$A:$AH,30,0),0)=1,"◎ Should","– N/A"))</f>
        <v>◎ Should</v>
      </c>
      <c r="V69" s="156" t="str">
        <f>IF(COUNTIFS('Product Order Book'!$A:$A,$A69,'Product Order Book'!$E:$E,V$3)&gt;0,"✓ Takes",IF(IFERROR(VLOOKUP($A69,'Whitespace Analysis'!$A:$AH,14,0),0)=1,"◎ Should","– N/A"))</f>
        <v>◎ Should</v>
      </c>
    </row>
    <row r="70" spans="1:22" ht="15" customHeight="1">
      <c r="A70" s="154" t="str">
        <v>Energy Power Resources Limited</v>
      </c>
      <c r="B70" s="155">
        <f>IFERROR(MIN(1,COUNTIFS('Product Order Book'!$A$2:$A$1057,$A70,'Product Order Book'!$E$2:$E$1057,B$3)/INDEX('Clean Package Product Lists'!$C:$C,MATCH(B$3,'Clean Package Product Lists'!$A:$A,0))),"")</f>
        <v>0</v>
      </c>
      <c r="C70" s="155">
        <f>IFERROR(MIN(1,COUNTIFS('Product Order Book'!$A$2:$A$1057,$A70,'Product Order Book'!$E$2:$E$1057,C$3)/INDEX('Clean Package Product Lists'!$C:$C,MATCH(C$3,'Clean Package Product Lists'!$A:$A,0))),"")</f>
        <v>0</v>
      </c>
      <c r="D70" s="155">
        <f>IFERROR(MIN(1,COUNTIFS('Product Order Book'!$A$2:$A$1057,$A70,'Product Order Book'!$E$2:$E$1057,D$3)/INDEX('Clean Package Product Lists'!$C:$C,MATCH(D$3,'Clean Package Product Lists'!$A:$A,0))),"")</f>
        <v>0.33333333333333331</v>
      </c>
      <c r="E70" s="155">
        <f>IFERROR(MIN(1,COUNTIFS('Product Order Book'!$A$2:$A$1057,$A70,'Product Order Book'!$E$2:$E$1057,E$3)/INDEX('Clean Package Product Lists'!$C:$C,MATCH(E$3,'Clean Package Product Lists'!$A:$A,0))),"")</f>
        <v>0</v>
      </c>
      <c r="F70" s="155">
        <f>IFERROR(MIN(1,COUNTIFS('Product Order Book'!$A$2:$A$1057,$A70,'Product Order Book'!$E$2:$E$1057,F$3)/INDEX('Clean Package Product Lists'!$C:$C,MATCH(F$3,'Clean Package Product Lists'!$A:$A,0))),"")</f>
        <v>0</v>
      </c>
      <c r="G70" s="155">
        <f>IFERROR(MIN(1,COUNTIFS('Product Order Book'!$A$2:$A$1057,$A70,'Product Order Book'!$E$2:$E$1057,G$3)/INDEX('Clean Package Product Lists'!$C:$C,MATCH(G$3,'Clean Package Product Lists'!$A:$A,0))),"")</f>
        <v>0</v>
      </c>
      <c r="H70" s="155">
        <f>IFERROR(MIN(1,COUNTIFS('Product Order Book'!$A$2:$A$1057,$A70,'Product Order Book'!$E$2:$E$1057,H$3)/INDEX('Clean Package Product Lists'!$C:$C,MATCH(H$3,'Clean Package Product Lists'!$A:$A,0))),"")</f>
        <v>0</v>
      </c>
      <c r="I70" s="155">
        <f>IFERROR(MIN(1,COUNTIFS('Product Order Book'!$A$2:$A$1057,$A70,'Product Order Book'!$E$2:$E$1057,I$3)/INDEX('Clean Package Product Lists'!$C:$C,MATCH(I$3,'Clean Package Product Lists'!$A:$A,0))),"")</f>
        <v>0</v>
      </c>
      <c r="J70" s="155">
        <f>IFERROR(MIN(1,COUNTIFS('Product Order Book'!$A$2:$A$1057,$A70,'Product Order Book'!$E$2:$E$1057,J$3)/INDEX('Clean Package Product Lists'!$C:$C,MATCH(J$3,'Clean Package Product Lists'!$A:$A,0))),"")</f>
        <v>1</v>
      </c>
      <c r="K70" s="155">
        <f>IFERROR(MIN(1,COUNTIFS('Product Order Book'!$A$2:$A$1057,$A70,'Product Order Book'!$E$2:$E$1057,K$3)/INDEX('Clean Package Product Lists'!$C:$C,MATCH(K$3,'Clean Package Product Lists'!$A:$A,0))),"")</f>
        <v>0</v>
      </c>
      <c r="L70" s="154"/>
      <c r="M70" s="156" t="str">
        <f>IF(COUNTIFS('Product Order Book'!$A:$A,$A70,'Product Order Book'!$E:$E,M$3)&gt;0,"✓ Takes",IF(IFERROR(VLOOKUP($A70,'Whitespace Analysis'!$A:$AH,12,0),0)=1,"◎ Should","– N/A"))</f>
        <v>◎ Should</v>
      </c>
      <c r="N70" s="156" t="str">
        <f>IF(COUNTIFS('Product Order Book'!$A:$A,$A70,'Product Order Book'!$E:$E,N$3)&gt;0,"✓ Takes",IF(IFERROR(VLOOKUP($A70,'Whitespace Analysis'!$A:$AH,20,0),0)=1,"◎ Should","– N/A"))</f>
        <v>◎ Should</v>
      </c>
      <c r="O70" s="156" t="str">
        <f>IF(COUNTIFS('Product Order Book'!$A:$A,$A70,'Product Order Book'!$E:$E,O$3)&gt;0,"✓ Takes",IF(IFERROR(VLOOKUP($A70,'Whitespace Analysis'!$A:$AH,22,0),0)=1,"◎ Should","– N/A"))</f>
        <v>✓ Takes</v>
      </c>
      <c r="P70" s="156" t="str">
        <f>IF(COUNTIFS('Product Order Book'!$A:$A,$A70,'Product Order Book'!$E:$E,P$3)&gt;0,"✓ Takes",IF(IFERROR(VLOOKUP($A70,'Whitespace Analysis'!$A:$AH,24,0),0)=1,"◎ Should","– N/A"))</f>
        <v>◎ Should</v>
      </c>
      <c r="Q70" s="156" t="str">
        <f>IF(COUNTIFS('Product Order Book'!$A:$A,$A70,'Product Order Book'!$E:$E,Q$3)&gt;0,"✓ Takes",IF(IFERROR(VLOOKUP($A70,'Whitespace Analysis'!$A:$AH,26,0),0)=1,"◎ Should","– N/A"))</f>
        <v>◎ Should</v>
      </c>
      <c r="R70" s="156" t="str">
        <f>IF(COUNTIFS('Product Order Book'!$A:$A,$A70,'Product Order Book'!$E:$E,R$3)&gt;0,"✓ Takes",IF(IFERROR(VLOOKUP($A70,'Whitespace Analysis'!$A:$AH,16,0),0)=1,"◎ Should","– N/A"))</f>
        <v>– N/A</v>
      </c>
      <c r="S70" s="156" t="str">
        <f>IF(COUNTIFS('Product Order Book'!$A:$A,$A70,'Product Order Book'!$E:$E,S$3)&gt;0,"✓ Takes",IF(IFERROR(VLOOKUP($A70,'Whitespace Analysis'!$A:$AH,18,0),0)=1,"◎ Should","– N/A"))</f>
        <v>– N/A</v>
      </c>
      <c r="T70" s="156" t="str">
        <f>IF(COUNTIFS('Product Order Book'!$A:$A,$A70,'Product Order Book'!$E:$E,T$3)&gt;0,"✓ Takes",IF(IFERROR(VLOOKUP($A70,'Whitespace Analysis'!$A:$AH,28,0),0)=1,"◎ Should","– N/A"))</f>
        <v>– N/A</v>
      </c>
      <c r="U70" s="156" t="str">
        <f>IF(COUNTIFS('Product Order Book'!$A:$A,$A70,'Product Order Book'!$E:$E,U$3)&gt;0,"✓ Takes",IF(IFERROR(VLOOKUP($A70,'Whitespace Analysis'!$A:$AH,30,0),0)=1,"◎ Should","– N/A"))</f>
        <v>✓ Takes</v>
      </c>
      <c r="V70" s="156" t="str">
        <f>IF(COUNTIFS('Product Order Book'!$A:$A,$A70,'Product Order Book'!$E:$E,V$3)&gt;0,"✓ Takes",IF(IFERROR(VLOOKUP($A70,'Whitespace Analysis'!$A:$AH,14,0),0)=1,"◎ Should","– N/A"))</f>
        <v>◎ Should</v>
      </c>
    </row>
    <row r="71" spans="1:22" ht="15" customHeight="1">
      <c r="A71" s="154" t="str">
        <v>Energy Systems Catapult Limited</v>
      </c>
      <c r="B71" s="155">
        <f>IFERROR(MIN(1,COUNTIFS('Product Order Book'!$A$2:$A$1057,$A71,'Product Order Book'!$E$2:$E$1057,B$3)/INDEX('Clean Package Product Lists'!$C:$C,MATCH(B$3,'Clean Package Product Lists'!$A:$A,0))),"")</f>
        <v>1</v>
      </c>
      <c r="C71" s="155">
        <f>IFERROR(MIN(1,COUNTIFS('Product Order Book'!$A$2:$A$1057,$A71,'Product Order Book'!$E$2:$E$1057,C$3)/INDEX('Clean Package Product Lists'!$C:$C,MATCH(C$3,'Clean Package Product Lists'!$A:$A,0))),"")</f>
        <v>0.14285714285714285</v>
      </c>
      <c r="D71" s="155">
        <f>IFERROR(MIN(1,COUNTIFS('Product Order Book'!$A$2:$A$1057,$A71,'Product Order Book'!$E$2:$E$1057,D$3)/INDEX('Clean Package Product Lists'!$C:$C,MATCH(D$3,'Clean Package Product Lists'!$A:$A,0))),"")</f>
        <v>0</v>
      </c>
      <c r="E71" s="155">
        <f>IFERROR(MIN(1,COUNTIFS('Product Order Book'!$A$2:$A$1057,$A71,'Product Order Book'!$E$2:$E$1057,E$3)/INDEX('Clean Package Product Lists'!$C:$C,MATCH(E$3,'Clean Package Product Lists'!$A:$A,0))),"")</f>
        <v>0</v>
      </c>
      <c r="F71" s="155">
        <f>IFERROR(MIN(1,COUNTIFS('Product Order Book'!$A$2:$A$1057,$A71,'Product Order Book'!$E$2:$E$1057,F$3)/INDEX('Clean Package Product Lists'!$C:$C,MATCH(F$3,'Clean Package Product Lists'!$A:$A,0))),"")</f>
        <v>0</v>
      </c>
      <c r="G71" s="155">
        <f>IFERROR(MIN(1,COUNTIFS('Product Order Book'!$A$2:$A$1057,$A71,'Product Order Book'!$E$2:$E$1057,G$3)/INDEX('Clean Package Product Lists'!$C:$C,MATCH(G$3,'Clean Package Product Lists'!$A:$A,0))),"")</f>
        <v>0</v>
      </c>
      <c r="H71" s="155">
        <f>IFERROR(MIN(1,COUNTIFS('Product Order Book'!$A$2:$A$1057,$A71,'Product Order Book'!$E$2:$E$1057,H$3)/INDEX('Clean Package Product Lists'!$C:$C,MATCH(H$3,'Clean Package Product Lists'!$A:$A,0))),"")</f>
        <v>0</v>
      </c>
      <c r="I71" s="155">
        <f>IFERROR(MIN(1,COUNTIFS('Product Order Book'!$A$2:$A$1057,$A71,'Product Order Book'!$E$2:$E$1057,I$3)/INDEX('Clean Package Product Lists'!$C:$C,MATCH(I$3,'Clean Package Product Lists'!$A:$A,0))),"")</f>
        <v>0</v>
      </c>
      <c r="J71" s="155">
        <f>IFERROR(MIN(1,COUNTIFS('Product Order Book'!$A$2:$A$1057,$A71,'Product Order Book'!$E$2:$E$1057,J$3)/INDEX('Clean Package Product Lists'!$C:$C,MATCH(J$3,'Clean Package Product Lists'!$A:$A,0))),"")</f>
        <v>0</v>
      </c>
      <c r="K71" s="155">
        <f>IFERROR(MIN(1,COUNTIFS('Product Order Book'!$A$2:$A$1057,$A71,'Product Order Book'!$E$2:$E$1057,K$3)/INDEX('Clean Package Product Lists'!$C:$C,MATCH(K$3,'Clean Package Product Lists'!$A:$A,0))),"")</f>
        <v>0</v>
      </c>
      <c r="L71" s="154"/>
      <c r="M71" s="156" t="str">
        <f>IF(COUNTIFS('Product Order Book'!$A:$A,$A71,'Product Order Book'!$E:$E,M$3)&gt;0,"✓ Takes",IF(IFERROR(VLOOKUP($A71,'Whitespace Analysis'!$A:$AH,12,0),0)=1,"◎ Should","– N/A"))</f>
        <v>✓ Takes</v>
      </c>
      <c r="N71" s="156" t="str">
        <f>IF(COUNTIFS('Product Order Book'!$A:$A,$A71,'Product Order Book'!$E:$E,N$3)&gt;0,"✓ Takes",IF(IFERROR(VLOOKUP($A71,'Whitespace Analysis'!$A:$AH,20,0),0)=1,"◎ Should","– N/A"))</f>
        <v>✓ Takes</v>
      </c>
      <c r="O71" s="156" t="str">
        <f>IF(COUNTIFS('Product Order Book'!$A:$A,$A71,'Product Order Book'!$E:$E,O$3)&gt;0,"✓ Takes",IF(IFERROR(VLOOKUP($A71,'Whitespace Analysis'!$A:$AH,22,0),0)=1,"◎ Should","– N/A"))</f>
        <v>– N/A</v>
      </c>
      <c r="P71" s="156" t="str">
        <f>IF(COUNTIFS('Product Order Book'!$A:$A,$A71,'Product Order Book'!$E:$E,P$3)&gt;0,"✓ Takes",IF(IFERROR(VLOOKUP($A71,'Whitespace Analysis'!$A:$AH,24,0),0)=1,"◎ Should","– N/A"))</f>
        <v>– N/A</v>
      </c>
      <c r="Q71" s="156" t="str">
        <f>IF(COUNTIFS('Product Order Book'!$A:$A,$A71,'Product Order Book'!$E:$E,Q$3)&gt;0,"✓ Takes",IF(IFERROR(VLOOKUP($A71,'Whitespace Analysis'!$A:$AH,26,0),0)=1,"◎ Should","– N/A"))</f>
        <v>– N/A</v>
      </c>
      <c r="R71" s="156" t="str">
        <f>IF(COUNTIFS('Product Order Book'!$A:$A,$A71,'Product Order Book'!$E:$E,R$3)&gt;0,"✓ Takes",IF(IFERROR(VLOOKUP($A71,'Whitespace Analysis'!$A:$AH,16,0),0)=1,"◎ Should","– N/A"))</f>
        <v>– N/A</v>
      </c>
      <c r="S71" s="156" t="str">
        <f>IF(COUNTIFS('Product Order Book'!$A:$A,$A71,'Product Order Book'!$E:$E,S$3)&gt;0,"✓ Takes",IF(IFERROR(VLOOKUP($A71,'Whitespace Analysis'!$A:$AH,18,0),0)=1,"◎ Should","– N/A"))</f>
        <v>– N/A</v>
      </c>
      <c r="T71" s="156" t="str">
        <f>IF(COUNTIFS('Product Order Book'!$A:$A,$A71,'Product Order Book'!$E:$E,T$3)&gt;0,"✓ Takes",IF(IFERROR(VLOOKUP($A71,'Whitespace Analysis'!$A:$AH,28,0),0)=1,"◎ Should","– N/A"))</f>
        <v>– N/A</v>
      </c>
      <c r="U71" s="156" t="str">
        <f>IF(COUNTIFS('Product Order Book'!$A:$A,$A71,'Product Order Book'!$E:$E,U$3)&gt;0,"✓ Takes",IF(IFERROR(VLOOKUP($A71,'Whitespace Analysis'!$A:$AH,30,0),0)=1,"◎ Should","– N/A"))</f>
        <v>– N/A</v>
      </c>
      <c r="V71" s="156" t="str">
        <f>IF(COUNTIFS('Product Order Book'!$A:$A,$A71,'Product Order Book'!$E:$E,V$3)&gt;0,"✓ Takes",IF(IFERROR(VLOOKUP($A71,'Whitespace Analysis'!$A:$AH,14,0),0)=1,"◎ Should","– N/A"))</f>
        <v>– N/A</v>
      </c>
    </row>
    <row r="72" spans="1:22" ht="15" customHeight="1">
      <c r="A72" s="154" t="str">
        <v>Enfinium Limited</v>
      </c>
      <c r="B72" s="155">
        <f>IFERROR(MIN(1,COUNTIFS('Product Order Book'!$A$2:$A$1057,$A72,'Product Order Book'!$E$2:$E$1057,B$3)/INDEX('Clean Package Product Lists'!$C:$C,MATCH(B$3,'Clean Package Product Lists'!$A:$A,0))),"")</f>
        <v>1</v>
      </c>
      <c r="C72" s="155">
        <f>IFERROR(MIN(1,COUNTIFS('Product Order Book'!$A$2:$A$1057,$A72,'Product Order Book'!$E$2:$E$1057,C$3)/INDEX('Clean Package Product Lists'!$C:$C,MATCH(C$3,'Clean Package Product Lists'!$A:$A,0))),"")</f>
        <v>0</v>
      </c>
      <c r="D72" s="155">
        <f>IFERROR(MIN(1,COUNTIFS('Product Order Book'!$A$2:$A$1057,$A72,'Product Order Book'!$E$2:$E$1057,D$3)/INDEX('Clean Package Product Lists'!$C:$C,MATCH(D$3,'Clean Package Product Lists'!$A:$A,0))),"")</f>
        <v>0</v>
      </c>
      <c r="E72" s="155">
        <f>IFERROR(MIN(1,COUNTIFS('Product Order Book'!$A$2:$A$1057,$A72,'Product Order Book'!$E$2:$E$1057,E$3)/INDEX('Clean Package Product Lists'!$C:$C,MATCH(E$3,'Clean Package Product Lists'!$A:$A,0))),"")</f>
        <v>0</v>
      </c>
      <c r="F72" s="155">
        <f>IFERROR(MIN(1,COUNTIFS('Product Order Book'!$A$2:$A$1057,$A72,'Product Order Book'!$E$2:$E$1057,F$3)/INDEX('Clean Package Product Lists'!$C:$C,MATCH(F$3,'Clean Package Product Lists'!$A:$A,0))),"")</f>
        <v>0</v>
      </c>
      <c r="G72" s="155">
        <f>IFERROR(MIN(1,COUNTIFS('Product Order Book'!$A$2:$A$1057,$A72,'Product Order Book'!$E$2:$E$1057,G$3)/INDEX('Clean Package Product Lists'!$C:$C,MATCH(G$3,'Clean Package Product Lists'!$A:$A,0))),"")</f>
        <v>0</v>
      </c>
      <c r="H72" s="155">
        <f>IFERROR(MIN(1,COUNTIFS('Product Order Book'!$A$2:$A$1057,$A72,'Product Order Book'!$E$2:$E$1057,H$3)/INDEX('Clean Package Product Lists'!$C:$C,MATCH(H$3,'Clean Package Product Lists'!$A:$A,0))),"")</f>
        <v>0</v>
      </c>
      <c r="I72" s="155">
        <f>IFERROR(MIN(1,COUNTIFS('Product Order Book'!$A$2:$A$1057,$A72,'Product Order Book'!$E$2:$E$1057,I$3)/INDEX('Clean Package Product Lists'!$C:$C,MATCH(I$3,'Clean Package Product Lists'!$A:$A,0))),"")</f>
        <v>0</v>
      </c>
      <c r="J72" s="155">
        <f>IFERROR(MIN(1,COUNTIFS('Product Order Book'!$A$2:$A$1057,$A72,'Product Order Book'!$E$2:$E$1057,J$3)/INDEX('Clean Package Product Lists'!$C:$C,MATCH(J$3,'Clean Package Product Lists'!$A:$A,0))),"")</f>
        <v>1</v>
      </c>
      <c r="K72" s="155">
        <f>IFERROR(MIN(1,COUNTIFS('Product Order Book'!$A$2:$A$1057,$A72,'Product Order Book'!$E$2:$E$1057,K$3)/INDEX('Clean Package Product Lists'!$C:$C,MATCH(K$3,'Clean Package Product Lists'!$A:$A,0))),"")</f>
        <v>0</v>
      </c>
      <c r="L72" s="154"/>
      <c r="M72" s="156" t="str">
        <f>IF(COUNTIFS('Product Order Book'!$A:$A,$A72,'Product Order Book'!$E:$E,M$3)&gt;0,"✓ Takes",IF(IFERROR(VLOOKUP($A72,'Whitespace Analysis'!$A:$AH,12,0),0)=1,"◎ Should","– N/A"))</f>
        <v>✓ Takes</v>
      </c>
      <c r="N72" s="156" t="str">
        <f>IF(COUNTIFS('Product Order Book'!$A:$A,$A72,'Product Order Book'!$E:$E,N$3)&gt;0,"✓ Takes",IF(IFERROR(VLOOKUP($A72,'Whitespace Analysis'!$A:$AH,20,0),0)=1,"◎ Should","– N/A"))</f>
        <v>◎ Should</v>
      </c>
      <c r="O72" s="156" t="str">
        <f>IF(COUNTIFS('Product Order Book'!$A:$A,$A72,'Product Order Book'!$E:$E,O$3)&gt;0,"✓ Takes",IF(IFERROR(VLOOKUP($A72,'Whitespace Analysis'!$A:$AH,22,0),0)=1,"◎ Should","– N/A"))</f>
        <v>◎ Should</v>
      </c>
      <c r="P72" s="156" t="str">
        <f>IF(COUNTIFS('Product Order Book'!$A:$A,$A72,'Product Order Book'!$E:$E,P$3)&gt;0,"✓ Takes",IF(IFERROR(VLOOKUP($A72,'Whitespace Analysis'!$A:$AH,24,0),0)=1,"◎ Should","– N/A"))</f>
        <v>◎ Should</v>
      </c>
      <c r="Q72" s="156" t="str">
        <f>IF(COUNTIFS('Product Order Book'!$A:$A,$A72,'Product Order Book'!$E:$E,Q$3)&gt;0,"✓ Takes",IF(IFERROR(VLOOKUP($A72,'Whitespace Analysis'!$A:$AH,26,0),0)=1,"◎ Should","– N/A"))</f>
        <v>◎ Should</v>
      </c>
      <c r="R72" s="156" t="str">
        <f>IF(COUNTIFS('Product Order Book'!$A:$A,$A72,'Product Order Book'!$E:$E,R$3)&gt;0,"✓ Takes",IF(IFERROR(VLOOKUP($A72,'Whitespace Analysis'!$A:$AH,16,0),0)=1,"◎ Should","– N/A"))</f>
        <v>– N/A</v>
      </c>
      <c r="S72" s="156" t="str">
        <f>IF(COUNTIFS('Product Order Book'!$A:$A,$A72,'Product Order Book'!$E:$E,S$3)&gt;0,"✓ Takes",IF(IFERROR(VLOOKUP($A72,'Whitespace Analysis'!$A:$AH,18,0),0)=1,"◎ Should","– N/A"))</f>
        <v>– N/A</v>
      </c>
      <c r="T72" s="156" t="str">
        <f>IF(COUNTIFS('Product Order Book'!$A:$A,$A72,'Product Order Book'!$E:$E,T$3)&gt;0,"✓ Takes",IF(IFERROR(VLOOKUP($A72,'Whitespace Analysis'!$A:$AH,28,0),0)=1,"◎ Should","– N/A"))</f>
        <v>– N/A</v>
      </c>
      <c r="U72" s="156" t="str">
        <f>IF(COUNTIFS('Product Order Book'!$A:$A,$A72,'Product Order Book'!$E:$E,U$3)&gt;0,"✓ Takes",IF(IFERROR(VLOOKUP($A72,'Whitespace Analysis'!$A:$AH,30,0),0)=1,"◎ Should","– N/A"))</f>
        <v>✓ Takes</v>
      </c>
      <c r="V72" s="156" t="str">
        <f>IF(COUNTIFS('Product Order Book'!$A:$A,$A72,'Product Order Book'!$E:$E,V$3)&gt;0,"✓ Takes",IF(IFERROR(VLOOKUP($A72,'Whitespace Analysis'!$A:$AH,14,0),0)=1,"◎ Should","– N/A"))</f>
        <v>◎ Should</v>
      </c>
    </row>
    <row r="73" spans="1:22" ht="15" customHeight="1">
      <c r="A73" s="154" t="str">
        <v>ENGIE Power Limited</v>
      </c>
      <c r="B73" s="155">
        <f>IFERROR(MIN(1,COUNTIFS('Product Order Book'!$A$2:$A$1057,$A73,'Product Order Book'!$E$2:$E$1057,B$3)/INDEX('Clean Package Product Lists'!$C:$C,MATCH(B$3,'Clean Package Product Lists'!$A:$A,0))),"")</f>
        <v>1</v>
      </c>
      <c r="C73" s="155">
        <f>IFERROR(MIN(1,COUNTIFS('Product Order Book'!$A$2:$A$1057,$A73,'Product Order Book'!$E$2:$E$1057,C$3)/INDEX('Clean Package Product Lists'!$C:$C,MATCH(C$3,'Clean Package Product Lists'!$A:$A,0))),"")</f>
        <v>0.7142857142857143</v>
      </c>
      <c r="D73" s="155">
        <f>IFERROR(MIN(1,COUNTIFS('Product Order Book'!$A$2:$A$1057,$A73,'Product Order Book'!$E$2:$E$1057,D$3)/INDEX('Clean Package Product Lists'!$C:$C,MATCH(D$3,'Clean Package Product Lists'!$A:$A,0))),"")</f>
        <v>0</v>
      </c>
      <c r="E73" s="155">
        <f>IFERROR(MIN(1,COUNTIFS('Product Order Book'!$A$2:$A$1057,$A73,'Product Order Book'!$E$2:$E$1057,E$3)/INDEX('Clean Package Product Lists'!$C:$C,MATCH(E$3,'Clean Package Product Lists'!$A:$A,0))),"")</f>
        <v>0</v>
      </c>
      <c r="F73" s="155">
        <f>IFERROR(MIN(1,COUNTIFS('Product Order Book'!$A$2:$A$1057,$A73,'Product Order Book'!$E$2:$E$1057,F$3)/INDEX('Clean Package Product Lists'!$C:$C,MATCH(F$3,'Clean Package Product Lists'!$A:$A,0))),"")</f>
        <v>0</v>
      </c>
      <c r="G73" s="155">
        <f>IFERROR(MIN(1,COUNTIFS('Product Order Book'!$A$2:$A$1057,$A73,'Product Order Book'!$E$2:$E$1057,G$3)/INDEX('Clean Package Product Lists'!$C:$C,MATCH(G$3,'Clean Package Product Lists'!$A:$A,0))),"")</f>
        <v>0.63636363636363635</v>
      </c>
      <c r="H73" s="155">
        <f>IFERROR(MIN(1,COUNTIFS('Product Order Book'!$A$2:$A$1057,$A73,'Product Order Book'!$E$2:$E$1057,H$3)/INDEX('Clean Package Product Lists'!$C:$C,MATCH(H$3,'Clean Package Product Lists'!$A:$A,0))),"")</f>
        <v>1</v>
      </c>
      <c r="I73" s="155">
        <f>IFERROR(MIN(1,COUNTIFS('Product Order Book'!$A$2:$A$1057,$A73,'Product Order Book'!$E$2:$E$1057,I$3)/INDEX('Clean Package Product Lists'!$C:$C,MATCH(I$3,'Clean Package Product Lists'!$A:$A,0))),"")</f>
        <v>0</v>
      </c>
      <c r="J73" s="155">
        <f>IFERROR(MIN(1,COUNTIFS('Product Order Book'!$A$2:$A$1057,$A73,'Product Order Book'!$E$2:$E$1057,J$3)/INDEX('Clean Package Product Lists'!$C:$C,MATCH(J$3,'Clean Package Product Lists'!$A:$A,0))),"")</f>
        <v>0</v>
      </c>
      <c r="K73" s="155">
        <f>IFERROR(MIN(1,COUNTIFS('Product Order Book'!$A$2:$A$1057,$A73,'Product Order Book'!$E$2:$E$1057,K$3)/INDEX('Clean Package Product Lists'!$C:$C,MATCH(K$3,'Clean Package Product Lists'!$A:$A,0))),"")</f>
        <v>1</v>
      </c>
      <c r="L73" s="154"/>
      <c r="M73" s="156" t="str">
        <f>IF(COUNTIFS('Product Order Book'!$A:$A,$A73,'Product Order Book'!$E:$E,M$3)&gt;0,"✓ Takes",IF(IFERROR(VLOOKUP($A73,'Whitespace Analysis'!$A:$AH,12,0),0)=1,"◎ Should","– N/A"))</f>
        <v>✓ Takes</v>
      </c>
      <c r="N73" s="156" t="str">
        <f>IF(COUNTIFS('Product Order Book'!$A:$A,$A73,'Product Order Book'!$E:$E,N$3)&gt;0,"✓ Takes",IF(IFERROR(VLOOKUP($A73,'Whitespace Analysis'!$A:$AH,20,0),0)=1,"◎ Should","– N/A"))</f>
        <v>✓ Takes</v>
      </c>
      <c r="O73" s="156" t="str">
        <f>IF(COUNTIFS('Product Order Book'!$A:$A,$A73,'Product Order Book'!$E:$E,O$3)&gt;0,"✓ Takes",IF(IFERROR(VLOOKUP($A73,'Whitespace Analysis'!$A:$AH,22,0),0)=1,"◎ Should","– N/A"))</f>
        <v>◎ Should</v>
      </c>
      <c r="P73" s="156" t="str">
        <f>IF(COUNTIFS('Product Order Book'!$A:$A,$A73,'Product Order Book'!$E:$E,P$3)&gt;0,"✓ Takes",IF(IFERROR(VLOOKUP($A73,'Whitespace Analysis'!$A:$AH,24,0),0)=1,"◎ Should","– N/A"))</f>
        <v>◎ Should</v>
      </c>
      <c r="Q73" s="156" t="str">
        <f>IF(COUNTIFS('Product Order Book'!$A:$A,$A73,'Product Order Book'!$E:$E,Q$3)&gt;0,"✓ Takes",IF(IFERROR(VLOOKUP($A73,'Whitespace Analysis'!$A:$AH,26,0),0)=1,"◎ Should","– N/A"))</f>
        <v>◎ Should</v>
      </c>
      <c r="R73" s="156" t="str">
        <f>IF(COUNTIFS('Product Order Book'!$A:$A,$A73,'Product Order Book'!$E:$E,R$3)&gt;0,"✓ Takes",IF(IFERROR(VLOOKUP($A73,'Whitespace Analysis'!$A:$AH,16,0),0)=1,"◎ Should","– N/A"))</f>
        <v>✓ Takes</v>
      </c>
      <c r="S73" s="156" t="str">
        <f>IF(COUNTIFS('Product Order Book'!$A:$A,$A73,'Product Order Book'!$E:$E,S$3)&gt;0,"✓ Takes",IF(IFERROR(VLOOKUP($A73,'Whitespace Analysis'!$A:$AH,18,0),0)=1,"◎ Should","– N/A"))</f>
        <v>✓ Takes</v>
      </c>
      <c r="T73" s="156" t="str">
        <f>IF(COUNTIFS('Product Order Book'!$A:$A,$A73,'Product Order Book'!$E:$E,T$3)&gt;0,"✓ Takes",IF(IFERROR(VLOOKUP($A73,'Whitespace Analysis'!$A:$AH,28,0),0)=1,"◎ Should","– N/A"))</f>
        <v>– N/A</v>
      </c>
      <c r="U73" s="156" t="str">
        <f>IF(COUNTIFS('Product Order Book'!$A:$A,$A73,'Product Order Book'!$E:$E,U$3)&gt;0,"✓ Takes",IF(IFERROR(VLOOKUP($A73,'Whitespace Analysis'!$A:$AH,30,0),0)=1,"◎ Should","– N/A"))</f>
        <v>– N/A</v>
      </c>
      <c r="V73" s="156" t="str">
        <f>IF(COUNTIFS('Product Order Book'!$A:$A,$A73,'Product Order Book'!$E:$E,V$3)&gt;0,"✓ Takes",IF(IFERROR(VLOOKUP($A73,'Whitespace Analysis'!$A:$AH,14,0),0)=1,"◎ Should","– N/A"))</f>
        <v>✓ Takes</v>
      </c>
    </row>
    <row r="74" spans="1:22" ht="15" customHeight="1">
      <c r="A74" s="154" t="str">
        <v>Ensek Limited</v>
      </c>
      <c r="B74" s="155">
        <f>IFERROR(MIN(1,COUNTIFS('Product Order Book'!$A$2:$A$1057,$A74,'Product Order Book'!$E$2:$E$1057,B$3)/INDEX('Clean Package Product Lists'!$C:$C,MATCH(B$3,'Clean Package Product Lists'!$A:$A,0))),"")</f>
        <v>1</v>
      </c>
      <c r="C74" s="155">
        <f>IFERROR(MIN(1,COUNTIFS('Product Order Book'!$A$2:$A$1057,$A74,'Product Order Book'!$E$2:$E$1057,C$3)/INDEX('Clean Package Product Lists'!$C:$C,MATCH(C$3,'Clean Package Product Lists'!$A:$A,0))),"")</f>
        <v>0</v>
      </c>
      <c r="D74" s="155">
        <f>IFERROR(MIN(1,COUNTIFS('Product Order Book'!$A$2:$A$1057,$A74,'Product Order Book'!$E$2:$E$1057,D$3)/INDEX('Clean Package Product Lists'!$C:$C,MATCH(D$3,'Clean Package Product Lists'!$A:$A,0))),"")</f>
        <v>0</v>
      </c>
      <c r="E74" s="155">
        <f>IFERROR(MIN(1,COUNTIFS('Product Order Book'!$A$2:$A$1057,$A74,'Product Order Book'!$E$2:$E$1057,E$3)/INDEX('Clean Package Product Lists'!$C:$C,MATCH(E$3,'Clean Package Product Lists'!$A:$A,0))),"")</f>
        <v>0</v>
      </c>
      <c r="F74" s="155">
        <f>IFERROR(MIN(1,COUNTIFS('Product Order Book'!$A$2:$A$1057,$A74,'Product Order Book'!$E$2:$E$1057,F$3)/INDEX('Clean Package Product Lists'!$C:$C,MATCH(F$3,'Clean Package Product Lists'!$A:$A,0))),"")</f>
        <v>0</v>
      </c>
      <c r="G74" s="155">
        <f>IFERROR(MIN(1,COUNTIFS('Product Order Book'!$A$2:$A$1057,$A74,'Product Order Book'!$E$2:$E$1057,G$3)/INDEX('Clean Package Product Lists'!$C:$C,MATCH(G$3,'Clean Package Product Lists'!$A:$A,0))),"")</f>
        <v>0</v>
      </c>
      <c r="H74" s="155">
        <f>IFERROR(MIN(1,COUNTIFS('Product Order Book'!$A$2:$A$1057,$A74,'Product Order Book'!$E$2:$E$1057,H$3)/INDEX('Clean Package Product Lists'!$C:$C,MATCH(H$3,'Clean Package Product Lists'!$A:$A,0))),"")</f>
        <v>0.25</v>
      </c>
      <c r="I74" s="155">
        <f>IFERROR(MIN(1,COUNTIFS('Product Order Book'!$A$2:$A$1057,$A74,'Product Order Book'!$E$2:$E$1057,I$3)/INDEX('Clean Package Product Lists'!$C:$C,MATCH(I$3,'Clean Package Product Lists'!$A:$A,0))),"")</f>
        <v>0</v>
      </c>
      <c r="J74" s="155">
        <f>IFERROR(MIN(1,COUNTIFS('Product Order Book'!$A$2:$A$1057,$A74,'Product Order Book'!$E$2:$E$1057,J$3)/INDEX('Clean Package Product Lists'!$C:$C,MATCH(J$3,'Clean Package Product Lists'!$A:$A,0))),"")</f>
        <v>0</v>
      </c>
      <c r="K74" s="155">
        <f>IFERROR(MIN(1,COUNTIFS('Product Order Book'!$A$2:$A$1057,$A74,'Product Order Book'!$E$2:$E$1057,K$3)/INDEX('Clean Package Product Lists'!$C:$C,MATCH(K$3,'Clean Package Product Lists'!$A:$A,0))),"")</f>
        <v>0</v>
      </c>
      <c r="L74" s="154"/>
      <c r="M74" s="156" t="str">
        <f>IF(COUNTIFS('Product Order Book'!$A:$A,$A74,'Product Order Book'!$E:$E,M$3)&gt;0,"✓ Takes",IF(IFERROR(VLOOKUP($A74,'Whitespace Analysis'!$A:$AH,12,0),0)=1,"◎ Should","– N/A"))</f>
        <v>✓ Takes</v>
      </c>
      <c r="N74" s="156" t="str">
        <f>IF(COUNTIFS('Product Order Book'!$A:$A,$A74,'Product Order Book'!$E:$E,N$3)&gt;0,"✓ Takes",IF(IFERROR(VLOOKUP($A74,'Whitespace Analysis'!$A:$AH,20,0),0)=1,"◎ Should","– N/A"))</f>
        <v>– N/A</v>
      </c>
      <c r="O74" s="156" t="str">
        <f>IF(COUNTIFS('Product Order Book'!$A:$A,$A74,'Product Order Book'!$E:$E,O$3)&gt;0,"✓ Takes",IF(IFERROR(VLOOKUP($A74,'Whitespace Analysis'!$A:$AH,22,0),0)=1,"◎ Should","– N/A"))</f>
        <v>– N/A</v>
      </c>
      <c r="P74" s="156" t="str">
        <f>IF(COUNTIFS('Product Order Book'!$A:$A,$A74,'Product Order Book'!$E:$E,P$3)&gt;0,"✓ Takes",IF(IFERROR(VLOOKUP($A74,'Whitespace Analysis'!$A:$AH,24,0),0)=1,"◎ Should","– N/A"))</f>
        <v>– N/A</v>
      </c>
      <c r="Q74" s="156" t="str">
        <f>IF(COUNTIFS('Product Order Book'!$A:$A,$A74,'Product Order Book'!$E:$E,Q$3)&gt;0,"✓ Takes",IF(IFERROR(VLOOKUP($A74,'Whitespace Analysis'!$A:$AH,26,0),0)=1,"◎ Should","– N/A"))</f>
        <v>– N/A</v>
      </c>
      <c r="R74" s="156" t="str">
        <f>IF(COUNTIFS('Product Order Book'!$A:$A,$A74,'Product Order Book'!$E:$E,R$3)&gt;0,"✓ Takes",IF(IFERROR(VLOOKUP($A74,'Whitespace Analysis'!$A:$AH,16,0),0)=1,"◎ Should","– N/A"))</f>
        <v>– N/A</v>
      </c>
      <c r="S74" s="156" t="str">
        <f>IF(COUNTIFS('Product Order Book'!$A:$A,$A74,'Product Order Book'!$E:$E,S$3)&gt;0,"✓ Takes",IF(IFERROR(VLOOKUP($A74,'Whitespace Analysis'!$A:$AH,18,0),0)=1,"◎ Should","– N/A"))</f>
        <v>✓ Takes</v>
      </c>
      <c r="T74" s="156" t="str">
        <f>IF(COUNTIFS('Product Order Book'!$A:$A,$A74,'Product Order Book'!$E:$E,T$3)&gt;0,"✓ Takes",IF(IFERROR(VLOOKUP($A74,'Whitespace Analysis'!$A:$AH,28,0),0)=1,"◎ Should","– N/A"))</f>
        <v>– N/A</v>
      </c>
      <c r="U74" s="156" t="str">
        <f>IF(COUNTIFS('Product Order Book'!$A:$A,$A74,'Product Order Book'!$E:$E,U$3)&gt;0,"✓ Takes",IF(IFERROR(VLOOKUP($A74,'Whitespace Analysis'!$A:$AH,30,0),0)=1,"◎ Should","– N/A"))</f>
        <v>– N/A</v>
      </c>
      <c r="V74" s="156" t="str">
        <f>IF(COUNTIFS('Product Order Book'!$A:$A,$A74,'Product Order Book'!$E:$E,V$3)&gt;0,"✓ Takes",IF(IFERROR(VLOOKUP($A74,'Whitespace Analysis'!$A:$AH,14,0),0)=1,"◎ Should","– N/A"))</f>
        <v>◎ Should</v>
      </c>
    </row>
    <row r="75" spans="1:22" ht="15" customHeight="1">
      <c r="A75" s="154" t="str">
        <v>EPEX SPOT SE</v>
      </c>
      <c r="B75" s="155">
        <f>IFERROR(MIN(1,COUNTIFS('Product Order Book'!$A$2:$A$1057,$A75,'Product Order Book'!$E$2:$E$1057,B$3)/INDEX('Clean Package Product Lists'!$C:$C,MATCH(B$3,'Clean Package Product Lists'!$A:$A,0))),"")</f>
        <v>1</v>
      </c>
      <c r="C75" s="155">
        <f>IFERROR(MIN(1,COUNTIFS('Product Order Book'!$A$2:$A$1057,$A75,'Product Order Book'!$E$2:$E$1057,C$3)/INDEX('Clean Package Product Lists'!$C:$C,MATCH(C$3,'Clean Package Product Lists'!$A:$A,0))),"")</f>
        <v>0</v>
      </c>
      <c r="D75" s="155">
        <f>IFERROR(MIN(1,COUNTIFS('Product Order Book'!$A$2:$A$1057,$A75,'Product Order Book'!$E$2:$E$1057,D$3)/INDEX('Clean Package Product Lists'!$C:$C,MATCH(D$3,'Clean Package Product Lists'!$A:$A,0))),"")</f>
        <v>0</v>
      </c>
      <c r="E75" s="155">
        <f>IFERROR(MIN(1,COUNTIFS('Product Order Book'!$A$2:$A$1057,$A75,'Product Order Book'!$E$2:$E$1057,E$3)/INDEX('Clean Package Product Lists'!$C:$C,MATCH(E$3,'Clean Package Product Lists'!$A:$A,0))),"")</f>
        <v>0</v>
      </c>
      <c r="F75" s="155">
        <f>IFERROR(MIN(1,COUNTIFS('Product Order Book'!$A$2:$A$1057,$A75,'Product Order Book'!$E$2:$E$1057,F$3)/INDEX('Clean Package Product Lists'!$C:$C,MATCH(F$3,'Clean Package Product Lists'!$A:$A,0))),"")</f>
        <v>0</v>
      </c>
      <c r="G75" s="155">
        <f>IFERROR(MIN(1,COUNTIFS('Product Order Book'!$A$2:$A$1057,$A75,'Product Order Book'!$E$2:$E$1057,G$3)/INDEX('Clean Package Product Lists'!$C:$C,MATCH(G$3,'Clean Package Product Lists'!$A:$A,0))),"")</f>
        <v>0</v>
      </c>
      <c r="H75" s="155">
        <f>IFERROR(MIN(1,COUNTIFS('Product Order Book'!$A$2:$A$1057,$A75,'Product Order Book'!$E$2:$E$1057,H$3)/INDEX('Clean Package Product Lists'!$C:$C,MATCH(H$3,'Clean Package Product Lists'!$A:$A,0))),"")</f>
        <v>0</v>
      </c>
      <c r="I75" s="155">
        <f>IFERROR(MIN(1,COUNTIFS('Product Order Book'!$A$2:$A$1057,$A75,'Product Order Book'!$E$2:$E$1057,I$3)/INDEX('Clean Package Product Lists'!$C:$C,MATCH(I$3,'Clean Package Product Lists'!$A:$A,0))),"")</f>
        <v>0</v>
      </c>
      <c r="J75" s="155">
        <f>IFERROR(MIN(1,COUNTIFS('Product Order Book'!$A$2:$A$1057,$A75,'Product Order Book'!$E$2:$E$1057,J$3)/INDEX('Clean Package Product Lists'!$C:$C,MATCH(J$3,'Clean Package Product Lists'!$A:$A,0))),"")</f>
        <v>0</v>
      </c>
      <c r="K75" s="155">
        <f>IFERROR(MIN(1,COUNTIFS('Product Order Book'!$A$2:$A$1057,$A75,'Product Order Book'!$E$2:$E$1057,K$3)/INDEX('Clean Package Product Lists'!$C:$C,MATCH(K$3,'Clean Package Product Lists'!$A:$A,0))),"")</f>
        <v>0</v>
      </c>
      <c r="L75" s="154"/>
      <c r="M75" s="156" t="str">
        <f>IF(COUNTIFS('Product Order Book'!$A:$A,$A75,'Product Order Book'!$E:$E,M$3)&gt;0,"✓ Takes",IF(IFERROR(VLOOKUP($A75,'Whitespace Analysis'!$A:$AH,12,0),0)=1,"◎ Should","– N/A"))</f>
        <v>✓ Takes</v>
      </c>
      <c r="N75" s="156" t="str">
        <f>IF(COUNTIFS('Product Order Book'!$A:$A,$A75,'Product Order Book'!$E:$E,N$3)&gt;0,"✓ Takes",IF(IFERROR(VLOOKUP($A75,'Whitespace Analysis'!$A:$AH,20,0),0)=1,"◎ Should","– N/A"))</f>
        <v>– N/A</v>
      </c>
      <c r="O75" s="156" t="str">
        <f>IF(COUNTIFS('Product Order Book'!$A:$A,$A75,'Product Order Book'!$E:$E,O$3)&gt;0,"✓ Takes",IF(IFERROR(VLOOKUP($A75,'Whitespace Analysis'!$A:$AH,22,0),0)=1,"◎ Should","– N/A"))</f>
        <v>– N/A</v>
      </c>
      <c r="P75" s="156" t="str">
        <f>IF(COUNTIFS('Product Order Book'!$A:$A,$A75,'Product Order Book'!$E:$E,P$3)&gt;0,"✓ Takes",IF(IFERROR(VLOOKUP($A75,'Whitespace Analysis'!$A:$AH,24,0),0)=1,"◎ Should","– N/A"))</f>
        <v>– N/A</v>
      </c>
      <c r="Q75" s="156" t="str">
        <f>IF(COUNTIFS('Product Order Book'!$A:$A,$A75,'Product Order Book'!$E:$E,Q$3)&gt;0,"✓ Takes",IF(IFERROR(VLOOKUP($A75,'Whitespace Analysis'!$A:$AH,26,0),0)=1,"◎ Should","– N/A"))</f>
        <v>– N/A</v>
      </c>
      <c r="R75" s="156" t="str">
        <f>IF(COUNTIFS('Product Order Book'!$A:$A,$A75,'Product Order Book'!$E:$E,R$3)&gt;0,"✓ Takes",IF(IFERROR(VLOOKUP($A75,'Whitespace Analysis'!$A:$AH,16,0),0)=1,"◎ Should","– N/A"))</f>
        <v>– N/A</v>
      </c>
      <c r="S75" s="156" t="str">
        <f>IF(COUNTIFS('Product Order Book'!$A:$A,$A75,'Product Order Book'!$E:$E,S$3)&gt;0,"✓ Takes",IF(IFERROR(VLOOKUP($A75,'Whitespace Analysis'!$A:$AH,18,0),0)=1,"◎ Should","– N/A"))</f>
        <v>– N/A</v>
      </c>
      <c r="T75" s="156" t="str">
        <f>IF(COUNTIFS('Product Order Book'!$A:$A,$A75,'Product Order Book'!$E:$E,T$3)&gt;0,"✓ Takes",IF(IFERROR(VLOOKUP($A75,'Whitespace Analysis'!$A:$AH,28,0),0)=1,"◎ Should","– N/A"))</f>
        <v>– N/A</v>
      </c>
      <c r="U75" s="156" t="str">
        <f>IF(COUNTIFS('Product Order Book'!$A:$A,$A75,'Product Order Book'!$E:$E,U$3)&gt;0,"✓ Takes",IF(IFERROR(VLOOKUP($A75,'Whitespace Analysis'!$A:$AH,30,0),0)=1,"◎ Should","– N/A"))</f>
        <v>– N/A</v>
      </c>
      <c r="V75" s="156" t="str">
        <f>IF(COUNTIFS('Product Order Book'!$A:$A,$A75,'Product Order Book'!$E:$E,V$3)&gt;0,"✓ Takes",IF(IFERROR(VLOOKUP($A75,'Whitespace Analysis'!$A:$AH,14,0),0)=1,"◎ Should","– N/A"))</f>
        <v>– N/A</v>
      </c>
    </row>
    <row r="76" spans="1:22" ht="15" customHeight="1">
      <c r="A76" s="154" t="str">
        <v>EPG Energy Limited</v>
      </c>
      <c r="B76" s="155">
        <f>IFERROR(MIN(1,COUNTIFS('Product Order Book'!$A$2:$A$1057,$A76,'Product Order Book'!$E$2:$E$1057,B$3)/INDEX('Clean Package Product Lists'!$C:$C,MATCH(B$3,'Clean Package Product Lists'!$A:$A,0))),"")</f>
        <v>1</v>
      </c>
      <c r="C76" s="155">
        <f>IFERROR(MIN(1,COUNTIFS('Product Order Book'!$A$2:$A$1057,$A76,'Product Order Book'!$E$2:$E$1057,C$3)/INDEX('Clean Package Product Lists'!$C:$C,MATCH(C$3,'Clean Package Product Lists'!$A:$A,0))),"")</f>
        <v>0</v>
      </c>
      <c r="D76" s="155">
        <f>IFERROR(MIN(1,COUNTIFS('Product Order Book'!$A$2:$A$1057,$A76,'Product Order Book'!$E$2:$E$1057,D$3)/INDEX('Clean Package Product Lists'!$C:$C,MATCH(D$3,'Clean Package Product Lists'!$A:$A,0))),"")</f>
        <v>0</v>
      </c>
      <c r="E76" s="155">
        <f>IFERROR(MIN(1,COUNTIFS('Product Order Book'!$A$2:$A$1057,$A76,'Product Order Book'!$E$2:$E$1057,E$3)/INDEX('Clean Package Product Lists'!$C:$C,MATCH(E$3,'Clean Package Product Lists'!$A:$A,0))),"")</f>
        <v>0</v>
      </c>
      <c r="F76" s="155">
        <f>IFERROR(MIN(1,COUNTIFS('Product Order Book'!$A$2:$A$1057,$A76,'Product Order Book'!$E$2:$E$1057,F$3)/INDEX('Clean Package Product Lists'!$C:$C,MATCH(F$3,'Clean Package Product Lists'!$A:$A,0))),"")</f>
        <v>0</v>
      </c>
      <c r="G76" s="155">
        <f>IFERROR(MIN(1,COUNTIFS('Product Order Book'!$A$2:$A$1057,$A76,'Product Order Book'!$E$2:$E$1057,G$3)/INDEX('Clean Package Product Lists'!$C:$C,MATCH(G$3,'Clean Package Product Lists'!$A:$A,0))),"")</f>
        <v>0</v>
      </c>
      <c r="H76" s="155">
        <f>IFERROR(MIN(1,COUNTIFS('Product Order Book'!$A$2:$A$1057,$A76,'Product Order Book'!$E$2:$E$1057,H$3)/INDEX('Clean Package Product Lists'!$C:$C,MATCH(H$3,'Clean Package Product Lists'!$A:$A,0))),"")</f>
        <v>0.75</v>
      </c>
      <c r="I76" s="155">
        <f>IFERROR(MIN(1,COUNTIFS('Product Order Book'!$A$2:$A$1057,$A76,'Product Order Book'!$E$2:$E$1057,I$3)/INDEX('Clean Package Product Lists'!$C:$C,MATCH(I$3,'Clean Package Product Lists'!$A:$A,0))),"")</f>
        <v>0</v>
      </c>
      <c r="J76" s="155">
        <f>IFERROR(MIN(1,COUNTIFS('Product Order Book'!$A$2:$A$1057,$A76,'Product Order Book'!$E$2:$E$1057,J$3)/INDEX('Clean Package Product Lists'!$C:$C,MATCH(J$3,'Clean Package Product Lists'!$A:$A,0))),"")</f>
        <v>0</v>
      </c>
      <c r="K76" s="155">
        <f>IFERROR(MIN(1,COUNTIFS('Product Order Book'!$A$2:$A$1057,$A76,'Product Order Book'!$E$2:$E$1057,K$3)/INDEX('Clean Package Product Lists'!$C:$C,MATCH(K$3,'Clean Package Product Lists'!$A:$A,0))),"")</f>
        <v>0</v>
      </c>
      <c r="L76" s="154"/>
      <c r="M76" s="156" t="str">
        <f>IF(COUNTIFS('Product Order Book'!$A:$A,$A76,'Product Order Book'!$E:$E,M$3)&gt;0,"✓ Takes",IF(IFERROR(VLOOKUP($A76,'Whitespace Analysis'!$A:$AH,12,0),0)=1,"◎ Should","– N/A"))</f>
        <v>✓ Takes</v>
      </c>
      <c r="N76" s="156" t="str">
        <f>IF(COUNTIFS('Product Order Book'!$A:$A,$A76,'Product Order Book'!$E:$E,N$3)&gt;0,"✓ Takes",IF(IFERROR(VLOOKUP($A76,'Whitespace Analysis'!$A:$AH,20,0),0)=1,"◎ Should","– N/A"))</f>
        <v>◎ Should</v>
      </c>
      <c r="O76" s="156" t="str">
        <f>IF(COUNTIFS('Product Order Book'!$A:$A,$A76,'Product Order Book'!$E:$E,O$3)&gt;0,"✓ Takes",IF(IFERROR(VLOOKUP($A76,'Whitespace Analysis'!$A:$AH,22,0),0)=1,"◎ Should","– N/A"))</f>
        <v>– N/A</v>
      </c>
      <c r="P76" s="156" t="str">
        <f>IF(COUNTIFS('Product Order Book'!$A:$A,$A76,'Product Order Book'!$E:$E,P$3)&gt;0,"✓ Takes",IF(IFERROR(VLOOKUP($A76,'Whitespace Analysis'!$A:$AH,24,0),0)=1,"◎ Should","– N/A"))</f>
        <v>◎ Should</v>
      </c>
      <c r="Q76" s="156" t="str">
        <f>IF(COUNTIFS('Product Order Book'!$A:$A,$A76,'Product Order Book'!$E:$E,Q$3)&gt;0,"✓ Takes",IF(IFERROR(VLOOKUP($A76,'Whitespace Analysis'!$A:$AH,26,0),0)=1,"◎ Should","– N/A"))</f>
        <v>◎ Should</v>
      </c>
      <c r="R76" s="156" t="str">
        <f>IF(COUNTIFS('Product Order Book'!$A:$A,$A76,'Product Order Book'!$E:$E,R$3)&gt;0,"✓ Takes",IF(IFERROR(VLOOKUP($A76,'Whitespace Analysis'!$A:$AH,16,0),0)=1,"◎ Should","– N/A"))</f>
        <v>◎ Should</v>
      </c>
      <c r="S76" s="156" t="str">
        <f>IF(COUNTIFS('Product Order Book'!$A:$A,$A76,'Product Order Book'!$E:$E,S$3)&gt;0,"✓ Takes",IF(IFERROR(VLOOKUP($A76,'Whitespace Analysis'!$A:$AH,18,0),0)=1,"◎ Should","– N/A"))</f>
        <v>✓ Takes</v>
      </c>
      <c r="T76" s="156" t="str">
        <f>IF(COUNTIFS('Product Order Book'!$A:$A,$A76,'Product Order Book'!$E:$E,T$3)&gt;0,"✓ Takes",IF(IFERROR(VLOOKUP($A76,'Whitespace Analysis'!$A:$AH,28,0),0)=1,"◎ Should","– N/A"))</f>
        <v>– N/A</v>
      </c>
      <c r="U76" s="156" t="str">
        <f>IF(COUNTIFS('Product Order Book'!$A:$A,$A76,'Product Order Book'!$E:$E,U$3)&gt;0,"✓ Takes",IF(IFERROR(VLOOKUP($A76,'Whitespace Analysis'!$A:$AH,30,0),0)=1,"◎ Should","– N/A"))</f>
        <v>– N/A</v>
      </c>
      <c r="V76" s="156" t="str">
        <f>IF(COUNTIFS('Product Order Book'!$A:$A,$A76,'Product Order Book'!$E:$E,V$3)&gt;0,"✓ Takes",IF(IFERROR(VLOOKUP($A76,'Whitespace Analysis'!$A:$AH,14,0),0)=1,"◎ Should","– N/A"))</f>
        <v>◎ Should</v>
      </c>
    </row>
    <row r="77" spans="1:22" ht="15" customHeight="1">
      <c r="A77" s="154" t="str">
        <v>Equinix (UK) Limited</v>
      </c>
      <c r="B77" s="155">
        <f>IFERROR(MIN(1,COUNTIFS('Product Order Book'!$A$2:$A$1057,$A77,'Product Order Book'!$E$2:$E$1057,B$3)/INDEX('Clean Package Product Lists'!$C:$C,MATCH(B$3,'Clean Package Product Lists'!$A:$A,0))),"")</f>
        <v>0</v>
      </c>
      <c r="C77" s="155">
        <f>IFERROR(MIN(1,COUNTIFS('Product Order Book'!$A$2:$A$1057,$A77,'Product Order Book'!$E$2:$E$1057,C$3)/INDEX('Clean Package Product Lists'!$C:$C,MATCH(C$3,'Clean Package Product Lists'!$A:$A,0))),"")</f>
        <v>0</v>
      </c>
      <c r="D77" s="155">
        <f>IFERROR(MIN(1,COUNTIFS('Product Order Book'!$A$2:$A$1057,$A77,'Product Order Book'!$E$2:$E$1057,D$3)/INDEX('Clean Package Product Lists'!$C:$C,MATCH(D$3,'Clean Package Product Lists'!$A:$A,0))),"")</f>
        <v>0</v>
      </c>
      <c r="E77" s="155">
        <f>IFERROR(MIN(1,COUNTIFS('Product Order Book'!$A$2:$A$1057,$A77,'Product Order Book'!$E$2:$E$1057,E$3)/INDEX('Clean Package Product Lists'!$C:$C,MATCH(E$3,'Clean Package Product Lists'!$A:$A,0))),"")</f>
        <v>0</v>
      </c>
      <c r="F77" s="155">
        <f>IFERROR(MIN(1,COUNTIFS('Product Order Book'!$A$2:$A$1057,$A77,'Product Order Book'!$E$2:$E$1057,F$3)/INDEX('Clean Package Product Lists'!$C:$C,MATCH(F$3,'Clean Package Product Lists'!$A:$A,0))),"")</f>
        <v>0</v>
      </c>
      <c r="G77" s="155">
        <f>IFERROR(MIN(1,COUNTIFS('Product Order Book'!$A$2:$A$1057,$A77,'Product Order Book'!$E$2:$E$1057,G$3)/INDEX('Clean Package Product Lists'!$C:$C,MATCH(G$3,'Clean Package Product Lists'!$A:$A,0))),"")</f>
        <v>0</v>
      </c>
      <c r="H77" s="155">
        <f>IFERROR(MIN(1,COUNTIFS('Product Order Book'!$A$2:$A$1057,$A77,'Product Order Book'!$E$2:$E$1057,H$3)/INDEX('Clean Package Product Lists'!$C:$C,MATCH(H$3,'Clean Package Product Lists'!$A:$A,0))),"")</f>
        <v>0.25</v>
      </c>
      <c r="I77" s="155">
        <f>IFERROR(MIN(1,COUNTIFS('Product Order Book'!$A$2:$A$1057,$A77,'Product Order Book'!$E$2:$E$1057,I$3)/INDEX('Clean Package Product Lists'!$C:$C,MATCH(I$3,'Clean Package Product Lists'!$A:$A,0))),"")</f>
        <v>0</v>
      </c>
      <c r="J77" s="155">
        <f>IFERROR(MIN(1,COUNTIFS('Product Order Book'!$A$2:$A$1057,$A77,'Product Order Book'!$E$2:$E$1057,J$3)/INDEX('Clean Package Product Lists'!$C:$C,MATCH(J$3,'Clean Package Product Lists'!$A:$A,0))),"")</f>
        <v>0</v>
      </c>
      <c r="K77" s="155">
        <f>IFERROR(MIN(1,COUNTIFS('Product Order Book'!$A$2:$A$1057,$A77,'Product Order Book'!$E$2:$E$1057,K$3)/INDEX('Clean Package Product Lists'!$C:$C,MATCH(K$3,'Clean Package Product Lists'!$A:$A,0))),"")</f>
        <v>0</v>
      </c>
      <c r="L77" s="154"/>
      <c r="M77" s="156" t="str">
        <f>IF(COUNTIFS('Product Order Book'!$A:$A,$A77,'Product Order Book'!$E:$E,M$3)&gt;0,"✓ Takes",IF(IFERROR(VLOOKUP($A77,'Whitespace Analysis'!$A:$AH,12,0),0)=1,"◎ Should","– N/A"))</f>
        <v>◎ Should</v>
      </c>
      <c r="N77" s="156" t="str">
        <f>IF(COUNTIFS('Product Order Book'!$A:$A,$A77,'Product Order Book'!$E:$E,N$3)&gt;0,"✓ Takes",IF(IFERROR(VLOOKUP($A77,'Whitespace Analysis'!$A:$AH,20,0),0)=1,"◎ Should","– N/A"))</f>
        <v>– N/A</v>
      </c>
      <c r="O77" s="156" t="str">
        <f>IF(COUNTIFS('Product Order Book'!$A:$A,$A77,'Product Order Book'!$E:$E,O$3)&gt;0,"✓ Takes",IF(IFERROR(VLOOKUP($A77,'Whitespace Analysis'!$A:$AH,22,0),0)=1,"◎ Should","– N/A"))</f>
        <v>– N/A</v>
      </c>
      <c r="P77" s="156" t="str">
        <f>IF(COUNTIFS('Product Order Book'!$A:$A,$A77,'Product Order Book'!$E:$E,P$3)&gt;0,"✓ Takes",IF(IFERROR(VLOOKUP($A77,'Whitespace Analysis'!$A:$AH,24,0),0)=1,"◎ Should","– N/A"))</f>
        <v>– N/A</v>
      </c>
      <c r="Q77" s="156" t="str">
        <f>IF(COUNTIFS('Product Order Book'!$A:$A,$A77,'Product Order Book'!$E:$E,Q$3)&gt;0,"✓ Takes",IF(IFERROR(VLOOKUP($A77,'Whitespace Analysis'!$A:$AH,26,0),0)=1,"◎ Should","– N/A"))</f>
        <v>– N/A</v>
      </c>
      <c r="R77" s="156" t="str">
        <f>IF(COUNTIFS('Product Order Book'!$A:$A,$A77,'Product Order Book'!$E:$E,R$3)&gt;0,"✓ Takes",IF(IFERROR(VLOOKUP($A77,'Whitespace Analysis'!$A:$AH,16,0),0)=1,"◎ Should","– N/A"))</f>
        <v>– N/A</v>
      </c>
      <c r="S77" s="156" t="str">
        <f>IF(COUNTIFS('Product Order Book'!$A:$A,$A77,'Product Order Book'!$E:$E,S$3)&gt;0,"✓ Takes",IF(IFERROR(VLOOKUP($A77,'Whitespace Analysis'!$A:$AH,18,0),0)=1,"◎ Should","– N/A"))</f>
        <v>✓ Takes</v>
      </c>
      <c r="T77" s="156" t="str">
        <f>IF(COUNTIFS('Product Order Book'!$A:$A,$A77,'Product Order Book'!$E:$E,T$3)&gt;0,"✓ Takes",IF(IFERROR(VLOOKUP($A77,'Whitespace Analysis'!$A:$AH,28,0),0)=1,"◎ Should","– N/A"))</f>
        <v>◎ Should</v>
      </c>
      <c r="U77" s="156" t="str">
        <f>IF(COUNTIFS('Product Order Book'!$A:$A,$A77,'Product Order Book'!$E:$E,U$3)&gt;0,"✓ Takes",IF(IFERROR(VLOOKUP($A77,'Whitespace Analysis'!$A:$AH,30,0),0)=1,"◎ Should","– N/A"))</f>
        <v>◎ Should</v>
      </c>
      <c r="V77" s="156" t="str">
        <f>IF(COUNTIFS('Product Order Book'!$A:$A,$A77,'Product Order Book'!$E:$E,V$3)&gt;0,"✓ Takes",IF(IFERROR(VLOOKUP($A77,'Whitespace Analysis'!$A:$AH,14,0),0)=1,"◎ Should","– N/A"))</f>
        <v>◎ Should</v>
      </c>
    </row>
    <row r="78" spans="1:22" ht="15" customHeight="1">
      <c r="A78" s="154" t="str">
        <v>Equinor UK Limited</v>
      </c>
      <c r="B78" s="155">
        <f>IFERROR(MIN(1,COUNTIFS('Product Order Book'!$A$2:$A$1057,$A78,'Product Order Book'!$E$2:$E$1057,B$3)/INDEX('Clean Package Product Lists'!$C:$C,MATCH(B$3,'Clean Package Product Lists'!$A:$A,0))),"")</f>
        <v>0</v>
      </c>
      <c r="C78" s="155">
        <f>IFERROR(MIN(1,COUNTIFS('Product Order Book'!$A$2:$A$1057,$A78,'Product Order Book'!$E$2:$E$1057,C$3)/INDEX('Clean Package Product Lists'!$C:$C,MATCH(C$3,'Clean Package Product Lists'!$A:$A,0))),"")</f>
        <v>1</v>
      </c>
      <c r="D78" s="155">
        <f>IFERROR(MIN(1,COUNTIFS('Product Order Book'!$A$2:$A$1057,$A78,'Product Order Book'!$E$2:$E$1057,D$3)/INDEX('Clean Package Product Lists'!$C:$C,MATCH(D$3,'Clean Package Product Lists'!$A:$A,0))),"")</f>
        <v>0</v>
      </c>
      <c r="E78" s="155">
        <f>IFERROR(MIN(1,COUNTIFS('Product Order Book'!$A$2:$A$1057,$A78,'Product Order Book'!$E$2:$E$1057,E$3)/INDEX('Clean Package Product Lists'!$C:$C,MATCH(E$3,'Clean Package Product Lists'!$A:$A,0))),"")</f>
        <v>0</v>
      </c>
      <c r="F78" s="155">
        <f>IFERROR(MIN(1,COUNTIFS('Product Order Book'!$A$2:$A$1057,$A78,'Product Order Book'!$E$2:$E$1057,F$3)/INDEX('Clean Package Product Lists'!$C:$C,MATCH(F$3,'Clean Package Product Lists'!$A:$A,0))),"")</f>
        <v>0</v>
      </c>
      <c r="G78" s="155">
        <f>IFERROR(MIN(1,COUNTIFS('Product Order Book'!$A$2:$A$1057,$A78,'Product Order Book'!$E$2:$E$1057,G$3)/INDEX('Clean Package Product Lists'!$C:$C,MATCH(G$3,'Clean Package Product Lists'!$A:$A,0))),"")</f>
        <v>0</v>
      </c>
      <c r="H78" s="155">
        <f>IFERROR(MIN(1,COUNTIFS('Product Order Book'!$A$2:$A$1057,$A78,'Product Order Book'!$E$2:$E$1057,H$3)/INDEX('Clean Package Product Lists'!$C:$C,MATCH(H$3,'Clean Package Product Lists'!$A:$A,0))),"")</f>
        <v>0</v>
      </c>
      <c r="I78" s="155">
        <f>IFERROR(MIN(1,COUNTIFS('Product Order Book'!$A$2:$A$1057,$A78,'Product Order Book'!$E$2:$E$1057,I$3)/INDEX('Clean Package Product Lists'!$C:$C,MATCH(I$3,'Clean Package Product Lists'!$A:$A,0))),"")</f>
        <v>0</v>
      </c>
      <c r="J78" s="155">
        <f>IFERROR(MIN(1,COUNTIFS('Product Order Book'!$A$2:$A$1057,$A78,'Product Order Book'!$E$2:$E$1057,J$3)/INDEX('Clean Package Product Lists'!$C:$C,MATCH(J$3,'Clean Package Product Lists'!$A:$A,0))),"")</f>
        <v>0</v>
      </c>
      <c r="K78" s="155">
        <f>IFERROR(MIN(1,COUNTIFS('Product Order Book'!$A$2:$A$1057,$A78,'Product Order Book'!$E$2:$E$1057,K$3)/INDEX('Clean Package Product Lists'!$C:$C,MATCH(K$3,'Clean Package Product Lists'!$A:$A,0))),"")</f>
        <v>0</v>
      </c>
      <c r="L78" s="154"/>
      <c r="M78" s="156" t="str">
        <f>IF(COUNTIFS('Product Order Book'!$A:$A,$A78,'Product Order Book'!$E:$E,M$3)&gt;0,"✓ Takes",IF(IFERROR(VLOOKUP($A78,'Whitespace Analysis'!$A:$AH,12,0),0)=1,"◎ Should","– N/A"))</f>
        <v>◎ Should</v>
      </c>
      <c r="N78" s="156" t="str">
        <f>IF(COUNTIFS('Product Order Book'!$A:$A,$A78,'Product Order Book'!$E:$E,N$3)&gt;0,"✓ Takes",IF(IFERROR(VLOOKUP($A78,'Whitespace Analysis'!$A:$AH,20,0),0)=1,"◎ Should","– N/A"))</f>
        <v>✓ Takes</v>
      </c>
      <c r="O78" s="156" t="str">
        <f>IF(COUNTIFS('Product Order Book'!$A:$A,$A78,'Product Order Book'!$E:$E,O$3)&gt;0,"✓ Takes",IF(IFERROR(VLOOKUP($A78,'Whitespace Analysis'!$A:$AH,22,0),0)=1,"◎ Should","– N/A"))</f>
        <v>◎ Should</v>
      </c>
      <c r="P78" s="156" t="str">
        <f>IF(COUNTIFS('Product Order Book'!$A:$A,$A78,'Product Order Book'!$E:$E,P$3)&gt;0,"✓ Takes",IF(IFERROR(VLOOKUP($A78,'Whitespace Analysis'!$A:$AH,24,0),0)=1,"◎ Should","– N/A"))</f>
        <v>◎ Should</v>
      </c>
      <c r="Q78" s="156" t="str">
        <f>IF(COUNTIFS('Product Order Book'!$A:$A,$A78,'Product Order Book'!$E:$E,Q$3)&gt;0,"✓ Takes",IF(IFERROR(VLOOKUP($A78,'Whitespace Analysis'!$A:$AH,26,0),0)=1,"◎ Should","– N/A"))</f>
        <v>◎ Should</v>
      </c>
      <c r="R78" s="156" t="str">
        <f>IF(COUNTIFS('Product Order Book'!$A:$A,$A78,'Product Order Book'!$E:$E,R$3)&gt;0,"✓ Takes",IF(IFERROR(VLOOKUP($A78,'Whitespace Analysis'!$A:$AH,16,0),0)=1,"◎ Should","– N/A"))</f>
        <v>◎ Should</v>
      </c>
      <c r="S78" s="156" t="str">
        <f>IF(COUNTIFS('Product Order Book'!$A:$A,$A78,'Product Order Book'!$E:$E,S$3)&gt;0,"✓ Takes",IF(IFERROR(VLOOKUP($A78,'Whitespace Analysis'!$A:$AH,18,0),0)=1,"◎ Should","– N/A"))</f>
        <v>◎ Should</v>
      </c>
      <c r="T78" s="156" t="str">
        <f>IF(COUNTIFS('Product Order Book'!$A:$A,$A78,'Product Order Book'!$E:$E,T$3)&gt;0,"✓ Takes",IF(IFERROR(VLOOKUP($A78,'Whitespace Analysis'!$A:$AH,28,0),0)=1,"◎ Should","– N/A"))</f>
        <v>– N/A</v>
      </c>
      <c r="U78" s="156" t="str">
        <f>IF(COUNTIFS('Product Order Book'!$A:$A,$A78,'Product Order Book'!$E:$E,U$3)&gt;0,"✓ Takes",IF(IFERROR(VLOOKUP($A78,'Whitespace Analysis'!$A:$AH,30,0),0)=1,"◎ Should","– N/A"))</f>
        <v>– N/A</v>
      </c>
      <c r="V78" s="156" t="str">
        <f>IF(COUNTIFS('Product Order Book'!$A:$A,$A78,'Product Order Book'!$E:$E,V$3)&gt;0,"✓ Takes",IF(IFERROR(VLOOKUP($A78,'Whitespace Analysis'!$A:$AH,14,0),0)=1,"◎ Should","– N/A"))</f>
        <v>◎ Should</v>
      </c>
    </row>
    <row r="79" spans="1:22" ht="15" customHeight="1">
      <c r="A79" s="154" t="str">
        <v>Equitix Limited</v>
      </c>
      <c r="B79" s="155">
        <f>IFERROR(MIN(1,COUNTIFS('Product Order Book'!$A$2:$A$1057,$A79,'Product Order Book'!$E$2:$E$1057,B$3)/INDEX('Clean Package Product Lists'!$C:$C,MATCH(B$3,'Clean Package Product Lists'!$A:$A,0))),"")</f>
        <v>0</v>
      </c>
      <c r="C79" s="155">
        <f>IFERROR(MIN(1,COUNTIFS('Product Order Book'!$A$2:$A$1057,$A79,'Product Order Book'!$E$2:$E$1057,C$3)/INDEX('Clean Package Product Lists'!$C:$C,MATCH(C$3,'Clean Package Product Lists'!$A:$A,0))),"")</f>
        <v>0.14285714285714285</v>
      </c>
      <c r="D79" s="155">
        <f>IFERROR(MIN(1,COUNTIFS('Product Order Book'!$A$2:$A$1057,$A79,'Product Order Book'!$E$2:$E$1057,D$3)/INDEX('Clean Package Product Lists'!$C:$C,MATCH(D$3,'Clean Package Product Lists'!$A:$A,0))),"")</f>
        <v>0</v>
      </c>
      <c r="E79" s="155">
        <f>IFERROR(MIN(1,COUNTIFS('Product Order Book'!$A$2:$A$1057,$A79,'Product Order Book'!$E$2:$E$1057,E$3)/INDEX('Clean Package Product Lists'!$C:$C,MATCH(E$3,'Clean Package Product Lists'!$A:$A,0))),"")</f>
        <v>0</v>
      </c>
      <c r="F79" s="155">
        <f>IFERROR(MIN(1,COUNTIFS('Product Order Book'!$A$2:$A$1057,$A79,'Product Order Book'!$E$2:$E$1057,F$3)/INDEX('Clean Package Product Lists'!$C:$C,MATCH(F$3,'Clean Package Product Lists'!$A:$A,0))),"")</f>
        <v>0</v>
      </c>
      <c r="G79" s="155">
        <f>IFERROR(MIN(1,COUNTIFS('Product Order Book'!$A$2:$A$1057,$A79,'Product Order Book'!$E$2:$E$1057,G$3)/INDEX('Clean Package Product Lists'!$C:$C,MATCH(G$3,'Clean Package Product Lists'!$A:$A,0))),"")</f>
        <v>0</v>
      </c>
      <c r="H79" s="155">
        <f>IFERROR(MIN(1,COUNTIFS('Product Order Book'!$A$2:$A$1057,$A79,'Product Order Book'!$E$2:$E$1057,H$3)/INDEX('Clean Package Product Lists'!$C:$C,MATCH(H$3,'Clean Package Product Lists'!$A:$A,0))),"")</f>
        <v>0</v>
      </c>
      <c r="I79" s="155">
        <f>IFERROR(MIN(1,COUNTIFS('Product Order Book'!$A$2:$A$1057,$A79,'Product Order Book'!$E$2:$E$1057,I$3)/INDEX('Clean Package Product Lists'!$C:$C,MATCH(I$3,'Clean Package Product Lists'!$A:$A,0))),"")</f>
        <v>0</v>
      </c>
      <c r="J79" s="155">
        <f>IFERROR(MIN(1,COUNTIFS('Product Order Book'!$A$2:$A$1057,$A79,'Product Order Book'!$E$2:$E$1057,J$3)/INDEX('Clean Package Product Lists'!$C:$C,MATCH(J$3,'Clean Package Product Lists'!$A:$A,0))),"")</f>
        <v>0</v>
      </c>
      <c r="K79" s="155">
        <f>IFERROR(MIN(1,COUNTIFS('Product Order Book'!$A$2:$A$1057,$A79,'Product Order Book'!$E$2:$E$1057,K$3)/INDEX('Clean Package Product Lists'!$C:$C,MATCH(K$3,'Clean Package Product Lists'!$A:$A,0))),"")</f>
        <v>0</v>
      </c>
      <c r="L79" s="154"/>
      <c r="M79" s="156" t="str">
        <f>IF(COUNTIFS('Product Order Book'!$A:$A,$A79,'Product Order Book'!$E:$E,M$3)&gt;0,"✓ Takes",IF(IFERROR(VLOOKUP($A79,'Whitespace Analysis'!$A:$AH,12,0),0)=1,"◎ Should","– N/A"))</f>
        <v>◎ Should</v>
      </c>
      <c r="N79" s="156" t="str">
        <f>IF(COUNTIFS('Product Order Book'!$A:$A,$A79,'Product Order Book'!$E:$E,N$3)&gt;0,"✓ Takes",IF(IFERROR(VLOOKUP($A79,'Whitespace Analysis'!$A:$AH,20,0),0)=1,"◎ Should","– N/A"))</f>
        <v>✓ Takes</v>
      </c>
      <c r="O79" s="156" t="str">
        <f>IF(COUNTIFS('Product Order Book'!$A:$A,$A79,'Product Order Book'!$E:$E,O$3)&gt;0,"✓ Takes",IF(IFERROR(VLOOKUP($A79,'Whitespace Analysis'!$A:$AH,22,0),0)=1,"◎ Should","– N/A"))</f>
        <v>◎ Should</v>
      </c>
      <c r="P79" s="156" t="str">
        <f>IF(COUNTIFS('Product Order Book'!$A:$A,$A79,'Product Order Book'!$E:$E,P$3)&gt;0,"✓ Takes",IF(IFERROR(VLOOKUP($A79,'Whitespace Analysis'!$A:$AH,24,0),0)=1,"◎ Should","– N/A"))</f>
        <v>◎ Should</v>
      </c>
      <c r="Q79" s="156" t="str">
        <f>IF(COUNTIFS('Product Order Book'!$A:$A,$A79,'Product Order Book'!$E:$E,Q$3)&gt;0,"✓ Takes",IF(IFERROR(VLOOKUP($A79,'Whitespace Analysis'!$A:$AH,26,0),0)=1,"◎ Should","– N/A"))</f>
        <v>◎ Should</v>
      </c>
      <c r="R79" s="156" t="str">
        <f>IF(COUNTIFS('Product Order Book'!$A:$A,$A79,'Product Order Book'!$E:$E,R$3)&gt;0,"✓ Takes",IF(IFERROR(VLOOKUP($A79,'Whitespace Analysis'!$A:$AH,16,0),0)=1,"◎ Should","– N/A"))</f>
        <v>– N/A</v>
      </c>
      <c r="S79" s="156" t="str">
        <f>IF(COUNTIFS('Product Order Book'!$A:$A,$A79,'Product Order Book'!$E:$E,S$3)&gt;0,"✓ Takes",IF(IFERROR(VLOOKUP($A79,'Whitespace Analysis'!$A:$AH,18,0),0)=1,"◎ Should","– N/A"))</f>
        <v>– N/A</v>
      </c>
      <c r="T79" s="156" t="str">
        <f>IF(COUNTIFS('Product Order Book'!$A:$A,$A79,'Product Order Book'!$E:$E,T$3)&gt;0,"✓ Takes",IF(IFERROR(VLOOKUP($A79,'Whitespace Analysis'!$A:$AH,28,0),0)=1,"◎ Should","– N/A"))</f>
        <v>– N/A</v>
      </c>
      <c r="U79" s="156" t="str">
        <f>IF(COUNTIFS('Product Order Book'!$A:$A,$A79,'Product Order Book'!$E:$E,U$3)&gt;0,"✓ Takes",IF(IFERROR(VLOOKUP($A79,'Whitespace Analysis'!$A:$AH,30,0),0)=1,"◎ Should","– N/A"))</f>
        <v>– N/A</v>
      </c>
      <c r="V79" s="156" t="str">
        <f>IF(COUNTIFS('Product Order Book'!$A:$A,$A79,'Product Order Book'!$E:$E,V$3)&gt;0,"✓ Takes",IF(IFERROR(VLOOKUP($A79,'Whitespace Analysis'!$A:$AH,14,0),0)=1,"◎ Should","– N/A"))</f>
        <v>◎ Should</v>
      </c>
    </row>
    <row r="80" spans="1:22" ht="15" customHeight="1">
      <c r="A80" s="154" t="str">
        <v>ERG S.p.A</v>
      </c>
      <c r="B80" s="155">
        <f>IFERROR(MIN(1,COUNTIFS('Product Order Book'!$A$2:$A$1057,$A80,'Product Order Book'!$E$2:$E$1057,B$3)/INDEX('Clean Package Product Lists'!$C:$C,MATCH(B$3,'Clean Package Product Lists'!$A:$A,0))),"")</f>
        <v>1</v>
      </c>
      <c r="C80" s="155">
        <f>IFERROR(MIN(1,COUNTIFS('Product Order Book'!$A$2:$A$1057,$A80,'Product Order Book'!$E$2:$E$1057,C$3)/INDEX('Clean Package Product Lists'!$C:$C,MATCH(C$3,'Clean Package Product Lists'!$A:$A,0))),"")</f>
        <v>0</v>
      </c>
      <c r="D80" s="155">
        <f>IFERROR(MIN(1,COUNTIFS('Product Order Book'!$A$2:$A$1057,$A80,'Product Order Book'!$E$2:$E$1057,D$3)/INDEX('Clean Package Product Lists'!$C:$C,MATCH(D$3,'Clean Package Product Lists'!$A:$A,0))),"")</f>
        <v>0</v>
      </c>
      <c r="E80" s="155">
        <f>IFERROR(MIN(1,COUNTIFS('Product Order Book'!$A$2:$A$1057,$A80,'Product Order Book'!$E$2:$E$1057,E$3)/INDEX('Clean Package Product Lists'!$C:$C,MATCH(E$3,'Clean Package Product Lists'!$A:$A,0))),"")</f>
        <v>0.25</v>
      </c>
      <c r="F80" s="155">
        <f>IFERROR(MIN(1,COUNTIFS('Product Order Book'!$A$2:$A$1057,$A80,'Product Order Book'!$E$2:$E$1057,F$3)/INDEX('Clean Package Product Lists'!$C:$C,MATCH(F$3,'Clean Package Product Lists'!$A:$A,0))),"")</f>
        <v>0</v>
      </c>
      <c r="G80" s="155">
        <f>IFERROR(MIN(1,COUNTIFS('Product Order Book'!$A$2:$A$1057,$A80,'Product Order Book'!$E$2:$E$1057,G$3)/INDEX('Clean Package Product Lists'!$C:$C,MATCH(G$3,'Clean Package Product Lists'!$A:$A,0))),"")</f>
        <v>0</v>
      </c>
      <c r="H80" s="155">
        <f>IFERROR(MIN(1,COUNTIFS('Product Order Book'!$A$2:$A$1057,$A80,'Product Order Book'!$E$2:$E$1057,H$3)/INDEX('Clean Package Product Lists'!$C:$C,MATCH(H$3,'Clean Package Product Lists'!$A:$A,0))),"")</f>
        <v>0</v>
      </c>
      <c r="I80" s="155">
        <f>IFERROR(MIN(1,COUNTIFS('Product Order Book'!$A$2:$A$1057,$A80,'Product Order Book'!$E$2:$E$1057,I$3)/INDEX('Clean Package Product Lists'!$C:$C,MATCH(I$3,'Clean Package Product Lists'!$A:$A,0))),"")</f>
        <v>0</v>
      </c>
      <c r="J80" s="155">
        <f>IFERROR(MIN(1,COUNTIFS('Product Order Book'!$A$2:$A$1057,$A80,'Product Order Book'!$E$2:$E$1057,J$3)/INDEX('Clean Package Product Lists'!$C:$C,MATCH(J$3,'Clean Package Product Lists'!$A:$A,0))),"")</f>
        <v>0</v>
      </c>
      <c r="K80" s="155">
        <f>IFERROR(MIN(1,COUNTIFS('Product Order Book'!$A$2:$A$1057,$A80,'Product Order Book'!$E$2:$E$1057,K$3)/INDEX('Clean Package Product Lists'!$C:$C,MATCH(K$3,'Clean Package Product Lists'!$A:$A,0))),"")</f>
        <v>0</v>
      </c>
      <c r="L80" s="154"/>
      <c r="M80" s="156" t="str">
        <f>IF(COUNTIFS('Product Order Book'!$A:$A,$A80,'Product Order Book'!$E:$E,M$3)&gt;0,"✓ Takes",IF(IFERROR(VLOOKUP($A80,'Whitespace Analysis'!$A:$AH,12,0),0)=1,"◎ Should","– N/A"))</f>
        <v>✓ Takes</v>
      </c>
      <c r="N80" s="156" t="str">
        <f>IF(COUNTIFS('Product Order Book'!$A:$A,$A80,'Product Order Book'!$E:$E,N$3)&gt;0,"✓ Takes",IF(IFERROR(VLOOKUP($A80,'Whitespace Analysis'!$A:$AH,20,0),0)=1,"◎ Should","– N/A"))</f>
        <v>◎ Should</v>
      </c>
      <c r="O80" s="156" t="str">
        <f>IF(COUNTIFS('Product Order Book'!$A:$A,$A80,'Product Order Book'!$E:$E,O$3)&gt;0,"✓ Takes",IF(IFERROR(VLOOKUP($A80,'Whitespace Analysis'!$A:$AH,22,0),0)=1,"◎ Should","– N/A"))</f>
        <v>◎ Should</v>
      </c>
      <c r="P80" s="156" t="str">
        <f>IF(COUNTIFS('Product Order Book'!$A:$A,$A80,'Product Order Book'!$E:$E,P$3)&gt;0,"✓ Takes",IF(IFERROR(VLOOKUP($A80,'Whitespace Analysis'!$A:$AH,24,0),0)=1,"◎ Should","– N/A"))</f>
        <v>✓ Takes</v>
      </c>
      <c r="Q80" s="156" t="str">
        <f>IF(COUNTIFS('Product Order Book'!$A:$A,$A80,'Product Order Book'!$E:$E,Q$3)&gt;0,"✓ Takes",IF(IFERROR(VLOOKUP($A80,'Whitespace Analysis'!$A:$AH,26,0),0)=1,"◎ Should","– N/A"))</f>
        <v>– N/A</v>
      </c>
      <c r="R80" s="156" t="str">
        <f>IF(COUNTIFS('Product Order Book'!$A:$A,$A80,'Product Order Book'!$E:$E,R$3)&gt;0,"✓ Takes",IF(IFERROR(VLOOKUP($A80,'Whitespace Analysis'!$A:$AH,16,0),0)=1,"◎ Should","– N/A"))</f>
        <v>– N/A</v>
      </c>
      <c r="S80" s="156" t="str">
        <f>IF(COUNTIFS('Product Order Book'!$A:$A,$A80,'Product Order Book'!$E:$E,S$3)&gt;0,"✓ Takes",IF(IFERROR(VLOOKUP($A80,'Whitespace Analysis'!$A:$AH,18,0),0)=1,"◎ Should","– N/A"))</f>
        <v>– N/A</v>
      </c>
      <c r="T80" s="156" t="str">
        <f>IF(COUNTIFS('Product Order Book'!$A:$A,$A80,'Product Order Book'!$E:$E,T$3)&gt;0,"✓ Takes",IF(IFERROR(VLOOKUP($A80,'Whitespace Analysis'!$A:$AH,28,0),0)=1,"◎ Should","– N/A"))</f>
        <v>– N/A</v>
      </c>
      <c r="U80" s="156" t="str">
        <f>IF(COUNTIFS('Product Order Book'!$A:$A,$A80,'Product Order Book'!$E:$E,U$3)&gt;0,"✓ Takes",IF(IFERROR(VLOOKUP($A80,'Whitespace Analysis'!$A:$AH,30,0),0)=1,"◎ Should","– N/A"))</f>
        <v>– N/A</v>
      </c>
      <c r="V80" s="156" t="str">
        <f>IF(COUNTIFS('Product Order Book'!$A:$A,$A80,'Product Order Book'!$E:$E,V$3)&gt;0,"✓ Takes",IF(IFERROR(VLOOKUP($A80,'Whitespace Analysis'!$A:$AH,14,0),0)=1,"◎ Should","– N/A"))</f>
        <v>◎ Should</v>
      </c>
    </row>
    <row r="81" spans="1:22" ht="15" customHeight="1">
      <c r="A81" s="154" t="str">
        <v>Ernst and Young LLP</v>
      </c>
      <c r="B81" s="155">
        <f>IFERROR(MIN(1,COUNTIFS('Product Order Book'!$A$2:$A$1057,$A81,'Product Order Book'!$E$2:$E$1057,B$3)/INDEX('Clean Package Product Lists'!$C:$C,MATCH(B$3,'Clean Package Product Lists'!$A:$A,0))),"")</f>
        <v>1</v>
      </c>
      <c r="C81" s="155">
        <f>IFERROR(MIN(1,COUNTIFS('Product Order Book'!$A$2:$A$1057,$A81,'Product Order Book'!$E$2:$E$1057,C$3)/INDEX('Clean Package Product Lists'!$C:$C,MATCH(C$3,'Clean Package Product Lists'!$A:$A,0))),"")</f>
        <v>0</v>
      </c>
      <c r="D81" s="155">
        <f>IFERROR(MIN(1,COUNTIFS('Product Order Book'!$A$2:$A$1057,$A81,'Product Order Book'!$E$2:$E$1057,D$3)/INDEX('Clean Package Product Lists'!$C:$C,MATCH(D$3,'Clean Package Product Lists'!$A:$A,0))),"")</f>
        <v>0</v>
      </c>
      <c r="E81" s="155">
        <f>IFERROR(MIN(1,COUNTIFS('Product Order Book'!$A$2:$A$1057,$A81,'Product Order Book'!$E$2:$E$1057,E$3)/INDEX('Clean Package Product Lists'!$C:$C,MATCH(E$3,'Clean Package Product Lists'!$A:$A,0))),"")</f>
        <v>0</v>
      </c>
      <c r="F81" s="155">
        <f>IFERROR(MIN(1,COUNTIFS('Product Order Book'!$A$2:$A$1057,$A81,'Product Order Book'!$E$2:$E$1057,F$3)/INDEX('Clean Package Product Lists'!$C:$C,MATCH(F$3,'Clean Package Product Lists'!$A:$A,0))),"")</f>
        <v>0</v>
      </c>
      <c r="G81" s="155">
        <f>IFERROR(MIN(1,COUNTIFS('Product Order Book'!$A$2:$A$1057,$A81,'Product Order Book'!$E$2:$E$1057,G$3)/INDEX('Clean Package Product Lists'!$C:$C,MATCH(G$3,'Clean Package Product Lists'!$A:$A,0))),"")</f>
        <v>0</v>
      </c>
      <c r="H81" s="155">
        <f>IFERROR(MIN(1,COUNTIFS('Product Order Book'!$A$2:$A$1057,$A81,'Product Order Book'!$E$2:$E$1057,H$3)/INDEX('Clean Package Product Lists'!$C:$C,MATCH(H$3,'Clean Package Product Lists'!$A:$A,0))),"")</f>
        <v>0</v>
      </c>
      <c r="I81" s="155">
        <f>IFERROR(MIN(1,COUNTIFS('Product Order Book'!$A$2:$A$1057,$A81,'Product Order Book'!$E$2:$E$1057,I$3)/INDEX('Clean Package Product Lists'!$C:$C,MATCH(I$3,'Clean Package Product Lists'!$A:$A,0))),"")</f>
        <v>0</v>
      </c>
      <c r="J81" s="155">
        <f>IFERROR(MIN(1,COUNTIFS('Product Order Book'!$A$2:$A$1057,$A81,'Product Order Book'!$E$2:$E$1057,J$3)/INDEX('Clean Package Product Lists'!$C:$C,MATCH(J$3,'Clean Package Product Lists'!$A:$A,0))),"")</f>
        <v>0</v>
      </c>
      <c r="K81" s="155">
        <f>IFERROR(MIN(1,COUNTIFS('Product Order Book'!$A$2:$A$1057,$A81,'Product Order Book'!$E$2:$E$1057,K$3)/INDEX('Clean Package Product Lists'!$C:$C,MATCH(K$3,'Clean Package Product Lists'!$A:$A,0))),"")</f>
        <v>0</v>
      </c>
      <c r="L81" s="154"/>
      <c r="M81" s="156" t="str">
        <f>IF(COUNTIFS('Product Order Book'!$A:$A,$A81,'Product Order Book'!$E:$E,M$3)&gt;0,"✓ Takes",IF(IFERROR(VLOOKUP($A81,'Whitespace Analysis'!$A:$AH,12,0),0)=1,"◎ Should","– N/A"))</f>
        <v>✓ Takes</v>
      </c>
      <c r="N81" s="156" t="str">
        <f>IF(COUNTIFS('Product Order Book'!$A:$A,$A81,'Product Order Book'!$E:$E,N$3)&gt;0,"✓ Takes",IF(IFERROR(VLOOKUP($A81,'Whitespace Analysis'!$A:$AH,20,0),0)=1,"◎ Should","– N/A"))</f>
        <v>– N/A</v>
      </c>
      <c r="O81" s="156" t="str">
        <f>IF(COUNTIFS('Product Order Book'!$A:$A,$A81,'Product Order Book'!$E:$E,O$3)&gt;0,"✓ Takes",IF(IFERROR(VLOOKUP($A81,'Whitespace Analysis'!$A:$AH,22,0),0)=1,"◎ Should","– N/A"))</f>
        <v>– N/A</v>
      </c>
      <c r="P81" s="156" t="str">
        <f>IF(COUNTIFS('Product Order Book'!$A:$A,$A81,'Product Order Book'!$E:$E,P$3)&gt;0,"✓ Takes",IF(IFERROR(VLOOKUP($A81,'Whitespace Analysis'!$A:$AH,24,0),0)=1,"◎ Should","– N/A"))</f>
        <v>– N/A</v>
      </c>
      <c r="Q81" s="156" t="str">
        <f>IF(COUNTIFS('Product Order Book'!$A:$A,$A81,'Product Order Book'!$E:$E,Q$3)&gt;0,"✓ Takes",IF(IFERROR(VLOOKUP($A81,'Whitespace Analysis'!$A:$AH,26,0),0)=1,"◎ Should","– N/A"))</f>
        <v>– N/A</v>
      </c>
      <c r="R81" s="156" t="str">
        <f>IF(COUNTIFS('Product Order Book'!$A:$A,$A81,'Product Order Book'!$E:$E,R$3)&gt;0,"✓ Takes",IF(IFERROR(VLOOKUP($A81,'Whitespace Analysis'!$A:$AH,16,0),0)=1,"◎ Should","– N/A"))</f>
        <v>– N/A</v>
      </c>
      <c r="S81" s="156" t="str">
        <f>IF(COUNTIFS('Product Order Book'!$A:$A,$A81,'Product Order Book'!$E:$E,S$3)&gt;0,"✓ Takes",IF(IFERROR(VLOOKUP($A81,'Whitespace Analysis'!$A:$AH,18,0),0)=1,"◎ Should","– N/A"))</f>
        <v>– N/A</v>
      </c>
      <c r="T81" s="156" t="str">
        <f>IF(COUNTIFS('Product Order Book'!$A:$A,$A81,'Product Order Book'!$E:$E,T$3)&gt;0,"✓ Takes",IF(IFERROR(VLOOKUP($A81,'Whitespace Analysis'!$A:$AH,28,0),0)=1,"◎ Should","– N/A"))</f>
        <v>– N/A</v>
      </c>
      <c r="U81" s="156" t="str">
        <f>IF(COUNTIFS('Product Order Book'!$A:$A,$A81,'Product Order Book'!$E:$E,U$3)&gt;0,"✓ Takes",IF(IFERROR(VLOOKUP($A81,'Whitespace Analysis'!$A:$AH,30,0),0)=1,"◎ Should","– N/A"))</f>
        <v>– N/A</v>
      </c>
      <c r="V81" s="156" t="str">
        <f>IF(COUNTIFS('Product Order Book'!$A:$A,$A81,'Product Order Book'!$E:$E,V$3)&gt;0,"✓ Takes",IF(IFERROR(VLOOKUP($A81,'Whitespace Analysis'!$A:$AH,14,0),0)=1,"◎ Should","– N/A"))</f>
        <v>– N/A</v>
      </c>
    </row>
    <row r="82" spans="1:22" ht="15" customHeight="1">
      <c r="A82" s="154" t="str">
        <v>Erova Energy Limited</v>
      </c>
      <c r="B82" s="155">
        <f>IFERROR(MIN(1,COUNTIFS('Product Order Book'!$A$2:$A$1057,$A82,'Product Order Book'!$E$2:$E$1057,B$3)/INDEX('Clean Package Product Lists'!$C:$C,MATCH(B$3,'Clean Package Product Lists'!$A:$A,0))),"")</f>
        <v>0</v>
      </c>
      <c r="C82" s="155">
        <f>IFERROR(MIN(1,COUNTIFS('Product Order Book'!$A$2:$A$1057,$A82,'Product Order Book'!$E$2:$E$1057,C$3)/INDEX('Clean Package Product Lists'!$C:$C,MATCH(C$3,'Clean Package Product Lists'!$A:$A,0))),"")</f>
        <v>0</v>
      </c>
      <c r="D82" s="155">
        <f>IFERROR(MIN(1,COUNTIFS('Product Order Book'!$A$2:$A$1057,$A82,'Product Order Book'!$E$2:$E$1057,D$3)/INDEX('Clean Package Product Lists'!$C:$C,MATCH(D$3,'Clean Package Product Lists'!$A:$A,0))),"")</f>
        <v>0</v>
      </c>
      <c r="E82" s="155">
        <f>IFERROR(MIN(1,COUNTIFS('Product Order Book'!$A$2:$A$1057,$A82,'Product Order Book'!$E$2:$E$1057,E$3)/INDEX('Clean Package Product Lists'!$C:$C,MATCH(E$3,'Clean Package Product Lists'!$A:$A,0))),"")</f>
        <v>0</v>
      </c>
      <c r="F82" s="155">
        <f>IFERROR(MIN(1,COUNTIFS('Product Order Book'!$A$2:$A$1057,$A82,'Product Order Book'!$E$2:$E$1057,F$3)/INDEX('Clean Package Product Lists'!$C:$C,MATCH(F$3,'Clean Package Product Lists'!$A:$A,0))),"")</f>
        <v>0</v>
      </c>
      <c r="G82" s="155">
        <f>IFERROR(MIN(1,COUNTIFS('Product Order Book'!$A$2:$A$1057,$A82,'Product Order Book'!$E$2:$E$1057,G$3)/INDEX('Clean Package Product Lists'!$C:$C,MATCH(G$3,'Clean Package Product Lists'!$A:$A,0))),"")</f>
        <v>0</v>
      </c>
      <c r="H82" s="155">
        <f>IFERROR(MIN(1,COUNTIFS('Product Order Book'!$A$2:$A$1057,$A82,'Product Order Book'!$E$2:$E$1057,H$3)/INDEX('Clean Package Product Lists'!$C:$C,MATCH(H$3,'Clean Package Product Lists'!$A:$A,0))),"")</f>
        <v>0</v>
      </c>
      <c r="I82" s="155">
        <f>IFERROR(MIN(1,COUNTIFS('Product Order Book'!$A$2:$A$1057,$A82,'Product Order Book'!$E$2:$E$1057,I$3)/INDEX('Clean Package Product Lists'!$C:$C,MATCH(I$3,'Clean Package Product Lists'!$A:$A,0))),"")</f>
        <v>0</v>
      </c>
      <c r="J82" s="155">
        <f>IFERROR(MIN(1,COUNTIFS('Product Order Book'!$A$2:$A$1057,$A82,'Product Order Book'!$E$2:$E$1057,J$3)/INDEX('Clean Package Product Lists'!$C:$C,MATCH(J$3,'Clean Package Product Lists'!$A:$A,0))),"")</f>
        <v>0</v>
      </c>
      <c r="K82" s="155">
        <f>IFERROR(MIN(1,COUNTIFS('Product Order Book'!$A$2:$A$1057,$A82,'Product Order Book'!$E$2:$E$1057,K$3)/INDEX('Clean Package Product Lists'!$C:$C,MATCH(K$3,'Clean Package Product Lists'!$A:$A,0))),"")</f>
        <v>0</v>
      </c>
      <c r="L82" s="154"/>
      <c r="M82" s="156" t="str">
        <f>IF(COUNTIFS('Product Order Book'!$A:$A,$A82,'Product Order Book'!$E:$E,M$3)&gt;0,"✓ Takes",IF(IFERROR(VLOOKUP($A82,'Whitespace Analysis'!$A:$AH,12,0),0)=1,"◎ Should","– N/A"))</f>
        <v>– N/A</v>
      </c>
      <c r="N82" s="156" t="str">
        <f>IF(COUNTIFS('Product Order Book'!$A:$A,$A82,'Product Order Book'!$E:$E,N$3)&gt;0,"✓ Takes",IF(IFERROR(VLOOKUP($A82,'Whitespace Analysis'!$A:$AH,20,0),0)=1,"◎ Should","– N/A"))</f>
        <v>– N/A</v>
      </c>
      <c r="O82" s="156" t="str">
        <f>IF(COUNTIFS('Product Order Book'!$A:$A,$A82,'Product Order Book'!$E:$E,O$3)&gt;0,"✓ Takes",IF(IFERROR(VLOOKUP($A82,'Whitespace Analysis'!$A:$AH,22,0),0)=1,"◎ Should","– N/A"))</f>
        <v>– N/A</v>
      </c>
      <c r="P82" s="156" t="str">
        <f>IF(COUNTIFS('Product Order Book'!$A:$A,$A82,'Product Order Book'!$E:$E,P$3)&gt;0,"✓ Takes",IF(IFERROR(VLOOKUP($A82,'Whitespace Analysis'!$A:$AH,24,0),0)=1,"◎ Should","– N/A"))</f>
        <v>– N/A</v>
      </c>
      <c r="Q82" s="156" t="str">
        <f>IF(COUNTIFS('Product Order Book'!$A:$A,$A82,'Product Order Book'!$E:$E,Q$3)&gt;0,"✓ Takes",IF(IFERROR(VLOOKUP($A82,'Whitespace Analysis'!$A:$AH,26,0),0)=1,"◎ Should","– N/A"))</f>
        <v>– N/A</v>
      </c>
      <c r="R82" s="156" t="str">
        <f>IF(COUNTIFS('Product Order Book'!$A:$A,$A82,'Product Order Book'!$E:$E,R$3)&gt;0,"✓ Takes",IF(IFERROR(VLOOKUP($A82,'Whitespace Analysis'!$A:$AH,16,0),0)=1,"◎ Should","– N/A"))</f>
        <v>– N/A</v>
      </c>
      <c r="S82" s="156" t="str">
        <f>IF(COUNTIFS('Product Order Book'!$A:$A,$A82,'Product Order Book'!$E:$E,S$3)&gt;0,"✓ Takes",IF(IFERROR(VLOOKUP($A82,'Whitespace Analysis'!$A:$AH,18,0),0)=1,"◎ Should","– N/A"))</f>
        <v>– N/A</v>
      </c>
      <c r="T82" s="156" t="str">
        <f>IF(COUNTIFS('Product Order Book'!$A:$A,$A82,'Product Order Book'!$E:$E,T$3)&gt;0,"✓ Takes",IF(IFERROR(VLOOKUP($A82,'Whitespace Analysis'!$A:$AH,28,0),0)=1,"◎ Should","– N/A"))</f>
        <v>– N/A</v>
      </c>
      <c r="U82" s="156" t="str">
        <f>IF(COUNTIFS('Product Order Book'!$A:$A,$A82,'Product Order Book'!$E:$E,U$3)&gt;0,"✓ Takes",IF(IFERROR(VLOOKUP($A82,'Whitespace Analysis'!$A:$AH,30,0),0)=1,"◎ Should","– N/A"))</f>
        <v>– N/A</v>
      </c>
      <c r="V82" s="156" t="str">
        <f>IF(COUNTIFS('Product Order Book'!$A:$A,$A82,'Product Order Book'!$E:$E,V$3)&gt;0,"✓ Takes",IF(IFERROR(VLOOKUP($A82,'Whitespace Analysis'!$A:$AH,14,0),0)=1,"◎ Should","– N/A"))</f>
        <v>– N/A</v>
      </c>
    </row>
    <row r="83" spans="1:22" ht="15" customHeight="1">
      <c r="A83" s="154" t="str">
        <v>ESB Networks</v>
      </c>
      <c r="B83" s="155">
        <f>IFERROR(MIN(1,COUNTIFS('Product Order Book'!$A$2:$A$1057,$A83,'Product Order Book'!$E$2:$E$1057,B$3)/INDEX('Clean Package Product Lists'!$C:$C,MATCH(B$3,'Clean Package Product Lists'!$A:$A,0))),"")</f>
        <v>0</v>
      </c>
      <c r="C83" s="155">
        <f>IFERROR(MIN(1,COUNTIFS('Product Order Book'!$A$2:$A$1057,$A83,'Product Order Book'!$E$2:$E$1057,C$3)/INDEX('Clean Package Product Lists'!$C:$C,MATCH(C$3,'Clean Package Product Lists'!$A:$A,0))),"")</f>
        <v>0</v>
      </c>
      <c r="D83" s="155">
        <f>IFERROR(MIN(1,COUNTIFS('Product Order Book'!$A$2:$A$1057,$A83,'Product Order Book'!$E$2:$E$1057,D$3)/INDEX('Clean Package Product Lists'!$C:$C,MATCH(D$3,'Clean Package Product Lists'!$A:$A,0))),"")</f>
        <v>0</v>
      </c>
      <c r="E83" s="155">
        <f>IFERROR(MIN(1,COUNTIFS('Product Order Book'!$A$2:$A$1057,$A83,'Product Order Book'!$E$2:$E$1057,E$3)/INDEX('Clean Package Product Lists'!$C:$C,MATCH(E$3,'Clean Package Product Lists'!$A:$A,0))),"")</f>
        <v>0.25</v>
      </c>
      <c r="F83" s="155">
        <f>IFERROR(MIN(1,COUNTIFS('Product Order Book'!$A$2:$A$1057,$A83,'Product Order Book'!$E$2:$E$1057,F$3)/INDEX('Clean Package Product Lists'!$C:$C,MATCH(F$3,'Clean Package Product Lists'!$A:$A,0))),"")</f>
        <v>0</v>
      </c>
      <c r="G83" s="155">
        <f>IFERROR(MIN(1,COUNTIFS('Product Order Book'!$A$2:$A$1057,$A83,'Product Order Book'!$E$2:$E$1057,G$3)/INDEX('Clean Package Product Lists'!$C:$C,MATCH(G$3,'Clean Package Product Lists'!$A:$A,0))),"")</f>
        <v>0</v>
      </c>
      <c r="H83" s="155">
        <f>IFERROR(MIN(1,COUNTIFS('Product Order Book'!$A$2:$A$1057,$A83,'Product Order Book'!$E$2:$E$1057,H$3)/INDEX('Clean Package Product Lists'!$C:$C,MATCH(H$3,'Clean Package Product Lists'!$A:$A,0))),"")</f>
        <v>0</v>
      </c>
      <c r="I83" s="155">
        <f>IFERROR(MIN(1,COUNTIFS('Product Order Book'!$A$2:$A$1057,$A83,'Product Order Book'!$E$2:$E$1057,I$3)/INDEX('Clean Package Product Lists'!$C:$C,MATCH(I$3,'Clean Package Product Lists'!$A:$A,0))),"")</f>
        <v>0</v>
      </c>
      <c r="J83" s="155">
        <f>IFERROR(MIN(1,COUNTIFS('Product Order Book'!$A$2:$A$1057,$A83,'Product Order Book'!$E$2:$E$1057,J$3)/INDEX('Clean Package Product Lists'!$C:$C,MATCH(J$3,'Clean Package Product Lists'!$A:$A,0))),"")</f>
        <v>0</v>
      </c>
      <c r="K83" s="155">
        <f>IFERROR(MIN(1,COUNTIFS('Product Order Book'!$A$2:$A$1057,$A83,'Product Order Book'!$E$2:$E$1057,K$3)/INDEX('Clean Package Product Lists'!$C:$C,MATCH(K$3,'Clean Package Product Lists'!$A:$A,0))),"")</f>
        <v>0</v>
      </c>
      <c r="L83" s="154"/>
      <c r="M83" s="156" t="str">
        <f>IF(COUNTIFS('Product Order Book'!$A:$A,$A83,'Product Order Book'!$E:$E,M$3)&gt;0,"✓ Takes",IF(IFERROR(VLOOKUP($A83,'Whitespace Analysis'!$A:$AH,12,0),0)=1,"◎ Should","– N/A"))</f>
        <v>◎ Should</v>
      </c>
      <c r="N83" s="156" t="str">
        <f>IF(COUNTIFS('Product Order Book'!$A:$A,$A83,'Product Order Book'!$E:$E,N$3)&gt;0,"✓ Takes",IF(IFERROR(VLOOKUP($A83,'Whitespace Analysis'!$A:$AH,20,0),0)=1,"◎ Should","– N/A"))</f>
        <v>– N/A</v>
      </c>
      <c r="O83" s="156" t="str">
        <f>IF(COUNTIFS('Product Order Book'!$A:$A,$A83,'Product Order Book'!$E:$E,O$3)&gt;0,"✓ Takes",IF(IFERROR(VLOOKUP($A83,'Whitespace Analysis'!$A:$AH,22,0),0)=1,"◎ Should","– N/A"))</f>
        <v>– N/A</v>
      </c>
      <c r="P83" s="156" t="str">
        <f>IF(COUNTIFS('Product Order Book'!$A:$A,$A83,'Product Order Book'!$E:$E,P$3)&gt;0,"✓ Takes",IF(IFERROR(VLOOKUP($A83,'Whitespace Analysis'!$A:$AH,24,0),0)=1,"◎ Should","– N/A"))</f>
        <v>✓ Takes</v>
      </c>
      <c r="Q83" s="156" t="str">
        <f>IF(COUNTIFS('Product Order Book'!$A:$A,$A83,'Product Order Book'!$E:$E,Q$3)&gt;0,"✓ Takes",IF(IFERROR(VLOOKUP($A83,'Whitespace Analysis'!$A:$AH,26,0),0)=1,"◎ Should","– N/A"))</f>
        <v>– N/A</v>
      </c>
      <c r="R83" s="156" t="str">
        <f>IF(COUNTIFS('Product Order Book'!$A:$A,$A83,'Product Order Book'!$E:$E,R$3)&gt;0,"✓ Takes",IF(IFERROR(VLOOKUP($A83,'Whitespace Analysis'!$A:$AH,16,0),0)=1,"◎ Should","– N/A"))</f>
        <v>– N/A</v>
      </c>
      <c r="S83" s="156" t="str">
        <f>IF(COUNTIFS('Product Order Book'!$A:$A,$A83,'Product Order Book'!$E:$E,S$3)&gt;0,"✓ Takes",IF(IFERROR(VLOOKUP($A83,'Whitespace Analysis'!$A:$AH,18,0),0)=1,"◎ Should","– N/A"))</f>
        <v>– N/A</v>
      </c>
      <c r="T83" s="156" t="str">
        <f>IF(COUNTIFS('Product Order Book'!$A:$A,$A83,'Product Order Book'!$E:$E,T$3)&gt;0,"✓ Takes",IF(IFERROR(VLOOKUP($A83,'Whitespace Analysis'!$A:$AH,28,0),0)=1,"◎ Should","– N/A"))</f>
        <v>◎ Should</v>
      </c>
      <c r="U83" s="156" t="str">
        <f>IF(COUNTIFS('Product Order Book'!$A:$A,$A83,'Product Order Book'!$E:$E,U$3)&gt;0,"✓ Takes",IF(IFERROR(VLOOKUP($A83,'Whitespace Analysis'!$A:$AH,30,0),0)=1,"◎ Should","– N/A"))</f>
        <v>◎ Should</v>
      </c>
      <c r="V83" s="156" t="str">
        <f>IF(COUNTIFS('Product Order Book'!$A:$A,$A83,'Product Order Book'!$E:$E,V$3)&gt;0,"✓ Takes",IF(IFERROR(VLOOKUP($A83,'Whitespace Analysis'!$A:$AH,14,0),0)=1,"◎ Should","– N/A"))</f>
        <v>◎ Should</v>
      </c>
    </row>
    <row r="84" spans="1:22" ht="15" customHeight="1">
      <c r="A84" s="154" t="str">
        <v>ESB Trading Limited</v>
      </c>
      <c r="B84" s="155">
        <f>IFERROR(MIN(1,COUNTIFS('Product Order Book'!$A$2:$A$1057,$A84,'Product Order Book'!$E$2:$E$1057,B$3)/INDEX('Clean Package Product Lists'!$C:$C,MATCH(B$3,'Clean Package Product Lists'!$A:$A,0))),"")</f>
        <v>1</v>
      </c>
      <c r="C84" s="155">
        <f>IFERROR(MIN(1,COUNTIFS('Product Order Book'!$A$2:$A$1057,$A84,'Product Order Book'!$E$2:$E$1057,C$3)/INDEX('Clean Package Product Lists'!$C:$C,MATCH(C$3,'Clean Package Product Lists'!$A:$A,0))),"")</f>
        <v>0</v>
      </c>
      <c r="D84" s="155">
        <f>IFERROR(MIN(1,COUNTIFS('Product Order Book'!$A$2:$A$1057,$A84,'Product Order Book'!$E$2:$E$1057,D$3)/INDEX('Clean Package Product Lists'!$C:$C,MATCH(D$3,'Clean Package Product Lists'!$A:$A,0))),"")</f>
        <v>0</v>
      </c>
      <c r="E84" s="155">
        <f>IFERROR(MIN(1,COUNTIFS('Product Order Book'!$A$2:$A$1057,$A84,'Product Order Book'!$E$2:$E$1057,E$3)/INDEX('Clean Package Product Lists'!$C:$C,MATCH(E$3,'Clean Package Product Lists'!$A:$A,0))),"")</f>
        <v>0</v>
      </c>
      <c r="F84" s="155">
        <f>IFERROR(MIN(1,COUNTIFS('Product Order Book'!$A$2:$A$1057,$A84,'Product Order Book'!$E$2:$E$1057,F$3)/INDEX('Clean Package Product Lists'!$C:$C,MATCH(F$3,'Clean Package Product Lists'!$A:$A,0))),"")</f>
        <v>0.66666666666666663</v>
      </c>
      <c r="G84" s="155">
        <f>IFERROR(MIN(1,COUNTIFS('Product Order Book'!$A$2:$A$1057,$A84,'Product Order Book'!$E$2:$E$1057,G$3)/INDEX('Clean Package Product Lists'!$C:$C,MATCH(G$3,'Clean Package Product Lists'!$A:$A,0))),"")</f>
        <v>0</v>
      </c>
      <c r="H84" s="155">
        <f>IFERROR(MIN(1,COUNTIFS('Product Order Book'!$A$2:$A$1057,$A84,'Product Order Book'!$E$2:$E$1057,H$3)/INDEX('Clean Package Product Lists'!$C:$C,MATCH(H$3,'Clean Package Product Lists'!$A:$A,0))),"")</f>
        <v>0</v>
      </c>
      <c r="I84" s="155">
        <f>IFERROR(MIN(1,COUNTIFS('Product Order Book'!$A$2:$A$1057,$A84,'Product Order Book'!$E$2:$E$1057,I$3)/INDEX('Clean Package Product Lists'!$C:$C,MATCH(I$3,'Clean Package Product Lists'!$A:$A,0))),"")</f>
        <v>0</v>
      </c>
      <c r="J84" s="155">
        <f>IFERROR(MIN(1,COUNTIFS('Product Order Book'!$A$2:$A$1057,$A84,'Product Order Book'!$E$2:$E$1057,J$3)/INDEX('Clean Package Product Lists'!$C:$C,MATCH(J$3,'Clean Package Product Lists'!$A:$A,0))),"")</f>
        <v>0</v>
      </c>
      <c r="K84" s="155">
        <f>IFERROR(MIN(1,COUNTIFS('Product Order Book'!$A$2:$A$1057,$A84,'Product Order Book'!$E$2:$E$1057,K$3)/INDEX('Clean Package Product Lists'!$C:$C,MATCH(K$3,'Clean Package Product Lists'!$A:$A,0))),"")</f>
        <v>0</v>
      </c>
      <c r="L84" s="154"/>
      <c r="M84" s="156" t="str">
        <f>IF(COUNTIFS('Product Order Book'!$A:$A,$A84,'Product Order Book'!$E:$E,M$3)&gt;0,"✓ Takes",IF(IFERROR(VLOOKUP($A84,'Whitespace Analysis'!$A:$AH,12,0),0)=1,"◎ Should","– N/A"))</f>
        <v>✓ Takes</v>
      </c>
      <c r="N84" s="156" t="str">
        <f>IF(COUNTIFS('Product Order Book'!$A:$A,$A84,'Product Order Book'!$E:$E,N$3)&gt;0,"✓ Takes",IF(IFERROR(VLOOKUP($A84,'Whitespace Analysis'!$A:$AH,20,0),0)=1,"◎ Should","– N/A"))</f>
        <v>◎ Should</v>
      </c>
      <c r="O84" s="156" t="str">
        <f>IF(COUNTIFS('Product Order Book'!$A:$A,$A84,'Product Order Book'!$E:$E,O$3)&gt;0,"✓ Takes",IF(IFERROR(VLOOKUP($A84,'Whitespace Analysis'!$A:$AH,22,0),0)=1,"◎ Should","– N/A"))</f>
        <v>– N/A</v>
      </c>
      <c r="P84" s="156" t="str">
        <f>IF(COUNTIFS('Product Order Book'!$A:$A,$A84,'Product Order Book'!$E:$E,P$3)&gt;0,"✓ Takes",IF(IFERROR(VLOOKUP($A84,'Whitespace Analysis'!$A:$AH,24,0),0)=1,"◎ Should","– N/A"))</f>
        <v>◎ Should</v>
      </c>
      <c r="Q84" s="156" t="str">
        <f>IF(COUNTIFS('Product Order Book'!$A:$A,$A84,'Product Order Book'!$E:$E,Q$3)&gt;0,"✓ Takes",IF(IFERROR(VLOOKUP($A84,'Whitespace Analysis'!$A:$AH,26,0),0)=1,"◎ Should","– N/A"))</f>
        <v>✓ Takes</v>
      </c>
      <c r="R84" s="156" t="str">
        <f>IF(COUNTIFS('Product Order Book'!$A:$A,$A84,'Product Order Book'!$E:$E,R$3)&gt;0,"✓ Takes",IF(IFERROR(VLOOKUP($A84,'Whitespace Analysis'!$A:$AH,16,0),0)=1,"◎ Should","– N/A"))</f>
        <v>◎ Should</v>
      </c>
      <c r="S84" s="156" t="str">
        <f>IF(COUNTIFS('Product Order Book'!$A:$A,$A84,'Product Order Book'!$E:$E,S$3)&gt;0,"✓ Takes",IF(IFERROR(VLOOKUP($A84,'Whitespace Analysis'!$A:$AH,18,0),0)=1,"◎ Should","– N/A"))</f>
        <v>– N/A</v>
      </c>
      <c r="T84" s="156" t="str">
        <f>IF(COUNTIFS('Product Order Book'!$A:$A,$A84,'Product Order Book'!$E:$E,T$3)&gt;0,"✓ Takes",IF(IFERROR(VLOOKUP($A84,'Whitespace Analysis'!$A:$AH,28,0),0)=1,"◎ Should","– N/A"))</f>
        <v>– N/A</v>
      </c>
      <c r="U84" s="156" t="str">
        <f>IF(COUNTIFS('Product Order Book'!$A:$A,$A84,'Product Order Book'!$E:$E,U$3)&gt;0,"✓ Takes",IF(IFERROR(VLOOKUP($A84,'Whitespace Analysis'!$A:$AH,30,0),0)=1,"◎ Should","– N/A"))</f>
        <v>– N/A</v>
      </c>
      <c r="V84" s="156" t="str">
        <f>IF(COUNTIFS('Product Order Book'!$A:$A,$A84,'Product Order Book'!$E:$E,V$3)&gt;0,"✓ Takes",IF(IFERROR(VLOOKUP($A84,'Whitespace Analysis'!$A:$AH,14,0),0)=1,"◎ Should","– N/A"))</f>
        <v>– N/A</v>
      </c>
    </row>
    <row r="85" spans="1:22" ht="15" customHeight="1">
      <c r="A85" s="154" t="str">
        <v>Evolve Energy Supply Limited</v>
      </c>
      <c r="B85" s="155">
        <f>IFERROR(MIN(1,COUNTIFS('Product Order Book'!$A$2:$A$1057,$A85,'Product Order Book'!$E$2:$E$1057,B$3)/INDEX('Clean Package Product Lists'!$C:$C,MATCH(B$3,'Clean Package Product Lists'!$A:$A,0))),"")</f>
        <v>1</v>
      </c>
      <c r="C85" s="155">
        <f>IFERROR(MIN(1,COUNTIFS('Product Order Book'!$A$2:$A$1057,$A85,'Product Order Book'!$E$2:$E$1057,C$3)/INDEX('Clean Package Product Lists'!$C:$C,MATCH(C$3,'Clean Package Product Lists'!$A:$A,0))),"")</f>
        <v>0</v>
      </c>
      <c r="D85" s="155">
        <f>IFERROR(MIN(1,COUNTIFS('Product Order Book'!$A$2:$A$1057,$A85,'Product Order Book'!$E$2:$E$1057,D$3)/INDEX('Clean Package Product Lists'!$C:$C,MATCH(D$3,'Clean Package Product Lists'!$A:$A,0))),"")</f>
        <v>0.66666666666666663</v>
      </c>
      <c r="E85" s="155">
        <f>IFERROR(MIN(1,COUNTIFS('Product Order Book'!$A$2:$A$1057,$A85,'Product Order Book'!$E$2:$E$1057,E$3)/INDEX('Clean Package Product Lists'!$C:$C,MATCH(E$3,'Clean Package Product Lists'!$A:$A,0))),"")</f>
        <v>0</v>
      </c>
      <c r="F85" s="155">
        <f>IFERROR(MIN(1,COUNTIFS('Product Order Book'!$A$2:$A$1057,$A85,'Product Order Book'!$E$2:$E$1057,F$3)/INDEX('Clean Package Product Lists'!$C:$C,MATCH(F$3,'Clean Package Product Lists'!$A:$A,0))),"")</f>
        <v>0</v>
      </c>
      <c r="G85" s="155">
        <f>IFERROR(MIN(1,COUNTIFS('Product Order Book'!$A$2:$A$1057,$A85,'Product Order Book'!$E$2:$E$1057,G$3)/INDEX('Clean Package Product Lists'!$C:$C,MATCH(G$3,'Clean Package Product Lists'!$A:$A,0))),"")</f>
        <v>0.18181818181818182</v>
      </c>
      <c r="H85" s="155">
        <f>IFERROR(MIN(1,COUNTIFS('Product Order Book'!$A$2:$A$1057,$A85,'Product Order Book'!$E$2:$E$1057,H$3)/INDEX('Clean Package Product Lists'!$C:$C,MATCH(H$3,'Clean Package Product Lists'!$A:$A,0))),"")</f>
        <v>0.5</v>
      </c>
      <c r="I85" s="155">
        <f>IFERROR(MIN(1,COUNTIFS('Product Order Book'!$A$2:$A$1057,$A85,'Product Order Book'!$E$2:$E$1057,I$3)/INDEX('Clean Package Product Lists'!$C:$C,MATCH(I$3,'Clean Package Product Lists'!$A:$A,0))),"")</f>
        <v>0</v>
      </c>
      <c r="J85" s="155">
        <f>IFERROR(MIN(1,COUNTIFS('Product Order Book'!$A$2:$A$1057,$A85,'Product Order Book'!$E$2:$E$1057,J$3)/INDEX('Clean Package Product Lists'!$C:$C,MATCH(J$3,'Clean Package Product Lists'!$A:$A,0))),"")</f>
        <v>0</v>
      </c>
      <c r="K85" s="155">
        <f>IFERROR(MIN(1,COUNTIFS('Product Order Book'!$A$2:$A$1057,$A85,'Product Order Book'!$E$2:$E$1057,K$3)/INDEX('Clean Package Product Lists'!$C:$C,MATCH(K$3,'Clean Package Product Lists'!$A:$A,0))),"")</f>
        <v>0</v>
      </c>
      <c r="L85" s="154"/>
      <c r="M85" s="156" t="str">
        <f>IF(COUNTIFS('Product Order Book'!$A:$A,$A85,'Product Order Book'!$E:$E,M$3)&gt;0,"✓ Takes",IF(IFERROR(VLOOKUP($A85,'Whitespace Analysis'!$A:$AH,12,0),0)=1,"◎ Should","– N/A"))</f>
        <v>✓ Takes</v>
      </c>
      <c r="N85" s="156" t="str">
        <f>IF(COUNTIFS('Product Order Book'!$A:$A,$A85,'Product Order Book'!$E:$E,N$3)&gt;0,"✓ Takes",IF(IFERROR(VLOOKUP($A85,'Whitespace Analysis'!$A:$AH,20,0),0)=1,"◎ Should","– N/A"))</f>
        <v>– N/A</v>
      </c>
      <c r="O85" s="156" t="str">
        <f>IF(COUNTIFS('Product Order Book'!$A:$A,$A85,'Product Order Book'!$E:$E,O$3)&gt;0,"✓ Takes",IF(IFERROR(VLOOKUP($A85,'Whitespace Analysis'!$A:$AH,22,0),0)=1,"◎ Should","– N/A"))</f>
        <v>✓ Takes</v>
      </c>
      <c r="P85" s="156" t="str">
        <f>IF(COUNTIFS('Product Order Book'!$A:$A,$A85,'Product Order Book'!$E:$E,P$3)&gt;0,"✓ Takes",IF(IFERROR(VLOOKUP($A85,'Whitespace Analysis'!$A:$AH,24,0),0)=1,"◎ Should","– N/A"))</f>
        <v>◎ Should</v>
      </c>
      <c r="Q85" s="156" t="str">
        <f>IF(COUNTIFS('Product Order Book'!$A:$A,$A85,'Product Order Book'!$E:$E,Q$3)&gt;0,"✓ Takes",IF(IFERROR(VLOOKUP($A85,'Whitespace Analysis'!$A:$AH,26,0),0)=1,"◎ Should","– N/A"))</f>
        <v>– N/A</v>
      </c>
      <c r="R85" s="156" t="str">
        <f>IF(COUNTIFS('Product Order Book'!$A:$A,$A85,'Product Order Book'!$E:$E,R$3)&gt;0,"✓ Takes",IF(IFERROR(VLOOKUP($A85,'Whitespace Analysis'!$A:$AH,16,0),0)=1,"◎ Should","– N/A"))</f>
        <v>✓ Takes</v>
      </c>
      <c r="S85" s="156" t="str">
        <f>IF(COUNTIFS('Product Order Book'!$A:$A,$A85,'Product Order Book'!$E:$E,S$3)&gt;0,"✓ Takes",IF(IFERROR(VLOOKUP($A85,'Whitespace Analysis'!$A:$AH,18,0),0)=1,"◎ Should","– N/A"))</f>
        <v>✓ Takes</v>
      </c>
      <c r="T85" s="156" t="str">
        <f>IF(COUNTIFS('Product Order Book'!$A:$A,$A85,'Product Order Book'!$E:$E,T$3)&gt;0,"✓ Takes",IF(IFERROR(VLOOKUP($A85,'Whitespace Analysis'!$A:$AH,28,0),0)=1,"◎ Should","– N/A"))</f>
        <v>– N/A</v>
      </c>
      <c r="U85" s="156" t="str">
        <f>IF(COUNTIFS('Product Order Book'!$A:$A,$A85,'Product Order Book'!$E:$E,U$3)&gt;0,"✓ Takes",IF(IFERROR(VLOOKUP($A85,'Whitespace Analysis'!$A:$AH,30,0),0)=1,"◎ Should","– N/A"))</f>
        <v>– N/A</v>
      </c>
      <c r="V85" s="156" t="str">
        <f>IF(COUNTIFS('Product Order Book'!$A:$A,$A85,'Product Order Book'!$E:$E,V$3)&gt;0,"✓ Takes",IF(IFERROR(VLOOKUP($A85,'Whitespace Analysis'!$A:$AH,14,0),0)=1,"◎ Should","– N/A"))</f>
        <v>◎ Should</v>
      </c>
    </row>
    <row r="86" spans="1:22" ht="15" customHeight="1">
      <c r="A86" s="154" t="str">
        <v>Fichtner Consulting Engineers Ltd</v>
      </c>
      <c r="B86" s="155">
        <f>IFERROR(MIN(1,COUNTIFS('Product Order Book'!$A$2:$A$1057,$A86,'Product Order Book'!$E$2:$E$1057,B$3)/INDEX('Clean Package Product Lists'!$C:$C,MATCH(B$3,'Clean Package Product Lists'!$A:$A,0))),"")</f>
        <v>0</v>
      </c>
      <c r="C86" s="155">
        <f>IFERROR(MIN(1,COUNTIFS('Product Order Book'!$A$2:$A$1057,$A86,'Product Order Book'!$E$2:$E$1057,C$3)/INDEX('Clean Package Product Lists'!$C:$C,MATCH(C$3,'Clean Package Product Lists'!$A:$A,0))),"")</f>
        <v>0.14285714285714285</v>
      </c>
      <c r="D86" s="155">
        <f>IFERROR(MIN(1,COUNTIFS('Product Order Book'!$A$2:$A$1057,$A86,'Product Order Book'!$E$2:$E$1057,D$3)/INDEX('Clean Package Product Lists'!$C:$C,MATCH(D$3,'Clean Package Product Lists'!$A:$A,0))),"")</f>
        <v>0</v>
      </c>
      <c r="E86" s="155">
        <f>IFERROR(MIN(1,COUNTIFS('Product Order Book'!$A$2:$A$1057,$A86,'Product Order Book'!$E$2:$E$1057,E$3)/INDEX('Clean Package Product Lists'!$C:$C,MATCH(E$3,'Clean Package Product Lists'!$A:$A,0))),"")</f>
        <v>0</v>
      </c>
      <c r="F86" s="155">
        <f>IFERROR(MIN(1,COUNTIFS('Product Order Book'!$A$2:$A$1057,$A86,'Product Order Book'!$E$2:$E$1057,F$3)/INDEX('Clean Package Product Lists'!$C:$C,MATCH(F$3,'Clean Package Product Lists'!$A:$A,0))),"")</f>
        <v>0</v>
      </c>
      <c r="G86" s="155">
        <f>IFERROR(MIN(1,COUNTIFS('Product Order Book'!$A$2:$A$1057,$A86,'Product Order Book'!$E$2:$E$1057,G$3)/INDEX('Clean Package Product Lists'!$C:$C,MATCH(G$3,'Clean Package Product Lists'!$A:$A,0))),"")</f>
        <v>0</v>
      </c>
      <c r="H86" s="155">
        <f>IFERROR(MIN(1,COUNTIFS('Product Order Book'!$A$2:$A$1057,$A86,'Product Order Book'!$E$2:$E$1057,H$3)/INDEX('Clean Package Product Lists'!$C:$C,MATCH(H$3,'Clean Package Product Lists'!$A:$A,0))),"")</f>
        <v>0</v>
      </c>
      <c r="I86" s="155">
        <f>IFERROR(MIN(1,COUNTIFS('Product Order Book'!$A$2:$A$1057,$A86,'Product Order Book'!$E$2:$E$1057,I$3)/INDEX('Clean Package Product Lists'!$C:$C,MATCH(I$3,'Clean Package Product Lists'!$A:$A,0))),"")</f>
        <v>0</v>
      </c>
      <c r="J86" s="155">
        <f>IFERROR(MIN(1,COUNTIFS('Product Order Book'!$A$2:$A$1057,$A86,'Product Order Book'!$E$2:$E$1057,J$3)/INDEX('Clean Package Product Lists'!$C:$C,MATCH(J$3,'Clean Package Product Lists'!$A:$A,0))),"")</f>
        <v>0</v>
      </c>
      <c r="K86" s="155">
        <f>IFERROR(MIN(1,COUNTIFS('Product Order Book'!$A$2:$A$1057,$A86,'Product Order Book'!$E$2:$E$1057,K$3)/INDEX('Clean Package Product Lists'!$C:$C,MATCH(K$3,'Clean Package Product Lists'!$A:$A,0))),"")</f>
        <v>0</v>
      </c>
      <c r="L86" s="154"/>
      <c r="M86" s="156" t="str">
        <f>IF(COUNTIFS('Product Order Book'!$A:$A,$A86,'Product Order Book'!$E:$E,M$3)&gt;0,"✓ Takes",IF(IFERROR(VLOOKUP($A86,'Whitespace Analysis'!$A:$AH,12,0),0)=1,"◎ Should","– N/A"))</f>
        <v>◎ Should</v>
      </c>
      <c r="N86" s="156" t="str">
        <f>IF(COUNTIFS('Product Order Book'!$A:$A,$A86,'Product Order Book'!$E:$E,N$3)&gt;0,"✓ Takes",IF(IFERROR(VLOOKUP($A86,'Whitespace Analysis'!$A:$AH,20,0),0)=1,"◎ Should","– N/A"))</f>
        <v>✓ Takes</v>
      </c>
      <c r="O86" s="156" t="str">
        <f>IF(COUNTIFS('Product Order Book'!$A:$A,$A86,'Product Order Book'!$E:$E,O$3)&gt;0,"✓ Takes",IF(IFERROR(VLOOKUP($A86,'Whitespace Analysis'!$A:$AH,22,0),0)=1,"◎ Should","– N/A"))</f>
        <v>– N/A</v>
      </c>
      <c r="P86" s="156" t="str">
        <f>IF(COUNTIFS('Product Order Book'!$A:$A,$A86,'Product Order Book'!$E:$E,P$3)&gt;0,"✓ Takes",IF(IFERROR(VLOOKUP($A86,'Whitespace Analysis'!$A:$AH,24,0),0)=1,"◎ Should","– N/A"))</f>
        <v>– N/A</v>
      </c>
      <c r="Q86" s="156" t="str">
        <f>IF(COUNTIFS('Product Order Book'!$A:$A,$A86,'Product Order Book'!$E:$E,Q$3)&gt;0,"✓ Takes",IF(IFERROR(VLOOKUP($A86,'Whitespace Analysis'!$A:$AH,26,0),0)=1,"◎ Should","– N/A"))</f>
        <v>– N/A</v>
      </c>
      <c r="R86" s="156" t="str">
        <f>IF(COUNTIFS('Product Order Book'!$A:$A,$A86,'Product Order Book'!$E:$E,R$3)&gt;0,"✓ Takes",IF(IFERROR(VLOOKUP($A86,'Whitespace Analysis'!$A:$AH,16,0),0)=1,"◎ Should","– N/A"))</f>
        <v>– N/A</v>
      </c>
      <c r="S86" s="156" t="str">
        <f>IF(COUNTIFS('Product Order Book'!$A:$A,$A86,'Product Order Book'!$E:$E,S$3)&gt;0,"✓ Takes",IF(IFERROR(VLOOKUP($A86,'Whitespace Analysis'!$A:$AH,18,0),0)=1,"◎ Should","– N/A"))</f>
        <v>– N/A</v>
      </c>
      <c r="T86" s="156" t="str">
        <f>IF(COUNTIFS('Product Order Book'!$A:$A,$A86,'Product Order Book'!$E:$E,T$3)&gt;0,"✓ Takes",IF(IFERROR(VLOOKUP($A86,'Whitespace Analysis'!$A:$AH,28,0),0)=1,"◎ Should","– N/A"))</f>
        <v>– N/A</v>
      </c>
      <c r="U86" s="156" t="str">
        <f>IF(COUNTIFS('Product Order Book'!$A:$A,$A86,'Product Order Book'!$E:$E,U$3)&gt;0,"✓ Takes",IF(IFERROR(VLOOKUP($A86,'Whitespace Analysis'!$A:$AH,30,0),0)=1,"◎ Should","– N/A"))</f>
        <v>– N/A</v>
      </c>
      <c r="V86" s="156" t="str">
        <f>IF(COUNTIFS('Product Order Book'!$A:$A,$A86,'Product Order Book'!$E:$E,V$3)&gt;0,"✓ Takes",IF(IFERROR(VLOOKUP($A86,'Whitespace Analysis'!$A:$AH,14,0),0)=1,"◎ Should","– N/A"))</f>
        <v>– N/A</v>
      </c>
    </row>
    <row r="87" spans="1:22" ht="15" customHeight="1">
      <c r="A87" s="154" t="str">
        <v>Fidelity Energy</v>
      </c>
      <c r="B87" s="155">
        <f>IFERROR(MIN(1,COUNTIFS('Product Order Book'!$A$2:$A$1057,$A87,'Product Order Book'!$E$2:$E$1057,B$3)/INDEX('Clean Package Product Lists'!$C:$C,MATCH(B$3,'Clean Package Product Lists'!$A:$A,0))),"")</f>
        <v>0</v>
      </c>
      <c r="C87" s="155">
        <f>IFERROR(MIN(1,COUNTIFS('Product Order Book'!$A$2:$A$1057,$A87,'Product Order Book'!$E$2:$E$1057,C$3)/INDEX('Clean Package Product Lists'!$C:$C,MATCH(C$3,'Clean Package Product Lists'!$A:$A,0))),"")</f>
        <v>0</v>
      </c>
      <c r="D87" s="155">
        <f>IFERROR(MIN(1,COUNTIFS('Product Order Book'!$A$2:$A$1057,$A87,'Product Order Book'!$E$2:$E$1057,D$3)/INDEX('Clean Package Product Lists'!$C:$C,MATCH(D$3,'Clean Package Product Lists'!$A:$A,0))),"")</f>
        <v>0</v>
      </c>
      <c r="E87" s="155">
        <f>IFERROR(MIN(1,COUNTIFS('Product Order Book'!$A$2:$A$1057,$A87,'Product Order Book'!$E$2:$E$1057,E$3)/INDEX('Clean Package Product Lists'!$C:$C,MATCH(E$3,'Clean Package Product Lists'!$A:$A,0))),"")</f>
        <v>0</v>
      </c>
      <c r="F87" s="155">
        <f>IFERROR(MIN(1,COUNTIFS('Product Order Book'!$A$2:$A$1057,$A87,'Product Order Book'!$E$2:$E$1057,F$3)/INDEX('Clean Package Product Lists'!$C:$C,MATCH(F$3,'Clean Package Product Lists'!$A:$A,0))),"")</f>
        <v>0</v>
      </c>
      <c r="G87" s="155">
        <f>IFERROR(MIN(1,COUNTIFS('Product Order Book'!$A$2:$A$1057,$A87,'Product Order Book'!$E$2:$E$1057,G$3)/INDEX('Clean Package Product Lists'!$C:$C,MATCH(G$3,'Clean Package Product Lists'!$A:$A,0))),"")</f>
        <v>9.0909090909090912E-2</v>
      </c>
      <c r="H87" s="155">
        <f>IFERROR(MIN(1,COUNTIFS('Product Order Book'!$A$2:$A$1057,$A87,'Product Order Book'!$E$2:$E$1057,H$3)/INDEX('Clean Package Product Lists'!$C:$C,MATCH(H$3,'Clean Package Product Lists'!$A:$A,0))),"")</f>
        <v>0</v>
      </c>
      <c r="I87" s="155">
        <f>IFERROR(MIN(1,COUNTIFS('Product Order Book'!$A$2:$A$1057,$A87,'Product Order Book'!$E$2:$E$1057,I$3)/INDEX('Clean Package Product Lists'!$C:$C,MATCH(I$3,'Clean Package Product Lists'!$A:$A,0))),"")</f>
        <v>0</v>
      </c>
      <c r="J87" s="155">
        <f>IFERROR(MIN(1,COUNTIFS('Product Order Book'!$A$2:$A$1057,$A87,'Product Order Book'!$E$2:$E$1057,J$3)/INDEX('Clean Package Product Lists'!$C:$C,MATCH(J$3,'Clean Package Product Lists'!$A:$A,0))),"")</f>
        <v>0</v>
      </c>
      <c r="K87" s="155">
        <f>IFERROR(MIN(1,COUNTIFS('Product Order Book'!$A$2:$A$1057,$A87,'Product Order Book'!$E$2:$E$1057,K$3)/INDEX('Clean Package Product Lists'!$C:$C,MATCH(K$3,'Clean Package Product Lists'!$A:$A,0))),"")</f>
        <v>0</v>
      </c>
      <c r="L87" s="154"/>
      <c r="M87" s="156" t="str">
        <f>IF(COUNTIFS('Product Order Book'!$A:$A,$A87,'Product Order Book'!$E:$E,M$3)&gt;0,"✓ Takes",IF(IFERROR(VLOOKUP($A87,'Whitespace Analysis'!$A:$AH,12,0),0)=1,"◎ Should","– N/A"))</f>
        <v>– N/A</v>
      </c>
      <c r="N87" s="156" t="str">
        <f>IF(COUNTIFS('Product Order Book'!$A:$A,$A87,'Product Order Book'!$E:$E,N$3)&gt;0,"✓ Takes",IF(IFERROR(VLOOKUP($A87,'Whitespace Analysis'!$A:$AH,20,0),0)=1,"◎ Should","– N/A"))</f>
        <v>– N/A</v>
      </c>
      <c r="O87" s="156" t="str">
        <f>IF(COUNTIFS('Product Order Book'!$A:$A,$A87,'Product Order Book'!$E:$E,O$3)&gt;0,"✓ Takes",IF(IFERROR(VLOOKUP($A87,'Whitespace Analysis'!$A:$AH,22,0),0)=1,"◎ Should","– N/A"))</f>
        <v>– N/A</v>
      </c>
      <c r="P87" s="156" t="str">
        <f>IF(COUNTIFS('Product Order Book'!$A:$A,$A87,'Product Order Book'!$E:$E,P$3)&gt;0,"✓ Takes",IF(IFERROR(VLOOKUP($A87,'Whitespace Analysis'!$A:$AH,24,0),0)=1,"◎ Should","– N/A"))</f>
        <v>– N/A</v>
      </c>
      <c r="Q87" s="156" t="str">
        <f>IF(COUNTIFS('Product Order Book'!$A:$A,$A87,'Product Order Book'!$E:$E,Q$3)&gt;0,"✓ Takes",IF(IFERROR(VLOOKUP($A87,'Whitespace Analysis'!$A:$AH,26,0),0)=1,"◎ Should","– N/A"))</f>
        <v>– N/A</v>
      </c>
      <c r="R87" s="156" t="str">
        <f>IF(COUNTIFS('Product Order Book'!$A:$A,$A87,'Product Order Book'!$E:$E,R$3)&gt;0,"✓ Takes",IF(IFERROR(VLOOKUP($A87,'Whitespace Analysis'!$A:$AH,16,0),0)=1,"◎ Should","– N/A"))</f>
        <v>✓ Takes</v>
      </c>
      <c r="S87" s="156" t="str">
        <f>IF(COUNTIFS('Product Order Book'!$A:$A,$A87,'Product Order Book'!$E:$E,S$3)&gt;0,"✓ Takes",IF(IFERROR(VLOOKUP($A87,'Whitespace Analysis'!$A:$AH,18,0),0)=1,"◎ Should","– N/A"))</f>
        <v>– N/A</v>
      </c>
      <c r="T87" s="156" t="str">
        <f>IF(COUNTIFS('Product Order Book'!$A:$A,$A87,'Product Order Book'!$E:$E,T$3)&gt;0,"✓ Takes",IF(IFERROR(VLOOKUP($A87,'Whitespace Analysis'!$A:$AH,28,0),0)=1,"◎ Should","– N/A"))</f>
        <v>– N/A</v>
      </c>
      <c r="U87" s="156" t="str">
        <f>IF(COUNTIFS('Product Order Book'!$A:$A,$A87,'Product Order Book'!$E:$E,U$3)&gt;0,"✓ Takes",IF(IFERROR(VLOOKUP($A87,'Whitespace Analysis'!$A:$AH,30,0),0)=1,"◎ Should","– N/A"))</f>
        <v>– N/A</v>
      </c>
      <c r="V87" s="156" t="str">
        <f>IF(COUNTIFS('Product Order Book'!$A:$A,$A87,'Product Order Book'!$E:$E,V$3)&gt;0,"✓ Takes",IF(IFERROR(VLOOKUP($A87,'Whitespace Analysis'!$A:$AH,14,0),0)=1,"◎ Should","– N/A"))</f>
        <v>– N/A</v>
      </c>
    </row>
    <row r="88" spans="1:22" ht="15" customHeight="1">
      <c r="A88" s="154" t="str">
        <v>Fladgate</v>
      </c>
      <c r="B88" s="155">
        <f>IFERROR(MIN(1,COUNTIFS('Product Order Book'!$A$2:$A$1057,$A88,'Product Order Book'!$E$2:$E$1057,B$3)/INDEX('Clean Package Product Lists'!$C:$C,MATCH(B$3,'Clean Package Product Lists'!$A:$A,0))),"")</f>
        <v>1</v>
      </c>
      <c r="C88" s="155">
        <f>IFERROR(MIN(1,COUNTIFS('Product Order Book'!$A$2:$A$1057,$A88,'Product Order Book'!$E$2:$E$1057,C$3)/INDEX('Clean Package Product Lists'!$C:$C,MATCH(C$3,'Clean Package Product Lists'!$A:$A,0))),"")</f>
        <v>0</v>
      </c>
      <c r="D88" s="155">
        <f>IFERROR(MIN(1,COUNTIFS('Product Order Book'!$A$2:$A$1057,$A88,'Product Order Book'!$E$2:$E$1057,D$3)/INDEX('Clean Package Product Lists'!$C:$C,MATCH(D$3,'Clean Package Product Lists'!$A:$A,0))),"")</f>
        <v>0</v>
      </c>
      <c r="E88" s="155">
        <f>IFERROR(MIN(1,COUNTIFS('Product Order Book'!$A$2:$A$1057,$A88,'Product Order Book'!$E$2:$E$1057,E$3)/INDEX('Clean Package Product Lists'!$C:$C,MATCH(E$3,'Clean Package Product Lists'!$A:$A,0))),"")</f>
        <v>0</v>
      </c>
      <c r="F88" s="155">
        <f>IFERROR(MIN(1,COUNTIFS('Product Order Book'!$A$2:$A$1057,$A88,'Product Order Book'!$E$2:$E$1057,F$3)/INDEX('Clean Package Product Lists'!$C:$C,MATCH(F$3,'Clean Package Product Lists'!$A:$A,0))),"")</f>
        <v>0</v>
      </c>
      <c r="G88" s="155">
        <f>IFERROR(MIN(1,COUNTIFS('Product Order Book'!$A$2:$A$1057,$A88,'Product Order Book'!$E$2:$E$1057,G$3)/INDEX('Clean Package Product Lists'!$C:$C,MATCH(G$3,'Clean Package Product Lists'!$A:$A,0))),"")</f>
        <v>0</v>
      </c>
      <c r="H88" s="155">
        <f>IFERROR(MIN(1,COUNTIFS('Product Order Book'!$A$2:$A$1057,$A88,'Product Order Book'!$E$2:$E$1057,H$3)/INDEX('Clean Package Product Lists'!$C:$C,MATCH(H$3,'Clean Package Product Lists'!$A:$A,0))),"")</f>
        <v>0</v>
      </c>
      <c r="I88" s="155">
        <f>IFERROR(MIN(1,COUNTIFS('Product Order Book'!$A$2:$A$1057,$A88,'Product Order Book'!$E$2:$E$1057,I$3)/INDEX('Clean Package Product Lists'!$C:$C,MATCH(I$3,'Clean Package Product Lists'!$A:$A,0))),"")</f>
        <v>0</v>
      </c>
      <c r="J88" s="155">
        <f>IFERROR(MIN(1,COUNTIFS('Product Order Book'!$A$2:$A$1057,$A88,'Product Order Book'!$E$2:$E$1057,J$3)/INDEX('Clean Package Product Lists'!$C:$C,MATCH(J$3,'Clean Package Product Lists'!$A:$A,0))),"")</f>
        <v>0</v>
      </c>
      <c r="K88" s="155">
        <f>IFERROR(MIN(1,COUNTIFS('Product Order Book'!$A$2:$A$1057,$A88,'Product Order Book'!$E$2:$E$1057,K$3)/INDEX('Clean Package Product Lists'!$C:$C,MATCH(K$3,'Clean Package Product Lists'!$A:$A,0))),"")</f>
        <v>0</v>
      </c>
      <c r="L88" s="154"/>
      <c r="M88" s="156" t="str">
        <f>IF(COUNTIFS('Product Order Book'!$A:$A,$A88,'Product Order Book'!$E:$E,M$3)&gt;0,"✓ Takes",IF(IFERROR(VLOOKUP($A88,'Whitespace Analysis'!$A:$AH,12,0),0)=1,"◎ Should","– N/A"))</f>
        <v>✓ Takes</v>
      </c>
      <c r="N88" s="156" t="str">
        <f>IF(COUNTIFS('Product Order Book'!$A:$A,$A88,'Product Order Book'!$E:$E,N$3)&gt;0,"✓ Takes",IF(IFERROR(VLOOKUP($A88,'Whitespace Analysis'!$A:$AH,20,0),0)=1,"◎ Should","– N/A"))</f>
        <v>– N/A</v>
      </c>
      <c r="O88" s="156" t="str">
        <f>IF(COUNTIFS('Product Order Book'!$A:$A,$A88,'Product Order Book'!$E:$E,O$3)&gt;0,"✓ Takes",IF(IFERROR(VLOOKUP($A88,'Whitespace Analysis'!$A:$AH,22,0),0)=1,"◎ Should","– N/A"))</f>
        <v>– N/A</v>
      </c>
      <c r="P88" s="156" t="str">
        <f>IF(COUNTIFS('Product Order Book'!$A:$A,$A88,'Product Order Book'!$E:$E,P$3)&gt;0,"✓ Takes",IF(IFERROR(VLOOKUP($A88,'Whitespace Analysis'!$A:$AH,24,0),0)=1,"◎ Should","– N/A"))</f>
        <v>– N/A</v>
      </c>
      <c r="Q88" s="156" t="str">
        <f>IF(COUNTIFS('Product Order Book'!$A:$A,$A88,'Product Order Book'!$E:$E,Q$3)&gt;0,"✓ Takes",IF(IFERROR(VLOOKUP($A88,'Whitespace Analysis'!$A:$AH,26,0),0)=1,"◎ Should","– N/A"))</f>
        <v>– N/A</v>
      </c>
      <c r="R88" s="156" t="str">
        <f>IF(COUNTIFS('Product Order Book'!$A:$A,$A88,'Product Order Book'!$E:$E,R$3)&gt;0,"✓ Takes",IF(IFERROR(VLOOKUP($A88,'Whitespace Analysis'!$A:$AH,16,0),0)=1,"◎ Should","– N/A"))</f>
        <v>– N/A</v>
      </c>
      <c r="S88" s="156" t="str">
        <f>IF(COUNTIFS('Product Order Book'!$A:$A,$A88,'Product Order Book'!$E:$E,S$3)&gt;0,"✓ Takes",IF(IFERROR(VLOOKUP($A88,'Whitespace Analysis'!$A:$AH,18,0),0)=1,"◎ Should","– N/A"))</f>
        <v>– N/A</v>
      </c>
      <c r="T88" s="156" t="str">
        <f>IF(COUNTIFS('Product Order Book'!$A:$A,$A88,'Product Order Book'!$E:$E,T$3)&gt;0,"✓ Takes",IF(IFERROR(VLOOKUP($A88,'Whitespace Analysis'!$A:$AH,28,0),0)=1,"◎ Should","– N/A"))</f>
        <v>– N/A</v>
      </c>
      <c r="U88" s="156" t="str">
        <f>IF(COUNTIFS('Product Order Book'!$A:$A,$A88,'Product Order Book'!$E:$E,U$3)&gt;0,"✓ Takes",IF(IFERROR(VLOOKUP($A88,'Whitespace Analysis'!$A:$AH,30,0),0)=1,"◎ Should","– N/A"))</f>
        <v>– N/A</v>
      </c>
      <c r="V88" s="156" t="str">
        <f>IF(COUNTIFS('Product Order Book'!$A:$A,$A88,'Product Order Book'!$E:$E,V$3)&gt;0,"✓ Takes",IF(IFERROR(VLOOKUP($A88,'Whitespace Analysis'!$A:$AH,14,0),0)=1,"◎ Should","– N/A"))</f>
        <v>– N/A</v>
      </c>
    </row>
    <row r="89" spans="1:22" ht="15" customHeight="1">
      <c r="A89" s="154" t="str">
        <v>Flogas Natural Gas Limited</v>
      </c>
      <c r="B89" s="155">
        <f>IFERROR(MIN(1,COUNTIFS('Product Order Book'!$A$2:$A$1057,$A89,'Product Order Book'!$E$2:$E$1057,B$3)/INDEX('Clean Package Product Lists'!$C:$C,MATCH(B$3,'Clean Package Product Lists'!$A:$A,0))),"")</f>
        <v>0</v>
      </c>
      <c r="C89" s="155">
        <f>IFERROR(MIN(1,COUNTIFS('Product Order Book'!$A$2:$A$1057,$A89,'Product Order Book'!$E$2:$E$1057,C$3)/INDEX('Clean Package Product Lists'!$C:$C,MATCH(C$3,'Clean Package Product Lists'!$A:$A,0))),"")</f>
        <v>0</v>
      </c>
      <c r="D89" s="155">
        <f>IFERROR(MIN(1,COUNTIFS('Product Order Book'!$A$2:$A$1057,$A89,'Product Order Book'!$E$2:$E$1057,D$3)/INDEX('Clean Package Product Lists'!$C:$C,MATCH(D$3,'Clean Package Product Lists'!$A:$A,0))),"")</f>
        <v>0</v>
      </c>
      <c r="E89" s="155">
        <f>IFERROR(MIN(1,COUNTIFS('Product Order Book'!$A$2:$A$1057,$A89,'Product Order Book'!$E$2:$E$1057,E$3)/INDEX('Clean Package Product Lists'!$C:$C,MATCH(E$3,'Clean Package Product Lists'!$A:$A,0))),"")</f>
        <v>0</v>
      </c>
      <c r="F89" s="155">
        <f>IFERROR(MIN(1,COUNTIFS('Product Order Book'!$A$2:$A$1057,$A89,'Product Order Book'!$E$2:$E$1057,F$3)/INDEX('Clean Package Product Lists'!$C:$C,MATCH(F$3,'Clean Package Product Lists'!$A:$A,0))),"")</f>
        <v>0</v>
      </c>
      <c r="G89" s="155">
        <f>IFERROR(MIN(1,COUNTIFS('Product Order Book'!$A$2:$A$1057,$A89,'Product Order Book'!$E$2:$E$1057,G$3)/INDEX('Clean Package Product Lists'!$C:$C,MATCH(G$3,'Clean Package Product Lists'!$A:$A,0))),"")</f>
        <v>0</v>
      </c>
      <c r="H89" s="155">
        <f>IFERROR(MIN(1,COUNTIFS('Product Order Book'!$A$2:$A$1057,$A89,'Product Order Book'!$E$2:$E$1057,H$3)/INDEX('Clean Package Product Lists'!$C:$C,MATCH(H$3,'Clean Package Product Lists'!$A:$A,0))),"")</f>
        <v>0</v>
      </c>
      <c r="I89" s="155">
        <f>IFERROR(MIN(1,COUNTIFS('Product Order Book'!$A$2:$A$1057,$A89,'Product Order Book'!$E$2:$E$1057,I$3)/INDEX('Clean Package Product Lists'!$C:$C,MATCH(I$3,'Clean Package Product Lists'!$A:$A,0))),"")</f>
        <v>0</v>
      </c>
      <c r="J89" s="155">
        <f>IFERROR(MIN(1,COUNTIFS('Product Order Book'!$A$2:$A$1057,$A89,'Product Order Book'!$E$2:$E$1057,J$3)/INDEX('Clean Package Product Lists'!$C:$C,MATCH(J$3,'Clean Package Product Lists'!$A:$A,0))),"")</f>
        <v>0</v>
      </c>
      <c r="K89" s="155">
        <f>IFERROR(MIN(1,COUNTIFS('Product Order Book'!$A$2:$A$1057,$A89,'Product Order Book'!$E$2:$E$1057,K$3)/INDEX('Clean Package Product Lists'!$C:$C,MATCH(K$3,'Clean Package Product Lists'!$A:$A,0))),"")</f>
        <v>0</v>
      </c>
      <c r="L89" s="154"/>
      <c r="M89" s="156" t="str">
        <f>IF(COUNTIFS('Product Order Book'!$A:$A,$A89,'Product Order Book'!$E:$E,M$3)&gt;0,"✓ Takes",IF(IFERROR(VLOOKUP($A89,'Whitespace Analysis'!$A:$AH,12,0),0)=1,"◎ Should","– N/A"))</f>
        <v>– N/A</v>
      </c>
      <c r="N89" s="156" t="str">
        <f>IF(COUNTIFS('Product Order Book'!$A:$A,$A89,'Product Order Book'!$E:$E,N$3)&gt;0,"✓ Takes",IF(IFERROR(VLOOKUP($A89,'Whitespace Analysis'!$A:$AH,20,0),0)=1,"◎ Should","– N/A"))</f>
        <v>– N/A</v>
      </c>
      <c r="O89" s="156" t="str">
        <f>IF(COUNTIFS('Product Order Book'!$A:$A,$A89,'Product Order Book'!$E:$E,O$3)&gt;0,"✓ Takes",IF(IFERROR(VLOOKUP($A89,'Whitespace Analysis'!$A:$AH,22,0),0)=1,"◎ Should","– N/A"))</f>
        <v>– N/A</v>
      </c>
      <c r="P89" s="156" t="str">
        <f>IF(COUNTIFS('Product Order Book'!$A:$A,$A89,'Product Order Book'!$E:$E,P$3)&gt;0,"✓ Takes",IF(IFERROR(VLOOKUP($A89,'Whitespace Analysis'!$A:$AH,24,0),0)=1,"◎ Should","– N/A"))</f>
        <v>– N/A</v>
      </c>
      <c r="Q89" s="156" t="str">
        <f>IF(COUNTIFS('Product Order Book'!$A:$A,$A89,'Product Order Book'!$E:$E,Q$3)&gt;0,"✓ Takes",IF(IFERROR(VLOOKUP($A89,'Whitespace Analysis'!$A:$AH,26,0),0)=1,"◎ Should","– N/A"))</f>
        <v>– N/A</v>
      </c>
      <c r="R89" s="156" t="str">
        <f>IF(COUNTIFS('Product Order Book'!$A:$A,$A89,'Product Order Book'!$E:$E,R$3)&gt;0,"✓ Takes",IF(IFERROR(VLOOKUP($A89,'Whitespace Analysis'!$A:$AH,16,0),0)=1,"◎ Should","– N/A"))</f>
        <v>– N/A</v>
      </c>
      <c r="S89" s="156" t="str">
        <f>IF(COUNTIFS('Product Order Book'!$A:$A,$A89,'Product Order Book'!$E:$E,S$3)&gt;0,"✓ Takes",IF(IFERROR(VLOOKUP($A89,'Whitespace Analysis'!$A:$AH,18,0),0)=1,"◎ Should","– N/A"))</f>
        <v>– N/A</v>
      </c>
      <c r="T89" s="156" t="str">
        <f>IF(COUNTIFS('Product Order Book'!$A:$A,$A89,'Product Order Book'!$E:$E,T$3)&gt;0,"✓ Takes",IF(IFERROR(VLOOKUP($A89,'Whitespace Analysis'!$A:$AH,28,0),0)=1,"◎ Should","– N/A"))</f>
        <v>– N/A</v>
      </c>
      <c r="U89" s="156" t="str">
        <f>IF(COUNTIFS('Product Order Book'!$A:$A,$A89,'Product Order Book'!$E:$E,U$3)&gt;0,"✓ Takes",IF(IFERROR(VLOOKUP($A89,'Whitespace Analysis'!$A:$AH,30,0),0)=1,"◎ Should","– N/A"))</f>
        <v>– N/A</v>
      </c>
      <c r="V89" s="156" t="str">
        <f>IF(COUNTIFS('Product Order Book'!$A:$A,$A89,'Product Order Book'!$E:$E,V$3)&gt;0,"✓ Takes",IF(IFERROR(VLOOKUP($A89,'Whitespace Analysis'!$A:$AH,14,0),0)=1,"◎ Should","– N/A"))</f>
        <v>– N/A</v>
      </c>
    </row>
    <row r="90" spans="1:22" ht="15" customHeight="1">
      <c r="A90" s="154" t="str">
        <v>Forsa Energy Holdings Limited</v>
      </c>
      <c r="B90" s="155">
        <f>IFERROR(MIN(1,COUNTIFS('Product Order Book'!$A$2:$A$1057,$A90,'Product Order Book'!$E$2:$E$1057,B$3)/INDEX('Clean Package Product Lists'!$C:$C,MATCH(B$3,'Clean Package Product Lists'!$A:$A,0))),"")</f>
        <v>0</v>
      </c>
      <c r="C90" s="155">
        <f>IFERROR(MIN(1,COUNTIFS('Product Order Book'!$A$2:$A$1057,$A90,'Product Order Book'!$E$2:$E$1057,C$3)/INDEX('Clean Package Product Lists'!$C:$C,MATCH(C$3,'Clean Package Product Lists'!$A:$A,0))),"")</f>
        <v>0.2857142857142857</v>
      </c>
      <c r="D90" s="155">
        <f>IFERROR(MIN(1,COUNTIFS('Product Order Book'!$A$2:$A$1057,$A90,'Product Order Book'!$E$2:$E$1057,D$3)/INDEX('Clean Package Product Lists'!$C:$C,MATCH(D$3,'Clean Package Product Lists'!$A:$A,0))),"")</f>
        <v>0</v>
      </c>
      <c r="E90" s="155">
        <f>IFERROR(MIN(1,COUNTIFS('Product Order Book'!$A$2:$A$1057,$A90,'Product Order Book'!$E$2:$E$1057,E$3)/INDEX('Clean Package Product Lists'!$C:$C,MATCH(E$3,'Clean Package Product Lists'!$A:$A,0))),"")</f>
        <v>0.25</v>
      </c>
      <c r="F90" s="155">
        <f>IFERROR(MIN(1,COUNTIFS('Product Order Book'!$A$2:$A$1057,$A90,'Product Order Book'!$E$2:$E$1057,F$3)/INDEX('Clean Package Product Lists'!$C:$C,MATCH(F$3,'Clean Package Product Lists'!$A:$A,0))),"")</f>
        <v>0</v>
      </c>
      <c r="G90" s="155">
        <f>IFERROR(MIN(1,COUNTIFS('Product Order Book'!$A$2:$A$1057,$A90,'Product Order Book'!$E$2:$E$1057,G$3)/INDEX('Clean Package Product Lists'!$C:$C,MATCH(G$3,'Clean Package Product Lists'!$A:$A,0))),"")</f>
        <v>0</v>
      </c>
      <c r="H90" s="155">
        <f>IFERROR(MIN(1,COUNTIFS('Product Order Book'!$A$2:$A$1057,$A90,'Product Order Book'!$E$2:$E$1057,H$3)/INDEX('Clean Package Product Lists'!$C:$C,MATCH(H$3,'Clean Package Product Lists'!$A:$A,0))),"")</f>
        <v>0</v>
      </c>
      <c r="I90" s="155">
        <f>IFERROR(MIN(1,COUNTIFS('Product Order Book'!$A$2:$A$1057,$A90,'Product Order Book'!$E$2:$E$1057,I$3)/INDEX('Clean Package Product Lists'!$C:$C,MATCH(I$3,'Clean Package Product Lists'!$A:$A,0))),"")</f>
        <v>0</v>
      </c>
      <c r="J90" s="155">
        <f>IFERROR(MIN(1,COUNTIFS('Product Order Book'!$A$2:$A$1057,$A90,'Product Order Book'!$E$2:$E$1057,J$3)/INDEX('Clean Package Product Lists'!$C:$C,MATCH(J$3,'Clean Package Product Lists'!$A:$A,0))),"")</f>
        <v>0</v>
      </c>
      <c r="K90" s="155">
        <f>IFERROR(MIN(1,COUNTIFS('Product Order Book'!$A$2:$A$1057,$A90,'Product Order Book'!$E$2:$E$1057,K$3)/INDEX('Clean Package Product Lists'!$C:$C,MATCH(K$3,'Clean Package Product Lists'!$A:$A,0))),"")</f>
        <v>0</v>
      </c>
      <c r="L90" s="154"/>
      <c r="M90" s="156" t="str">
        <f>IF(COUNTIFS('Product Order Book'!$A:$A,$A90,'Product Order Book'!$E:$E,M$3)&gt;0,"✓ Takes",IF(IFERROR(VLOOKUP($A90,'Whitespace Analysis'!$A:$AH,12,0),0)=1,"◎ Should","– N/A"))</f>
        <v>◎ Should</v>
      </c>
      <c r="N90" s="156" t="str">
        <f>IF(COUNTIFS('Product Order Book'!$A:$A,$A90,'Product Order Book'!$E:$E,N$3)&gt;0,"✓ Takes",IF(IFERROR(VLOOKUP($A90,'Whitespace Analysis'!$A:$AH,20,0),0)=1,"◎ Should","– N/A"))</f>
        <v>✓ Takes</v>
      </c>
      <c r="O90" s="156" t="str">
        <f>IF(COUNTIFS('Product Order Book'!$A:$A,$A90,'Product Order Book'!$E:$E,O$3)&gt;0,"✓ Takes",IF(IFERROR(VLOOKUP($A90,'Whitespace Analysis'!$A:$AH,22,0),0)=1,"◎ Should","– N/A"))</f>
        <v>– N/A</v>
      </c>
      <c r="P90" s="156" t="str">
        <f>IF(COUNTIFS('Product Order Book'!$A:$A,$A90,'Product Order Book'!$E:$E,P$3)&gt;0,"✓ Takes",IF(IFERROR(VLOOKUP($A90,'Whitespace Analysis'!$A:$AH,24,0),0)=1,"◎ Should","– N/A"))</f>
        <v>✓ Takes</v>
      </c>
      <c r="Q90" s="156" t="str">
        <f>IF(COUNTIFS('Product Order Book'!$A:$A,$A90,'Product Order Book'!$E:$E,Q$3)&gt;0,"✓ Takes",IF(IFERROR(VLOOKUP($A90,'Whitespace Analysis'!$A:$AH,26,0),0)=1,"◎ Should","– N/A"))</f>
        <v>◎ Should</v>
      </c>
      <c r="R90" s="156" t="str">
        <f>IF(COUNTIFS('Product Order Book'!$A:$A,$A90,'Product Order Book'!$E:$E,R$3)&gt;0,"✓ Takes",IF(IFERROR(VLOOKUP($A90,'Whitespace Analysis'!$A:$AH,16,0),0)=1,"◎ Should","– N/A"))</f>
        <v>– N/A</v>
      </c>
      <c r="S90" s="156" t="str">
        <f>IF(COUNTIFS('Product Order Book'!$A:$A,$A90,'Product Order Book'!$E:$E,S$3)&gt;0,"✓ Takes",IF(IFERROR(VLOOKUP($A90,'Whitespace Analysis'!$A:$AH,18,0),0)=1,"◎ Should","– N/A"))</f>
        <v>– N/A</v>
      </c>
      <c r="T90" s="156" t="str">
        <f>IF(COUNTIFS('Product Order Book'!$A:$A,$A90,'Product Order Book'!$E:$E,T$3)&gt;0,"✓ Takes",IF(IFERROR(VLOOKUP($A90,'Whitespace Analysis'!$A:$AH,28,0),0)=1,"◎ Should","– N/A"))</f>
        <v>– N/A</v>
      </c>
      <c r="U90" s="156" t="str">
        <f>IF(COUNTIFS('Product Order Book'!$A:$A,$A90,'Product Order Book'!$E:$E,U$3)&gt;0,"✓ Takes",IF(IFERROR(VLOOKUP($A90,'Whitespace Analysis'!$A:$AH,30,0),0)=1,"◎ Should","– N/A"))</f>
        <v>– N/A</v>
      </c>
      <c r="V90" s="156" t="str">
        <f>IF(COUNTIFS('Product Order Book'!$A:$A,$A90,'Product Order Book'!$E:$E,V$3)&gt;0,"✓ Takes",IF(IFERROR(VLOOKUP($A90,'Whitespace Analysis'!$A:$AH,14,0),0)=1,"◎ Should","– N/A"))</f>
        <v>◎ Should</v>
      </c>
    </row>
    <row r="91" spans="1:22" ht="15" customHeight="1">
      <c r="A91" s="154" t="str">
        <v>Fred Olsen Renewables Limited</v>
      </c>
      <c r="B91" s="155">
        <f>IFERROR(MIN(1,COUNTIFS('Product Order Book'!$A$2:$A$1057,$A91,'Product Order Book'!$E$2:$E$1057,B$3)/INDEX('Clean Package Product Lists'!$C:$C,MATCH(B$3,'Clean Package Product Lists'!$A:$A,0))),"")</f>
        <v>1</v>
      </c>
      <c r="C91" s="155">
        <f>IFERROR(MIN(1,COUNTIFS('Product Order Book'!$A$2:$A$1057,$A91,'Product Order Book'!$E$2:$E$1057,C$3)/INDEX('Clean Package Product Lists'!$C:$C,MATCH(C$3,'Clean Package Product Lists'!$A:$A,0))),"")</f>
        <v>0</v>
      </c>
      <c r="D91" s="155">
        <f>IFERROR(MIN(1,COUNTIFS('Product Order Book'!$A$2:$A$1057,$A91,'Product Order Book'!$E$2:$E$1057,D$3)/INDEX('Clean Package Product Lists'!$C:$C,MATCH(D$3,'Clean Package Product Lists'!$A:$A,0))),"")</f>
        <v>0</v>
      </c>
      <c r="E91" s="155">
        <f>IFERROR(MIN(1,COUNTIFS('Product Order Book'!$A$2:$A$1057,$A91,'Product Order Book'!$E$2:$E$1057,E$3)/INDEX('Clean Package Product Lists'!$C:$C,MATCH(E$3,'Clean Package Product Lists'!$A:$A,0))),"")</f>
        <v>0</v>
      </c>
      <c r="F91" s="155">
        <f>IFERROR(MIN(1,COUNTIFS('Product Order Book'!$A$2:$A$1057,$A91,'Product Order Book'!$E$2:$E$1057,F$3)/INDEX('Clean Package Product Lists'!$C:$C,MATCH(F$3,'Clean Package Product Lists'!$A:$A,0))),"")</f>
        <v>0.33333333333333331</v>
      </c>
      <c r="G91" s="155">
        <f>IFERROR(MIN(1,COUNTIFS('Product Order Book'!$A$2:$A$1057,$A91,'Product Order Book'!$E$2:$E$1057,G$3)/INDEX('Clean Package Product Lists'!$C:$C,MATCH(G$3,'Clean Package Product Lists'!$A:$A,0))),"")</f>
        <v>0</v>
      </c>
      <c r="H91" s="155">
        <f>IFERROR(MIN(1,COUNTIFS('Product Order Book'!$A$2:$A$1057,$A91,'Product Order Book'!$E$2:$E$1057,H$3)/INDEX('Clean Package Product Lists'!$C:$C,MATCH(H$3,'Clean Package Product Lists'!$A:$A,0))),"")</f>
        <v>0</v>
      </c>
      <c r="I91" s="155">
        <f>IFERROR(MIN(1,COUNTIFS('Product Order Book'!$A$2:$A$1057,$A91,'Product Order Book'!$E$2:$E$1057,I$3)/INDEX('Clean Package Product Lists'!$C:$C,MATCH(I$3,'Clean Package Product Lists'!$A:$A,0))),"")</f>
        <v>0</v>
      </c>
      <c r="J91" s="155">
        <f>IFERROR(MIN(1,COUNTIFS('Product Order Book'!$A$2:$A$1057,$A91,'Product Order Book'!$E$2:$E$1057,J$3)/INDEX('Clean Package Product Lists'!$C:$C,MATCH(J$3,'Clean Package Product Lists'!$A:$A,0))),"")</f>
        <v>0</v>
      </c>
      <c r="K91" s="155">
        <f>IFERROR(MIN(1,COUNTIFS('Product Order Book'!$A$2:$A$1057,$A91,'Product Order Book'!$E$2:$E$1057,K$3)/INDEX('Clean Package Product Lists'!$C:$C,MATCH(K$3,'Clean Package Product Lists'!$A:$A,0))),"")</f>
        <v>1</v>
      </c>
      <c r="L91" s="154"/>
      <c r="M91" s="156" t="str">
        <f>IF(COUNTIFS('Product Order Book'!$A:$A,$A91,'Product Order Book'!$E:$E,M$3)&gt;0,"✓ Takes",IF(IFERROR(VLOOKUP($A91,'Whitespace Analysis'!$A:$AH,12,0),0)=1,"◎ Should","– N/A"))</f>
        <v>✓ Takes</v>
      </c>
      <c r="N91" s="156" t="str">
        <f>IF(COUNTIFS('Product Order Book'!$A:$A,$A91,'Product Order Book'!$E:$E,N$3)&gt;0,"✓ Takes",IF(IFERROR(VLOOKUP($A91,'Whitespace Analysis'!$A:$AH,20,0),0)=1,"◎ Should","– N/A"))</f>
        <v>◎ Should</v>
      </c>
      <c r="O91" s="156" t="str">
        <f>IF(COUNTIFS('Product Order Book'!$A:$A,$A91,'Product Order Book'!$E:$E,O$3)&gt;0,"✓ Takes",IF(IFERROR(VLOOKUP($A91,'Whitespace Analysis'!$A:$AH,22,0),0)=1,"◎ Should","– N/A"))</f>
        <v>◎ Should</v>
      </c>
      <c r="P91" s="156" t="str">
        <f>IF(COUNTIFS('Product Order Book'!$A:$A,$A91,'Product Order Book'!$E:$E,P$3)&gt;0,"✓ Takes",IF(IFERROR(VLOOKUP($A91,'Whitespace Analysis'!$A:$AH,24,0),0)=1,"◎ Should","– N/A"))</f>
        <v>– N/A</v>
      </c>
      <c r="Q91" s="156" t="str">
        <f>IF(COUNTIFS('Product Order Book'!$A:$A,$A91,'Product Order Book'!$E:$E,Q$3)&gt;0,"✓ Takes",IF(IFERROR(VLOOKUP($A91,'Whitespace Analysis'!$A:$AH,26,0),0)=1,"◎ Should","– N/A"))</f>
        <v>✓ Takes</v>
      </c>
      <c r="R91" s="156" t="str">
        <f>IF(COUNTIFS('Product Order Book'!$A:$A,$A91,'Product Order Book'!$E:$E,R$3)&gt;0,"✓ Takes",IF(IFERROR(VLOOKUP($A91,'Whitespace Analysis'!$A:$AH,16,0),0)=1,"◎ Should","– N/A"))</f>
        <v>– N/A</v>
      </c>
      <c r="S91" s="156" t="str">
        <f>IF(COUNTIFS('Product Order Book'!$A:$A,$A91,'Product Order Book'!$E:$E,S$3)&gt;0,"✓ Takes",IF(IFERROR(VLOOKUP($A91,'Whitespace Analysis'!$A:$AH,18,0),0)=1,"◎ Should","– N/A"))</f>
        <v>– N/A</v>
      </c>
      <c r="T91" s="156" t="str">
        <f>IF(COUNTIFS('Product Order Book'!$A:$A,$A91,'Product Order Book'!$E:$E,T$3)&gt;0,"✓ Takes",IF(IFERROR(VLOOKUP($A91,'Whitespace Analysis'!$A:$AH,28,0),0)=1,"◎ Should","– N/A"))</f>
        <v>– N/A</v>
      </c>
      <c r="U91" s="156" t="str">
        <f>IF(COUNTIFS('Product Order Book'!$A:$A,$A91,'Product Order Book'!$E:$E,U$3)&gt;0,"✓ Takes",IF(IFERROR(VLOOKUP($A91,'Whitespace Analysis'!$A:$AH,30,0),0)=1,"◎ Should","– N/A"))</f>
        <v>– N/A</v>
      </c>
      <c r="V91" s="156" t="str">
        <f>IF(COUNTIFS('Product Order Book'!$A:$A,$A91,'Product Order Book'!$E:$E,V$3)&gt;0,"✓ Takes",IF(IFERROR(VLOOKUP($A91,'Whitespace Analysis'!$A:$AH,14,0),0)=1,"◎ Should","– N/A"))</f>
        <v>✓ Takes</v>
      </c>
    </row>
    <row r="92" spans="1:22" ht="15" customHeight="1">
      <c r="A92" s="154" t="str">
        <v>Frontier Economics</v>
      </c>
      <c r="B92" s="155">
        <f>IFERROR(MIN(1,COUNTIFS('Product Order Book'!$A$2:$A$1057,$A92,'Product Order Book'!$E$2:$E$1057,B$3)/INDEX('Clean Package Product Lists'!$C:$C,MATCH(B$3,'Clean Package Product Lists'!$A:$A,0))),"")</f>
        <v>1</v>
      </c>
      <c r="C92" s="155">
        <f>IFERROR(MIN(1,COUNTIFS('Product Order Book'!$A$2:$A$1057,$A92,'Product Order Book'!$E$2:$E$1057,C$3)/INDEX('Clean Package Product Lists'!$C:$C,MATCH(C$3,'Clean Package Product Lists'!$A:$A,0))),"")</f>
        <v>0</v>
      </c>
      <c r="D92" s="155">
        <f>IFERROR(MIN(1,COUNTIFS('Product Order Book'!$A$2:$A$1057,$A92,'Product Order Book'!$E$2:$E$1057,D$3)/INDEX('Clean Package Product Lists'!$C:$C,MATCH(D$3,'Clean Package Product Lists'!$A:$A,0))),"")</f>
        <v>0</v>
      </c>
      <c r="E92" s="155">
        <f>IFERROR(MIN(1,COUNTIFS('Product Order Book'!$A$2:$A$1057,$A92,'Product Order Book'!$E$2:$E$1057,E$3)/INDEX('Clean Package Product Lists'!$C:$C,MATCH(E$3,'Clean Package Product Lists'!$A:$A,0))),"")</f>
        <v>0</v>
      </c>
      <c r="F92" s="155">
        <f>IFERROR(MIN(1,COUNTIFS('Product Order Book'!$A$2:$A$1057,$A92,'Product Order Book'!$E$2:$E$1057,F$3)/INDEX('Clean Package Product Lists'!$C:$C,MATCH(F$3,'Clean Package Product Lists'!$A:$A,0))),"")</f>
        <v>0</v>
      </c>
      <c r="G92" s="155">
        <f>IFERROR(MIN(1,COUNTIFS('Product Order Book'!$A$2:$A$1057,$A92,'Product Order Book'!$E$2:$E$1057,G$3)/INDEX('Clean Package Product Lists'!$C:$C,MATCH(G$3,'Clean Package Product Lists'!$A:$A,0))),"")</f>
        <v>0</v>
      </c>
      <c r="H92" s="155">
        <f>IFERROR(MIN(1,COUNTIFS('Product Order Book'!$A$2:$A$1057,$A92,'Product Order Book'!$E$2:$E$1057,H$3)/INDEX('Clean Package Product Lists'!$C:$C,MATCH(H$3,'Clean Package Product Lists'!$A:$A,0))),"")</f>
        <v>0</v>
      </c>
      <c r="I92" s="155">
        <f>IFERROR(MIN(1,COUNTIFS('Product Order Book'!$A$2:$A$1057,$A92,'Product Order Book'!$E$2:$E$1057,I$3)/INDEX('Clean Package Product Lists'!$C:$C,MATCH(I$3,'Clean Package Product Lists'!$A:$A,0))),"")</f>
        <v>0</v>
      </c>
      <c r="J92" s="155">
        <f>IFERROR(MIN(1,COUNTIFS('Product Order Book'!$A$2:$A$1057,$A92,'Product Order Book'!$E$2:$E$1057,J$3)/INDEX('Clean Package Product Lists'!$C:$C,MATCH(J$3,'Clean Package Product Lists'!$A:$A,0))),"")</f>
        <v>0</v>
      </c>
      <c r="K92" s="155">
        <f>IFERROR(MIN(1,COUNTIFS('Product Order Book'!$A$2:$A$1057,$A92,'Product Order Book'!$E$2:$E$1057,K$3)/INDEX('Clean Package Product Lists'!$C:$C,MATCH(K$3,'Clean Package Product Lists'!$A:$A,0))),"")</f>
        <v>0</v>
      </c>
      <c r="L92" s="154"/>
      <c r="M92" s="156" t="str">
        <f>IF(COUNTIFS('Product Order Book'!$A:$A,$A92,'Product Order Book'!$E:$E,M$3)&gt;0,"✓ Takes",IF(IFERROR(VLOOKUP($A92,'Whitespace Analysis'!$A:$AH,12,0),0)=1,"◎ Should","– N/A"))</f>
        <v>✓ Takes</v>
      </c>
      <c r="N92" s="156" t="str">
        <f>IF(COUNTIFS('Product Order Book'!$A:$A,$A92,'Product Order Book'!$E:$E,N$3)&gt;0,"✓ Takes",IF(IFERROR(VLOOKUP($A92,'Whitespace Analysis'!$A:$AH,20,0),0)=1,"◎ Should","– N/A"))</f>
        <v>– N/A</v>
      </c>
      <c r="O92" s="156" t="str">
        <f>IF(COUNTIFS('Product Order Book'!$A:$A,$A92,'Product Order Book'!$E:$E,O$3)&gt;0,"✓ Takes",IF(IFERROR(VLOOKUP($A92,'Whitespace Analysis'!$A:$AH,22,0),0)=1,"◎ Should","– N/A"))</f>
        <v>– N/A</v>
      </c>
      <c r="P92" s="156" t="str">
        <f>IF(COUNTIFS('Product Order Book'!$A:$A,$A92,'Product Order Book'!$E:$E,P$3)&gt;0,"✓ Takes",IF(IFERROR(VLOOKUP($A92,'Whitespace Analysis'!$A:$AH,24,0),0)=1,"◎ Should","– N/A"))</f>
        <v>– N/A</v>
      </c>
      <c r="Q92" s="156" t="str">
        <f>IF(COUNTIFS('Product Order Book'!$A:$A,$A92,'Product Order Book'!$E:$E,Q$3)&gt;0,"✓ Takes",IF(IFERROR(VLOOKUP($A92,'Whitespace Analysis'!$A:$AH,26,0),0)=1,"◎ Should","– N/A"))</f>
        <v>– N/A</v>
      </c>
      <c r="R92" s="156" t="str">
        <f>IF(COUNTIFS('Product Order Book'!$A:$A,$A92,'Product Order Book'!$E:$E,R$3)&gt;0,"✓ Takes",IF(IFERROR(VLOOKUP($A92,'Whitespace Analysis'!$A:$AH,16,0),0)=1,"◎ Should","– N/A"))</f>
        <v>– N/A</v>
      </c>
      <c r="S92" s="156" t="str">
        <f>IF(COUNTIFS('Product Order Book'!$A:$A,$A92,'Product Order Book'!$E:$E,S$3)&gt;0,"✓ Takes",IF(IFERROR(VLOOKUP($A92,'Whitespace Analysis'!$A:$AH,18,0),0)=1,"◎ Should","– N/A"))</f>
        <v>– N/A</v>
      </c>
      <c r="T92" s="156" t="str">
        <f>IF(COUNTIFS('Product Order Book'!$A:$A,$A92,'Product Order Book'!$E:$E,T$3)&gt;0,"✓ Takes",IF(IFERROR(VLOOKUP($A92,'Whitespace Analysis'!$A:$AH,28,0),0)=1,"◎ Should","– N/A"))</f>
        <v>– N/A</v>
      </c>
      <c r="U92" s="156" t="str">
        <f>IF(COUNTIFS('Product Order Book'!$A:$A,$A92,'Product Order Book'!$E:$E,U$3)&gt;0,"✓ Takes",IF(IFERROR(VLOOKUP($A92,'Whitespace Analysis'!$A:$AH,30,0),0)=1,"◎ Should","– N/A"))</f>
        <v>– N/A</v>
      </c>
      <c r="V92" s="156" t="str">
        <f>IF(COUNTIFS('Product Order Book'!$A:$A,$A92,'Product Order Book'!$E:$E,V$3)&gt;0,"✓ Takes",IF(IFERROR(VLOOKUP($A92,'Whitespace Analysis'!$A:$AH,14,0),0)=1,"◎ Should","– N/A"))</f>
        <v>– N/A</v>
      </c>
    </row>
    <row r="93" spans="1:22" ht="15" customHeight="1">
      <c r="A93" s="154" t="str">
        <v>FTI Consulting LLP</v>
      </c>
      <c r="B93" s="155">
        <f>IFERROR(MIN(1,COUNTIFS('Product Order Book'!$A$2:$A$1057,$A93,'Product Order Book'!$E$2:$E$1057,B$3)/INDEX('Clean Package Product Lists'!$C:$C,MATCH(B$3,'Clean Package Product Lists'!$A:$A,0))),"")</f>
        <v>1</v>
      </c>
      <c r="C93" s="155">
        <f>IFERROR(MIN(1,COUNTIFS('Product Order Book'!$A$2:$A$1057,$A93,'Product Order Book'!$E$2:$E$1057,C$3)/INDEX('Clean Package Product Lists'!$C:$C,MATCH(C$3,'Clean Package Product Lists'!$A:$A,0))),"")</f>
        <v>0</v>
      </c>
      <c r="D93" s="155">
        <f>IFERROR(MIN(1,COUNTIFS('Product Order Book'!$A$2:$A$1057,$A93,'Product Order Book'!$E$2:$E$1057,D$3)/INDEX('Clean Package Product Lists'!$C:$C,MATCH(D$3,'Clean Package Product Lists'!$A:$A,0))),"")</f>
        <v>0</v>
      </c>
      <c r="E93" s="155">
        <f>IFERROR(MIN(1,COUNTIFS('Product Order Book'!$A$2:$A$1057,$A93,'Product Order Book'!$E$2:$E$1057,E$3)/INDEX('Clean Package Product Lists'!$C:$C,MATCH(E$3,'Clean Package Product Lists'!$A:$A,0))),"")</f>
        <v>0</v>
      </c>
      <c r="F93" s="155">
        <f>IFERROR(MIN(1,COUNTIFS('Product Order Book'!$A$2:$A$1057,$A93,'Product Order Book'!$E$2:$E$1057,F$3)/INDEX('Clean Package Product Lists'!$C:$C,MATCH(F$3,'Clean Package Product Lists'!$A:$A,0))),"")</f>
        <v>0</v>
      </c>
      <c r="G93" s="155">
        <f>IFERROR(MIN(1,COUNTIFS('Product Order Book'!$A$2:$A$1057,$A93,'Product Order Book'!$E$2:$E$1057,G$3)/INDEX('Clean Package Product Lists'!$C:$C,MATCH(G$3,'Clean Package Product Lists'!$A:$A,0))),"")</f>
        <v>0</v>
      </c>
      <c r="H93" s="155">
        <f>IFERROR(MIN(1,COUNTIFS('Product Order Book'!$A$2:$A$1057,$A93,'Product Order Book'!$E$2:$E$1057,H$3)/INDEX('Clean Package Product Lists'!$C:$C,MATCH(H$3,'Clean Package Product Lists'!$A:$A,0))),"")</f>
        <v>0</v>
      </c>
      <c r="I93" s="155">
        <f>IFERROR(MIN(1,COUNTIFS('Product Order Book'!$A$2:$A$1057,$A93,'Product Order Book'!$E$2:$E$1057,I$3)/INDEX('Clean Package Product Lists'!$C:$C,MATCH(I$3,'Clean Package Product Lists'!$A:$A,0))),"")</f>
        <v>0</v>
      </c>
      <c r="J93" s="155">
        <f>IFERROR(MIN(1,COUNTIFS('Product Order Book'!$A$2:$A$1057,$A93,'Product Order Book'!$E$2:$E$1057,J$3)/INDEX('Clean Package Product Lists'!$C:$C,MATCH(J$3,'Clean Package Product Lists'!$A:$A,0))),"")</f>
        <v>0</v>
      </c>
      <c r="K93" s="155">
        <f>IFERROR(MIN(1,COUNTIFS('Product Order Book'!$A$2:$A$1057,$A93,'Product Order Book'!$E$2:$E$1057,K$3)/INDEX('Clean Package Product Lists'!$C:$C,MATCH(K$3,'Clean Package Product Lists'!$A:$A,0))),"")</f>
        <v>0</v>
      </c>
      <c r="L93" s="154"/>
      <c r="M93" s="156" t="str">
        <f>IF(COUNTIFS('Product Order Book'!$A:$A,$A93,'Product Order Book'!$E:$E,M$3)&gt;0,"✓ Takes",IF(IFERROR(VLOOKUP($A93,'Whitespace Analysis'!$A:$AH,12,0),0)=1,"◎ Should","– N/A"))</f>
        <v>✓ Takes</v>
      </c>
      <c r="N93" s="156" t="str">
        <f>IF(COUNTIFS('Product Order Book'!$A:$A,$A93,'Product Order Book'!$E:$E,N$3)&gt;0,"✓ Takes",IF(IFERROR(VLOOKUP($A93,'Whitespace Analysis'!$A:$AH,20,0),0)=1,"◎ Should","– N/A"))</f>
        <v>– N/A</v>
      </c>
      <c r="O93" s="156" t="str">
        <f>IF(COUNTIFS('Product Order Book'!$A:$A,$A93,'Product Order Book'!$E:$E,O$3)&gt;0,"✓ Takes",IF(IFERROR(VLOOKUP($A93,'Whitespace Analysis'!$A:$AH,22,0),0)=1,"◎ Should","– N/A"))</f>
        <v>– N/A</v>
      </c>
      <c r="P93" s="156" t="str">
        <f>IF(COUNTIFS('Product Order Book'!$A:$A,$A93,'Product Order Book'!$E:$E,P$3)&gt;0,"✓ Takes",IF(IFERROR(VLOOKUP($A93,'Whitespace Analysis'!$A:$AH,24,0),0)=1,"◎ Should","– N/A"))</f>
        <v>– N/A</v>
      </c>
      <c r="Q93" s="156" t="str">
        <f>IF(COUNTIFS('Product Order Book'!$A:$A,$A93,'Product Order Book'!$E:$E,Q$3)&gt;0,"✓ Takes",IF(IFERROR(VLOOKUP($A93,'Whitespace Analysis'!$A:$AH,26,0),0)=1,"◎ Should","– N/A"))</f>
        <v>– N/A</v>
      </c>
      <c r="R93" s="156" t="str">
        <f>IF(COUNTIFS('Product Order Book'!$A:$A,$A93,'Product Order Book'!$E:$E,R$3)&gt;0,"✓ Takes",IF(IFERROR(VLOOKUP($A93,'Whitespace Analysis'!$A:$AH,16,0),0)=1,"◎ Should","– N/A"))</f>
        <v>– N/A</v>
      </c>
      <c r="S93" s="156" t="str">
        <f>IF(COUNTIFS('Product Order Book'!$A:$A,$A93,'Product Order Book'!$E:$E,S$3)&gt;0,"✓ Takes",IF(IFERROR(VLOOKUP($A93,'Whitespace Analysis'!$A:$AH,18,0),0)=1,"◎ Should","– N/A"))</f>
        <v>– N/A</v>
      </c>
      <c r="T93" s="156" t="str">
        <f>IF(COUNTIFS('Product Order Book'!$A:$A,$A93,'Product Order Book'!$E:$E,T$3)&gt;0,"✓ Takes",IF(IFERROR(VLOOKUP($A93,'Whitespace Analysis'!$A:$AH,28,0),0)=1,"◎ Should","– N/A"))</f>
        <v>– N/A</v>
      </c>
      <c r="U93" s="156" t="str">
        <f>IF(COUNTIFS('Product Order Book'!$A:$A,$A93,'Product Order Book'!$E:$E,U$3)&gt;0,"✓ Takes",IF(IFERROR(VLOOKUP($A93,'Whitespace Analysis'!$A:$AH,30,0),0)=1,"◎ Should","– N/A"))</f>
        <v>– N/A</v>
      </c>
      <c r="V93" s="156" t="str">
        <f>IF(COUNTIFS('Product Order Book'!$A:$A,$A93,'Product Order Book'!$E:$E,V$3)&gt;0,"✓ Takes",IF(IFERROR(VLOOKUP($A93,'Whitespace Analysis'!$A:$AH,14,0),0)=1,"◎ Should","– N/A"))</f>
        <v>– N/A</v>
      </c>
    </row>
    <row r="94" spans="1:22" ht="15" customHeight="1">
      <c r="A94" s="154" t="str">
        <v>Ganninon Limited</v>
      </c>
      <c r="B94" s="155">
        <f>IFERROR(MIN(1,COUNTIFS('Product Order Book'!$A$2:$A$1057,$A94,'Product Order Book'!$E$2:$E$1057,B$3)/INDEX('Clean Package Product Lists'!$C:$C,MATCH(B$3,'Clean Package Product Lists'!$A:$A,0))),"")</f>
        <v>1</v>
      </c>
      <c r="C94" s="155">
        <f>IFERROR(MIN(1,COUNTIFS('Product Order Book'!$A$2:$A$1057,$A94,'Product Order Book'!$E$2:$E$1057,C$3)/INDEX('Clean Package Product Lists'!$C:$C,MATCH(C$3,'Clean Package Product Lists'!$A:$A,0))),"")</f>
        <v>0</v>
      </c>
      <c r="D94" s="155">
        <f>IFERROR(MIN(1,COUNTIFS('Product Order Book'!$A$2:$A$1057,$A94,'Product Order Book'!$E$2:$E$1057,D$3)/INDEX('Clean Package Product Lists'!$C:$C,MATCH(D$3,'Clean Package Product Lists'!$A:$A,0))),"")</f>
        <v>0</v>
      </c>
      <c r="E94" s="155">
        <f>IFERROR(MIN(1,COUNTIFS('Product Order Book'!$A$2:$A$1057,$A94,'Product Order Book'!$E$2:$E$1057,E$3)/INDEX('Clean Package Product Lists'!$C:$C,MATCH(E$3,'Clean Package Product Lists'!$A:$A,0))),"")</f>
        <v>0</v>
      </c>
      <c r="F94" s="155">
        <f>IFERROR(MIN(1,COUNTIFS('Product Order Book'!$A$2:$A$1057,$A94,'Product Order Book'!$E$2:$E$1057,F$3)/INDEX('Clean Package Product Lists'!$C:$C,MATCH(F$3,'Clean Package Product Lists'!$A:$A,0))),"")</f>
        <v>0</v>
      </c>
      <c r="G94" s="155">
        <f>IFERROR(MIN(1,COUNTIFS('Product Order Book'!$A$2:$A$1057,$A94,'Product Order Book'!$E$2:$E$1057,G$3)/INDEX('Clean Package Product Lists'!$C:$C,MATCH(G$3,'Clean Package Product Lists'!$A:$A,0))),"")</f>
        <v>0</v>
      </c>
      <c r="H94" s="155">
        <f>IFERROR(MIN(1,COUNTIFS('Product Order Book'!$A$2:$A$1057,$A94,'Product Order Book'!$E$2:$E$1057,H$3)/INDEX('Clean Package Product Lists'!$C:$C,MATCH(H$3,'Clean Package Product Lists'!$A:$A,0))),"")</f>
        <v>0</v>
      </c>
      <c r="I94" s="155">
        <f>IFERROR(MIN(1,COUNTIFS('Product Order Book'!$A$2:$A$1057,$A94,'Product Order Book'!$E$2:$E$1057,I$3)/INDEX('Clean Package Product Lists'!$C:$C,MATCH(I$3,'Clean Package Product Lists'!$A:$A,0))),"")</f>
        <v>0</v>
      </c>
      <c r="J94" s="155">
        <f>IFERROR(MIN(1,COUNTIFS('Product Order Book'!$A$2:$A$1057,$A94,'Product Order Book'!$E$2:$E$1057,J$3)/INDEX('Clean Package Product Lists'!$C:$C,MATCH(J$3,'Clean Package Product Lists'!$A:$A,0))),"")</f>
        <v>0</v>
      </c>
      <c r="K94" s="155">
        <f>IFERROR(MIN(1,COUNTIFS('Product Order Book'!$A$2:$A$1057,$A94,'Product Order Book'!$E$2:$E$1057,K$3)/INDEX('Clean Package Product Lists'!$C:$C,MATCH(K$3,'Clean Package Product Lists'!$A:$A,0))),"")</f>
        <v>0</v>
      </c>
      <c r="L94" s="154"/>
      <c r="M94" s="156" t="str">
        <f>IF(COUNTIFS('Product Order Book'!$A:$A,$A94,'Product Order Book'!$E:$E,M$3)&gt;0,"✓ Takes",IF(IFERROR(VLOOKUP($A94,'Whitespace Analysis'!$A:$AH,12,0),0)=1,"◎ Should","– N/A"))</f>
        <v>✓ Takes</v>
      </c>
      <c r="N94" s="156" t="str">
        <f>IF(COUNTIFS('Product Order Book'!$A:$A,$A94,'Product Order Book'!$E:$E,N$3)&gt;0,"✓ Takes",IF(IFERROR(VLOOKUP($A94,'Whitespace Analysis'!$A:$AH,20,0),0)=1,"◎ Should","– N/A"))</f>
        <v>– N/A</v>
      </c>
      <c r="O94" s="156" t="str">
        <f>IF(COUNTIFS('Product Order Book'!$A:$A,$A94,'Product Order Book'!$E:$E,O$3)&gt;0,"✓ Takes",IF(IFERROR(VLOOKUP($A94,'Whitespace Analysis'!$A:$AH,22,0),0)=1,"◎ Should","– N/A"))</f>
        <v>– N/A</v>
      </c>
      <c r="P94" s="156" t="str">
        <f>IF(COUNTIFS('Product Order Book'!$A:$A,$A94,'Product Order Book'!$E:$E,P$3)&gt;0,"✓ Takes",IF(IFERROR(VLOOKUP($A94,'Whitespace Analysis'!$A:$AH,24,0),0)=1,"◎ Should","– N/A"))</f>
        <v>– N/A</v>
      </c>
      <c r="Q94" s="156" t="str">
        <f>IF(COUNTIFS('Product Order Book'!$A:$A,$A94,'Product Order Book'!$E:$E,Q$3)&gt;0,"✓ Takes",IF(IFERROR(VLOOKUP($A94,'Whitespace Analysis'!$A:$AH,26,0),0)=1,"◎ Should","– N/A"))</f>
        <v>– N/A</v>
      </c>
      <c r="R94" s="156" t="str">
        <f>IF(COUNTIFS('Product Order Book'!$A:$A,$A94,'Product Order Book'!$E:$E,R$3)&gt;0,"✓ Takes",IF(IFERROR(VLOOKUP($A94,'Whitespace Analysis'!$A:$AH,16,0),0)=1,"◎ Should","– N/A"))</f>
        <v>– N/A</v>
      </c>
      <c r="S94" s="156" t="str">
        <f>IF(COUNTIFS('Product Order Book'!$A:$A,$A94,'Product Order Book'!$E:$E,S$3)&gt;0,"✓ Takes",IF(IFERROR(VLOOKUP($A94,'Whitespace Analysis'!$A:$AH,18,0),0)=1,"◎ Should","– N/A"))</f>
        <v>– N/A</v>
      </c>
      <c r="T94" s="156" t="str">
        <f>IF(COUNTIFS('Product Order Book'!$A:$A,$A94,'Product Order Book'!$E:$E,T$3)&gt;0,"✓ Takes",IF(IFERROR(VLOOKUP($A94,'Whitespace Analysis'!$A:$AH,28,0),0)=1,"◎ Should","– N/A"))</f>
        <v>– N/A</v>
      </c>
      <c r="U94" s="156" t="str">
        <f>IF(COUNTIFS('Product Order Book'!$A:$A,$A94,'Product Order Book'!$E:$E,U$3)&gt;0,"✓ Takes",IF(IFERROR(VLOOKUP($A94,'Whitespace Analysis'!$A:$AH,30,0),0)=1,"◎ Should","– N/A"))</f>
        <v>– N/A</v>
      </c>
      <c r="V94" s="156" t="str">
        <f>IF(COUNTIFS('Product Order Book'!$A:$A,$A94,'Product Order Book'!$E:$E,V$3)&gt;0,"✓ Takes",IF(IFERROR(VLOOKUP($A94,'Whitespace Analysis'!$A:$AH,14,0),0)=1,"◎ Should","– N/A"))</f>
        <v>– N/A</v>
      </c>
    </row>
    <row r="95" spans="1:22" ht="15" customHeight="1">
      <c r="A95" s="154" t="str">
        <v>Good Energy Limited</v>
      </c>
      <c r="B95" s="155">
        <f>IFERROR(MIN(1,COUNTIFS('Product Order Book'!$A$2:$A$1057,$A95,'Product Order Book'!$E$2:$E$1057,B$3)/INDEX('Clean Package Product Lists'!$C:$C,MATCH(B$3,'Clean Package Product Lists'!$A:$A,0))),"")</f>
        <v>1</v>
      </c>
      <c r="C95" s="155">
        <f>IFERROR(MIN(1,COUNTIFS('Product Order Book'!$A$2:$A$1057,$A95,'Product Order Book'!$E$2:$E$1057,C$3)/INDEX('Clean Package Product Lists'!$C:$C,MATCH(C$3,'Clean Package Product Lists'!$A:$A,0))),"")</f>
        <v>0</v>
      </c>
      <c r="D95" s="155">
        <f>IFERROR(MIN(1,COUNTIFS('Product Order Book'!$A$2:$A$1057,$A95,'Product Order Book'!$E$2:$E$1057,D$3)/INDEX('Clean Package Product Lists'!$C:$C,MATCH(D$3,'Clean Package Product Lists'!$A:$A,0))),"")</f>
        <v>0</v>
      </c>
      <c r="E95" s="155">
        <f>IFERROR(MIN(1,COUNTIFS('Product Order Book'!$A$2:$A$1057,$A95,'Product Order Book'!$E$2:$E$1057,E$3)/INDEX('Clean Package Product Lists'!$C:$C,MATCH(E$3,'Clean Package Product Lists'!$A:$A,0))),"")</f>
        <v>0</v>
      </c>
      <c r="F95" s="155">
        <f>IFERROR(MIN(1,COUNTIFS('Product Order Book'!$A$2:$A$1057,$A95,'Product Order Book'!$E$2:$E$1057,F$3)/INDEX('Clean Package Product Lists'!$C:$C,MATCH(F$3,'Clean Package Product Lists'!$A:$A,0))),"")</f>
        <v>0</v>
      </c>
      <c r="G95" s="155">
        <f>IFERROR(MIN(1,COUNTIFS('Product Order Book'!$A$2:$A$1057,$A95,'Product Order Book'!$E$2:$E$1057,G$3)/INDEX('Clean Package Product Lists'!$C:$C,MATCH(G$3,'Clean Package Product Lists'!$A:$A,0))),"")</f>
        <v>0</v>
      </c>
      <c r="H95" s="155">
        <f>IFERROR(MIN(1,COUNTIFS('Product Order Book'!$A$2:$A$1057,$A95,'Product Order Book'!$E$2:$E$1057,H$3)/INDEX('Clean Package Product Lists'!$C:$C,MATCH(H$3,'Clean Package Product Lists'!$A:$A,0))),"")</f>
        <v>0.75</v>
      </c>
      <c r="I95" s="155">
        <f>IFERROR(MIN(1,COUNTIFS('Product Order Book'!$A$2:$A$1057,$A95,'Product Order Book'!$E$2:$E$1057,I$3)/INDEX('Clean Package Product Lists'!$C:$C,MATCH(I$3,'Clean Package Product Lists'!$A:$A,0))),"")</f>
        <v>0</v>
      </c>
      <c r="J95" s="155">
        <f>IFERROR(MIN(1,COUNTIFS('Product Order Book'!$A$2:$A$1057,$A95,'Product Order Book'!$E$2:$E$1057,J$3)/INDEX('Clean Package Product Lists'!$C:$C,MATCH(J$3,'Clean Package Product Lists'!$A:$A,0))),"")</f>
        <v>0</v>
      </c>
      <c r="K95" s="155">
        <f>IFERROR(MIN(1,COUNTIFS('Product Order Book'!$A$2:$A$1057,$A95,'Product Order Book'!$E$2:$E$1057,K$3)/INDEX('Clean Package Product Lists'!$C:$C,MATCH(K$3,'Clean Package Product Lists'!$A:$A,0))),"")</f>
        <v>0</v>
      </c>
      <c r="L95" s="154"/>
      <c r="M95" s="156" t="str">
        <f>IF(COUNTIFS('Product Order Book'!$A:$A,$A95,'Product Order Book'!$E:$E,M$3)&gt;0,"✓ Takes",IF(IFERROR(VLOOKUP($A95,'Whitespace Analysis'!$A:$AH,12,0),0)=1,"◎ Should","– N/A"))</f>
        <v>✓ Takes</v>
      </c>
      <c r="N95" s="156" t="str">
        <f>IF(COUNTIFS('Product Order Book'!$A:$A,$A95,'Product Order Book'!$E:$E,N$3)&gt;0,"✓ Takes",IF(IFERROR(VLOOKUP($A95,'Whitespace Analysis'!$A:$AH,20,0),0)=1,"◎ Should","– N/A"))</f>
        <v>◎ Should</v>
      </c>
      <c r="O95" s="156" t="str">
        <f>IF(COUNTIFS('Product Order Book'!$A:$A,$A95,'Product Order Book'!$E:$E,O$3)&gt;0,"✓ Takes",IF(IFERROR(VLOOKUP($A95,'Whitespace Analysis'!$A:$AH,22,0),0)=1,"◎ Should","– N/A"))</f>
        <v>– N/A</v>
      </c>
      <c r="P95" s="156" t="str">
        <f>IF(COUNTIFS('Product Order Book'!$A:$A,$A95,'Product Order Book'!$E:$E,P$3)&gt;0,"✓ Takes",IF(IFERROR(VLOOKUP($A95,'Whitespace Analysis'!$A:$AH,24,0),0)=1,"◎ Should","– N/A"))</f>
        <v>◎ Should</v>
      </c>
      <c r="Q95" s="156" t="str">
        <f>IF(COUNTIFS('Product Order Book'!$A:$A,$A95,'Product Order Book'!$E:$E,Q$3)&gt;0,"✓ Takes",IF(IFERROR(VLOOKUP($A95,'Whitespace Analysis'!$A:$AH,26,0),0)=1,"◎ Should","– N/A"))</f>
        <v>◎ Should</v>
      </c>
      <c r="R95" s="156" t="str">
        <f>IF(COUNTIFS('Product Order Book'!$A:$A,$A95,'Product Order Book'!$E:$E,R$3)&gt;0,"✓ Takes",IF(IFERROR(VLOOKUP($A95,'Whitespace Analysis'!$A:$AH,16,0),0)=1,"◎ Should","– N/A"))</f>
        <v>◎ Should</v>
      </c>
      <c r="S95" s="156" t="str">
        <f>IF(COUNTIFS('Product Order Book'!$A:$A,$A95,'Product Order Book'!$E:$E,S$3)&gt;0,"✓ Takes",IF(IFERROR(VLOOKUP($A95,'Whitespace Analysis'!$A:$AH,18,0),0)=1,"◎ Should","– N/A"))</f>
        <v>✓ Takes</v>
      </c>
      <c r="T95" s="156" t="str">
        <f>IF(COUNTIFS('Product Order Book'!$A:$A,$A95,'Product Order Book'!$E:$E,T$3)&gt;0,"✓ Takes",IF(IFERROR(VLOOKUP($A95,'Whitespace Analysis'!$A:$AH,28,0),0)=1,"◎ Should","– N/A"))</f>
        <v>– N/A</v>
      </c>
      <c r="U95" s="156" t="str">
        <f>IF(COUNTIFS('Product Order Book'!$A:$A,$A95,'Product Order Book'!$E:$E,U$3)&gt;0,"✓ Takes",IF(IFERROR(VLOOKUP($A95,'Whitespace Analysis'!$A:$AH,30,0),0)=1,"◎ Should","– N/A"))</f>
        <v>– N/A</v>
      </c>
      <c r="V95" s="156" t="str">
        <f>IF(COUNTIFS('Product Order Book'!$A:$A,$A95,'Product Order Book'!$E:$E,V$3)&gt;0,"✓ Takes",IF(IFERROR(VLOOKUP($A95,'Whitespace Analysis'!$A:$AH,14,0),0)=1,"◎ Should","– N/A"))</f>
        <v>◎ Should</v>
      </c>
    </row>
    <row r="96" spans="1:22" ht="15" customHeight="1">
      <c r="A96" s="154" t="str">
        <v>Gowling WLG (UK) LLP</v>
      </c>
      <c r="B96" s="155">
        <f>IFERROR(MIN(1,COUNTIFS('Product Order Book'!$A$2:$A$1057,$A96,'Product Order Book'!$E$2:$E$1057,B$3)/INDEX('Clean Package Product Lists'!$C:$C,MATCH(B$3,'Clean Package Product Lists'!$A:$A,0))),"")</f>
        <v>1</v>
      </c>
      <c r="C96" s="155">
        <f>IFERROR(MIN(1,COUNTIFS('Product Order Book'!$A$2:$A$1057,$A96,'Product Order Book'!$E$2:$E$1057,C$3)/INDEX('Clean Package Product Lists'!$C:$C,MATCH(C$3,'Clean Package Product Lists'!$A:$A,0))),"")</f>
        <v>0</v>
      </c>
      <c r="D96" s="155">
        <f>IFERROR(MIN(1,COUNTIFS('Product Order Book'!$A$2:$A$1057,$A96,'Product Order Book'!$E$2:$E$1057,D$3)/INDEX('Clean Package Product Lists'!$C:$C,MATCH(D$3,'Clean Package Product Lists'!$A:$A,0))),"")</f>
        <v>0</v>
      </c>
      <c r="E96" s="155">
        <f>IFERROR(MIN(1,COUNTIFS('Product Order Book'!$A$2:$A$1057,$A96,'Product Order Book'!$E$2:$E$1057,E$3)/INDEX('Clean Package Product Lists'!$C:$C,MATCH(E$3,'Clean Package Product Lists'!$A:$A,0))),"")</f>
        <v>0</v>
      </c>
      <c r="F96" s="155">
        <f>IFERROR(MIN(1,COUNTIFS('Product Order Book'!$A$2:$A$1057,$A96,'Product Order Book'!$E$2:$E$1057,F$3)/INDEX('Clean Package Product Lists'!$C:$C,MATCH(F$3,'Clean Package Product Lists'!$A:$A,0))),"")</f>
        <v>0</v>
      </c>
      <c r="G96" s="155">
        <f>IFERROR(MIN(1,COUNTIFS('Product Order Book'!$A$2:$A$1057,$A96,'Product Order Book'!$E$2:$E$1057,G$3)/INDEX('Clean Package Product Lists'!$C:$C,MATCH(G$3,'Clean Package Product Lists'!$A:$A,0))),"")</f>
        <v>0</v>
      </c>
      <c r="H96" s="155">
        <f>IFERROR(MIN(1,COUNTIFS('Product Order Book'!$A$2:$A$1057,$A96,'Product Order Book'!$E$2:$E$1057,H$3)/INDEX('Clean Package Product Lists'!$C:$C,MATCH(H$3,'Clean Package Product Lists'!$A:$A,0))),"")</f>
        <v>0</v>
      </c>
      <c r="I96" s="155">
        <f>IFERROR(MIN(1,COUNTIFS('Product Order Book'!$A$2:$A$1057,$A96,'Product Order Book'!$E$2:$E$1057,I$3)/INDEX('Clean Package Product Lists'!$C:$C,MATCH(I$3,'Clean Package Product Lists'!$A:$A,0))),"")</f>
        <v>0</v>
      </c>
      <c r="J96" s="155">
        <f>IFERROR(MIN(1,COUNTIFS('Product Order Book'!$A$2:$A$1057,$A96,'Product Order Book'!$E$2:$E$1057,J$3)/INDEX('Clean Package Product Lists'!$C:$C,MATCH(J$3,'Clean Package Product Lists'!$A:$A,0))),"")</f>
        <v>0</v>
      </c>
      <c r="K96" s="155">
        <f>IFERROR(MIN(1,COUNTIFS('Product Order Book'!$A$2:$A$1057,$A96,'Product Order Book'!$E$2:$E$1057,K$3)/INDEX('Clean Package Product Lists'!$C:$C,MATCH(K$3,'Clean Package Product Lists'!$A:$A,0))),"")</f>
        <v>0</v>
      </c>
      <c r="L96" s="154"/>
      <c r="M96" s="156" t="str">
        <f>IF(COUNTIFS('Product Order Book'!$A:$A,$A96,'Product Order Book'!$E:$E,M$3)&gt;0,"✓ Takes",IF(IFERROR(VLOOKUP($A96,'Whitespace Analysis'!$A:$AH,12,0),0)=1,"◎ Should","– N/A"))</f>
        <v>✓ Takes</v>
      </c>
      <c r="N96" s="156" t="str">
        <f>IF(COUNTIFS('Product Order Book'!$A:$A,$A96,'Product Order Book'!$E:$E,N$3)&gt;0,"✓ Takes",IF(IFERROR(VLOOKUP($A96,'Whitespace Analysis'!$A:$AH,20,0),0)=1,"◎ Should","– N/A"))</f>
        <v>– N/A</v>
      </c>
      <c r="O96" s="156" t="str">
        <f>IF(COUNTIFS('Product Order Book'!$A:$A,$A96,'Product Order Book'!$E:$E,O$3)&gt;0,"✓ Takes",IF(IFERROR(VLOOKUP($A96,'Whitespace Analysis'!$A:$AH,22,0),0)=1,"◎ Should","– N/A"))</f>
        <v>– N/A</v>
      </c>
      <c r="P96" s="156" t="str">
        <f>IF(COUNTIFS('Product Order Book'!$A:$A,$A96,'Product Order Book'!$E:$E,P$3)&gt;0,"✓ Takes",IF(IFERROR(VLOOKUP($A96,'Whitespace Analysis'!$A:$AH,24,0),0)=1,"◎ Should","– N/A"))</f>
        <v>– N/A</v>
      </c>
      <c r="Q96" s="156" t="str">
        <f>IF(COUNTIFS('Product Order Book'!$A:$A,$A96,'Product Order Book'!$E:$E,Q$3)&gt;0,"✓ Takes",IF(IFERROR(VLOOKUP($A96,'Whitespace Analysis'!$A:$AH,26,0),0)=1,"◎ Should","– N/A"))</f>
        <v>– N/A</v>
      </c>
      <c r="R96" s="156" t="str">
        <f>IF(COUNTIFS('Product Order Book'!$A:$A,$A96,'Product Order Book'!$E:$E,R$3)&gt;0,"✓ Takes",IF(IFERROR(VLOOKUP($A96,'Whitespace Analysis'!$A:$AH,16,0),0)=1,"◎ Should","– N/A"))</f>
        <v>– N/A</v>
      </c>
      <c r="S96" s="156" t="str">
        <f>IF(COUNTIFS('Product Order Book'!$A:$A,$A96,'Product Order Book'!$E:$E,S$3)&gt;0,"✓ Takes",IF(IFERROR(VLOOKUP($A96,'Whitespace Analysis'!$A:$AH,18,0),0)=1,"◎ Should","– N/A"))</f>
        <v>– N/A</v>
      </c>
      <c r="T96" s="156" t="str">
        <f>IF(COUNTIFS('Product Order Book'!$A:$A,$A96,'Product Order Book'!$E:$E,T$3)&gt;0,"✓ Takes",IF(IFERROR(VLOOKUP($A96,'Whitespace Analysis'!$A:$AH,28,0),0)=1,"◎ Should","– N/A"))</f>
        <v>– N/A</v>
      </c>
      <c r="U96" s="156" t="str">
        <f>IF(COUNTIFS('Product Order Book'!$A:$A,$A96,'Product Order Book'!$E:$E,U$3)&gt;0,"✓ Takes",IF(IFERROR(VLOOKUP($A96,'Whitespace Analysis'!$A:$AH,30,0),0)=1,"◎ Should","– N/A"))</f>
        <v>– N/A</v>
      </c>
      <c r="V96" s="156" t="str">
        <f>IF(COUNTIFS('Product Order Book'!$A:$A,$A96,'Product Order Book'!$E:$E,V$3)&gt;0,"✓ Takes",IF(IFERROR(VLOOKUP($A96,'Whitespace Analysis'!$A:$AH,14,0),0)=1,"◎ Should","– N/A"))</f>
        <v>– N/A</v>
      </c>
    </row>
    <row r="97" spans="1:22" ht="15" customHeight="1">
      <c r="A97" s="154" t="str">
        <v>Greater South East Energy Hub</v>
      </c>
      <c r="B97" s="155">
        <f>IFERROR(MIN(1,COUNTIFS('Product Order Book'!$A$2:$A$1057,$A97,'Product Order Book'!$E$2:$E$1057,B$3)/INDEX('Clean Package Product Lists'!$C:$C,MATCH(B$3,'Clean Package Product Lists'!$A:$A,0))),"")</f>
        <v>0</v>
      </c>
      <c r="C97" s="155">
        <f>IFERROR(MIN(1,COUNTIFS('Product Order Book'!$A$2:$A$1057,$A97,'Product Order Book'!$E$2:$E$1057,C$3)/INDEX('Clean Package Product Lists'!$C:$C,MATCH(C$3,'Clean Package Product Lists'!$A:$A,0))),"")</f>
        <v>0</v>
      </c>
      <c r="D97" s="155">
        <f>IFERROR(MIN(1,COUNTIFS('Product Order Book'!$A$2:$A$1057,$A97,'Product Order Book'!$E$2:$E$1057,D$3)/INDEX('Clean Package Product Lists'!$C:$C,MATCH(D$3,'Clean Package Product Lists'!$A:$A,0))),"")</f>
        <v>0</v>
      </c>
      <c r="E97" s="155">
        <f>IFERROR(MIN(1,COUNTIFS('Product Order Book'!$A$2:$A$1057,$A97,'Product Order Book'!$E$2:$E$1057,E$3)/INDEX('Clean Package Product Lists'!$C:$C,MATCH(E$3,'Clean Package Product Lists'!$A:$A,0))),"")</f>
        <v>0</v>
      </c>
      <c r="F97" s="155">
        <f>IFERROR(MIN(1,COUNTIFS('Product Order Book'!$A$2:$A$1057,$A97,'Product Order Book'!$E$2:$E$1057,F$3)/INDEX('Clean Package Product Lists'!$C:$C,MATCH(F$3,'Clean Package Product Lists'!$A:$A,0))),"")</f>
        <v>0</v>
      </c>
      <c r="G97" s="155">
        <f>IFERROR(MIN(1,COUNTIFS('Product Order Book'!$A$2:$A$1057,$A97,'Product Order Book'!$E$2:$E$1057,G$3)/INDEX('Clean Package Product Lists'!$C:$C,MATCH(G$3,'Clean Package Product Lists'!$A:$A,0))),"")</f>
        <v>0</v>
      </c>
      <c r="H97" s="155">
        <f>IFERROR(MIN(1,COUNTIFS('Product Order Book'!$A$2:$A$1057,$A97,'Product Order Book'!$E$2:$E$1057,H$3)/INDEX('Clean Package Product Lists'!$C:$C,MATCH(H$3,'Clean Package Product Lists'!$A:$A,0))),"")</f>
        <v>0</v>
      </c>
      <c r="I97" s="155">
        <f>IFERROR(MIN(1,COUNTIFS('Product Order Book'!$A$2:$A$1057,$A97,'Product Order Book'!$E$2:$E$1057,I$3)/INDEX('Clean Package Product Lists'!$C:$C,MATCH(I$3,'Clean Package Product Lists'!$A:$A,0))),"")</f>
        <v>0</v>
      </c>
      <c r="J97" s="155">
        <f>IFERROR(MIN(1,COUNTIFS('Product Order Book'!$A$2:$A$1057,$A97,'Product Order Book'!$E$2:$E$1057,J$3)/INDEX('Clean Package Product Lists'!$C:$C,MATCH(J$3,'Clean Package Product Lists'!$A:$A,0))),"")</f>
        <v>1</v>
      </c>
      <c r="K97" s="155">
        <f>IFERROR(MIN(1,COUNTIFS('Product Order Book'!$A$2:$A$1057,$A97,'Product Order Book'!$E$2:$E$1057,K$3)/INDEX('Clean Package Product Lists'!$C:$C,MATCH(K$3,'Clean Package Product Lists'!$A:$A,0))),"")</f>
        <v>0</v>
      </c>
      <c r="L97" s="154"/>
      <c r="M97" s="156" t="str">
        <f>IF(COUNTIFS('Product Order Book'!$A:$A,$A97,'Product Order Book'!$E:$E,M$3)&gt;0,"✓ Takes",IF(IFERROR(VLOOKUP($A97,'Whitespace Analysis'!$A:$AH,12,0),0)=1,"◎ Should","– N/A"))</f>
        <v>– N/A</v>
      </c>
      <c r="N97" s="156" t="str">
        <f>IF(COUNTIFS('Product Order Book'!$A:$A,$A97,'Product Order Book'!$E:$E,N$3)&gt;0,"✓ Takes",IF(IFERROR(VLOOKUP($A97,'Whitespace Analysis'!$A:$AH,20,0),0)=1,"◎ Should","– N/A"))</f>
        <v>– N/A</v>
      </c>
      <c r="O97" s="156" t="str">
        <f>IF(COUNTIFS('Product Order Book'!$A:$A,$A97,'Product Order Book'!$E:$E,O$3)&gt;0,"✓ Takes",IF(IFERROR(VLOOKUP($A97,'Whitespace Analysis'!$A:$AH,22,0),0)=1,"◎ Should","– N/A"))</f>
        <v>– N/A</v>
      </c>
      <c r="P97" s="156" t="str">
        <f>IF(COUNTIFS('Product Order Book'!$A:$A,$A97,'Product Order Book'!$E:$E,P$3)&gt;0,"✓ Takes",IF(IFERROR(VLOOKUP($A97,'Whitespace Analysis'!$A:$AH,24,0),0)=1,"◎ Should","– N/A"))</f>
        <v>– N/A</v>
      </c>
      <c r="Q97" s="156" t="str">
        <f>IF(COUNTIFS('Product Order Book'!$A:$A,$A97,'Product Order Book'!$E:$E,Q$3)&gt;0,"✓ Takes",IF(IFERROR(VLOOKUP($A97,'Whitespace Analysis'!$A:$AH,26,0),0)=1,"◎ Should","– N/A"))</f>
        <v>– N/A</v>
      </c>
      <c r="R97" s="156" t="str">
        <f>IF(COUNTIFS('Product Order Book'!$A:$A,$A97,'Product Order Book'!$E:$E,R$3)&gt;0,"✓ Takes",IF(IFERROR(VLOOKUP($A97,'Whitespace Analysis'!$A:$AH,16,0),0)=1,"◎ Should","– N/A"))</f>
        <v>– N/A</v>
      </c>
      <c r="S97" s="156" t="str">
        <f>IF(COUNTIFS('Product Order Book'!$A:$A,$A97,'Product Order Book'!$E:$E,S$3)&gt;0,"✓ Takes",IF(IFERROR(VLOOKUP($A97,'Whitespace Analysis'!$A:$AH,18,0),0)=1,"◎ Should","– N/A"))</f>
        <v>– N/A</v>
      </c>
      <c r="T97" s="156" t="str">
        <f>IF(COUNTIFS('Product Order Book'!$A:$A,$A97,'Product Order Book'!$E:$E,T$3)&gt;0,"✓ Takes",IF(IFERROR(VLOOKUP($A97,'Whitespace Analysis'!$A:$AH,28,0),0)=1,"◎ Should","– N/A"))</f>
        <v>– N/A</v>
      </c>
      <c r="U97" s="156" t="str">
        <f>IF(COUNTIFS('Product Order Book'!$A:$A,$A97,'Product Order Book'!$E:$E,U$3)&gt;0,"✓ Takes",IF(IFERROR(VLOOKUP($A97,'Whitespace Analysis'!$A:$AH,30,0),0)=1,"◎ Should","– N/A"))</f>
        <v>✓ Takes</v>
      </c>
      <c r="V97" s="156" t="str">
        <f>IF(COUNTIFS('Product Order Book'!$A:$A,$A97,'Product Order Book'!$E:$E,V$3)&gt;0,"✓ Takes",IF(IFERROR(VLOOKUP($A97,'Whitespace Analysis'!$A:$AH,14,0),0)=1,"◎ Should","– N/A"))</f>
        <v>– N/A</v>
      </c>
    </row>
    <row r="98" spans="1:22" ht="15" customHeight="1">
      <c r="A98" s="154" t="str">
        <v>Green Energy (UK) Ltd</v>
      </c>
      <c r="B98" s="155">
        <f>IFERROR(MIN(1,COUNTIFS('Product Order Book'!$A$2:$A$1057,$A98,'Product Order Book'!$E$2:$E$1057,B$3)/INDEX('Clean Package Product Lists'!$C:$C,MATCH(B$3,'Clean Package Product Lists'!$A:$A,0))),"")</f>
        <v>1</v>
      </c>
      <c r="C98" s="155">
        <f>IFERROR(MIN(1,COUNTIFS('Product Order Book'!$A$2:$A$1057,$A98,'Product Order Book'!$E$2:$E$1057,C$3)/INDEX('Clean Package Product Lists'!$C:$C,MATCH(C$3,'Clean Package Product Lists'!$A:$A,0))),"")</f>
        <v>0</v>
      </c>
      <c r="D98" s="155">
        <f>IFERROR(MIN(1,COUNTIFS('Product Order Book'!$A$2:$A$1057,$A98,'Product Order Book'!$E$2:$E$1057,D$3)/INDEX('Clean Package Product Lists'!$C:$C,MATCH(D$3,'Clean Package Product Lists'!$A:$A,0))),"")</f>
        <v>0</v>
      </c>
      <c r="E98" s="155">
        <f>IFERROR(MIN(1,COUNTIFS('Product Order Book'!$A$2:$A$1057,$A98,'Product Order Book'!$E$2:$E$1057,E$3)/INDEX('Clean Package Product Lists'!$C:$C,MATCH(E$3,'Clean Package Product Lists'!$A:$A,0))),"")</f>
        <v>0</v>
      </c>
      <c r="F98" s="155">
        <f>IFERROR(MIN(1,COUNTIFS('Product Order Book'!$A$2:$A$1057,$A98,'Product Order Book'!$E$2:$E$1057,F$3)/INDEX('Clean Package Product Lists'!$C:$C,MATCH(F$3,'Clean Package Product Lists'!$A:$A,0))),"")</f>
        <v>0</v>
      </c>
      <c r="G98" s="155">
        <f>IFERROR(MIN(1,COUNTIFS('Product Order Book'!$A$2:$A$1057,$A98,'Product Order Book'!$E$2:$E$1057,G$3)/INDEX('Clean Package Product Lists'!$C:$C,MATCH(G$3,'Clean Package Product Lists'!$A:$A,0))),"")</f>
        <v>0</v>
      </c>
      <c r="H98" s="155">
        <f>IFERROR(MIN(1,COUNTIFS('Product Order Book'!$A$2:$A$1057,$A98,'Product Order Book'!$E$2:$E$1057,H$3)/INDEX('Clean Package Product Lists'!$C:$C,MATCH(H$3,'Clean Package Product Lists'!$A:$A,0))),"")</f>
        <v>0.25</v>
      </c>
      <c r="I98" s="155">
        <f>IFERROR(MIN(1,COUNTIFS('Product Order Book'!$A$2:$A$1057,$A98,'Product Order Book'!$E$2:$E$1057,I$3)/INDEX('Clean Package Product Lists'!$C:$C,MATCH(I$3,'Clean Package Product Lists'!$A:$A,0))),"")</f>
        <v>0</v>
      </c>
      <c r="J98" s="155">
        <f>IFERROR(MIN(1,COUNTIFS('Product Order Book'!$A$2:$A$1057,$A98,'Product Order Book'!$E$2:$E$1057,J$3)/INDEX('Clean Package Product Lists'!$C:$C,MATCH(J$3,'Clean Package Product Lists'!$A:$A,0))),"")</f>
        <v>0</v>
      </c>
      <c r="K98" s="155">
        <f>IFERROR(MIN(1,COUNTIFS('Product Order Book'!$A$2:$A$1057,$A98,'Product Order Book'!$E$2:$E$1057,K$3)/INDEX('Clean Package Product Lists'!$C:$C,MATCH(K$3,'Clean Package Product Lists'!$A:$A,0))),"")</f>
        <v>0</v>
      </c>
      <c r="L98" s="154"/>
      <c r="M98" s="156" t="str">
        <f>IF(COUNTIFS('Product Order Book'!$A:$A,$A98,'Product Order Book'!$E:$E,M$3)&gt;0,"✓ Takes",IF(IFERROR(VLOOKUP($A98,'Whitespace Analysis'!$A:$AH,12,0),0)=1,"◎ Should","– N/A"))</f>
        <v>✓ Takes</v>
      </c>
      <c r="N98" s="156" t="str">
        <f>IF(COUNTIFS('Product Order Book'!$A:$A,$A98,'Product Order Book'!$E:$E,N$3)&gt;0,"✓ Takes",IF(IFERROR(VLOOKUP($A98,'Whitespace Analysis'!$A:$AH,20,0),0)=1,"◎ Should","– N/A"))</f>
        <v>– N/A</v>
      </c>
      <c r="O98" s="156" t="str">
        <f>IF(COUNTIFS('Product Order Book'!$A:$A,$A98,'Product Order Book'!$E:$E,O$3)&gt;0,"✓ Takes",IF(IFERROR(VLOOKUP($A98,'Whitespace Analysis'!$A:$AH,22,0),0)=1,"◎ Should","– N/A"))</f>
        <v>– N/A</v>
      </c>
      <c r="P98" s="156" t="str">
        <f>IF(COUNTIFS('Product Order Book'!$A:$A,$A98,'Product Order Book'!$E:$E,P$3)&gt;0,"✓ Takes",IF(IFERROR(VLOOKUP($A98,'Whitespace Analysis'!$A:$AH,24,0),0)=1,"◎ Should","– N/A"))</f>
        <v>◎ Should</v>
      </c>
      <c r="Q98" s="156" t="str">
        <f>IF(COUNTIFS('Product Order Book'!$A:$A,$A98,'Product Order Book'!$E:$E,Q$3)&gt;0,"✓ Takes",IF(IFERROR(VLOOKUP($A98,'Whitespace Analysis'!$A:$AH,26,0),0)=1,"◎ Should","– N/A"))</f>
        <v>– N/A</v>
      </c>
      <c r="R98" s="156" t="str">
        <f>IF(COUNTIFS('Product Order Book'!$A:$A,$A98,'Product Order Book'!$E:$E,R$3)&gt;0,"✓ Takes",IF(IFERROR(VLOOKUP($A98,'Whitespace Analysis'!$A:$AH,16,0),0)=1,"◎ Should","– N/A"))</f>
        <v>◎ Should</v>
      </c>
      <c r="S98" s="156" t="str">
        <f>IF(COUNTIFS('Product Order Book'!$A:$A,$A98,'Product Order Book'!$E:$E,S$3)&gt;0,"✓ Takes",IF(IFERROR(VLOOKUP($A98,'Whitespace Analysis'!$A:$AH,18,0),0)=1,"◎ Should","– N/A"))</f>
        <v>✓ Takes</v>
      </c>
      <c r="T98" s="156" t="str">
        <f>IF(COUNTIFS('Product Order Book'!$A:$A,$A98,'Product Order Book'!$E:$E,T$3)&gt;0,"✓ Takes",IF(IFERROR(VLOOKUP($A98,'Whitespace Analysis'!$A:$AH,28,0),0)=1,"◎ Should","– N/A"))</f>
        <v>– N/A</v>
      </c>
      <c r="U98" s="156" t="str">
        <f>IF(COUNTIFS('Product Order Book'!$A:$A,$A98,'Product Order Book'!$E:$E,U$3)&gt;0,"✓ Takes",IF(IFERROR(VLOOKUP($A98,'Whitespace Analysis'!$A:$AH,30,0),0)=1,"◎ Should","– N/A"))</f>
        <v>– N/A</v>
      </c>
      <c r="V98" s="156" t="str">
        <f>IF(COUNTIFS('Product Order Book'!$A:$A,$A98,'Product Order Book'!$E:$E,V$3)&gt;0,"✓ Takes",IF(IFERROR(VLOOKUP($A98,'Whitespace Analysis'!$A:$AH,14,0),0)=1,"◎ Should","– N/A"))</f>
        <v>◎ Should</v>
      </c>
    </row>
    <row r="99" spans="1:22" ht="15" customHeight="1">
      <c r="A99" s="154" t="str">
        <v>Green Nation Energy Ltd</v>
      </c>
      <c r="B99" s="155">
        <f>IFERROR(MIN(1,COUNTIFS('Product Order Book'!$A$2:$A$1057,$A99,'Product Order Book'!$E$2:$E$1057,B$3)/INDEX('Clean Package Product Lists'!$C:$C,MATCH(B$3,'Clean Package Product Lists'!$A:$A,0))),"")</f>
        <v>0</v>
      </c>
      <c r="C99" s="155">
        <f>IFERROR(MIN(1,COUNTIFS('Product Order Book'!$A$2:$A$1057,$A99,'Product Order Book'!$E$2:$E$1057,C$3)/INDEX('Clean Package Product Lists'!$C:$C,MATCH(C$3,'Clean Package Product Lists'!$A:$A,0))),"")</f>
        <v>0</v>
      </c>
      <c r="D99" s="155">
        <f>IFERROR(MIN(1,COUNTIFS('Product Order Book'!$A$2:$A$1057,$A99,'Product Order Book'!$E$2:$E$1057,D$3)/INDEX('Clean Package Product Lists'!$C:$C,MATCH(D$3,'Clean Package Product Lists'!$A:$A,0))),"")</f>
        <v>0</v>
      </c>
      <c r="E99" s="155">
        <f>IFERROR(MIN(1,COUNTIFS('Product Order Book'!$A$2:$A$1057,$A99,'Product Order Book'!$E$2:$E$1057,E$3)/INDEX('Clean Package Product Lists'!$C:$C,MATCH(E$3,'Clean Package Product Lists'!$A:$A,0))),"")</f>
        <v>0</v>
      </c>
      <c r="F99" s="155">
        <f>IFERROR(MIN(1,COUNTIFS('Product Order Book'!$A$2:$A$1057,$A99,'Product Order Book'!$E$2:$E$1057,F$3)/INDEX('Clean Package Product Lists'!$C:$C,MATCH(F$3,'Clean Package Product Lists'!$A:$A,0))),"")</f>
        <v>0.33333333333333331</v>
      </c>
      <c r="G99" s="155">
        <f>IFERROR(MIN(1,COUNTIFS('Product Order Book'!$A$2:$A$1057,$A99,'Product Order Book'!$E$2:$E$1057,G$3)/INDEX('Clean Package Product Lists'!$C:$C,MATCH(G$3,'Clean Package Product Lists'!$A:$A,0))),"")</f>
        <v>0</v>
      </c>
      <c r="H99" s="155">
        <f>IFERROR(MIN(1,COUNTIFS('Product Order Book'!$A$2:$A$1057,$A99,'Product Order Book'!$E$2:$E$1057,H$3)/INDEX('Clean Package Product Lists'!$C:$C,MATCH(H$3,'Clean Package Product Lists'!$A:$A,0))),"")</f>
        <v>0</v>
      </c>
      <c r="I99" s="155">
        <f>IFERROR(MIN(1,COUNTIFS('Product Order Book'!$A$2:$A$1057,$A99,'Product Order Book'!$E$2:$E$1057,I$3)/INDEX('Clean Package Product Lists'!$C:$C,MATCH(I$3,'Clean Package Product Lists'!$A:$A,0))),"")</f>
        <v>0</v>
      </c>
      <c r="J99" s="155">
        <f>IFERROR(MIN(1,COUNTIFS('Product Order Book'!$A$2:$A$1057,$A99,'Product Order Book'!$E$2:$E$1057,J$3)/INDEX('Clean Package Product Lists'!$C:$C,MATCH(J$3,'Clean Package Product Lists'!$A:$A,0))),"")</f>
        <v>0</v>
      </c>
      <c r="K99" s="155">
        <f>IFERROR(MIN(1,COUNTIFS('Product Order Book'!$A$2:$A$1057,$A99,'Product Order Book'!$E$2:$E$1057,K$3)/INDEX('Clean Package Product Lists'!$C:$C,MATCH(K$3,'Clean Package Product Lists'!$A:$A,0))),"")</f>
        <v>0</v>
      </c>
      <c r="L99" s="154"/>
      <c r="M99" s="156" t="str">
        <f>IF(COUNTIFS('Product Order Book'!$A:$A,$A99,'Product Order Book'!$E:$E,M$3)&gt;0,"✓ Takes",IF(IFERROR(VLOOKUP($A99,'Whitespace Analysis'!$A:$AH,12,0),0)=1,"◎ Should","– N/A"))</f>
        <v>◎ Should</v>
      </c>
      <c r="N99" s="156" t="str">
        <f>IF(COUNTIFS('Product Order Book'!$A:$A,$A99,'Product Order Book'!$E:$E,N$3)&gt;0,"✓ Takes",IF(IFERROR(VLOOKUP($A99,'Whitespace Analysis'!$A:$AH,20,0),0)=1,"◎ Should","– N/A"))</f>
        <v>◎ Should</v>
      </c>
      <c r="O99" s="156" t="str">
        <f>IF(COUNTIFS('Product Order Book'!$A:$A,$A99,'Product Order Book'!$E:$E,O$3)&gt;0,"✓ Takes",IF(IFERROR(VLOOKUP($A99,'Whitespace Analysis'!$A:$AH,22,0),0)=1,"◎ Should","– N/A"))</f>
        <v>◎ Should</v>
      </c>
      <c r="P99" s="156" t="str">
        <f>IF(COUNTIFS('Product Order Book'!$A:$A,$A99,'Product Order Book'!$E:$E,P$3)&gt;0,"✓ Takes",IF(IFERROR(VLOOKUP($A99,'Whitespace Analysis'!$A:$AH,24,0),0)=1,"◎ Should","– N/A"))</f>
        <v>– N/A</v>
      </c>
      <c r="Q99" s="156" t="str">
        <f>IF(COUNTIFS('Product Order Book'!$A:$A,$A99,'Product Order Book'!$E:$E,Q$3)&gt;0,"✓ Takes",IF(IFERROR(VLOOKUP($A99,'Whitespace Analysis'!$A:$AH,26,0),0)=1,"◎ Should","– N/A"))</f>
        <v>✓ Takes</v>
      </c>
      <c r="R99" s="156" t="str">
        <f>IF(COUNTIFS('Product Order Book'!$A:$A,$A99,'Product Order Book'!$E:$E,R$3)&gt;0,"✓ Takes",IF(IFERROR(VLOOKUP($A99,'Whitespace Analysis'!$A:$AH,16,0),0)=1,"◎ Should","– N/A"))</f>
        <v>– N/A</v>
      </c>
      <c r="S99" s="156" t="str">
        <f>IF(COUNTIFS('Product Order Book'!$A:$A,$A99,'Product Order Book'!$E:$E,S$3)&gt;0,"✓ Takes",IF(IFERROR(VLOOKUP($A99,'Whitespace Analysis'!$A:$AH,18,0),0)=1,"◎ Should","– N/A"))</f>
        <v>– N/A</v>
      </c>
      <c r="T99" s="156" t="str">
        <f>IF(COUNTIFS('Product Order Book'!$A:$A,$A99,'Product Order Book'!$E:$E,T$3)&gt;0,"✓ Takes",IF(IFERROR(VLOOKUP($A99,'Whitespace Analysis'!$A:$AH,28,0),0)=1,"◎ Should","– N/A"))</f>
        <v>– N/A</v>
      </c>
      <c r="U99" s="156" t="str">
        <f>IF(COUNTIFS('Product Order Book'!$A:$A,$A99,'Product Order Book'!$E:$E,U$3)&gt;0,"✓ Takes",IF(IFERROR(VLOOKUP($A99,'Whitespace Analysis'!$A:$AH,30,0),0)=1,"◎ Should","– N/A"))</f>
        <v>– N/A</v>
      </c>
      <c r="V99" s="156" t="str">
        <f>IF(COUNTIFS('Product Order Book'!$A:$A,$A99,'Product Order Book'!$E:$E,V$3)&gt;0,"✓ Takes",IF(IFERROR(VLOOKUP($A99,'Whitespace Analysis'!$A:$AH,14,0),0)=1,"◎ Should","– N/A"))</f>
        <v>◎ Should</v>
      </c>
    </row>
    <row r="100" spans="1:22" ht="15" customHeight="1">
      <c r="A100" s="154" t="str">
        <v>Green Peak Energy Pty Ltd</v>
      </c>
      <c r="B100" s="155">
        <f>IFERROR(MIN(1,COUNTIFS('Product Order Book'!$A$2:$A$1057,$A100,'Product Order Book'!$E$2:$E$1057,B$3)/INDEX('Clean Package Product Lists'!$C:$C,MATCH(B$3,'Clean Package Product Lists'!$A:$A,0))),"")</f>
        <v>0</v>
      </c>
      <c r="C100" s="155">
        <f>IFERROR(MIN(1,COUNTIFS('Product Order Book'!$A$2:$A$1057,$A100,'Product Order Book'!$E$2:$E$1057,C$3)/INDEX('Clean Package Product Lists'!$C:$C,MATCH(C$3,'Clean Package Product Lists'!$A:$A,0))),"")</f>
        <v>0</v>
      </c>
      <c r="D100" s="155">
        <f>IFERROR(MIN(1,COUNTIFS('Product Order Book'!$A$2:$A$1057,$A100,'Product Order Book'!$E$2:$E$1057,D$3)/INDEX('Clean Package Product Lists'!$C:$C,MATCH(D$3,'Clean Package Product Lists'!$A:$A,0))),"")</f>
        <v>0</v>
      </c>
      <c r="E100" s="155">
        <f>IFERROR(MIN(1,COUNTIFS('Product Order Book'!$A$2:$A$1057,$A100,'Product Order Book'!$E$2:$E$1057,E$3)/INDEX('Clean Package Product Lists'!$C:$C,MATCH(E$3,'Clean Package Product Lists'!$A:$A,0))),"")</f>
        <v>0</v>
      </c>
      <c r="F100" s="155">
        <f>IFERROR(MIN(1,COUNTIFS('Product Order Book'!$A$2:$A$1057,$A100,'Product Order Book'!$E$2:$E$1057,F$3)/INDEX('Clean Package Product Lists'!$C:$C,MATCH(F$3,'Clean Package Product Lists'!$A:$A,0))),"")</f>
        <v>0</v>
      </c>
      <c r="G100" s="155">
        <f>IFERROR(MIN(1,COUNTIFS('Product Order Book'!$A$2:$A$1057,$A100,'Product Order Book'!$E$2:$E$1057,G$3)/INDEX('Clean Package Product Lists'!$C:$C,MATCH(G$3,'Clean Package Product Lists'!$A:$A,0))),"")</f>
        <v>0</v>
      </c>
      <c r="H100" s="155">
        <f>IFERROR(MIN(1,COUNTIFS('Product Order Book'!$A$2:$A$1057,$A100,'Product Order Book'!$E$2:$E$1057,H$3)/INDEX('Clean Package Product Lists'!$C:$C,MATCH(H$3,'Clean Package Product Lists'!$A:$A,0))),"")</f>
        <v>0</v>
      </c>
      <c r="I100" s="155">
        <f>IFERROR(MIN(1,COUNTIFS('Product Order Book'!$A$2:$A$1057,$A100,'Product Order Book'!$E$2:$E$1057,I$3)/INDEX('Clean Package Product Lists'!$C:$C,MATCH(I$3,'Clean Package Product Lists'!$A:$A,0))),"")</f>
        <v>0</v>
      </c>
      <c r="J100" s="155">
        <f>IFERROR(MIN(1,COUNTIFS('Product Order Book'!$A$2:$A$1057,$A100,'Product Order Book'!$E$2:$E$1057,J$3)/INDEX('Clean Package Product Lists'!$C:$C,MATCH(J$3,'Clean Package Product Lists'!$A:$A,0))),"")</f>
        <v>0</v>
      </c>
      <c r="K100" s="155">
        <f>IFERROR(MIN(1,COUNTIFS('Product Order Book'!$A$2:$A$1057,$A100,'Product Order Book'!$E$2:$E$1057,K$3)/INDEX('Clean Package Product Lists'!$C:$C,MATCH(K$3,'Clean Package Product Lists'!$A:$A,0))),"")</f>
        <v>0</v>
      </c>
      <c r="L100" s="154"/>
      <c r="M100" s="156" t="str">
        <f>IF(COUNTIFS('Product Order Book'!$A:$A,$A100,'Product Order Book'!$E:$E,M$3)&gt;0,"✓ Takes",IF(IFERROR(VLOOKUP($A100,'Whitespace Analysis'!$A:$AH,12,0),0)=1,"◎ Should","– N/A"))</f>
        <v>– N/A</v>
      </c>
      <c r="N100" s="156" t="str">
        <f>IF(COUNTIFS('Product Order Book'!$A:$A,$A100,'Product Order Book'!$E:$E,N$3)&gt;0,"✓ Takes",IF(IFERROR(VLOOKUP($A100,'Whitespace Analysis'!$A:$AH,20,0),0)=1,"◎ Should","– N/A"))</f>
        <v>– N/A</v>
      </c>
      <c r="O100" s="156" t="str">
        <f>IF(COUNTIFS('Product Order Book'!$A:$A,$A100,'Product Order Book'!$E:$E,O$3)&gt;0,"✓ Takes",IF(IFERROR(VLOOKUP($A100,'Whitespace Analysis'!$A:$AH,22,0),0)=1,"◎ Should","– N/A"))</f>
        <v>– N/A</v>
      </c>
      <c r="P100" s="156" t="str">
        <f>IF(COUNTIFS('Product Order Book'!$A:$A,$A100,'Product Order Book'!$E:$E,P$3)&gt;0,"✓ Takes",IF(IFERROR(VLOOKUP($A100,'Whitespace Analysis'!$A:$AH,24,0),0)=1,"◎ Should","– N/A"))</f>
        <v>– N/A</v>
      </c>
      <c r="Q100" s="156" t="str">
        <f>IF(COUNTIFS('Product Order Book'!$A:$A,$A100,'Product Order Book'!$E:$E,Q$3)&gt;0,"✓ Takes",IF(IFERROR(VLOOKUP($A100,'Whitespace Analysis'!$A:$AH,26,0),0)=1,"◎ Should","– N/A"))</f>
        <v>– N/A</v>
      </c>
      <c r="R100" s="156" t="str">
        <f>IF(COUNTIFS('Product Order Book'!$A:$A,$A100,'Product Order Book'!$E:$E,R$3)&gt;0,"✓ Takes",IF(IFERROR(VLOOKUP($A100,'Whitespace Analysis'!$A:$AH,16,0),0)=1,"◎ Should","– N/A"))</f>
        <v>– N/A</v>
      </c>
      <c r="S100" s="156" t="str">
        <f>IF(COUNTIFS('Product Order Book'!$A:$A,$A100,'Product Order Book'!$E:$E,S$3)&gt;0,"✓ Takes",IF(IFERROR(VLOOKUP($A100,'Whitespace Analysis'!$A:$AH,18,0),0)=1,"◎ Should","– N/A"))</f>
        <v>– N/A</v>
      </c>
      <c r="T100" s="156" t="str">
        <f>IF(COUNTIFS('Product Order Book'!$A:$A,$A100,'Product Order Book'!$E:$E,T$3)&gt;0,"✓ Takes",IF(IFERROR(VLOOKUP($A100,'Whitespace Analysis'!$A:$AH,28,0),0)=1,"◎ Should","– N/A"))</f>
        <v>– N/A</v>
      </c>
      <c r="U100" s="156" t="str">
        <f>IF(COUNTIFS('Product Order Book'!$A:$A,$A100,'Product Order Book'!$E:$E,U$3)&gt;0,"✓ Takes",IF(IFERROR(VLOOKUP($A100,'Whitespace Analysis'!$A:$AH,30,0),0)=1,"◎ Should","– N/A"))</f>
        <v>– N/A</v>
      </c>
      <c r="V100" s="156" t="str">
        <f>IF(COUNTIFS('Product Order Book'!$A:$A,$A100,'Product Order Book'!$E:$E,V$3)&gt;0,"✓ Takes",IF(IFERROR(VLOOKUP($A100,'Whitespace Analysis'!$A:$AH,14,0),0)=1,"◎ Should","– N/A"))</f>
        <v>– N/A</v>
      </c>
    </row>
    <row r="101" spans="1:22" ht="15" customHeight="1">
      <c r="A101" s="154" t="str">
        <v>Gren Energy Limited</v>
      </c>
      <c r="B101" s="155">
        <f>IFERROR(MIN(1,COUNTIFS('Product Order Book'!$A$2:$A$1057,$A101,'Product Order Book'!$E$2:$E$1057,B$3)/INDEX('Clean Package Product Lists'!$C:$C,MATCH(B$3,'Clean Package Product Lists'!$A:$A,0))),"")</f>
        <v>1</v>
      </c>
      <c r="C101" s="155">
        <f>IFERROR(MIN(1,COUNTIFS('Product Order Book'!$A$2:$A$1057,$A101,'Product Order Book'!$E$2:$E$1057,C$3)/INDEX('Clean Package Product Lists'!$C:$C,MATCH(C$3,'Clean Package Product Lists'!$A:$A,0))),"")</f>
        <v>0</v>
      </c>
      <c r="D101" s="155">
        <f>IFERROR(MIN(1,COUNTIFS('Product Order Book'!$A$2:$A$1057,$A101,'Product Order Book'!$E$2:$E$1057,D$3)/INDEX('Clean Package Product Lists'!$C:$C,MATCH(D$3,'Clean Package Product Lists'!$A:$A,0))),"")</f>
        <v>0</v>
      </c>
      <c r="E101" s="155">
        <f>IFERROR(MIN(1,COUNTIFS('Product Order Book'!$A$2:$A$1057,$A101,'Product Order Book'!$E$2:$E$1057,E$3)/INDEX('Clean Package Product Lists'!$C:$C,MATCH(E$3,'Clean Package Product Lists'!$A:$A,0))),"")</f>
        <v>0</v>
      </c>
      <c r="F101" s="155">
        <f>IFERROR(MIN(1,COUNTIFS('Product Order Book'!$A$2:$A$1057,$A101,'Product Order Book'!$E$2:$E$1057,F$3)/INDEX('Clean Package Product Lists'!$C:$C,MATCH(F$3,'Clean Package Product Lists'!$A:$A,0))),"")</f>
        <v>0</v>
      </c>
      <c r="G101" s="155">
        <f>IFERROR(MIN(1,COUNTIFS('Product Order Book'!$A$2:$A$1057,$A101,'Product Order Book'!$E$2:$E$1057,G$3)/INDEX('Clean Package Product Lists'!$C:$C,MATCH(G$3,'Clean Package Product Lists'!$A:$A,0))),"")</f>
        <v>0</v>
      </c>
      <c r="H101" s="155">
        <f>IFERROR(MIN(1,COUNTIFS('Product Order Book'!$A$2:$A$1057,$A101,'Product Order Book'!$E$2:$E$1057,H$3)/INDEX('Clean Package Product Lists'!$C:$C,MATCH(H$3,'Clean Package Product Lists'!$A:$A,0))),"")</f>
        <v>0</v>
      </c>
      <c r="I101" s="155">
        <f>IFERROR(MIN(1,COUNTIFS('Product Order Book'!$A$2:$A$1057,$A101,'Product Order Book'!$E$2:$E$1057,I$3)/INDEX('Clean Package Product Lists'!$C:$C,MATCH(I$3,'Clean Package Product Lists'!$A:$A,0))),"")</f>
        <v>0</v>
      </c>
      <c r="J101" s="155">
        <f>IFERROR(MIN(1,COUNTIFS('Product Order Book'!$A$2:$A$1057,$A101,'Product Order Book'!$E$2:$E$1057,J$3)/INDEX('Clean Package Product Lists'!$C:$C,MATCH(J$3,'Clean Package Product Lists'!$A:$A,0))),"")</f>
        <v>1</v>
      </c>
      <c r="K101" s="155">
        <f>IFERROR(MIN(1,COUNTIFS('Product Order Book'!$A$2:$A$1057,$A101,'Product Order Book'!$E$2:$E$1057,K$3)/INDEX('Clean Package Product Lists'!$C:$C,MATCH(K$3,'Clean Package Product Lists'!$A:$A,0))),"")</f>
        <v>0</v>
      </c>
      <c r="L101" s="154"/>
      <c r="M101" s="156" t="str">
        <f>IF(COUNTIFS('Product Order Book'!$A:$A,$A101,'Product Order Book'!$E:$E,M$3)&gt;0,"✓ Takes",IF(IFERROR(VLOOKUP($A101,'Whitespace Analysis'!$A:$AH,12,0),0)=1,"◎ Should","– N/A"))</f>
        <v>✓ Takes</v>
      </c>
      <c r="N101" s="156" t="str">
        <f>IF(COUNTIFS('Product Order Book'!$A:$A,$A101,'Product Order Book'!$E:$E,N$3)&gt;0,"✓ Takes",IF(IFERROR(VLOOKUP($A101,'Whitespace Analysis'!$A:$AH,20,0),0)=1,"◎ Should","– N/A"))</f>
        <v>◎ Should</v>
      </c>
      <c r="O101" s="156" t="str">
        <f>IF(COUNTIFS('Product Order Book'!$A:$A,$A101,'Product Order Book'!$E:$E,O$3)&gt;0,"✓ Takes",IF(IFERROR(VLOOKUP($A101,'Whitespace Analysis'!$A:$AH,22,0),0)=1,"◎ Should","– N/A"))</f>
        <v>◎ Should</v>
      </c>
      <c r="P101" s="156" t="str">
        <f>IF(COUNTIFS('Product Order Book'!$A:$A,$A101,'Product Order Book'!$E:$E,P$3)&gt;0,"✓ Takes",IF(IFERROR(VLOOKUP($A101,'Whitespace Analysis'!$A:$AH,24,0),0)=1,"◎ Should","– N/A"))</f>
        <v>– N/A</v>
      </c>
      <c r="Q101" s="156" t="str">
        <f>IF(COUNTIFS('Product Order Book'!$A:$A,$A101,'Product Order Book'!$E:$E,Q$3)&gt;0,"✓ Takes",IF(IFERROR(VLOOKUP($A101,'Whitespace Analysis'!$A:$AH,26,0),0)=1,"◎ Should","– N/A"))</f>
        <v>– N/A</v>
      </c>
      <c r="R101" s="156" t="str">
        <f>IF(COUNTIFS('Product Order Book'!$A:$A,$A101,'Product Order Book'!$E:$E,R$3)&gt;0,"✓ Takes",IF(IFERROR(VLOOKUP($A101,'Whitespace Analysis'!$A:$AH,16,0),0)=1,"◎ Should","– N/A"))</f>
        <v>– N/A</v>
      </c>
      <c r="S101" s="156" t="str">
        <f>IF(COUNTIFS('Product Order Book'!$A:$A,$A101,'Product Order Book'!$E:$E,S$3)&gt;0,"✓ Takes",IF(IFERROR(VLOOKUP($A101,'Whitespace Analysis'!$A:$AH,18,0),0)=1,"◎ Should","– N/A"))</f>
        <v>– N/A</v>
      </c>
      <c r="T101" s="156" t="str">
        <f>IF(COUNTIFS('Product Order Book'!$A:$A,$A101,'Product Order Book'!$E:$E,T$3)&gt;0,"✓ Takes",IF(IFERROR(VLOOKUP($A101,'Whitespace Analysis'!$A:$AH,28,0),0)=1,"◎ Should","– N/A"))</f>
        <v>◎ Should</v>
      </c>
      <c r="U101" s="156" t="str">
        <f>IF(COUNTIFS('Product Order Book'!$A:$A,$A101,'Product Order Book'!$E:$E,U$3)&gt;0,"✓ Takes",IF(IFERROR(VLOOKUP($A101,'Whitespace Analysis'!$A:$AH,30,0),0)=1,"◎ Should","– N/A"))</f>
        <v>✓ Takes</v>
      </c>
      <c r="V101" s="156" t="str">
        <f>IF(COUNTIFS('Product Order Book'!$A:$A,$A101,'Product Order Book'!$E:$E,V$3)&gt;0,"✓ Takes",IF(IFERROR(VLOOKUP($A101,'Whitespace Analysis'!$A:$AH,14,0),0)=1,"◎ Should","– N/A"))</f>
        <v>◎ Should</v>
      </c>
    </row>
    <row r="102" spans="1:22" ht="15" customHeight="1">
      <c r="A102" s="154" t="str">
        <v>Hartree Partners Power &amp; Gas (UK) Ltd</v>
      </c>
      <c r="B102" s="155">
        <f>IFERROR(MIN(1,COUNTIFS('Product Order Book'!$A$2:$A$1057,$A102,'Product Order Book'!$E$2:$E$1057,B$3)/INDEX('Clean Package Product Lists'!$C:$C,MATCH(B$3,'Clean Package Product Lists'!$A:$A,0))),"")</f>
        <v>1</v>
      </c>
      <c r="C102" s="155">
        <f>IFERROR(MIN(1,COUNTIFS('Product Order Book'!$A$2:$A$1057,$A102,'Product Order Book'!$E$2:$E$1057,C$3)/INDEX('Clean Package Product Lists'!$C:$C,MATCH(C$3,'Clean Package Product Lists'!$A:$A,0))),"")</f>
        <v>0</v>
      </c>
      <c r="D102" s="155">
        <f>IFERROR(MIN(1,COUNTIFS('Product Order Book'!$A$2:$A$1057,$A102,'Product Order Book'!$E$2:$E$1057,D$3)/INDEX('Clean Package Product Lists'!$C:$C,MATCH(D$3,'Clean Package Product Lists'!$A:$A,0))),"")</f>
        <v>0</v>
      </c>
      <c r="E102" s="155">
        <f>IFERROR(MIN(1,COUNTIFS('Product Order Book'!$A$2:$A$1057,$A102,'Product Order Book'!$E$2:$E$1057,E$3)/INDEX('Clean Package Product Lists'!$C:$C,MATCH(E$3,'Clean Package Product Lists'!$A:$A,0))),"")</f>
        <v>0</v>
      </c>
      <c r="F102" s="155">
        <f>IFERROR(MIN(1,COUNTIFS('Product Order Book'!$A$2:$A$1057,$A102,'Product Order Book'!$E$2:$E$1057,F$3)/INDEX('Clean Package Product Lists'!$C:$C,MATCH(F$3,'Clean Package Product Lists'!$A:$A,0))),"")</f>
        <v>0</v>
      </c>
      <c r="G102" s="155">
        <f>IFERROR(MIN(1,COUNTIFS('Product Order Book'!$A$2:$A$1057,$A102,'Product Order Book'!$E$2:$E$1057,G$3)/INDEX('Clean Package Product Lists'!$C:$C,MATCH(G$3,'Clean Package Product Lists'!$A:$A,0))),"")</f>
        <v>0</v>
      </c>
      <c r="H102" s="155">
        <f>IFERROR(MIN(1,COUNTIFS('Product Order Book'!$A$2:$A$1057,$A102,'Product Order Book'!$E$2:$E$1057,H$3)/INDEX('Clean Package Product Lists'!$C:$C,MATCH(H$3,'Clean Package Product Lists'!$A:$A,0))),"")</f>
        <v>0</v>
      </c>
      <c r="I102" s="155">
        <f>IFERROR(MIN(1,COUNTIFS('Product Order Book'!$A$2:$A$1057,$A102,'Product Order Book'!$E$2:$E$1057,I$3)/INDEX('Clean Package Product Lists'!$C:$C,MATCH(I$3,'Clean Package Product Lists'!$A:$A,0))),"")</f>
        <v>0</v>
      </c>
      <c r="J102" s="155">
        <f>IFERROR(MIN(1,COUNTIFS('Product Order Book'!$A$2:$A$1057,$A102,'Product Order Book'!$E$2:$E$1057,J$3)/INDEX('Clean Package Product Lists'!$C:$C,MATCH(J$3,'Clean Package Product Lists'!$A:$A,0))),"")</f>
        <v>0</v>
      </c>
      <c r="K102" s="155">
        <f>IFERROR(MIN(1,COUNTIFS('Product Order Book'!$A$2:$A$1057,$A102,'Product Order Book'!$E$2:$E$1057,K$3)/INDEX('Clean Package Product Lists'!$C:$C,MATCH(K$3,'Clean Package Product Lists'!$A:$A,0))),"")</f>
        <v>0</v>
      </c>
      <c r="L102" s="154"/>
      <c r="M102" s="156" t="str">
        <f>IF(COUNTIFS('Product Order Book'!$A:$A,$A102,'Product Order Book'!$E:$E,M$3)&gt;0,"✓ Takes",IF(IFERROR(VLOOKUP($A102,'Whitespace Analysis'!$A:$AH,12,0),0)=1,"◎ Should","– N/A"))</f>
        <v>✓ Takes</v>
      </c>
      <c r="N102" s="156" t="str">
        <f>IF(COUNTIFS('Product Order Book'!$A:$A,$A102,'Product Order Book'!$E:$E,N$3)&gt;0,"✓ Takes",IF(IFERROR(VLOOKUP($A102,'Whitespace Analysis'!$A:$AH,20,0),0)=1,"◎ Should","– N/A"))</f>
        <v>◎ Should</v>
      </c>
      <c r="O102" s="156" t="str">
        <f>IF(COUNTIFS('Product Order Book'!$A:$A,$A102,'Product Order Book'!$E:$E,O$3)&gt;0,"✓ Takes",IF(IFERROR(VLOOKUP($A102,'Whitespace Analysis'!$A:$AH,22,0),0)=1,"◎ Should","– N/A"))</f>
        <v>– N/A</v>
      </c>
      <c r="P102" s="156" t="str">
        <f>IF(COUNTIFS('Product Order Book'!$A:$A,$A102,'Product Order Book'!$E:$E,P$3)&gt;0,"✓ Takes",IF(IFERROR(VLOOKUP($A102,'Whitespace Analysis'!$A:$AH,24,0),0)=1,"◎ Should","– N/A"))</f>
        <v>◎ Should</v>
      </c>
      <c r="Q102" s="156" t="str">
        <f>IF(COUNTIFS('Product Order Book'!$A:$A,$A102,'Product Order Book'!$E:$E,Q$3)&gt;0,"✓ Takes",IF(IFERROR(VLOOKUP($A102,'Whitespace Analysis'!$A:$AH,26,0),0)=1,"◎ Should","– N/A"))</f>
        <v>◎ Should</v>
      </c>
      <c r="R102" s="156" t="str">
        <f>IF(COUNTIFS('Product Order Book'!$A:$A,$A102,'Product Order Book'!$E:$E,R$3)&gt;0,"✓ Takes",IF(IFERROR(VLOOKUP($A102,'Whitespace Analysis'!$A:$AH,16,0),0)=1,"◎ Should","– N/A"))</f>
        <v>◎ Should</v>
      </c>
      <c r="S102" s="156" t="str">
        <f>IF(COUNTIFS('Product Order Book'!$A:$A,$A102,'Product Order Book'!$E:$E,S$3)&gt;0,"✓ Takes",IF(IFERROR(VLOOKUP($A102,'Whitespace Analysis'!$A:$AH,18,0),0)=1,"◎ Should","– N/A"))</f>
        <v>◎ Should</v>
      </c>
      <c r="T102" s="156" t="str">
        <f>IF(COUNTIFS('Product Order Book'!$A:$A,$A102,'Product Order Book'!$E:$E,T$3)&gt;0,"✓ Takes",IF(IFERROR(VLOOKUP($A102,'Whitespace Analysis'!$A:$AH,28,0),0)=1,"◎ Should","– N/A"))</f>
        <v>– N/A</v>
      </c>
      <c r="U102" s="156" t="str">
        <f>IF(COUNTIFS('Product Order Book'!$A:$A,$A102,'Product Order Book'!$E:$E,U$3)&gt;0,"✓ Takes",IF(IFERROR(VLOOKUP($A102,'Whitespace Analysis'!$A:$AH,30,0),0)=1,"◎ Should","– N/A"))</f>
        <v>– N/A</v>
      </c>
      <c r="V102" s="156" t="str">
        <f>IF(COUNTIFS('Product Order Book'!$A:$A,$A102,'Product Order Book'!$E:$E,V$3)&gt;0,"✓ Takes",IF(IFERROR(VLOOKUP($A102,'Whitespace Analysis'!$A:$AH,14,0),0)=1,"◎ Should","– N/A"))</f>
        <v>◎ Should</v>
      </c>
    </row>
    <row r="103" spans="1:22" ht="15" customHeight="1">
      <c r="A103" s="154" t="str">
        <v>Indigo Swan Limited</v>
      </c>
      <c r="B103" s="155">
        <f>IFERROR(MIN(1,COUNTIFS('Product Order Book'!$A$2:$A$1057,$A103,'Product Order Book'!$E$2:$E$1057,B$3)/INDEX('Clean Package Product Lists'!$C:$C,MATCH(B$3,'Clean Package Product Lists'!$A:$A,0))),"")</f>
        <v>1</v>
      </c>
      <c r="C103" s="155">
        <f>IFERROR(MIN(1,COUNTIFS('Product Order Book'!$A$2:$A$1057,$A103,'Product Order Book'!$E$2:$E$1057,C$3)/INDEX('Clean Package Product Lists'!$C:$C,MATCH(C$3,'Clean Package Product Lists'!$A:$A,0))),"")</f>
        <v>0</v>
      </c>
      <c r="D103" s="155">
        <f>IFERROR(MIN(1,COUNTIFS('Product Order Book'!$A$2:$A$1057,$A103,'Product Order Book'!$E$2:$E$1057,D$3)/INDEX('Clean Package Product Lists'!$C:$C,MATCH(D$3,'Clean Package Product Lists'!$A:$A,0))),"")</f>
        <v>0</v>
      </c>
      <c r="E103" s="155">
        <f>IFERROR(MIN(1,COUNTIFS('Product Order Book'!$A$2:$A$1057,$A103,'Product Order Book'!$E$2:$E$1057,E$3)/INDEX('Clean Package Product Lists'!$C:$C,MATCH(E$3,'Clean Package Product Lists'!$A:$A,0))),"")</f>
        <v>0</v>
      </c>
      <c r="F103" s="155">
        <f>IFERROR(MIN(1,COUNTIFS('Product Order Book'!$A$2:$A$1057,$A103,'Product Order Book'!$E$2:$E$1057,F$3)/INDEX('Clean Package Product Lists'!$C:$C,MATCH(F$3,'Clean Package Product Lists'!$A:$A,0))),"")</f>
        <v>0</v>
      </c>
      <c r="G103" s="155">
        <f>IFERROR(MIN(1,COUNTIFS('Product Order Book'!$A$2:$A$1057,$A103,'Product Order Book'!$E$2:$E$1057,G$3)/INDEX('Clean Package Product Lists'!$C:$C,MATCH(G$3,'Clean Package Product Lists'!$A:$A,0))),"")</f>
        <v>0</v>
      </c>
      <c r="H103" s="155">
        <f>IFERROR(MIN(1,COUNTIFS('Product Order Book'!$A$2:$A$1057,$A103,'Product Order Book'!$E$2:$E$1057,H$3)/INDEX('Clean Package Product Lists'!$C:$C,MATCH(H$3,'Clean Package Product Lists'!$A:$A,0))),"")</f>
        <v>0</v>
      </c>
      <c r="I103" s="155">
        <f>IFERROR(MIN(1,COUNTIFS('Product Order Book'!$A$2:$A$1057,$A103,'Product Order Book'!$E$2:$E$1057,I$3)/INDEX('Clean Package Product Lists'!$C:$C,MATCH(I$3,'Clean Package Product Lists'!$A:$A,0))),"")</f>
        <v>0</v>
      </c>
      <c r="J103" s="155">
        <f>IFERROR(MIN(1,COUNTIFS('Product Order Book'!$A$2:$A$1057,$A103,'Product Order Book'!$E$2:$E$1057,J$3)/INDEX('Clean Package Product Lists'!$C:$C,MATCH(J$3,'Clean Package Product Lists'!$A:$A,0))),"")</f>
        <v>0</v>
      </c>
      <c r="K103" s="155">
        <f>IFERROR(MIN(1,COUNTIFS('Product Order Book'!$A$2:$A$1057,$A103,'Product Order Book'!$E$2:$E$1057,K$3)/INDEX('Clean Package Product Lists'!$C:$C,MATCH(K$3,'Clean Package Product Lists'!$A:$A,0))),"")</f>
        <v>0</v>
      </c>
      <c r="L103" s="154"/>
      <c r="M103" s="156" t="str">
        <f>IF(COUNTIFS('Product Order Book'!$A:$A,$A103,'Product Order Book'!$E:$E,M$3)&gt;0,"✓ Takes",IF(IFERROR(VLOOKUP($A103,'Whitespace Analysis'!$A:$AH,12,0),0)=1,"◎ Should","– N/A"))</f>
        <v>✓ Takes</v>
      </c>
      <c r="N103" s="156" t="str">
        <f>IF(COUNTIFS('Product Order Book'!$A:$A,$A103,'Product Order Book'!$E:$E,N$3)&gt;0,"✓ Takes",IF(IFERROR(VLOOKUP($A103,'Whitespace Analysis'!$A:$AH,20,0),0)=1,"◎ Should","– N/A"))</f>
        <v>– N/A</v>
      </c>
      <c r="O103" s="156" t="str">
        <f>IF(COUNTIFS('Product Order Book'!$A:$A,$A103,'Product Order Book'!$E:$E,O$3)&gt;0,"✓ Takes",IF(IFERROR(VLOOKUP($A103,'Whitespace Analysis'!$A:$AH,22,0),0)=1,"◎ Should","– N/A"))</f>
        <v>– N/A</v>
      </c>
      <c r="P103" s="156" t="str">
        <f>IF(COUNTIFS('Product Order Book'!$A:$A,$A103,'Product Order Book'!$E:$E,P$3)&gt;0,"✓ Takes",IF(IFERROR(VLOOKUP($A103,'Whitespace Analysis'!$A:$AH,24,0),0)=1,"◎ Should","– N/A"))</f>
        <v>– N/A</v>
      </c>
      <c r="Q103" s="156" t="str">
        <f>IF(COUNTIFS('Product Order Book'!$A:$A,$A103,'Product Order Book'!$E:$E,Q$3)&gt;0,"✓ Takes",IF(IFERROR(VLOOKUP($A103,'Whitespace Analysis'!$A:$AH,26,0),0)=1,"◎ Should","– N/A"))</f>
        <v>– N/A</v>
      </c>
      <c r="R103" s="156" t="str">
        <f>IF(COUNTIFS('Product Order Book'!$A:$A,$A103,'Product Order Book'!$E:$E,R$3)&gt;0,"✓ Takes",IF(IFERROR(VLOOKUP($A103,'Whitespace Analysis'!$A:$AH,16,0),0)=1,"◎ Should","– N/A"))</f>
        <v>◎ Should</v>
      </c>
      <c r="S103" s="156" t="str">
        <f>IF(COUNTIFS('Product Order Book'!$A:$A,$A103,'Product Order Book'!$E:$E,S$3)&gt;0,"✓ Takes",IF(IFERROR(VLOOKUP($A103,'Whitespace Analysis'!$A:$AH,18,0),0)=1,"◎ Should","– N/A"))</f>
        <v>◎ Should</v>
      </c>
      <c r="T103" s="156" t="str">
        <f>IF(COUNTIFS('Product Order Book'!$A:$A,$A103,'Product Order Book'!$E:$E,T$3)&gt;0,"✓ Takes",IF(IFERROR(VLOOKUP($A103,'Whitespace Analysis'!$A:$AH,28,0),0)=1,"◎ Should","– N/A"))</f>
        <v>◎ Should</v>
      </c>
      <c r="U103" s="156" t="str">
        <f>IF(COUNTIFS('Product Order Book'!$A:$A,$A103,'Product Order Book'!$E:$E,U$3)&gt;0,"✓ Takes",IF(IFERROR(VLOOKUP($A103,'Whitespace Analysis'!$A:$AH,30,0),0)=1,"◎ Should","– N/A"))</f>
        <v>– N/A</v>
      </c>
      <c r="V103" s="156" t="str">
        <f>IF(COUNTIFS('Product Order Book'!$A:$A,$A103,'Product Order Book'!$E:$E,V$3)&gt;0,"✓ Takes",IF(IFERROR(VLOOKUP($A103,'Whitespace Analysis'!$A:$AH,14,0),0)=1,"◎ Should","– N/A"))</f>
        <v>– N/A</v>
      </c>
    </row>
    <row r="104" spans="1:22" ht="15" customHeight="1">
      <c r="A104" s="154" t="str">
        <v>Infinis Energy Services Limited</v>
      </c>
      <c r="B104" s="155">
        <f>IFERROR(MIN(1,COUNTIFS('Product Order Book'!$A$2:$A$1057,$A104,'Product Order Book'!$E$2:$E$1057,B$3)/INDEX('Clean Package Product Lists'!$C:$C,MATCH(B$3,'Clean Package Product Lists'!$A:$A,0))),"")</f>
        <v>1</v>
      </c>
      <c r="C104" s="155">
        <f>IFERROR(MIN(1,COUNTIFS('Product Order Book'!$A$2:$A$1057,$A104,'Product Order Book'!$E$2:$E$1057,C$3)/INDEX('Clean Package Product Lists'!$C:$C,MATCH(C$3,'Clean Package Product Lists'!$A:$A,0))),"")</f>
        <v>0.2857142857142857</v>
      </c>
      <c r="D104" s="155">
        <f>IFERROR(MIN(1,COUNTIFS('Product Order Book'!$A$2:$A$1057,$A104,'Product Order Book'!$E$2:$E$1057,D$3)/INDEX('Clean Package Product Lists'!$C:$C,MATCH(D$3,'Clean Package Product Lists'!$A:$A,0))),"")</f>
        <v>0</v>
      </c>
      <c r="E104" s="155">
        <f>IFERROR(MIN(1,COUNTIFS('Product Order Book'!$A$2:$A$1057,$A104,'Product Order Book'!$E$2:$E$1057,E$3)/INDEX('Clean Package Product Lists'!$C:$C,MATCH(E$3,'Clean Package Product Lists'!$A:$A,0))),"")</f>
        <v>0</v>
      </c>
      <c r="F104" s="155">
        <f>IFERROR(MIN(1,COUNTIFS('Product Order Book'!$A$2:$A$1057,$A104,'Product Order Book'!$E$2:$E$1057,F$3)/INDEX('Clean Package Product Lists'!$C:$C,MATCH(F$3,'Clean Package Product Lists'!$A:$A,0))),"")</f>
        <v>0.33333333333333331</v>
      </c>
      <c r="G104" s="155">
        <f>IFERROR(MIN(1,COUNTIFS('Product Order Book'!$A$2:$A$1057,$A104,'Product Order Book'!$E$2:$E$1057,G$3)/INDEX('Clean Package Product Lists'!$C:$C,MATCH(G$3,'Clean Package Product Lists'!$A:$A,0))),"")</f>
        <v>0</v>
      </c>
      <c r="H104" s="155">
        <f>IFERROR(MIN(1,COUNTIFS('Product Order Book'!$A$2:$A$1057,$A104,'Product Order Book'!$E$2:$E$1057,H$3)/INDEX('Clean Package Product Lists'!$C:$C,MATCH(H$3,'Clean Package Product Lists'!$A:$A,0))),"")</f>
        <v>0</v>
      </c>
      <c r="I104" s="155">
        <f>IFERROR(MIN(1,COUNTIFS('Product Order Book'!$A$2:$A$1057,$A104,'Product Order Book'!$E$2:$E$1057,I$3)/INDEX('Clean Package Product Lists'!$C:$C,MATCH(I$3,'Clean Package Product Lists'!$A:$A,0))),"")</f>
        <v>0</v>
      </c>
      <c r="J104" s="155">
        <f>IFERROR(MIN(1,COUNTIFS('Product Order Book'!$A$2:$A$1057,$A104,'Product Order Book'!$E$2:$E$1057,J$3)/INDEX('Clean Package Product Lists'!$C:$C,MATCH(J$3,'Clean Package Product Lists'!$A:$A,0))),"")</f>
        <v>0</v>
      </c>
      <c r="K104" s="155">
        <f>IFERROR(MIN(1,COUNTIFS('Product Order Book'!$A$2:$A$1057,$A104,'Product Order Book'!$E$2:$E$1057,K$3)/INDEX('Clean Package Product Lists'!$C:$C,MATCH(K$3,'Clean Package Product Lists'!$A:$A,0))),"")</f>
        <v>0</v>
      </c>
      <c r="L104" s="154"/>
      <c r="M104" s="156" t="str">
        <f>IF(COUNTIFS('Product Order Book'!$A:$A,$A104,'Product Order Book'!$E:$E,M$3)&gt;0,"✓ Takes",IF(IFERROR(VLOOKUP($A104,'Whitespace Analysis'!$A:$AH,12,0),0)=1,"◎ Should","– N/A"))</f>
        <v>✓ Takes</v>
      </c>
      <c r="N104" s="156" t="str">
        <f>IF(COUNTIFS('Product Order Book'!$A:$A,$A104,'Product Order Book'!$E:$E,N$3)&gt;0,"✓ Takes",IF(IFERROR(VLOOKUP($A104,'Whitespace Analysis'!$A:$AH,20,0),0)=1,"◎ Should","– N/A"))</f>
        <v>✓ Takes</v>
      </c>
      <c r="O104" s="156" t="str">
        <f>IF(COUNTIFS('Product Order Book'!$A:$A,$A104,'Product Order Book'!$E:$E,O$3)&gt;0,"✓ Takes",IF(IFERROR(VLOOKUP($A104,'Whitespace Analysis'!$A:$AH,22,0),0)=1,"◎ Should","– N/A"))</f>
        <v>◎ Should</v>
      </c>
      <c r="P104" s="156" t="str">
        <f>IF(COUNTIFS('Product Order Book'!$A:$A,$A104,'Product Order Book'!$E:$E,P$3)&gt;0,"✓ Takes",IF(IFERROR(VLOOKUP($A104,'Whitespace Analysis'!$A:$AH,24,0),0)=1,"◎ Should","– N/A"))</f>
        <v>◎ Should</v>
      </c>
      <c r="Q104" s="156" t="str">
        <f>IF(COUNTIFS('Product Order Book'!$A:$A,$A104,'Product Order Book'!$E:$E,Q$3)&gt;0,"✓ Takes",IF(IFERROR(VLOOKUP($A104,'Whitespace Analysis'!$A:$AH,26,0),0)=1,"◎ Should","– N/A"))</f>
        <v>✓ Takes</v>
      </c>
      <c r="R104" s="156" t="str">
        <f>IF(COUNTIFS('Product Order Book'!$A:$A,$A104,'Product Order Book'!$E:$E,R$3)&gt;0,"✓ Takes",IF(IFERROR(VLOOKUP($A104,'Whitespace Analysis'!$A:$AH,16,0),0)=1,"◎ Should","– N/A"))</f>
        <v>– N/A</v>
      </c>
      <c r="S104" s="156" t="str">
        <f>IF(COUNTIFS('Product Order Book'!$A:$A,$A104,'Product Order Book'!$E:$E,S$3)&gt;0,"✓ Takes",IF(IFERROR(VLOOKUP($A104,'Whitespace Analysis'!$A:$AH,18,0),0)=1,"◎ Should","– N/A"))</f>
        <v>– N/A</v>
      </c>
      <c r="T104" s="156" t="str">
        <f>IF(COUNTIFS('Product Order Book'!$A:$A,$A104,'Product Order Book'!$E:$E,T$3)&gt;0,"✓ Takes",IF(IFERROR(VLOOKUP($A104,'Whitespace Analysis'!$A:$AH,28,0),0)=1,"◎ Should","– N/A"))</f>
        <v>– N/A</v>
      </c>
      <c r="U104" s="156" t="str">
        <f>IF(COUNTIFS('Product Order Book'!$A:$A,$A104,'Product Order Book'!$E:$E,U$3)&gt;0,"✓ Takes",IF(IFERROR(VLOOKUP($A104,'Whitespace Analysis'!$A:$AH,30,0),0)=1,"◎ Should","– N/A"))</f>
        <v>– N/A</v>
      </c>
      <c r="V104" s="156" t="str">
        <f>IF(COUNTIFS('Product Order Book'!$A:$A,$A104,'Product Order Book'!$E:$E,V$3)&gt;0,"✓ Takes",IF(IFERROR(VLOOKUP($A104,'Whitespace Analysis'!$A:$AH,14,0),0)=1,"◎ Should","– N/A"))</f>
        <v>◎ Should</v>
      </c>
    </row>
    <row r="105" spans="1:22" ht="15" customHeight="1">
      <c r="A105" s="154" t="str">
        <v>Inspired PLC</v>
      </c>
      <c r="B105" s="155">
        <f>IFERROR(MIN(1,COUNTIFS('Product Order Book'!$A$2:$A$1057,$A105,'Product Order Book'!$E$2:$E$1057,B$3)/INDEX('Clean Package Product Lists'!$C:$C,MATCH(B$3,'Clean Package Product Lists'!$A:$A,0))),"")</f>
        <v>0</v>
      </c>
      <c r="C105" s="155">
        <f>IFERROR(MIN(1,COUNTIFS('Product Order Book'!$A$2:$A$1057,$A105,'Product Order Book'!$E$2:$E$1057,C$3)/INDEX('Clean Package Product Lists'!$C:$C,MATCH(C$3,'Clean Package Product Lists'!$A:$A,0))),"")</f>
        <v>0</v>
      </c>
      <c r="D105" s="155">
        <f>IFERROR(MIN(1,COUNTIFS('Product Order Book'!$A$2:$A$1057,$A105,'Product Order Book'!$E$2:$E$1057,D$3)/INDEX('Clean Package Product Lists'!$C:$C,MATCH(D$3,'Clean Package Product Lists'!$A:$A,0))),"")</f>
        <v>0</v>
      </c>
      <c r="E105" s="155">
        <f>IFERROR(MIN(1,COUNTIFS('Product Order Book'!$A$2:$A$1057,$A105,'Product Order Book'!$E$2:$E$1057,E$3)/INDEX('Clean Package Product Lists'!$C:$C,MATCH(E$3,'Clean Package Product Lists'!$A:$A,0))),"")</f>
        <v>0</v>
      </c>
      <c r="F105" s="155">
        <f>IFERROR(MIN(1,COUNTIFS('Product Order Book'!$A$2:$A$1057,$A105,'Product Order Book'!$E$2:$E$1057,F$3)/INDEX('Clean Package Product Lists'!$C:$C,MATCH(F$3,'Clean Package Product Lists'!$A:$A,0))),"")</f>
        <v>0</v>
      </c>
      <c r="G105" s="155">
        <f>IFERROR(MIN(1,COUNTIFS('Product Order Book'!$A$2:$A$1057,$A105,'Product Order Book'!$E$2:$E$1057,G$3)/INDEX('Clean Package Product Lists'!$C:$C,MATCH(G$3,'Clean Package Product Lists'!$A:$A,0))),"")</f>
        <v>9.0909090909090912E-2</v>
      </c>
      <c r="H105" s="155">
        <f>IFERROR(MIN(1,COUNTIFS('Product Order Book'!$A$2:$A$1057,$A105,'Product Order Book'!$E$2:$E$1057,H$3)/INDEX('Clean Package Product Lists'!$C:$C,MATCH(H$3,'Clean Package Product Lists'!$A:$A,0))),"")</f>
        <v>0.75</v>
      </c>
      <c r="I105" s="155">
        <f>IFERROR(MIN(1,COUNTIFS('Product Order Book'!$A$2:$A$1057,$A105,'Product Order Book'!$E$2:$E$1057,I$3)/INDEX('Clean Package Product Lists'!$C:$C,MATCH(I$3,'Clean Package Product Lists'!$A:$A,0))),"")</f>
        <v>0</v>
      </c>
      <c r="J105" s="155">
        <f>IFERROR(MIN(1,COUNTIFS('Product Order Book'!$A$2:$A$1057,$A105,'Product Order Book'!$E$2:$E$1057,J$3)/INDEX('Clean Package Product Lists'!$C:$C,MATCH(J$3,'Clean Package Product Lists'!$A:$A,0))),"")</f>
        <v>0</v>
      </c>
      <c r="K105" s="155">
        <f>IFERROR(MIN(1,COUNTIFS('Product Order Book'!$A$2:$A$1057,$A105,'Product Order Book'!$E$2:$E$1057,K$3)/INDEX('Clean Package Product Lists'!$C:$C,MATCH(K$3,'Clean Package Product Lists'!$A:$A,0))),"")</f>
        <v>0</v>
      </c>
      <c r="L105" s="154"/>
      <c r="M105" s="156" t="str">
        <f>IF(COUNTIFS('Product Order Book'!$A:$A,$A105,'Product Order Book'!$E:$E,M$3)&gt;0,"✓ Takes",IF(IFERROR(VLOOKUP($A105,'Whitespace Analysis'!$A:$AH,12,0),0)=1,"◎ Should","– N/A"))</f>
        <v>◎ Should</v>
      </c>
      <c r="N105" s="156" t="str">
        <f>IF(COUNTIFS('Product Order Book'!$A:$A,$A105,'Product Order Book'!$E:$E,N$3)&gt;0,"✓ Takes",IF(IFERROR(VLOOKUP($A105,'Whitespace Analysis'!$A:$AH,20,0),0)=1,"◎ Should","– N/A"))</f>
        <v>– N/A</v>
      </c>
      <c r="O105" s="156" t="str">
        <f>IF(COUNTIFS('Product Order Book'!$A:$A,$A105,'Product Order Book'!$E:$E,O$3)&gt;0,"✓ Takes",IF(IFERROR(VLOOKUP($A105,'Whitespace Analysis'!$A:$AH,22,0),0)=1,"◎ Should","– N/A"))</f>
        <v>– N/A</v>
      </c>
      <c r="P105" s="156" t="str">
        <f>IF(COUNTIFS('Product Order Book'!$A:$A,$A105,'Product Order Book'!$E:$E,P$3)&gt;0,"✓ Takes",IF(IFERROR(VLOOKUP($A105,'Whitespace Analysis'!$A:$AH,24,0),0)=1,"◎ Should","– N/A"))</f>
        <v>– N/A</v>
      </c>
      <c r="Q105" s="156" t="str">
        <f>IF(COUNTIFS('Product Order Book'!$A:$A,$A105,'Product Order Book'!$E:$E,Q$3)&gt;0,"✓ Takes",IF(IFERROR(VLOOKUP($A105,'Whitespace Analysis'!$A:$AH,26,0),0)=1,"◎ Should","– N/A"))</f>
        <v>– N/A</v>
      </c>
      <c r="R105" s="156" t="str">
        <f>IF(COUNTIFS('Product Order Book'!$A:$A,$A105,'Product Order Book'!$E:$E,R$3)&gt;0,"✓ Takes",IF(IFERROR(VLOOKUP($A105,'Whitespace Analysis'!$A:$AH,16,0),0)=1,"◎ Should","– N/A"))</f>
        <v>✓ Takes</v>
      </c>
      <c r="S105" s="156" t="str">
        <f>IF(COUNTIFS('Product Order Book'!$A:$A,$A105,'Product Order Book'!$E:$E,S$3)&gt;0,"✓ Takes",IF(IFERROR(VLOOKUP($A105,'Whitespace Analysis'!$A:$AH,18,0),0)=1,"◎ Should","– N/A"))</f>
        <v>✓ Takes</v>
      </c>
      <c r="T105" s="156" t="str">
        <f>IF(COUNTIFS('Product Order Book'!$A:$A,$A105,'Product Order Book'!$E:$E,T$3)&gt;0,"✓ Takes",IF(IFERROR(VLOOKUP($A105,'Whitespace Analysis'!$A:$AH,28,0),0)=1,"◎ Should","– N/A"))</f>
        <v>◎ Should</v>
      </c>
      <c r="U105" s="156" t="str">
        <f>IF(COUNTIFS('Product Order Book'!$A:$A,$A105,'Product Order Book'!$E:$E,U$3)&gt;0,"✓ Takes",IF(IFERROR(VLOOKUP($A105,'Whitespace Analysis'!$A:$AH,30,0),0)=1,"◎ Should","– N/A"))</f>
        <v>– N/A</v>
      </c>
      <c r="V105" s="156" t="str">
        <f>IF(COUNTIFS('Product Order Book'!$A:$A,$A105,'Product Order Book'!$E:$E,V$3)&gt;0,"✓ Takes",IF(IFERROR(VLOOKUP($A105,'Whitespace Analysis'!$A:$AH,14,0),0)=1,"◎ Should","– N/A"))</f>
        <v>– N/A</v>
      </c>
    </row>
    <row r="106" spans="1:22" ht="15" customHeight="1">
      <c r="A106" s="154" t="str">
        <v>Interconnector Limited</v>
      </c>
      <c r="B106" s="155">
        <f>IFERROR(MIN(1,COUNTIFS('Product Order Book'!$A$2:$A$1057,$A106,'Product Order Book'!$E$2:$E$1057,B$3)/INDEX('Clean Package Product Lists'!$C:$C,MATCH(B$3,'Clean Package Product Lists'!$A:$A,0))),"")</f>
        <v>1</v>
      </c>
      <c r="C106" s="155">
        <f>IFERROR(MIN(1,COUNTIFS('Product Order Book'!$A$2:$A$1057,$A106,'Product Order Book'!$E$2:$E$1057,C$3)/INDEX('Clean Package Product Lists'!$C:$C,MATCH(C$3,'Clean Package Product Lists'!$A:$A,0))),"")</f>
        <v>0</v>
      </c>
      <c r="D106" s="155">
        <f>IFERROR(MIN(1,COUNTIFS('Product Order Book'!$A$2:$A$1057,$A106,'Product Order Book'!$E$2:$E$1057,D$3)/INDEX('Clean Package Product Lists'!$C:$C,MATCH(D$3,'Clean Package Product Lists'!$A:$A,0))),"")</f>
        <v>0</v>
      </c>
      <c r="E106" s="155">
        <f>IFERROR(MIN(1,COUNTIFS('Product Order Book'!$A$2:$A$1057,$A106,'Product Order Book'!$E$2:$E$1057,E$3)/INDEX('Clean Package Product Lists'!$C:$C,MATCH(E$3,'Clean Package Product Lists'!$A:$A,0))),"")</f>
        <v>0</v>
      </c>
      <c r="F106" s="155">
        <f>IFERROR(MIN(1,COUNTIFS('Product Order Book'!$A$2:$A$1057,$A106,'Product Order Book'!$E$2:$E$1057,F$3)/INDEX('Clean Package Product Lists'!$C:$C,MATCH(F$3,'Clean Package Product Lists'!$A:$A,0))),"")</f>
        <v>0</v>
      </c>
      <c r="G106" s="155">
        <f>IFERROR(MIN(1,COUNTIFS('Product Order Book'!$A$2:$A$1057,$A106,'Product Order Book'!$E$2:$E$1057,G$3)/INDEX('Clean Package Product Lists'!$C:$C,MATCH(G$3,'Clean Package Product Lists'!$A:$A,0))),"")</f>
        <v>0</v>
      </c>
      <c r="H106" s="155">
        <f>IFERROR(MIN(1,COUNTIFS('Product Order Book'!$A$2:$A$1057,$A106,'Product Order Book'!$E$2:$E$1057,H$3)/INDEX('Clean Package Product Lists'!$C:$C,MATCH(H$3,'Clean Package Product Lists'!$A:$A,0))),"")</f>
        <v>0</v>
      </c>
      <c r="I106" s="155">
        <f>IFERROR(MIN(1,COUNTIFS('Product Order Book'!$A$2:$A$1057,$A106,'Product Order Book'!$E$2:$E$1057,I$3)/INDEX('Clean Package Product Lists'!$C:$C,MATCH(I$3,'Clean Package Product Lists'!$A:$A,0))),"")</f>
        <v>0</v>
      </c>
      <c r="J106" s="155">
        <f>IFERROR(MIN(1,COUNTIFS('Product Order Book'!$A$2:$A$1057,$A106,'Product Order Book'!$E$2:$E$1057,J$3)/INDEX('Clean Package Product Lists'!$C:$C,MATCH(J$3,'Clean Package Product Lists'!$A:$A,0))),"")</f>
        <v>0</v>
      </c>
      <c r="K106" s="155">
        <f>IFERROR(MIN(1,COUNTIFS('Product Order Book'!$A$2:$A$1057,$A106,'Product Order Book'!$E$2:$E$1057,K$3)/INDEX('Clean Package Product Lists'!$C:$C,MATCH(K$3,'Clean Package Product Lists'!$A:$A,0))),"")</f>
        <v>0</v>
      </c>
      <c r="L106" s="154"/>
      <c r="M106" s="156" t="str">
        <f>IF(COUNTIFS('Product Order Book'!$A:$A,$A106,'Product Order Book'!$E:$E,M$3)&gt;0,"✓ Takes",IF(IFERROR(VLOOKUP($A106,'Whitespace Analysis'!$A:$AH,12,0),0)=1,"◎ Should","– N/A"))</f>
        <v>✓ Takes</v>
      </c>
      <c r="N106" s="156" t="str">
        <f>IF(COUNTIFS('Product Order Book'!$A:$A,$A106,'Product Order Book'!$E:$E,N$3)&gt;0,"✓ Takes",IF(IFERROR(VLOOKUP($A106,'Whitespace Analysis'!$A:$AH,20,0),0)=1,"◎ Should","– N/A"))</f>
        <v>– N/A</v>
      </c>
      <c r="O106" s="156" t="str">
        <f>IF(COUNTIFS('Product Order Book'!$A:$A,$A106,'Product Order Book'!$E:$E,O$3)&gt;0,"✓ Takes",IF(IFERROR(VLOOKUP($A106,'Whitespace Analysis'!$A:$AH,22,0),0)=1,"◎ Should","– N/A"))</f>
        <v>– N/A</v>
      </c>
      <c r="P106" s="156" t="str">
        <f>IF(COUNTIFS('Product Order Book'!$A:$A,$A106,'Product Order Book'!$E:$E,P$3)&gt;0,"✓ Takes",IF(IFERROR(VLOOKUP($A106,'Whitespace Analysis'!$A:$AH,24,0),0)=1,"◎ Should","– N/A"))</f>
        <v>– N/A</v>
      </c>
      <c r="Q106" s="156" t="str">
        <f>IF(COUNTIFS('Product Order Book'!$A:$A,$A106,'Product Order Book'!$E:$E,Q$3)&gt;0,"✓ Takes",IF(IFERROR(VLOOKUP($A106,'Whitespace Analysis'!$A:$AH,26,0),0)=1,"◎ Should","– N/A"))</f>
        <v>– N/A</v>
      </c>
      <c r="R106" s="156" t="str">
        <f>IF(COUNTIFS('Product Order Book'!$A:$A,$A106,'Product Order Book'!$E:$E,R$3)&gt;0,"✓ Takes",IF(IFERROR(VLOOKUP($A106,'Whitespace Analysis'!$A:$AH,16,0),0)=1,"◎ Should","– N/A"))</f>
        <v>– N/A</v>
      </c>
      <c r="S106" s="156" t="str">
        <f>IF(COUNTIFS('Product Order Book'!$A:$A,$A106,'Product Order Book'!$E:$E,S$3)&gt;0,"✓ Takes",IF(IFERROR(VLOOKUP($A106,'Whitespace Analysis'!$A:$AH,18,0),0)=1,"◎ Should","– N/A"))</f>
        <v>– N/A</v>
      </c>
      <c r="T106" s="156" t="str">
        <f>IF(COUNTIFS('Product Order Book'!$A:$A,$A106,'Product Order Book'!$E:$E,T$3)&gt;0,"✓ Takes",IF(IFERROR(VLOOKUP($A106,'Whitespace Analysis'!$A:$AH,28,0),0)=1,"◎ Should","– N/A"))</f>
        <v>– N/A</v>
      </c>
      <c r="U106" s="156" t="str">
        <f>IF(COUNTIFS('Product Order Book'!$A:$A,$A106,'Product Order Book'!$E:$E,U$3)&gt;0,"✓ Takes",IF(IFERROR(VLOOKUP($A106,'Whitespace Analysis'!$A:$AH,30,0),0)=1,"◎ Should","– N/A"))</f>
        <v>– N/A</v>
      </c>
      <c r="V106" s="156" t="str">
        <f>IF(COUNTIFS('Product Order Book'!$A:$A,$A106,'Product Order Book'!$E:$E,V$3)&gt;0,"✓ Takes",IF(IFERROR(VLOOKUP($A106,'Whitespace Analysis'!$A:$AH,14,0),0)=1,"◎ Should","– N/A"))</f>
        <v>– N/A</v>
      </c>
    </row>
    <row r="107" spans="1:22" ht="15" customHeight="1">
      <c r="A107" s="154" t="str">
        <v>Island Green Power UK Ltd</v>
      </c>
      <c r="B107" s="155">
        <f>IFERROR(MIN(1,COUNTIFS('Product Order Book'!$A$2:$A$1057,$A107,'Product Order Book'!$E$2:$E$1057,B$3)/INDEX('Clean Package Product Lists'!$C:$C,MATCH(B$3,'Clean Package Product Lists'!$A:$A,0))),"")</f>
        <v>1</v>
      </c>
      <c r="C107" s="155">
        <f>IFERROR(MIN(1,COUNTIFS('Product Order Book'!$A$2:$A$1057,$A107,'Product Order Book'!$E$2:$E$1057,C$3)/INDEX('Clean Package Product Lists'!$C:$C,MATCH(C$3,'Clean Package Product Lists'!$A:$A,0))),"")</f>
        <v>0</v>
      </c>
      <c r="D107" s="155">
        <f>IFERROR(MIN(1,COUNTIFS('Product Order Book'!$A$2:$A$1057,$A107,'Product Order Book'!$E$2:$E$1057,D$3)/INDEX('Clean Package Product Lists'!$C:$C,MATCH(D$3,'Clean Package Product Lists'!$A:$A,0))),"")</f>
        <v>0</v>
      </c>
      <c r="E107" s="155">
        <f>IFERROR(MIN(1,COUNTIFS('Product Order Book'!$A$2:$A$1057,$A107,'Product Order Book'!$E$2:$E$1057,E$3)/INDEX('Clean Package Product Lists'!$C:$C,MATCH(E$3,'Clean Package Product Lists'!$A:$A,0))),"")</f>
        <v>0</v>
      </c>
      <c r="F107" s="155">
        <f>IFERROR(MIN(1,COUNTIFS('Product Order Book'!$A$2:$A$1057,$A107,'Product Order Book'!$E$2:$E$1057,F$3)/INDEX('Clean Package Product Lists'!$C:$C,MATCH(F$3,'Clean Package Product Lists'!$A:$A,0))),"")</f>
        <v>0</v>
      </c>
      <c r="G107" s="155">
        <f>IFERROR(MIN(1,COUNTIFS('Product Order Book'!$A$2:$A$1057,$A107,'Product Order Book'!$E$2:$E$1057,G$3)/INDEX('Clean Package Product Lists'!$C:$C,MATCH(G$3,'Clean Package Product Lists'!$A:$A,0))),"")</f>
        <v>0</v>
      </c>
      <c r="H107" s="155">
        <f>IFERROR(MIN(1,COUNTIFS('Product Order Book'!$A$2:$A$1057,$A107,'Product Order Book'!$E$2:$E$1057,H$3)/INDEX('Clean Package Product Lists'!$C:$C,MATCH(H$3,'Clean Package Product Lists'!$A:$A,0))),"")</f>
        <v>0</v>
      </c>
      <c r="I107" s="155">
        <f>IFERROR(MIN(1,COUNTIFS('Product Order Book'!$A$2:$A$1057,$A107,'Product Order Book'!$E$2:$E$1057,I$3)/INDEX('Clean Package Product Lists'!$C:$C,MATCH(I$3,'Clean Package Product Lists'!$A:$A,0))),"")</f>
        <v>0</v>
      </c>
      <c r="J107" s="155">
        <f>IFERROR(MIN(1,COUNTIFS('Product Order Book'!$A$2:$A$1057,$A107,'Product Order Book'!$E$2:$E$1057,J$3)/INDEX('Clean Package Product Lists'!$C:$C,MATCH(J$3,'Clean Package Product Lists'!$A:$A,0))),"")</f>
        <v>0</v>
      </c>
      <c r="K107" s="155">
        <f>IFERROR(MIN(1,COUNTIFS('Product Order Book'!$A$2:$A$1057,$A107,'Product Order Book'!$E$2:$E$1057,K$3)/INDEX('Clean Package Product Lists'!$C:$C,MATCH(K$3,'Clean Package Product Lists'!$A:$A,0))),"")</f>
        <v>0</v>
      </c>
      <c r="L107" s="154"/>
      <c r="M107" s="156" t="str">
        <f>IF(COUNTIFS('Product Order Book'!$A:$A,$A107,'Product Order Book'!$E:$E,M$3)&gt;0,"✓ Takes",IF(IFERROR(VLOOKUP($A107,'Whitespace Analysis'!$A:$AH,12,0),0)=1,"◎ Should","– N/A"))</f>
        <v>✓ Takes</v>
      </c>
      <c r="N107" s="156" t="str">
        <f>IF(COUNTIFS('Product Order Book'!$A:$A,$A107,'Product Order Book'!$E:$E,N$3)&gt;0,"✓ Takes",IF(IFERROR(VLOOKUP($A107,'Whitespace Analysis'!$A:$AH,20,0),0)=1,"◎ Should","– N/A"))</f>
        <v>◎ Should</v>
      </c>
      <c r="O107" s="156" t="str">
        <f>IF(COUNTIFS('Product Order Book'!$A:$A,$A107,'Product Order Book'!$E:$E,O$3)&gt;0,"✓ Takes",IF(IFERROR(VLOOKUP($A107,'Whitespace Analysis'!$A:$AH,22,0),0)=1,"◎ Should","– N/A"))</f>
        <v>◎ Should</v>
      </c>
      <c r="P107" s="156" t="str">
        <f>IF(COUNTIFS('Product Order Book'!$A:$A,$A107,'Product Order Book'!$E:$E,P$3)&gt;0,"✓ Takes",IF(IFERROR(VLOOKUP($A107,'Whitespace Analysis'!$A:$AH,24,0),0)=1,"◎ Should","– N/A"))</f>
        <v>– N/A</v>
      </c>
      <c r="Q107" s="156" t="str">
        <f>IF(COUNTIFS('Product Order Book'!$A:$A,$A107,'Product Order Book'!$E:$E,Q$3)&gt;0,"✓ Takes",IF(IFERROR(VLOOKUP($A107,'Whitespace Analysis'!$A:$AH,26,0),0)=1,"◎ Should","– N/A"))</f>
        <v>– N/A</v>
      </c>
      <c r="R107" s="156" t="str">
        <f>IF(COUNTIFS('Product Order Book'!$A:$A,$A107,'Product Order Book'!$E:$E,R$3)&gt;0,"✓ Takes",IF(IFERROR(VLOOKUP($A107,'Whitespace Analysis'!$A:$AH,16,0),0)=1,"◎ Should","– N/A"))</f>
        <v>– N/A</v>
      </c>
      <c r="S107" s="156" t="str">
        <f>IF(COUNTIFS('Product Order Book'!$A:$A,$A107,'Product Order Book'!$E:$E,S$3)&gt;0,"✓ Takes",IF(IFERROR(VLOOKUP($A107,'Whitespace Analysis'!$A:$AH,18,0),0)=1,"◎ Should","– N/A"))</f>
        <v>– N/A</v>
      </c>
      <c r="T107" s="156" t="str">
        <f>IF(COUNTIFS('Product Order Book'!$A:$A,$A107,'Product Order Book'!$E:$E,T$3)&gt;0,"✓ Takes",IF(IFERROR(VLOOKUP($A107,'Whitespace Analysis'!$A:$AH,28,0),0)=1,"◎ Should","– N/A"))</f>
        <v>– N/A</v>
      </c>
      <c r="U107" s="156" t="str">
        <f>IF(COUNTIFS('Product Order Book'!$A:$A,$A107,'Product Order Book'!$E:$E,U$3)&gt;0,"✓ Takes",IF(IFERROR(VLOOKUP($A107,'Whitespace Analysis'!$A:$AH,30,0),0)=1,"◎ Should","– N/A"))</f>
        <v>– N/A</v>
      </c>
      <c r="V107" s="156" t="str">
        <f>IF(COUNTIFS('Product Order Book'!$A:$A,$A107,'Product Order Book'!$E:$E,V$3)&gt;0,"✓ Takes",IF(IFERROR(VLOOKUP($A107,'Whitespace Analysis'!$A:$AH,14,0),0)=1,"◎ Should","– N/A"))</f>
        <v>◎ Should</v>
      </c>
    </row>
    <row r="108" spans="1:22" ht="15" customHeight="1">
      <c r="A108" s="154" t="str">
        <v>J G Pears Holdings (Jersey) Ltd</v>
      </c>
      <c r="B108" s="155">
        <f>IFERROR(MIN(1,COUNTIFS('Product Order Book'!$A$2:$A$1057,$A108,'Product Order Book'!$E$2:$E$1057,B$3)/INDEX('Clean Package Product Lists'!$C:$C,MATCH(B$3,'Clean Package Product Lists'!$A:$A,0))),"")</f>
        <v>0</v>
      </c>
      <c r="C108" s="155">
        <f>IFERROR(MIN(1,COUNTIFS('Product Order Book'!$A$2:$A$1057,$A108,'Product Order Book'!$E$2:$E$1057,C$3)/INDEX('Clean Package Product Lists'!$C:$C,MATCH(C$3,'Clean Package Product Lists'!$A:$A,0))),"")</f>
        <v>0.2857142857142857</v>
      </c>
      <c r="D108" s="155">
        <f>IFERROR(MIN(1,COUNTIFS('Product Order Book'!$A$2:$A$1057,$A108,'Product Order Book'!$E$2:$E$1057,D$3)/INDEX('Clean Package Product Lists'!$C:$C,MATCH(D$3,'Clean Package Product Lists'!$A:$A,0))),"")</f>
        <v>0.33333333333333331</v>
      </c>
      <c r="E108" s="155">
        <f>IFERROR(MIN(1,COUNTIFS('Product Order Book'!$A$2:$A$1057,$A108,'Product Order Book'!$E$2:$E$1057,E$3)/INDEX('Clean Package Product Lists'!$C:$C,MATCH(E$3,'Clean Package Product Lists'!$A:$A,0))),"")</f>
        <v>0</v>
      </c>
      <c r="F108" s="155">
        <f>IFERROR(MIN(1,COUNTIFS('Product Order Book'!$A$2:$A$1057,$A108,'Product Order Book'!$E$2:$E$1057,F$3)/INDEX('Clean Package Product Lists'!$C:$C,MATCH(F$3,'Clean Package Product Lists'!$A:$A,0))),"")</f>
        <v>0</v>
      </c>
      <c r="G108" s="155">
        <f>IFERROR(MIN(1,COUNTIFS('Product Order Book'!$A$2:$A$1057,$A108,'Product Order Book'!$E$2:$E$1057,G$3)/INDEX('Clean Package Product Lists'!$C:$C,MATCH(G$3,'Clean Package Product Lists'!$A:$A,0))),"")</f>
        <v>0</v>
      </c>
      <c r="H108" s="155">
        <f>IFERROR(MIN(1,COUNTIFS('Product Order Book'!$A$2:$A$1057,$A108,'Product Order Book'!$E$2:$E$1057,H$3)/INDEX('Clean Package Product Lists'!$C:$C,MATCH(H$3,'Clean Package Product Lists'!$A:$A,0))),"")</f>
        <v>0</v>
      </c>
      <c r="I108" s="155">
        <f>IFERROR(MIN(1,COUNTIFS('Product Order Book'!$A$2:$A$1057,$A108,'Product Order Book'!$E$2:$E$1057,I$3)/INDEX('Clean Package Product Lists'!$C:$C,MATCH(I$3,'Clean Package Product Lists'!$A:$A,0))),"")</f>
        <v>0</v>
      </c>
      <c r="J108" s="155">
        <f>IFERROR(MIN(1,COUNTIFS('Product Order Book'!$A$2:$A$1057,$A108,'Product Order Book'!$E$2:$E$1057,J$3)/INDEX('Clean Package Product Lists'!$C:$C,MATCH(J$3,'Clean Package Product Lists'!$A:$A,0))),"")</f>
        <v>1</v>
      </c>
      <c r="K108" s="155">
        <f>IFERROR(MIN(1,COUNTIFS('Product Order Book'!$A$2:$A$1057,$A108,'Product Order Book'!$E$2:$E$1057,K$3)/INDEX('Clean Package Product Lists'!$C:$C,MATCH(K$3,'Clean Package Product Lists'!$A:$A,0))),"")</f>
        <v>0</v>
      </c>
      <c r="L108" s="154"/>
      <c r="M108" s="156" t="str">
        <f>IF(COUNTIFS('Product Order Book'!$A:$A,$A108,'Product Order Book'!$E:$E,M$3)&gt;0,"✓ Takes",IF(IFERROR(VLOOKUP($A108,'Whitespace Analysis'!$A:$AH,12,0),0)=1,"◎ Should","– N/A"))</f>
        <v>◎ Should</v>
      </c>
      <c r="N108" s="156" t="str">
        <f>IF(COUNTIFS('Product Order Book'!$A:$A,$A108,'Product Order Book'!$E:$E,N$3)&gt;0,"✓ Takes",IF(IFERROR(VLOOKUP($A108,'Whitespace Analysis'!$A:$AH,20,0),0)=1,"◎ Should","– N/A"))</f>
        <v>✓ Takes</v>
      </c>
      <c r="O108" s="156" t="str">
        <f>IF(COUNTIFS('Product Order Book'!$A:$A,$A108,'Product Order Book'!$E:$E,O$3)&gt;0,"✓ Takes",IF(IFERROR(VLOOKUP($A108,'Whitespace Analysis'!$A:$AH,22,0),0)=1,"◎ Should","– N/A"))</f>
        <v>✓ Takes</v>
      </c>
      <c r="P108" s="156" t="str">
        <f>IF(COUNTIFS('Product Order Book'!$A:$A,$A108,'Product Order Book'!$E:$E,P$3)&gt;0,"✓ Takes",IF(IFERROR(VLOOKUP($A108,'Whitespace Analysis'!$A:$AH,24,0),0)=1,"◎ Should","– N/A"))</f>
        <v>– N/A</v>
      </c>
      <c r="Q108" s="156" t="str">
        <f>IF(COUNTIFS('Product Order Book'!$A:$A,$A108,'Product Order Book'!$E:$E,Q$3)&gt;0,"✓ Takes",IF(IFERROR(VLOOKUP($A108,'Whitespace Analysis'!$A:$AH,26,0),0)=1,"◎ Should","– N/A"))</f>
        <v>– N/A</v>
      </c>
      <c r="R108" s="156" t="str">
        <f>IF(COUNTIFS('Product Order Book'!$A:$A,$A108,'Product Order Book'!$E:$E,R$3)&gt;0,"✓ Takes",IF(IFERROR(VLOOKUP($A108,'Whitespace Analysis'!$A:$AH,16,0),0)=1,"◎ Should","– N/A"))</f>
        <v>– N/A</v>
      </c>
      <c r="S108" s="156" t="str">
        <f>IF(COUNTIFS('Product Order Book'!$A:$A,$A108,'Product Order Book'!$E:$E,S$3)&gt;0,"✓ Takes",IF(IFERROR(VLOOKUP($A108,'Whitespace Analysis'!$A:$AH,18,0),0)=1,"◎ Should","– N/A"))</f>
        <v>– N/A</v>
      </c>
      <c r="T108" s="156" t="str">
        <f>IF(COUNTIFS('Product Order Book'!$A:$A,$A108,'Product Order Book'!$E:$E,T$3)&gt;0,"✓ Takes",IF(IFERROR(VLOOKUP($A108,'Whitespace Analysis'!$A:$AH,28,0),0)=1,"◎ Should","– N/A"))</f>
        <v>◎ Should</v>
      </c>
      <c r="U108" s="156" t="str">
        <f>IF(COUNTIFS('Product Order Book'!$A:$A,$A108,'Product Order Book'!$E:$E,U$3)&gt;0,"✓ Takes",IF(IFERROR(VLOOKUP($A108,'Whitespace Analysis'!$A:$AH,30,0),0)=1,"◎ Should","– N/A"))</f>
        <v>✓ Takes</v>
      </c>
      <c r="V108" s="156" t="str">
        <f>IF(COUNTIFS('Product Order Book'!$A:$A,$A108,'Product Order Book'!$E:$E,V$3)&gt;0,"✓ Takes",IF(IFERROR(VLOOKUP($A108,'Whitespace Analysis'!$A:$AH,14,0),0)=1,"◎ Should","– N/A"))</f>
        <v>◎ Should</v>
      </c>
    </row>
    <row r="109" spans="1:22" ht="15" customHeight="1">
      <c r="A109" s="154" t="str">
        <v>Jones Lang LaSalle Ltd</v>
      </c>
      <c r="B109" s="155">
        <f>IFERROR(MIN(1,COUNTIFS('Product Order Book'!$A$2:$A$1057,$A109,'Product Order Book'!$E$2:$E$1057,B$3)/INDEX('Clean Package Product Lists'!$C:$C,MATCH(B$3,'Clean Package Product Lists'!$A:$A,0))),"")</f>
        <v>0</v>
      </c>
      <c r="C109" s="155">
        <f>IFERROR(MIN(1,COUNTIFS('Product Order Book'!$A$2:$A$1057,$A109,'Product Order Book'!$E$2:$E$1057,C$3)/INDEX('Clean Package Product Lists'!$C:$C,MATCH(C$3,'Clean Package Product Lists'!$A:$A,0))),"")</f>
        <v>0.5714285714285714</v>
      </c>
      <c r="D109" s="155">
        <f>IFERROR(MIN(1,COUNTIFS('Product Order Book'!$A$2:$A$1057,$A109,'Product Order Book'!$E$2:$E$1057,D$3)/INDEX('Clean Package Product Lists'!$C:$C,MATCH(D$3,'Clean Package Product Lists'!$A:$A,0))),"")</f>
        <v>0</v>
      </c>
      <c r="E109" s="155">
        <f>IFERROR(MIN(1,COUNTIFS('Product Order Book'!$A$2:$A$1057,$A109,'Product Order Book'!$E$2:$E$1057,E$3)/INDEX('Clean Package Product Lists'!$C:$C,MATCH(E$3,'Clean Package Product Lists'!$A:$A,0))),"")</f>
        <v>0</v>
      </c>
      <c r="F109" s="155">
        <f>IFERROR(MIN(1,COUNTIFS('Product Order Book'!$A$2:$A$1057,$A109,'Product Order Book'!$E$2:$E$1057,F$3)/INDEX('Clean Package Product Lists'!$C:$C,MATCH(F$3,'Clean Package Product Lists'!$A:$A,0))),"")</f>
        <v>0</v>
      </c>
      <c r="G109" s="155">
        <f>IFERROR(MIN(1,COUNTIFS('Product Order Book'!$A$2:$A$1057,$A109,'Product Order Book'!$E$2:$E$1057,G$3)/INDEX('Clean Package Product Lists'!$C:$C,MATCH(G$3,'Clean Package Product Lists'!$A:$A,0))),"")</f>
        <v>0</v>
      </c>
      <c r="H109" s="155">
        <f>IFERROR(MIN(1,COUNTIFS('Product Order Book'!$A$2:$A$1057,$A109,'Product Order Book'!$E$2:$E$1057,H$3)/INDEX('Clean Package Product Lists'!$C:$C,MATCH(H$3,'Clean Package Product Lists'!$A:$A,0))),"")</f>
        <v>0</v>
      </c>
      <c r="I109" s="155">
        <f>IFERROR(MIN(1,COUNTIFS('Product Order Book'!$A$2:$A$1057,$A109,'Product Order Book'!$E$2:$E$1057,I$3)/INDEX('Clean Package Product Lists'!$C:$C,MATCH(I$3,'Clean Package Product Lists'!$A:$A,0))),"")</f>
        <v>0</v>
      </c>
      <c r="J109" s="155">
        <f>IFERROR(MIN(1,COUNTIFS('Product Order Book'!$A$2:$A$1057,$A109,'Product Order Book'!$E$2:$E$1057,J$3)/INDEX('Clean Package Product Lists'!$C:$C,MATCH(J$3,'Clean Package Product Lists'!$A:$A,0))),"")</f>
        <v>0</v>
      </c>
      <c r="K109" s="155">
        <f>IFERROR(MIN(1,COUNTIFS('Product Order Book'!$A$2:$A$1057,$A109,'Product Order Book'!$E$2:$E$1057,K$3)/INDEX('Clean Package Product Lists'!$C:$C,MATCH(K$3,'Clean Package Product Lists'!$A:$A,0))),"")</f>
        <v>0</v>
      </c>
      <c r="L109" s="154"/>
      <c r="M109" s="156" t="str">
        <f>IF(COUNTIFS('Product Order Book'!$A:$A,$A109,'Product Order Book'!$E:$E,M$3)&gt;0,"✓ Takes",IF(IFERROR(VLOOKUP($A109,'Whitespace Analysis'!$A:$AH,12,0),0)=1,"◎ Should","– N/A"))</f>
        <v>◎ Should</v>
      </c>
      <c r="N109" s="156" t="str">
        <f>IF(COUNTIFS('Product Order Book'!$A:$A,$A109,'Product Order Book'!$E:$E,N$3)&gt;0,"✓ Takes",IF(IFERROR(VLOOKUP($A109,'Whitespace Analysis'!$A:$AH,20,0),0)=1,"◎ Should","– N/A"))</f>
        <v>✓ Takes</v>
      </c>
      <c r="O109" s="156" t="str">
        <f>IF(COUNTIFS('Product Order Book'!$A:$A,$A109,'Product Order Book'!$E:$E,O$3)&gt;0,"✓ Takes",IF(IFERROR(VLOOKUP($A109,'Whitespace Analysis'!$A:$AH,22,0),0)=1,"◎ Should","– N/A"))</f>
        <v>– N/A</v>
      </c>
      <c r="P109" s="156" t="str">
        <f>IF(COUNTIFS('Product Order Book'!$A:$A,$A109,'Product Order Book'!$E:$E,P$3)&gt;0,"✓ Takes",IF(IFERROR(VLOOKUP($A109,'Whitespace Analysis'!$A:$AH,24,0),0)=1,"◎ Should","– N/A"))</f>
        <v>– N/A</v>
      </c>
      <c r="Q109" s="156" t="str">
        <f>IF(COUNTIFS('Product Order Book'!$A:$A,$A109,'Product Order Book'!$E:$E,Q$3)&gt;0,"✓ Takes",IF(IFERROR(VLOOKUP($A109,'Whitespace Analysis'!$A:$AH,26,0),0)=1,"◎ Should","– N/A"))</f>
        <v>– N/A</v>
      </c>
      <c r="R109" s="156" t="str">
        <f>IF(COUNTIFS('Product Order Book'!$A:$A,$A109,'Product Order Book'!$E:$E,R$3)&gt;0,"✓ Takes",IF(IFERROR(VLOOKUP($A109,'Whitespace Analysis'!$A:$AH,16,0),0)=1,"◎ Should","– N/A"))</f>
        <v>– N/A</v>
      </c>
      <c r="S109" s="156" t="str">
        <f>IF(COUNTIFS('Product Order Book'!$A:$A,$A109,'Product Order Book'!$E:$E,S$3)&gt;0,"✓ Takes",IF(IFERROR(VLOOKUP($A109,'Whitespace Analysis'!$A:$AH,18,0),0)=1,"◎ Should","– N/A"))</f>
        <v>– N/A</v>
      </c>
      <c r="T109" s="156" t="str">
        <f>IF(COUNTIFS('Product Order Book'!$A:$A,$A109,'Product Order Book'!$E:$E,T$3)&gt;0,"✓ Takes",IF(IFERROR(VLOOKUP($A109,'Whitespace Analysis'!$A:$AH,28,0),0)=1,"◎ Should","– N/A"))</f>
        <v>– N/A</v>
      </c>
      <c r="U109" s="156" t="str">
        <f>IF(COUNTIFS('Product Order Book'!$A:$A,$A109,'Product Order Book'!$E:$E,U$3)&gt;0,"✓ Takes",IF(IFERROR(VLOOKUP($A109,'Whitespace Analysis'!$A:$AH,30,0),0)=1,"◎ Should","– N/A"))</f>
        <v>– N/A</v>
      </c>
      <c r="V109" s="156" t="str">
        <f>IF(COUNTIFS('Product Order Book'!$A:$A,$A109,'Product Order Book'!$E:$E,V$3)&gt;0,"✓ Takes",IF(IFERROR(VLOOKUP($A109,'Whitespace Analysis'!$A:$AH,14,0),0)=1,"◎ Should","– N/A"))</f>
        <v>– N/A</v>
      </c>
    </row>
    <row r="110" spans="1:22" ht="15" customHeight="1">
      <c r="A110" s="154" t="str">
        <v>Landmark Power Holdings Limited</v>
      </c>
      <c r="B110" s="155">
        <f>IFERROR(MIN(1,COUNTIFS('Product Order Book'!$A$2:$A$1057,$A110,'Product Order Book'!$E$2:$E$1057,B$3)/INDEX('Clean Package Product Lists'!$C:$C,MATCH(B$3,'Clean Package Product Lists'!$A:$A,0))),"")</f>
        <v>0</v>
      </c>
      <c r="C110" s="155">
        <f>IFERROR(MIN(1,COUNTIFS('Product Order Book'!$A$2:$A$1057,$A110,'Product Order Book'!$E$2:$E$1057,C$3)/INDEX('Clean Package Product Lists'!$C:$C,MATCH(C$3,'Clean Package Product Lists'!$A:$A,0))),"")</f>
        <v>0</v>
      </c>
      <c r="D110" s="155">
        <f>IFERROR(MIN(1,COUNTIFS('Product Order Book'!$A$2:$A$1057,$A110,'Product Order Book'!$E$2:$E$1057,D$3)/INDEX('Clean Package Product Lists'!$C:$C,MATCH(D$3,'Clean Package Product Lists'!$A:$A,0))),"")</f>
        <v>0</v>
      </c>
      <c r="E110" s="155">
        <f>IFERROR(MIN(1,COUNTIFS('Product Order Book'!$A$2:$A$1057,$A110,'Product Order Book'!$E$2:$E$1057,E$3)/INDEX('Clean Package Product Lists'!$C:$C,MATCH(E$3,'Clean Package Product Lists'!$A:$A,0))),"")</f>
        <v>0</v>
      </c>
      <c r="F110" s="155">
        <f>IFERROR(MIN(1,COUNTIFS('Product Order Book'!$A$2:$A$1057,$A110,'Product Order Book'!$E$2:$E$1057,F$3)/INDEX('Clean Package Product Lists'!$C:$C,MATCH(F$3,'Clean Package Product Lists'!$A:$A,0))),"")</f>
        <v>0</v>
      </c>
      <c r="G110" s="155">
        <f>IFERROR(MIN(1,COUNTIFS('Product Order Book'!$A$2:$A$1057,$A110,'Product Order Book'!$E$2:$E$1057,G$3)/INDEX('Clean Package Product Lists'!$C:$C,MATCH(G$3,'Clean Package Product Lists'!$A:$A,0))),"")</f>
        <v>0</v>
      </c>
      <c r="H110" s="155">
        <f>IFERROR(MIN(1,COUNTIFS('Product Order Book'!$A$2:$A$1057,$A110,'Product Order Book'!$E$2:$E$1057,H$3)/INDEX('Clean Package Product Lists'!$C:$C,MATCH(H$3,'Clean Package Product Lists'!$A:$A,0))),"")</f>
        <v>0</v>
      </c>
      <c r="I110" s="155">
        <f>IFERROR(MIN(1,COUNTIFS('Product Order Book'!$A$2:$A$1057,$A110,'Product Order Book'!$E$2:$E$1057,I$3)/INDEX('Clean Package Product Lists'!$C:$C,MATCH(I$3,'Clean Package Product Lists'!$A:$A,0))),"")</f>
        <v>0</v>
      </c>
      <c r="J110" s="155">
        <f>IFERROR(MIN(1,COUNTIFS('Product Order Book'!$A$2:$A$1057,$A110,'Product Order Book'!$E$2:$E$1057,J$3)/INDEX('Clean Package Product Lists'!$C:$C,MATCH(J$3,'Clean Package Product Lists'!$A:$A,0))),"")</f>
        <v>1</v>
      </c>
      <c r="K110" s="155">
        <f>IFERROR(MIN(1,COUNTIFS('Product Order Book'!$A$2:$A$1057,$A110,'Product Order Book'!$E$2:$E$1057,K$3)/INDEX('Clean Package Product Lists'!$C:$C,MATCH(K$3,'Clean Package Product Lists'!$A:$A,0))),"")</f>
        <v>0</v>
      </c>
      <c r="L110" s="154"/>
      <c r="M110" s="156" t="str">
        <f>IF(COUNTIFS('Product Order Book'!$A:$A,$A110,'Product Order Book'!$E:$E,M$3)&gt;0,"✓ Takes",IF(IFERROR(VLOOKUP($A110,'Whitespace Analysis'!$A:$AH,12,0),0)=1,"◎ Should","– N/A"))</f>
        <v>◎ Should</v>
      </c>
      <c r="N110" s="156" t="str">
        <f>IF(COUNTIFS('Product Order Book'!$A:$A,$A110,'Product Order Book'!$E:$E,N$3)&gt;0,"✓ Takes",IF(IFERROR(VLOOKUP($A110,'Whitespace Analysis'!$A:$AH,20,0),0)=1,"◎ Should","– N/A"))</f>
        <v>– N/A</v>
      </c>
      <c r="O110" s="156" t="str">
        <f>IF(COUNTIFS('Product Order Book'!$A:$A,$A110,'Product Order Book'!$E:$E,O$3)&gt;0,"✓ Takes",IF(IFERROR(VLOOKUP($A110,'Whitespace Analysis'!$A:$AH,22,0),0)=1,"◎ Should","– N/A"))</f>
        <v>– N/A</v>
      </c>
      <c r="P110" s="156" t="str">
        <f>IF(COUNTIFS('Product Order Book'!$A:$A,$A110,'Product Order Book'!$E:$E,P$3)&gt;0,"✓ Takes",IF(IFERROR(VLOOKUP($A110,'Whitespace Analysis'!$A:$AH,24,0),0)=1,"◎ Should","– N/A"))</f>
        <v>◎ Should</v>
      </c>
      <c r="Q110" s="156" t="str">
        <f>IF(COUNTIFS('Product Order Book'!$A:$A,$A110,'Product Order Book'!$E:$E,Q$3)&gt;0,"✓ Takes",IF(IFERROR(VLOOKUP($A110,'Whitespace Analysis'!$A:$AH,26,0),0)=1,"◎ Should","– N/A"))</f>
        <v>◎ Should</v>
      </c>
      <c r="R110" s="156" t="str">
        <f>IF(COUNTIFS('Product Order Book'!$A:$A,$A110,'Product Order Book'!$E:$E,R$3)&gt;0,"✓ Takes",IF(IFERROR(VLOOKUP($A110,'Whitespace Analysis'!$A:$AH,16,0),0)=1,"◎ Should","– N/A"))</f>
        <v>– N/A</v>
      </c>
      <c r="S110" s="156" t="str">
        <f>IF(COUNTIFS('Product Order Book'!$A:$A,$A110,'Product Order Book'!$E:$E,S$3)&gt;0,"✓ Takes",IF(IFERROR(VLOOKUP($A110,'Whitespace Analysis'!$A:$AH,18,0),0)=1,"◎ Should","– N/A"))</f>
        <v>– N/A</v>
      </c>
      <c r="T110" s="156" t="str">
        <f>IF(COUNTIFS('Product Order Book'!$A:$A,$A110,'Product Order Book'!$E:$E,T$3)&gt;0,"✓ Takes",IF(IFERROR(VLOOKUP($A110,'Whitespace Analysis'!$A:$AH,28,0),0)=1,"◎ Should","– N/A"))</f>
        <v>– N/A</v>
      </c>
      <c r="U110" s="156" t="str">
        <f>IF(COUNTIFS('Product Order Book'!$A:$A,$A110,'Product Order Book'!$E:$E,U$3)&gt;0,"✓ Takes",IF(IFERROR(VLOOKUP($A110,'Whitespace Analysis'!$A:$AH,30,0),0)=1,"◎ Should","– N/A"))</f>
        <v>✓ Takes</v>
      </c>
      <c r="V110" s="156" t="str">
        <f>IF(COUNTIFS('Product Order Book'!$A:$A,$A110,'Product Order Book'!$E:$E,V$3)&gt;0,"✓ Takes",IF(IFERROR(VLOOKUP($A110,'Whitespace Analysis'!$A:$AH,14,0),0)=1,"◎ Should","– N/A"))</f>
        <v>◎ Should</v>
      </c>
    </row>
    <row r="111" spans="1:22" ht="15" customHeight="1">
      <c r="A111" s="154" t="str">
        <v>Laser Energy</v>
      </c>
      <c r="B111" s="155">
        <f>IFERROR(MIN(1,COUNTIFS('Product Order Book'!$A$2:$A$1057,$A111,'Product Order Book'!$E$2:$E$1057,B$3)/INDEX('Clean Package Product Lists'!$C:$C,MATCH(B$3,'Clean Package Product Lists'!$A:$A,0))),"")</f>
        <v>1</v>
      </c>
      <c r="C111" s="155">
        <f>IFERROR(MIN(1,COUNTIFS('Product Order Book'!$A$2:$A$1057,$A111,'Product Order Book'!$E$2:$E$1057,C$3)/INDEX('Clean Package Product Lists'!$C:$C,MATCH(C$3,'Clean Package Product Lists'!$A:$A,0))),"")</f>
        <v>0</v>
      </c>
      <c r="D111" s="155">
        <f>IFERROR(MIN(1,COUNTIFS('Product Order Book'!$A$2:$A$1057,$A111,'Product Order Book'!$E$2:$E$1057,D$3)/INDEX('Clean Package Product Lists'!$C:$C,MATCH(D$3,'Clean Package Product Lists'!$A:$A,0))),"")</f>
        <v>0</v>
      </c>
      <c r="E111" s="155">
        <f>IFERROR(MIN(1,COUNTIFS('Product Order Book'!$A$2:$A$1057,$A111,'Product Order Book'!$E$2:$E$1057,E$3)/INDEX('Clean Package Product Lists'!$C:$C,MATCH(E$3,'Clean Package Product Lists'!$A:$A,0))),"")</f>
        <v>0</v>
      </c>
      <c r="F111" s="155">
        <f>IFERROR(MIN(1,COUNTIFS('Product Order Book'!$A$2:$A$1057,$A111,'Product Order Book'!$E$2:$E$1057,F$3)/INDEX('Clean Package Product Lists'!$C:$C,MATCH(F$3,'Clean Package Product Lists'!$A:$A,0))),"")</f>
        <v>0</v>
      </c>
      <c r="G111" s="155">
        <f>IFERROR(MIN(1,COUNTIFS('Product Order Book'!$A$2:$A$1057,$A111,'Product Order Book'!$E$2:$E$1057,G$3)/INDEX('Clean Package Product Lists'!$C:$C,MATCH(G$3,'Clean Package Product Lists'!$A:$A,0))),"")</f>
        <v>0</v>
      </c>
      <c r="H111" s="155">
        <f>IFERROR(MIN(1,COUNTIFS('Product Order Book'!$A$2:$A$1057,$A111,'Product Order Book'!$E$2:$E$1057,H$3)/INDEX('Clean Package Product Lists'!$C:$C,MATCH(H$3,'Clean Package Product Lists'!$A:$A,0))),"")</f>
        <v>0.25</v>
      </c>
      <c r="I111" s="155">
        <f>IFERROR(MIN(1,COUNTIFS('Product Order Book'!$A$2:$A$1057,$A111,'Product Order Book'!$E$2:$E$1057,I$3)/INDEX('Clean Package Product Lists'!$C:$C,MATCH(I$3,'Clean Package Product Lists'!$A:$A,0))),"")</f>
        <v>0</v>
      </c>
      <c r="J111" s="155">
        <f>IFERROR(MIN(1,COUNTIFS('Product Order Book'!$A$2:$A$1057,$A111,'Product Order Book'!$E$2:$E$1057,J$3)/INDEX('Clean Package Product Lists'!$C:$C,MATCH(J$3,'Clean Package Product Lists'!$A:$A,0))),"")</f>
        <v>0</v>
      </c>
      <c r="K111" s="155">
        <f>IFERROR(MIN(1,COUNTIFS('Product Order Book'!$A$2:$A$1057,$A111,'Product Order Book'!$E$2:$E$1057,K$3)/INDEX('Clean Package Product Lists'!$C:$C,MATCH(K$3,'Clean Package Product Lists'!$A:$A,0))),"")</f>
        <v>0</v>
      </c>
      <c r="L111" s="154"/>
      <c r="M111" s="156" t="str">
        <f>IF(COUNTIFS('Product Order Book'!$A:$A,$A111,'Product Order Book'!$E:$E,M$3)&gt;0,"✓ Takes",IF(IFERROR(VLOOKUP($A111,'Whitespace Analysis'!$A:$AH,12,0),0)=1,"◎ Should","– N/A"))</f>
        <v>✓ Takes</v>
      </c>
      <c r="N111" s="156" t="str">
        <f>IF(COUNTIFS('Product Order Book'!$A:$A,$A111,'Product Order Book'!$E:$E,N$3)&gt;0,"✓ Takes",IF(IFERROR(VLOOKUP($A111,'Whitespace Analysis'!$A:$AH,20,0),0)=1,"◎ Should","– N/A"))</f>
        <v>– N/A</v>
      </c>
      <c r="O111" s="156" t="str">
        <f>IF(COUNTIFS('Product Order Book'!$A:$A,$A111,'Product Order Book'!$E:$E,O$3)&gt;0,"✓ Takes",IF(IFERROR(VLOOKUP($A111,'Whitespace Analysis'!$A:$AH,22,0),0)=1,"◎ Should","– N/A"))</f>
        <v>– N/A</v>
      </c>
      <c r="P111" s="156" t="str">
        <f>IF(COUNTIFS('Product Order Book'!$A:$A,$A111,'Product Order Book'!$E:$E,P$3)&gt;0,"✓ Takes",IF(IFERROR(VLOOKUP($A111,'Whitespace Analysis'!$A:$AH,24,0),0)=1,"◎ Should","– N/A"))</f>
        <v>– N/A</v>
      </c>
      <c r="Q111" s="156" t="str">
        <f>IF(COUNTIFS('Product Order Book'!$A:$A,$A111,'Product Order Book'!$E:$E,Q$3)&gt;0,"✓ Takes",IF(IFERROR(VLOOKUP($A111,'Whitespace Analysis'!$A:$AH,26,0),0)=1,"◎ Should","– N/A"))</f>
        <v>– N/A</v>
      </c>
      <c r="R111" s="156" t="str">
        <f>IF(COUNTIFS('Product Order Book'!$A:$A,$A111,'Product Order Book'!$E:$E,R$3)&gt;0,"✓ Takes",IF(IFERROR(VLOOKUP($A111,'Whitespace Analysis'!$A:$AH,16,0),0)=1,"◎ Should","– N/A"))</f>
        <v>◎ Should</v>
      </c>
      <c r="S111" s="156" t="str">
        <f>IF(COUNTIFS('Product Order Book'!$A:$A,$A111,'Product Order Book'!$E:$E,S$3)&gt;0,"✓ Takes",IF(IFERROR(VLOOKUP($A111,'Whitespace Analysis'!$A:$AH,18,0),0)=1,"◎ Should","– N/A"))</f>
        <v>✓ Takes</v>
      </c>
      <c r="T111" s="156" t="str">
        <f>IF(COUNTIFS('Product Order Book'!$A:$A,$A111,'Product Order Book'!$E:$E,T$3)&gt;0,"✓ Takes",IF(IFERROR(VLOOKUP($A111,'Whitespace Analysis'!$A:$AH,28,0),0)=1,"◎ Should","– N/A"))</f>
        <v>◎ Should</v>
      </c>
      <c r="U111" s="156" t="str">
        <f>IF(COUNTIFS('Product Order Book'!$A:$A,$A111,'Product Order Book'!$E:$E,U$3)&gt;0,"✓ Takes",IF(IFERROR(VLOOKUP($A111,'Whitespace Analysis'!$A:$AH,30,0),0)=1,"◎ Should","– N/A"))</f>
        <v>– N/A</v>
      </c>
      <c r="V111" s="156" t="str">
        <f>IF(COUNTIFS('Product Order Book'!$A:$A,$A111,'Product Order Book'!$E:$E,V$3)&gt;0,"✓ Takes",IF(IFERROR(VLOOKUP($A111,'Whitespace Analysis'!$A:$AH,14,0),0)=1,"◎ Should","– N/A"))</f>
        <v>– N/A</v>
      </c>
    </row>
    <row r="112" spans="1:22" ht="15" customHeight="1">
      <c r="A112" s="154" t="str">
        <v>Last Mile Infrastructure Ltd</v>
      </c>
      <c r="B112" s="155">
        <f>IFERROR(MIN(1,COUNTIFS('Product Order Book'!$A$2:$A$1057,$A112,'Product Order Book'!$E$2:$E$1057,B$3)/INDEX('Clean Package Product Lists'!$C:$C,MATCH(B$3,'Clean Package Product Lists'!$A:$A,0))),"")</f>
        <v>1</v>
      </c>
      <c r="C112" s="155">
        <f>IFERROR(MIN(1,COUNTIFS('Product Order Book'!$A$2:$A$1057,$A112,'Product Order Book'!$E$2:$E$1057,C$3)/INDEX('Clean Package Product Lists'!$C:$C,MATCH(C$3,'Clean Package Product Lists'!$A:$A,0))),"")</f>
        <v>0</v>
      </c>
      <c r="D112" s="155">
        <f>IFERROR(MIN(1,COUNTIFS('Product Order Book'!$A$2:$A$1057,$A112,'Product Order Book'!$E$2:$E$1057,D$3)/INDEX('Clean Package Product Lists'!$C:$C,MATCH(D$3,'Clean Package Product Lists'!$A:$A,0))),"")</f>
        <v>0</v>
      </c>
      <c r="E112" s="155">
        <f>IFERROR(MIN(1,COUNTIFS('Product Order Book'!$A$2:$A$1057,$A112,'Product Order Book'!$E$2:$E$1057,E$3)/INDEX('Clean Package Product Lists'!$C:$C,MATCH(E$3,'Clean Package Product Lists'!$A:$A,0))),"")</f>
        <v>0</v>
      </c>
      <c r="F112" s="155">
        <f>IFERROR(MIN(1,COUNTIFS('Product Order Book'!$A$2:$A$1057,$A112,'Product Order Book'!$E$2:$E$1057,F$3)/INDEX('Clean Package Product Lists'!$C:$C,MATCH(F$3,'Clean Package Product Lists'!$A:$A,0))),"")</f>
        <v>0</v>
      </c>
      <c r="G112" s="155">
        <f>IFERROR(MIN(1,COUNTIFS('Product Order Book'!$A$2:$A$1057,$A112,'Product Order Book'!$E$2:$E$1057,G$3)/INDEX('Clean Package Product Lists'!$C:$C,MATCH(G$3,'Clean Package Product Lists'!$A:$A,0))),"")</f>
        <v>0</v>
      </c>
      <c r="H112" s="155">
        <f>IFERROR(MIN(1,COUNTIFS('Product Order Book'!$A$2:$A$1057,$A112,'Product Order Book'!$E$2:$E$1057,H$3)/INDEX('Clean Package Product Lists'!$C:$C,MATCH(H$3,'Clean Package Product Lists'!$A:$A,0))),"")</f>
        <v>0</v>
      </c>
      <c r="I112" s="155">
        <f>IFERROR(MIN(1,COUNTIFS('Product Order Book'!$A$2:$A$1057,$A112,'Product Order Book'!$E$2:$E$1057,I$3)/INDEX('Clean Package Product Lists'!$C:$C,MATCH(I$3,'Clean Package Product Lists'!$A:$A,0))),"")</f>
        <v>1</v>
      </c>
      <c r="J112" s="155">
        <f>IFERROR(MIN(1,COUNTIFS('Product Order Book'!$A$2:$A$1057,$A112,'Product Order Book'!$E$2:$E$1057,J$3)/INDEX('Clean Package Product Lists'!$C:$C,MATCH(J$3,'Clean Package Product Lists'!$A:$A,0))),"")</f>
        <v>0</v>
      </c>
      <c r="K112" s="155">
        <f>IFERROR(MIN(1,COUNTIFS('Product Order Book'!$A$2:$A$1057,$A112,'Product Order Book'!$E$2:$E$1057,K$3)/INDEX('Clean Package Product Lists'!$C:$C,MATCH(K$3,'Clean Package Product Lists'!$A:$A,0))),"")</f>
        <v>1</v>
      </c>
      <c r="L112" s="154"/>
      <c r="M112" s="156" t="str">
        <f>IF(COUNTIFS('Product Order Book'!$A:$A,$A112,'Product Order Book'!$E:$E,M$3)&gt;0,"✓ Takes",IF(IFERROR(VLOOKUP($A112,'Whitespace Analysis'!$A:$AH,12,0),0)=1,"◎ Should","– N/A"))</f>
        <v>✓ Takes</v>
      </c>
      <c r="N112" s="156" t="str">
        <f>IF(COUNTIFS('Product Order Book'!$A:$A,$A112,'Product Order Book'!$E:$E,N$3)&gt;0,"✓ Takes",IF(IFERROR(VLOOKUP($A112,'Whitespace Analysis'!$A:$AH,20,0),0)=1,"◎ Should","– N/A"))</f>
        <v>– N/A</v>
      </c>
      <c r="O112" s="156" t="str">
        <f>IF(COUNTIFS('Product Order Book'!$A:$A,$A112,'Product Order Book'!$E:$E,O$3)&gt;0,"✓ Takes",IF(IFERROR(VLOOKUP($A112,'Whitespace Analysis'!$A:$AH,22,0),0)=1,"◎ Should","– N/A"))</f>
        <v>– N/A</v>
      </c>
      <c r="P112" s="156" t="str">
        <f>IF(COUNTIFS('Product Order Book'!$A:$A,$A112,'Product Order Book'!$E:$E,P$3)&gt;0,"✓ Takes",IF(IFERROR(VLOOKUP($A112,'Whitespace Analysis'!$A:$AH,24,0),0)=1,"◎ Should","– N/A"))</f>
        <v>– N/A</v>
      </c>
      <c r="Q112" s="156" t="str">
        <f>IF(COUNTIFS('Product Order Book'!$A:$A,$A112,'Product Order Book'!$E:$E,Q$3)&gt;0,"✓ Takes",IF(IFERROR(VLOOKUP($A112,'Whitespace Analysis'!$A:$AH,26,0),0)=1,"◎ Should","– N/A"))</f>
        <v>– N/A</v>
      </c>
      <c r="R112" s="156" t="str">
        <f>IF(COUNTIFS('Product Order Book'!$A:$A,$A112,'Product Order Book'!$E:$E,R$3)&gt;0,"✓ Takes",IF(IFERROR(VLOOKUP($A112,'Whitespace Analysis'!$A:$AH,16,0),0)=1,"◎ Should","– N/A"))</f>
        <v>– N/A</v>
      </c>
      <c r="S112" s="156" t="str">
        <f>IF(COUNTIFS('Product Order Book'!$A:$A,$A112,'Product Order Book'!$E:$E,S$3)&gt;0,"✓ Takes",IF(IFERROR(VLOOKUP($A112,'Whitespace Analysis'!$A:$AH,18,0),0)=1,"◎ Should","– N/A"))</f>
        <v>– N/A</v>
      </c>
      <c r="T112" s="156" t="str">
        <f>IF(COUNTIFS('Product Order Book'!$A:$A,$A112,'Product Order Book'!$E:$E,T$3)&gt;0,"✓ Takes",IF(IFERROR(VLOOKUP($A112,'Whitespace Analysis'!$A:$AH,28,0),0)=1,"◎ Should","– N/A"))</f>
        <v>✓ Takes</v>
      </c>
      <c r="U112" s="156" t="str">
        <f>IF(COUNTIFS('Product Order Book'!$A:$A,$A112,'Product Order Book'!$E:$E,U$3)&gt;0,"✓ Takes",IF(IFERROR(VLOOKUP($A112,'Whitespace Analysis'!$A:$AH,30,0),0)=1,"◎ Should","– N/A"))</f>
        <v>– N/A</v>
      </c>
      <c r="V112" s="156" t="str">
        <f>IF(COUNTIFS('Product Order Book'!$A:$A,$A112,'Product Order Book'!$E:$E,V$3)&gt;0,"✓ Takes",IF(IFERROR(VLOOKUP($A112,'Whitespace Analysis'!$A:$AH,14,0),0)=1,"◎ Should","– N/A"))</f>
        <v>✓ Takes</v>
      </c>
    </row>
    <row r="113" spans="1:22" ht="15" customHeight="1">
      <c r="A113" s="154" t="str">
        <v>Legal &amp; General Capital Investments Limited</v>
      </c>
      <c r="B113" s="155">
        <f>IFERROR(MIN(1,COUNTIFS('Product Order Book'!$A$2:$A$1057,$A113,'Product Order Book'!$E$2:$E$1057,B$3)/INDEX('Clean Package Product Lists'!$C:$C,MATCH(B$3,'Clean Package Product Lists'!$A:$A,0))),"")</f>
        <v>1</v>
      </c>
      <c r="C113" s="155">
        <f>IFERROR(MIN(1,COUNTIFS('Product Order Book'!$A$2:$A$1057,$A113,'Product Order Book'!$E$2:$E$1057,C$3)/INDEX('Clean Package Product Lists'!$C:$C,MATCH(C$3,'Clean Package Product Lists'!$A:$A,0))),"")</f>
        <v>0</v>
      </c>
      <c r="D113" s="155">
        <f>IFERROR(MIN(1,COUNTIFS('Product Order Book'!$A$2:$A$1057,$A113,'Product Order Book'!$E$2:$E$1057,D$3)/INDEX('Clean Package Product Lists'!$C:$C,MATCH(D$3,'Clean Package Product Lists'!$A:$A,0))),"")</f>
        <v>0</v>
      </c>
      <c r="E113" s="155">
        <f>IFERROR(MIN(1,COUNTIFS('Product Order Book'!$A$2:$A$1057,$A113,'Product Order Book'!$E$2:$E$1057,E$3)/INDEX('Clean Package Product Lists'!$C:$C,MATCH(E$3,'Clean Package Product Lists'!$A:$A,0))),"")</f>
        <v>0</v>
      </c>
      <c r="F113" s="155">
        <f>IFERROR(MIN(1,COUNTIFS('Product Order Book'!$A$2:$A$1057,$A113,'Product Order Book'!$E$2:$E$1057,F$3)/INDEX('Clean Package Product Lists'!$C:$C,MATCH(F$3,'Clean Package Product Lists'!$A:$A,0))),"")</f>
        <v>0</v>
      </c>
      <c r="G113" s="155">
        <f>IFERROR(MIN(1,COUNTIFS('Product Order Book'!$A$2:$A$1057,$A113,'Product Order Book'!$E$2:$E$1057,G$3)/INDEX('Clean Package Product Lists'!$C:$C,MATCH(G$3,'Clean Package Product Lists'!$A:$A,0))),"")</f>
        <v>0</v>
      </c>
      <c r="H113" s="155">
        <f>IFERROR(MIN(1,COUNTIFS('Product Order Book'!$A$2:$A$1057,$A113,'Product Order Book'!$E$2:$E$1057,H$3)/INDEX('Clean Package Product Lists'!$C:$C,MATCH(H$3,'Clean Package Product Lists'!$A:$A,0))),"")</f>
        <v>0</v>
      </c>
      <c r="I113" s="155">
        <f>IFERROR(MIN(1,COUNTIFS('Product Order Book'!$A$2:$A$1057,$A113,'Product Order Book'!$E$2:$E$1057,I$3)/INDEX('Clean Package Product Lists'!$C:$C,MATCH(I$3,'Clean Package Product Lists'!$A:$A,0))),"")</f>
        <v>0</v>
      </c>
      <c r="J113" s="155">
        <f>IFERROR(MIN(1,COUNTIFS('Product Order Book'!$A$2:$A$1057,$A113,'Product Order Book'!$E$2:$E$1057,J$3)/INDEX('Clean Package Product Lists'!$C:$C,MATCH(J$3,'Clean Package Product Lists'!$A:$A,0))),"")</f>
        <v>0</v>
      </c>
      <c r="K113" s="155">
        <f>IFERROR(MIN(1,COUNTIFS('Product Order Book'!$A$2:$A$1057,$A113,'Product Order Book'!$E$2:$E$1057,K$3)/INDEX('Clean Package Product Lists'!$C:$C,MATCH(K$3,'Clean Package Product Lists'!$A:$A,0))),"")</f>
        <v>0</v>
      </c>
      <c r="L113" s="154"/>
      <c r="M113" s="156" t="str">
        <f>IF(COUNTIFS('Product Order Book'!$A:$A,$A113,'Product Order Book'!$E:$E,M$3)&gt;0,"✓ Takes",IF(IFERROR(VLOOKUP($A113,'Whitespace Analysis'!$A:$AH,12,0),0)=1,"◎ Should","– N/A"))</f>
        <v>✓ Takes</v>
      </c>
      <c r="N113" s="156" t="str">
        <f>IF(COUNTIFS('Product Order Book'!$A:$A,$A113,'Product Order Book'!$E:$E,N$3)&gt;0,"✓ Takes",IF(IFERROR(VLOOKUP($A113,'Whitespace Analysis'!$A:$AH,20,0),0)=1,"◎ Should","– N/A"))</f>
        <v>◎ Should</v>
      </c>
      <c r="O113" s="156" t="str">
        <f>IF(COUNTIFS('Product Order Book'!$A:$A,$A113,'Product Order Book'!$E:$E,O$3)&gt;0,"✓ Takes",IF(IFERROR(VLOOKUP($A113,'Whitespace Analysis'!$A:$AH,22,0),0)=1,"◎ Should","– N/A"))</f>
        <v>◎ Should</v>
      </c>
      <c r="P113" s="156" t="str">
        <f>IF(COUNTIFS('Product Order Book'!$A:$A,$A113,'Product Order Book'!$E:$E,P$3)&gt;0,"✓ Takes",IF(IFERROR(VLOOKUP($A113,'Whitespace Analysis'!$A:$AH,24,0),0)=1,"◎ Should","– N/A"))</f>
        <v>◎ Should</v>
      </c>
      <c r="Q113" s="156" t="str">
        <f>IF(COUNTIFS('Product Order Book'!$A:$A,$A113,'Product Order Book'!$E:$E,Q$3)&gt;0,"✓ Takes",IF(IFERROR(VLOOKUP($A113,'Whitespace Analysis'!$A:$AH,26,0),0)=1,"◎ Should","– N/A"))</f>
        <v>◎ Should</v>
      </c>
      <c r="R113" s="156" t="str">
        <f>IF(COUNTIFS('Product Order Book'!$A:$A,$A113,'Product Order Book'!$E:$E,R$3)&gt;0,"✓ Takes",IF(IFERROR(VLOOKUP($A113,'Whitespace Analysis'!$A:$AH,16,0),0)=1,"◎ Should","– N/A"))</f>
        <v>– N/A</v>
      </c>
      <c r="S113" s="156" t="str">
        <f>IF(COUNTIFS('Product Order Book'!$A:$A,$A113,'Product Order Book'!$E:$E,S$3)&gt;0,"✓ Takes",IF(IFERROR(VLOOKUP($A113,'Whitespace Analysis'!$A:$AH,18,0),0)=1,"◎ Should","– N/A"))</f>
        <v>– N/A</v>
      </c>
      <c r="T113" s="156" t="str">
        <f>IF(COUNTIFS('Product Order Book'!$A:$A,$A113,'Product Order Book'!$E:$E,T$3)&gt;0,"✓ Takes",IF(IFERROR(VLOOKUP($A113,'Whitespace Analysis'!$A:$AH,28,0),0)=1,"◎ Should","– N/A"))</f>
        <v>– N/A</v>
      </c>
      <c r="U113" s="156" t="str">
        <f>IF(COUNTIFS('Product Order Book'!$A:$A,$A113,'Product Order Book'!$E:$E,U$3)&gt;0,"✓ Takes",IF(IFERROR(VLOOKUP($A113,'Whitespace Analysis'!$A:$AH,30,0),0)=1,"◎ Should","– N/A"))</f>
        <v>– N/A</v>
      </c>
      <c r="V113" s="156" t="str">
        <f>IF(COUNTIFS('Product Order Book'!$A:$A,$A113,'Product Order Book'!$E:$E,V$3)&gt;0,"✓ Takes",IF(IFERROR(VLOOKUP($A113,'Whitespace Analysis'!$A:$AH,14,0),0)=1,"◎ Should","– N/A"))</f>
        <v>– N/A</v>
      </c>
    </row>
    <row r="114" spans="1:22" ht="15" customHeight="1">
      <c r="A114" s="154" t="str">
        <v>LG Energy Group Limited</v>
      </c>
      <c r="B114" s="155">
        <f>IFERROR(MIN(1,COUNTIFS('Product Order Book'!$A$2:$A$1057,$A114,'Product Order Book'!$E$2:$E$1057,B$3)/INDEX('Clean Package Product Lists'!$C:$C,MATCH(B$3,'Clean Package Product Lists'!$A:$A,0))),"")</f>
        <v>1</v>
      </c>
      <c r="C114" s="155">
        <f>IFERROR(MIN(1,COUNTIFS('Product Order Book'!$A$2:$A$1057,$A114,'Product Order Book'!$E$2:$E$1057,C$3)/INDEX('Clean Package Product Lists'!$C:$C,MATCH(C$3,'Clean Package Product Lists'!$A:$A,0))),"")</f>
        <v>0</v>
      </c>
      <c r="D114" s="155">
        <f>IFERROR(MIN(1,COUNTIFS('Product Order Book'!$A$2:$A$1057,$A114,'Product Order Book'!$E$2:$E$1057,D$3)/INDEX('Clean Package Product Lists'!$C:$C,MATCH(D$3,'Clean Package Product Lists'!$A:$A,0))),"")</f>
        <v>0</v>
      </c>
      <c r="E114" s="155">
        <f>IFERROR(MIN(1,COUNTIFS('Product Order Book'!$A$2:$A$1057,$A114,'Product Order Book'!$E$2:$E$1057,E$3)/INDEX('Clean Package Product Lists'!$C:$C,MATCH(E$3,'Clean Package Product Lists'!$A:$A,0))),"")</f>
        <v>0</v>
      </c>
      <c r="F114" s="155">
        <f>IFERROR(MIN(1,COUNTIFS('Product Order Book'!$A$2:$A$1057,$A114,'Product Order Book'!$E$2:$E$1057,F$3)/INDEX('Clean Package Product Lists'!$C:$C,MATCH(F$3,'Clean Package Product Lists'!$A:$A,0))),"")</f>
        <v>0</v>
      </c>
      <c r="G114" s="155">
        <f>IFERROR(MIN(1,COUNTIFS('Product Order Book'!$A$2:$A$1057,$A114,'Product Order Book'!$E$2:$E$1057,G$3)/INDEX('Clean Package Product Lists'!$C:$C,MATCH(G$3,'Clean Package Product Lists'!$A:$A,0))),"")</f>
        <v>0</v>
      </c>
      <c r="H114" s="155">
        <f>IFERROR(MIN(1,COUNTIFS('Product Order Book'!$A$2:$A$1057,$A114,'Product Order Book'!$E$2:$E$1057,H$3)/INDEX('Clean Package Product Lists'!$C:$C,MATCH(H$3,'Clean Package Product Lists'!$A:$A,0))),"")</f>
        <v>0</v>
      </c>
      <c r="I114" s="155">
        <f>IFERROR(MIN(1,COUNTIFS('Product Order Book'!$A$2:$A$1057,$A114,'Product Order Book'!$E$2:$E$1057,I$3)/INDEX('Clean Package Product Lists'!$C:$C,MATCH(I$3,'Clean Package Product Lists'!$A:$A,0))),"")</f>
        <v>0</v>
      </c>
      <c r="J114" s="155">
        <f>IFERROR(MIN(1,COUNTIFS('Product Order Book'!$A$2:$A$1057,$A114,'Product Order Book'!$E$2:$E$1057,J$3)/INDEX('Clean Package Product Lists'!$C:$C,MATCH(J$3,'Clean Package Product Lists'!$A:$A,0))),"")</f>
        <v>0</v>
      </c>
      <c r="K114" s="155">
        <f>IFERROR(MIN(1,COUNTIFS('Product Order Book'!$A$2:$A$1057,$A114,'Product Order Book'!$E$2:$E$1057,K$3)/INDEX('Clean Package Product Lists'!$C:$C,MATCH(K$3,'Clean Package Product Lists'!$A:$A,0))),"")</f>
        <v>0</v>
      </c>
      <c r="L114" s="154"/>
      <c r="M114" s="156" t="str">
        <f>IF(COUNTIFS('Product Order Book'!$A:$A,$A114,'Product Order Book'!$E:$E,M$3)&gt;0,"✓ Takes",IF(IFERROR(VLOOKUP($A114,'Whitespace Analysis'!$A:$AH,12,0),0)=1,"◎ Should","– N/A"))</f>
        <v>✓ Takes</v>
      </c>
      <c r="N114" s="156" t="str">
        <f>IF(COUNTIFS('Product Order Book'!$A:$A,$A114,'Product Order Book'!$E:$E,N$3)&gt;0,"✓ Takes",IF(IFERROR(VLOOKUP($A114,'Whitespace Analysis'!$A:$AH,20,0),0)=1,"◎ Should","– N/A"))</f>
        <v>– N/A</v>
      </c>
      <c r="O114" s="156" t="str">
        <f>IF(COUNTIFS('Product Order Book'!$A:$A,$A114,'Product Order Book'!$E:$E,O$3)&gt;0,"✓ Takes",IF(IFERROR(VLOOKUP($A114,'Whitespace Analysis'!$A:$AH,22,0),0)=1,"◎ Should","– N/A"))</f>
        <v>– N/A</v>
      </c>
      <c r="P114" s="156" t="str">
        <f>IF(COUNTIFS('Product Order Book'!$A:$A,$A114,'Product Order Book'!$E:$E,P$3)&gt;0,"✓ Takes",IF(IFERROR(VLOOKUP($A114,'Whitespace Analysis'!$A:$AH,24,0),0)=1,"◎ Should","– N/A"))</f>
        <v>– N/A</v>
      </c>
      <c r="Q114" s="156" t="str">
        <f>IF(COUNTIFS('Product Order Book'!$A:$A,$A114,'Product Order Book'!$E:$E,Q$3)&gt;0,"✓ Takes",IF(IFERROR(VLOOKUP($A114,'Whitespace Analysis'!$A:$AH,26,0),0)=1,"◎ Should","– N/A"))</f>
        <v>– N/A</v>
      </c>
      <c r="R114" s="156" t="str">
        <f>IF(COUNTIFS('Product Order Book'!$A:$A,$A114,'Product Order Book'!$E:$E,R$3)&gt;0,"✓ Takes",IF(IFERROR(VLOOKUP($A114,'Whitespace Analysis'!$A:$AH,16,0),0)=1,"◎ Should","– N/A"))</f>
        <v>◎ Should</v>
      </c>
      <c r="S114" s="156" t="str">
        <f>IF(COUNTIFS('Product Order Book'!$A:$A,$A114,'Product Order Book'!$E:$E,S$3)&gt;0,"✓ Takes",IF(IFERROR(VLOOKUP($A114,'Whitespace Analysis'!$A:$AH,18,0),0)=1,"◎ Should","– N/A"))</f>
        <v>◎ Should</v>
      </c>
      <c r="T114" s="156" t="str">
        <f>IF(COUNTIFS('Product Order Book'!$A:$A,$A114,'Product Order Book'!$E:$E,T$3)&gt;0,"✓ Takes",IF(IFERROR(VLOOKUP($A114,'Whitespace Analysis'!$A:$AH,28,0),0)=1,"◎ Should","– N/A"))</f>
        <v>◎ Should</v>
      </c>
      <c r="U114" s="156" t="str">
        <f>IF(COUNTIFS('Product Order Book'!$A:$A,$A114,'Product Order Book'!$E:$E,U$3)&gt;0,"✓ Takes",IF(IFERROR(VLOOKUP($A114,'Whitespace Analysis'!$A:$AH,30,0),0)=1,"◎ Should","– N/A"))</f>
        <v>– N/A</v>
      </c>
      <c r="V114" s="156" t="str">
        <f>IF(COUNTIFS('Product Order Book'!$A:$A,$A114,'Product Order Book'!$E:$E,V$3)&gt;0,"✓ Takes",IF(IFERROR(VLOOKUP($A114,'Whitespace Analysis'!$A:$AH,14,0),0)=1,"◎ Should","– N/A"))</f>
        <v>– N/A</v>
      </c>
    </row>
    <row r="115" spans="1:22" ht="15" customHeight="1">
      <c r="A115" s="154" t="str">
        <v>Low Carbon Contracts Company Ltd</v>
      </c>
      <c r="B115" s="155">
        <f>IFERROR(MIN(1,COUNTIFS('Product Order Book'!$A$2:$A$1057,$A115,'Product Order Book'!$E$2:$E$1057,B$3)/INDEX('Clean Package Product Lists'!$C:$C,MATCH(B$3,'Clean Package Product Lists'!$A:$A,0))),"")</f>
        <v>1</v>
      </c>
      <c r="C115" s="155">
        <f>IFERROR(MIN(1,COUNTIFS('Product Order Book'!$A$2:$A$1057,$A115,'Product Order Book'!$E$2:$E$1057,C$3)/INDEX('Clean Package Product Lists'!$C:$C,MATCH(C$3,'Clean Package Product Lists'!$A:$A,0))),"")</f>
        <v>0</v>
      </c>
      <c r="D115" s="155">
        <f>IFERROR(MIN(1,COUNTIFS('Product Order Book'!$A$2:$A$1057,$A115,'Product Order Book'!$E$2:$E$1057,D$3)/INDEX('Clean Package Product Lists'!$C:$C,MATCH(D$3,'Clean Package Product Lists'!$A:$A,0))),"")</f>
        <v>0</v>
      </c>
      <c r="E115" s="155">
        <f>IFERROR(MIN(1,COUNTIFS('Product Order Book'!$A$2:$A$1057,$A115,'Product Order Book'!$E$2:$E$1057,E$3)/INDEX('Clean Package Product Lists'!$C:$C,MATCH(E$3,'Clean Package Product Lists'!$A:$A,0))),"")</f>
        <v>0</v>
      </c>
      <c r="F115" s="155">
        <f>IFERROR(MIN(1,COUNTIFS('Product Order Book'!$A$2:$A$1057,$A115,'Product Order Book'!$E$2:$E$1057,F$3)/INDEX('Clean Package Product Lists'!$C:$C,MATCH(F$3,'Clean Package Product Lists'!$A:$A,0))),"")</f>
        <v>0</v>
      </c>
      <c r="G115" s="155">
        <f>IFERROR(MIN(1,COUNTIFS('Product Order Book'!$A$2:$A$1057,$A115,'Product Order Book'!$E$2:$E$1057,G$3)/INDEX('Clean Package Product Lists'!$C:$C,MATCH(G$3,'Clean Package Product Lists'!$A:$A,0))),"")</f>
        <v>0</v>
      </c>
      <c r="H115" s="155">
        <f>IFERROR(MIN(1,COUNTIFS('Product Order Book'!$A$2:$A$1057,$A115,'Product Order Book'!$E$2:$E$1057,H$3)/INDEX('Clean Package Product Lists'!$C:$C,MATCH(H$3,'Clean Package Product Lists'!$A:$A,0))),"")</f>
        <v>0</v>
      </c>
      <c r="I115" s="155">
        <f>IFERROR(MIN(1,COUNTIFS('Product Order Book'!$A$2:$A$1057,$A115,'Product Order Book'!$E$2:$E$1057,I$3)/INDEX('Clean Package Product Lists'!$C:$C,MATCH(I$3,'Clean Package Product Lists'!$A:$A,0))),"")</f>
        <v>0</v>
      </c>
      <c r="J115" s="155">
        <f>IFERROR(MIN(1,COUNTIFS('Product Order Book'!$A$2:$A$1057,$A115,'Product Order Book'!$E$2:$E$1057,J$3)/INDEX('Clean Package Product Lists'!$C:$C,MATCH(J$3,'Clean Package Product Lists'!$A:$A,0))),"")</f>
        <v>0</v>
      </c>
      <c r="K115" s="155">
        <f>IFERROR(MIN(1,COUNTIFS('Product Order Book'!$A$2:$A$1057,$A115,'Product Order Book'!$E$2:$E$1057,K$3)/INDEX('Clean Package Product Lists'!$C:$C,MATCH(K$3,'Clean Package Product Lists'!$A:$A,0))),"")</f>
        <v>0</v>
      </c>
      <c r="L115" s="154"/>
      <c r="M115" s="156" t="str">
        <f>IF(COUNTIFS('Product Order Book'!$A:$A,$A115,'Product Order Book'!$E:$E,M$3)&gt;0,"✓ Takes",IF(IFERROR(VLOOKUP($A115,'Whitespace Analysis'!$A:$AH,12,0),0)=1,"◎ Should","– N/A"))</f>
        <v>✓ Takes</v>
      </c>
      <c r="N115" s="156" t="str">
        <f>IF(COUNTIFS('Product Order Book'!$A:$A,$A115,'Product Order Book'!$E:$E,N$3)&gt;0,"✓ Takes",IF(IFERROR(VLOOKUP($A115,'Whitespace Analysis'!$A:$AH,20,0),0)=1,"◎ Should","– N/A"))</f>
        <v>– N/A</v>
      </c>
      <c r="O115" s="156" t="str">
        <f>IF(COUNTIFS('Product Order Book'!$A:$A,$A115,'Product Order Book'!$E:$E,O$3)&gt;0,"✓ Takes",IF(IFERROR(VLOOKUP($A115,'Whitespace Analysis'!$A:$AH,22,0),0)=1,"◎ Should","– N/A"))</f>
        <v>– N/A</v>
      </c>
      <c r="P115" s="156" t="str">
        <f>IF(COUNTIFS('Product Order Book'!$A:$A,$A115,'Product Order Book'!$E:$E,P$3)&gt;0,"✓ Takes",IF(IFERROR(VLOOKUP($A115,'Whitespace Analysis'!$A:$AH,24,0),0)=1,"◎ Should","– N/A"))</f>
        <v>– N/A</v>
      </c>
      <c r="Q115" s="156" t="str">
        <f>IF(COUNTIFS('Product Order Book'!$A:$A,$A115,'Product Order Book'!$E:$E,Q$3)&gt;0,"✓ Takes",IF(IFERROR(VLOOKUP($A115,'Whitespace Analysis'!$A:$AH,26,0),0)=1,"◎ Should","– N/A"))</f>
        <v>– N/A</v>
      </c>
      <c r="R115" s="156" t="str">
        <f>IF(COUNTIFS('Product Order Book'!$A:$A,$A115,'Product Order Book'!$E:$E,R$3)&gt;0,"✓ Takes",IF(IFERROR(VLOOKUP($A115,'Whitespace Analysis'!$A:$AH,16,0),0)=1,"◎ Should","– N/A"))</f>
        <v>– N/A</v>
      </c>
      <c r="S115" s="156" t="str">
        <f>IF(COUNTIFS('Product Order Book'!$A:$A,$A115,'Product Order Book'!$E:$E,S$3)&gt;0,"✓ Takes",IF(IFERROR(VLOOKUP($A115,'Whitespace Analysis'!$A:$AH,18,0),0)=1,"◎ Should","– N/A"))</f>
        <v>– N/A</v>
      </c>
      <c r="T115" s="156" t="str">
        <f>IF(COUNTIFS('Product Order Book'!$A:$A,$A115,'Product Order Book'!$E:$E,T$3)&gt;0,"✓ Takes",IF(IFERROR(VLOOKUP($A115,'Whitespace Analysis'!$A:$AH,28,0),0)=1,"◎ Should","– N/A"))</f>
        <v>– N/A</v>
      </c>
      <c r="U115" s="156" t="str">
        <f>IF(COUNTIFS('Product Order Book'!$A:$A,$A115,'Product Order Book'!$E:$E,U$3)&gt;0,"✓ Takes",IF(IFERROR(VLOOKUP($A115,'Whitespace Analysis'!$A:$AH,30,0),0)=1,"◎ Should","– N/A"))</f>
        <v>– N/A</v>
      </c>
      <c r="V115" s="156" t="str">
        <f>IF(COUNTIFS('Product Order Book'!$A:$A,$A115,'Product Order Book'!$E:$E,V$3)&gt;0,"✓ Takes",IF(IFERROR(VLOOKUP($A115,'Whitespace Analysis'!$A:$AH,14,0),0)=1,"◎ Should","– N/A"))</f>
        <v>– N/A</v>
      </c>
    </row>
    <row r="116" spans="1:22" ht="15" customHeight="1">
      <c r="A116" s="154" t="str">
        <v>Low Carbon Ltd</v>
      </c>
      <c r="B116" s="155">
        <f>IFERROR(MIN(1,COUNTIFS('Product Order Book'!$A$2:$A$1057,$A116,'Product Order Book'!$E$2:$E$1057,B$3)/INDEX('Clean Package Product Lists'!$C:$C,MATCH(B$3,'Clean Package Product Lists'!$A:$A,0))),"")</f>
        <v>1</v>
      </c>
      <c r="C116" s="155">
        <f>IFERROR(MIN(1,COUNTIFS('Product Order Book'!$A$2:$A$1057,$A116,'Product Order Book'!$E$2:$E$1057,C$3)/INDEX('Clean Package Product Lists'!$C:$C,MATCH(C$3,'Clean Package Product Lists'!$A:$A,0))),"")</f>
        <v>0</v>
      </c>
      <c r="D116" s="155">
        <f>IFERROR(MIN(1,COUNTIFS('Product Order Book'!$A$2:$A$1057,$A116,'Product Order Book'!$E$2:$E$1057,D$3)/INDEX('Clean Package Product Lists'!$C:$C,MATCH(D$3,'Clean Package Product Lists'!$A:$A,0))),"")</f>
        <v>0</v>
      </c>
      <c r="E116" s="155">
        <f>IFERROR(MIN(1,COUNTIFS('Product Order Book'!$A$2:$A$1057,$A116,'Product Order Book'!$E$2:$E$1057,E$3)/INDEX('Clean Package Product Lists'!$C:$C,MATCH(E$3,'Clean Package Product Lists'!$A:$A,0))),"")</f>
        <v>0</v>
      </c>
      <c r="F116" s="155">
        <f>IFERROR(MIN(1,COUNTIFS('Product Order Book'!$A$2:$A$1057,$A116,'Product Order Book'!$E$2:$E$1057,F$3)/INDEX('Clean Package Product Lists'!$C:$C,MATCH(F$3,'Clean Package Product Lists'!$A:$A,0))),"")</f>
        <v>0</v>
      </c>
      <c r="G116" s="155">
        <f>IFERROR(MIN(1,COUNTIFS('Product Order Book'!$A$2:$A$1057,$A116,'Product Order Book'!$E$2:$E$1057,G$3)/INDEX('Clean Package Product Lists'!$C:$C,MATCH(G$3,'Clean Package Product Lists'!$A:$A,0))),"")</f>
        <v>0</v>
      </c>
      <c r="H116" s="155">
        <f>IFERROR(MIN(1,COUNTIFS('Product Order Book'!$A$2:$A$1057,$A116,'Product Order Book'!$E$2:$E$1057,H$3)/INDEX('Clean Package Product Lists'!$C:$C,MATCH(H$3,'Clean Package Product Lists'!$A:$A,0))),"")</f>
        <v>0</v>
      </c>
      <c r="I116" s="155">
        <f>IFERROR(MIN(1,COUNTIFS('Product Order Book'!$A$2:$A$1057,$A116,'Product Order Book'!$E$2:$E$1057,I$3)/INDEX('Clean Package Product Lists'!$C:$C,MATCH(I$3,'Clean Package Product Lists'!$A:$A,0))),"")</f>
        <v>0</v>
      </c>
      <c r="J116" s="155">
        <f>IFERROR(MIN(1,COUNTIFS('Product Order Book'!$A$2:$A$1057,$A116,'Product Order Book'!$E$2:$E$1057,J$3)/INDEX('Clean Package Product Lists'!$C:$C,MATCH(J$3,'Clean Package Product Lists'!$A:$A,0))),"")</f>
        <v>0</v>
      </c>
      <c r="K116" s="155">
        <f>IFERROR(MIN(1,COUNTIFS('Product Order Book'!$A$2:$A$1057,$A116,'Product Order Book'!$E$2:$E$1057,K$3)/INDEX('Clean Package Product Lists'!$C:$C,MATCH(K$3,'Clean Package Product Lists'!$A:$A,0))),"")</f>
        <v>0</v>
      </c>
      <c r="L116" s="154"/>
      <c r="M116" s="156" t="str">
        <f>IF(COUNTIFS('Product Order Book'!$A:$A,$A116,'Product Order Book'!$E:$E,M$3)&gt;0,"✓ Takes",IF(IFERROR(VLOOKUP($A116,'Whitespace Analysis'!$A:$AH,12,0),0)=1,"◎ Should","– N/A"))</f>
        <v>✓ Takes</v>
      </c>
      <c r="N116" s="156" t="str">
        <f>IF(COUNTIFS('Product Order Book'!$A:$A,$A116,'Product Order Book'!$E:$E,N$3)&gt;0,"✓ Takes",IF(IFERROR(VLOOKUP($A116,'Whitespace Analysis'!$A:$AH,20,0),0)=1,"◎ Should","– N/A"))</f>
        <v>◎ Should</v>
      </c>
      <c r="O116" s="156" t="str">
        <f>IF(COUNTIFS('Product Order Book'!$A:$A,$A116,'Product Order Book'!$E:$E,O$3)&gt;0,"✓ Takes",IF(IFERROR(VLOOKUP($A116,'Whitespace Analysis'!$A:$AH,22,0),0)=1,"◎ Should","– N/A"))</f>
        <v>◎ Should</v>
      </c>
      <c r="P116" s="156" t="str">
        <f>IF(COUNTIFS('Product Order Book'!$A:$A,$A116,'Product Order Book'!$E:$E,P$3)&gt;0,"✓ Takes",IF(IFERROR(VLOOKUP($A116,'Whitespace Analysis'!$A:$AH,24,0),0)=1,"◎ Should","– N/A"))</f>
        <v>◎ Should</v>
      </c>
      <c r="Q116" s="156" t="str">
        <f>IF(COUNTIFS('Product Order Book'!$A:$A,$A116,'Product Order Book'!$E:$E,Q$3)&gt;0,"✓ Takes",IF(IFERROR(VLOOKUP($A116,'Whitespace Analysis'!$A:$AH,26,0),0)=1,"◎ Should","– N/A"))</f>
        <v>◎ Should</v>
      </c>
      <c r="R116" s="156" t="str">
        <f>IF(COUNTIFS('Product Order Book'!$A:$A,$A116,'Product Order Book'!$E:$E,R$3)&gt;0,"✓ Takes",IF(IFERROR(VLOOKUP($A116,'Whitespace Analysis'!$A:$AH,16,0),0)=1,"◎ Should","– N/A"))</f>
        <v>– N/A</v>
      </c>
      <c r="S116" s="156" t="str">
        <f>IF(COUNTIFS('Product Order Book'!$A:$A,$A116,'Product Order Book'!$E:$E,S$3)&gt;0,"✓ Takes",IF(IFERROR(VLOOKUP($A116,'Whitespace Analysis'!$A:$AH,18,0),0)=1,"◎ Should","– N/A"))</f>
        <v>– N/A</v>
      </c>
      <c r="T116" s="156" t="str">
        <f>IF(COUNTIFS('Product Order Book'!$A:$A,$A116,'Product Order Book'!$E:$E,T$3)&gt;0,"✓ Takes",IF(IFERROR(VLOOKUP($A116,'Whitespace Analysis'!$A:$AH,28,0),0)=1,"◎ Should","– N/A"))</f>
        <v>– N/A</v>
      </c>
      <c r="U116" s="156" t="str">
        <f>IF(COUNTIFS('Product Order Book'!$A:$A,$A116,'Product Order Book'!$E:$E,U$3)&gt;0,"✓ Takes",IF(IFERROR(VLOOKUP($A116,'Whitespace Analysis'!$A:$AH,30,0),0)=1,"◎ Should","– N/A"))</f>
        <v>– N/A</v>
      </c>
      <c r="V116" s="156" t="str">
        <f>IF(COUNTIFS('Product Order Book'!$A:$A,$A116,'Product Order Book'!$E:$E,V$3)&gt;0,"✓ Takes",IF(IFERROR(VLOOKUP($A116,'Whitespace Analysis'!$A:$AH,14,0),0)=1,"◎ Should","– N/A"))</f>
        <v>◎ Should</v>
      </c>
    </row>
    <row r="117" spans="1:22" ht="15" customHeight="1">
      <c r="A117" s="154" t="str">
        <v>Macquarie Energy Leasing Limited</v>
      </c>
      <c r="B117" s="155">
        <f>IFERROR(MIN(1,COUNTIFS('Product Order Book'!$A$2:$A$1057,$A117,'Product Order Book'!$E$2:$E$1057,B$3)/INDEX('Clean Package Product Lists'!$C:$C,MATCH(B$3,'Clean Package Product Lists'!$A:$A,0))),"")</f>
        <v>0</v>
      </c>
      <c r="C117" s="155">
        <f>IFERROR(MIN(1,COUNTIFS('Product Order Book'!$A$2:$A$1057,$A117,'Product Order Book'!$E$2:$E$1057,C$3)/INDEX('Clean Package Product Lists'!$C:$C,MATCH(C$3,'Clean Package Product Lists'!$A:$A,0))),"")</f>
        <v>0</v>
      </c>
      <c r="D117" s="155">
        <f>IFERROR(MIN(1,COUNTIFS('Product Order Book'!$A$2:$A$1057,$A117,'Product Order Book'!$E$2:$E$1057,D$3)/INDEX('Clean Package Product Lists'!$C:$C,MATCH(D$3,'Clean Package Product Lists'!$A:$A,0))),"")</f>
        <v>0</v>
      </c>
      <c r="E117" s="155">
        <f>IFERROR(MIN(1,COUNTIFS('Product Order Book'!$A$2:$A$1057,$A117,'Product Order Book'!$E$2:$E$1057,E$3)/INDEX('Clean Package Product Lists'!$C:$C,MATCH(E$3,'Clean Package Product Lists'!$A:$A,0))),"")</f>
        <v>0</v>
      </c>
      <c r="F117" s="155">
        <f>IFERROR(MIN(1,COUNTIFS('Product Order Book'!$A$2:$A$1057,$A117,'Product Order Book'!$E$2:$E$1057,F$3)/INDEX('Clean Package Product Lists'!$C:$C,MATCH(F$3,'Clean Package Product Lists'!$A:$A,0))),"")</f>
        <v>0</v>
      </c>
      <c r="G117" s="155">
        <f>IFERROR(MIN(1,COUNTIFS('Product Order Book'!$A$2:$A$1057,$A117,'Product Order Book'!$E$2:$E$1057,G$3)/INDEX('Clean Package Product Lists'!$C:$C,MATCH(G$3,'Clean Package Product Lists'!$A:$A,0))),"")</f>
        <v>0.18181818181818182</v>
      </c>
      <c r="H117" s="155">
        <f>IFERROR(MIN(1,COUNTIFS('Product Order Book'!$A$2:$A$1057,$A117,'Product Order Book'!$E$2:$E$1057,H$3)/INDEX('Clean Package Product Lists'!$C:$C,MATCH(H$3,'Clean Package Product Lists'!$A:$A,0))),"")</f>
        <v>0</v>
      </c>
      <c r="I117" s="155">
        <f>IFERROR(MIN(1,COUNTIFS('Product Order Book'!$A$2:$A$1057,$A117,'Product Order Book'!$E$2:$E$1057,I$3)/INDEX('Clean Package Product Lists'!$C:$C,MATCH(I$3,'Clean Package Product Lists'!$A:$A,0))),"")</f>
        <v>0</v>
      </c>
      <c r="J117" s="155">
        <f>IFERROR(MIN(1,COUNTIFS('Product Order Book'!$A$2:$A$1057,$A117,'Product Order Book'!$E$2:$E$1057,J$3)/INDEX('Clean Package Product Lists'!$C:$C,MATCH(J$3,'Clean Package Product Lists'!$A:$A,0))),"")</f>
        <v>0</v>
      </c>
      <c r="K117" s="155">
        <f>IFERROR(MIN(1,COUNTIFS('Product Order Book'!$A$2:$A$1057,$A117,'Product Order Book'!$E$2:$E$1057,K$3)/INDEX('Clean Package Product Lists'!$C:$C,MATCH(K$3,'Clean Package Product Lists'!$A:$A,0))),"")</f>
        <v>0</v>
      </c>
      <c r="L117" s="154"/>
      <c r="M117" s="156" t="str">
        <f>IF(COUNTIFS('Product Order Book'!$A:$A,$A117,'Product Order Book'!$E:$E,M$3)&gt;0,"✓ Takes",IF(IFERROR(VLOOKUP($A117,'Whitespace Analysis'!$A:$AH,12,0),0)=1,"◎ Should","– N/A"))</f>
        <v>◎ Should</v>
      </c>
      <c r="N117" s="156" t="str">
        <f>IF(COUNTIFS('Product Order Book'!$A:$A,$A117,'Product Order Book'!$E:$E,N$3)&gt;0,"✓ Takes",IF(IFERROR(VLOOKUP($A117,'Whitespace Analysis'!$A:$AH,20,0),0)=1,"◎ Should","– N/A"))</f>
        <v>◎ Should</v>
      </c>
      <c r="O117" s="156" t="str">
        <f>IF(COUNTIFS('Product Order Book'!$A:$A,$A117,'Product Order Book'!$E:$E,O$3)&gt;0,"✓ Takes",IF(IFERROR(VLOOKUP($A117,'Whitespace Analysis'!$A:$AH,22,0),0)=1,"◎ Should","– N/A"))</f>
        <v>◎ Should</v>
      </c>
      <c r="P117" s="156" t="str">
        <f>IF(COUNTIFS('Product Order Book'!$A:$A,$A117,'Product Order Book'!$E:$E,P$3)&gt;0,"✓ Takes",IF(IFERROR(VLOOKUP($A117,'Whitespace Analysis'!$A:$AH,24,0),0)=1,"◎ Should","– N/A"))</f>
        <v>◎ Should</v>
      </c>
      <c r="Q117" s="156" t="str">
        <f>IF(COUNTIFS('Product Order Book'!$A:$A,$A117,'Product Order Book'!$E:$E,Q$3)&gt;0,"✓ Takes",IF(IFERROR(VLOOKUP($A117,'Whitespace Analysis'!$A:$AH,26,0),0)=1,"◎ Should","– N/A"))</f>
        <v>◎ Should</v>
      </c>
      <c r="R117" s="156" t="str">
        <f>IF(COUNTIFS('Product Order Book'!$A:$A,$A117,'Product Order Book'!$E:$E,R$3)&gt;0,"✓ Takes",IF(IFERROR(VLOOKUP($A117,'Whitespace Analysis'!$A:$AH,16,0),0)=1,"◎ Should","– N/A"))</f>
        <v>✓ Takes</v>
      </c>
      <c r="S117" s="156" t="str">
        <f>IF(COUNTIFS('Product Order Book'!$A:$A,$A117,'Product Order Book'!$E:$E,S$3)&gt;0,"✓ Takes",IF(IFERROR(VLOOKUP($A117,'Whitespace Analysis'!$A:$AH,18,0),0)=1,"◎ Should","– N/A"))</f>
        <v>– N/A</v>
      </c>
      <c r="T117" s="156" t="str">
        <f>IF(COUNTIFS('Product Order Book'!$A:$A,$A117,'Product Order Book'!$E:$E,T$3)&gt;0,"✓ Takes",IF(IFERROR(VLOOKUP($A117,'Whitespace Analysis'!$A:$AH,28,0),0)=1,"◎ Should","– N/A"))</f>
        <v>– N/A</v>
      </c>
      <c r="U117" s="156" t="str">
        <f>IF(COUNTIFS('Product Order Book'!$A:$A,$A117,'Product Order Book'!$E:$E,U$3)&gt;0,"✓ Takes",IF(IFERROR(VLOOKUP($A117,'Whitespace Analysis'!$A:$AH,30,0),0)=1,"◎ Should","– N/A"))</f>
        <v>– N/A</v>
      </c>
      <c r="V117" s="156" t="str">
        <f>IF(COUNTIFS('Product Order Book'!$A:$A,$A117,'Product Order Book'!$E:$E,V$3)&gt;0,"✓ Takes",IF(IFERROR(VLOOKUP($A117,'Whitespace Analysis'!$A:$AH,14,0),0)=1,"◎ Should","– N/A"))</f>
        <v>◎ Should</v>
      </c>
    </row>
    <row r="118" spans="1:22" ht="15" customHeight="1">
      <c r="A118" s="154" t="str">
        <v>MAG Airport Limited</v>
      </c>
      <c r="B118" s="155">
        <f>IFERROR(MIN(1,COUNTIFS('Product Order Book'!$A$2:$A$1057,$A118,'Product Order Book'!$E$2:$E$1057,B$3)/INDEX('Clean Package Product Lists'!$C:$C,MATCH(B$3,'Clean Package Product Lists'!$A:$A,0))),"")</f>
        <v>0</v>
      </c>
      <c r="C118" s="155">
        <f>IFERROR(MIN(1,COUNTIFS('Product Order Book'!$A$2:$A$1057,$A118,'Product Order Book'!$E$2:$E$1057,C$3)/INDEX('Clean Package Product Lists'!$C:$C,MATCH(C$3,'Clean Package Product Lists'!$A:$A,0))),"")</f>
        <v>0</v>
      </c>
      <c r="D118" s="155">
        <f>IFERROR(MIN(1,COUNTIFS('Product Order Book'!$A$2:$A$1057,$A118,'Product Order Book'!$E$2:$E$1057,D$3)/INDEX('Clean Package Product Lists'!$C:$C,MATCH(D$3,'Clean Package Product Lists'!$A:$A,0))),"")</f>
        <v>0.33333333333333331</v>
      </c>
      <c r="E118" s="155">
        <f>IFERROR(MIN(1,COUNTIFS('Product Order Book'!$A$2:$A$1057,$A118,'Product Order Book'!$E$2:$E$1057,E$3)/INDEX('Clean Package Product Lists'!$C:$C,MATCH(E$3,'Clean Package Product Lists'!$A:$A,0))),"")</f>
        <v>0</v>
      </c>
      <c r="F118" s="155">
        <f>IFERROR(MIN(1,COUNTIFS('Product Order Book'!$A$2:$A$1057,$A118,'Product Order Book'!$E$2:$E$1057,F$3)/INDEX('Clean Package Product Lists'!$C:$C,MATCH(F$3,'Clean Package Product Lists'!$A:$A,0))),"")</f>
        <v>0</v>
      </c>
      <c r="G118" s="155">
        <f>IFERROR(MIN(1,COUNTIFS('Product Order Book'!$A$2:$A$1057,$A118,'Product Order Book'!$E$2:$E$1057,G$3)/INDEX('Clean Package Product Lists'!$C:$C,MATCH(G$3,'Clean Package Product Lists'!$A:$A,0))),"")</f>
        <v>0</v>
      </c>
      <c r="H118" s="155">
        <f>IFERROR(MIN(1,COUNTIFS('Product Order Book'!$A$2:$A$1057,$A118,'Product Order Book'!$E$2:$E$1057,H$3)/INDEX('Clean Package Product Lists'!$C:$C,MATCH(H$3,'Clean Package Product Lists'!$A:$A,0))),"")</f>
        <v>0.25</v>
      </c>
      <c r="I118" s="155">
        <f>IFERROR(MIN(1,COUNTIFS('Product Order Book'!$A$2:$A$1057,$A118,'Product Order Book'!$E$2:$E$1057,I$3)/INDEX('Clean Package Product Lists'!$C:$C,MATCH(I$3,'Clean Package Product Lists'!$A:$A,0))),"")</f>
        <v>0</v>
      </c>
      <c r="J118" s="155">
        <f>IFERROR(MIN(1,COUNTIFS('Product Order Book'!$A$2:$A$1057,$A118,'Product Order Book'!$E$2:$E$1057,J$3)/INDEX('Clean Package Product Lists'!$C:$C,MATCH(J$3,'Clean Package Product Lists'!$A:$A,0))),"")</f>
        <v>0</v>
      </c>
      <c r="K118" s="155">
        <f>IFERROR(MIN(1,COUNTIFS('Product Order Book'!$A$2:$A$1057,$A118,'Product Order Book'!$E$2:$E$1057,K$3)/INDEX('Clean Package Product Lists'!$C:$C,MATCH(K$3,'Clean Package Product Lists'!$A:$A,0))),"")</f>
        <v>0</v>
      </c>
      <c r="L118" s="154"/>
      <c r="M118" s="156" t="str">
        <f>IF(COUNTIFS('Product Order Book'!$A:$A,$A118,'Product Order Book'!$E:$E,M$3)&gt;0,"✓ Takes",IF(IFERROR(VLOOKUP($A118,'Whitespace Analysis'!$A:$AH,12,0),0)=1,"◎ Should","– N/A"))</f>
        <v>◎ Should</v>
      </c>
      <c r="N118" s="156" t="str">
        <f>IF(COUNTIFS('Product Order Book'!$A:$A,$A118,'Product Order Book'!$E:$E,N$3)&gt;0,"✓ Takes",IF(IFERROR(VLOOKUP($A118,'Whitespace Analysis'!$A:$AH,20,0),0)=1,"◎ Should","– N/A"))</f>
        <v>– N/A</v>
      </c>
      <c r="O118" s="156" t="str">
        <f>IF(COUNTIFS('Product Order Book'!$A:$A,$A118,'Product Order Book'!$E:$E,O$3)&gt;0,"✓ Takes",IF(IFERROR(VLOOKUP($A118,'Whitespace Analysis'!$A:$AH,22,0),0)=1,"◎ Should","– N/A"))</f>
        <v>✓ Takes</v>
      </c>
      <c r="P118" s="156" t="str">
        <f>IF(COUNTIFS('Product Order Book'!$A:$A,$A118,'Product Order Book'!$E:$E,P$3)&gt;0,"✓ Takes",IF(IFERROR(VLOOKUP($A118,'Whitespace Analysis'!$A:$AH,24,0),0)=1,"◎ Should","– N/A"))</f>
        <v>– N/A</v>
      </c>
      <c r="Q118" s="156" t="str">
        <f>IF(COUNTIFS('Product Order Book'!$A:$A,$A118,'Product Order Book'!$E:$E,Q$3)&gt;0,"✓ Takes",IF(IFERROR(VLOOKUP($A118,'Whitespace Analysis'!$A:$AH,26,0),0)=1,"◎ Should","– N/A"))</f>
        <v>– N/A</v>
      </c>
      <c r="R118" s="156" t="str">
        <f>IF(COUNTIFS('Product Order Book'!$A:$A,$A118,'Product Order Book'!$E:$E,R$3)&gt;0,"✓ Takes",IF(IFERROR(VLOOKUP($A118,'Whitespace Analysis'!$A:$AH,16,0),0)=1,"◎ Should","– N/A"))</f>
        <v>– N/A</v>
      </c>
      <c r="S118" s="156" t="str">
        <f>IF(COUNTIFS('Product Order Book'!$A:$A,$A118,'Product Order Book'!$E:$E,S$3)&gt;0,"✓ Takes",IF(IFERROR(VLOOKUP($A118,'Whitespace Analysis'!$A:$AH,18,0),0)=1,"◎ Should","– N/A"))</f>
        <v>✓ Takes</v>
      </c>
      <c r="T118" s="156" t="str">
        <f>IF(COUNTIFS('Product Order Book'!$A:$A,$A118,'Product Order Book'!$E:$E,T$3)&gt;0,"✓ Takes",IF(IFERROR(VLOOKUP($A118,'Whitespace Analysis'!$A:$AH,28,0),0)=1,"◎ Should","– N/A"))</f>
        <v>◎ Should</v>
      </c>
      <c r="U118" s="156" t="str">
        <f>IF(COUNTIFS('Product Order Book'!$A:$A,$A118,'Product Order Book'!$E:$E,U$3)&gt;0,"✓ Takes",IF(IFERROR(VLOOKUP($A118,'Whitespace Analysis'!$A:$AH,30,0),0)=1,"◎ Should","– N/A"))</f>
        <v>◎ Should</v>
      </c>
      <c r="V118" s="156" t="str">
        <f>IF(COUNTIFS('Product Order Book'!$A:$A,$A118,'Product Order Book'!$E:$E,V$3)&gt;0,"✓ Takes",IF(IFERROR(VLOOKUP($A118,'Whitespace Analysis'!$A:$AH,14,0),0)=1,"◎ Should","– N/A"))</f>
        <v>◎ Should</v>
      </c>
    </row>
    <row r="119" spans="1:22" ht="15" customHeight="1">
      <c r="A119" s="154" t="str">
        <v>Manx Utilities</v>
      </c>
      <c r="B119" s="155">
        <f>IFERROR(MIN(1,COUNTIFS('Product Order Book'!$A$2:$A$1057,$A119,'Product Order Book'!$E$2:$E$1057,B$3)/INDEX('Clean Package Product Lists'!$C:$C,MATCH(B$3,'Clean Package Product Lists'!$A:$A,0))),"")</f>
        <v>1</v>
      </c>
      <c r="C119" s="155">
        <f>IFERROR(MIN(1,COUNTIFS('Product Order Book'!$A$2:$A$1057,$A119,'Product Order Book'!$E$2:$E$1057,C$3)/INDEX('Clean Package Product Lists'!$C:$C,MATCH(C$3,'Clean Package Product Lists'!$A:$A,0))),"")</f>
        <v>0.14285714285714285</v>
      </c>
      <c r="D119" s="155">
        <f>IFERROR(MIN(1,COUNTIFS('Product Order Book'!$A$2:$A$1057,$A119,'Product Order Book'!$E$2:$E$1057,D$3)/INDEX('Clean Package Product Lists'!$C:$C,MATCH(D$3,'Clean Package Product Lists'!$A:$A,0))),"")</f>
        <v>0.33333333333333331</v>
      </c>
      <c r="E119" s="155">
        <f>IFERROR(MIN(1,COUNTIFS('Product Order Book'!$A$2:$A$1057,$A119,'Product Order Book'!$E$2:$E$1057,E$3)/INDEX('Clean Package Product Lists'!$C:$C,MATCH(E$3,'Clean Package Product Lists'!$A:$A,0))),"")</f>
        <v>0</v>
      </c>
      <c r="F119" s="155">
        <f>IFERROR(MIN(1,COUNTIFS('Product Order Book'!$A$2:$A$1057,$A119,'Product Order Book'!$E$2:$E$1057,F$3)/INDEX('Clean Package Product Lists'!$C:$C,MATCH(F$3,'Clean Package Product Lists'!$A:$A,0))),"")</f>
        <v>0</v>
      </c>
      <c r="G119" s="155">
        <f>IFERROR(MIN(1,COUNTIFS('Product Order Book'!$A$2:$A$1057,$A119,'Product Order Book'!$E$2:$E$1057,G$3)/INDEX('Clean Package Product Lists'!$C:$C,MATCH(G$3,'Clean Package Product Lists'!$A:$A,0))),"")</f>
        <v>0</v>
      </c>
      <c r="H119" s="155">
        <f>IFERROR(MIN(1,COUNTIFS('Product Order Book'!$A$2:$A$1057,$A119,'Product Order Book'!$E$2:$E$1057,H$3)/INDEX('Clean Package Product Lists'!$C:$C,MATCH(H$3,'Clean Package Product Lists'!$A:$A,0))),"")</f>
        <v>0</v>
      </c>
      <c r="I119" s="155">
        <f>IFERROR(MIN(1,COUNTIFS('Product Order Book'!$A$2:$A$1057,$A119,'Product Order Book'!$E$2:$E$1057,I$3)/INDEX('Clean Package Product Lists'!$C:$C,MATCH(I$3,'Clean Package Product Lists'!$A:$A,0))),"")</f>
        <v>0</v>
      </c>
      <c r="J119" s="155">
        <f>IFERROR(MIN(1,COUNTIFS('Product Order Book'!$A$2:$A$1057,$A119,'Product Order Book'!$E$2:$E$1057,J$3)/INDEX('Clean Package Product Lists'!$C:$C,MATCH(J$3,'Clean Package Product Lists'!$A:$A,0))),"")</f>
        <v>0</v>
      </c>
      <c r="K119" s="155">
        <f>IFERROR(MIN(1,COUNTIFS('Product Order Book'!$A$2:$A$1057,$A119,'Product Order Book'!$E$2:$E$1057,K$3)/INDEX('Clean Package Product Lists'!$C:$C,MATCH(K$3,'Clean Package Product Lists'!$A:$A,0))),"")</f>
        <v>0</v>
      </c>
      <c r="L119" s="154"/>
      <c r="M119" s="156" t="str">
        <f>IF(COUNTIFS('Product Order Book'!$A:$A,$A119,'Product Order Book'!$E:$E,M$3)&gt;0,"✓ Takes",IF(IFERROR(VLOOKUP($A119,'Whitespace Analysis'!$A:$AH,12,0),0)=1,"◎ Should","– N/A"))</f>
        <v>✓ Takes</v>
      </c>
      <c r="N119" s="156" t="str">
        <f>IF(COUNTIFS('Product Order Book'!$A:$A,$A119,'Product Order Book'!$E:$E,N$3)&gt;0,"✓ Takes",IF(IFERROR(VLOOKUP($A119,'Whitespace Analysis'!$A:$AH,20,0),0)=1,"◎ Should","– N/A"))</f>
        <v>✓ Takes</v>
      </c>
      <c r="O119" s="156" t="str">
        <f>IF(COUNTIFS('Product Order Book'!$A:$A,$A119,'Product Order Book'!$E:$E,O$3)&gt;0,"✓ Takes",IF(IFERROR(VLOOKUP($A119,'Whitespace Analysis'!$A:$AH,22,0),0)=1,"◎ Should","– N/A"))</f>
        <v>✓ Takes</v>
      </c>
      <c r="P119" s="156" t="str">
        <f>IF(COUNTIFS('Product Order Book'!$A:$A,$A119,'Product Order Book'!$E:$E,P$3)&gt;0,"✓ Takes",IF(IFERROR(VLOOKUP($A119,'Whitespace Analysis'!$A:$AH,24,0),0)=1,"◎ Should","– N/A"))</f>
        <v>◎ Should</v>
      </c>
      <c r="Q119" s="156" t="str">
        <f>IF(COUNTIFS('Product Order Book'!$A:$A,$A119,'Product Order Book'!$E:$E,Q$3)&gt;0,"✓ Takes",IF(IFERROR(VLOOKUP($A119,'Whitespace Analysis'!$A:$AH,26,0),0)=1,"◎ Should","– N/A"))</f>
        <v>– N/A</v>
      </c>
      <c r="R119" s="156" t="str">
        <f>IF(COUNTIFS('Product Order Book'!$A:$A,$A119,'Product Order Book'!$E:$E,R$3)&gt;0,"✓ Takes",IF(IFERROR(VLOOKUP($A119,'Whitespace Analysis'!$A:$AH,16,0),0)=1,"◎ Should","– N/A"))</f>
        <v>◎ Should</v>
      </c>
      <c r="S119" s="156" t="str">
        <f>IF(COUNTIFS('Product Order Book'!$A:$A,$A119,'Product Order Book'!$E:$E,S$3)&gt;0,"✓ Takes",IF(IFERROR(VLOOKUP($A119,'Whitespace Analysis'!$A:$AH,18,0),0)=1,"◎ Should","– N/A"))</f>
        <v>◎ Should</v>
      </c>
      <c r="T119" s="156" t="str">
        <f>IF(COUNTIFS('Product Order Book'!$A:$A,$A119,'Product Order Book'!$E:$E,T$3)&gt;0,"✓ Takes",IF(IFERROR(VLOOKUP($A119,'Whitespace Analysis'!$A:$AH,28,0),0)=1,"◎ Should","– N/A"))</f>
        <v>– N/A</v>
      </c>
      <c r="U119" s="156" t="str">
        <f>IF(COUNTIFS('Product Order Book'!$A:$A,$A119,'Product Order Book'!$E:$E,U$3)&gt;0,"✓ Takes",IF(IFERROR(VLOOKUP($A119,'Whitespace Analysis'!$A:$AH,30,0),0)=1,"◎ Should","– N/A"))</f>
        <v>– N/A</v>
      </c>
      <c r="V119" s="156" t="str">
        <f>IF(COUNTIFS('Product Order Book'!$A:$A,$A119,'Product Order Book'!$E:$E,V$3)&gt;0,"✓ Takes",IF(IFERROR(VLOOKUP($A119,'Whitespace Analysis'!$A:$AH,14,0),0)=1,"◎ Should","– N/A"))</f>
        <v>◎ Should</v>
      </c>
    </row>
    <row r="120" spans="1:22" ht="15" customHeight="1">
      <c r="A120" s="154" t="str">
        <v>Marble Power Limited</v>
      </c>
      <c r="B120" s="155">
        <f>IFERROR(MIN(1,COUNTIFS('Product Order Book'!$A$2:$A$1057,$A120,'Product Order Book'!$E$2:$E$1057,B$3)/INDEX('Clean Package Product Lists'!$C:$C,MATCH(B$3,'Clean Package Product Lists'!$A:$A,0))),"")</f>
        <v>1</v>
      </c>
      <c r="C120" s="155">
        <f>IFERROR(MIN(1,COUNTIFS('Product Order Book'!$A$2:$A$1057,$A120,'Product Order Book'!$E$2:$E$1057,C$3)/INDEX('Clean Package Product Lists'!$C:$C,MATCH(C$3,'Clean Package Product Lists'!$A:$A,0))),"")</f>
        <v>0</v>
      </c>
      <c r="D120" s="155">
        <f>IFERROR(MIN(1,COUNTIFS('Product Order Book'!$A$2:$A$1057,$A120,'Product Order Book'!$E$2:$E$1057,D$3)/INDEX('Clean Package Product Lists'!$C:$C,MATCH(D$3,'Clean Package Product Lists'!$A:$A,0))),"")</f>
        <v>0</v>
      </c>
      <c r="E120" s="155">
        <f>IFERROR(MIN(1,COUNTIFS('Product Order Book'!$A$2:$A$1057,$A120,'Product Order Book'!$E$2:$E$1057,E$3)/INDEX('Clean Package Product Lists'!$C:$C,MATCH(E$3,'Clean Package Product Lists'!$A:$A,0))),"")</f>
        <v>0</v>
      </c>
      <c r="F120" s="155">
        <f>IFERROR(MIN(1,COUNTIFS('Product Order Book'!$A$2:$A$1057,$A120,'Product Order Book'!$E$2:$E$1057,F$3)/INDEX('Clean Package Product Lists'!$C:$C,MATCH(F$3,'Clean Package Product Lists'!$A:$A,0))),"")</f>
        <v>0</v>
      </c>
      <c r="G120" s="155">
        <f>IFERROR(MIN(1,COUNTIFS('Product Order Book'!$A$2:$A$1057,$A120,'Product Order Book'!$E$2:$E$1057,G$3)/INDEX('Clean Package Product Lists'!$C:$C,MATCH(G$3,'Clean Package Product Lists'!$A:$A,0))),"")</f>
        <v>0.54545454545454541</v>
      </c>
      <c r="H120" s="155">
        <f>IFERROR(MIN(1,COUNTIFS('Product Order Book'!$A$2:$A$1057,$A120,'Product Order Book'!$E$2:$E$1057,H$3)/INDEX('Clean Package Product Lists'!$C:$C,MATCH(H$3,'Clean Package Product Lists'!$A:$A,0))),"")</f>
        <v>0.75</v>
      </c>
      <c r="I120" s="155">
        <f>IFERROR(MIN(1,COUNTIFS('Product Order Book'!$A$2:$A$1057,$A120,'Product Order Book'!$E$2:$E$1057,I$3)/INDEX('Clean Package Product Lists'!$C:$C,MATCH(I$3,'Clean Package Product Lists'!$A:$A,0))),"")</f>
        <v>0</v>
      </c>
      <c r="J120" s="155">
        <f>IFERROR(MIN(1,COUNTIFS('Product Order Book'!$A$2:$A$1057,$A120,'Product Order Book'!$E$2:$E$1057,J$3)/INDEX('Clean Package Product Lists'!$C:$C,MATCH(J$3,'Clean Package Product Lists'!$A:$A,0))),"")</f>
        <v>0</v>
      </c>
      <c r="K120" s="155">
        <f>IFERROR(MIN(1,COUNTIFS('Product Order Book'!$A$2:$A$1057,$A120,'Product Order Book'!$E$2:$E$1057,K$3)/INDEX('Clean Package Product Lists'!$C:$C,MATCH(K$3,'Clean Package Product Lists'!$A:$A,0))),"")</f>
        <v>1</v>
      </c>
      <c r="L120" s="154"/>
      <c r="M120" s="156" t="str">
        <f>IF(COUNTIFS('Product Order Book'!$A:$A,$A120,'Product Order Book'!$E:$E,M$3)&gt;0,"✓ Takes",IF(IFERROR(VLOOKUP($A120,'Whitespace Analysis'!$A:$AH,12,0),0)=1,"◎ Should","– N/A"))</f>
        <v>✓ Takes</v>
      </c>
      <c r="N120" s="156" t="str">
        <f>IF(COUNTIFS('Product Order Book'!$A:$A,$A120,'Product Order Book'!$E:$E,N$3)&gt;0,"✓ Takes",IF(IFERROR(VLOOKUP($A120,'Whitespace Analysis'!$A:$AH,20,0),0)=1,"◎ Should","– N/A"))</f>
        <v>◎ Should</v>
      </c>
      <c r="O120" s="156" t="str">
        <f>IF(COUNTIFS('Product Order Book'!$A:$A,$A120,'Product Order Book'!$E:$E,O$3)&gt;0,"✓ Takes",IF(IFERROR(VLOOKUP($A120,'Whitespace Analysis'!$A:$AH,22,0),0)=1,"◎ Should","– N/A"))</f>
        <v>– N/A</v>
      </c>
      <c r="P120" s="156" t="str">
        <f>IF(COUNTIFS('Product Order Book'!$A:$A,$A120,'Product Order Book'!$E:$E,P$3)&gt;0,"✓ Takes",IF(IFERROR(VLOOKUP($A120,'Whitespace Analysis'!$A:$AH,24,0),0)=1,"◎ Should","– N/A"))</f>
        <v>◎ Should</v>
      </c>
      <c r="Q120" s="156" t="str">
        <f>IF(COUNTIFS('Product Order Book'!$A:$A,$A120,'Product Order Book'!$E:$E,Q$3)&gt;0,"✓ Takes",IF(IFERROR(VLOOKUP($A120,'Whitespace Analysis'!$A:$AH,26,0),0)=1,"◎ Should","– N/A"))</f>
        <v>◎ Should</v>
      </c>
      <c r="R120" s="156" t="str">
        <f>IF(COUNTIFS('Product Order Book'!$A:$A,$A120,'Product Order Book'!$E:$E,R$3)&gt;0,"✓ Takes",IF(IFERROR(VLOOKUP($A120,'Whitespace Analysis'!$A:$AH,16,0),0)=1,"◎ Should","– N/A"))</f>
        <v>✓ Takes</v>
      </c>
      <c r="S120" s="156" t="str">
        <f>IF(COUNTIFS('Product Order Book'!$A:$A,$A120,'Product Order Book'!$E:$E,S$3)&gt;0,"✓ Takes",IF(IFERROR(VLOOKUP($A120,'Whitespace Analysis'!$A:$AH,18,0),0)=1,"◎ Should","– N/A"))</f>
        <v>✓ Takes</v>
      </c>
      <c r="T120" s="156" t="str">
        <f>IF(COUNTIFS('Product Order Book'!$A:$A,$A120,'Product Order Book'!$E:$E,T$3)&gt;0,"✓ Takes",IF(IFERROR(VLOOKUP($A120,'Whitespace Analysis'!$A:$AH,28,0),0)=1,"◎ Should","– N/A"))</f>
        <v>– N/A</v>
      </c>
      <c r="U120" s="156" t="str">
        <f>IF(COUNTIFS('Product Order Book'!$A:$A,$A120,'Product Order Book'!$E:$E,U$3)&gt;0,"✓ Takes",IF(IFERROR(VLOOKUP($A120,'Whitespace Analysis'!$A:$AH,30,0),0)=1,"◎ Should","– N/A"))</f>
        <v>– N/A</v>
      </c>
      <c r="V120" s="156" t="str">
        <f>IF(COUNTIFS('Product Order Book'!$A:$A,$A120,'Product Order Book'!$E:$E,V$3)&gt;0,"✓ Takes",IF(IFERROR(VLOOKUP($A120,'Whitespace Analysis'!$A:$AH,14,0),0)=1,"◎ Should","– N/A"))</f>
        <v>✓ Takes</v>
      </c>
    </row>
    <row r="121" spans="1:22" ht="15" customHeight="1">
      <c r="A121" s="154" t="str">
        <v>Metka EGN</v>
      </c>
      <c r="B121" s="155">
        <f>IFERROR(MIN(1,COUNTIFS('Product Order Book'!$A$2:$A$1057,$A121,'Product Order Book'!$E$2:$E$1057,B$3)/INDEX('Clean Package Product Lists'!$C:$C,MATCH(B$3,'Clean Package Product Lists'!$A:$A,0))),"")</f>
        <v>1</v>
      </c>
      <c r="C121" s="155">
        <f>IFERROR(MIN(1,COUNTIFS('Product Order Book'!$A$2:$A$1057,$A121,'Product Order Book'!$E$2:$E$1057,C$3)/INDEX('Clean Package Product Lists'!$C:$C,MATCH(C$3,'Clean Package Product Lists'!$A:$A,0))),"")</f>
        <v>0</v>
      </c>
      <c r="D121" s="155">
        <f>IFERROR(MIN(1,COUNTIFS('Product Order Book'!$A$2:$A$1057,$A121,'Product Order Book'!$E$2:$E$1057,D$3)/INDEX('Clean Package Product Lists'!$C:$C,MATCH(D$3,'Clean Package Product Lists'!$A:$A,0))),"")</f>
        <v>0</v>
      </c>
      <c r="E121" s="155">
        <f>IFERROR(MIN(1,COUNTIFS('Product Order Book'!$A$2:$A$1057,$A121,'Product Order Book'!$E$2:$E$1057,E$3)/INDEX('Clean Package Product Lists'!$C:$C,MATCH(E$3,'Clean Package Product Lists'!$A:$A,0))),"")</f>
        <v>0</v>
      </c>
      <c r="F121" s="155">
        <f>IFERROR(MIN(1,COUNTIFS('Product Order Book'!$A$2:$A$1057,$A121,'Product Order Book'!$E$2:$E$1057,F$3)/INDEX('Clean Package Product Lists'!$C:$C,MATCH(F$3,'Clean Package Product Lists'!$A:$A,0))),"")</f>
        <v>0.66666666666666663</v>
      </c>
      <c r="G121" s="155">
        <f>IFERROR(MIN(1,COUNTIFS('Product Order Book'!$A$2:$A$1057,$A121,'Product Order Book'!$E$2:$E$1057,G$3)/INDEX('Clean Package Product Lists'!$C:$C,MATCH(G$3,'Clean Package Product Lists'!$A:$A,0))),"")</f>
        <v>0</v>
      </c>
      <c r="H121" s="155">
        <f>IFERROR(MIN(1,COUNTIFS('Product Order Book'!$A$2:$A$1057,$A121,'Product Order Book'!$E$2:$E$1057,H$3)/INDEX('Clean Package Product Lists'!$C:$C,MATCH(H$3,'Clean Package Product Lists'!$A:$A,0))),"")</f>
        <v>0</v>
      </c>
      <c r="I121" s="155">
        <f>IFERROR(MIN(1,COUNTIFS('Product Order Book'!$A$2:$A$1057,$A121,'Product Order Book'!$E$2:$E$1057,I$3)/INDEX('Clean Package Product Lists'!$C:$C,MATCH(I$3,'Clean Package Product Lists'!$A:$A,0))),"")</f>
        <v>0</v>
      </c>
      <c r="J121" s="155">
        <f>IFERROR(MIN(1,COUNTIFS('Product Order Book'!$A$2:$A$1057,$A121,'Product Order Book'!$E$2:$E$1057,J$3)/INDEX('Clean Package Product Lists'!$C:$C,MATCH(J$3,'Clean Package Product Lists'!$A:$A,0))),"")</f>
        <v>0</v>
      </c>
      <c r="K121" s="155">
        <f>IFERROR(MIN(1,COUNTIFS('Product Order Book'!$A$2:$A$1057,$A121,'Product Order Book'!$E$2:$E$1057,K$3)/INDEX('Clean Package Product Lists'!$C:$C,MATCH(K$3,'Clean Package Product Lists'!$A:$A,0))),"")</f>
        <v>0</v>
      </c>
      <c r="L121" s="154"/>
      <c r="M121" s="156" t="str">
        <f>IF(COUNTIFS('Product Order Book'!$A:$A,$A121,'Product Order Book'!$E:$E,M$3)&gt;0,"✓ Takes",IF(IFERROR(VLOOKUP($A121,'Whitespace Analysis'!$A:$AH,12,0),0)=1,"◎ Should","– N/A"))</f>
        <v>✓ Takes</v>
      </c>
      <c r="N121" s="156" t="str">
        <f>IF(COUNTIFS('Product Order Book'!$A:$A,$A121,'Product Order Book'!$E:$E,N$3)&gt;0,"✓ Takes",IF(IFERROR(VLOOKUP($A121,'Whitespace Analysis'!$A:$AH,20,0),0)=1,"◎ Should","– N/A"))</f>
        <v>◎ Should</v>
      </c>
      <c r="O121" s="156" t="str">
        <f>IF(COUNTIFS('Product Order Book'!$A:$A,$A121,'Product Order Book'!$E:$E,O$3)&gt;0,"✓ Takes",IF(IFERROR(VLOOKUP($A121,'Whitespace Analysis'!$A:$AH,22,0),0)=1,"◎ Should","– N/A"))</f>
        <v>◎ Should</v>
      </c>
      <c r="P121" s="156" t="str">
        <f>IF(COUNTIFS('Product Order Book'!$A:$A,$A121,'Product Order Book'!$E:$E,P$3)&gt;0,"✓ Takes",IF(IFERROR(VLOOKUP($A121,'Whitespace Analysis'!$A:$AH,24,0),0)=1,"◎ Should","– N/A"))</f>
        <v>◎ Should</v>
      </c>
      <c r="Q121" s="156" t="str">
        <f>IF(COUNTIFS('Product Order Book'!$A:$A,$A121,'Product Order Book'!$E:$E,Q$3)&gt;0,"✓ Takes",IF(IFERROR(VLOOKUP($A121,'Whitespace Analysis'!$A:$AH,26,0),0)=1,"◎ Should","– N/A"))</f>
        <v>✓ Takes</v>
      </c>
      <c r="R121" s="156" t="str">
        <f>IF(COUNTIFS('Product Order Book'!$A:$A,$A121,'Product Order Book'!$E:$E,R$3)&gt;0,"✓ Takes",IF(IFERROR(VLOOKUP($A121,'Whitespace Analysis'!$A:$AH,16,0),0)=1,"◎ Should","– N/A"))</f>
        <v>– N/A</v>
      </c>
      <c r="S121" s="156" t="str">
        <f>IF(COUNTIFS('Product Order Book'!$A:$A,$A121,'Product Order Book'!$E:$E,S$3)&gt;0,"✓ Takes",IF(IFERROR(VLOOKUP($A121,'Whitespace Analysis'!$A:$AH,18,0),0)=1,"◎ Should","– N/A"))</f>
        <v>– N/A</v>
      </c>
      <c r="T121" s="156" t="str">
        <f>IF(COUNTIFS('Product Order Book'!$A:$A,$A121,'Product Order Book'!$E:$E,T$3)&gt;0,"✓ Takes",IF(IFERROR(VLOOKUP($A121,'Whitespace Analysis'!$A:$AH,28,0),0)=1,"◎ Should","– N/A"))</f>
        <v>– N/A</v>
      </c>
      <c r="U121" s="156" t="str">
        <f>IF(COUNTIFS('Product Order Book'!$A:$A,$A121,'Product Order Book'!$E:$E,U$3)&gt;0,"✓ Takes",IF(IFERROR(VLOOKUP($A121,'Whitespace Analysis'!$A:$AH,30,0),0)=1,"◎ Should","– N/A"))</f>
        <v>– N/A</v>
      </c>
      <c r="V121" s="156" t="str">
        <f>IF(COUNTIFS('Product Order Book'!$A:$A,$A121,'Product Order Book'!$E:$E,V$3)&gt;0,"✓ Takes",IF(IFERROR(VLOOKUP($A121,'Whitespace Analysis'!$A:$AH,14,0),0)=1,"◎ Should","– N/A"))</f>
        <v>◎ Should</v>
      </c>
    </row>
    <row r="122" spans="1:22" ht="15" customHeight="1">
      <c r="A122" s="154" t="str">
        <v>Motability Operations</v>
      </c>
      <c r="B122" s="155">
        <f>IFERROR(MIN(1,COUNTIFS('Product Order Book'!$A$2:$A$1057,$A122,'Product Order Book'!$E$2:$E$1057,B$3)/INDEX('Clean Package Product Lists'!$C:$C,MATCH(B$3,'Clean Package Product Lists'!$A:$A,0))),"")</f>
        <v>0</v>
      </c>
      <c r="C122" s="155">
        <f>IFERROR(MIN(1,COUNTIFS('Product Order Book'!$A$2:$A$1057,$A122,'Product Order Book'!$E$2:$E$1057,C$3)/INDEX('Clean Package Product Lists'!$C:$C,MATCH(C$3,'Clean Package Product Lists'!$A:$A,0))),"")</f>
        <v>0</v>
      </c>
      <c r="D122" s="155">
        <f>IFERROR(MIN(1,COUNTIFS('Product Order Book'!$A$2:$A$1057,$A122,'Product Order Book'!$E$2:$E$1057,D$3)/INDEX('Clean Package Product Lists'!$C:$C,MATCH(D$3,'Clean Package Product Lists'!$A:$A,0))),"")</f>
        <v>0</v>
      </c>
      <c r="E122" s="155">
        <f>IFERROR(MIN(1,COUNTIFS('Product Order Book'!$A$2:$A$1057,$A122,'Product Order Book'!$E$2:$E$1057,E$3)/INDEX('Clean Package Product Lists'!$C:$C,MATCH(E$3,'Clean Package Product Lists'!$A:$A,0))),"")</f>
        <v>0</v>
      </c>
      <c r="F122" s="155">
        <f>IFERROR(MIN(1,COUNTIFS('Product Order Book'!$A$2:$A$1057,$A122,'Product Order Book'!$E$2:$E$1057,F$3)/INDEX('Clean Package Product Lists'!$C:$C,MATCH(F$3,'Clean Package Product Lists'!$A:$A,0))),"")</f>
        <v>0</v>
      </c>
      <c r="G122" s="155">
        <f>IFERROR(MIN(1,COUNTIFS('Product Order Book'!$A$2:$A$1057,$A122,'Product Order Book'!$E$2:$E$1057,G$3)/INDEX('Clean Package Product Lists'!$C:$C,MATCH(G$3,'Clean Package Product Lists'!$A:$A,0))),"")</f>
        <v>0</v>
      </c>
      <c r="H122" s="155">
        <f>IFERROR(MIN(1,COUNTIFS('Product Order Book'!$A$2:$A$1057,$A122,'Product Order Book'!$E$2:$E$1057,H$3)/INDEX('Clean Package Product Lists'!$C:$C,MATCH(H$3,'Clean Package Product Lists'!$A:$A,0))),"")</f>
        <v>0</v>
      </c>
      <c r="I122" s="155">
        <f>IFERROR(MIN(1,COUNTIFS('Product Order Book'!$A$2:$A$1057,$A122,'Product Order Book'!$E$2:$E$1057,I$3)/INDEX('Clean Package Product Lists'!$C:$C,MATCH(I$3,'Clean Package Product Lists'!$A:$A,0))),"")</f>
        <v>1</v>
      </c>
      <c r="J122" s="155">
        <f>IFERROR(MIN(1,COUNTIFS('Product Order Book'!$A$2:$A$1057,$A122,'Product Order Book'!$E$2:$E$1057,J$3)/INDEX('Clean Package Product Lists'!$C:$C,MATCH(J$3,'Clean Package Product Lists'!$A:$A,0))),"")</f>
        <v>0</v>
      </c>
      <c r="K122" s="155">
        <f>IFERROR(MIN(1,COUNTIFS('Product Order Book'!$A$2:$A$1057,$A122,'Product Order Book'!$E$2:$E$1057,K$3)/INDEX('Clean Package Product Lists'!$C:$C,MATCH(K$3,'Clean Package Product Lists'!$A:$A,0))),"")</f>
        <v>0</v>
      </c>
      <c r="L122" s="154"/>
      <c r="M122" s="156" t="str">
        <f>IF(COUNTIFS('Product Order Book'!$A:$A,$A122,'Product Order Book'!$E:$E,M$3)&gt;0,"✓ Takes",IF(IFERROR(VLOOKUP($A122,'Whitespace Analysis'!$A:$AH,12,0),0)=1,"◎ Should","– N/A"))</f>
        <v>◎ Should</v>
      </c>
      <c r="N122" s="156" t="str">
        <f>IF(COUNTIFS('Product Order Book'!$A:$A,$A122,'Product Order Book'!$E:$E,N$3)&gt;0,"✓ Takes",IF(IFERROR(VLOOKUP($A122,'Whitespace Analysis'!$A:$AH,20,0),0)=1,"◎ Should","– N/A"))</f>
        <v>– N/A</v>
      </c>
      <c r="O122" s="156" t="str">
        <f>IF(COUNTIFS('Product Order Book'!$A:$A,$A122,'Product Order Book'!$E:$E,O$3)&gt;0,"✓ Takes",IF(IFERROR(VLOOKUP($A122,'Whitespace Analysis'!$A:$AH,22,0),0)=1,"◎ Should","– N/A"))</f>
        <v>– N/A</v>
      </c>
      <c r="P122" s="156" t="str">
        <f>IF(COUNTIFS('Product Order Book'!$A:$A,$A122,'Product Order Book'!$E:$E,P$3)&gt;0,"✓ Takes",IF(IFERROR(VLOOKUP($A122,'Whitespace Analysis'!$A:$AH,24,0),0)=1,"◎ Should","– N/A"))</f>
        <v>– N/A</v>
      </c>
      <c r="Q122" s="156" t="str">
        <f>IF(COUNTIFS('Product Order Book'!$A:$A,$A122,'Product Order Book'!$E:$E,Q$3)&gt;0,"✓ Takes",IF(IFERROR(VLOOKUP($A122,'Whitespace Analysis'!$A:$AH,26,0),0)=1,"◎ Should","– N/A"))</f>
        <v>– N/A</v>
      </c>
      <c r="R122" s="156" t="str">
        <f>IF(COUNTIFS('Product Order Book'!$A:$A,$A122,'Product Order Book'!$E:$E,R$3)&gt;0,"✓ Takes",IF(IFERROR(VLOOKUP($A122,'Whitespace Analysis'!$A:$AH,16,0),0)=1,"◎ Should","– N/A"))</f>
        <v>– N/A</v>
      </c>
      <c r="S122" s="156" t="str">
        <f>IF(COUNTIFS('Product Order Book'!$A:$A,$A122,'Product Order Book'!$E:$E,S$3)&gt;0,"✓ Takes",IF(IFERROR(VLOOKUP($A122,'Whitespace Analysis'!$A:$AH,18,0),0)=1,"◎ Should","– N/A"))</f>
        <v>– N/A</v>
      </c>
      <c r="T122" s="156" t="str">
        <f>IF(COUNTIFS('Product Order Book'!$A:$A,$A122,'Product Order Book'!$E:$E,T$3)&gt;0,"✓ Takes",IF(IFERROR(VLOOKUP($A122,'Whitespace Analysis'!$A:$AH,28,0),0)=1,"◎ Should","– N/A"))</f>
        <v>✓ Takes</v>
      </c>
      <c r="U122" s="156" t="str">
        <f>IF(COUNTIFS('Product Order Book'!$A:$A,$A122,'Product Order Book'!$E:$E,U$3)&gt;0,"✓ Takes",IF(IFERROR(VLOOKUP($A122,'Whitespace Analysis'!$A:$AH,30,0),0)=1,"◎ Should","– N/A"))</f>
        <v>◎ Should</v>
      </c>
      <c r="V122" s="156" t="str">
        <f>IF(COUNTIFS('Product Order Book'!$A:$A,$A122,'Product Order Book'!$E:$E,V$3)&gt;0,"✓ Takes",IF(IFERROR(VLOOKUP($A122,'Whitespace Analysis'!$A:$AH,14,0),0)=1,"◎ Should","– N/A"))</f>
        <v>◎ Should</v>
      </c>
    </row>
    <row r="123" spans="1:22" ht="15" customHeight="1">
      <c r="A123" s="154" t="str">
        <v>Moto Hospitality Ltd</v>
      </c>
      <c r="B123" s="155">
        <f>IFERROR(MIN(1,COUNTIFS('Product Order Book'!$A$2:$A$1057,$A123,'Product Order Book'!$E$2:$E$1057,B$3)/INDEX('Clean Package Product Lists'!$C:$C,MATCH(B$3,'Clean Package Product Lists'!$A:$A,0))),"")</f>
        <v>1</v>
      </c>
      <c r="C123" s="155">
        <f>IFERROR(MIN(1,COUNTIFS('Product Order Book'!$A$2:$A$1057,$A123,'Product Order Book'!$E$2:$E$1057,C$3)/INDEX('Clean Package Product Lists'!$C:$C,MATCH(C$3,'Clean Package Product Lists'!$A:$A,0))),"")</f>
        <v>0</v>
      </c>
      <c r="D123" s="155">
        <f>IFERROR(MIN(1,COUNTIFS('Product Order Book'!$A$2:$A$1057,$A123,'Product Order Book'!$E$2:$E$1057,D$3)/INDEX('Clean Package Product Lists'!$C:$C,MATCH(D$3,'Clean Package Product Lists'!$A:$A,0))),"")</f>
        <v>0</v>
      </c>
      <c r="E123" s="155">
        <f>IFERROR(MIN(1,COUNTIFS('Product Order Book'!$A$2:$A$1057,$A123,'Product Order Book'!$E$2:$E$1057,E$3)/INDEX('Clean Package Product Lists'!$C:$C,MATCH(E$3,'Clean Package Product Lists'!$A:$A,0))),"")</f>
        <v>0</v>
      </c>
      <c r="F123" s="155">
        <f>IFERROR(MIN(1,COUNTIFS('Product Order Book'!$A$2:$A$1057,$A123,'Product Order Book'!$E$2:$E$1057,F$3)/INDEX('Clean Package Product Lists'!$C:$C,MATCH(F$3,'Clean Package Product Lists'!$A:$A,0))),"")</f>
        <v>0</v>
      </c>
      <c r="G123" s="155">
        <f>IFERROR(MIN(1,COUNTIFS('Product Order Book'!$A$2:$A$1057,$A123,'Product Order Book'!$E$2:$E$1057,G$3)/INDEX('Clean Package Product Lists'!$C:$C,MATCH(G$3,'Clean Package Product Lists'!$A:$A,0))),"")</f>
        <v>0</v>
      </c>
      <c r="H123" s="155">
        <f>IFERROR(MIN(1,COUNTIFS('Product Order Book'!$A$2:$A$1057,$A123,'Product Order Book'!$E$2:$E$1057,H$3)/INDEX('Clean Package Product Lists'!$C:$C,MATCH(H$3,'Clean Package Product Lists'!$A:$A,0))),"")</f>
        <v>0</v>
      </c>
      <c r="I123" s="155">
        <f>IFERROR(MIN(1,COUNTIFS('Product Order Book'!$A$2:$A$1057,$A123,'Product Order Book'!$E$2:$E$1057,I$3)/INDEX('Clean Package Product Lists'!$C:$C,MATCH(I$3,'Clean Package Product Lists'!$A:$A,0))),"")</f>
        <v>0</v>
      </c>
      <c r="J123" s="155">
        <f>IFERROR(MIN(1,COUNTIFS('Product Order Book'!$A$2:$A$1057,$A123,'Product Order Book'!$E$2:$E$1057,J$3)/INDEX('Clean Package Product Lists'!$C:$C,MATCH(J$3,'Clean Package Product Lists'!$A:$A,0))),"")</f>
        <v>1</v>
      </c>
      <c r="K123" s="155">
        <f>IFERROR(MIN(1,COUNTIFS('Product Order Book'!$A$2:$A$1057,$A123,'Product Order Book'!$E$2:$E$1057,K$3)/INDEX('Clean Package Product Lists'!$C:$C,MATCH(K$3,'Clean Package Product Lists'!$A:$A,0))),"")</f>
        <v>0</v>
      </c>
      <c r="L123" s="154"/>
      <c r="M123" s="156" t="str">
        <f>IF(COUNTIFS('Product Order Book'!$A:$A,$A123,'Product Order Book'!$E:$E,M$3)&gt;0,"✓ Takes",IF(IFERROR(VLOOKUP($A123,'Whitespace Analysis'!$A:$AH,12,0),0)=1,"◎ Should","– N/A"))</f>
        <v>✓ Takes</v>
      </c>
      <c r="N123" s="156" t="str">
        <f>IF(COUNTIFS('Product Order Book'!$A:$A,$A123,'Product Order Book'!$E:$E,N$3)&gt;0,"✓ Takes",IF(IFERROR(VLOOKUP($A123,'Whitespace Analysis'!$A:$AH,20,0),0)=1,"◎ Should","– N/A"))</f>
        <v>– N/A</v>
      </c>
      <c r="O123" s="156" t="str">
        <f>IF(COUNTIFS('Product Order Book'!$A:$A,$A123,'Product Order Book'!$E:$E,O$3)&gt;0,"✓ Takes",IF(IFERROR(VLOOKUP($A123,'Whitespace Analysis'!$A:$AH,22,0),0)=1,"◎ Should","– N/A"))</f>
        <v>– N/A</v>
      </c>
      <c r="P123" s="156" t="str">
        <f>IF(COUNTIFS('Product Order Book'!$A:$A,$A123,'Product Order Book'!$E:$E,P$3)&gt;0,"✓ Takes",IF(IFERROR(VLOOKUP($A123,'Whitespace Analysis'!$A:$AH,24,0),0)=1,"◎ Should","– N/A"))</f>
        <v>– N/A</v>
      </c>
      <c r="Q123" s="156" t="str">
        <f>IF(COUNTIFS('Product Order Book'!$A:$A,$A123,'Product Order Book'!$E:$E,Q$3)&gt;0,"✓ Takes",IF(IFERROR(VLOOKUP($A123,'Whitespace Analysis'!$A:$AH,26,0),0)=1,"◎ Should","– N/A"))</f>
        <v>– N/A</v>
      </c>
      <c r="R123" s="156" t="str">
        <f>IF(COUNTIFS('Product Order Book'!$A:$A,$A123,'Product Order Book'!$E:$E,R$3)&gt;0,"✓ Takes",IF(IFERROR(VLOOKUP($A123,'Whitespace Analysis'!$A:$AH,16,0),0)=1,"◎ Should","– N/A"))</f>
        <v>– N/A</v>
      </c>
      <c r="S123" s="156" t="str">
        <f>IF(COUNTIFS('Product Order Book'!$A:$A,$A123,'Product Order Book'!$E:$E,S$3)&gt;0,"✓ Takes",IF(IFERROR(VLOOKUP($A123,'Whitespace Analysis'!$A:$AH,18,0),0)=1,"◎ Should","– N/A"))</f>
        <v>– N/A</v>
      </c>
      <c r="T123" s="156" t="str">
        <f>IF(COUNTIFS('Product Order Book'!$A:$A,$A123,'Product Order Book'!$E:$E,T$3)&gt;0,"✓ Takes",IF(IFERROR(VLOOKUP($A123,'Whitespace Analysis'!$A:$AH,28,0),0)=1,"◎ Should","– N/A"))</f>
        <v>◎ Should</v>
      </c>
      <c r="U123" s="156" t="str">
        <f>IF(COUNTIFS('Product Order Book'!$A:$A,$A123,'Product Order Book'!$E:$E,U$3)&gt;0,"✓ Takes",IF(IFERROR(VLOOKUP($A123,'Whitespace Analysis'!$A:$AH,30,0),0)=1,"◎ Should","– N/A"))</f>
        <v>✓ Takes</v>
      </c>
      <c r="V123" s="156" t="str">
        <f>IF(COUNTIFS('Product Order Book'!$A:$A,$A123,'Product Order Book'!$E:$E,V$3)&gt;0,"✓ Takes",IF(IFERROR(VLOOKUP($A123,'Whitespace Analysis'!$A:$AH,14,0),0)=1,"◎ Should","– N/A"))</f>
        <v>◎ Should</v>
      </c>
    </row>
    <row r="124" spans="1:22" ht="15" customHeight="1">
      <c r="A124" s="154" t="str">
        <v>Mutual Energy Limited</v>
      </c>
      <c r="B124" s="155">
        <f>IFERROR(MIN(1,COUNTIFS('Product Order Book'!$A$2:$A$1057,$A124,'Product Order Book'!$E$2:$E$1057,B$3)/INDEX('Clean Package Product Lists'!$C:$C,MATCH(B$3,'Clean Package Product Lists'!$A:$A,0))),"")</f>
        <v>0</v>
      </c>
      <c r="C124" s="155">
        <f>IFERROR(MIN(1,COUNTIFS('Product Order Book'!$A$2:$A$1057,$A124,'Product Order Book'!$E$2:$E$1057,C$3)/INDEX('Clean Package Product Lists'!$C:$C,MATCH(C$3,'Clean Package Product Lists'!$A:$A,0))),"")</f>
        <v>0</v>
      </c>
      <c r="D124" s="155">
        <f>IFERROR(MIN(1,COUNTIFS('Product Order Book'!$A$2:$A$1057,$A124,'Product Order Book'!$E$2:$E$1057,D$3)/INDEX('Clean Package Product Lists'!$C:$C,MATCH(D$3,'Clean Package Product Lists'!$A:$A,0))),"")</f>
        <v>0</v>
      </c>
      <c r="E124" s="155">
        <f>IFERROR(MIN(1,COUNTIFS('Product Order Book'!$A$2:$A$1057,$A124,'Product Order Book'!$E$2:$E$1057,E$3)/INDEX('Clean Package Product Lists'!$C:$C,MATCH(E$3,'Clean Package Product Lists'!$A:$A,0))),"")</f>
        <v>0</v>
      </c>
      <c r="F124" s="155">
        <f>IFERROR(MIN(1,COUNTIFS('Product Order Book'!$A$2:$A$1057,$A124,'Product Order Book'!$E$2:$E$1057,F$3)/INDEX('Clean Package Product Lists'!$C:$C,MATCH(F$3,'Clean Package Product Lists'!$A:$A,0))),"")</f>
        <v>0</v>
      </c>
      <c r="G124" s="155">
        <f>IFERROR(MIN(1,COUNTIFS('Product Order Book'!$A$2:$A$1057,$A124,'Product Order Book'!$E$2:$E$1057,G$3)/INDEX('Clean Package Product Lists'!$C:$C,MATCH(G$3,'Clean Package Product Lists'!$A:$A,0))),"")</f>
        <v>0</v>
      </c>
      <c r="H124" s="155">
        <f>IFERROR(MIN(1,COUNTIFS('Product Order Book'!$A$2:$A$1057,$A124,'Product Order Book'!$E$2:$E$1057,H$3)/INDEX('Clean Package Product Lists'!$C:$C,MATCH(H$3,'Clean Package Product Lists'!$A:$A,0))),"")</f>
        <v>0</v>
      </c>
      <c r="I124" s="155">
        <f>IFERROR(MIN(1,COUNTIFS('Product Order Book'!$A$2:$A$1057,$A124,'Product Order Book'!$E$2:$E$1057,I$3)/INDEX('Clean Package Product Lists'!$C:$C,MATCH(I$3,'Clean Package Product Lists'!$A:$A,0))),"")</f>
        <v>0</v>
      </c>
      <c r="J124" s="155">
        <f>IFERROR(MIN(1,COUNTIFS('Product Order Book'!$A$2:$A$1057,$A124,'Product Order Book'!$E$2:$E$1057,J$3)/INDEX('Clean Package Product Lists'!$C:$C,MATCH(J$3,'Clean Package Product Lists'!$A:$A,0))),"")</f>
        <v>0</v>
      </c>
      <c r="K124" s="155">
        <f>IFERROR(MIN(1,COUNTIFS('Product Order Book'!$A$2:$A$1057,$A124,'Product Order Book'!$E$2:$E$1057,K$3)/INDEX('Clean Package Product Lists'!$C:$C,MATCH(K$3,'Clean Package Product Lists'!$A:$A,0))),"")</f>
        <v>0</v>
      </c>
      <c r="L124" s="154"/>
      <c r="M124" s="156" t="str">
        <f>IF(COUNTIFS('Product Order Book'!$A:$A,$A124,'Product Order Book'!$E:$E,M$3)&gt;0,"✓ Takes",IF(IFERROR(VLOOKUP($A124,'Whitespace Analysis'!$A:$AH,12,0),0)=1,"◎ Should","– N/A"))</f>
        <v>– N/A</v>
      </c>
      <c r="N124" s="156" t="str">
        <f>IF(COUNTIFS('Product Order Book'!$A:$A,$A124,'Product Order Book'!$E:$E,N$3)&gt;0,"✓ Takes",IF(IFERROR(VLOOKUP($A124,'Whitespace Analysis'!$A:$AH,20,0),0)=1,"◎ Should","– N/A"))</f>
        <v>– N/A</v>
      </c>
      <c r="O124" s="156" t="str">
        <f>IF(COUNTIFS('Product Order Book'!$A:$A,$A124,'Product Order Book'!$E:$E,O$3)&gt;0,"✓ Takes",IF(IFERROR(VLOOKUP($A124,'Whitespace Analysis'!$A:$AH,22,0),0)=1,"◎ Should","– N/A"))</f>
        <v>– N/A</v>
      </c>
      <c r="P124" s="156" t="str">
        <f>IF(COUNTIFS('Product Order Book'!$A:$A,$A124,'Product Order Book'!$E:$E,P$3)&gt;0,"✓ Takes",IF(IFERROR(VLOOKUP($A124,'Whitespace Analysis'!$A:$AH,24,0),0)=1,"◎ Should","– N/A"))</f>
        <v>– N/A</v>
      </c>
      <c r="Q124" s="156" t="str">
        <f>IF(COUNTIFS('Product Order Book'!$A:$A,$A124,'Product Order Book'!$E:$E,Q$3)&gt;0,"✓ Takes",IF(IFERROR(VLOOKUP($A124,'Whitespace Analysis'!$A:$AH,26,0),0)=1,"◎ Should","– N/A"))</f>
        <v>– N/A</v>
      </c>
      <c r="R124" s="156" t="str">
        <f>IF(COUNTIFS('Product Order Book'!$A:$A,$A124,'Product Order Book'!$E:$E,R$3)&gt;0,"✓ Takes",IF(IFERROR(VLOOKUP($A124,'Whitespace Analysis'!$A:$AH,16,0),0)=1,"◎ Should","– N/A"))</f>
        <v>– N/A</v>
      </c>
      <c r="S124" s="156" t="str">
        <f>IF(COUNTIFS('Product Order Book'!$A:$A,$A124,'Product Order Book'!$E:$E,S$3)&gt;0,"✓ Takes",IF(IFERROR(VLOOKUP($A124,'Whitespace Analysis'!$A:$AH,18,0),0)=1,"◎ Should","– N/A"))</f>
        <v>– N/A</v>
      </c>
      <c r="T124" s="156" t="str">
        <f>IF(COUNTIFS('Product Order Book'!$A:$A,$A124,'Product Order Book'!$E:$E,T$3)&gt;0,"✓ Takes",IF(IFERROR(VLOOKUP($A124,'Whitespace Analysis'!$A:$AH,28,0),0)=1,"◎ Should","– N/A"))</f>
        <v>– N/A</v>
      </c>
      <c r="U124" s="156" t="str">
        <f>IF(COUNTIFS('Product Order Book'!$A:$A,$A124,'Product Order Book'!$E:$E,U$3)&gt;0,"✓ Takes",IF(IFERROR(VLOOKUP($A124,'Whitespace Analysis'!$A:$AH,30,0),0)=1,"◎ Should","– N/A"))</f>
        <v>– N/A</v>
      </c>
      <c r="V124" s="156" t="str">
        <f>IF(COUNTIFS('Product Order Book'!$A:$A,$A124,'Product Order Book'!$E:$E,V$3)&gt;0,"✓ Takes",IF(IFERROR(VLOOKUP($A124,'Whitespace Analysis'!$A:$AH,14,0),0)=1,"◎ Should","– N/A"))</f>
        <v>– N/A</v>
      </c>
    </row>
    <row r="125" spans="1:22" ht="15" customHeight="1">
      <c r="A125" s="154" t="str">
        <v>Nadara Limited</v>
      </c>
      <c r="B125" s="155">
        <f>IFERROR(MIN(1,COUNTIFS('Product Order Book'!$A$2:$A$1057,$A125,'Product Order Book'!$E$2:$E$1057,B$3)/INDEX('Clean Package Product Lists'!$C:$C,MATCH(B$3,'Clean Package Product Lists'!$A:$A,0))),"")</f>
        <v>0</v>
      </c>
      <c r="C125" s="155">
        <f>IFERROR(MIN(1,COUNTIFS('Product Order Book'!$A$2:$A$1057,$A125,'Product Order Book'!$E$2:$E$1057,C$3)/INDEX('Clean Package Product Lists'!$C:$C,MATCH(C$3,'Clean Package Product Lists'!$A:$A,0))),"")</f>
        <v>0.14285714285714285</v>
      </c>
      <c r="D125" s="155">
        <f>IFERROR(MIN(1,COUNTIFS('Product Order Book'!$A$2:$A$1057,$A125,'Product Order Book'!$E$2:$E$1057,D$3)/INDEX('Clean Package Product Lists'!$C:$C,MATCH(D$3,'Clean Package Product Lists'!$A:$A,0))),"")</f>
        <v>0</v>
      </c>
      <c r="E125" s="155">
        <f>IFERROR(MIN(1,COUNTIFS('Product Order Book'!$A$2:$A$1057,$A125,'Product Order Book'!$E$2:$E$1057,E$3)/INDEX('Clean Package Product Lists'!$C:$C,MATCH(E$3,'Clean Package Product Lists'!$A:$A,0))),"")</f>
        <v>0.25</v>
      </c>
      <c r="F125" s="155">
        <f>IFERROR(MIN(1,COUNTIFS('Product Order Book'!$A$2:$A$1057,$A125,'Product Order Book'!$E$2:$E$1057,F$3)/INDEX('Clean Package Product Lists'!$C:$C,MATCH(F$3,'Clean Package Product Lists'!$A:$A,0))),"")</f>
        <v>0.66666666666666663</v>
      </c>
      <c r="G125" s="155">
        <f>IFERROR(MIN(1,COUNTIFS('Product Order Book'!$A$2:$A$1057,$A125,'Product Order Book'!$E$2:$E$1057,G$3)/INDEX('Clean Package Product Lists'!$C:$C,MATCH(G$3,'Clean Package Product Lists'!$A:$A,0))),"")</f>
        <v>0</v>
      </c>
      <c r="H125" s="155">
        <f>IFERROR(MIN(1,COUNTIFS('Product Order Book'!$A$2:$A$1057,$A125,'Product Order Book'!$E$2:$E$1057,H$3)/INDEX('Clean Package Product Lists'!$C:$C,MATCH(H$3,'Clean Package Product Lists'!$A:$A,0))),"")</f>
        <v>0</v>
      </c>
      <c r="I125" s="155">
        <f>IFERROR(MIN(1,COUNTIFS('Product Order Book'!$A$2:$A$1057,$A125,'Product Order Book'!$E$2:$E$1057,I$3)/INDEX('Clean Package Product Lists'!$C:$C,MATCH(I$3,'Clean Package Product Lists'!$A:$A,0))),"")</f>
        <v>0</v>
      </c>
      <c r="J125" s="155">
        <f>IFERROR(MIN(1,COUNTIFS('Product Order Book'!$A$2:$A$1057,$A125,'Product Order Book'!$E$2:$E$1057,J$3)/INDEX('Clean Package Product Lists'!$C:$C,MATCH(J$3,'Clean Package Product Lists'!$A:$A,0))),"")</f>
        <v>0</v>
      </c>
      <c r="K125" s="155">
        <f>IFERROR(MIN(1,COUNTIFS('Product Order Book'!$A$2:$A$1057,$A125,'Product Order Book'!$E$2:$E$1057,K$3)/INDEX('Clean Package Product Lists'!$C:$C,MATCH(K$3,'Clean Package Product Lists'!$A:$A,0))),"")</f>
        <v>0</v>
      </c>
      <c r="L125" s="154"/>
      <c r="M125" s="156" t="str">
        <f>IF(COUNTIFS('Product Order Book'!$A:$A,$A125,'Product Order Book'!$E:$E,M$3)&gt;0,"✓ Takes",IF(IFERROR(VLOOKUP($A125,'Whitespace Analysis'!$A:$AH,12,0),0)=1,"◎ Should","– N/A"))</f>
        <v>◎ Should</v>
      </c>
      <c r="N125" s="156" t="str">
        <f>IF(COUNTIFS('Product Order Book'!$A:$A,$A125,'Product Order Book'!$E:$E,N$3)&gt;0,"✓ Takes",IF(IFERROR(VLOOKUP($A125,'Whitespace Analysis'!$A:$AH,20,0),0)=1,"◎ Should","– N/A"))</f>
        <v>✓ Takes</v>
      </c>
      <c r="O125" s="156" t="str">
        <f>IF(COUNTIFS('Product Order Book'!$A:$A,$A125,'Product Order Book'!$E:$E,O$3)&gt;0,"✓ Takes",IF(IFERROR(VLOOKUP($A125,'Whitespace Analysis'!$A:$AH,22,0),0)=1,"◎ Should","– N/A"))</f>
        <v>◎ Should</v>
      </c>
      <c r="P125" s="156" t="str">
        <f>IF(COUNTIFS('Product Order Book'!$A:$A,$A125,'Product Order Book'!$E:$E,P$3)&gt;0,"✓ Takes",IF(IFERROR(VLOOKUP($A125,'Whitespace Analysis'!$A:$AH,24,0),0)=1,"◎ Should","– N/A"))</f>
        <v>✓ Takes</v>
      </c>
      <c r="Q125" s="156" t="str">
        <f>IF(COUNTIFS('Product Order Book'!$A:$A,$A125,'Product Order Book'!$E:$E,Q$3)&gt;0,"✓ Takes",IF(IFERROR(VLOOKUP($A125,'Whitespace Analysis'!$A:$AH,26,0),0)=1,"◎ Should","– N/A"))</f>
        <v>✓ Takes</v>
      </c>
      <c r="R125" s="156" t="str">
        <f>IF(COUNTIFS('Product Order Book'!$A:$A,$A125,'Product Order Book'!$E:$E,R$3)&gt;0,"✓ Takes",IF(IFERROR(VLOOKUP($A125,'Whitespace Analysis'!$A:$AH,16,0),0)=1,"◎ Should","– N/A"))</f>
        <v>– N/A</v>
      </c>
      <c r="S125" s="156" t="str">
        <f>IF(COUNTIFS('Product Order Book'!$A:$A,$A125,'Product Order Book'!$E:$E,S$3)&gt;0,"✓ Takes",IF(IFERROR(VLOOKUP($A125,'Whitespace Analysis'!$A:$AH,18,0),0)=1,"◎ Should","– N/A"))</f>
        <v>– N/A</v>
      </c>
      <c r="T125" s="156" t="str">
        <f>IF(COUNTIFS('Product Order Book'!$A:$A,$A125,'Product Order Book'!$E:$E,T$3)&gt;0,"✓ Takes",IF(IFERROR(VLOOKUP($A125,'Whitespace Analysis'!$A:$AH,28,0),0)=1,"◎ Should","– N/A"))</f>
        <v>– N/A</v>
      </c>
      <c r="U125" s="156" t="str">
        <f>IF(COUNTIFS('Product Order Book'!$A:$A,$A125,'Product Order Book'!$E:$E,U$3)&gt;0,"✓ Takes",IF(IFERROR(VLOOKUP($A125,'Whitespace Analysis'!$A:$AH,30,0),0)=1,"◎ Should","– N/A"))</f>
        <v>– N/A</v>
      </c>
      <c r="V125" s="156" t="str">
        <f>IF(COUNTIFS('Product Order Book'!$A:$A,$A125,'Product Order Book'!$E:$E,V$3)&gt;0,"✓ Takes",IF(IFERROR(VLOOKUP($A125,'Whitespace Analysis'!$A:$AH,14,0),0)=1,"◎ Should","– N/A"))</f>
        <v>◎ Should</v>
      </c>
    </row>
    <row r="126" spans="1:22" ht="15" customHeight="1">
      <c r="A126" s="154" t="str">
        <v>National Energy Action</v>
      </c>
      <c r="B126" s="155">
        <f>IFERROR(MIN(1,COUNTIFS('Product Order Book'!$A$2:$A$1057,$A126,'Product Order Book'!$E$2:$E$1057,B$3)/INDEX('Clean Package Product Lists'!$C:$C,MATCH(B$3,'Clean Package Product Lists'!$A:$A,0))),"")</f>
        <v>1</v>
      </c>
      <c r="C126" s="155">
        <f>IFERROR(MIN(1,COUNTIFS('Product Order Book'!$A$2:$A$1057,$A126,'Product Order Book'!$E$2:$E$1057,C$3)/INDEX('Clean Package Product Lists'!$C:$C,MATCH(C$3,'Clean Package Product Lists'!$A:$A,0))),"")</f>
        <v>0</v>
      </c>
      <c r="D126" s="155">
        <f>IFERROR(MIN(1,COUNTIFS('Product Order Book'!$A$2:$A$1057,$A126,'Product Order Book'!$E$2:$E$1057,D$3)/INDEX('Clean Package Product Lists'!$C:$C,MATCH(D$3,'Clean Package Product Lists'!$A:$A,0))),"")</f>
        <v>0</v>
      </c>
      <c r="E126" s="155">
        <f>IFERROR(MIN(1,COUNTIFS('Product Order Book'!$A$2:$A$1057,$A126,'Product Order Book'!$E$2:$E$1057,E$3)/INDEX('Clean Package Product Lists'!$C:$C,MATCH(E$3,'Clean Package Product Lists'!$A:$A,0))),"")</f>
        <v>0</v>
      </c>
      <c r="F126" s="155">
        <f>IFERROR(MIN(1,COUNTIFS('Product Order Book'!$A$2:$A$1057,$A126,'Product Order Book'!$E$2:$E$1057,F$3)/INDEX('Clean Package Product Lists'!$C:$C,MATCH(F$3,'Clean Package Product Lists'!$A:$A,0))),"")</f>
        <v>0</v>
      </c>
      <c r="G126" s="155">
        <f>IFERROR(MIN(1,COUNTIFS('Product Order Book'!$A$2:$A$1057,$A126,'Product Order Book'!$E$2:$E$1057,G$3)/INDEX('Clean Package Product Lists'!$C:$C,MATCH(G$3,'Clean Package Product Lists'!$A:$A,0))),"")</f>
        <v>0</v>
      </c>
      <c r="H126" s="155">
        <f>IFERROR(MIN(1,COUNTIFS('Product Order Book'!$A$2:$A$1057,$A126,'Product Order Book'!$E$2:$E$1057,H$3)/INDEX('Clean Package Product Lists'!$C:$C,MATCH(H$3,'Clean Package Product Lists'!$A:$A,0))),"")</f>
        <v>0</v>
      </c>
      <c r="I126" s="155">
        <f>IFERROR(MIN(1,COUNTIFS('Product Order Book'!$A$2:$A$1057,$A126,'Product Order Book'!$E$2:$E$1057,I$3)/INDEX('Clean Package Product Lists'!$C:$C,MATCH(I$3,'Clean Package Product Lists'!$A:$A,0))),"")</f>
        <v>0</v>
      </c>
      <c r="J126" s="155">
        <f>IFERROR(MIN(1,COUNTIFS('Product Order Book'!$A$2:$A$1057,$A126,'Product Order Book'!$E$2:$E$1057,J$3)/INDEX('Clean Package Product Lists'!$C:$C,MATCH(J$3,'Clean Package Product Lists'!$A:$A,0))),"")</f>
        <v>0</v>
      </c>
      <c r="K126" s="155">
        <f>IFERROR(MIN(1,COUNTIFS('Product Order Book'!$A$2:$A$1057,$A126,'Product Order Book'!$E$2:$E$1057,K$3)/INDEX('Clean Package Product Lists'!$C:$C,MATCH(K$3,'Clean Package Product Lists'!$A:$A,0))),"")</f>
        <v>0</v>
      </c>
      <c r="L126" s="154"/>
      <c r="M126" s="156" t="str">
        <f>IF(COUNTIFS('Product Order Book'!$A:$A,$A126,'Product Order Book'!$E:$E,M$3)&gt;0,"✓ Takes",IF(IFERROR(VLOOKUP($A126,'Whitespace Analysis'!$A:$AH,12,0),0)=1,"◎ Should","– N/A"))</f>
        <v>✓ Takes</v>
      </c>
      <c r="N126" s="156" t="str">
        <f>IF(COUNTIFS('Product Order Book'!$A:$A,$A126,'Product Order Book'!$E:$E,N$3)&gt;0,"✓ Takes",IF(IFERROR(VLOOKUP($A126,'Whitespace Analysis'!$A:$AH,20,0),0)=1,"◎ Should","– N/A"))</f>
        <v>– N/A</v>
      </c>
      <c r="O126" s="156" t="str">
        <f>IF(COUNTIFS('Product Order Book'!$A:$A,$A126,'Product Order Book'!$E:$E,O$3)&gt;0,"✓ Takes",IF(IFERROR(VLOOKUP($A126,'Whitespace Analysis'!$A:$AH,22,0),0)=1,"◎ Should","– N/A"))</f>
        <v>– N/A</v>
      </c>
      <c r="P126" s="156" t="str">
        <f>IF(COUNTIFS('Product Order Book'!$A:$A,$A126,'Product Order Book'!$E:$E,P$3)&gt;0,"✓ Takes",IF(IFERROR(VLOOKUP($A126,'Whitespace Analysis'!$A:$AH,24,0),0)=1,"◎ Should","– N/A"))</f>
        <v>– N/A</v>
      </c>
      <c r="Q126" s="156" t="str">
        <f>IF(COUNTIFS('Product Order Book'!$A:$A,$A126,'Product Order Book'!$E:$E,Q$3)&gt;0,"✓ Takes",IF(IFERROR(VLOOKUP($A126,'Whitespace Analysis'!$A:$AH,26,0),0)=1,"◎ Should","– N/A"))</f>
        <v>– N/A</v>
      </c>
      <c r="R126" s="156" t="str">
        <f>IF(COUNTIFS('Product Order Book'!$A:$A,$A126,'Product Order Book'!$E:$E,R$3)&gt;0,"✓ Takes",IF(IFERROR(VLOOKUP($A126,'Whitespace Analysis'!$A:$AH,16,0),0)=1,"◎ Should","– N/A"))</f>
        <v>– N/A</v>
      </c>
      <c r="S126" s="156" t="str">
        <f>IF(COUNTIFS('Product Order Book'!$A:$A,$A126,'Product Order Book'!$E:$E,S$3)&gt;0,"✓ Takes",IF(IFERROR(VLOOKUP($A126,'Whitespace Analysis'!$A:$AH,18,0),0)=1,"◎ Should","– N/A"))</f>
        <v>– N/A</v>
      </c>
      <c r="T126" s="156" t="str">
        <f>IF(COUNTIFS('Product Order Book'!$A:$A,$A126,'Product Order Book'!$E:$E,T$3)&gt;0,"✓ Takes",IF(IFERROR(VLOOKUP($A126,'Whitespace Analysis'!$A:$AH,28,0),0)=1,"◎ Should","– N/A"))</f>
        <v>– N/A</v>
      </c>
      <c r="U126" s="156" t="str">
        <f>IF(COUNTIFS('Product Order Book'!$A:$A,$A126,'Product Order Book'!$E:$E,U$3)&gt;0,"✓ Takes",IF(IFERROR(VLOOKUP($A126,'Whitespace Analysis'!$A:$AH,30,0),0)=1,"◎ Should","– N/A"))</f>
        <v>– N/A</v>
      </c>
      <c r="V126" s="156" t="str">
        <f>IF(COUNTIFS('Product Order Book'!$A:$A,$A126,'Product Order Book'!$E:$E,V$3)&gt;0,"✓ Takes",IF(IFERROR(VLOOKUP($A126,'Whitespace Analysis'!$A:$AH,14,0),0)=1,"◎ Should","– N/A"))</f>
        <v>– N/A</v>
      </c>
    </row>
    <row r="127" spans="1:22" ht="15" customHeight="1">
      <c r="A127" s="154" t="str">
        <v>National Energy Systems Operator Limited</v>
      </c>
      <c r="B127" s="155">
        <f>IFERROR(MIN(1,COUNTIFS('Product Order Book'!$A$2:$A$1057,$A127,'Product Order Book'!$E$2:$E$1057,B$3)/INDEX('Clean Package Product Lists'!$C:$C,MATCH(B$3,'Clean Package Product Lists'!$A:$A,0))),"")</f>
        <v>1</v>
      </c>
      <c r="C127" s="155">
        <f>IFERROR(MIN(1,COUNTIFS('Product Order Book'!$A$2:$A$1057,$A127,'Product Order Book'!$E$2:$E$1057,C$3)/INDEX('Clean Package Product Lists'!$C:$C,MATCH(C$3,'Clean Package Product Lists'!$A:$A,0))),"")</f>
        <v>0</v>
      </c>
      <c r="D127" s="155">
        <f>IFERROR(MIN(1,COUNTIFS('Product Order Book'!$A$2:$A$1057,$A127,'Product Order Book'!$E$2:$E$1057,D$3)/INDEX('Clean Package Product Lists'!$C:$C,MATCH(D$3,'Clean Package Product Lists'!$A:$A,0))),"")</f>
        <v>0</v>
      </c>
      <c r="E127" s="155">
        <f>IFERROR(MIN(1,COUNTIFS('Product Order Book'!$A$2:$A$1057,$A127,'Product Order Book'!$E$2:$E$1057,E$3)/INDEX('Clean Package Product Lists'!$C:$C,MATCH(E$3,'Clean Package Product Lists'!$A:$A,0))),"")</f>
        <v>0</v>
      </c>
      <c r="F127" s="155">
        <f>IFERROR(MIN(1,COUNTIFS('Product Order Book'!$A$2:$A$1057,$A127,'Product Order Book'!$E$2:$E$1057,F$3)/INDEX('Clean Package Product Lists'!$C:$C,MATCH(F$3,'Clean Package Product Lists'!$A:$A,0))),"")</f>
        <v>0</v>
      </c>
      <c r="G127" s="155">
        <f>IFERROR(MIN(1,COUNTIFS('Product Order Book'!$A$2:$A$1057,$A127,'Product Order Book'!$E$2:$E$1057,G$3)/INDEX('Clean Package Product Lists'!$C:$C,MATCH(G$3,'Clean Package Product Lists'!$A:$A,0))),"")</f>
        <v>1</v>
      </c>
      <c r="H127" s="155">
        <f>IFERROR(MIN(1,COUNTIFS('Product Order Book'!$A$2:$A$1057,$A127,'Product Order Book'!$E$2:$E$1057,H$3)/INDEX('Clean Package Product Lists'!$C:$C,MATCH(H$3,'Clean Package Product Lists'!$A:$A,0))),"")</f>
        <v>0</v>
      </c>
      <c r="I127" s="155">
        <f>IFERROR(MIN(1,COUNTIFS('Product Order Book'!$A$2:$A$1057,$A127,'Product Order Book'!$E$2:$E$1057,I$3)/INDEX('Clean Package Product Lists'!$C:$C,MATCH(I$3,'Clean Package Product Lists'!$A:$A,0))),"")</f>
        <v>1</v>
      </c>
      <c r="J127" s="155">
        <f>IFERROR(MIN(1,COUNTIFS('Product Order Book'!$A$2:$A$1057,$A127,'Product Order Book'!$E$2:$E$1057,J$3)/INDEX('Clean Package Product Lists'!$C:$C,MATCH(J$3,'Clean Package Product Lists'!$A:$A,0))),"")</f>
        <v>0</v>
      </c>
      <c r="K127" s="155">
        <f>IFERROR(MIN(1,COUNTIFS('Product Order Book'!$A$2:$A$1057,$A127,'Product Order Book'!$E$2:$E$1057,K$3)/INDEX('Clean Package Product Lists'!$C:$C,MATCH(K$3,'Clean Package Product Lists'!$A:$A,0))),"")</f>
        <v>0</v>
      </c>
      <c r="L127" s="154"/>
      <c r="M127" s="156" t="str">
        <f>IF(COUNTIFS('Product Order Book'!$A:$A,$A127,'Product Order Book'!$E:$E,M$3)&gt;0,"✓ Takes",IF(IFERROR(VLOOKUP($A127,'Whitespace Analysis'!$A:$AH,12,0),0)=1,"◎ Should","– N/A"))</f>
        <v>✓ Takes</v>
      </c>
      <c r="N127" s="156" t="str">
        <f>IF(COUNTIFS('Product Order Book'!$A:$A,$A127,'Product Order Book'!$E:$E,N$3)&gt;0,"✓ Takes",IF(IFERROR(VLOOKUP($A127,'Whitespace Analysis'!$A:$AH,20,0),0)=1,"◎ Should","– N/A"))</f>
        <v>– N/A</v>
      </c>
      <c r="O127" s="156" t="str">
        <f>IF(COUNTIFS('Product Order Book'!$A:$A,$A127,'Product Order Book'!$E:$E,O$3)&gt;0,"✓ Takes",IF(IFERROR(VLOOKUP($A127,'Whitespace Analysis'!$A:$AH,22,0),0)=1,"◎ Should","– N/A"))</f>
        <v>– N/A</v>
      </c>
      <c r="P127" s="156" t="str">
        <f>IF(COUNTIFS('Product Order Book'!$A:$A,$A127,'Product Order Book'!$E:$E,P$3)&gt;0,"✓ Takes",IF(IFERROR(VLOOKUP($A127,'Whitespace Analysis'!$A:$AH,24,0),0)=1,"◎ Should","– N/A"))</f>
        <v>– N/A</v>
      </c>
      <c r="Q127" s="156" t="str">
        <f>IF(COUNTIFS('Product Order Book'!$A:$A,$A127,'Product Order Book'!$E:$E,Q$3)&gt;0,"✓ Takes",IF(IFERROR(VLOOKUP($A127,'Whitespace Analysis'!$A:$AH,26,0),0)=1,"◎ Should","– N/A"))</f>
        <v>– N/A</v>
      </c>
      <c r="R127" s="156" t="str">
        <f>IF(COUNTIFS('Product Order Book'!$A:$A,$A127,'Product Order Book'!$E:$E,R$3)&gt;0,"✓ Takes",IF(IFERROR(VLOOKUP($A127,'Whitespace Analysis'!$A:$AH,16,0),0)=1,"◎ Should","– N/A"))</f>
        <v>✓ Takes</v>
      </c>
      <c r="S127" s="156" t="str">
        <f>IF(COUNTIFS('Product Order Book'!$A:$A,$A127,'Product Order Book'!$E:$E,S$3)&gt;0,"✓ Takes",IF(IFERROR(VLOOKUP($A127,'Whitespace Analysis'!$A:$AH,18,0),0)=1,"◎ Should","– N/A"))</f>
        <v>– N/A</v>
      </c>
      <c r="T127" s="156" t="str">
        <f>IF(COUNTIFS('Product Order Book'!$A:$A,$A127,'Product Order Book'!$E:$E,T$3)&gt;0,"✓ Takes",IF(IFERROR(VLOOKUP($A127,'Whitespace Analysis'!$A:$AH,28,0),0)=1,"◎ Should","– N/A"))</f>
        <v>✓ Takes</v>
      </c>
      <c r="U127" s="156" t="str">
        <f>IF(COUNTIFS('Product Order Book'!$A:$A,$A127,'Product Order Book'!$E:$E,U$3)&gt;0,"✓ Takes",IF(IFERROR(VLOOKUP($A127,'Whitespace Analysis'!$A:$AH,30,0),0)=1,"◎ Should","– N/A"))</f>
        <v>– N/A</v>
      </c>
      <c r="V127" s="156" t="str">
        <f>IF(COUNTIFS('Product Order Book'!$A:$A,$A127,'Product Order Book'!$E:$E,V$3)&gt;0,"✓ Takes",IF(IFERROR(VLOOKUP($A127,'Whitespace Analysis'!$A:$AH,14,0),0)=1,"◎ Should","– N/A"))</f>
        <v>– N/A</v>
      </c>
    </row>
    <row r="128" spans="1:22" ht="15" customHeight="1">
      <c r="A128" s="154" t="str">
        <v>National Grid Electricity Distribution (West Midlands) Plc</v>
      </c>
      <c r="B128" s="155">
        <f>IFERROR(MIN(1,COUNTIFS('Product Order Book'!$A$2:$A$1057,$A128,'Product Order Book'!$E$2:$E$1057,B$3)/INDEX('Clean Package Product Lists'!$C:$C,MATCH(B$3,'Clean Package Product Lists'!$A:$A,0))),"")</f>
        <v>1</v>
      </c>
      <c r="C128" s="155">
        <f>IFERROR(MIN(1,COUNTIFS('Product Order Book'!$A$2:$A$1057,$A128,'Product Order Book'!$E$2:$E$1057,C$3)/INDEX('Clean Package Product Lists'!$C:$C,MATCH(C$3,'Clean Package Product Lists'!$A:$A,0))),"")</f>
        <v>0</v>
      </c>
      <c r="D128" s="155">
        <f>IFERROR(MIN(1,COUNTIFS('Product Order Book'!$A$2:$A$1057,$A128,'Product Order Book'!$E$2:$E$1057,D$3)/INDEX('Clean Package Product Lists'!$C:$C,MATCH(D$3,'Clean Package Product Lists'!$A:$A,0))),"")</f>
        <v>0</v>
      </c>
      <c r="E128" s="155">
        <f>IFERROR(MIN(1,COUNTIFS('Product Order Book'!$A$2:$A$1057,$A128,'Product Order Book'!$E$2:$E$1057,E$3)/INDEX('Clean Package Product Lists'!$C:$C,MATCH(E$3,'Clean Package Product Lists'!$A:$A,0))),"")</f>
        <v>0</v>
      </c>
      <c r="F128" s="155">
        <f>IFERROR(MIN(1,COUNTIFS('Product Order Book'!$A$2:$A$1057,$A128,'Product Order Book'!$E$2:$E$1057,F$3)/INDEX('Clean Package Product Lists'!$C:$C,MATCH(F$3,'Clean Package Product Lists'!$A:$A,0))),"")</f>
        <v>0</v>
      </c>
      <c r="G128" s="155">
        <f>IFERROR(MIN(1,COUNTIFS('Product Order Book'!$A$2:$A$1057,$A128,'Product Order Book'!$E$2:$E$1057,G$3)/INDEX('Clean Package Product Lists'!$C:$C,MATCH(G$3,'Clean Package Product Lists'!$A:$A,0))),"")</f>
        <v>0</v>
      </c>
      <c r="H128" s="155">
        <f>IFERROR(MIN(1,COUNTIFS('Product Order Book'!$A$2:$A$1057,$A128,'Product Order Book'!$E$2:$E$1057,H$3)/INDEX('Clean Package Product Lists'!$C:$C,MATCH(H$3,'Clean Package Product Lists'!$A:$A,0))),"")</f>
        <v>0</v>
      </c>
      <c r="I128" s="155">
        <f>IFERROR(MIN(1,COUNTIFS('Product Order Book'!$A$2:$A$1057,$A128,'Product Order Book'!$E$2:$E$1057,I$3)/INDEX('Clean Package Product Lists'!$C:$C,MATCH(I$3,'Clean Package Product Lists'!$A:$A,0))),"")</f>
        <v>0</v>
      </c>
      <c r="J128" s="155">
        <f>IFERROR(MIN(1,COUNTIFS('Product Order Book'!$A$2:$A$1057,$A128,'Product Order Book'!$E$2:$E$1057,J$3)/INDEX('Clean Package Product Lists'!$C:$C,MATCH(J$3,'Clean Package Product Lists'!$A:$A,0))),"")</f>
        <v>0</v>
      </c>
      <c r="K128" s="155">
        <f>IFERROR(MIN(1,COUNTIFS('Product Order Book'!$A$2:$A$1057,$A128,'Product Order Book'!$E$2:$E$1057,K$3)/INDEX('Clean Package Product Lists'!$C:$C,MATCH(K$3,'Clean Package Product Lists'!$A:$A,0))),"")</f>
        <v>0</v>
      </c>
      <c r="L128" s="154"/>
      <c r="M128" s="156" t="str">
        <f>IF(COUNTIFS('Product Order Book'!$A:$A,$A128,'Product Order Book'!$E:$E,M$3)&gt;0,"✓ Takes",IF(IFERROR(VLOOKUP($A128,'Whitespace Analysis'!$A:$AH,12,0),0)=1,"◎ Should","– N/A"))</f>
        <v>✓ Takes</v>
      </c>
      <c r="N128" s="156" t="str">
        <f>IF(COUNTIFS('Product Order Book'!$A:$A,$A128,'Product Order Book'!$E:$E,N$3)&gt;0,"✓ Takes",IF(IFERROR(VLOOKUP($A128,'Whitespace Analysis'!$A:$AH,20,0),0)=1,"◎ Should","– N/A"))</f>
        <v>– N/A</v>
      </c>
      <c r="O128" s="156" t="str">
        <f>IF(COUNTIFS('Product Order Book'!$A:$A,$A128,'Product Order Book'!$E:$E,O$3)&gt;0,"✓ Takes",IF(IFERROR(VLOOKUP($A128,'Whitespace Analysis'!$A:$AH,22,0),0)=1,"◎ Should","– N/A"))</f>
        <v>– N/A</v>
      </c>
      <c r="P128" s="156" t="str">
        <f>IF(COUNTIFS('Product Order Book'!$A:$A,$A128,'Product Order Book'!$E:$E,P$3)&gt;0,"✓ Takes",IF(IFERROR(VLOOKUP($A128,'Whitespace Analysis'!$A:$AH,24,0),0)=1,"◎ Should","– N/A"))</f>
        <v>– N/A</v>
      </c>
      <c r="Q128" s="156" t="str">
        <f>IF(COUNTIFS('Product Order Book'!$A:$A,$A128,'Product Order Book'!$E:$E,Q$3)&gt;0,"✓ Takes",IF(IFERROR(VLOOKUP($A128,'Whitespace Analysis'!$A:$AH,26,0),0)=1,"◎ Should","– N/A"))</f>
        <v>– N/A</v>
      </c>
      <c r="R128" s="156" t="str">
        <f>IF(COUNTIFS('Product Order Book'!$A:$A,$A128,'Product Order Book'!$E:$E,R$3)&gt;0,"✓ Takes",IF(IFERROR(VLOOKUP($A128,'Whitespace Analysis'!$A:$AH,16,0),0)=1,"◎ Should","– N/A"))</f>
        <v>– N/A</v>
      </c>
      <c r="S128" s="156" t="str">
        <f>IF(COUNTIFS('Product Order Book'!$A:$A,$A128,'Product Order Book'!$E:$E,S$3)&gt;0,"✓ Takes",IF(IFERROR(VLOOKUP($A128,'Whitespace Analysis'!$A:$AH,18,0),0)=1,"◎ Should","– N/A"))</f>
        <v>– N/A</v>
      </c>
      <c r="T128" s="156" t="str">
        <f>IF(COUNTIFS('Product Order Book'!$A:$A,$A128,'Product Order Book'!$E:$E,T$3)&gt;0,"✓ Takes",IF(IFERROR(VLOOKUP($A128,'Whitespace Analysis'!$A:$AH,28,0),0)=1,"◎ Should","– N/A"))</f>
        <v>– N/A</v>
      </c>
      <c r="U128" s="156" t="str">
        <f>IF(COUNTIFS('Product Order Book'!$A:$A,$A128,'Product Order Book'!$E:$E,U$3)&gt;0,"✓ Takes",IF(IFERROR(VLOOKUP($A128,'Whitespace Analysis'!$A:$AH,30,0),0)=1,"◎ Should","– N/A"))</f>
        <v>– N/A</v>
      </c>
      <c r="V128" s="156" t="str">
        <f>IF(COUNTIFS('Product Order Book'!$A:$A,$A128,'Product Order Book'!$E:$E,V$3)&gt;0,"✓ Takes",IF(IFERROR(VLOOKUP($A128,'Whitespace Analysis'!$A:$AH,14,0),0)=1,"◎ Should","– N/A"))</f>
        <v>– N/A</v>
      </c>
    </row>
    <row r="129" spans="1:22" ht="15" customHeight="1">
      <c r="A129" s="154" t="str">
        <v>National Grid Interconnectors Limited</v>
      </c>
      <c r="B129" s="155">
        <f>IFERROR(MIN(1,COUNTIFS('Product Order Book'!$A$2:$A$1057,$A129,'Product Order Book'!$E$2:$E$1057,B$3)/INDEX('Clean Package Product Lists'!$C:$C,MATCH(B$3,'Clean Package Product Lists'!$A:$A,0))),"")</f>
        <v>1</v>
      </c>
      <c r="C129" s="155">
        <f>IFERROR(MIN(1,COUNTIFS('Product Order Book'!$A$2:$A$1057,$A129,'Product Order Book'!$E$2:$E$1057,C$3)/INDEX('Clean Package Product Lists'!$C:$C,MATCH(C$3,'Clean Package Product Lists'!$A:$A,0))),"")</f>
        <v>0</v>
      </c>
      <c r="D129" s="155">
        <f>IFERROR(MIN(1,COUNTIFS('Product Order Book'!$A$2:$A$1057,$A129,'Product Order Book'!$E$2:$E$1057,D$3)/INDEX('Clean Package Product Lists'!$C:$C,MATCH(D$3,'Clean Package Product Lists'!$A:$A,0))),"")</f>
        <v>0</v>
      </c>
      <c r="E129" s="155">
        <f>IFERROR(MIN(1,COUNTIFS('Product Order Book'!$A$2:$A$1057,$A129,'Product Order Book'!$E$2:$E$1057,E$3)/INDEX('Clean Package Product Lists'!$C:$C,MATCH(E$3,'Clean Package Product Lists'!$A:$A,0))),"")</f>
        <v>0</v>
      </c>
      <c r="F129" s="155">
        <f>IFERROR(MIN(1,COUNTIFS('Product Order Book'!$A$2:$A$1057,$A129,'Product Order Book'!$E$2:$E$1057,F$3)/INDEX('Clean Package Product Lists'!$C:$C,MATCH(F$3,'Clean Package Product Lists'!$A:$A,0))),"")</f>
        <v>0</v>
      </c>
      <c r="G129" s="155">
        <f>IFERROR(MIN(1,COUNTIFS('Product Order Book'!$A$2:$A$1057,$A129,'Product Order Book'!$E$2:$E$1057,G$3)/INDEX('Clean Package Product Lists'!$C:$C,MATCH(G$3,'Clean Package Product Lists'!$A:$A,0))),"")</f>
        <v>0</v>
      </c>
      <c r="H129" s="155">
        <f>IFERROR(MIN(1,COUNTIFS('Product Order Book'!$A$2:$A$1057,$A129,'Product Order Book'!$E$2:$E$1057,H$3)/INDEX('Clean Package Product Lists'!$C:$C,MATCH(H$3,'Clean Package Product Lists'!$A:$A,0))),"")</f>
        <v>0</v>
      </c>
      <c r="I129" s="155">
        <f>IFERROR(MIN(1,COUNTIFS('Product Order Book'!$A$2:$A$1057,$A129,'Product Order Book'!$E$2:$E$1057,I$3)/INDEX('Clean Package Product Lists'!$C:$C,MATCH(I$3,'Clean Package Product Lists'!$A:$A,0))),"")</f>
        <v>0</v>
      </c>
      <c r="J129" s="155">
        <f>IFERROR(MIN(1,COUNTIFS('Product Order Book'!$A$2:$A$1057,$A129,'Product Order Book'!$E$2:$E$1057,J$3)/INDEX('Clean Package Product Lists'!$C:$C,MATCH(J$3,'Clean Package Product Lists'!$A:$A,0))),"")</f>
        <v>0</v>
      </c>
      <c r="K129" s="155">
        <f>IFERROR(MIN(1,COUNTIFS('Product Order Book'!$A$2:$A$1057,$A129,'Product Order Book'!$E$2:$E$1057,K$3)/INDEX('Clean Package Product Lists'!$C:$C,MATCH(K$3,'Clean Package Product Lists'!$A:$A,0))),"")</f>
        <v>0</v>
      </c>
      <c r="L129" s="154"/>
      <c r="M129" s="156" t="str">
        <f>IF(COUNTIFS('Product Order Book'!$A:$A,$A129,'Product Order Book'!$E:$E,M$3)&gt;0,"✓ Takes",IF(IFERROR(VLOOKUP($A129,'Whitespace Analysis'!$A:$AH,12,0),0)=1,"◎ Should","– N/A"))</f>
        <v>✓ Takes</v>
      </c>
      <c r="N129" s="156" t="str">
        <f>IF(COUNTIFS('Product Order Book'!$A:$A,$A129,'Product Order Book'!$E:$E,N$3)&gt;0,"✓ Takes",IF(IFERROR(VLOOKUP($A129,'Whitespace Analysis'!$A:$AH,20,0),0)=1,"◎ Should","– N/A"))</f>
        <v>– N/A</v>
      </c>
      <c r="O129" s="156" t="str">
        <f>IF(COUNTIFS('Product Order Book'!$A:$A,$A129,'Product Order Book'!$E:$E,O$3)&gt;0,"✓ Takes",IF(IFERROR(VLOOKUP($A129,'Whitespace Analysis'!$A:$AH,22,0),0)=1,"◎ Should","– N/A"))</f>
        <v>– N/A</v>
      </c>
      <c r="P129" s="156" t="str">
        <f>IF(COUNTIFS('Product Order Book'!$A:$A,$A129,'Product Order Book'!$E:$E,P$3)&gt;0,"✓ Takes",IF(IFERROR(VLOOKUP($A129,'Whitespace Analysis'!$A:$AH,24,0),0)=1,"◎ Should","– N/A"))</f>
        <v>– N/A</v>
      </c>
      <c r="Q129" s="156" t="str">
        <f>IF(COUNTIFS('Product Order Book'!$A:$A,$A129,'Product Order Book'!$E:$E,Q$3)&gt;0,"✓ Takes",IF(IFERROR(VLOOKUP($A129,'Whitespace Analysis'!$A:$AH,26,0),0)=1,"◎ Should","– N/A"))</f>
        <v>– N/A</v>
      </c>
      <c r="R129" s="156" t="str">
        <f>IF(COUNTIFS('Product Order Book'!$A:$A,$A129,'Product Order Book'!$E:$E,R$3)&gt;0,"✓ Takes",IF(IFERROR(VLOOKUP($A129,'Whitespace Analysis'!$A:$AH,16,0),0)=1,"◎ Should","– N/A"))</f>
        <v>– N/A</v>
      </c>
      <c r="S129" s="156" t="str">
        <f>IF(COUNTIFS('Product Order Book'!$A:$A,$A129,'Product Order Book'!$E:$E,S$3)&gt;0,"✓ Takes",IF(IFERROR(VLOOKUP($A129,'Whitespace Analysis'!$A:$AH,18,0),0)=1,"◎ Should","– N/A"))</f>
        <v>– N/A</v>
      </c>
      <c r="T129" s="156" t="str">
        <f>IF(COUNTIFS('Product Order Book'!$A:$A,$A129,'Product Order Book'!$E:$E,T$3)&gt;0,"✓ Takes",IF(IFERROR(VLOOKUP($A129,'Whitespace Analysis'!$A:$AH,28,0),0)=1,"◎ Should","– N/A"))</f>
        <v>– N/A</v>
      </c>
      <c r="U129" s="156" t="str">
        <f>IF(COUNTIFS('Product Order Book'!$A:$A,$A129,'Product Order Book'!$E:$E,U$3)&gt;0,"✓ Takes",IF(IFERROR(VLOOKUP($A129,'Whitespace Analysis'!$A:$AH,30,0),0)=1,"◎ Should","– N/A"))</f>
        <v>– N/A</v>
      </c>
      <c r="V129" s="156" t="str">
        <f>IF(COUNTIFS('Product Order Book'!$A:$A,$A129,'Product Order Book'!$E:$E,V$3)&gt;0,"✓ Takes",IF(IFERROR(VLOOKUP($A129,'Whitespace Analysis'!$A:$AH,14,0),0)=1,"◎ Should","– N/A"))</f>
        <v>– N/A</v>
      </c>
    </row>
    <row r="130" spans="1:22" ht="15" customHeight="1">
      <c r="A130" s="154" t="str">
        <v>National Infrastructure and Service Transformation Authority</v>
      </c>
      <c r="B130" s="155">
        <f>IFERROR(MIN(1,COUNTIFS('Product Order Book'!$A$2:$A$1057,$A130,'Product Order Book'!$E$2:$E$1057,B$3)/INDEX('Clean Package Product Lists'!$C:$C,MATCH(B$3,'Clean Package Product Lists'!$A:$A,0))),"")</f>
        <v>1</v>
      </c>
      <c r="C130" s="155">
        <f>IFERROR(MIN(1,COUNTIFS('Product Order Book'!$A$2:$A$1057,$A130,'Product Order Book'!$E$2:$E$1057,C$3)/INDEX('Clean Package Product Lists'!$C:$C,MATCH(C$3,'Clean Package Product Lists'!$A:$A,0))),"")</f>
        <v>0</v>
      </c>
      <c r="D130" s="155">
        <f>IFERROR(MIN(1,COUNTIFS('Product Order Book'!$A$2:$A$1057,$A130,'Product Order Book'!$E$2:$E$1057,D$3)/INDEX('Clean Package Product Lists'!$C:$C,MATCH(D$3,'Clean Package Product Lists'!$A:$A,0))),"")</f>
        <v>0</v>
      </c>
      <c r="E130" s="155">
        <f>IFERROR(MIN(1,COUNTIFS('Product Order Book'!$A$2:$A$1057,$A130,'Product Order Book'!$E$2:$E$1057,E$3)/INDEX('Clean Package Product Lists'!$C:$C,MATCH(E$3,'Clean Package Product Lists'!$A:$A,0))),"")</f>
        <v>0</v>
      </c>
      <c r="F130" s="155">
        <f>IFERROR(MIN(1,COUNTIFS('Product Order Book'!$A$2:$A$1057,$A130,'Product Order Book'!$E$2:$E$1057,F$3)/INDEX('Clean Package Product Lists'!$C:$C,MATCH(F$3,'Clean Package Product Lists'!$A:$A,0))),"")</f>
        <v>0</v>
      </c>
      <c r="G130" s="155">
        <f>IFERROR(MIN(1,COUNTIFS('Product Order Book'!$A$2:$A$1057,$A130,'Product Order Book'!$E$2:$E$1057,G$3)/INDEX('Clean Package Product Lists'!$C:$C,MATCH(G$3,'Clean Package Product Lists'!$A:$A,0))),"")</f>
        <v>0</v>
      </c>
      <c r="H130" s="155">
        <f>IFERROR(MIN(1,COUNTIFS('Product Order Book'!$A$2:$A$1057,$A130,'Product Order Book'!$E$2:$E$1057,H$3)/INDEX('Clean Package Product Lists'!$C:$C,MATCH(H$3,'Clean Package Product Lists'!$A:$A,0))),"")</f>
        <v>0</v>
      </c>
      <c r="I130" s="155">
        <f>IFERROR(MIN(1,COUNTIFS('Product Order Book'!$A$2:$A$1057,$A130,'Product Order Book'!$E$2:$E$1057,I$3)/INDEX('Clean Package Product Lists'!$C:$C,MATCH(I$3,'Clean Package Product Lists'!$A:$A,0))),"")</f>
        <v>0</v>
      </c>
      <c r="J130" s="155">
        <f>IFERROR(MIN(1,COUNTIFS('Product Order Book'!$A$2:$A$1057,$A130,'Product Order Book'!$E$2:$E$1057,J$3)/INDEX('Clean Package Product Lists'!$C:$C,MATCH(J$3,'Clean Package Product Lists'!$A:$A,0))),"")</f>
        <v>0</v>
      </c>
      <c r="K130" s="155">
        <f>IFERROR(MIN(1,COUNTIFS('Product Order Book'!$A$2:$A$1057,$A130,'Product Order Book'!$E$2:$E$1057,K$3)/INDEX('Clean Package Product Lists'!$C:$C,MATCH(K$3,'Clean Package Product Lists'!$A:$A,0))),"")</f>
        <v>0</v>
      </c>
      <c r="L130" s="154"/>
      <c r="M130" s="156" t="str">
        <f>IF(COUNTIFS('Product Order Book'!$A:$A,$A130,'Product Order Book'!$E:$E,M$3)&gt;0,"✓ Takes",IF(IFERROR(VLOOKUP($A130,'Whitespace Analysis'!$A:$AH,12,0),0)=1,"◎ Should","– N/A"))</f>
        <v>✓ Takes</v>
      </c>
      <c r="N130" s="156" t="str">
        <f>IF(COUNTIFS('Product Order Book'!$A:$A,$A130,'Product Order Book'!$E:$E,N$3)&gt;0,"✓ Takes",IF(IFERROR(VLOOKUP($A130,'Whitespace Analysis'!$A:$AH,20,0),0)=1,"◎ Should","– N/A"))</f>
        <v>– N/A</v>
      </c>
      <c r="O130" s="156" t="str">
        <f>IF(COUNTIFS('Product Order Book'!$A:$A,$A130,'Product Order Book'!$E:$E,O$3)&gt;0,"✓ Takes",IF(IFERROR(VLOOKUP($A130,'Whitespace Analysis'!$A:$AH,22,0),0)=1,"◎ Should","– N/A"))</f>
        <v>– N/A</v>
      </c>
      <c r="P130" s="156" t="str">
        <f>IF(COUNTIFS('Product Order Book'!$A:$A,$A130,'Product Order Book'!$E:$E,P$3)&gt;0,"✓ Takes",IF(IFERROR(VLOOKUP($A130,'Whitespace Analysis'!$A:$AH,24,0),0)=1,"◎ Should","– N/A"))</f>
        <v>– N/A</v>
      </c>
      <c r="Q130" s="156" t="str">
        <f>IF(COUNTIFS('Product Order Book'!$A:$A,$A130,'Product Order Book'!$E:$E,Q$3)&gt;0,"✓ Takes",IF(IFERROR(VLOOKUP($A130,'Whitespace Analysis'!$A:$AH,26,0),0)=1,"◎ Should","– N/A"))</f>
        <v>– N/A</v>
      </c>
      <c r="R130" s="156" t="str">
        <f>IF(COUNTIFS('Product Order Book'!$A:$A,$A130,'Product Order Book'!$E:$E,R$3)&gt;0,"✓ Takes",IF(IFERROR(VLOOKUP($A130,'Whitespace Analysis'!$A:$AH,16,0),0)=1,"◎ Should","– N/A"))</f>
        <v>– N/A</v>
      </c>
      <c r="S130" s="156" t="str">
        <f>IF(COUNTIFS('Product Order Book'!$A:$A,$A130,'Product Order Book'!$E:$E,S$3)&gt;0,"✓ Takes",IF(IFERROR(VLOOKUP($A130,'Whitespace Analysis'!$A:$AH,18,0),0)=1,"◎ Should","– N/A"))</f>
        <v>– N/A</v>
      </c>
      <c r="T130" s="156" t="str">
        <f>IF(COUNTIFS('Product Order Book'!$A:$A,$A130,'Product Order Book'!$E:$E,T$3)&gt;0,"✓ Takes",IF(IFERROR(VLOOKUP($A130,'Whitespace Analysis'!$A:$AH,28,0),0)=1,"◎ Should","– N/A"))</f>
        <v>– N/A</v>
      </c>
      <c r="U130" s="156" t="str">
        <f>IF(COUNTIFS('Product Order Book'!$A:$A,$A130,'Product Order Book'!$E:$E,U$3)&gt;0,"✓ Takes",IF(IFERROR(VLOOKUP($A130,'Whitespace Analysis'!$A:$AH,30,0),0)=1,"◎ Should","– N/A"))</f>
        <v>– N/A</v>
      </c>
      <c r="V130" s="156" t="str">
        <f>IF(COUNTIFS('Product Order Book'!$A:$A,$A130,'Product Order Book'!$E:$E,V$3)&gt;0,"✓ Takes",IF(IFERROR(VLOOKUP($A130,'Whitespace Analysis'!$A:$AH,14,0),0)=1,"◎ Should","– N/A"))</f>
        <v>– N/A</v>
      </c>
    </row>
    <row r="131" spans="1:22" ht="15" customHeight="1">
      <c r="A131" s="154" t="str">
        <v>NextEnergy Solar Holdings III Limited</v>
      </c>
      <c r="B131" s="155">
        <f>IFERROR(MIN(1,COUNTIFS('Product Order Book'!$A$2:$A$1057,$A131,'Product Order Book'!$E$2:$E$1057,B$3)/INDEX('Clean Package Product Lists'!$C:$C,MATCH(B$3,'Clean Package Product Lists'!$A:$A,0))),"")</f>
        <v>1</v>
      </c>
      <c r="C131" s="155">
        <f>IFERROR(MIN(1,COUNTIFS('Product Order Book'!$A$2:$A$1057,$A131,'Product Order Book'!$E$2:$E$1057,C$3)/INDEX('Clean Package Product Lists'!$C:$C,MATCH(C$3,'Clean Package Product Lists'!$A:$A,0))),"")</f>
        <v>0</v>
      </c>
      <c r="D131" s="155">
        <f>IFERROR(MIN(1,COUNTIFS('Product Order Book'!$A$2:$A$1057,$A131,'Product Order Book'!$E$2:$E$1057,D$3)/INDEX('Clean Package Product Lists'!$C:$C,MATCH(D$3,'Clean Package Product Lists'!$A:$A,0))),"")</f>
        <v>0.33333333333333331</v>
      </c>
      <c r="E131" s="155">
        <f>IFERROR(MIN(1,COUNTIFS('Product Order Book'!$A$2:$A$1057,$A131,'Product Order Book'!$E$2:$E$1057,E$3)/INDEX('Clean Package Product Lists'!$C:$C,MATCH(E$3,'Clean Package Product Lists'!$A:$A,0))),"")</f>
        <v>0</v>
      </c>
      <c r="F131" s="155">
        <f>IFERROR(MIN(1,COUNTIFS('Product Order Book'!$A$2:$A$1057,$A131,'Product Order Book'!$E$2:$E$1057,F$3)/INDEX('Clean Package Product Lists'!$C:$C,MATCH(F$3,'Clean Package Product Lists'!$A:$A,0))),"")</f>
        <v>0</v>
      </c>
      <c r="G131" s="155">
        <f>IFERROR(MIN(1,COUNTIFS('Product Order Book'!$A$2:$A$1057,$A131,'Product Order Book'!$E$2:$E$1057,G$3)/INDEX('Clean Package Product Lists'!$C:$C,MATCH(G$3,'Clean Package Product Lists'!$A:$A,0))),"")</f>
        <v>0</v>
      </c>
      <c r="H131" s="155">
        <f>IFERROR(MIN(1,COUNTIFS('Product Order Book'!$A$2:$A$1057,$A131,'Product Order Book'!$E$2:$E$1057,H$3)/INDEX('Clean Package Product Lists'!$C:$C,MATCH(H$3,'Clean Package Product Lists'!$A:$A,0))),"")</f>
        <v>0</v>
      </c>
      <c r="I131" s="155">
        <f>IFERROR(MIN(1,COUNTIFS('Product Order Book'!$A$2:$A$1057,$A131,'Product Order Book'!$E$2:$E$1057,I$3)/INDEX('Clean Package Product Lists'!$C:$C,MATCH(I$3,'Clean Package Product Lists'!$A:$A,0))),"")</f>
        <v>0</v>
      </c>
      <c r="J131" s="155">
        <f>IFERROR(MIN(1,COUNTIFS('Product Order Book'!$A$2:$A$1057,$A131,'Product Order Book'!$E$2:$E$1057,J$3)/INDEX('Clean Package Product Lists'!$C:$C,MATCH(J$3,'Clean Package Product Lists'!$A:$A,0))),"")</f>
        <v>0</v>
      </c>
      <c r="K131" s="155">
        <f>IFERROR(MIN(1,COUNTIFS('Product Order Book'!$A$2:$A$1057,$A131,'Product Order Book'!$E$2:$E$1057,K$3)/INDEX('Clean Package Product Lists'!$C:$C,MATCH(K$3,'Clean Package Product Lists'!$A:$A,0))),"")</f>
        <v>0</v>
      </c>
      <c r="L131" s="154"/>
      <c r="M131" s="156" t="str">
        <f>IF(COUNTIFS('Product Order Book'!$A:$A,$A131,'Product Order Book'!$E:$E,M$3)&gt;0,"✓ Takes",IF(IFERROR(VLOOKUP($A131,'Whitespace Analysis'!$A:$AH,12,0),0)=1,"◎ Should","– N/A"))</f>
        <v>✓ Takes</v>
      </c>
      <c r="N131" s="156" t="str">
        <f>IF(COUNTIFS('Product Order Book'!$A:$A,$A131,'Product Order Book'!$E:$E,N$3)&gt;0,"✓ Takes",IF(IFERROR(VLOOKUP($A131,'Whitespace Analysis'!$A:$AH,20,0),0)=1,"◎ Should","– N/A"))</f>
        <v>◎ Should</v>
      </c>
      <c r="O131" s="156" t="str">
        <f>IF(COUNTIFS('Product Order Book'!$A:$A,$A131,'Product Order Book'!$E:$E,O$3)&gt;0,"✓ Takes",IF(IFERROR(VLOOKUP($A131,'Whitespace Analysis'!$A:$AH,22,0),0)=1,"◎ Should","– N/A"))</f>
        <v>✓ Takes</v>
      </c>
      <c r="P131" s="156" t="str">
        <f>IF(COUNTIFS('Product Order Book'!$A:$A,$A131,'Product Order Book'!$E:$E,P$3)&gt;0,"✓ Takes",IF(IFERROR(VLOOKUP($A131,'Whitespace Analysis'!$A:$AH,24,0),0)=1,"◎ Should","– N/A"))</f>
        <v>◎ Should</v>
      </c>
      <c r="Q131" s="156" t="str">
        <f>IF(COUNTIFS('Product Order Book'!$A:$A,$A131,'Product Order Book'!$E:$E,Q$3)&gt;0,"✓ Takes",IF(IFERROR(VLOOKUP($A131,'Whitespace Analysis'!$A:$AH,26,0),0)=1,"◎ Should","– N/A"))</f>
        <v>◎ Should</v>
      </c>
      <c r="R131" s="156" t="str">
        <f>IF(COUNTIFS('Product Order Book'!$A:$A,$A131,'Product Order Book'!$E:$E,R$3)&gt;0,"✓ Takes",IF(IFERROR(VLOOKUP($A131,'Whitespace Analysis'!$A:$AH,16,0),0)=1,"◎ Should","– N/A"))</f>
        <v>– N/A</v>
      </c>
      <c r="S131" s="156" t="str">
        <f>IF(COUNTIFS('Product Order Book'!$A:$A,$A131,'Product Order Book'!$E:$E,S$3)&gt;0,"✓ Takes",IF(IFERROR(VLOOKUP($A131,'Whitespace Analysis'!$A:$AH,18,0),0)=1,"◎ Should","– N/A"))</f>
        <v>– N/A</v>
      </c>
      <c r="T131" s="156" t="str">
        <f>IF(COUNTIFS('Product Order Book'!$A:$A,$A131,'Product Order Book'!$E:$E,T$3)&gt;0,"✓ Takes",IF(IFERROR(VLOOKUP($A131,'Whitespace Analysis'!$A:$AH,28,0),0)=1,"◎ Should","– N/A"))</f>
        <v>– N/A</v>
      </c>
      <c r="U131" s="156" t="str">
        <f>IF(COUNTIFS('Product Order Book'!$A:$A,$A131,'Product Order Book'!$E:$E,U$3)&gt;0,"✓ Takes",IF(IFERROR(VLOOKUP($A131,'Whitespace Analysis'!$A:$AH,30,0),0)=1,"◎ Should","– N/A"))</f>
        <v>– N/A</v>
      </c>
      <c r="V131" s="156" t="str">
        <f>IF(COUNTIFS('Product Order Book'!$A:$A,$A131,'Product Order Book'!$E:$E,V$3)&gt;0,"✓ Takes",IF(IFERROR(VLOOKUP($A131,'Whitespace Analysis'!$A:$AH,14,0),0)=1,"◎ Should","– N/A"))</f>
        <v>◎ Should</v>
      </c>
    </row>
    <row r="132" spans="1:22" ht="15" customHeight="1">
      <c r="A132" s="154" t="str">
        <v>NFU Energy</v>
      </c>
      <c r="B132" s="155">
        <f>IFERROR(MIN(1,COUNTIFS('Product Order Book'!$A$2:$A$1057,$A132,'Product Order Book'!$E$2:$E$1057,B$3)/INDEX('Clean Package Product Lists'!$C:$C,MATCH(B$3,'Clean Package Product Lists'!$A:$A,0))),"")</f>
        <v>1</v>
      </c>
      <c r="C132" s="155">
        <f>IFERROR(MIN(1,COUNTIFS('Product Order Book'!$A$2:$A$1057,$A132,'Product Order Book'!$E$2:$E$1057,C$3)/INDEX('Clean Package Product Lists'!$C:$C,MATCH(C$3,'Clean Package Product Lists'!$A:$A,0))),"")</f>
        <v>0</v>
      </c>
      <c r="D132" s="155">
        <f>IFERROR(MIN(1,COUNTIFS('Product Order Book'!$A$2:$A$1057,$A132,'Product Order Book'!$E$2:$E$1057,D$3)/INDEX('Clean Package Product Lists'!$C:$C,MATCH(D$3,'Clean Package Product Lists'!$A:$A,0))),"")</f>
        <v>0</v>
      </c>
      <c r="E132" s="155">
        <f>IFERROR(MIN(1,COUNTIFS('Product Order Book'!$A$2:$A$1057,$A132,'Product Order Book'!$E$2:$E$1057,E$3)/INDEX('Clean Package Product Lists'!$C:$C,MATCH(E$3,'Clean Package Product Lists'!$A:$A,0))),"")</f>
        <v>0</v>
      </c>
      <c r="F132" s="155">
        <f>IFERROR(MIN(1,COUNTIFS('Product Order Book'!$A$2:$A$1057,$A132,'Product Order Book'!$E$2:$E$1057,F$3)/INDEX('Clean Package Product Lists'!$C:$C,MATCH(F$3,'Clean Package Product Lists'!$A:$A,0))),"")</f>
        <v>0</v>
      </c>
      <c r="G132" s="155">
        <f>IFERROR(MIN(1,COUNTIFS('Product Order Book'!$A$2:$A$1057,$A132,'Product Order Book'!$E$2:$E$1057,G$3)/INDEX('Clean Package Product Lists'!$C:$C,MATCH(G$3,'Clean Package Product Lists'!$A:$A,0))),"")</f>
        <v>0</v>
      </c>
      <c r="H132" s="155">
        <f>IFERROR(MIN(1,COUNTIFS('Product Order Book'!$A$2:$A$1057,$A132,'Product Order Book'!$E$2:$E$1057,H$3)/INDEX('Clean Package Product Lists'!$C:$C,MATCH(H$3,'Clean Package Product Lists'!$A:$A,0))),"")</f>
        <v>0</v>
      </c>
      <c r="I132" s="155">
        <f>IFERROR(MIN(1,COUNTIFS('Product Order Book'!$A$2:$A$1057,$A132,'Product Order Book'!$E$2:$E$1057,I$3)/INDEX('Clean Package Product Lists'!$C:$C,MATCH(I$3,'Clean Package Product Lists'!$A:$A,0))),"")</f>
        <v>0</v>
      </c>
      <c r="J132" s="155">
        <f>IFERROR(MIN(1,COUNTIFS('Product Order Book'!$A$2:$A$1057,$A132,'Product Order Book'!$E$2:$E$1057,J$3)/INDEX('Clean Package Product Lists'!$C:$C,MATCH(J$3,'Clean Package Product Lists'!$A:$A,0))),"")</f>
        <v>0</v>
      </c>
      <c r="K132" s="155">
        <f>IFERROR(MIN(1,COUNTIFS('Product Order Book'!$A$2:$A$1057,$A132,'Product Order Book'!$E$2:$E$1057,K$3)/INDEX('Clean Package Product Lists'!$C:$C,MATCH(K$3,'Clean Package Product Lists'!$A:$A,0))),"")</f>
        <v>0</v>
      </c>
      <c r="L132" s="154"/>
      <c r="M132" s="156" t="str">
        <f>IF(COUNTIFS('Product Order Book'!$A:$A,$A132,'Product Order Book'!$E:$E,M$3)&gt;0,"✓ Takes",IF(IFERROR(VLOOKUP($A132,'Whitespace Analysis'!$A:$AH,12,0),0)=1,"◎ Should","– N/A"))</f>
        <v>✓ Takes</v>
      </c>
      <c r="N132" s="156" t="str">
        <f>IF(COUNTIFS('Product Order Book'!$A:$A,$A132,'Product Order Book'!$E:$E,N$3)&gt;0,"✓ Takes",IF(IFERROR(VLOOKUP($A132,'Whitespace Analysis'!$A:$AH,20,0),0)=1,"◎ Should","– N/A"))</f>
        <v>– N/A</v>
      </c>
      <c r="O132" s="156" t="str">
        <f>IF(COUNTIFS('Product Order Book'!$A:$A,$A132,'Product Order Book'!$E:$E,O$3)&gt;0,"✓ Takes",IF(IFERROR(VLOOKUP($A132,'Whitespace Analysis'!$A:$AH,22,0),0)=1,"◎ Should","– N/A"))</f>
        <v>– N/A</v>
      </c>
      <c r="P132" s="156" t="str">
        <f>IF(COUNTIFS('Product Order Book'!$A:$A,$A132,'Product Order Book'!$E:$E,P$3)&gt;0,"✓ Takes",IF(IFERROR(VLOOKUP($A132,'Whitespace Analysis'!$A:$AH,24,0),0)=1,"◎ Should","– N/A"))</f>
        <v>– N/A</v>
      </c>
      <c r="Q132" s="156" t="str">
        <f>IF(COUNTIFS('Product Order Book'!$A:$A,$A132,'Product Order Book'!$E:$E,Q$3)&gt;0,"✓ Takes",IF(IFERROR(VLOOKUP($A132,'Whitespace Analysis'!$A:$AH,26,0),0)=1,"◎ Should","– N/A"))</f>
        <v>– N/A</v>
      </c>
      <c r="R132" s="156" t="str">
        <f>IF(COUNTIFS('Product Order Book'!$A:$A,$A132,'Product Order Book'!$E:$E,R$3)&gt;0,"✓ Takes",IF(IFERROR(VLOOKUP($A132,'Whitespace Analysis'!$A:$AH,16,0),0)=1,"◎ Should","– N/A"))</f>
        <v>◎ Should</v>
      </c>
      <c r="S132" s="156" t="str">
        <f>IF(COUNTIFS('Product Order Book'!$A:$A,$A132,'Product Order Book'!$E:$E,S$3)&gt;0,"✓ Takes",IF(IFERROR(VLOOKUP($A132,'Whitespace Analysis'!$A:$AH,18,0),0)=1,"◎ Should","– N/A"))</f>
        <v>◎ Should</v>
      </c>
      <c r="T132" s="156" t="str">
        <f>IF(COUNTIFS('Product Order Book'!$A:$A,$A132,'Product Order Book'!$E:$E,T$3)&gt;0,"✓ Takes",IF(IFERROR(VLOOKUP($A132,'Whitespace Analysis'!$A:$AH,28,0),0)=1,"◎ Should","– N/A"))</f>
        <v>◎ Should</v>
      </c>
      <c r="U132" s="156" t="str">
        <f>IF(COUNTIFS('Product Order Book'!$A:$A,$A132,'Product Order Book'!$E:$E,U$3)&gt;0,"✓ Takes",IF(IFERROR(VLOOKUP($A132,'Whitespace Analysis'!$A:$AH,30,0),0)=1,"◎ Should","– N/A"))</f>
        <v>– N/A</v>
      </c>
      <c r="V132" s="156" t="str">
        <f>IF(COUNTIFS('Product Order Book'!$A:$A,$A132,'Product Order Book'!$E:$E,V$3)&gt;0,"✓ Takes",IF(IFERROR(VLOOKUP($A132,'Whitespace Analysis'!$A:$AH,14,0),0)=1,"◎ Should","– N/A"))</f>
        <v>– N/A</v>
      </c>
    </row>
    <row r="133" spans="1:22" ht="15" customHeight="1">
      <c r="A133" s="154" t="str">
        <v>Northern Gas Networks Operations Limited</v>
      </c>
      <c r="B133" s="155">
        <f>IFERROR(MIN(1,COUNTIFS('Product Order Book'!$A$2:$A$1057,$A133,'Product Order Book'!$E$2:$E$1057,B$3)/INDEX('Clean Package Product Lists'!$C:$C,MATCH(B$3,'Clean Package Product Lists'!$A:$A,0))),"")</f>
        <v>1</v>
      </c>
      <c r="C133" s="155">
        <f>IFERROR(MIN(1,COUNTIFS('Product Order Book'!$A$2:$A$1057,$A133,'Product Order Book'!$E$2:$E$1057,C$3)/INDEX('Clean Package Product Lists'!$C:$C,MATCH(C$3,'Clean Package Product Lists'!$A:$A,0))),"")</f>
        <v>0</v>
      </c>
      <c r="D133" s="155">
        <f>IFERROR(MIN(1,COUNTIFS('Product Order Book'!$A$2:$A$1057,$A133,'Product Order Book'!$E$2:$E$1057,D$3)/INDEX('Clean Package Product Lists'!$C:$C,MATCH(D$3,'Clean Package Product Lists'!$A:$A,0))),"")</f>
        <v>0</v>
      </c>
      <c r="E133" s="155">
        <f>IFERROR(MIN(1,COUNTIFS('Product Order Book'!$A$2:$A$1057,$A133,'Product Order Book'!$E$2:$E$1057,E$3)/INDEX('Clean Package Product Lists'!$C:$C,MATCH(E$3,'Clean Package Product Lists'!$A:$A,0))),"")</f>
        <v>0</v>
      </c>
      <c r="F133" s="155">
        <f>IFERROR(MIN(1,COUNTIFS('Product Order Book'!$A$2:$A$1057,$A133,'Product Order Book'!$E$2:$E$1057,F$3)/INDEX('Clean Package Product Lists'!$C:$C,MATCH(F$3,'Clean Package Product Lists'!$A:$A,0))),"")</f>
        <v>0</v>
      </c>
      <c r="G133" s="155">
        <f>IFERROR(MIN(1,COUNTIFS('Product Order Book'!$A$2:$A$1057,$A133,'Product Order Book'!$E$2:$E$1057,G$3)/INDEX('Clean Package Product Lists'!$C:$C,MATCH(G$3,'Clean Package Product Lists'!$A:$A,0))),"")</f>
        <v>0</v>
      </c>
      <c r="H133" s="155">
        <f>IFERROR(MIN(1,COUNTIFS('Product Order Book'!$A$2:$A$1057,$A133,'Product Order Book'!$E$2:$E$1057,H$3)/INDEX('Clean Package Product Lists'!$C:$C,MATCH(H$3,'Clean Package Product Lists'!$A:$A,0))),"")</f>
        <v>0</v>
      </c>
      <c r="I133" s="155">
        <f>IFERROR(MIN(1,COUNTIFS('Product Order Book'!$A$2:$A$1057,$A133,'Product Order Book'!$E$2:$E$1057,I$3)/INDEX('Clean Package Product Lists'!$C:$C,MATCH(I$3,'Clean Package Product Lists'!$A:$A,0))),"")</f>
        <v>0</v>
      </c>
      <c r="J133" s="155">
        <f>IFERROR(MIN(1,COUNTIFS('Product Order Book'!$A$2:$A$1057,$A133,'Product Order Book'!$E$2:$E$1057,J$3)/INDEX('Clean Package Product Lists'!$C:$C,MATCH(J$3,'Clean Package Product Lists'!$A:$A,0))),"")</f>
        <v>0</v>
      </c>
      <c r="K133" s="155">
        <f>IFERROR(MIN(1,COUNTIFS('Product Order Book'!$A$2:$A$1057,$A133,'Product Order Book'!$E$2:$E$1057,K$3)/INDEX('Clean Package Product Lists'!$C:$C,MATCH(K$3,'Clean Package Product Lists'!$A:$A,0))),"")</f>
        <v>1</v>
      </c>
      <c r="L133" s="154"/>
      <c r="M133" s="156" t="str">
        <f>IF(COUNTIFS('Product Order Book'!$A:$A,$A133,'Product Order Book'!$E:$E,M$3)&gt;0,"✓ Takes",IF(IFERROR(VLOOKUP($A133,'Whitespace Analysis'!$A:$AH,12,0),0)=1,"◎ Should","– N/A"))</f>
        <v>✓ Takes</v>
      </c>
      <c r="N133" s="156" t="str">
        <f>IF(COUNTIFS('Product Order Book'!$A:$A,$A133,'Product Order Book'!$E:$E,N$3)&gt;0,"✓ Takes",IF(IFERROR(VLOOKUP($A133,'Whitespace Analysis'!$A:$AH,20,0),0)=1,"◎ Should","– N/A"))</f>
        <v>– N/A</v>
      </c>
      <c r="O133" s="156" t="str">
        <f>IF(COUNTIFS('Product Order Book'!$A:$A,$A133,'Product Order Book'!$E:$E,O$3)&gt;0,"✓ Takes",IF(IFERROR(VLOOKUP($A133,'Whitespace Analysis'!$A:$AH,22,0),0)=1,"◎ Should","– N/A"))</f>
        <v>– N/A</v>
      </c>
      <c r="P133" s="156" t="str">
        <f>IF(COUNTIFS('Product Order Book'!$A:$A,$A133,'Product Order Book'!$E:$E,P$3)&gt;0,"✓ Takes",IF(IFERROR(VLOOKUP($A133,'Whitespace Analysis'!$A:$AH,24,0),0)=1,"◎ Should","– N/A"))</f>
        <v>– N/A</v>
      </c>
      <c r="Q133" s="156" t="str">
        <f>IF(COUNTIFS('Product Order Book'!$A:$A,$A133,'Product Order Book'!$E:$E,Q$3)&gt;0,"✓ Takes",IF(IFERROR(VLOOKUP($A133,'Whitespace Analysis'!$A:$AH,26,0),0)=1,"◎ Should","– N/A"))</f>
        <v>– N/A</v>
      </c>
      <c r="R133" s="156" t="str">
        <f>IF(COUNTIFS('Product Order Book'!$A:$A,$A133,'Product Order Book'!$E:$E,R$3)&gt;0,"✓ Takes",IF(IFERROR(VLOOKUP($A133,'Whitespace Analysis'!$A:$AH,16,0),0)=1,"◎ Should","– N/A"))</f>
        <v>– N/A</v>
      </c>
      <c r="S133" s="156" t="str">
        <f>IF(COUNTIFS('Product Order Book'!$A:$A,$A133,'Product Order Book'!$E:$E,S$3)&gt;0,"✓ Takes",IF(IFERROR(VLOOKUP($A133,'Whitespace Analysis'!$A:$AH,18,0),0)=1,"◎ Should","– N/A"))</f>
        <v>– N/A</v>
      </c>
      <c r="T133" s="156" t="str">
        <f>IF(COUNTIFS('Product Order Book'!$A:$A,$A133,'Product Order Book'!$E:$E,T$3)&gt;0,"✓ Takes",IF(IFERROR(VLOOKUP($A133,'Whitespace Analysis'!$A:$AH,28,0),0)=1,"◎ Should","– N/A"))</f>
        <v>– N/A</v>
      </c>
      <c r="U133" s="156" t="str">
        <f>IF(COUNTIFS('Product Order Book'!$A:$A,$A133,'Product Order Book'!$E:$E,U$3)&gt;0,"✓ Takes",IF(IFERROR(VLOOKUP($A133,'Whitespace Analysis'!$A:$AH,30,0),0)=1,"◎ Should","– N/A"))</f>
        <v>– N/A</v>
      </c>
      <c r="V133" s="156" t="str">
        <f>IF(COUNTIFS('Product Order Book'!$A:$A,$A133,'Product Order Book'!$E:$E,V$3)&gt;0,"✓ Takes",IF(IFERROR(VLOOKUP($A133,'Whitespace Analysis'!$A:$AH,14,0),0)=1,"◎ Should","– N/A"))</f>
        <v>✓ Takes</v>
      </c>
    </row>
    <row r="134" spans="1:22" ht="15" customHeight="1">
      <c r="A134" s="154" t="str">
        <v>Ocean Winds UK Limited</v>
      </c>
      <c r="B134" s="155">
        <f>IFERROR(MIN(1,COUNTIFS('Product Order Book'!$A$2:$A$1057,$A134,'Product Order Book'!$E$2:$E$1057,B$3)/INDEX('Clean Package Product Lists'!$C:$C,MATCH(B$3,'Clean Package Product Lists'!$A:$A,0))),"")</f>
        <v>1</v>
      </c>
      <c r="C134" s="155">
        <f>IFERROR(MIN(1,COUNTIFS('Product Order Book'!$A$2:$A$1057,$A134,'Product Order Book'!$E$2:$E$1057,C$3)/INDEX('Clean Package Product Lists'!$C:$C,MATCH(C$3,'Clean Package Product Lists'!$A:$A,0))),"")</f>
        <v>0.14285714285714285</v>
      </c>
      <c r="D134" s="155">
        <f>IFERROR(MIN(1,COUNTIFS('Product Order Book'!$A$2:$A$1057,$A134,'Product Order Book'!$E$2:$E$1057,D$3)/INDEX('Clean Package Product Lists'!$C:$C,MATCH(D$3,'Clean Package Product Lists'!$A:$A,0))),"")</f>
        <v>0</v>
      </c>
      <c r="E134" s="155">
        <f>IFERROR(MIN(1,COUNTIFS('Product Order Book'!$A$2:$A$1057,$A134,'Product Order Book'!$E$2:$E$1057,E$3)/INDEX('Clean Package Product Lists'!$C:$C,MATCH(E$3,'Clean Package Product Lists'!$A:$A,0))),"")</f>
        <v>0</v>
      </c>
      <c r="F134" s="155">
        <f>IFERROR(MIN(1,COUNTIFS('Product Order Book'!$A$2:$A$1057,$A134,'Product Order Book'!$E$2:$E$1057,F$3)/INDEX('Clean Package Product Lists'!$C:$C,MATCH(F$3,'Clean Package Product Lists'!$A:$A,0))),"")</f>
        <v>0</v>
      </c>
      <c r="G134" s="155">
        <f>IFERROR(MIN(1,COUNTIFS('Product Order Book'!$A$2:$A$1057,$A134,'Product Order Book'!$E$2:$E$1057,G$3)/INDEX('Clean Package Product Lists'!$C:$C,MATCH(G$3,'Clean Package Product Lists'!$A:$A,0))),"")</f>
        <v>0</v>
      </c>
      <c r="H134" s="155">
        <f>IFERROR(MIN(1,COUNTIFS('Product Order Book'!$A$2:$A$1057,$A134,'Product Order Book'!$E$2:$E$1057,H$3)/INDEX('Clean Package Product Lists'!$C:$C,MATCH(H$3,'Clean Package Product Lists'!$A:$A,0))),"")</f>
        <v>0</v>
      </c>
      <c r="I134" s="155">
        <f>IFERROR(MIN(1,COUNTIFS('Product Order Book'!$A$2:$A$1057,$A134,'Product Order Book'!$E$2:$E$1057,I$3)/INDEX('Clean Package Product Lists'!$C:$C,MATCH(I$3,'Clean Package Product Lists'!$A:$A,0))),"")</f>
        <v>0</v>
      </c>
      <c r="J134" s="155">
        <f>IFERROR(MIN(1,COUNTIFS('Product Order Book'!$A$2:$A$1057,$A134,'Product Order Book'!$E$2:$E$1057,J$3)/INDEX('Clean Package Product Lists'!$C:$C,MATCH(J$3,'Clean Package Product Lists'!$A:$A,0))),"")</f>
        <v>0</v>
      </c>
      <c r="K134" s="155">
        <f>IFERROR(MIN(1,COUNTIFS('Product Order Book'!$A$2:$A$1057,$A134,'Product Order Book'!$E$2:$E$1057,K$3)/INDEX('Clean Package Product Lists'!$C:$C,MATCH(K$3,'Clean Package Product Lists'!$A:$A,0))),"")</f>
        <v>0</v>
      </c>
      <c r="L134" s="154"/>
      <c r="M134" s="156" t="str">
        <f>IF(COUNTIFS('Product Order Book'!$A:$A,$A134,'Product Order Book'!$E:$E,M$3)&gt;0,"✓ Takes",IF(IFERROR(VLOOKUP($A134,'Whitespace Analysis'!$A:$AH,12,0),0)=1,"◎ Should","– N/A"))</f>
        <v>✓ Takes</v>
      </c>
      <c r="N134" s="156" t="str">
        <f>IF(COUNTIFS('Product Order Book'!$A:$A,$A134,'Product Order Book'!$E:$E,N$3)&gt;0,"✓ Takes",IF(IFERROR(VLOOKUP($A134,'Whitespace Analysis'!$A:$AH,20,0),0)=1,"◎ Should","– N/A"))</f>
        <v>✓ Takes</v>
      </c>
      <c r="O134" s="156" t="str">
        <f>IF(COUNTIFS('Product Order Book'!$A:$A,$A134,'Product Order Book'!$E:$E,O$3)&gt;0,"✓ Takes",IF(IFERROR(VLOOKUP($A134,'Whitespace Analysis'!$A:$AH,22,0),0)=1,"◎ Should","– N/A"))</f>
        <v>◎ Should</v>
      </c>
      <c r="P134" s="156" t="str">
        <f>IF(COUNTIFS('Product Order Book'!$A:$A,$A134,'Product Order Book'!$E:$E,P$3)&gt;0,"✓ Takes",IF(IFERROR(VLOOKUP($A134,'Whitespace Analysis'!$A:$AH,24,0),0)=1,"◎ Should","– N/A"))</f>
        <v>– N/A</v>
      </c>
      <c r="Q134" s="156" t="str">
        <f>IF(COUNTIFS('Product Order Book'!$A:$A,$A134,'Product Order Book'!$E:$E,Q$3)&gt;0,"✓ Takes",IF(IFERROR(VLOOKUP($A134,'Whitespace Analysis'!$A:$AH,26,0),0)=1,"◎ Should","– N/A"))</f>
        <v>– N/A</v>
      </c>
      <c r="R134" s="156" t="str">
        <f>IF(COUNTIFS('Product Order Book'!$A:$A,$A134,'Product Order Book'!$E:$E,R$3)&gt;0,"✓ Takes",IF(IFERROR(VLOOKUP($A134,'Whitespace Analysis'!$A:$AH,16,0),0)=1,"◎ Should","– N/A"))</f>
        <v>– N/A</v>
      </c>
      <c r="S134" s="156" t="str">
        <f>IF(COUNTIFS('Product Order Book'!$A:$A,$A134,'Product Order Book'!$E:$E,S$3)&gt;0,"✓ Takes",IF(IFERROR(VLOOKUP($A134,'Whitespace Analysis'!$A:$AH,18,0),0)=1,"◎ Should","– N/A"))</f>
        <v>– N/A</v>
      </c>
      <c r="T134" s="156" t="str">
        <f>IF(COUNTIFS('Product Order Book'!$A:$A,$A134,'Product Order Book'!$E:$E,T$3)&gt;0,"✓ Takes",IF(IFERROR(VLOOKUP($A134,'Whitespace Analysis'!$A:$AH,28,0),0)=1,"◎ Should","– N/A"))</f>
        <v>– N/A</v>
      </c>
      <c r="U134" s="156" t="str">
        <f>IF(COUNTIFS('Product Order Book'!$A:$A,$A134,'Product Order Book'!$E:$E,U$3)&gt;0,"✓ Takes",IF(IFERROR(VLOOKUP($A134,'Whitespace Analysis'!$A:$AH,30,0),0)=1,"◎ Should","– N/A"))</f>
        <v>– N/A</v>
      </c>
      <c r="V134" s="156" t="str">
        <f>IF(COUNTIFS('Product Order Book'!$A:$A,$A134,'Product Order Book'!$E:$E,V$3)&gt;0,"✓ Takes",IF(IFERROR(VLOOKUP($A134,'Whitespace Analysis'!$A:$AH,14,0),0)=1,"◎ Should","– N/A"))</f>
        <v>◎ Should</v>
      </c>
    </row>
    <row r="135" spans="1:22" ht="15" customHeight="1">
      <c r="A135" s="154" t="str">
        <v>Octopus Energy Ltd</v>
      </c>
      <c r="B135" s="155">
        <f>IFERROR(MIN(1,COUNTIFS('Product Order Book'!$A$2:$A$1057,$A135,'Product Order Book'!$E$2:$E$1057,B$3)/INDEX('Clean Package Product Lists'!$C:$C,MATCH(B$3,'Clean Package Product Lists'!$A:$A,0))),"")</f>
        <v>1</v>
      </c>
      <c r="C135" s="155">
        <f>IFERROR(MIN(1,COUNTIFS('Product Order Book'!$A$2:$A$1057,$A135,'Product Order Book'!$E$2:$E$1057,C$3)/INDEX('Clean Package Product Lists'!$C:$C,MATCH(C$3,'Clean Package Product Lists'!$A:$A,0))),"")</f>
        <v>0</v>
      </c>
      <c r="D135" s="155">
        <f>IFERROR(MIN(1,COUNTIFS('Product Order Book'!$A$2:$A$1057,$A135,'Product Order Book'!$E$2:$E$1057,D$3)/INDEX('Clean Package Product Lists'!$C:$C,MATCH(D$3,'Clean Package Product Lists'!$A:$A,0))),"")</f>
        <v>0</v>
      </c>
      <c r="E135" s="155">
        <f>IFERROR(MIN(1,COUNTIFS('Product Order Book'!$A$2:$A$1057,$A135,'Product Order Book'!$E$2:$E$1057,E$3)/INDEX('Clean Package Product Lists'!$C:$C,MATCH(E$3,'Clean Package Product Lists'!$A:$A,0))),"")</f>
        <v>0</v>
      </c>
      <c r="F135" s="155">
        <f>IFERROR(MIN(1,COUNTIFS('Product Order Book'!$A$2:$A$1057,$A135,'Product Order Book'!$E$2:$E$1057,F$3)/INDEX('Clean Package Product Lists'!$C:$C,MATCH(F$3,'Clean Package Product Lists'!$A:$A,0))),"")</f>
        <v>0</v>
      </c>
      <c r="G135" s="155">
        <f>IFERROR(MIN(1,COUNTIFS('Product Order Book'!$A$2:$A$1057,$A135,'Product Order Book'!$E$2:$E$1057,G$3)/INDEX('Clean Package Product Lists'!$C:$C,MATCH(G$3,'Clean Package Product Lists'!$A:$A,0))),"")</f>
        <v>1</v>
      </c>
      <c r="H135" s="155">
        <f>IFERROR(MIN(1,COUNTIFS('Product Order Book'!$A$2:$A$1057,$A135,'Product Order Book'!$E$2:$E$1057,H$3)/INDEX('Clean Package Product Lists'!$C:$C,MATCH(H$3,'Clean Package Product Lists'!$A:$A,0))),"")</f>
        <v>0.25</v>
      </c>
      <c r="I135" s="155">
        <f>IFERROR(MIN(1,COUNTIFS('Product Order Book'!$A$2:$A$1057,$A135,'Product Order Book'!$E$2:$E$1057,I$3)/INDEX('Clean Package Product Lists'!$C:$C,MATCH(I$3,'Clean Package Product Lists'!$A:$A,0))),"")</f>
        <v>0</v>
      </c>
      <c r="J135" s="155">
        <f>IFERROR(MIN(1,COUNTIFS('Product Order Book'!$A$2:$A$1057,$A135,'Product Order Book'!$E$2:$E$1057,J$3)/INDEX('Clean Package Product Lists'!$C:$C,MATCH(J$3,'Clean Package Product Lists'!$A:$A,0))),"")</f>
        <v>0</v>
      </c>
      <c r="K135" s="155">
        <f>IFERROR(MIN(1,COUNTIFS('Product Order Book'!$A$2:$A$1057,$A135,'Product Order Book'!$E$2:$E$1057,K$3)/INDEX('Clean Package Product Lists'!$C:$C,MATCH(K$3,'Clean Package Product Lists'!$A:$A,0))),"")</f>
        <v>1</v>
      </c>
      <c r="L135" s="154"/>
      <c r="M135" s="156" t="str">
        <f>IF(COUNTIFS('Product Order Book'!$A:$A,$A135,'Product Order Book'!$E:$E,M$3)&gt;0,"✓ Takes",IF(IFERROR(VLOOKUP($A135,'Whitespace Analysis'!$A:$AH,12,0),0)=1,"◎ Should","– N/A"))</f>
        <v>✓ Takes</v>
      </c>
      <c r="N135" s="156" t="str">
        <f>IF(COUNTIFS('Product Order Book'!$A:$A,$A135,'Product Order Book'!$E:$E,N$3)&gt;0,"✓ Takes",IF(IFERROR(VLOOKUP($A135,'Whitespace Analysis'!$A:$AH,20,0),0)=1,"◎ Should","– N/A"))</f>
        <v>◎ Should</v>
      </c>
      <c r="O135" s="156" t="str">
        <f>IF(COUNTIFS('Product Order Book'!$A:$A,$A135,'Product Order Book'!$E:$E,O$3)&gt;0,"✓ Takes",IF(IFERROR(VLOOKUP($A135,'Whitespace Analysis'!$A:$AH,22,0),0)=1,"◎ Should","– N/A"))</f>
        <v>◎ Should</v>
      </c>
      <c r="P135" s="156" t="str">
        <f>IF(COUNTIFS('Product Order Book'!$A:$A,$A135,'Product Order Book'!$E:$E,P$3)&gt;0,"✓ Takes",IF(IFERROR(VLOOKUP($A135,'Whitespace Analysis'!$A:$AH,24,0),0)=1,"◎ Should","– N/A"))</f>
        <v>◎ Should</v>
      </c>
      <c r="Q135" s="156" t="str">
        <f>IF(COUNTIFS('Product Order Book'!$A:$A,$A135,'Product Order Book'!$E:$E,Q$3)&gt;0,"✓ Takes",IF(IFERROR(VLOOKUP($A135,'Whitespace Analysis'!$A:$AH,26,0),0)=1,"◎ Should","– N/A"))</f>
        <v>◎ Should</v>
      </c>
      <c r="R135" s="156" t="str">
        <f>IF(COUNTIFS('Product Order Book'!$A:$A,$A135,'Product Order Book'!$E:$E,R$3)&gt;0,"✓ Takes",IF(IFERROR(VLOOKUP($A135,'Whitespace Analysis'!$A:$AH,16,0),0)=1,"◎ Should","– N/A"))</f>
        <v>✓ Takes</v>
      </c>
      <c r="S135" s="156" t="str">
        <f>IF(COUNTIFS('Product Order Book'!$A:$A,$A135,'Product Order Book'!$E:$E,S$3)&gt;0,"✓ Takes",IF(IFERROR(VLOOKUP($A135,'Whitespace Analysis'!$A:$AH,18,0),0)=1,"◎ Should","– N/A"))</f>
        <v>✓ Takes</v>
      </c>
      <c r="T135" s="156" t="str">
        <f>IF(COUNTIFS('Product Order Book'!$A:$A,$A135,'Product Order Book'!$E:$E,T$3)&gt;0,"✓ Takes",IF(IFERROR(VLOOKUP($A135,'Whitespace Analysis'!$A:$AH,28,0),0)=1,"◎ Should","– N/A"))</f>
        <v>– N/A</v>
      </c>
      <c r="U135" s="156" t="str">
        <f>IF(COUNTIFS('Product Order Book'!$A:$A,$A135,'Product Order Book'!$E:$E,U$3)&gt;0,"✓ Takes",IF(IFERROR(VLOOKUP($A135,'Whitespace Analysis'!$A:$AH,30,0),0)=1,"◎ Should","– N/A"))</f>
        <v>◎ Should</v>
      </c>
      <c r="V135" s="156" t="str">
        <f>IF(COUNTIFS('Product Order Book'!$A:$A,$A135,'Product Order Book'!$E:$E,V$3)&gt;0,"✓ Takes",IF(IFERROR(VLOOKUP($A135,'Whitespace Analysis'!$A:$AH,14,0),0)=1,"◎ Should","– N/A"))</f>
        <v>✓ Takes</v>
      </c>
    </row>
    <row r="136" spans="1:22" ht="15" customHeight="1">
      <c r="A136" s="154" t="str">
        <v>Ofgem</v>
      </c>
      <c r="B136" s="155">
        <f>IFERROR(MIN(1,COUNTIFS('Product Order Book'!$A$2:$A$1057,$A136,'Product Order Book'!$E$2:$E$1057,B$3)/INDEX('Clean Package Product Lists'!$C:$C,MATCH(B$3,'Clean Package Product Lists'!$A:$A,0))),"")</f>
        <v>1</v>
      </c>
      <c r="C136" s="155">
        <f>IFERROR(MIN(1,COUNTIFS('Product Order Book'!$A$2:$A$1057,$A136,'Product Order Book'!$E$2:$E$1057,C$3)/INDEX('Clean Package Product Lists'!$C:$C,MATCH(C$3,'Clean Package Product Lists'!$A:$A,0))),"")</f>
        <v>0</v>
      </c>
      <c r="D136" s="155">
        <f>IFERROR(MIN(1,COUNTIFS('Product Order Book'!$A$2:$A$1057,$A136,'Product Order Book'!$E$2:$E$1057,D$3)/INDEX('Clean Package Product Lists'!$C:$C,MATCH(D$3,'Clean Package Product Lists'!$A:$A,0))),"")</f>
        <v>0</v>
      </c>
      <c r="E136" s="155">
        <f>IFERROR(MIN(1,COUNTIFS('Product Order Book'!$A$2:$A$1057,$A136,'Product Order Book'!$E$2:$E$1057,E$3)/INDEX('Clean Package Product Lists'!$C:$C,MATCH(E$3,'Clean Package Product Lists'!$A:$A,0))),"")</f>
        <v>0</v>
      </c>
      <c r="F136" s="155">
        <f>IFERROR(MIN(1,COUNTIFS('Product Order Book'!$A$2:$A$1057,$A136,'Product Order Book'!$E$2:$E$1057,F$3)/INDEX('Clean Package Product Lists'!$C:$C,MATCH(F$3,'Clean Package Product Lists'!$A:$A,0))),"")</f>
        <v>0</v>
      </c>
      <c r="G136" s="155">
        <f>IFERROR(MIN(1,COUNTIFS('Product Order Book'!$A$2:$A$1057,$A136,'Product Order Book'!$E$2:$E$1057,G$3)/INDEX('Clean Package Product Lists'!$C:$C,MATCH(G$3,'Clean Package Product Lists'!$A:$A,0))),"")</f>
        <v>1</v>
      </c>
      <c r="H136" s="155">
        <f>IFERROR(MIN(1,COUNTIFS('Product Order Book'!$A$2:$A$1057,$A136,'Product Order Book'!$E$2:$E$1057,H$3)/INDEX('Clean Package Product Lists'!$C:$C,MATCH(H$3,'Clean Package Product Lists'!$A:$A,0))),"")</f>
        <v>0</v>
      </c>
      <c r="I136" s="155">
        <f>IFERROR(MIN(1,COUNTIFS('Product Order Book'!$A$2:$A$1057,$A136,'Product Order Book'!$E$2:$E$1057,I$3)/INDEX('Clean Package Product Lists'!$C:$C,MATCH(I$3,'Clean Package Product Lists'!$A:$A,0))),"")</f>
        <v>0</v>
      </c>
      <c r="J136" s="155">
        <f>IFERROR(MIN(1,COUNTIFS('Product Order Book'!$A$2:$A$1057,$A136,'Product Order Book'!$E$2:$E$1057,J$3)/INDEX('Clean Package Product Lists'!$C:$C,MATCH(J$3,'Clean Package Product Lists'!$A:$A,0))),"")</f>
        <v>0</v>
      </c>
      <c r="K136" s="155">
        <f>IFERROR(MIN(1,COUNTIFS('Product Order Book'!$A$2:$A$1057,$A136,'Product Order Book'!$E$2:$E$1057,K$3)/INDEX('Clean Package Product Lists'!$C:$C,MATCH(K$3,'Clean Package Product Lists'!$A:$A,0))),"")</f>
        <v>0</v>
      </c>
      <c r="L136" s="154"/>
      <c r="M136" s="156" t="str">
        <f>IF(COUNTIFS('Product Order Book'!$A:$A,$A136,'Product Order Book'!$E:$E,M$3)&gt;0,"✓ Takes",IF(IFERROR(VLOOKUP($A136,'Whitespace Analysis'!$A:$AH,12,0),0)=1,"◎ Should","– N/A"))</f>
        <v>✓ Takes</v>
      </c>
      <c r="N136" s="156" t="str">
        <f>IF(COUNTIFS('Product Order Book'!$A:$A,$A136,'Product Order Book'!$E:$E,N$3)&gt;0,"✓ Takes",IF(IFERROR(VLOOKUP($A136,'Whitespace Analysis'!$A:$AH,20,0),0)=1,"◎ Should","– N/A"))</f>
        <v>– N/A</v>
      </c>
      <c r="O136" s="156" t="str">
        <f>IF(COUNTIFS('Product Order Book'!$A:$A,$A136,'Product Order Book'!$E:$E,O$3)&gt;0,"✓ Takes",IF(IFERROR(VLOOKUP($A136,'Whitespace Analysis'!$A:$AH,22,0),0)=1,"◎ Should","– N/A"))</f>
        <v>– N/A</v>
      </c>
      <c r="P136" s="156" t="str">
        <f>IF(COUNTIFS('Product Order Book'!$A:$A,$A136,'Product Order Book'!$E:$E,P$3)&gt;0,"✓ Takes",IF(IFERROR(VLOOKUP($A136,'Whitespace Analysis'!$A:$AH,24,0),0)=1,"◎ Should","– N/A"))</f>
        <v>– N/A</v>
      </c>
      <c r="Q136" s="156" t="str">
        <f>IF(COUNTIFS('Product Order Book'!$A:$A,$A136,'Product Order Book'!$E:$E,Q$3)&gt;0,"✓ Takes",IF(IFERROR(VLOOKUP($A136,'Whitespace Analysis'!$A:$AH,26,0),0)=1,"◎ Should","– N/A"))</f>
        <v>– N/A</v>
      </c>
      <c r="R136" s="156" t="str">
        <f>IF(COUNTIFS('Product Order Book'!$A:$A,$A136,'Product Order Book'!$E:$E,R$3)&gt;0,"✓ Takes",IF(IFERROR(VLOOKUP($A136,'Whitespace Analysis'!$A:$AH,16,0),0)=1,"◎ Should","– N/A"))</f>
        <v>✓ Takes</v>
      </c>
      <c r="S136" s="156" t="str">
        <f>IF(COUNTIFS('Product Order Book'!$A:$A,$A136,'Product Order Book'!$E:$E,S$3)&gt;0,"✓ Takes",IF(IFERROR(VLOOKUP($A136,'Whitespace Analysis'!$A:$AH,18,0),0)=1,"◎ Should","– N/A"))</f>
        <v>– N/A</v>
      </c>
      <c r="T136" s="156" t="str">
        <f>IF(COUNTIFS('Product Order Book'!$A:$A,$A136,'Product Order Book'!$E:$E,T$3)&gt;0,"✓ Takes",IF(IFERROR(VLOOKUP($A136,'Whitespace Analysis'!$A:$AH,28,0),0)=1,"◎ Should","– N/A"))</f>
        <v>– N/A</v>
      </c>
      <c r="U136" s="156" t="str">
        <f>IF(COUNTIFS('Product Order Book'!$A:$A,$A136,'Product Order Book'!$E:$E,U$3)&gt;0,"✓ Takes",IF(IFERROR(VLOOKUP($A136,'Whitespace Analysis'!$A:$AH,30,0),0)=1,"◎ Should","– N/A"))</f>
        <v>– N/A</v>
      </c>
      <c r="V136" s="156" t="str">
        <f>IF(COUNTIFS('Product Order Book'!$A:$A,$A136,'Product Order Book'!$E:$E,V$3)&gt;0,"✓ Takes",IF(IFERROR(VLOOKUP($A136,'Whitespace Analysis'!$A:$AH,14,0),0)=1,"◎ Should","– N/A"))</f>
        <v>– N/A</v>
      </c>
    </row>
    <row r="137" spans="1:22" ht="15" customHeight="1">
      <c r="A137" s="154" t="str">
        <v>Ohme Operations UK Ltd</v>
      </c>
      <c r="B137" s="155">
        <f>IFERROR(MIN(1,COUNTIFS('Product Order Book'!$A$2:$A$1057,$A137,'Product Order Book'!$E$2:$E$1057,B$3)/INDEX('Clean Package Product Lists'!$C:$C,MATCH(B$3,'Clean Package Product Lists'!$A:$A,0))),"")</f>
        <v>1</v>
      </c>
      <c r="C137" s="155">
        <f>IFERROR(MIN(1,COUNTIFS('Product Order Book'!$A$2:$A$1057,$A137,'Product Order Book'!$E$2:$E$1057,C$3)/INDEX('Clean Package Product Lists'!$C:$C,MATCH(C$3,'Clean Package Product Lists'!$A:$A,0))),"")</f>
        <v>0</v>
      </c>
      <c r="D137" s="155">
        <f>IFERROR(MIN(1,COUNTIFS('Product Order Book'!$A$2:$A$1057,$A137,'Product Order Book'!$E$2:$E$1057,D$3)/INDEX('Clean Package Product Lists'!$C:$C,MATCH(D$3,'Clean Package Product Lists'!$A:$A,0))),"")</f>
        <v>0</v>
      </c>
      <c r="E137" s="155">
        <f>IFERROR(MIN(1,COUNTIFS('Product Order Book'!$A$2:$A$1057,$A137,'Product Order Book'!$E$2:$E$1057,E$3)/INDEX('Clean Package Product Lists'!$C:$C,MATCH(E$3,'Clean Package Product Lists'!$A:$A,0))),"")</f>
        <v>0</v>
      </c>
      <c r="F137" s="155">
        <f>IFERROR(MIN(1,COUNTIFS('Product Order Book'!$A$2:$A$1057,$A137,'Product Order Book'!$E$2:$E$1057,F$3)/INDEX('Clean Package Product Lists'!$C:$C,MATCH(F$3,'Clean Package Product Lists'!$A:$A,0))),"")</f>
        <v>0</v>
      </c>
      <c r="G137" s="155">
        <f>IFERROR(MIN(1,COUNTIFS('Product Order Book'!$A$2:$A$1057,$A137,'Product Order Book'!$E$2:$E$1057,G$3)/INDEX('Clean Package Product Lists'!$C:$C,MATCH(G$3,'Clean Package Product Lists'!$A:$A,0))),"")</f>
        <v>0</v>
      </c>
      <c r="H137" s="155">
        <f>IFERROR(MIN(1,COUNTIFS('Product Order Book'!$A$2:$A$1057,$A137,'Product Order Book'!$E$2:$E$1057,H$3)/INDEX('Clean Package Product Lists'!$C:$C,MATCH(H$3,'Clean Package Product Lists'!$A:$A,0))),"")</f>
        <v>0</v>
      </c>
      <c r="I137" s="155">
        <f>IFERROR(MIN(1,COUNTIFS('Product Order Book'!$A$2:$A$1057,$A137,'Product Order Book'!$E$2:$E$1057,I$3)/INDEX('Clean Package Product Lists'!$C:$C,MATCH(I$3,'Clean Package Product Lists'!$A:$A,0))),"")</f>
        <v>0</v>
      </c>
      <c r="J137" s="155">
        <f>IFERROR(MIN(1,COUNTIFS('Product Order Book'!$A$2:$A$1057,$A137,'Product Order Book'!$E$2:$E$1057,J$3)/INDEX('Clean Package Product Lists'!$C:$C,MATCH(J$3,'Clean Package Product Lists'!$A:$A,0))),"")</f>
        <v>0</v>
      </c>
      <c r="K137" s="155">
        <f>IFERROR(MIN(1,COUNTIFS('Product Order Book'!$A$2:$A$1057,$A137,'Product Order Book'!$E$2:$E$1057,K$3)/INDEX('Clean Package Product Lists'!$C:$C,MATCH(K$3,'Clean Package Product Lists'!$A:$A,0))),"")</f>
        <v>0</v>
      </c>
      <c r="L137" s="154"/>
      <c r="M137" s="156" t="str">
        <f>IF(COUNTIFS('Product Order Book'!$A:$A,$A137,'Product Order Book'!$E:$E,M$3)&gt;0,"✓ Takes",IF(IFERROR(VLOOKUP($A137,'Whitespace Analysis'!$A:$AH,12,0),0)=1,"◎ Should","– N/A"))</f>
        <v>✓ Takes</v>
      </c>
      <c r="N137" s="156" t="str">
        <f>IF(COUNTIFS('Product Order Book'!$A:$A,$A137,'Product Order Book'!$E:$E,N$3)&gt;0,"✓ Takes",IF(IFERROR(VLOOKUP($A137,'Whitespace Analysis'!$A:$AH,20,0),0)=1,"◎ Should","– N/A"))</f>
        <v>– N/A</v>
      </c>
      <c r="O137" s="156" t="str">
        <f>IF(COUNTIFS('Product Order Book'!$A:$A,$A137,'Product Order Book'!$E:$E,O$3)&gt;0,"✓ Takes",IF(IFERROR(VLOOKUP($A137,'Whitespace Analysis'!$A:$AH,22,0),0)=1,"◎ Should","– N/A"))</f>
        <v>– N/A</v>
      </c>
      <c r="P137" s="156" t="str">
        <f>IF(COUNTIFS('Product Order Book'!$A:$A,$A137,'Product Order Book'!$E:$E,P$3)&gt;0,"✓ Takes",IF(IFERROR(VLOOKUP($A137,'Whitespace Analysis'!$A:$AH,24,0),0)=1,"◎ Should","– N/A"))</f>
        <v>– N/A</v>
      </c>
      <c r="Q137" s="156" t="str">
        <f>IF(COUNTIFS('Product Order Book'!$A:$A,$A137,'Product Order Book'!$E:$E,Q$3)&gt;0,"✓ Takes",IF(IFERROR(VLOOKUP($A137,'Whitespace Analysis'!$A:$AH,26,0),0)=1,"◎ Should","– N/A"))</f>
        <v>– N/A</v>
      </c>
      <c r="R137" s="156" t="str">
        <f>IF(COUNTIFS('Product Order Book'!$A:$A,$A137,'Product Order Book'!$E:$E,R$3)&gt;0,"✓ Takes",IF(IFERROR(VLOOKUP($A137,'Whitespace Analysis'!$A:$AH,16,0),0)=1,"◎ Should","– N/A"))</f>
        <v>– N/A</v>
      </c>
      <c r="S137" s="156" t="str">
        <f>IF(COUNTIFS('Product Order Book'!$A:$A,$A137,'Product Order Book'!$E:$E,S$3)&gt;0,"✓ Takes",IF(IFERROR(VLOOKUP($A137,'Whitespace Analysis'!$A:$AH,18,0),0)=1,"◎ Should","– N/A"))</f>
        <v>– N/A</v>
      </c>
      <c r="T137" s="156" t="str">
        <f>IF(COUNTIFS('Product Order Book'!$A:$A,$A137,'Product Order Book'!$E:$E,T$3)&gt;0,"✓ Takes",IF(IFERROR(VLOOKUP($A137,'Whitespace Analysis'!$A:$AH,28,0),0)=1,"◎ Should","– N/A"))</f>
        <v>– N/A</v>
      </c>
      <c r="U137" s="156" t="str">
        <f>IF(COUNTIFS('Product Order Book'!$A:$A,$A137,'Product Order Book'!$E:$E,U$3)&gt;0,"✓ Takes",IF(IFERROR(VLOOKUP($A137,'Whitespace Analysis'!$A:$AH,30,0),0)=1,"◎ Should","– N/A"))</f>
        <v>◎ Should</v>
      </c>
      <c r="V137" s="156" t="str">
        <f>IF(COUNTIFS('Product Order Book'!$A:$A,$A137,'Product Order Book'!$E:$E,V$3)&gt;0,"✓ Takes",IF(IFERROR(VLOOKUP($A137,'Whitespace Analysis'!$A:$AH,14,0),0)=1,"◎ Should","– N/A"))</f>
        <v>– N/A</v>
      </c>
    </row>
    <row r="138" spans="1:22" ht="15" customHeight="1">
      <c r="A138" s="154" t="str">
        <v>OnPath Energy Limited</v>
      </c>
      <c r="B138" s="155">
        <f>IFERROR(MIN(1,COUNTIFS('Product Order Book'!$A$2:$A$1057,$A138,'Product Order Book'!$E$2:$E$1057,B$3)/INDEX('Clean Package Product Lists'!$C:$C,MATCH(B$3,'Clean Package Product Lists'!$A:$A,0))),"")</f>
        <v>1</v>
      </c>
      <c r="C138" s="155">
        <f>IFERROR(MIN(1,COUNTIFS('Product Order Book'!$A$2:$A$1057,$A138,'Product Order Book'!$E$2:$E$1057,C$3)/INDEX('Clean Package Product Lists'!$C:$C,MATCH(C$3,'Clean Package Product Lists'!$A:$A,0))),"")</f>
        <v>0.14285714285714285</v>
      </c>
      <c r="D138" s="155">
        <f>IFERROR(MIN(1,COUNTIFS('Product Order Book'!$A$2:$A$1057,$A138,'Product Order Book'!$E$2:$E$1057,D$3)/INDEX('Clean Package Product Lists'!$C:$C,MATCH(D$3,'Clean Package Product Lists'!$A:$A,0))),"")</f>
        <v>0</v>
      </c>
      <c r="E138" s="155">
        <f>IFERROR(MIN(1,COUNTIFS('Product Order Book'!$A$2:$A$1057,$A138,'Product Order Book'!$E$2:$E$1057,E$3)/INDEX('Clean Package Product Lists'!$C:$C,MATCH(E$3,'Clean Package Product Lists'!$A:$A,0))),"")</f>
        <v>0</v>
      </c>
      <c r="F138" s="155">
        <f>IFERROR(MIN(1,COUNTIFS('Product Order Book'!$A$2:$A$1057,$A138,'Product Order Book'!$E$2:$E$1057,F$3)/INDEX('Clean Package Product Lists'!$C:$C,MATCH(F$3,'Clean Package Product Lists'!$A:$A,0))),"")</f>
        <v>0</v>
      </c>
      <c r="G138" s="155">
        <f>IFERROR(MIN(1,COUNTIFS('Product Order Book'!$A$2:$A$1057,$A138,'Product Order Book'!$E$2:$E$1057,G$3)/INDEX('Clean Package Product Lists'!$C:$C,MATCH(G$3,'Clean Package Product Lists'!$A:$A,0))),"")</f>
        <v>0</v>
      </c>
      <c r="H138" s="155">
        <f>IFERROR(MIN(1,COUNTIFS('Product Order Book'!$A$2:$A$1057,$A138,'Product Order Book'!$E$2:$E$1057,H$3)/INDEX('Clean Package Product Lists'!$C:$C,MATCH(H$3,'Clean Package Product Lists'!$A:$A,0))),"")</f>
        <v>0</v>
      </c>
      <c r="I138" s="155">
        <f>IFERROR(MIN(1,COUNTIFS('Product Order Book'!$A$2:$A$1057,$A138,'Product Order Book'!$E$2:$E$1057,I$3)/INDEX('Clean Package Product Lists'!$C:$C,MATCH(I$3,'Clean Package Product Lists'!$A:$A,0))),"")</f>
        <v>0</v>
      </c>
      <c r="J138" s="155">
        <f>IFERROR(MIN(1,COUNTIFS('Product Order Book'!$A$2:$A$1057,$A138,'Product Order Book'!$E$2:$E$1057,J$3)/INDEX('Clean Package Product Lists'!$C:$C,MATCH(J$3,'Clean Package Product Lists'!$A:$A,0))),"")</f>
        <v>0</v>
      </c>
      <c r="K138" s="155">
        <f>IFERROR(MIN(1,COUNTIFS('Product Order Book'!$A$2:$A$1057,$A138,'Product Order Book'!$E$2:$E$1057,K$3)/INDEX('Clean Package Product Lists'!$C:$C,MATCH(K$3,'Clean Package Product Lists'!$A:$A,0))),"")</f>
        <v>0</v>
      </c>
      <c r="L138" s="154"/>
      <c r="M138" s="156" t="str">
        <f>IF(COUNTIFS('Product Order Book'!$A:$A,$A138,'Product Order Book'!$E:$E,M$3)&gt;0,"✓ Takes",IF(IFERROR(VLOOKUP($A138,'Whitespace Analysis'!$A:$AH,12,0),0)=1,"◎ Should","– N/A"))</f>
        <v>✓ Takes</v>
      </c>
      <c r="N138" s="156" t="str">
        <f>IF(COUNTIFS('Product Order Book'!$A:$A,$A138,'Product Order Book'!$E:$E,N$3)&gt;0,"✓ Takes",IF(IFERROR(VLOOKUP($A138,'Whitespace Analysis'!$A:$AH,20,0),0)=1,"◎ Should","– N/A"))</f>
        <v>✓ Takes</v>
      </c>
      <c r="O138" s="156" t="str">
        <f>IF(COUNTIFS('Product Order Book'!$A:$A,$A138,'Product Order Book'!$E:$E,O$3)&gt;0,"✓ Takes",IF(IFERROR(VLOOKUP($A138,'Whitespace Analysis'!$A:$AH,22,0),0)=1,"◎ Should","– N/A"))</f>
        <v>◎ Should</v>
      </c>
      <c r="P138" s="156" t="str">
        <f>IF(COUNTIFS('Product Order Book'!$A:$A,$A138,'Product Order Book'!$E:$E,P$3)&gt;0,"✓ Takes",IF(IFERROR(VLOOKUP($A138,'Whitespace Analysis'!$A:$AH,24,0),0)=1,"◎ Should","– N/A"))</f>
        <v>◎ Should</v>
      </c>
      <c r="Q138" s="156" t="str">
        <f>IF(COUNTIFS('Product Order Book'!$A:$A,$A138,'Product Order Book'!$E:$E,Q$3)&gt;0,"✓ Takes",IF(IFERROR(VLOOKUP($A138,'Whitespace Analysis'!$A:$AH,26,0),0)=1,"◎ Should","– N/A"))</f>
        <v>◎ Should</v>
      </c>
      <c r="R138" s="156" t="str">
        <f>IF(COUNTIFS('Product Order Book'!$A:$A,$A138,'Product Order Book'!$E:$E,R$3)&gt;0,"✓ Takes",IF(IFERROR(VLOOKUP($A138,'Whitespace Analysis'!$A:$AH,16,0),0)=1,"◎ Should","– N/A"))</f>
        <v>– N/A</v>
      </c>
      <c r="S138" s="156" t="str">
        <f>IF(COUNTIFS('Product Order Book'!$A:$A,$A138,'Product Order Book'!$E:$E,S$3)&gt;0,"✓ Takes",IF(IFERROR(VLOOKUP($A138,'Whitespace Analysis'!$A:$AH,18,0),0)=1,"◎ Should","– N/A"))</f>
        <v>– N/A</v>
      </c>
      <c r="T138" s="156" t="str">
        <f>IF(COUNTIFS('Product Order Book'!$A:$A,$A138,'Product Order Book'!$E:$E,T$3)&gt;0,"✓ Takes",IF(IFERROR(VLOOKUP($A138,'Whitespace Analysis'!$A:$AH,28,0),0)=1,"◎ Should","– N/A"))</f>
        <v>– N/A</v>
      </c>
      <c r="U138" s="156" t="str">
        <f>IF(COUNTIFS('Product Order Book'!$A:$A,$A138,'Product Order Book'!$E:$E,U$3)&gt;0,"✓ Takes",IF(IFERROR(VLOOKUP($A138,'Whitespace Analysis'!$A:$AH,30,0),0)=1,"◎ Should","– N/A"))</f>
        <v>– N/A</v>
      </c>
      <c r="V138" s="156" t="str">
        <f>IF(COUNTIFS('Product Order Book'!$A:$A,$A138,'Product Order Book'!$E:$E,V$3)&gt;0,"✓ Takes",IF(IFERROR(VLOOKUP($A138,'Whitespace Analysis'!$A:$AH,14,0),0)=1,"◎ Should","– N/A"))</f>
        <v>◎ Should</v>
      </c>
    </row>
    <row r="139" spans="1:22" ht="15" customHeight="1">
      <c r="A139" s="154" t="str">
        <v>Orsted Power (UK) Ltd</v>
      </c>
      <c r="B139" s="155">
        <f>IFERROR(MIN(1,COUNTIFS('Product Order Book'!$A$2:$A$1057,$A139,'Product Order Book'!$E$2:$E$1057,B$3)/INDEX('Clean Package Product Lists'!$C:$C,MATCH(B$3,'Clean Package Product Lists'!$A:$A,0))),"")</f>
        <v>1</v>
      </c>
      <c r="C139" s="155">
        <f>IFERROR(MIN(1,COUNTIFS('Product Order Book'!$A$2:$A$1057,$A139,'Product Order Book'!$E$2:$E$1057,C$3)/INDEX('Clean Package Product Lists'!$C:$C,MATCH(C$3,'Clean Package Product Lists'!$A:$A,0))),"")</f>
        <v>0</v>
      </c>
      <c r="D139" s="155">
        <f>IFERROR(MIN(1,COUNTIFS('Product Order Book'!$A$2:$A$1057,$A139,'Product Order Book'!$E$2:$E$1057,D$3)/INDEX('Clean Package Product Lists'!$C:$C,MATCH(D$3,'Clean Package Product Lists'!$A:$A,0))),"")</f>
        <v>0</v>
      </c>
      <c r="E139" s="155">
        <f>IFERROR(MIN(1,COUNTIFS('Product Order Book'!$A$2:$A$1057,$A139,'Product Order Book'!$E$2:$E$1057,E$3)/INDEX('Clean Package Product Lists'!$C:$C,MATCH(E$3,'Clean Package Product Lists'!$A:$A,0))),"")</f>
        <v>0</v>
      </c>
      <c r="F139" s="155">
        <f>IFERROR(MIN(1,COUNTIFS('Product Order Book'!$A$2:$A$1057,$A139,'Product Order Book'!$E$2:$E$1057,F$3)/INDEX('Clean Package Product Lists'!$C:$C,MATCH(F$3,'Clean Package Product Lists'!$A:$A,0))),"")</f>
        <v>0</v>
      </c>
      <c r="G139" s="155">
        <f>IFERROR(MIN(1,COUNTIFS('Product Order Book'!$A$2:$A$1057,$A139,'Product Order Book'!$E$2:$E$1057,G$3)/INDEX('Clean Package Product Lists'!$C:$C,MATCH(G$3,'Clean Package Product Lists'!$A:$A,0))),"")</f>
        <v>0</v>
      </c>
      <c r="H139" s="155">
        <f>IFERROR(MIN(1,COUNTIFS('Product Order Book'!$A$2:$A$1057,$A139,'Product Order Book'!$E$2:$E$1057,H$3)/INDEX('Clean Package Product Lists'!$C:$C,MATCH(H$3,'Clean Package Product Lists'!$A:$A,0))),"")</f>
        <v>0</v>
      </c>
      <c r="I139" s="155">
        <f>IFERROR(MIN(1,COUNTIFS('Product Order Book'!$A$2:$A$1057,$A139,'Product Order Book'!$E$2:$E$1057,I$3)/INDEX('Clean Package Product Lists'!$C:$C,MATCH(I$3,'Clean Package Product Lists'!$A:$A,0))),"")</f>
        <v>0</v>
      </c>
      <c r="J139" s="155">
        <f>IFERROR(MIN(1,COUNTIFS('Product Order Book'!$A$2:$A$1057,$A139,'Product Order Book'!$E$2:$E$1057,J$3)/INDEX('Clean Package Product Lists'!$C:$C,MATCH(J$3,'Clean Package Product Lists'!$A:$A,0))),"")</f>
        <v>0</v>
      </c>
      <c r="K139" s="155">
        <f>IFERROR(MIN(1,COUNTIFS('Product Order Book'!$A$2:$A$1057,$A139,'Product Order Book'!$E$2:$E$1057,K$3)/INDEX('Clean Package Product Lists'!$C:$C,MATCH(K$3,'Clean Package Product Lists'!$A:$A,0))),"")</f>
        <v>0</v>
      </c>
      <c r="L139" s="154"/>
      <c r="M139" s="156" t="str">
        <f>IF(COUNTIFS('Product Order Book'!$A:$A,$A139,'Product Order Book'!$E:$E,M$3)&gt;0,"✓ Takes",IF(IFERROR(VLOOKUP($A139,'Whitespace Analysis'!$A:$AH,12,0),0)=1,"◎ Should","– N/A"))</f>
        <v>✓ Takes</v>
      </c>
      <c r="N139" s="156" t="str">
        <f>IF(COUNTIFS('Product Order Book'!$A:$A,$A139,'Product Order Book'!$E:$E,N$3)&gt;0,"✓ Takes",IF(IFERROR(VLOOKUP($A139,'Whitespace Analysis'!$A:$AH,20,0),0)=1,"◎ Should","– N/A"))</f>
        <v>◎ Should</v>
      </c>
      <c r="O139" s="156" t="str">
        <f>IF(COUNTIFS('Product Order Book'!$A:$A,$A139,'Product Order Book'!$E:$E,O$3)&gt;0,"✓ Takes",IF(IFERROR(VLOOKUP($A139,'Whitespace Analysis'!$A:$AH,22,0),0)=1,"◎ Should","– N/A"))</f>
        <v>◎ Should</v>
      </c>
      <c r="P139" s="156" t="str">
        <f>IF(COUNTIFS('Product Order Book'!$A:$A,$A139,'Product Order Book'!$E:$E,P$3)&gt;0,"✓ Takes",IF(IFERROR(VLOOKUP($A139,'Whitespace Analysis'!$A:$AH,24,0),0)=1,"◎ Should","– N/A"))</f>
        <v>◎ Should</v>
      </c>
      <c r="Q139" s="156" t="str">
        <f>IF(COUNTIFS('Product Order Book'!$A:$A,$A139,'Product Order Book'!$E:$E,Q$3)&gt;0,"✓ Takes",IF(IFERROR(VLOOKUP($A139,'Whitespace Analysis'!$A:$AH,26,0),0)=1,"◎ Should","– N/A"))</f>
        <v>◎ Should</v>
      </c>
      <c r="R139" s="156" t="str">
        <f>IF(COUNTIFS('Product Order Book'!$A:$A,$A139,'Product Order Book'!$E:$E,R$3)&gt;0,"✓ Takes",IF(IFERROR(VLOOKUP($A139,'Whitespace Analysis'!$A:$AH,16,0),0)=1,"◎ Should","– N/A"))</f>
        <v>◎ Should</v>
      </c>
      <c r="S139" s="156" t="str">
        <f>IF(COUNTIFS('Product Order Book'!$A:$A,$A139,'Product Order Book'!$E:$E,S$3)&gt;0,"✓ Takes",IF(IFERROR(VLOOKUP($A139,'Whitespace Analysis'!$A:$AH,18,0),0)=1,"◎ Should","– N/A"))</f>
        <v>◎ Should</v>
      </c>
      <c r="T139" s="156" t="str">
        <f>IF(COUNTIFS('Product Order Book'!$A:$A,$A139,'Product Order Book'!$E:$E,T$3)&gt;0,"✓ Takes",IF(IFERROR(VLOOKUP($A139,'Whitespace Analysis'!$A:$AH,28,0),0)=1,"◎ Should","– N/A"))</f>
        <v>– N/A</v>
      </c>
      <c r="U139" s="156" t="str">
        <f>IF(COUNTIFS('Product Order Book'!$A:$A,$A139,'Product Order Book'!$E:$E,U$3)&gt;0,"✓ Takes",IF(IFERROR(VLOOKUP($A139,'Whitespace Analysis'!$A:$AH,30,0),0)=1,"◎ Should","– N/A"))</f>
        <v>– N/A</v>
      </c>
      <c r="V139" s="156" t="str">
        <f>IF(COUNTIFS('Product Order Book'!$A:$A,$A139,'Product Order Book'!$E:$E,V$3)&gt;0,"✓ Takes",IF(IFERROR(VLOOKUP($A139,'Whitespace Analysis'!$A:$AH,14,0),0)=1,"◎ Should","– N/A"))</f>
        <v>◎ Should</v>
      </c>
    </row>
    <row r="140" spans="1:22" ht="15" customHeight="1">
      <c r="A140" s="154" t="str">
        <v>Orsted Salg &amp; Service A/S</v>
      </c>
      <c r="B140" s="155">
        <f>IFERROR(MIN(1,COUNTIFS('Product Order Book'!$A$2:$A$1057,$A140,'Product Order Book'!$E$2:$E$1057,B$3)/INDEX('Clean Package Product Lists'!$C:$C,MATCH(B$3,'Clean Package Product Lists'!$A:$A,0))),"")</f>
        <v>0</v>
      </c>
      <c r="C140" s="155">
        <f>IFERROR(MIN(1,COUNTIFS('Product Order Book'!$A$2:$A$1057,$A140,'Product Order Book'!$E$2:$E$1057,C$3)/INDEX('Clean Package Product Lists'!$C:$C,MATCH(C$3,'Clean Package Product Lists'!$A:$A,0))),"")</f>
        <v>0.2857142857142857</v>
      </c>
      <c r="D140" s="155">
        <f>IFERROR(MIN(1,COUNTIFS('Product Order Book'!$A$2:$A$1057,$A140,'Product Order Book'!$E$2:$E$1057,D$3)/INDEX('Clean Package Product Lists'!$C:$C,MATCH(D$3,'Clean Package Product Lists'!$A:$A,0))),"")</f>
        <v>0</v>
      </c>
      <c r="E140" s="155">
        <f>IFERROR(MIN(1,COUNTIFS('Product Order Book'!$A$2:$A$1057,$A140,'Product Order Book'!$E$2:$E$1057,E$3)/INDEX('Clean Package Product Lists'!$C:$C,MATCH(E$3,'Clean Package Product Lists'!$A:$A,0))),"")</f>
        <v>0</v>
      </c>
      <c r="F140" s="155">
        <f>IFERROR(MIN(1,COUNTIFS('Product Order Book'!$A$2:$A$1057,$A140,'Product Order Book'!$E$2:$E$1057,F$3)/INDEX('Clean Package Product Lists'!$C:$C,MATCH(F$3,'Clean Package Product Lists'!$A:$A,0))),"")</f>
        <v>0</v>
      </c>
      <c r="G140" s="155">
        <f>IFERROR(MIN(1,COUNTIFS('Product Order Book'!$A$2:$A$1057,$A140,'Product Order Book'!$E$2:$E$1057,G$3)/INDEX('Clean Package Product Lists'!$C:$C,MATCH(G$3,'Clean Package Product Lists'!$A:$A,0))),"")</f>
        <v>0</v>
      </c>
      <c r="H140" s="155">
        <f>IFERROR(MIN(1,COUNTIFS('Product Order Book'!$A$2:$A$1057,$A140,'Product Order Book'!$E$2:$E$1057,H$3)/INDEX('Clean Package Product Lists'!$C:$C,MATCH(H$3,'Clean Package Product Lists'!$A:$A,0))),"")</f>
        <v>0</v>
      </c>
      <c r="I140" s="155">
        <f>IFERROR(MIN(1,COUNTIFS('Product Order Book'!$A$2:$A$1057,$A140,'Product Order Book'!$E$2:$E$1057,I$3)/INDEX('Clean Package Product Lists'!$C:$C,MATCH(I$3,'Clean Package Product Lists'!$A:$A,0))),"")</f>
        <v>0</v>
      </c>
      <c r="J140" s="155">
        <f>IFERROR(MIN(1,COUNTIFS('Product Order Book'!$A$2:$A$1057,$A140,'Product Order Book'!$E$2:$E$1057,J$3)/INDEX('Clean Package Product Lists'!$C:$C,MATCH(J$3,'Clean Package Product Lists'!$A:$A,0))),"")</f>
        <v>0</v>
      </c>
      <c r="K140" s="155">
        <f>IFERROR(MIN(1,COUNTIFS('Product Order Book'!$A$2:$A$1057,$A140,'Product Order Book'!$E$2:$E$1057,K$3)/INDEX('Clean Package Product Lists'!$C:$C,MATCH(K$3,'Clean Package Product Lists'!$A:$A,0))),"")</f>
        <v>0</v>
      </c>
      <c r="L140" s="154"/>
      <c r="M140" s="156" t="str">
        <f>IF(COUNTIFS('Product Order Book'!$A:$A,$A140,'Product Order Book'!$E:$E,M$3)&gt;0,"✓ Takes",IF(IFERROR(VLOOKUP($A140,'Whitespace Analysis'!$A:$AH,12,0),0)=1,"◎ Should","– N/A"))</f>
        <v>◎ Should</v>
      </c>
      <c r="N140" s="156" t="str">
        <f>IF(COUNTIFS('Product Order Book'!$A:$A,$A140,'Product Order Book'!$E:$E,N$3)&gt;0,"✓ Takes",IF(IFERROR(VLOOKUP($A140,'Whitespace Analysis'!$A:$AH,20,0),0)=1,"◎ Should","– N/A"))</f>
        <v>✓ Takes</v>
      </c>
      <c r="O140" s="156" t="str">
        <f>IF(COUNTIFS('Product Order Book'!$A:$A,$A140,'Product Order Book'!$E:$E,O$3)&gt;0,"✓ Takes",IF(IFERROR(VLOOKUP($A140,'Whitespace Analysis'!$A:$AH,22,0),0)=1,"◎ Should","– N/A"))</f>
        <v>◎ Should</v>
      </c>
      <c r="P140" s="156" t="str">
        <f>IF(COUNTIFS('Product Order Book'!$A:$A,$A140,'Product Order Book'!$E:$E,P$3)&gt;0,"✓ Takes",IF(IFERROR(VLOOKUP($A140,'Whitespace Analysis'!$A:$AH,24,0),0)=1,"◎ Should","– N/A"))</f>
        <v>◎ Should</v>
      </c>
      <c r="Q140" s="156" t="str">
        <f>IF(COUNTIFS('Product Order Book'!$A:$A,$A140,'Product Order Book'!$E:$E,Q$3)&gt;0,"✓ Takes",IF(IFERROR(VLOOKUP($A140,'Whitespace Analysis'!$A:$AH,26,0),0)=1,"◎ Should","– N/A"))</f>
        <v>◎ Should</v>
      </c>
      <c r="R140" s="156" t="str">
        <f>IF(COUNTIFS('Product Order Book'!$A:$A,$A140,'Product Order Book'!$E:$E,R$3)&gt;0,"✓ Takes",IF(IFERROR(VLOOKUP($A140,'Whitespace Analysis'!$A:$AH,16,0),0)=1,"◎ Should","– N/A"))</f>
        <v>◎ Should</v>
      </c>
      <c r="S140" s="156" t="str">
        <f>IF(COUNTIFS('Product Order Book'!$A:$A,$A140,'Product Order Book'!$E:$E,S$3)&gt;0,"✓ Takes",IF(IFERROR(VLOOKUP($A140,'Whitespace Analysis'!$A:$AH,18,0),0)=1,"◎ Should","– N/A"))</f>
        <v>◎ Should</v>
      </c>
      <c r="T140" s="156" t="str">
        <f>IF(COUNTIFS('Product Order Book'!$A:$A,$A140,'Product Order Book'!$E:$E,T$3)&gt;0,"✓ Takes",IF(IFERROR(VLOOKUP($A140,'Whitespace Analysis'!$A:$AH,28,0),0)=1,"◎ Should","– N/A"))</f>
        <v>– N/A</v>
      </c>
      <c r="U140" s="156" t="str">
        <f>IF(COUNTIFS('Product Order Book'!$A:$A,$A140,'Product Order Book'!$E:$E,U$3)&gt;0,"✓ Takes",IF(IFERROR(VLOOKUP($A140,'Whitespace Analysis'!$A:$AH,30,0),0)=1,"◎ Should","– N/A"))</f>
        <v>– N/A</v>
      </c>
      <c r="V140" s="156" t="str">
        <f>IF(COUNTIFS('Product Order Book'!$A:$A,$A140,'Product Order Book'!$E:$E,V$3)&gt;0,"✓ Takes",IF(IFERROR(VLOOKUP($A140,'Whitespace Analysis'!$A:$AH,14,0),0)=1,"◎ Should","– N/A"))</f>
        <v>◎ Should</v>
      </c>
    </row>
    <row r="141" spans="1:22" ht="15" customHeight="1">
      <c r="A141" s="154" t="str">
        <v>OVO Energy Limited</v>
      </c>
      <c r="B141" s="155">
        <f>IFERROR(MIN(1,COUNTIFS('Product Order Book'!$A$2:$A$1057,$A141,'Product Order Book'!$E$2:$E$1057,B$3)/INDEX('Clean Package Product Lists'!$C:$C,MATCH(B$3,'Clean Package Product Lists'!$A:$A,0))),"")</f>
        <v>1</v>
      </c>
      <c r="C141" s="155">
        <f>IFERROR(MIN(1,COUNTIFS('Product Order Book'!$A$2:$A$1057,$A141,'Product Order Book'!$E$2:$E$1057,C$3)/INDEX('Clean Package Product Lists'!$C:$C,MATCH(C$3,'Clean Package Product Lists'!$A:$A,0))),"")</f>
        <v>0</v>
      </c>
      <c r="D141" s="155">
        <f>IFERROR(MIN(1,COUNTIFS('Product Order Book'!$A$2:$A$1057,$A141,'Product Order Book'!$E$2:$E$1057,D$3)/INDEX('Clean Package Product Lists'!$C:$C,MATCH(D$3,'Clean Package Product Lists'!$A:$A,0))),"")</f>
        <v>0</v>
      </c>
      <c r="E141" s="155">
        <f>IFERROR(MIN(1,COUNTIFS('Product Order Book'!$A$2:$A$1057,$A141,'Product Order Book'!$E$2:$E$1057,E$3)/INDEX('Clean Package Product Lists'!$C:$C,MATCH(E$3,'Clean Package Product Lists'!$A:$A,0))),"")</f>
        <v>0</v>
      </c>
      <c r="F141" s="155">
        <f>IFERROR(MIN(1,COUNTIFS('Product Order Book'!$A$2:$A$1057,$A141,'Product Order Book'!$E$2:$E$1057,F$3)/INDEX('Clean Package Product Lists'!$C:$C,MATCH(F$3,'Clean Package Product Lists'!$A:$A,0))),"")</f>
        <v>0</v>
      </c>
      <c r="G141" s="155">
        <f>IFERROR(MIN(1,COUNTIFS('Product Order Book'!$A$2:$A$1057,$A141,'Product Order Book'!$E$2:$E$1057,G$3)/INDEX('Clean Package Product Lists'!$C:$C,MATCH(G$3,'Clean Package Product Lists'!$A:$A,0))),"")</f>
        <v>0.36363636363636365</v>
      </c>
      <c r="H141" s="155">
        <f>IFERROR(MIN(1,COUNTIFS('Product Order Book'!$A$2:$A$1057,$A141,'Product Order Book'!$E$2:$E$1057,H$3)/INDEX('Clean Package Product Lists'!$C:$C,MATCH(H$3,'Clean Package Product Lists'!$A:$A,0))),"")</f>
        <v>0.75</v>
      </c>
      <c r="I141" s="155">
        <f>IFERROR(MIN(1,COUNTIFS('Product Order Book'!$A$2:$A$1057,$A141,'Product Order Book'!$E$2:$E$1057,I$3)/INDEX('Clean Package Product Lists'!$C:$C,MATCH(I$3,'Clean Package Product Lists'!$A:$A,0))),"")</f>
        <v>0</v>
      </c>
      <c r="J141" s="155">
        <f>IFERROR(MIN(1,COUNTIFS('Product Order Book'!$A$2:$A$1057,$A141,'Product Order Book'!$E$2:$E$1057,J$3)/INDEX('Clean Package Product Lists'!$C:$C,MATCH(J$3,'Clean Package Product Lists'!$A:$A,0))),"")</f>
        <v>0</v>
      </c>
      <c r="K141" s="155">
        <f>IFERROR(MIN(1,COUNTIFS('Product Order Book'!$A$2:$A$1057,$A141,'Product Order Book'!$E$2:$E$1057,K$3)/INDEX('Clean Package Product Lists'!$C:$C,MATCH(K$3,'Clean Package Product Lists'!$A:$A,0))),"")</f>
        <v>1</v>
      </c>
      <c r="L141" s="154"/>
      <c r="M141" s="156" t="str">
        <f>IF(COUNTIFS('Product Order Book'!$A:$A,$A141,'Product Order Book'!$E:$E,M$3)&gt;0,"✓ Takes",IF(IFERROR(VLOOKUP($A141,'Whitespace Analysis'!$A:$AH,12,0),0)=1,"◎ Should","– N/A"))</f>
        <v>✓ Takes</v>
      </c>
      <c r="N141" s="156" t="str">
        <f>IF(COUNTIFS('Product Order Book'!$A:$A,$A141,'Product Order Book'!$E:$E,N$3)&gt;0,"✓ Takes",IF(IFERROR(VLOOKUP($A141,'Whitespace Analysis'!$A:$AH,20,0),0)=1,"◎ Should","– N/A"))</f>
        <v>◎ Should</v>
      </c>
      <c r="O141" s="156" t="str">
        <f>IF(COUNTIFS('Product Order Book'!$A:$A,$A141,'Product Order Book'!$E:$E,O$3)&gt;0,"✓ Takes",IF(IFERROR(VLOOKUP($A141,'Whitespace Analysis'!$A:$AH,22,0),0)=1,"◎ Should","– N/A"))</f>
        <v>◎ Should</v>
      </c>
      <c r="P141" s="156" t="str">
        <f>IF(COUNTIFS('Product Order Book'!$A:$A,$A141,'Product Order Book'!$E:$E,P$3)&gt;0,"✓ Takes",IF(IFERROR(VLOOKUP($A141,'Whitespace Analysis'!$A:$AH,24,0),0)=1,"◎ Should","– N/A"))</f>
        <v>◎ Should</v>
      </c>
      <c r="Q141" s="156" t="str">
        <f>IF(COUNTIFS('Product Order Book'!$A:$A,$A141,'Product Order Book'!$E:$E,Q$3)&gt;0,"✓ Takes",IF(IFERROR(VLOOKUP($A141,'Whitespace Analysis'!$A:$AH,26,0),0)=1,"◎ Should","– N/A"))</f>
        <v>◎ Should</v>
      </c>
      <c r="R141" s="156" t="str">
        <f>IF(COUNTIFS('Product Order Book'!$A:$A,$A141,'Product Order Book'!$E:$E,R$3)&gt;0,"✓ Takes",IF(IFERROR(VLOOKUP($A141,'Whitespace Analysis'!$A:$AH,16,0),0)=1,"◎ Should","– N/A"))</f>
        <v>✓ Takes</v>
      </c>
      <c r="S141" s="156" t="str">
        <f>IF(COUNTIFS('Product Order Book'!$A:$A,$A141,'Product Order Book'!$E:$E,S$3)&gt;0,"✓ Takes",IF(IFERROR(VLOOKUP($A141,'Whitespace Analysis'!$A:$AH,18,0),0)=1,"◎ Should","– N/A"))</f>
        <v>✓ Takes</v>
      </c>
      <c r="T141" s="156" t="str">
        <f>IF(COUNTIFS('Product Order Book'!$A:$A,$A141,'Product Order Book'!$E:$E,T$3)&gt;0,"✓ Takes",IF(IFERROR(VLOOKUP($A141,'Whitespace Analysis'!$A:$AH,28,0),0)=1,"◎ Should","– N/A"))</f>
        <v>– N/A</v>
      </c>
      <c r="U141" s="156" t="str">
        <f>IF(COUNTIFS('Product Order Book'!$A:$A,$A141,'Product Order Book'!$E:$E,U$3)&gt;0,"✓ Takes",IF(IFERROR(VLOOKUP($A141,'Whitespace Analysis'!$A:$AH,30,0),0)=1,"◎ Should","– N/A"))</f>
        <v>◎ Should</v>
      </c>
      <c r="V141" s="156" t="str">
        <f>IF(COUNTIFS('Product Order Book'!$A:$A,$A141,'Product Order Book'!$E:$E,V$3)&gt;0,"✓ Takes",IF(IFERROR(VLOOKUP($A141,'Whitespace Analysis'!$A:$AH,14,0),0)=1,"◎ Should","– N/A"))</f>
        <v>✓ Takes</v>
      </c>
    </row>
    <row r="142" spans="1:22" ht="15" customHeight="1">
      <c r="A142" s="154" t="str">
        <v>PINERGY</v>
      </c>
      <c r="B142" s="155">
        <f>IFERROR(MIN(1,COUNTIFS('Product Order Book'!$A$2:$A$1057,$A142,'Product Order Book'!$E$2:$E$1057,B$3)/INDEX('Clean Package Product Lists'!$C:$C,MATCH(B$3,'Clean Package Product Lists'!$A:$A,0))),"")</f>
        <v>0</v>
      </c>
      <c r="C142" s="155">
        <f>IFERROR(MIN(1,COUNTIFS('Product Order Book'!$A$2:$A$1057,$A142,'Product Order Book'!$E$2:$E$1057,C$3)/INDEX('Clean Package Product Lists'!$C:$C,MATCH(C$3,'Clean Package Product Lists'!$A:$A,0))),"")</f>
        <v>0</v>
      </c>
      <c r="D142" s="155">
        <f>IFERROR(MIN(1,COUNTIFS('Product Order Book'!$A$2:$A$1057,$A142,'Product Order Book'!$E$2:$E$1057,D$3)/INDEX('Clean Package Product Lists'!$C:$C,MATCH(D$3,'Clean Package Product Lists'!$A:$A,0))),"")</f>
        <v>0</v>
      </c>
      <c r="E142" s="155">
        <f>IFERROR(MIN(1,COUNTIFS('Product Order Book'!$A$2:$A$1057,$A142,'Product Order Book'!$E$2:$E$1057,E$3)/INDEX('Clean Package Product Lists'!$C:$C,MATCH(E$3,'Clean Package Product Lists'!$A:$A,0))),"")</f>
        <v>0</v>
      </c>
      <c r="F142" s="155">
        <f>IFERROR(MIN(1,COUNTIFS('Product Order Book'!$A$2:$A$1057,$A142,'Product Order Book'!$E$2:$E$1057,F$3)/INDEX('Clean Package Product Lists'!$C:$C,MATCH(F$3,'Clean Package Product Lists'!$A:$A,0))),"")</f>
        <v>0</v>
      </c>
      <c r="G142" s="155">
        <f>IFERROR(MIN(1,COUNTIFS('Product Order Book'!$A$2:$A$1057,$A142,'Product Order Book'!$E$2:$E$1057,G$3)/INDEX('Clean Package Product Lists'!$C:$C,MATCH(G$3,'Clean Package Product Lists'!$A:$A,0))),"")</f>
        <v>0</v>
      </c>
      <c r="H142" s="155">
        <f>IFERROR(MIN(1,COUNTIFS('Product Order Book'!$A$2:$A$1057,$A142,'Product Order Book'!$E$2:$E$1057,H$3)/INDEX('Clean Package Product Lists'!$C:$C,MATCH(H$3,'Clean Package Product Lists'!$A:$A,0))),"")</f>
        <v>0</v>
      </c>
      <c r="I142" s="155">
        <f>IFERROR(MIN(1,COUNTIFS('Product Order Book'!$A$2:$A$1057,$A142,'Product Order Book'!$E$2:$E$1057,I$3)/INDEX('Clean Package Product Lists'!$C:$C,MATCH(I$3,'Clean Package Product Lists'!$A:$A,0))),"")</f>
        <v>0</v>
      </c>
      <c r="J142" s="155">
        <f>IFERROR(MIN(1,COUNTIFS('Product Order Book'!$A$2:$A$1057,$A142,'Product Order Book'!$E$2:$E$1057,J$3)/INDEX('Clean Package Product Lists'!$C:$C,MATCH(J$3,'Clean Package Product Lists'!$A:$A,0))),"")</f>
        <v>0</v>
      </c>
      <c r="K142" s="155">
        <f>IFERROR(MIN(1,COUNTIFS('Product Order Book'!$A$2:$A$1057,$A142,'Product Order Book'!$E$2:$E$1057,K$3)/INDEX('Clean Package Product Lists'!$C:$C,MATCH(K$3,'Clean Package Product Lists'!$A:$A,0))),"")</f>
        <v>0</v>
      </c>
      <c r="L142" s="154"/>
      <c r="M142" s="156" t="str">
        <f>IF(COUNTIFS('Product Order Book'!$A:$A,$A142,'Product Order Book'!$E:$E,M$3)&gt;0,"✓ Takes",IF(IFERROR(VLOOKUP($A142,'Whitespace Analysis'!$A:$AH,12,0),0)=1,"◎ Should","– N/A"))</f>
        <v>– N/A</v>
      </c>
      <c r="N142" s="156" t="str">
        <f>IF(COUNTIFS('Product Order Book'!$A:$A,$A142,'Product Order Book'!$E:$E,N$3)&gt;0,"✓ Takes",IF(IFERROR(VLOOKUP($A142,'Whitespace Analysis'!$A:$AH,20,0),0)=1,"◎ Should","– N/A"))</f>
        <v>– N/A</v>
      </c>
      <c r="O142" s="156" t="str">
        <f>IF(COUNTIFS('Product Order Book'!$A:$A,$A142,'Product Order Book'!$E:$E,O$3)&gt;0,"✓ Takes",IF(IFERROR(VLOOKUP($A142,'Whitespace Analysis'!$A:$AH,22,0),0)=1,"◎ Should","– N/A"))</f>
        <v>– N/A</v>
      </c>
      <c r="P142" s="156" t="str">
        <f>IF(COUNTIFS('Product Order Book'!$A:$A,$A142,'Product Order Book'!$E:$E,P$3)&gt;0,"✓ Takes",IF(IFERROR(VLOOKUP($A142,'Whitespace Analysis'!$A:$AH,24,0),0)=1,"◎ Should","– N/A"))</f>
        <v>– N/A</v>
      </c>
      <c r="Q142" s="156" t="str">
        <f>IF(COUNTIFS('Product Order Book'!$A:$A,$A142,'Product Order Book'!$E:$E,Q$3)&gt;0,"✓ Takes",IF(IFERROR(VLOOKUP($A142,'Whitespace Analysis'!$A:$AH,26,0),0)=1,"◎ Should","– N/A"))</f>
        <v>– N/A</v>
      </c>
      <c r="R142" s="156" t="str">
        <f>IF(COUNTIFS('Product Order Book'!$A:$A,$A142,'Product Order Book'!$E:$E,R$3)&gt;0,"✓ Takes",IF(IFERROR(VLOOKUP($A142,'Whitespace Analysis'!$A:$AH,16,0),0)=1,"◎ Should","– N/A"))</f>
        <v>– N/A</v>
      </c>
      <c r="S142" s="156" t="str">
        <f>IF(COUNTIFS('Product Order Book'!$A:$A,$A142,'Product Order Book'!$E:$E,S$3)&gt;0,"✓ Takes",IF(IFERROR(VLOOKUP($A142,'Whitespace Analysis'!$A:$AH,18,0),0)=1,"◎ Should","– N/A"))</f>
        <v>– N/A</v>
      </c>
      <c r="T142" s="156" t="str">
        <f>IF(COUNTIFS('Product Order Book'!$A:$A,$A142,'Product Order Book'!$E:$E,T$3)&gt;0,"✓ Takes",IF(IFERROR(VLOOKUP($A142,'Whitespace Analysis'!$A:$AH,28,0),0)=1,"◎ Should","– N/A"))</f>
        <v>– N/A</v>
      </c>
      <c r="U142" s="156" t="str">
        <f>IF(COUNTIFS('Product Order Book'!$A:$A,$A142,'Product Order Book'!$E:$E,U$3)&gt;0,"✓ Takes",IF(IFERROR(VLOOKUP($A142,'Whitespace Analysis'!$A:$AH,30,0),0)=1,"◎ Should","– N/A"))</f>
        <v>– N/A</v>
      </c>
      <c r="V142" s="156" t="str">
        <f>IF(COUNTIFS('Product Order Book'!$A:$A,$A142,'Product Order Book'!$E:$E,V$3)&gt;0,"✓ Takes",IF(IFERROR(VLOOKUP($A142,'Whitespace Analysis'!$A:$AH,14,0),0)=1,"◎ Should","– N/A"))</f>
        <v>– N/A</v>
      </c>
    </row>
    <row r="143" spans="1:22" ht="15" customHeight="1">
      <c r="A143" s="154" t="str">
        <v>Port of Tilbury London Ltd</v>
      </c>
      <c r="B143" s="155">
        <f>IFERROR(MIN(1,COUNTIFS('Product Order Book'!$A$2:$A$1057,$A143,'Product Order Book'!$E$2:$E$1057,B$3)/INDEX('Clean Package Product Lists'!$C:$C,MATCH(B$3,'Clean Package Product Lists'!$A:$A,0))),"")</f>
        <v>1</v>
      </c>
      <c r="C143" s="155">
        <f>IFERROR(MIN(1,COUNTIFS('Product Order Book'!$A$2:$A$1057,$A143,'Product Order Book'!$E$2:$E$1057,C$3)/INDEX('Clean Package Product Lists'!$C:$C,MATCH(C$3,'Clean Package Product Lists'!$A:$A,0))),"")</f>
        <v>0</v>
      </c>
      <c r="D143" s="155">
        <f>IFERROR(MIN(1,COUNTIFS('Product Order Book'!$A$2:$A$1057,$A143,'Product Order Book'!$E$2:$E$1057,D$3)/INDEX('Clean Package Product Lists'!$C:$C,MATCH(D$3,'Clean Package Product Lists'!$A:$A,0))),"")</f>
        <v>0</v>
      </c>
      <c r="E143" s="155">
        <f>IFERROR(MIN(1,COUNTIFS('Product Order Book'!$A$2:$A$1057,$A143,'Product Order Book'!$E$2:$E$1057,E$3)/INDEX('Clean Package Product Lists'!$C:$C,MATCH(E$3,'Clean Package Product Lists'!$A:$A,0))),"")</f>
        <v>0</v>
      </c>
      <c r="F143" s="155">
        <f>IFERROR(MIN(1,COUNTIFS('Product Order Book'!$A$2:$A$1057,$A143,'Product Order Book'!$E$2:$E$1057,F$3)/INDEX('Clean Package Product Lists'!$C:$C,MATCH(F$3,'Clean Package Product Lists'!$A:$A,0))),"")</f>
        <v>0</v>
      </c>
      <c r="G143" s="155">
        <f>IFERROR(MIN(1,COUNTIFS('Product Order Book'!$A$2:$A$1057,$A143,'Product Order Book'!$E$2:$E$1057,G$3)/INDEX('Clean Package Product Lists'!$C:$C,MATCH(G$3,'Clean Package Product Lists'!$A:$A,0))),"")</f>
        <v>0</v>
      </c>
      <c r="H143" s="155">
        <f>IFERROR(MIN(1,COUNTIFS('Product Order Book'!$A$2:$A$1057,$A143,'Product Order Book'!$E$2:$E$1057,H$3)/INDEX('Clean Package Product Lists'!$C:$C,MATCH(H$3,'Clean Package Product Lists'!$A:$A,0))),"")</f>
        <v>0</v>
      </c>
      <c r="I143" s="155">
        <f>IFERROR(MIN(1,COUNTIFS('Product Order Book'!$A$2:$A$1057,$A143,'Product Order Book'!$E$2:$E$1057,I$3)/INDEX('Clean Package Product Lists'!$C:$C,MATCH(I$3,'Clean Package Product Lists'!$A:$A,0))),"")</f>
        <v>0</v>
      </c>
      <c r="J143" s="155">
        <f>IFERROR(MIN(1,COUNTIFS('Product Order Book'!$A$2:$A$1057,$A143,'Product Order Book'!$E$2:$E$1057,J$3)/INDEX('Clean Package Product Lists'!$C:$C,MATCH(J$3,'Clean Package Product Lists'!$A:$A,0))),"")</f>
        <v>0</v>
      </c>
      <c r="K143" s="155">
        <f>IFERROR(MIN(1,COUNTIFS('Product Order Book'!$A$2:$A$1057,$A143,'Product Order Book'!$E$2:$E$1057,K$3)/INDEX('Clean Package Product Lists'!$C:$C,MATCH(K$3,'Clean Package Product Lists'!$A:$A,0))),"")</f>
        <v>0</v>
      </c>
      <c r="L143" s="154"/>
      <c r="M143" s="156" t="str">
        <f>IF(COUNTIFS('Product Order Book'!$A:$A,$A143,'Product Order Book'!$E:$E,M$3)&gt;0,"✓ Takes",IF(IFERROR(VLOOKUP($A143,'Whitespace Analysis'!$A:$AH,12,0),0)=1,"◎ Should","– N/A"))</f>
        <v>✓ Takes</v>
      </c>
      <c r="N143" s="156" t="str">
        <f>IF(COUNTIFS('Product Order Book'!$A:$A,$A143,'Product Order Book'!$E:$E,N$3)&gt;0,"✓ Takes",IF(IFERROR(VLOOKUP($A143,'Whitespace Analysis'!$A:$AH,20,0),0)=1,"◎ Should","– N/A"))</f>
        <v>◎ Should</v>
      </c>
      <c r="O143" s="156" t="str">
        <f>IF(COUNTIFS('Product Order Book'!$A:$A,$A143,'Product Order Book'!$E:$E,O$3)&gt;0,"✓ Takes",IF(IFERROR(VLOOKUP($A143,'Whitespace Analysis'!$A:$AH,22,0),0)=1,"◎ Should","– N/A"))</f>
        <v>◎ Should</v>
      </c>
      <c r="P143" s="156" t="str">
        <f>IF(COUNTIFS('Product Order Book'!$A:$A,$A143,'Product Order Book'!$E:$E,P$3)&gt;0,"✓ Takes",IF(IFERROR(VLOOKUP($A143,'Whitespace Analysis'!$A:$AH,24,0),0)=1,"◎ Should","– N/A"))</f>
        <v>– N/A</v>
      </c>
      <c r="Q143" s="156" t="str">
        <f>IF(COUNTIFS('Product Order Book'!$A:$A,$A143,'Product Order Book'!$E:$E,Q$3)&gt;0,"✓ Takes",IF(IFERROR(VLOOKUP($A143,'Whitespace Analysis'!$A:$AH,26,0),0)=1,"◎ Should","– N/A"))</f>
        <v>– N/A</v>
      </c>
      <c r="R143" s="156" t="str">
        <f>IF(COUNTIFS('Product Order Book'!$A:$A,$A143,'Product Order Book'!$E:$E,R$3)&gt;0,"✓ Takes",IF(IFERROR(VLOOKUP($A143,'Whitespace Analysis'!$A:$AH,16,0),0)=1,"◎ Should","– N/A"))</f>
        <v>– N/A</v>
      </c>
      <c r="S143" s="156" t="str">
        <f>IF(COUNTIFS('Product Order Book'!$A:$A,$A143,'Product Order Book'!$E:$E,S$3)&gt;0,"✓ Takes",IF(IFERROR(VLOOKUP($A143,'Whitespace Analysis'!$A:$AH,18,0),0)=1,"◎ Should","– N/A"))</f>
        <v>– N/A</v>
      </c>
      <c r="T143" s="156" t="str">
        <f>IF(COUNTIFS('Product Order Book'!$A:$A,$A143,'Product Order Book'!$E:$E,T$3)&gt;0,"✓ Takes",IF(IFERROR(VLOOKUP($A143,'Whitespace Analysis'!$A:$AH,28,0),0)=1,"◎ Should","– N/A"))</f>
        <v>◎ Should</v>
      </c>
      <c r="U143" s="156" t="str">
        <f>IF(COUNTIFS('Product Order Book'!$A:$A,$A143,'Product Order Book'!$E:$E,U$3)&gt;0,"✓ Takes",IF(IFERROR(VLOOKUP($A143,'Whitespace Analysis'!$A:$AH,30,0),0)=1,"◎ Should","– N/A"))</f>
        <v>◎ Should</v>
      </c>
      <c r="V143" s="156" t="str">
        <f>IF(COUNTIFS('Product Order Book'!$A:$A,$A143,'Product Order Book'!$E:$E,V$3)&gt;0,"✓ Takes",IF(IFERROR(VLOOKUP($A143,'Whitespace Analysis'!$A:$AH,14,0),0)=1,"◎ Should","– N/A"))</f>
        <v>◎ Should</v>
      </c>
    </row>
    <row r="144" spans="1:22" ht="15" customHeight="1">
      <c r="A144" s="154" t="str">
        <v>PricewaterhouseCooper Services Limited</v>
      </c>
      <c r="B144" s="155">
        <f>IFERROR(MIN(1,COUNTIFS('Product Order Book'!$A$2:$A$1057,$A144,'Product Order Book'!$E$2:$E$1057,B$3)/INDEX('Clean Package Product Lists'!$C:$C,MATCH(B$3,'Clean Package Product Lists'!$A:$A,0))),"")</f>
        <v>1</v>
      </c>
      <c r="C144" s="155">
        <f>IFERROR(MIN(1,COUNTIFS('Product Order Book'!$A$2:$A$1057,$A144,'Product Order Book'!$E$2:$E$1057,C$3)/INDEX('Clean Package Product Lists'!$C:$C,MATCH(C$3,'Clean Package Product Lists'!$A:$A,0))),"")</f>
        <v>0</v>
      </c>
      <c r="D144" s="155">
        <f>IFERROR(MIN(1,COUNTIFS('Product Order Book'!$A$2:$A$1057,$A144,'Product Order Book'!$E$2:$E$1057,D$3)/INDEX('Clean Package Product Lists'!$C:$C,MATCH(D$3,'Clean Package Product Lists'!$A:$A,0))),"")</f>
        <v>0</v>
      </c>
      <c r="E144" s="155">
        <f>IFERROR(MIN(1,COUNTIFS('Product Order Book'!$A$2:$A$1057,$A144,'Product Order Book'!$E$2:$E$1057,E$3)/INDEX('Clean Package Product Lists'!$C:$C,MATCH(E$3,'Clean Package Product Lists'!$A:$A,0))),"")</f>
        <v>0</v>
      </c>
      <c r="F144" s="155">
        <f>IFERROR(MIN(1,COUNTIFS('Product Order Book'!$A$2:$A$1057,$A144,'Product Order Book'!$E$2:$E$1057,F$3)/INDEX('Clean Package Product Lists'!$C:$C,MATCH(F$3,'Clean Package Product Lists'!$A:$A,0))),"")</f>
        <v>0</v>
      </c>
      <c r="G144" s="155">
        <f>IFERROR(MIN(1,COUNTIFS('Product Order Book'!$A$2:$A$1057,$A144,'Product Order Book'!$E$2:$E$1057,G$3)/INDEX('Clean Package Product Lists'!$C:$C,MATCH(G$3,'Clean Package Product Lists'!$A:$A,0))),"")</f>
        <v>0</v>
      </c>
      <c r="H144" s="155">
        <f>IFERROR(MIN(1,COUNTIFS('Product Order Book'!$A$2:$A$1057,$A144,'Product Order Book'!$E$2:$E$1057,H$3)/INDEX('Clean Package Product Lists'!$C:$C,MATCH(H$3,'Clean Package Product Lists'!$A:$A,0))),"")</f>
        <v>0</v>
      </c>
      <c r="I144" s="155">
        <f>IFERROR(MIN(1,COUNTIFS('Product Order Book'!$A$2:$A$1057,$A144,'Product Order Book'!$E$2:$E$1057,I$3)/INDEX('Clean Package Product Lists'!$C:$C,MATCH(I$3,'Clean Package Product Lists'!$A:$A,0))),"")</f>
        <v>0</v>
      </c>
      <c r="J144" s="155">
        <f>IFERROR(MIN(1,COUNTIFS('Product Order Book'!$A$2:$A$1057,$A144,'Product Order Book'!$E$2:$E$1057,J$3)/INDEX('Clean Package Product Lists'!$C:$C,MATCH(J$3,'Clean Package Product Lists'!$A:$A,0))),"")</f>
        <v>0</v>
      </c>
      <c r="K144" s="155">
        <f>IFERROR(MIN(1,COUNTIFS('Product Order Book'!$A$2:$A$1057,$A144,'Product Order Book'!$E$2:$E$1057,K$3)/INDEX('Clean Package Product Lists'!$C:$C,MATCH(K$3,'Clean Package Product Lists'!$A:$A,0))),"")</f>
        <v>0</v>
      </c>
      <c r="L144" s="154"/>
      <c r="M144" s="156" t="str">
        <f>IF(COUNTIFS('Product Order Book'!$A:$A,$A144,'Product Order Book'!$E:$E,M$3)&gt;0,"✓ Takes",IF(IFERROR(VLOOKUP($A144,'Whitespace Analysis'!$A:$AH,12,0),0)=1,"◎ Should","– N/A"))</f>
        <v>✓ Takes</v>
      </c>
      <c r="N144" s="156" t="str">
        <f>IF(COUNTIFS('Product Order Book'!$A:$A,$A144,'Product Order Book'!$E:$E,N$3)&gt;0,"✓ Takes",IF(IFERROR(VLOOKUP($A144,'Whitespace Analysis'!$A:$AH,20,0),0)=1,"◎ Should","– N/A"))</f>
        <v>– N/A</v>
      </c>
      <c r="O144" s="156" t="str">
        <f>IF(COUNTIFS('Product Order Book'!$A:$A,$A144,'Product Order Book'!$E:$E,O$3)&gt;0,"✓ Takes",IF(IFERROR(VLOOKUP($A144,'Whitespace Analysis'!$A:$AH,22,0),0)=1,"◎ Should","– N/A"))</f>
        <v>– N/A</v>
      </c>
      <c r="P144" s="156" t="str">
        <f>IF(COUNTIFS('Product Order Book'!$A:$A,$A144,'Product Order Book'!$E:$E,P$3)&gt;0,"✓ Takes",IF(IFERROR(VLOOKUP($A144,'Whitespace Analysis'!$A:$AH,24,0),0)=1,"◎ Should","– N/A"))</f>
        <v>– N/A</v>
      </c>
      <c r="Q144" s="156" t="str">
        <f>IF(COUNTIFS('Product Order Book'!$A:$A,$A144,'Product Order Book'!$E:$E,Q$3)&gt;0,"✓ Takes",IF(IFERROR(VLOOKUP($A144,'Whitespace Analysis'!$A:$AH,26,0),0)=1,"◎ Should","– N/A"))</f>
        <v>– N/A</v>
      </c>
      <c r="R144" s="156" t="str">
        <f>IF(COUNTIFS('Product Order Book'!$A:$A,$A144,'Product Order Book'!$E:$E,R$3)&gt;0,"✓ Takes",IF(IFERROR(VLOOKUP($A144,'Whitespace Analysis'!$A:$AH,16,0),0)=1,"◎ Should","– N/A"))</f>
        <v>– N/A</v>
      </c>
      <c r="S144" s="156" t="str">
        <f>IF(COUNTIFS('Product Order Book'!$A:$A,$A144,'Product Order Book'!$E:$E,S$3)&gt;0,"✓ Takes",IF(IFERROR(VLOOKUP($A144,'Whitespace Analysis'!$A:$AH,18,0),0)=1,"◎ Should","– N/A"))</f>
        <v>– N/A</v>
      </c>
      <c r="T144" s="156" t="str">
        <f>IF(COUNTIFS('Product Order Book'!$A:$A,$A144,'Product Order Book'!$E:$E,T$3)&gt;0,"✓ Takes",IF(IFERROR(VLOOKUP($A144,'Whitespace Analysis'!$A:$AH,28,0),0)=1,"◎ Should","– N/A"))</f>
        <v>– N/A</v>
      </c>
      <c r="U144" s="156" t="str">
        <f>IF(COUNTIFS('Product Order Book'!$A:$A,$A144,'Product Order Book'!$E:$E,U$3)&gt;0,"✓ Takes",IF(IFERROR(VLOOKUP($A144,'Whitespace Analysis'!$A:$AH,30,0),0)=1,"◎ Should","– N/A"))</f>
        <v>– N/A</v>
      </c>
      <c r="V144" s="156" t="str">
        <f>IF(COUNTIFS('Product Order Book'!$A:$A,$A144,'Product Order Book'!$E:$E,V$3)&gt;0,"✓ Takes",IF(IFERROR(VLOOKUP($A144,'Whitespace Analysis'!$A:$AH,14,0),0)=1,"◎ Should","– N/A"))</f>
        <v>– N/A</v>
      </c>
    </row>
    <row r="145" spans="1:22" ht="15" customHeight="1">
      <c r="A145" s="154" t="str">
        <v>Pure Energy Professionals</v>
      </c>
      <c r="B145" s="155">
        <f>IFERROR(MIN(1,COUNTIFS('Product Order Book'!$A$2:$A$1057,$A145,'Product Order Book'!$E$2:$E$1057,B$3)/INDEX('Clean Package Product Lists'!$C:$C,MATCH(B$3,'Clean Package Product Lists'!$A:$A,0))),"")</f>
        <v>1</v>
      </c>
      <c r="C145" s="155">
        <f>IFERROR(MIN(1,COUNTIFS('Product Order Book'!$A$2:$A$1057,$A145,'Product Order Book'!$E$2:$E$1057,C$3)/INDEX('Clean Package Product Lists'!$C:$C,MATCH(C$3,'Clean Package Product Lists'!$A:$A,0))),"")</f>
        <v>0</v>
      </c>
      <c r="D145" s="155">
        <f>IFERROR(MIN(1,COUNTIFS('Product Order Book'!$A$2:$A$1057,$A145,'Product Order Book'!$E$2:$E$1057,D$3)/INDEX('Clean Package Product Lists'!$C:$C,MATCH(D$3,'Clean Package Product Lists'!$A:$A,0))),"")</f>
        <v>0</v>
      </c>
      <c r="E145" s="155">
        <f>IFERROR(MIN(1,COUNTIFS('Product Order Book'!$A$2:$A$1057,$A145,'Product Order Book'!$E$2:$E$1057,E$3)/INDEX('Clean Package Product Lists'!$C:$C,MATCH(E$3,'Clean Package Product Lists'!$A:$A,0))),"")</f>
        <v>0</v>
      </c>
      <c r="F145" s="155">
        <f>IFERROR(MIN(1,COUNTIFS('Product Order Book'!$A$2:$A$1057,$A145,'Product Order Book'!$E$2:$E$1057,F$3)/INDEX('Clean Package Product Lists'!$C:$C,MATCH(F$3,'Clean Package Product Lists'!$A:$A,0))),"")</f>
        <v>0</v>
      </c>
      <c r="G145" s="155">
        <f>IFERROR(MIN(1,COUNTIFS('Product Order Book'!$A$2:$A$1057,$A145,'Product Order Book'!$E$2:$E$1057,G$3)/INDEX('Clean Package Product Lists'!$C:$C,MATCH(G$3,'Clean Package Product Lists'!$A:$A,0))),"")</f>
        <v>0</v>
      </c>
      <c r="H145" s="155">
        <f>IFERROR(MIN(1,COUNTIFS('Product Order Book'!$A$2:$A$1057,$A145,'Product Order Book'!$E$2:$E$1057,H$3)/INDEX('Clean Package Product Lists'!$C:$C,MATCH(H$3,'Clean Package Product Lists'!$A:$A,0))),"")</f>
        <v>0</v>
      </c>
      <c r="I145" s="155">
        <f>IFERROR(MIN(1,COUNTIFS('Product Order Book'!$A$2:$A$1057,$A145,'Product Order Book'!$E$2:$E$1057,I$3)/INDEX('Clean Package Product Lists'!$C:$C,MATCH(I$3,'Clean Package Product Lists'!$A:$A,0))),"")</f>
        <v>0</v>
      </c>
      <c r="J145" s="155">
        <f>IFERROR(MIN(1,COUNTIFS('Product Order Book'!$A$2:$A$1057,$A145,'Product Order Book'!$E$2:$E$1057,J$3)/INDEX('Clean Package Product Lists'!$C:$C,MATCH(J$3,'Clean Package Product Lists'!$A:$A,0))),"")</f>
        <v>0</v>
      </c>
      <c r="K145" s="155">
        <f>IFERROR(MIN(1,COUNTIFS('Product Order Book'!$A$2:$A$1057,$A145,'Product Order Book'!$E$2:$E$1057,K$3)/INDEX('Clean Package Product Lists'!$C:$C,MATCH(K$3,'Clean Package Product Lists'!$A:$A,0))),"")</f>
        <v>0</v>
      </c>
      <c r="L145" s="154"/>
      <c r="M145" s="156" t="str">
        <f>IF(COUNTIFS('Product Order Book'!$A:$A,$A145,'Product Order Book'!$E:$E,M$3)&gt;0,"✓ Takes",IF(IFERROR(VLOOKUP($A145,'Whitespace Analysis'!$A:$AH,12,0),0)=1,"◎ Should","– N/A"))</f>
        <v>✓ Takes</v>
      </c>
      <c r="N145" s="156" t="str">
        <f>IF(COUNTIFS('Product Order Book'!$A:$A,$A145,'Product Order Book'!$E:$E,N$3)&gt;0,"✓ Takes",IF(IFERROR(VLOOKUP($A145,'Whitespace Analysis'!$A:$AH,20,0),0)=1,"◎ Should","– N/A"))</f>
        <v>◎ Should</v>
      </c>
      <c r="O145" s="156" t="str">
        <f>IF(COUNTIFS('Product Order Book'!$A:$A,$A145,'Product Order Book'!$E:$E,O$3)&gt;0,"✓ Takes",IF(IFERROR(VLOOKUP($A145,'Whitespace Analysis'!$A:$AH,22,0),0)=1,"◎ Should","– N/A"))</f>
        <v>◎ Should</v>
      </c>
      <c r="P145" s="156" t="str">
        <f>IF(COUNTIFS('Product Order Book'!$A:$A,$A145,'Product Order Book'!$E:$E,P$3)&gt;0,"✓ Takes",IF(IFERROR(VLOOKUP($A145,'Whitespace Analysis'!$A:$AH,24,0),0)=1,"◎ Should","– N/A"))</f>
        <v>– N/A</v>
      </c>
      <c r="Q145" s="156" t="str">
        <f>IF(COUNTIFS('Product Order Book'!$A:$A,$A145,'Product Order Book'!$E:$E,Q$3)&gt;0,"✓ Takes",IF(IFERROR(VLOOKUP($A145,'Whitespace Analysis'!$A:$AH,26,0),0)=1,"◎ Should","– N/A"))</f>
        <v>– N/A</v>
      </c>
      <c r="R145" s="156" t="str">
        <f>IF(COUNTIFS('Product Order Book'!$A:$A,$A145,'Product Order Book'!$E:$E,R$3)&gt;0,"✓ Takes",IF(IFERROR(VLOOKUP($A145,'Whitespace Analysis'!$A:$AH,16,0),0)=1,"◎ Should","– N/A"))</f>
        <v>– N/A</v>
      </c>
      <c r="S145" s="156" t="str">
        <f>IF(COUNTIFS('Product Order Book'!$A:$A,$A145,'Product Order Book'!$E:$E,S$3)&gt;0,"✓ Takes",IF(IFERROR(VLOOKUP($A145,'Whitespace Analysis'!$A:$AH,18,0),0)=1,"◎ Should","– N/A"))</f>
        <v>– N/A</v>
      </c>
      <c r="T145" s="156" t="str">
        <f>IF(COUNTIFS('Product Order Book'!$A:$A,$A145,'Product Order Book'!$E:$E,T$3)&gt;0,"✓ Takes",IF(IFERROR(VLOOKUP($A145,'Whitespace Analysis'!$A:$AH,28,0),0)=1,"◎ Should","– N/A"))</f>
        <v>– N/A</v>
      </c>
      <c r="U145" s="156" t="str">
        <f>IF(COUNTIFS('Product Order Book'!$A:$A,$A145,'Product Order Book'!$E:$E,U$3)&gt;0,"✓ Takes",IF(IFERROR(VLOOKUP($A145,'Whitespace Analysis'!$A:$AH,30,0),0)=1,"◎ Should","– N/A"))</f>
        <v>– N/A</v>
      </c>
      <c r="V145" s="156" t="str">
        <f>IF(COUNTIFS('Product Order Book'!$A:$A,$A145,'Product Order Book'!$E:$E,V$3)&gt;0,"✓ Takes",IF(IFERROR(VLOOKUP($A145,'Whitespace Analysis'!$A:$AH,14,0),0)=1,"◎ Should","– N/A"))</f>
        <v>◎ Should</v>
      </c>
    </row>
    <row r="146" spans="1:22" ht="15" customHeight="1">
      <c r="A146" s="154" t="str">
        <v>Regent Gas</v>
      </c>
      <c r="B146" s="155">
        <f>IFERROR(MIN(1,COUNTIFS('Product Order Book'!$A$2:$A$1057,$A146,'Product Order Book'!$E$2:$E$1057,B$3)/INDEX('Clean Package Product Lists'!$C:$C,MATCH(B$3,'Clean Package Product Lists'!$A:$A,0))),"")</f>
        <v>0</v>
      </c>
      <c r="C146" s="155">
        <f>IFERROR(MIN(1,COUNTIFS('Product Order Book'!$A$2:$A$1057,$A146,'Product Order Book'!$E$2:$E$1057,C$3)/INDEX('Clean Package Product Lists'!$C:$C,MATCH(C$3,'Clean Package Product Lists'!$A:$A,0))),"")</f>
        <v>0</v>
      </c>
      <c r="D146" s="155">
        <f>IFERROR(MIN(1,COUNTIFS('Product Order Book'!$A$2:$A$1057,$A146,'Product Order Book'!$E$2:$E$1057,D$3)/INDEX('Clean Package Product Lists'!$C:$C,MATCH(D$3,'Clean Package Product Lists'!$A:$A,0))),"")</f>
        <v>0</v>
      </c>
      <c r="E146" s="155">
        <f>IFERROR(MIN(1,COUNTIFS('Product Order Book'!$A$2:$A$1057,$A146,'Product Order Book'!$E$2:$E$1057,E$3)/INDEX('Clean Package Product Lists'!$C:$C,MATCH(E$3,'Clean Package Product Lists'!$A:$A,0))),"")</f>
        <v>0</v>
      </c>
      <c r="F146" s="155">
        <f>IFERROR(MIN(1,COUNTIFS('Product Order Book'!$A$2:$A$1057,$A146,'Product Order Book'!$E$2:$E$1057,F$3)/INDEX('Clean Package Product Lists'!$C:$C,MATCH(F$3,'Clean Package Product Lists'!$A:$A,0))),"")</f>
        <v>0</v>
      </c>
      <c r="G146" s="155">
        <f>IFERROR(MIN(1,COUNTIFS('Product Order Book'!$A$2:$A$1057,$A146,'Product Order Book'!$E$2:$E$1057,G$3)/INDEX('Clean Package Product Lists'!$C:$C,MATCH(G$3,'Clean Package Product Lists'!$A:$A,0))),"")</f>
        <v>9.0909090909090912E-2</v>
      </c>
      <c r="H146" s="155">
        <f>IFERROR(MIN(1,COUNTIFS('Product Order Book'!$A$2:$A$1057,$A146,'Product Order Book'!$E$2:$E$1057,H$3)/INDEX('Clean Package Product Lists'!$C:$C,MATCH(H$3,'Clean Package Product Lists'!$A:$A,0))),"")</f>
        <v>0</v>
      </c>
      <c r="I146" s="155">
        <f>IFERROR(MIN(1,COUNTIFS('Product Order Book'!$A$2:$A$1057,$A146,'Product Order Book'!$E$2:$E$1057,I$3)/INDEX('Clean Package Product Lists'!$C:$C,MATCH(I$3,'Clean Package Product Lists'!$A:$A,0))),"")</f>
        <v>0</v>
      </c>
      <c r="J146" s="155">
        <f>IFERROR(MIN(1,COUNTIFS('Product Order Book'!$A$2:$A$1057,$A146,'Product Order Book'!$E$2:$E$1057,J$3)/INDEX('Clean Package Product Lists'!$C:$C,MATCH(J$3,'Clean Package Product Lists'!$A:$A,0))),"")</f>
        <v>0</v>
      </c>
      <c r="K146" s="155">
        <f>IFERROR(MIN(1,COUNTIFS('Product Order Book'!$A$2:$A$1057,$A146,'Product Order Book'!$E$2:$E$1057,K$3)/INDEX('Clean Package Product Lists'!$C:$C,MATCH(K$3,'Clean Package Product Lists'!$A:$A,0))),"")</f>
        <v>0</v>
      </c>
      <c r="L146" s="154"/>
      <c r="M146" s="156" t="str">
        <f>IF(COUNTIFS('Product Order Book'!$A:$A,$A146,'Product Order Book'!$E:$E,M$3)&gt;0,"✓ Takes",IF(IFERROR(VLOOKUP($A146,'Whitespace Analysis'!$A:$AH,12,0),0)=1,"◎ Should","– N/A"))</f>
        <v>◎ Should</v>
      </c>
      <c r="N146" s="156" t="str">
        <f>IF(COUNTIFS('Product Order Book'!$A:$A,$A146,'Product Order Book'!$E:$E,N$3)&gt;0,"✓ Takes",IF(IFERROR(VLOOKUP($A146,'Whitespace Analysis'!$A:$AH,20,0),0)=1,"◎ Should","– N/A"))</f>
        <v>– N/A</v>
      </c>
      <c r="O146" s="156" t="str">
        <f>IF(COUNTIFS('Product Order Book'!$A:$A,$A146,'Product Order Book'!$E:$E,O$3)&gt;0,"✓ Takes",IF(IFERROR(VLOOKUP($A146,'Whitespace Analysis'!$A:$AH,22,0),0)=1,"◎ Should","– N/A"))</f>
        <v>– N/A</v>
      </c>
      <c r="P146" s="156" t="str">
        <f>IF(COUNTIFS('Product Order Book'!$A:$A,$A146,'Product Order Book'!$E:$E,P$3)&gt;0,"✓ Takes",IF(IFERROR(VLOOKUP($A146,'Whitespace Analysis'!$A:$AH,24,0),0)=1,"◎ Should","– N/A"))</f>
        <v>◎ Should</v>
      </c>
      <c r="Q146" s="156" t="str">
        <f>IF(COUNTIFS('Product Order Book'!$A:$A,$A146,'Product Order Book'!$E:$E,Q$3)&gt;0,"✓ Takes",IF(IFERROR(VLOOKUP($A146,'Whitespace Analysis'!$A:$AH,26,0),0)=1,"◎ Should","– N/A"))</f>
        <v>– N/A</v>
      </c>
      <c r="R146" s="156" t="str">
        <f>IF(COUNTIFS('Product Order Book'!$A:$A,$A146,'Product Order Book'!$E:$E,R$3)&gt;0,"✓ Takes",IF(IFERROR(VLOOKUP($A146,'Whitespace Analysis'!$A:$AH,16,0),0)=1,"◎ Should","– N/A"))</f>
        <v>✓ Takes</v>
      </c>
      <c r="S146" s="156" t="str">
        <f>IF(COUNTIFS('Product Order Book'!$A:$A,$A146,'Product Order Book'!$E:$E,S$3)&gt;0,"✓ Takes",IF(IFERROR(VLOOKUP($A146,'Whitespace Analysis'!$A:$AH,18,0),0)=1,"◎ Should","– N/A"))</f>
        <v>◎ Should</v>
      </c>
      <c r="T146" s="156" t="str">
        <f>IF(COUNTIFS('Product Order Book'!$A:$A,$A146,'Product Order Book'!$E:$E,T$3)&gt;0,"✓ Takes",IF(IFERROR(VLOOKUP($A146,'Whitespace Analysis'!$A:$AH,28,0),0)=1,"◎ Should","– N/A"))</f>
        <v>– N/A</v>
      </c>
      <c r="U146" s="156" t="str">
        <f>IF(COUNTIFS('Product Order Book'!$A:$A,$A146,'Product Order Book'!$E:$E,U$3)&gt;0,"✓ Takes",IF(IFERROR(VLOOKUP($A146,'Whitespace Analysis'!$A:$AH,30,0),0)=1,"◎ Should","– N/A"))</f>
        <v>– N/A</v>
      </c>
      <c r="V146" s="156" t="str">
        <f>IF(COUNTIFS('Product Order Book'!$A:$A,$A146,'Product Order Book'!$E:$E,V$3)&gt;0,"✓ Takes",IF(IFERROR(VLOOKUP($A146,'Whitespace Analysis'!$A:$AH,14,0),0)=1,"◎ Should","– N/A"))</f>
        <v>◎ Should</v>
      </c>
    </row>
    <row r="147" spans="1:22" ht="15" customHeight="1">
      <c r="A147" s="154" t="str">
        <v>Retail Energy Code Company Limited</v>
      </c>
      <c r="B147" s="155">
        <f>IFERROR(MIN(1,COUNTIFS('Product Order Book'!$A$2:$A$1057,$A147,'Product Order Book'!$E$2:$E$1057,B$3)/INDEX('Clean Package Product Lists'!$C:$C,MATCH(B$3,'Clean Package Product Lists'!$A:$A,0))),"")</f>
        <v>1</v>
      </c>
      <c r="C147" s="155">
        <f>IFERROR(MIN(1,COUNTIFS('Product Order Book'!$A$2:$A$1057,$A147,'Product Order Book'!$E$2:$E$1057,C$3)/INDEX('Clean Package Product Lists'!$C:$C,MATCH(C$3,'Clean Package Product Lists'!$A:$A,0))),"")</f>
        <v>0</v>
      </c>
      <c r="D147" s="155">
        <f>IFERROR(MIN(1,COUNTIFS('Product Order Book'!$A$2:$A$1057,$A147,'Product Order Book'!$E$2:$E$1057,D$3)/INDEX('Clean Package Product Lists'!$C:$C,MATCH(D$3,'Clean Package Product Lists'!$A:$A,0))),"")</f>
        <v>0</v>
      </c>
      <c r="E147" s="155">
        <f>IFERROR(MIN(1,COUNTIFS('Product Order Book'!$A$2:$A$1057,$A147,'Product Order Book'!$E$2:$E$1057,E$3)/INDEX('Clean Package Product Lists'!$C:$C,MATCH(E$3,'Clean Package Product Lists'!$A:$A,0))),"")</f>
        <v>0</v>
      </c>
      <c r="F147" s="155">
        <f>IFERROR(MIN(1,COUNTIFS('Product Order Book'!$A$2:$A$1057,$A147,'Product Order Book'!$E$2:$E$1057,F$3)/INDEX('Clean Package Product Lists'!$C:$C,MATCH(F$3,'Clean Package Product Lists'!$A:$A,0))),"")</f>
        <v>0</v>
      </c>
      <c r="G147" s="155">
        <f>IFERROR(MIN(1,COUNTIFS('Product Order Book'!$A$2:$A$1057,$A147,'Product Order Book'!$E$2:$E$1057,G$3)/INDEX('Clean Package Product Lists'!$C:$C,MATCH(G$3,'Clean Package Product Lists'!$A:$A,0))),"")</f>
        <v>0</v>
      </c>
      <c r="H147" s="155">
        <f>IFERROR(MIN(1,COUNTIFS('Product Order Book'!$A$2:$A$1057,$A147,'Product Order Book'!$E$2:$E$1057,H$3)/INDEX('Clean Package Product Lists'!$C:$C,MATCH(H$3,'Clean Package Product Lists'!$A:$A,0))),"")</f>
        <v>0</v>
      </c>
      <c r="I147" s="155">
        <f>IFERROR(MIN(1,COUNTIFS('Product Order Book'!$A$2:$A$1057,$A147,'Product Order Book'!$E$2:$E$1057,I$3)/INDEX('Clean Package Product Lists'!$C:$C,MATCH(I$3,'Clean Package Product Lists'!$A:$A,0))),"")</f>
        <v>0</v>
      </c>
      <c r="J147" s="155">
        <f>IFERROR(MIN(1,COUNTIFS('Product Order Book'!$A$2:$A$1057,$A147,'Product Order Book'!$E$2:$E$1057,J$3)/INDEX('Clean Package Product Lists'!$C:$C,MATCH(J$3,'Clean Package Product Lists'!$A:$A,0))),"")</f>
        <v>0</v>
      </c>
      <c r="K147" s="155">
        <f>IFERROR(MIN(1,COUNTIFS('Product Order Book'!$A$2:$A$1057,$A147,'Product Order Book'!$E$2:$E$1057,K$3)/INDEX('Clean Package Product Lists'!$C:$C,MATCH(K$3,'Clean Package Product Lists'!$A:$A,0))),"")</f>
        <v>0</v>
      </c>
      <c r="L147" s="154"/>
      <c r="M147" s="156" t="str">
        <f>IF(COUNTIFS('Product Order Book'!$A:$A,$A147,'Product Order Book'!$E:$E,M$3)&gt;0,"✓ Takes",IF(IFERROR(VLOOKUP($A147,'Whitespace Analysis'!$A:$AH,12,0),0)=1,"◎ Should","– N/A"))</f>
        <v>✓ Takes</v>
      </c>
      <c r="N147" s="156" t="str">
        <f>IF(COUNTIFS('Product Order Book'!$A:$A,$A147,'Product Order Book'!$E:$E,N$3)&gt;0,"✓ Takes",IF(IFERROR(VLOOKUP($A147,'Whitespace Analysis'!$A:$AH,20,0),0)=1,"◎ Should","– N/A"))</f>
        <v>– N/A</v>
      </c>
      <c r="O147" s="156" t="str">
        <f>IF(COUNTIFS('Product Order Book'!$A:$A,$A147,'Product Order Book'!$E:$E,O$3)&gt;0,"✓ Takes",IF(IFERROR(VLOOKUP($A147,'Whitespace Analysis'!$A:$AH,22,0),0)=1,"◎ Should","– N/A"))</f>
        <v>– N/A</v>
      </c>
      <c r="P147" s="156" t="str">
        <f>IF(COUNTIFS('Product Order Book'!$A:$A,$A147,'Product Order Book'!$E:$E,P$3)&gt;0,"✓ Takes",IF(IFERROR(VLOOKUP($A147,'Whitespace Analysis'!$A:$AH,24,0),0)=1,"◎ Should","– N/A"))</f>
        <v>– N/A</v>
      </c>
      <c r="Q147" s="156" t="str">
        <f>IF(COUNTIFS('Product Order Book'!$A:$A,$A147,'Product Order Book'!$E:$E,Q$3)&gt;0,"✓ Takes",IF(IFERROR(VLOOKUP($A147,'Whitespace Analysis'!$A:$AH,26,0),0)=1,"◎ Should","– N/A"))</f>
        <v>– N/A</v>
      </c>
      <c r="R147" s="156" t="str">
        <f>IF(COUNTIFS('Product Order Book'!$A:$A,$A147,'Product Order Book'!$E:$E,R$3)&gt;0,"✓ Takes",IF(IFERROR(VLOOKUP($A147,'Whitespace Analysis'!$A:$AH,16,0),0)=1,"◎ Should","– N/A"))</f>
        <v>– N/A</v>
      </c>
      <c r="S147" s="156" t="str">
        <f>IF(COUNTIFS('Product Order Book'!$A:$A,$A147,'Product Order Book'!$E:$E,S$3)&gt;0,"✓ Takes",IF(IFERROR(VLOOKUP($A147,'Whitespace Analysis'!$A:$AH,18,0),0)=1,"◎ Should","– N/A"))</f>
        <v>– N/A</v>
      </c>
      <c r="T147" s="156" t="str">
        <f>IF(COUNTIFS('Product Order Book'!$A:$A,$A147,'Product Order Book'!$E:$E,T$3)&gt;0,"✓ Takes",IF(IFERROR(VLOOKUP($A147,'Whitespace Analysis'!$A:$AH,28,0),0)=1,"◎ Should","– N/A"))</f>
        <v>– N/A</v>
      </c>
      <c r="U147" s="156" t="str">
        <f>IF(COUNTIFS('Product Order Book'!$A:$A,$A147,'Product Order Book'!$E:$E,U$3)&gt;0,"✓ Takes",IF(IFERROR(VLOOKUP($A147,'Whitespace Analysis'!$A:$AH,30,0),0)=1,"◎ Should","– N/A"))</f>
        <v>– N/A</v>
      </c>
      <c r="V147" s="156" t="str">
        <f>IF(COUNTIFS('Product Order Book'!$A:$A,$A147,'Product Order Book'!$E:$E,V$3)&gt;0,"✓ Takes",IF(IFERROR(VLOOKUP($A147,'Whitespace Analysis'!$A:$AH,14,0),0)=1,"◎ Should","– N/A"))</f>
        <v>– N/A</v>
      </c>
    </row>
    <row r="148" spans="1:22" ht="15" customHeight="1">
      <c r="A148" s="154" t="str">
        <v>Rolls-Royce Plc</v>
      </c>
      <c r="B148" s="155">
        <f>IFERROR(MIN(1,COUNTIFS('Product Order Book'!$A$2:$A$1057,$A148,'Product Order Book'!$E$2:$E$1057,B$3)/INDEX('Clean Package Product Lists'!$C:$C,MATCH(B$3,'Clean Package Product Lists'!$A:$A,0))),"")</f>
        <v>0</v>
      </c>
      <c r="C148" s="155">
        <f>IFERROR(MIN(1,COUNTIFS('Product Order Book'!$A$2:$A$1057,$A148,'Product Order Book'!$E$2:$E$1057,C$3)/INDEX('Clean Package Product Lists'!$C:$C,MATCH(C$3,'Clean Package Product Lists'!$A:$A,0))),"")</f>
        <v>0</v>
      </c>
      <c r="D148" s="155">
        <f>IFERROR(MIN(1,COUNTIFS('Product Order Book'!$A$2:$A$1057,$A148,'Product Order Book'!$E$2:$E$1057,D$3)/INDEX('Clean Package Product Lists'!$C:$C,MATCH(D$3,'Clean Package Product Lists'!$A:$A,0))),"")</f>
        <v>0</v>
      </c>
      <c r="E148" s="155">
        <f>IFERROR(MIN(1,COUNTIFS('Product Order Book'!$A$2:$A$1057,$A148,'Product Order Book'!$E$2:$E$1057,E$3)/INDEX('Clean Package Product Lists'!$C:$C,MATCH(E$3,'Clean Package Product Lists'!$A:$A,0))),"")</f>
        <v>0</v>
      </c>
      <c r="F148" s="155">
        <f>IFERROR(MIN(1,COUNTIFS('Product Order Book'!$A$2:$A$1057,$A148,'Product Order Book'!$E$2:$E$1057,F$3)/INDEX('Clean Package Product Lists'!$C:$C,MATCH(F$3,'Clean Package Product Lists'!$A:$A,0))),"")</f>
        <v>0</v>
      </c>
      <c r="G148" s="155">
        <f>IFERROR(MIN(1,COUNTIFS('Product Order Book'!$A$2:$A$1057,$A148,'Product Order Book'!$E$2:$E$1057,G$3)/INDEX('Clean Package Product Lists'!$C:$C,MATCH(G$3,'Clean Package Product Lists'!$A:$A,0))),"")</f>
        <v>0</v>
      </c>
      <c r="H148" s="155">
        <f>IFERROR(MIN(1,COUNTIFS('Product Order Book'!$A$2:$A$1057,$A148,'Product Order Book'!$E$2:$E$1057,H$3)/INDEX('Clean Package Product Lists'!$C:$C,MATCH(H$3,'Clean Package Product Lists'!$A:$A,0))),"")</f>
        <v>0</v>
      </c>
      <c r="I148" s="155">
        <f>IFERROR(MIN(1,COUNTIFS('Product Order Book'!$A$2:$A$1057,$A148,'Product Order Book'!$E$2:$E$1057,I$3)/INDEX('Clean Package Product Lists'!$C:$C,MATCH(I$3,'Clean Package Product Lists'!$A:$A,0))),"")</f>
        <v>0</v>
      </c>
      <c r="J148" s="155">
        <f>IFERROR(MIN(1,COUNTIFS('Product Order Book'!$A$2:$A$1057,$A148,'Product Order Book'!$E$2:$E$1057,J$3)/INDEX('Clean Package Product Lists'!$C:$C,MATCH(J$3,'Clean Package Product Lists'!$A:$A,0))),"")</f>
        <v>1</v>
      </c>
      <c r="K148" s="155">
        <f>IFERROR(MIN(1,COUNTIFS('Product Order Book'!$A$2:$A$1057,$A148,'Product Order Book'!$E$2:$E$1057,K$3)/INDEX('Clean Package Product Lists'!$C:$C,MATCH(K$3,'Clean Package Product Lists'!$A:$A,0))),"")</f>
        <v>0</v>
      </c>
      <c r="L148" s="154"/>
      <c r="M148" s="156" t="str">
        <f>IF(COUNTIFS('Product Order Book'!$A:$A,$A148,'Product Order Book'!$E:$E,M$3)&gt;0,"✓ Takes",IF(IFERROR(VLOOKUP($A148,'Whitespace Analysis'!$A:$AH,12,0),0)=1,"◎ Should","– N/A"))</f>
        <v>◎ Should</v>
      </c>
      <c r="N148" s="156" t="str">
        <f>IF(COUNTIFS('Product Order Book'!$A:$A,$A148,'Product Order Book'!$E:$E,N$3)&gt;0,"✓ Takes",IF(IFERROR(VLOOKUP($A148,'Whitespace Analysis'!$A:$AH,20,0),0)=1,"◎ Should","– N/A"))</f>
        <v>◎ Should</v>
      </c>
      <c r="O148" s="156" t="str">
        <f>IF(COUNTIFS('Product Order Book'!$A:$A,$A148,'Product Order Book'!$E:$E,O$3)&gt;0,"✓ Takes",IF(IFERROR(VLOOKUP($A148,'Whitespace Analysis'!$A:$AH,22,0),0)=1,"◎ Should","– N/A"))</f>
        <v>◎ Should</v>
      </c>
      <c r="P148" s="156" t="str">
        <f>IF(COUNTIFS('Product Order Book'!$A:$A,$A148,'Product Order Book'!$E:$E,P$3)&gt;0,"✓ Takes",IF(IFERROR(VLOOKUP($A148,'Whitespace Analysis'!$A:$AH,24,0),0)=1,"◎ Should","– N/A"))</f>
        <v>– N/A</v>
      </c>
      <c r="Q148" s="156" t="str">
        <f>IF(COUNTIFS('Product Order Book'!$A:$A,$A148,'Product Order Book'!$E:$E,Q$3)&gt;0,"✓ Takes",IF(IFERROR(VLOOKUP($A148,'Whitespace Analysis'!$A:$AH,26,0),0)=1,"◎ Should","– N/A"))</f>
        <v>– N/A</v>
      </c>
      <c r="R148" s="156" t="str">
        <f>IF(COUNTIFS('Product Order Book'!$A:$A,$A148,'Product Order Book'!$E:$E,R$3)&gt;0,"✓ Takes",IF(IFERROR(VLOOKUP($A148,'Whitespace Analysis'!$A:$AH,16,0),0)=1,"◎ Should","– N/A"))</f>
        <v>– N/A</v>
      </c>
      <c r="S148" s="156" t="str">
        <f>IF(COUNTIFS('Product Order Book'!$A:$A,$A148,'Product Order Book'!$E:$E,S$3)&gt;0,"✓ Takes",IF(IFERROR(VLOOKUP($A148,'Whitespace Analysis'!$A:$AH,18,0),0)=1,"◎ Should","– N/A"))</f>
        <v>– N/A</v>
      </c>
      <c r="T148" s="156" t="str">
        <f>IF(COUNTIFS('Product Order Book'!$A:$A,$A148,'Product Order Book'!$E:$E,T$3)&gt;0,"✓ Takes",IF(IFERROR(VLOOKUP($A148,'Whitespace Analysis'!$A:$AH,28,0),0)=1,"◎ Should","– N/A"))</f>
        <v>◎ Should</v>
      </c>
      <c r="U148" s="156" t="str">
        <f>IF(COUNTIFS('Product Order Book'!$A:$A,$A148,'Product Order Book'!$E:$E,U$3)&gt;0,"✓ Takes",IF(IFERROR(VLOOKUP($A148,'Whitespace Analysis'!$A:$AH,30,0),0)=1,"◎ Should","– N/A"))</f>
        <v>✓ Takes</v>
      </c>
      <c r="V148" s="156" t="str">
        <f>IF(COUNTIFS('Product Order Book'!$A:$A,$A148,'Product Order Book'!$E:$E,V$3)&gt;0,"✓ Takes",IF(IFERROR(VLOOKUP($A148,'Whitespace Analysis'!$A:$AH,14,0),0)=1,"◎ Should","– N/A"))</f>
        <v>◎ Should</v>
      </c>
    </row>
    <row r="149" spans="1:22" ht="15" customHeight="1">
      <c r="A149" s="154" t="str">
        <v>RWE Supply &amp; Trading GmbH</v>
      </c>
      <c r="B149" s="155">
        <f>IFERROR(MIN(1,COUNTIFS('Product Order Book'!$A$2:$A$1057,$A149,'Product Order Book'!$E$2:$E$1057,B$3)/INDEX('Clean Package Product Lists'!$C:$C,MATCH(B$3,'Clean Package Product Lists'!$A:$A,0))),"")</f>
        <v>1</v>
      </c>
      <c r="C149" s="155">
        <f>IFERROR(MIN(1,COUNTIFS('Product Order Book'!$A$2:$A$1057,$A149,'Product Order Book'!$E$2:$E$1057,C$3)/INDEX('Clean Package Product Lists'!$C:$C,MATCH(C$3,'Clean Package Product Lists'!$A:$A,0))),"")</f>
        <v>1</v>
      </c>
      <c r="D149" s="155">
        <f>IFERROR(MIN(1,COUNTIFS('Product Order Book'!$A$2:$A$1057,$A149,'Product Order Book'!$E$2:$E$1057,D$3)/INDEX('Clean Package Product Lists'!$C:$C,MATCH(D$3,'Clean Package Product Lists'!$A:$A,0))),"")</f>
        <v>0</v>
      </c>
      <c r="E149" s="155">
        <f>IFERROR(MIN(1,COUNTIFS('Product Order Book'!$A$2:$A$1057,$A149,'Product Order Book'!$E$2:$E$1057,E$3)/INDEX('Clean Package Product Lists'!$C:$C,MATCH(E$3,'Clean Package Product Lists'!$A:$A,0))),"")</f>
        <v>0</v>
      </c>
      <c r="F149" s="155">
        <f>IFERROR(MIN(1,COUNTIFS('Product Order Book'!$A$2:$A$1057,$A149,'Product Order Book'!$E$2:$E$1057,F$3)/INDEX('Clean Package Product Lists'!$C:$C,MATCH(F$3,'Clean Package Product Lists'!$A:$A,0))),"")</f>
        <v>0</v>
      </c>
      <c r="G149" s="155">
        <f>IFERROR(MIN(1,COUNTIFS('Product Order Book'!$A$2:$A$1057,$A149,'Product Order Book'!$E$2:$E$1057,G$3)/INDEX('Clean Package Product Lists'!$C:$C,MATCH(G$3,'Clean Package Product Lists'!$A:$A,0))),"")</f>
        <v>0</v>
      </c>
      <c r="H149" s="155">
        <f>IFERROR(MIN(1,COUNTIFS('Product Order Book'!$A$2:$A$1057,$A149,'Product Order Book'!$E$2:$E$1057,H$3)/INDEX('Clean Package Product Lists'!$C:$C,MATCH(H$3,'Clean Package Product Lists'!$A:$A,0))),"")</f>
        <v>0</v>
      </c>
      <c r="I149" s="155">
        <f>IFERROR(MIN(1,COUNTIFS('Product Order Book'!$A$2:$A$1057,$A149,'Product Order Book'!$E$2:$E$1057,I$3)/INDEX('Clean Package Product Lists'!$C:$C,MATCH(I$3,'Clean Package Product Lists'!$A:$A,0))),"")</f>
        <v>0</v>
      </c>
      <c r="J149" s="155">
        <f>IFERROR(MIN(1,COUNTIFS('Product Order Book'!$A$2:$A$1057,$A149,'Product Order Book'!$E$2:$E$1057,J$3)/INDEX('Clean Package Product Lists'!$C:$C,MATCH(J$3,'Clean Package Product Lists'!$A:$A,0))),"")</f>
        <v>1</v>
      </c>
      <c r="K149" s="155">
        <f>IFERROR(MIN(1,COUNTIFS('Product Order Book'!$A$2:$A$1057,$A149,'Product Order Book'!$E$2:$E$1057,K$3)/INDEX('Clean Package Product Lists'!$C:$C,MATCH(K$3,'Clean Package Product Lists'!$A:$A,0))),"")</f>
        <v>0</v>
      </c>
      <c r="L149" s="154"/>
      <c r="M149" s="156" t="str">
        <f>IF(COUNTIFS('Product Order Book'!$A:$A,$A149,'Product Order Book'!$E:$E,M$3)&gt;0,"✓ Takes",IF(IFERROR(VLOOKUP($A149,'Whitespace Analysis'!$A:$AH,12,0),0)=1,"◎ Should","– N/A"))</f>
        <v>✓ Takes</v>
      </c>
      <c r="N149" s="156" t="str">
        <f>IF(COUNTIFS('Product Order Book'!$A:$A,$A149,'Product Order Book'!$E:$E,N$3)&gt;0,"✓ Takes",IF(IFERROR(VLOOKUP($A149,'Whitespace Analysis'!$A:$AH,20,0),0)=1,"◎ Should","– N/A"))</f>
        <v>✓ Takes</v>
      </c>
      <c r="O149" s="156" t="str">
        <f>IF(COUNTIFS('Product Order Book'!$A:$A,$A149,'Product Order Book'!$E:$E,O$3)&gt;0,"✓ Takes",IF(IFERROR(VLOOKUP($A149,'Whitespace Analysis'!$A:$AH,22,0),0)=1,"◎ Should","– N/A"))</f>
        <v>– N/A</v>
      </c>
      <c r="P149" s="156" t="str">
        <f>IF(COUNTIFS('Product Order Book'!$A:$A,$A149,'Product Order Book'!$E:$E,P$3)&gt;0,"✓ Takes",IF(IFERROR(VLOOKUP($A149,'Whitespace Analysis'!$A:$AH,24,0),0)=1,"◎ Should","– N/A"))</f>
        <v>◎ Should</v>
      </c>
      <c r="Q149" s="156" t="str">
        <f>IF(COUNTIFS('Product Order Book'!$A:$A,$A149,'Product Order Book'!$E:$E,Q$3)&gt;0,"✓ Takes",IF(IFERROR(VLOOKUP($A149,'Whitespace Analysis'!$A:$AH,26,0),0)=1,"◎ Should","– N/A"))</f>
        <v>◎ Should</v>
      </c>
      <c r="R149" s="156" t="str">
        <f>IF(COUNTIFS('Product Order Book'!$A:$A,$A149,'Product Order Book'!$E:$E,R$3)&gt;0,"✓ Takes",IF(IFERROR(VLOOKUP($A149,'Whitespace Analysis'!$A:$AH,16,0),0)=1,"◎ Should","– N/A"))</f>
        <v>◎ Should</v>
      </c>
      <c r="S149" s="156" t="str">
        <f>IF(COUNTIFS('Product Order Book'!$A:$A,$A149,'Product Order Book'!$E:$E,S$3)&gt;0,"✓ Takes",IF(IFERROR(VLOOKUP($A149,'Whitespace Analysis'!$A:$AH,18,0),0)=1,"◎ Should","– N/A"))</f>
        <v>◎ Should</v>
      </c>
      <c r="T149" s="156" t="str">
        <f>IF(COUNTIFS('Product Order Book'!$A:$A,$A149,'Product Order Book'!$E:$E,T$3)&gt;0,"✓ Takes",IF(IFERROR(VLOOKUP($A149,'Whitespace Analysis'!$A:$AH,28,0),0)=1,"◎ Should","– N/A"))</f>
        <v>– N/A</v>
      </c>
      <c r="U149" s="156" t="str">
        <f>IF(COUNTIFS('Product Order Book'!$A:$A,$A149,'Product Order Book'!$E:$E,U$3)&gt;0,"✓ Takes",IF(IFERROR(VLOOKUP($A149,'Whitespace Analysis'!$A:$AH,30,0),0)=1,"◎ Should","– N/A"))</f>
        <v>✓ Takes</v>
      </c>
      <c r="V149" s="156" t="str">
        <f>IF(COUNTIFS('Product Order Book'!$A:$A,$A149,'Product Order Book'!$E:$E,V$3)&gt;0,"✓ Takes",IF(IFERROR(VLOOKUP($A149,'Whitespace Analysis'!$A:$AH,14,0),0)=1,"◎ Should","– N/A"))</f>
        <v>◎ Should</v>
      </c>
    </row>
    <row r="150" spans="1:22" ht="15" customHeight="1">
      <c r="A150" s="154" t="str">
        <v>S&amp;P Global UK Limited</v>
      </c>
      <c r="B150" s="155">
        <f>IFERROR(MIN(1,COUNTIFS('Product Order Book'!$A$2:$A$1057,$A150,'Product Order Book'!$E$2:$E$1057,B$3)/INDEX('Clean Package Product Lists'!$C:$C,MATCH(B$3,'Clean Package Product Lists'!$A:$A,0))),"")</f>
        <v>1</v>
      </c>
      <c r="C150" s="155">
        <f>IFERROR(MIN(1,COUNTIFS('Product Order Book'!$A$2:$A$1057,$A150,'Product Order Book'!$E$2:$E$1057,C$3)/INDEX('Clean Package Product Lists'!$C:$C,MATCH(C$3,'Clean Package Product Lists'!$A:$A,0))),"")</f>
        <v>0</v>
      </c>
      <c r="D150" s="155">
        <f>IFERROR(MIN(1,COUNTIFS('Product Order Book'!$A$2:$A$1057,$A150,'Product Order Book'!$E$2:$E$1057,D$3)/INDEX('Clean Package Product Lists'!$C:$C,MATCH(D$3,'Clean Package Product Lists'!$A:$A,0))),"")</f>
        <v>0</v>
      </c>
      <c r="E150" s="155">
        <f>IFERROR(MIN(1,COUNTIFS('Product Order Book'!$A$2:$A$1057,$A150,'Product Order Book'!$E$2:$E$1057,E$3)/INDEX('Clean Package Product Lists'!$C:$C,MATCH(E$3,'Clean Package Product Lists'!$A:$A,0))),"")</f>
        <v>0</v>
      </c>
      <c r="F150" s="155">
        <f>IFERROR(MIN(1,COUNTIFS('Product Order Book'!$A$2:$A$1057,$A150,'Product Order Book'!$E$2:$E$1057,F$3)/INDEX('Clean Package Product Lists'!$C:$C,MATCH(F$3,'Clean Package Product Lists'!$A:$A,0))),"")</f>
        <v>0</v>
      </c>
      <c r="G150" s="155">
        <f>IFERROR(MIN(1,COUNTIFS('Product Order Book'!$A$2:$A$1057,$A150,'Product Order Book'!$E$2:$E$1057,G$3)/INDEX('Clean Package Product Lists'!$C:$C,MATCH(G$3,'Clean Package Product Lists'!$A:$A,0))),"")</f>
        <v>0</v>
      </c>
      <c r="H150" s="155">
        <f>IFERROR(MIN(1,COUNTIFS('Product Order Book'!$A$2:$A$1057,$A150,'Product Order Book'!$E$2:$E$1057,H$3)/INDEX('Clean Package Product Lists'!$C:$C,MATCH(H$3,'Clean Package Product Lists'!$A:$A,0))),"")</f>
        <v>0</v>
      </c>
      <c r="I150" s="155">
        <f>IFERROR(MIN(1,COUNTIFS('Product Order Book'!$A$2:$A$1057,$A150,'Product Order Book'!$E$2:$E$1057,I$3)/INDEX('Clean Package Product Lists'!$C:$C,MATCH(I$3,'Clean Package Product Lists'!$A:$A,0))),"")</f>
        <v>0</v>
      </c>
      <c r="J150" s="155">
        <f>IFERROR(MIN(1,COUNTIFS('Product Order Book'!$A$2:$A$1057,$A150,'Product Order Book'!$E$2:$E$1057,J$3)/INDEX('Clean Package Product Lists'!$C:$C,MATCH(J$3,'Clean Package Product Lists'!$A:$A,0))),"")</f>
        <v>0</v>
      </c>
      <c r="K150" s="155">
        <f>IFERROR(MIN(1,COUNTIFS('Product Order Book'!$A$2:$A$1057,$A150,'Product Order Book'!$E$2:$E$1057,K$3)/INDEX('Clean Package Product Lists'!$C:$C,MATCH(K$3,'Clean Package Product Lists'!$A:$A,0))),"")</f>
        <v>0</v>
      </c>
      <c r="L150" s="154"/>
      <c r="M150" s="156" t="str">
        <f>IF(COUNTIFS('Product Order Book'!$A:$A,$A150,'Product Order Book'!$E:$E,M$3)&gt;0,"✓ Takes",IF(IFERROR(VLOOKUP($A150,'Whitespace Analysis'!$A:$AH,12,0),0)=1,"◎ Should","– N/A"))</f>
        <v>✓ Takes</v>
      </c>
      <c r="N150" s="156" t="str">
        <f>IF(COUNTIFS('Product Order Book'!$A:$A,$A150,'Product Order Book'!$E:$E,N$3)&gt;0,"✓ Takes",IF(IFERROR(VLOOKUP($A150,'Whitespace Analysis'!$A:$AH,20,0),0)=1,"◎ Should","– N/A"))</f>
        <v>– N/A</v>
      </c>
      <c r="O150" s="156" t="str">
        <f>IF(COUNTIFS('Product Order Book'!$A:$A,$A150,'Product Order Book'!$E:$E,O$3)&gt;0,"✓ Takes",IF(IFERROR(VLOOKUP($A150,'Whitespace Analysis'!$A:$AH,22,0),0)=1,"◎ Should","– N/A"))</f>
        <v>– N/A</v>
      </c>
      <c r="P150" s="156" t="str">
        <f>IF(COUNTIFS('Product Order Book'!$A:$A,$A150,'Product Order Book'!$E:$E,P$3)&gt;0,"✓ Takes",IF(IFERROR(VLOOKUP($A150,'Whitespace Analysis'!$A:$AH,24,0),0)=1,"◎ Should","– N/A"))</f>
        <v>– N/A</v>
      </c>
      <c r="Q150" s="156" t="str">
        <f>IF(COUNTIFS('Product Order Book'!$A:$A,$A150,'Product Order Book'!$E:$E,Q$3)&gt;0,"✓ Takes",IF(IFERROR(VLOOKUP($A150,'Whitespace Analysis'!$A:$AH,26,0),0)=1,"◎ Should","– N/A"))</f>
        <v>– N/A</v>
      </c>
      <c r="R150" s="156" t="str">
        <f>IF(COUNTIFS('Product Order Book'!$A:$A,$A150,'Product Order Book'!$E:$E,R$3)&gt;0,"✓ Takes",IF(IFERROR(VLOOKUP($A150,'Whitespace Analysis'!$A:$AH,16,0),0)=1,"◎ Should","– N/A"))</f>
        <v>– N/A</v>
      </c>
      <c r="S150" s="156" t="str">
        <f>IF(COUNTIFS('Product Order Book'!$A:$A,$A150,'Product Order Book'!$E:$E,S$3)&gt;0,"✓ Takes",IF(IFERROR(VLOOKUP($A150,'Whitespace Analysis'!$A:$AH,18,0),0)=1,"◎ Should","– N/A"))</f>
        <v>– N/A</v>
      </c>
      <c r="T150" s="156" t="str">
        <f>IF(COUNTIFS('Product Order Book'!$A:$A,$A150,'Product Order Book'!$E:$E,T$3)&gt;0,"✓ Takes",IF(IFERROR(VLOOKUP($A150,'Whitespace Analysis'!$A:$AH,28,0),0)=1,"◎ Should","– N/A"))</f>
        <v>– N/A</v>
      </c>
      <c r="U150" s="156" t="str">
        <f>IF(COUNTIFS('Product Order Book'!$A:$A,$A150,'Product Order Book'!$E:$E,U$3)&gt;0,"✓ Takes",IF(IFERROR(VLOOKUP($A150,'Whitespace Analysis'!$A:$AH,30,0),0)=1,"◎ Should","– N/A"))</f>
        <v>– N/A</v>
      </c>
      <c r="V150" s="156" t="str">
        <f>IF(COUNTIFS('Product Order Book'!$A:$A,$A150,'Product Order Book'!$E:$E,V$3)&gt;0,"✓ Takes",IF(IFERROR(VLOOKUP($A150,'Whitespace Analysis'!$A:$AH,14,0),0)=1,"◎ Should","– N/A"))</f>
        <v>– N/A</v>
      </c>
    </row>
    <row r="151" spans="1:22" ht="15" customHeight="1">
      <c r="A151" s="154" t="str">
        <v>Schroders Greencoat LLP</v>
      </c>
      <c r="B151" s="155">
        <f>IFERROR(MIN(1,COUNTIFS('Product Order Book'!$A$2:$A$1057,$A151,'Product Order Book'!$E$2:$E$1057,B$3)/INDEX('Clean Package Product Lists'!$C:$C,MATCH(B$3,'Clean Package Product Lists'!$A:$A,0))),"")</f>
        <v>1</v>
      </c>
      <c r="C151" s="155">
        <f>IFERROR(MIN(1,COUNTIFS('Product Order Book'!$A$2:$A$1057,$A151,'Product Order Book'!$E$2:$E$1057,C$3)/INDEX('Clean Package Product Lists'!$C:$C,MATCH(C$3,'Clean Package Product Lists'!$A:$A,0))),"")</f>
        <v>0</v>
      </c>
      <c r="D151" s="155">
        <f>IFERROR(MIN(1,COUNTIFS('Product Order Book'!$A$2:$A$1057,$A151,'Product Order Book'!$E$2:$E$1057,D$3)/INDEX('Clean Package Product Lists'!$C:$C,MATCH(D$3,'Clean Package Product Lists'!$A:$A,0))),"")</f>
        <v>0</v>
      </c>
      <c r="E151" s="155">
        <f>IFERROR(MIN(1,COUNTIFS('Product Order Book'!$A$2:$A$1057,$A151,'Product Order Book'!$E$2:$E$1057,E$3)/INDEX('Clean Package Product Lists'!$C:$C,MATCH(E$3,'Clean Package Product Lists'!$A:$A,0))),"")</f>
        <v>0</v>
      </c>
      <c r="F151" s="155">
        <f>IFERROR(MIN(1,COUNTIFS('Product Order Book'!$A$2:$A$1057,$A151,'Product Order Book'!$E$2:$E$1057,F$3)/INDEX('Clean Package Product Lists'!$C:$C,MATCH(F$3,'Clean Package Product Lists'!$A:$A,0))),"")</f>
        <v>0</v>
      </c>
      <c r="G151" s="155">
        <f>IFERROR(MIN(1,COUNTIFS('Product Order Book'!$A$2:$A$1057,$A151,'Product Order Book'!$E$2:$E$1057,G$3)/INDEX('Clean Package Product Lists'!$C:$C,MATCH(G$3,'Clean Package Product Lists'!$A:$A,0))),"")</f>
        <v>0</v>
      </c>
      <c r="H151" s="155">
        <f>IFERROR(MIN(1,COUNTIFS('Product Order Book'!$A$2:$A$1057,$A151,'Product Order Book'!$E$2:$E$1057,H$3)/INDEX('Clean Package Product Lists'!$C:$C,MATCH(H$3,'Clean Package Product Lists'!$A:$A,0))),"")</f>
        <v>0</v>
      </c>
      <c r="I151" s="155">
        <f>IFERROR(MIN(1,COUNTIFS('Product Order Book'!$A$2:$A$1057,$A151,'Product Order Book'!$E$2:$E$1057,I$3)/INDEX('Clean Package Product Lists'!$C:$C,MATCH(I$3,'Clean Package Product Lists'!$A:$A,0))),"")</f>
        <v>0</v>
      </c>
      <c r="J151" s="155">
        <f>IFERROR(MIN(1,COUNTIFS('Product Order Book'!$A$2:$A$1057,$A151,'Product Order Book'!$E$2:$E$1057,J$3)/INDEX('Clean Package Product Lists'!$C:$C,MATCH(J$3,'Clean Package Product Lists'!$A:$A,0))),"")</f>
        <v>0</v>
      </c>
      <c r="K151" s="155">
        <f>IFERROR(MIN(1,COUNTIFS('Product Order Book'!$A$2:$A$1057,$A151,'Product Order Book'!$E$2:$E$1057,K$3)/INDEX('Clean Package Product Lists'!$C:$C,MATCH(K$3,'Clean Package Product Lists'!$A:$A,0))),"")</f>
        <v>0</v>
      </c>
      <c r="L151" s="154"/>
      <c r="M151" s="156" t="str">
        <f>IF(COUNTIFS('Product Order Book'!$A:$A,$A151,'Product Order Book'!$E:$E,M$3)&gt;0,"✓ Takes",IF(IFERROR(VLOOKUP($A151,'Whitespace Analysis'!$A:$AH,12,0),0)=1,"◎ Should","– N/A"))</f>
        <v>✓ Takes</v>
      </c>
      <c r="N151" s="156" t="str">
        <f>IF(COUNTIFS('Product Order Book'!$A:$A,$A151,'Product Order Book'!$E:$E,N$3)&gt;0,"✓ Takes",IF(IFERROR(VLOOKUP($A151,'Whitespace Analysis'!$A:$AH,20,0),0)=1,"◎ Should","– N/A"))</f>
        <v>◎ Should</v>
      </c>
      <c r="O151" s="156" t="str">
        <f>IF(COUNTIFS('Product Order Book'!$A:$A,$A151,'Product Order Book'!$E:$E,O$3)&gt;0,"✓ Takes",IF(IFERROR(VLOOKUP($A151,'Whitespace Analysis'!$A:$AH,22,0),0)=1,"◎ Should","– N/A"))</f>
        <v>◎ Should</v>
      </c>
      <c r="P151" s="156" t="str">
        <f>IF(COUNTIFS('Product Order Book'!$A:$A,$A151,'Product Order Book'!$E:$E,P$3)&gt;0,"✓ Takes",IF(IFERROR(VLOOKUP($A151,'Whitespace Analysis'!$A:$AH,24,0),0)=1,"◎ Should","– N/A"))</f>
        <v>◎ Should</v>
      </c>
      <c r="Q151" s="156" t="str">
        <f>IF(COUNTIFS('Product Order Book'!$A:$A,$A151,'Product Order Book'!$E:$E,Q$3)&gt;0,"✓ Takes",IF(IFERROR(VLOOKUP($A151,'Whitespace Analysis'!$A:$AH,26,0),0)=1,"◎ Should","– N/A"))</f>
        <v>◎ Should</v>
      </c>
      <c r="R151" s="156" t="str">
        <f>IF(COUNTIFS('Product Order Book'!$A:$A,$A151,'Product Order Book'!$E:$E,R$3)&gt;0,"✓ Takes",IF(IFERROR(VLOOKUP($A151,'Whitespace Analysis'!$A:$AH,16,0),0)=1,"◎ Should","– N/A"))</f>
        <v>– N/A</v>
      </c>
      <c r="S151" s="156" t="str">
        <f>IF(COUNTIFS('Product Order Book'!$A:$A,$A151,'Product Order Book'!$E:$E,S$3)&gt;0,"✓ Takes",IF(IFERROR(VLOOKUP($A151,'Whitespace Analysis'!$A:$AH,18,0),0)=1,"◎ Should","– N/A"))</f>
        <v>– N/A</v>
      </c>
      <c r="T151" s="156" t="str">
        <f>IF(COUNTIFS('Product Order Book'!$A:$A,$A151,'Product Order Book'!$E:$E,T$3)&gt;0,"✓ Takes",IF(IFERROR(VLOOKUP($A151,'Whitespace Analysis'!$A:$AH,28,0),0)=1,"◎ Should","– N/A"))</f>
        <v>– N/A</v>
      </c>
      <c r="U151" s="156" t="str">
        <f>IF(COUNTIFS('Product Order Book'!$A:$A,$A151,'Product Order Book'!$E:$E,U$3)&gt;0,"✓ Takes",IF(IFERROR(VLOOKUP($A151,'Whitespace Analysis'!$A:$AH,30,0),0)=1,"◎ Should","– N/A"))</f>
        <v>– N/A</v>
      </c>
      <c r="V151" s="156" t="str">
        <f>IF(COUNTIFS('Product Order Book'!$A:$A,$A151,'Product Order Book'!$E:$E,V$3)&gt;0,"✓ Takes",IF(IFERROR(VLOOKUP($A151,'Whitespace Analysis'!$A:$AH,14,0),0)=1,"◎ Should","– N/A"))</f>
        <v>◎ Should</v>
      </c>
    </row>
    <row r="152" spans="1:22" ht="15" customHeight="1">
      <c r="A152" s="154" t="str">
        <v>Scotia Gas Networks Limited</v>
      </c>
      <c r="B152" s="155">
        <f>IFERROR(MIN(1,COUNTIFS('Product Order Book'!$A$2:$A$1057,$A152,'Product Order Book'!$E$2:$E$1057,B$3)/INDEX('Clean Package Product Lists'!$C:$C,MATCH(B$3,'Clean Package Product Lists'!$A:$A,0))),"")</f>
        <v>1</v>
      </c>
      <c r="C152" s="155">
        <f>IFERROR(MIN(1,COUNTIFS('Product Order Book'!$A$2:$A$1057,$A152,'Product Order Book'!$E$2:$E$1057,C$3)/INDEX('Clean Package Product Lists'!$C:$C,MATCH(C$3,'Clean Package Product Lists'!$A:$A,0))),"")</f>
        <v>0</v>
      </c>
      <c r="D152" s="155">
        <f>IFERROR(MIN(1,COUNTIFS('Product Order Book'!$A$2:$A$1057,$A152,'Product Order Book'!$E$2:$E$1057,D$3)/INDEX('Clean Package Product Lists'!$C:$C,MATCH(D$3,'Clean Package Product Lists'!$A:$A,0))),"")</f>
        <v>0</v>
      </c>
      <c r="E152" s="155">
        <f>IFERROR(MIN(1,COUNTIFS('Product Order Book'!$A$2:$A$1057,$A152,'Product Order Book'!$E$2:$E$1057,E$3)/INDEX('Clean Package Product Lists'!$C:$C,MATCH(E$3,'Clean Package Product Lists'!$A:$A,0))),"")</f>
        <v>0</v>
      </c>
      <c r="F152" s="155">
        <f>IFERROR(MIN(1,COUNTIFS('Product Order Book'!$A$2:$A$1057,$A152,'Product Order Book'!$E$2:$E$1057,F$3)/INDEX('Clean Package Product Lists'!$C:$C,MATCH(F$3,'Clean Package Product Lists'!$A:$A,0))),"")</f>
        <v>0</v>
      </c>
      <c r="G152" s="155">
        <f>IFERROR(MIN(1,COUNTIFS('Product Order Book'!$A$2:$A$1057,$A152,'Product Order Book'!$E$2:$E$1057,G$3)/INDEX('Clean Package Product Lists'!$C:$C,MATCH(G$3,'Clean Package Product Lists'!$A:$A,0))),"")</f>
        <v>0</v>
      </c>
      <c r="H152" s="155">
        <f>IFERROR(MIN(1,COUNTIFS('Product Order Book'!$A$2:$A$1057,$A152,'Product Order Book'!$E$2:$E$1057,H$3)/INDEX('Clean Package Product Lists'!$C:$C,MATCH(H$3,'Clean Package Product Lists'!$A:$A,0))),"")</f>
        <v>0</v>
      </c>
      <c r="I152" s="155">
        <f>IFERROR(MIN(1,COUNTIFS('Product Order Book'!$A$2:$A$1057,$A152,'Product Order Book'!$E$2:$E$1057,I$3)/INDEX('Clean Package Product Lists'!$C:$C,MATCH(I$3,'Clean Package Product Lists'!$A:$A,0))),"")</f>
        <v>0</v>
      </c>
      <c r="J152" s="155">
        <f>IFERROR(MIN(1,COUNTIFS('Product Order Book'!$A$2:$A$1057,$A152,'Product Order Book'!$E$2:$E$1057,J$3)/INDEX('Clean Package Product Lists'!$C:$C,MATCH(J$3,'Clean Package Product Lists'!$A:$A,0))),"")</f>
        <v>0</v>
      </c>
      <c r="K152" s="155">
        <f>IFERROR(MIN(1,COUNTIFS('Product Order Book'!$A$2:$A$1057,$A152,'Product Order Book'!$E$2:$E$1057,K$3)/INDEX('Clean Package Product Lists'!$C:$C,MATCH(K$3,'Clean Package Product Lists'!$A:$A,0))),"")</f>
        <v>0</v>
      </c>
      <c r="L152" s="154"/>
      <c r="M152" s="156" t="str">
        <f>IF(COUNTIFS('Product Order Book'!$A:$A,$A152,'Product Order Book'!$E:$E,M$3)&gt;0,"✓ Takes",IF(IFERROR(VLOOKUP($A152,'Whitespace Analysis'!$A:$AH,12,0),0)=1,"◎ Should","– N/A"))</f>
        <v>✓ Takes</v>
      </c>
      <c r="N152" s="156" t="str">
        <f>IF(COUNTIFS('Product Order Book'!$A:$A,$A152,'Product Order Book'!$E:$E,N$3)&gt;0,"✓ Takes",IF(IFERROR(VLOOKUP($A152,'Whitespace Analysis'!$A:$AH,20,0),0)=1,"◎ Should","– N/A"))</f>
        <v>– N/A</v>
      </c>
      <c r="O152" s="156" t="str">
        <f>IF(COUNTIFS('Product Order Book'!$A:$A,$A152,'Product Order Book'!$E:$E,O$3)&gt;0,"✓ Takes",IF(IFERROR(VLOOKUP($A152,'Whitespace Analysis'!$A:$AH,22,0),0)=1,"◎ Should","– N/A"))</f>
        <v>– N/A</v>
      </c>
      <c r="P152" s="156" t="str">
        <f>IF(COUNTIFS('Product Order Book'!$A:$A,$A152,'Product Order Book'!$E:$E,P$3)&gt;0,"✓ Takes",IF(IFERROR(VLOOKUP($A152,'Whitespace Analysis'!$A:$AH,24,0),0)=1,"◎ Should","– N/A"))</f>
        <v>– N/A</v>
      </c>
      <c r="Q152" s="156" t="str">
        <f>IF(COUNTIFS('Product Order Book'!$A:$A,$A152,'Product Order Book'!$E:$E,Q$3)&gt;0,"✓ Takes",IF(IFERROR(VLOOKUP($A152,'Whitespace Analysis'!$A:$AH,26,0),0)=1,"◎ Should","– N/A"))</f>
        <v>– N/A</v>
      </c>
      <c r="R152" s="156" t="str">
        <f>IF(COUNTIFS('Product Order Book'!$A:$A,$A152,'Product Order Book'!$E:$E,R$3)&gt;0,"✓ Takes",IF(IFERROR(VLOOKUP($A152,'Whitespace Analysis'!$A:$AH,16,0),0)=1,"◎ Should","– N/A"))</f>
        <v>– N/A</v>
      </c>
      <c r="S152" s="156" t="str">
        <f>IF(COUNTIFS('Product Order Book'!$A:$A,$A152,'Product Order Book'!$E:$E,S$3)&gt;0,"✓ Takes",IF(IFERROR(VLOOKUP($A152,'Whitespace Analysis'!$A:$AH,18,0),0)=1,"◎ Should","– N/A"))</f>
        <v>– N/A</v>
      </c>
      <c r="T152" s="156" t="str">
        <f>IF(COUNTIFS('Product Order Book'!$A:$A,$A152,'Product Order Book'!$E:$E,T$3)&gt;0,"✓ Takes",IF(IFERROR(VLOOKUP($A152,'Whitespace Analysis'!$A:$AH,28,0),0)=1,"◎ Should","– N/A"))</f>
        <v>– N/A</v>
      </c>
      <c r="U152" s="156" t="str">
        <f>IF(COUNTIFS('Product Order Book'!$A:$A,$A152,'Product Order Book'!$E:$E,U$3)&gt;0,"✓ Takes",IF(IFERROR(VLOOKUP($A152,'Whitespace Analysis'!$A:$AH,30,0),0)=1,"◎ Should","– N/A"))</f>
        <v>– N/A</v>
      </c>
      <c r="V152" s="156" t="str">
        <f>IF(COUNTIFS('Product Order Book'!$A:$A,$A152,'Product Order Book'!$E:$E,V$3)&gt;0,"✓ Takes",IF(IFERROR(VLOOKUP($A152,'Whitespace Analysis'!$A:$AH,14,0),0)=1,"◎ Should","– N/A"))</f>
        <v>– N/A</v>
      </c>
    </row>
    <row r="153" spans="1:22" ht="15" customHeight="1">
      <c r="A153" s="154" t="str">
        <v>Scottish Fuel Poverty Advisory Panel</v>
      </c>
      <c r="B153" s="155">
        <f>IFERROR(MIN(1,COUNTIFS('Product Order Book'!$A$2:$A$1057,$A153,'Product Order Book'!$E$2:$E$1057,B$3)/INDEX('Clean Package Product Lists'!$C:$C,MATCH(B$3,'Clean Package Product Lists'!$A:$A,0))),"")</f>
        <v>1</v>
      </c>
      <c r="C153" s="155">
        <f>IFERROR(MIN(1,COUNTIFS('Product Order Book'!$A$2:$A$1057,$A153,'Product Order Book'!$E$2:$E$1057,C$3)/INDEX('Clean Package Product Lists'!$C:$C,MATCH(C$3,'Clean Package Product Lists'!$A:$A,0))),"")</f>
        <v>0</v>
      </c>
      <c r="D153" s="155">
        <f>IFERROR(MIN(1,COUNTIFS('Product Order Book'!$A$2:$A$1057,$A153,'Product Order Book'!$E$2:$E$1057,D$3)/INDEX('Clean Package Product Lists'!$C:$C,MATCH(D$3,'Clean Package Product Lists'!$A:$A,0))),"")</f>
        <v>0</v>
      </c>
      <c r="E153" s="155">
        <f>IFERROR(MIN(1,COUNTIFS('Product Order Book'!$A$2:$A$1057,$A153,'Product Order Book'!$E$2:$E$1057,E$3)/INDEX('Clean Package Product Lists'!$C:$C,MATCH(E$3,'Clean Package Product Lists'!$A:$A,0))),"")</f>
        <v>0</v>
      </c>
      <c r="F153" s="155">
        <f>IFERROR(MIN(1,COUNTIFS('Product Order Book'!$A$2:$A$1057,$A153,'Product Order Book'!$E$2:$E$1057,F$3)/INDEX('Clean Package Product Lists'!$C:$C,MATCH(F$3,'Clean Package Product Lists'!$A:$A,0))),"")</f>
        <v>0</v>
      </c>
      <c r="G153" s="155">
        <f>IFERROR(MIN(1,COUNTIFS('Product Order Book'!$A$2:$A$1057,$A153,'Product Order Book'!$E$2:$E$1057,G$3)/INDEX('Clean Package Product Lists'!$C:$C,MATCH(G$3,'Clean Package Product Lists'!$A:$A,0))),"")</f>
        <v>0</v>
      </c>
      <c r="H153" s="155">
        <f>IFERROR(MIN(1,COUNTIFS('Product Order Book'!$A$2:$A$1057,$A153,'Product Order Book'!$E$2:$E$1057,H$3)/INDEX('Clean Package Product Lists'!$C:$C,MATCH(H$3,'Clean Package Product Lists'!$A:$A,0))),"")</f>
        <v>0</v>
      </c>
      <c r="I153" s="155">
        <f>IFERROR(MIN(1,COUNTIFS('Product Order Book'!$A$2:$A$1057,$A153,'Product Order Book'!$E$2:$E$1057,I$3)/INDEX('Clean Package Product Lists'!$C:$C,MATCH(I$3,'Clean Package Product Lists'!$A:$A,0))),"")</f>
        <v>0</v>
      </c>
      <c r="J153" s="155">
        <f>IFERROR(MIN(1,COUNTIFS('Product Order Book'!$A$2:$A$1057,$A153,'Product Order Book'!$E$2:$E$1057,J$3)/INDEX('Clean Package Product Lists'!$C:$C,MATCH(J$3,'Clean Package Product Lists'!$A:$A,0))),"")</f>
        <v>0</v>
      </c>
      <c r="K153" s="155">
        <f>IFERROR(MIN(1,COUNTIFS('Product Order Book'!$A$2:$A$1057,$A153,'Product Order Book'!$E$2:$E$1057,K$3)/INDEX('Clean Package Product Lists'!$C:$C,MATCH(K$3,'Clean Package Product Lists'!$A:$A,0))),"")</f>
        <v>0</v>
      </c>
      <c r="L153" s="154"/>
      <c r="M153" s="156" t="str">
        <f>IF(COUNTIFS('Product Order Book'!$A:$A,$A153,'Product Order Book'!$E:$E,M$3)&gt;0,"✓ Takes",IF(IFERROR(VLOOKUP($A153,'Whitespace Analysis'!$A:$AH,12,0),0)=1,"◎ Should","– N/A"))</f>
        <v>✓ Takes</v>
      </c>
      <c r="N153" s="156" t="str">
        <f>IF(COUNTIFS('Product Order Book'!$A:$A,$A153,'Product Order Book'!$E:$E,N$3)&gt;0,"✓ Takes",IF(IFERROR(VLOOKUP($A153,'Whitespace Analysis'!$A:$AH,20,0),0)=1,"◎ Should","– N/A"))</f>
        <v>– N/A</v>
      </c>
      <c r="O153" s="156" t="str">
        <f>IF(COUNTIFS('Product Order Book'!$A:$A,$A153,'Product Order Book'!$E:$E,O$3)&gt;0,"✓ Takes",IF(IFERROR(VLOOKUP($A153,'Whitespace Analysis'!$A:$AH,22,0),0)=1,"◎ Should","– N/A"))</f>
        <v>– N/A</v>
      </c>
      <c r="P153" s="156" t="str">
        <f>IF(COUNTIFS('Product Order Book'!$A:$A,$A153,'Product Order Book'!$E:$E,P$3)&gt;0,"✓ Takes",IF(IFERROR(VLOOKUP($A153,'Whitespace Analysis'!$A:$AH,24,0),0)=1,"◎ Should","– N/A"))</f>
        <v>– N/A</v>
      </c>
      <c r="Q153" s="156" t="str">
        <f>IF(COUNTIFS('Product Order Book'!$A:$A,$A153,'Product Order Book'!$E:$E,Q$3)&gt;0,"✓ Takes",IF(IFERROR(VLOOKUP($A153,'Whitespace Analysis'!$A:$AH,26,0),0)=1,"◎ Should","– N/A"))</f>
        <v>– N/A</v>
      </c>
      <c r="R153" s="156" t="str">
        <f>IF(COUNTIFS('Product Order Book'!$A:$A,$A153,'Product Order Book'!$E:$E,R$3)&gt;0,"✓ Takes",IF(IFERROR(VLOOKUP($A153,'Whitespace Analysis'!$A:$AH,16,0),0)=1,"◎ Should","– N/A"))</f>
        <v>– N/A</v>
      </c>
      <c r="S153" s="156" t="str">
        <f>IF(COUNTIFS('Product Order Book'!$A:$A,$A153,'Product Order Book'!$E:$E,S$3)&gt;0,"✓ Takes",IF(IFERROR(VLOOKUP($A153,'Whitespace Analysis'!$A:$AH,18,0),0)=1,"◎ Should","– N/A"))</f>
        <v>– N/A</v>
      </c>
      <c r="T153" s="156" t="str">
        <f>IF(COUNTIFS('Product Order Book'!$A:$A,$A153,'Product Order Book'!$E:$E,T$3)&gt;0,"✓ Takes",IF(IFERROR(VLOOKUP($A153,'Whitespace Analysis'!$A:$AH,28,0),0)=1,"◎ Should","– N/A"))</f>
        <v>– N/A</v>
      </c>
      <c r="U153" s="156" t="str">
        <f>IF(COUNTIFS('Product Order Book'!$A:$A,$A153,'Product Order Book'!$E:$E,U$3)&gt;0,"✓ Takes",IF(IFERROR(VLOOKUP($A153,'Whitespace Analysis'!$A:$AH,30,0),0)=1,"◎ Should","– N/A"))</f>
        <v>– N/A</v>
      </c>
      <c r="V153" s="156" t="str">
        <f>IF(COUNTIFS('Product Order Book'!$A:$A,$A153,'Product Order Book'!$E:$E,V$3)&gt;0,"✓ Takes",IF(IFERROR(VLOOKUP($A153,'Whitespace Analysis'!$A:$AH,14,0),0)=1,"◎ Should","– N/A"))</f>
        <v>– N/A</v>
      </c>
    </row>
    <row r="154" spans="1:22" ht="15" customHeight="1">
      <c r="A154" s="154" t="str">
        <v>Scottish Water Business Stream Ltd</v>
      </c>
      <c r="B154" s="155">
        <f>IFERROR(MIN(1,COUNTIFS('Product Order Book'!$A$2:$A$1057,$A154,'Product Order Book'!$E$2:$E$1057,B$3)/INDEX('Clean Package Product Lists'!$C:$C,MATCH(B$3,'Clean Package Product Lists'!$A:$A,0))),"")</f>
        <v>0</v>
      </c>
      <c r="C154" s="155">
        <f>IFERROR(MIN(1,COUNTIFS('Product Order Book'!$A$2:$A$1057,$A154,'Product Order Book'!$E$2:$E$1057,C$3)/INDEX('Clean Package Product Lists'!$C:$C,MATCH(C$3,'Clean Package Product Lists'!$A:$A,0))),"")</f>
        <v>0</v>
      </c>
      <c r="D154" s="155">
        <f>IFERROR(MIN(1,COUNTIFS('Product Order Book'!$A$2:$A$1057,$A154,'Product Order Book'!$E$2:$E$1057,D$3)/INDEX('Clean Package Product Lists'!$C:$C,MATCH(D$3,'Clean Package Product Lists'!$A:$A,0))),"")</f>
        <v>0</v>
      </c>
      <c r="E154" s="155">
        <f>IFERROR(MIN(1,COUNTIFS('Product Order Book'!$A$2:$A$1057,$A154,'Product Order Book'!$E$2:$E$1057,E$3)/INDEX('Clean Package Product Lists'!$C:$C,MATCH(E$3,'Clean Package Product Lists'!$A:$A,0))),"")</f>
        <v>0</v>
      </c>
      <c r="F154" s="155">
        <f>IFERROR(MIN(1,COUNTIFS('Product Order Book'!$A$2:$A$1057,$A154,'Product Order Book'!$E$2:$E$1057,F$3)/INDEX('Clean Package Product Lists'!$C:$C,MATCH(F$3,'Clean Package Product Lists'!$A:$A,0))),"")</f>
        <v>0</v>
      </c>
      <c r="G154" s="155">
        <f>IFERROR(MIN(1,COUNTIFS('Product Order Book'!$A$2:$A$1057,$A154,'Product Order Book'!$E$2:$E$1057,G$3)/INDEX('Clean Package Product Lists'!$C:$C,MATCH(G$3,'Clean Package Product Lists'!$A:$A,0))),"")</f>
        <v>9.0909090909090912E-2</v>
      </c>
      <c r="H154" s="155">
        <f>IFERROR(MIN(1,COUNTIFS('Product Order Book'!$A$2:$A$1057,$A154,'Product Order Book'!$E$2:$E$1057,H$3)/INDEX('Clean Package Product Lists'!$C:$C,MATCH(H$3,'Clean Package Product Lists'!$A:$A,0))),"")</f>
        <v>0</v>
      </c>
      <c r="I154" s="155">
        <f>IFERROR(MIN(1,COUNTIFS('Product Order Book'!$A$2:$A$1057,$A154,'Product Order Book'!$E$2:$E$1057,I$3)/INDEX('Clean Package Product Lists'!$C:$C,MATCH(I$3,'Clean Package Product Lists'!$A:$A,0))),"")</f>
        <v>0</v>
      </c>
      <c r="J154" s="155">
        <f>IFERROR(MIN(1,COUNTIFS('Product Order Book'!$A$2:$A$1057,$A154,'Product Order Book'!$E$2:$E$1057,J$3)/INDEX('Clean Package Product Lists'!$C:$C,MATCH(J$3,'Clean Package Product Lists'!$A:$A,0))),"")</f>
        <v>0</v>
      </c>
      <c r="K154" s="155">
        <f>IFERROR(MIN(1,COUNTIFS('Product Order Book'!$A$2:$A$1057,$A154,'Product Order Book'!$E$2:$E$1057,K$3)/INDEX('Clean Package Product Lists'!$C:$C,MATCH(K$3,'Clean Package Product Lists'!$A:$A,0))),"")</f>
        <v>0</v>
      </c>
      <c r="L154" s="154"/>
      <c r="M154" s="156" t="str">
        <f>IF(COUNTIFS('Product Order Book'!$A:$A,$A154,'Product Order Book'!$E:$E,M$3)&gt;0,"✓ Takes",IF(IFERROR(VLOOKUP($A154,'Whitespace Analysis'!$A:$AH,12,0),0)=1,"◎ Should","– N/A"))</f>
        <v>◎ Should</v>
      </c>
      <c r="N154" s="156" t="str">
        <f>IF(COUNTIFS('Product Order Book'!$A:$A,$A154,'Product Order Book'!$E:$E,N$3)&gt;0,"✓ Takes",IF(IFERROR(VLOOKUP($A154,'Whitespace Analysis'!$A:$AH,20,0),0)=1,"◎ Should","– N/A"))</f>
        <v>◎ Should</v>
      </c>
      <c r="O154" s="156" t="str">
        <f>IF(COUNTIFS('Product Order Book'!$A:$A,$A154,'Product Order Book'!$E:$E,O$3)&gt;0,"✓ Takes",IF(IFERROR(VLOOKUP($A154,'Whitespace Analysis'!$A:$AH,22,0),0)=1,"◎ Should","– N/A"))</f>
        <v>◎ Should</v>
      </c>
      <c r="P154" s="156" t="str">
        <f>IF(COUNTIFS('Product Order Book'!$A:$A,$A154,'Product Order Book'!$E:$E,P$3)&gt;0,"✓ Takes",IF(IFERROR(VLOOKUP($A154,'Whitespace Analysis'!$A:$AH,24,0),0)=1,"◎ Should","– N/A"))</f>
        <v>– N/A</v>
      </c>
      <c r="Q154" s="156" t="str">
        <f>IF(COUNTIFS('Product Order Book'!$A:$A,$A154,'Product Order Book'!$E:$E,Q$3)&gt;0,"✓ Takes",IF(IFERROR(VLOOKUP($A154,'Whitespace Analysis'!$A:$AH,26,0),0)=1,"◎ Should","– N/A"))</f>
        <v>– N/A</v>
      </c>
      <c r="R154" s="156" t="str">
        <f>IF(COUNTIFS('Product Order Book'!$A:$A,$A154,'Product Order Book'!$E:$E,R$3)&gt;0,"✓ Takes",IF(IFERROR(VLOOKUP($A154,'Whitespace Analysis'!$A:$AH,16,0),0)=1,"◎ Should","– N/A"))</f>
        <v>✓ Takes</v>
      </c>
      <c r="S154" s="156" t="str">
        <f>IF(COUNTIFS('Product Order Book'!$A:$A,$A154,'Product Order Book'!$E:$E,S$3)&gt;0,"✓ Takes",IF(IFERROR(VLOOKUP($A154,'Whitespace Analysis'!$A:$AH,18,0),0)=1,"◎ Should","– N/A"))</f>
        <v>– N/A</v>
      </c>
      <c r="T154" s="156" t="str">
        <f>IF(COUNTIFS('Product Order Book'!$A:$A,$A154,'Product Order Book'!$E:$E,T$3)&gt;0,"✓ Takes",IF(IFERROR(VLOOKUP($A154,'Whitespace Analysis'!$A:$AH,28,0),0)=1,"◎ Should","– N/A"))</f>
        <v>◎ Should</v>
      </c>
      <c r="U154" s="156" t="str">
        <f>IF(COUNTIFS('Product Order Book'!$A:$A,$A154,'Product Order Book'!$E:$E,U$3)&gt;0,"✓ Takes",IF(IFERROR(VLOOKUP($A154,'Whitespace Analysis'!$A:$AH,30,0),0)=1,"◎ Should","– N/A"))</f>
        <v>◎ Should</v>
      </c>
      <c r="V154" s="156" t="str">
        <f>IF(COUNTIFS('Product Order Book'!$A:$A,$A154,'Product Order Book'!$E:$E,V$3)&gt;0,"✓ Takes",IF(IFERROR(VLOOKUP($A154,'Whitespace Analysis'!$A:$AH,14,0),0)=1,"◎ Should","– N/A"))</f>
        <v>◎ Should</v>
      </c>
    </row>
    <row r="155" spans="1:22" ht="15" customHeight="1">
      <c r="A155" s="154" t="str">
        <v>Scottish Water Ltd</v>
      </c>
      <c r="B155" s="155">
        <f>IFERROR(MIN(1,COUNTIFS('Product Order Book'!$A$2:$A$1057,$A155,'Product Order Book'!$E$2:$E$1057,B$3)/INDEX('Clean Package Product Lists'!$C:$C,MATCH(B$3,'Clean Package Product Lists'!$A:$A,0))),"")</f>
        <v>1</v>
      </c>
      <c r="C155" s="155">
        <f>IFERROR(MIN(1,COUNTIFS('Product Order Book'!$A$2:$A$1057,$A155,'Product Order Book'!$E$2:$E$1057,C$3)/INDEX('Clean Package Product Lists'!$C:$C,MATCH(C$3,'Clean Package Product Lists'!$A:$A,0))),"")</f>
        <v>0</v>
      </c>
      <c r="D155" s="155">
        <f>IFERROR(MIN(1,COUNTIFS('Product Order Book'!$A$2:$A$1057,$A155,'Product Order Book'!$E$2:$E$1057,D$3)/INDEX('Clean Package Product Lists'!$C:$C,MATCH(D$3,'Clean Package Product Lists'!$A:$A,0))),"")</f>
        <v>0</v>
      </c>
      <c r="E155" s="155">
        <f>IFERROR(MIN(1,COUNTIFS('Product Order Book'!$A$2:$A$1057,$A155,'Product Order Book'!$E$2:$E$1057,E$3)/INDEX('Clean Package Product Lists'!$C:$C,MATCH(E$3,'Clean Package Product Lists'!$A:$A,0))),"")</f>
        <v>0</v>
      </c>
      <c r="F155" s="155">
        <f>IFERROR(MIN(1,COUNTIFS('Product Order Book'!$A$2:$A$1057,$A155,'Product Order Book'!$E$2:$E$1057,F$3)/INDEX('Clean Package Product Lists'!$C:$C,MATCH(F$3,'Clean Package Product Lists'!$A:$A,0))),"")</f>
        <v>0</v>
      </c>
      <c r="G155" s="155">
        <f>IFERROR(MIN(1,COUNTIFS('Product Order Book'!$A$2:$A$1057,$A155,'Product Order Book'!$E$2:$E$1057,G$3)/INDEX('Clean Package Product Lists'!$C:$C,MATCH(G$3,'Clean Package Product Lists'!$A:$A,0))),"")</f>
        <v>0</v>
      </c>
      <c r="H155" s="155">
        <f>IFERROR(MIN(1,COUNTIFS('Product Order Book'!$A$2:$A$1057,$A155,'Product Order Book'!$E$2:$E$1057,H$3)/INDEX('Clean Package Product Lists'!$C:$C,MATCH(H$3,'Clean Package Product Lists'!$A:$A,0))),"")</f>
        <v>0</v>
      </c>
      <c r="I155" s="155">
        <f>IFERROR(MIN(1,COUNTIFS('Product Order Book'!$A$2:$A$1057,$A155,'Product Order Book'!$E$2:$E$1057,I$3)/INDEX('Clean Package Product Lists'!$C:$C,MATCH(I$3,'Clean Package Product Lists'!$A:$A,0))),"")</f>
        <v>0</v>
      </c>
      <c r="J155" s="155">
        <f>IFERROR(MIN(1,COUNTIFS('Product Order Book'!$A$2:$A$1057,$A155,'Product Order Book'!$E$2:$E$1057,J$3)/INDEX('Clean Package Product Lists'!$C:$C,MATCH(J$3,'Clean Package Product Lists'!$A:$A,0))),"")</f>
        <v>0</v>
      </c>
      <c r="K155" s="155">
        <f>IFERROR(MIN(1,COUNTIFS('Product Order Book'!$A$2:$A$1057,$A155,'Product Order Book'!$E$2:$E$1057,K$3)/INDEX('Clean Package Product Lists'!$C:$C,MATCH(K$3,'Clean Package Product Lists'!$A:$A,0))),"")</f>
        <v>0</v>
      </c>
      <c r="L155" s="154"/>
      <c r="M155" s="156" t="str">
        <f>IF(COUNTIFS('Product Order Book'!$A:$A,$A155,'Product Order Book'!$E:$E,M$3)&gt;0,"✓ Takes",IF(IFERROR(VLOOKUP($A155,'Whitespace Analysis'!$A:$AH,12,0),0)=1,"◎ Should","– N/A"))</f>
        <v>✓ Takes</v>
      </c>
      <c r="N155" s="156" t="str">
        <f>IF(COUNTIFS('Product Order Book'!$A:$A,$A155,'Product Order Book'!$E:$E,N$3)&gt;0,"✓ Takes",IF(IFERROR(VLOOKUP($A155,'Whitespace Analysis'!$A:$AH,20,0),0)=1,"◎ Should","– N/A"))</f>
        <v>◎ Should</v>
      </c>
      <c r="O155" s="156" t="str">
        <f>IF(COUNTIFS('Product Order Book'!$A:$A,$A155,'Product Order Book'!$E:$E,O$3)&gt;0,"✓ Takes",IF(IFERROR(VLOOKUP($A155,'Whitespace Analysis'!$A:$AH,22,0),0)=1,"◎ Should","– N/A"))</f>
        <v>◎ Should</v>
      </c>
      <c r="P155" s="156" t="str">
        <f>IF(COUNTIFS('Product Order Book'!$A:$A,$A155,'Product Order Book'!$E:$E,P$3)&gt;0,"✓ Takes",IF(IFERROR(VLOOKUP($A155,'Whitespace Analysis'!$A:$AH,24,0),0)=1,"◎ Should","– N/A"))</f>
        <v>– N/A</v>
      </c>
      <c r="Q155" s="156" t="str">
        <f>IF(COUNTIFS('Product Order Book'!$A:$A,$A155,'Product Order Book'!$E:$E,Q$3)&gt;0,"✓ Takes",IF(IFERROR(VLOOKUP($A155,'Whitespace Analysis'!$A:$AH,26,0),0)=1,"◎ Should","– N/A"))</f>
        <v>– N/A</v>
      </c>
      <c r="R155" s="156" t="str">
        <f>IF(COUNTIFS('Product Order Book'!$A:$A,$A155,'Product Order Book'!$E:$E,R$3)&gt;0,"✓ Takes",IF(IFERROR(VLOOKUP($A155,'Whitespace Analysis'!$A:$AH,16,0),0)=1,"◎ Should","– N/A"))</f>
        <v>– N/A</v>
      </c>
      <c r="S155" s="156" t="str">
        <f>IF(COUNTIFS('Product Order Book'!$A:$A,$A155,'Product Order Book'!$E:$E,S$3)&gt;0,"✓ Takes",IF(IFERROR(VLOOKUP($A155,'Whitespace Analysis'!$A:$AH,18,0),0)=1,"◎ Should","– N/A"))</f>
        <v>– N/A</v>
      </c>
      <c r="T155" s="156" t="str">
        <f>IF(COUNTIFS('Product Order Book'!$A:$A,$A155,'Product Order Book'!$E:$E,T$3)&gt;0,"✓ Takes",IF(IFERROR(VLOOKUP($A155,'Whitespace Analysis'!$A:$AH,28,0),0)=1,"◎ Should","– N/A"))</f>
        <v>◎ Should</v>
      </c>
      <c r="U155" s="156" t="str">
        <f>IF(COUNTIFS('Product Order Book'!$A:$A,$A155,'Product Order Book'!$E:$E,U$3)&gt;0,"✓ Takes",IF(IFERROR(VLOOKUP($A155,'Whitespace Analysis'!$A:$AH,30,0),0)=1,"◎ Should","– N/A"))</f>
        <v>◎ Should</v>
      </c>
      <c r="V155" s="156" t="str">
        <f>IF(COUNTIFS('Product Order Book'!$A:$A,$A155,'Product Order Book'!$E:$E,V$3)&gt;0,"✓ Takes",IF(IFERROR(VLOOKUP($A155,'Whitespace Analysis'!$A:$AH,14,0),0)=1,"◎ Should","– N/A"))</f>
        <v>◎ Should</v>
      </c>
    </row>
    <row r="156" spans="1:22" ht="15" customHeight="1">
      <c r="A156" s="154" t="str">
        <v>ScottishPower Energy Management Limited</v>
      </c>
      <c r="B156" s="155">
        <f>IFERROR(MIN(1,COUNTIFS('Product Order Book'!$A$2:$A$1057,$A156,'Product Order Book'!$E$2:$E$1057,B$3)/INDEX('Clean Package Product Lists'!$C:$C,MATCH(B$3,'Clean Package Product Lists'!$A:$A,0))),"")</f>
        <v>1</v>
      </c>
      <c r="C156" s="155">
        <f>IFERROR(MIN(1,COUNTIFS('Product Order Book'!$A$2:$A$1057,$A156,'Product Order Book'!$E$2:$E$1057,C$3)/INDEX('Clean Package Product Lists'!$C:$C,MATCH(C$3,'Clean Package Product Lists'!$A:$A,0))),"")</f>
        <v>0.7142857142857143</v>
      </c>
      <c r="D156" s="155">
        <f>IFERROR(MIN(1,COUNTIFS('Product Order Book'!$A$2:$A$1057,$A156,'Product Order Book'!$E$2:$E$1057,D$3)/INDEX('Clean Package Product Lists'!$C:$C,MATCH(D$3,'Clean Package Product Lists'!$A:$A,0))),"")</f>
        <v>0</v>
      </c>
      <c r="E156" s="155">
        <f>IFERROR(MIN(1,COUNTIFS('Product Order Book'!$A$2:$A$1057,$A156,'Product Order Book'!$E$2:$E$1057,E$3)/INDEX('Clean Package Product Lists'!$C:$C,MATCH(E$3,'Clean Package Product Lists'!$A:$A,0))),"")</f>
        <v>0.5</v>
      </c>
      <c r="F156" s="155">
        <f>IFERROR(MIN(1,COUNTIFS('Product Order Book'!$A$2:$A$1057,$A156,'Product Order Book'!$E$2:$E$1057,F$3)/INDEX('Clean Package Product Lists'!$C:$C,MATCH(F$3,'Clean Package Product Lists'!$A:$A,0))),"")</f>
        <v>0.33333333333333331</v>
      </c>
      <c r="G156" s="155">
        <f>IFERROR(MIN(1,COUNTIFS('Product Order Book'!$A$2:$A$1057,$A156,'Product Order Book'!$E$2:$E$1057,G$3)/INDEX('Clean Package Product Lists'!$C:$C,MATCH(G$3,'Clean Package Product Lists'!$A:$A,0))),"")</f>
        <v>0.90909090909090906</v>
      </c>
      <c r="H156" s="155">
        <f>IFERROR(MIN(1,COUNTIFS('Product Order Book'!$A$2:$A$1057,$A156,'Product Order Book'!$E$2:$E$1057,H$3)/INDEX('Clean Package Product Lists'!$C:$C,MATCH(H$3,'Clean Package Product Lists'!$A:$A,0))),"")</f>
        <v>0.25</v>
      </c>
      <c r="I156" s="155">
        <f>IFERROR(MIN(1,COUNTIFS('Product Order Book'!$A$2:$A$1057,$A156,'Product Order Book'!$E$2:$E$1057,I$3)/INDEX('Clean Package Product Lists'!$C:$C,MATCH(I$3,'Clean Package Product Lists'!$A:$A,0))),"")</f>
        <v>1</v>
      </c>
      <c r="J156" s="155">
        <f>IFERROR(MIN(1,COUNTIFS('Product Order Book'!$A$2:$A$1057,$A156,'Product Order Book'!$E$2:$E$1057,J$3)/INDEX('Clean Package Product Lists'!$C:$C,MATCH(J$3,'Clean Package Product Lists'!$A:$A,0))),"")</f>
        <v>0</v>
      </c>
      <c r="K156" s="155">
        <f>IFERROR(MIN(1,COUNTIFS('Product Order Book'!$A$2:$A$1057,$A156,'Product Order Book'!$E$2:$E$1057,K$3)/INDEX('Clean Package Product Lists'!$C:$C,MATCH(K$3,'Clean Package Product Lists'!$A:$A,0))),"")</f>
        <v>0</v>
      </c>
      <c r="L156" s="154"/>
      <c r="M156" s="156" t="str">
        <f>IF(COUNTIFS('Product Order Book'!$A:$A,$A156,'Product Order Book'!$E:$E,M$3)&gt;0,"✓ Takes",IF(IFERROR(VLOOKUP($A156,'Whitespace Analysis'!$A:$AH,12,0),0)=1,"◎ Should","– N/A"))</f>
        <v>✓ Takes</v>
      </c>
      <c r="N156" s="156" t="str">
        <f>IF(COUNTIFS('Product Order Book'!$A:$A,$A156,'Product Order Book'!$E:$E,N$3)&gt;0,"✓ Takes",IF(IFERROR(VLOOKUP($A156,'Whitespace Analysis'!$A:$AH,20,0),0)=1,"◎ Should","– N/A"))</f>
        <v>✓ Takes</v>
      </c>
      <c r="O156" s="156" t="str">
        <f>IF(COUNTIFS('Product Order Book'!$A:$A,$A156,'Product Order Book'!$E:$E,O$3)&gt;0,"✓ Takes",IF(IFERROR(VLOOKUP($A156,'Whitespace Analysis'!$A:$AH,22,0),0)=1,"◎ Should","– N/A"))</f>
        <v>– N/A</v>
      </c>
      <c r="P156" s="156" t="str">
        <f>IF(COUNTIFS('Product Order Book'!$A:$A,$A156,'Product Order Book'!$E:$E,P$3)&gt;0,"✓ Takes",IF(IFERROR(VLOOKUP($A156,'Whitespace Analysis'!$A:$AH,24,0),0)=1,"◎ Should","– N/A"))</f>
        <v>✓ Takes</v>
      </c>
      <c r="Q156" s="156" t="str">
        <f>IF(COUNTIFS('Product Order Book'!$A:$A,$A156,'Product Order Book'!$E:$E,Q$3)&gt;0,"✓ Takes",IF(IFERROR(VLOOKUP($A156,'Whitespace Analysis'!$A:$AH,26,0),0)=1,"◎ Should","– N/A"))</f>
        <v>✓ Takes</v>
      </c>
      <c r="R156" s="156" t="str">
        <f>IF(COUNTIFS('Product Order Book'!$A:$A,$A156,'Product Order Book'!$E:$E,R$3)&gt;0,"✓ Takes",IF(IFERROR(VLOOKUP($A156,'Whitespace Analysis'!$A:$AH,16,0),0)=1,"◎ Should","– N/A"))</f>
        <v>✓ Takes</v>
      </c>
      <c r="S156" s="156" t="str">
        <f>IF(COUNTIFS('Product Order Book'!$A:$A,$A156,'Product Order Book'!$E:$E,S$3)&gt;0,"✓ Takes",IF(IFERROR(VLOOKUP($A156,'Whitespace Analysis'!$A:$AH,18,0),0)=1,"◎ Should","– N/A"))</f>
        <v>✓ Takes</v>
      </c>
      <c r="T156" s="156" t="str">
        <f>IF(COUNTIFS('Product Order Book'!$A:$A,$A156,'Product Order Book'!$E:$E,T$3)&gt;0,"✓ Takes",IF(IFERROR(VLOOKUP($A156,'Whitespace Analysis'!$A:$AH,28,0),0)=1,"◎ Should","– N/A"))</f>
        <v>✓ Takes</v>
      </c>
      <c r="U156" s="156" t="str">
        <f>IF(COUNTIFS('Product Order Book'!$A:$A,$A156,'Product Order Book'!$E:$E,U$3)&gt;0,"✓ Takes",IF(IFERROR(VLOOKUP($A156,'Whitespace Analysis'!$A:$AH,30,0),0)=1,"◎ Should","– N/A"))</f>
        <v>– N/A</v>
      </c>
      <c r="V156" s="156" t="str">
        <f>IF(COUNTIFS('Product Order Book'!$A:$A,$A156,'Product Order Book'!$E:$E,V$3)&gt;0,"✓ Takes",IF(IFERROR(VLOOKUP($A156,'Whitespace Analysis'!$A:$AH,14,0),0)=1,"◎ Should","– N/A"))</f>
        <v>◎ Should</v>
      </c>
    </row>
    <row r="157" spans="1:22" ht="15" customHeight="1">
      <c r="A157" s="154" t="str">
        <v>Seabank Power Ltd</v>
      </c>
      <c r="B157" s="155">
        <f>IFERROR(MIN(1,COUNTIFS('Product Order Book'!$A$2:$A$1057,$A157,'Product Order Book'!$E$2:$E$1057,B$3)/INDEX('Clean Package Product Lists'!$C:$C,MATCH(B$3,'Clean Package Product Lists'!$A:$A,0))),"")</f>
        <v>1</v>
      </c>
      <c r="C157" s="155">
        <f>IFERROR(MIN(1,COUNTIFS('Product Order Book'!$A$2:$A$1057,$A157,'Product Order Book'!$E$2:$E$1057,C$3)/INDEX('Clean Package Product Lists'!$C:$C,MATCH(C$3,'Clean Package Product Lists'!$A:$A,0))),"")</f>
        <v>0</v>
      </c>
      <c r="D157" s="155">
        <f>IFERROR(MIN(1,COUNTIFS('Product Order Book'!$A$2:$A$1057,$A157,'Product Order Book'!$E$2:$E$1057,D$3)/INDEX('Clean Package Product Lists'!$C:$C,MATCH(D$3,'Clean Package Product Lists'!$A:$A,0))),"")</f>
        <v>0</v>
      </c>
      <c r="E157" s="155">
        <f>IFERROR(MIN(1,COUNTIFS('Product Order Book'!$A$2:$A$1057,$A157,'Product Order Book'!$E$2:$E$1057,E$3)/INDEX('Clean Package Product Lists'!$C:$C,MATCH(E$3,'Clean Package Product Lists'!$A:$A,0))),"")</f>
        <v>0</v>
      </c>
      <c r="F157" s="155">
        <f>IFERROR(MIN(1,COUNTIFS('Product Order Book'!$A$2:$A$1057,$A157,'Product Order Book'!$E$2:$E$1057,F$3)/INDEX('Clean Package Product Lists'!$C:$C,MATCH(F$3,'Clean Package Product Lists'!$A:$A,0))),"")</f>
        <v>0.66666666666666663</v>
      </c>
      <c r="G157" s="155">
        <f>IFERROR(MIN(1,COUNTIFS('Product Order Book'!$A$2:$A$1057,$A157,'Product Order Book'!$E$2:$E$1057,G$3)/INDEX('Clean Package Product Lists'!$C:$C,MATCH(G$3,'Clean Package Product Lists'!$A:$A,0))),"")</f>
        <v>0</v>
      </c>
      <c r="H157" s="155">
        <f>IFERROR(MIN(1,COUNTIFS('Product Order Book'!$A$2:$A$1057,$A157,'Product Order Book'!$E$2:$E$1057,H$3)/INDEX('Clean Package Product Lists'!$C:$C,MATCH(H$3,'Clean Package Product Lists'!$A:$A,0))),"")</f>
        <v>0</v>
      </c>
      <c r="I157" s="155">
        <f>IFERROR(MIN(1,COUNTIFS('Product Order Book'!$A$2:$A$1057,$A157,'Product Order Book'!$E$2:$E$1057,I$3)/INDEX('Clean Package Product Lists'!$C:$C,MATCH(I$3,'Clean Package Product Lists'!$A:$A,0))),"")</f>
        <v>0</v>
      </c>
      <c r="J157" s="155">
        <f>IFERROR(MIN(1,COUNTIFS('Product Order Book'!$A$2:$A$1057,$A157,'Product Order Book'!$E$2:$E$1057,J$3)/INDEX('Clean Package Product Lists'!$C:$C,MATCH(J$3,'Clean Package Product Lists'!$A:$A,0))),"")</f>
        <v>0</v>
      </c>
      <c r="K157" s="155">
        <f>IFERROR(MIN(1,COUNTIFS('Product Order Book'!$A$2:$A$1057,$A157,'Product Order Book'!$E$2:$E$1057,K$3)/INDEX('Clean Package Product Lists'!$C:$C,MATCH(K$3,'Clean Package Product Lists'!$A:$A,0))),"")</f>
        <v>0</v>
      </c>
      <c r="L157" s="154"/>
      <c r="M157" s="156" t="str">
        <f>IF(COUNTIFS('Product Order Book'!$A:$A,$A157,'Product Order Book'!$E:$E,M$3)&gt;0,"✓ Takes",IF(IFERROR(VLOOKUP($A157,'Whitespace Analysis'!$A:$AH,12,0),0)=1,"◎ Should","– N/A"))</f>
        <v>✓ Takes</v>
      </c>
      <c r="N157" s="156" t="str">
        <f>IF(COUNTIFS('Product Order Book'!$A:$A,$A157,'Product Order Book'!$E:$E,N$3)&gt;0,"✓ Takes",IF(IFERROR(VLOOKUP($A157,'Whitespace Analysis'!$A:$AH,20,0),0)=1,"◎ Should","– N/A"))</f>
        <v>– N/A</v>
      </c>
      <c r="O157" s="156" t="str">
        <f>IF(COUNTIFS('Product Order Book'!$A:$A,$A157,'Product Order Book'!$E:$E,O$3)&gt;0,"✓ Takes",IF(IFERROR(VLOOKUP($A157,'Whitespace Analysis'!$A:$AH,22,0),0)=1,"◎ Should","– N/A"))</f>
        <v>– N/A</v>
      </c>
      <c r="P157" s="156" t="str">
        <f>IF(COUNTIFS('Product Order Book'!$A:$A,$A157,'Product Order Book'!$E:$E,P$3)&gt;0,"✓ Takes",IF(IFERROR(VLOOKUP($A157,'Whitespace Analysis'!$A:$AH,24,0),0)=1,"◎ Should","– N/A"))</f>
        <v>◎ Should</v>
      </c>
      <c r="Q157" s="156" t="str">
        <f>IF(COUNTIFS('Product Order Book'!$A:$A,$A157,'Product Order Book'!$E:$E,Q$3)&gt;0,"✓ Takes",IF(IFERROR(VLOOKUP($A157,'Whitespace Analysis'!$A:$AH,26,0),0)=1,"◎ Should","– N/A"))</f>
        <v>✓ Takes</v>
      </c>
      <c r="R157" s="156" t="str">
        <f>IF(COUNTIFS('Product Order Book'!$A:$A,$A157,'Product Order Book'!$E:$E,R$3)&gt;0,"✓ Takes",IF(IFERROR(VLOOKUP($A157,'Whitespace Analysis'!$A:$AH,16,0),0)=1,"◎ Should","– N/A"))</f>
        <v>– N/A</v>
      </c>
      <c r="S157" s="156" t="str">
        <f>IF(COUNTIFS('Product Order Book'!$A:$A,$A157,'Product Order Book'!$E:$E,S$3)&gt;0,"✓ Takes",IF(IFERROR(VLOOKUP($A157,'Whitespace Analysis'!$A:$AH,18,0),0)=1,"◎ Should","– N/A"))</f>
        <v>– N/A</v>
      </c>
      <c r="T157" s="156" t="str">
        <f>IF(COUNTIFS('Product Order Book'!$A:$A,$A157,'Product Order Book'!$E:$E,T$3)&gt;0,"✓ Takes",IF(IFERROR(VLOOKUP($A157,'Whitespace Analysis'!$A:$AH,28,0),0)=1,"◎ Should","– N/A"))</f>
        <v>– N/A</v>
      </c>
      <c r="U157" s="156" t="str">
        <f>IF(COUNTIFS('Product Order Book'!$A:$A,$A157,'Product Order Book'!$E:$E,U$3)&gt;0,"✓ Takes",IF(IFERROR(VLOOKUP($A157,'Whitespace Analysis'!$A:$AH,30,0),0)=1,"◎ Should","– N/A"))</f>
        <v>– N/A</v>
      </c>
      <c r="V157" s="156" t="str">
        <f>IF(COUNTIFS('Product Order Book'!$A:$A,$A157,'Product Order Book'!$E:$E,V$3)&gt;0,"✓ Takes",IF(IFERROR(VLOOKUP($A157,'Whitespace Analysis'!$A:$AH,14,0),0)=1,"◎ Should","– N/A"))</f>
        <v>◎ Should</v>
      </c>
    </row>
    <row r="158" spans="1:22" ht="15" customHeight="1">
      <c r="A158" s="154" t="str">
        <v>Sedgwick Trading Ltd Group</v>
      </c>
      <c r="B158" s="155">
        <f>IFERROR(MIN(1,COUNTIFS('Product Order Book'!$A$2:$A$1057,$A158,'Product Order Book'!$E$2:$E$1057,B$3)/INDEX('Clean Package Product Lists'!$C:$C,MATCH(B$3,'Clean Package Product Lists'!$A:$A,0))),"")</f>
        <v>1</v>
      </c>
      <c r="C158" s="155">
        <f>IFERROR(MIN(1,COUNTIFS('Product Order Book'!$A$2:$A$1057,$A158,'Product Order Book'!$E$2:$E$1057,C$3)/INDEX('Clean Package Product Lists'!$C:$C,MATCH(C$3,'Clean Package Product Lists'!$A:$A,0))),"")</f>
        <v>0</v>
      </c>
      <c r="D158" s="155">
        <f>IFERROR(MIN(1,COUNTIFS('Product Order Book'!$A$2:$A$1057,$A158,'Product Order Book'!$E$2:$E$1057,D$3)/INDEX('Clean Package Product Lists'!$C:$C,MATCH(D$3,'Clean Package Product Lists'!$A:$A,0))),"")</f>
        <v>0</v>
      </c>
      <c r="E158" s="155">
        <f>IFERROR(MIN(1,COUNTIFS('Product Order Book'!$A$2:$A$1057,$A158,'Product Order Book'!$E$2:$E$1057,E$3)/INDEX('Clean Package Product Lists'!$C:$C,MATCH(E$3,'Clean Package Product Lists'!$A:$A,0))),"")</f>
        <v>0</v>
      </c>
      <c r="F158" s="155">
        <f>IFERROR(MIN(1,COUNTIFS('Product Order Book'!$A$2:$A$1057,$A158,'Product Order Book'!$E$2:$E$1057,F$3)/INDEX('Clean Package Product Lists'!$C:$C,MATCH(F$3,'Clean Package Product Lists'!$A:$A,0))),"")</f>
        <v>0.33333333333333331</v>
      </c>
      <c r="G158" s="155">
        <f>IFERROR(MIN(1,COUNTIFS('Product Order Book'!$A$2:$A$1057,$A158,'Product Order Book'!$E$2:$E$1057,G$3)/INDEX('Clean Package Product Lists'!$C:$C,MATCH(G$3,'Clean Package Product Lists'!$A:$A,0))),"")</f>
        <v>0</v>
      </c>
      <c r="H158" s="155">
        <f>IFERROR(MIN(1,COUNTIFS('Product Order Book'!$A$2:$A$1057,$A158,'Product Order Book'!$E$2:$E$1057,H$3)/INDEX('Clean Package Product Lists'!$C:$C,MATCH(H$3,'Clean Package Product Lists'!$A:$A,0))),"")</f>
        <v>0</v>
      </c>
      <c r="I158" s="155">
        <f>IFERROR(MIN(1,COUNTIFS('Product Order Book'!$A$2:$A$1057,$A158,'Product Order Book'!$E$2:$E$1057,I$3)/INDEX('Clean Package Product Lists'!$C:$C,MATCH(I$3,'Clean Package Product Lists'!$A:$A,0))),"")</f>
        <v>0</v>
      </c>
      <c r="J158" s="155">
        <f>IFERROR(MIN(1,COUNTIFS('Product Order Book'!$A$2:$A$1057,$A158,'Product Order Book'!$E$2:$E$1057,J$3)/INDEX('Clean Package Product Lists'!$C:$C,MATCH(J$3,'Clean Package Product Lists'!$A:$A,0))),"")</f>
        <v>0</v>
      </c>
      <c r="K158" s="155">
        <f>IFERROR(MIN(1,COUNTIFS('Product Order Book'!$A$2:$A$1057,$A158,'Product Order Book'!$E$2:$E$1057,K$3)/INDEX('Clean Package Product Lists'!$C:$C,MATCH(K$3,'Clean Package Product Lists'!$A:$A,0))),"")</f>
        <v>0</v>
      </c>
      <c r="L158" s="154"/>
      <c r="M158" s="156" t="str">
        <f>IF(COUNTIFS('Product Order Book'!$A:$A,$A158,'Product Order Book'!$E:$E,M$3)&gt;0,"✓ Takes",IF(IFERROR(VLOOKUP($A158,'Whitespace Analysis'!$A:$AH,12,0),0)=1,"◎ Should","– N/A"))</f>
        <v>✓ Takes</v>
      </c>
      <c r="N158" s="156" t="str">
        <f>IF(COUNTIFS('Product Order Book'!$A:$A,$A158,'Product Order Book'!$E:$E,N$3)&gt;0,"✓ Takes",IF(IFERROR(VLOOKUP($A158,'Whitespace Analysis'!$A:$AH,20,0),0)=1,"◎ Should","– N/A"))</f>
        <v>◎ Should</v>
      </c>
      <c r="O158" s="156" t="str">
        <f>IF(COUNTIFS('Product Order Book'!$A:$A,$A158,'Product Order Book'!$E:$E,O$3)&gt;0,"✓ Takes",IF(IFERROR(VLOOKUP($A158,'Whitespace Analysis'!$A:$AH,22,0),0)=1,"◎ Should","– N/A"))</f>
        <v>◎ Should</v>
      </c>
      <c r="P158" s="156" t="str">
        <f>IF(COUNTIFS('Product Order Book'!$A:$A,$A158,'Product Order Book'!$E:$E,P$3)&gt;0,"✓ Takes",IF(IFERROR(VLOOKUP($A158,'Whitespace Analysis'!$A:$AH,24,0),0)=1,"◎ Should","– N/A"))</f>
        <v>◎ Should</v>
      </c>
      <c r="Q158" s="156" t="str">
        <f>IF(COUNTIFS('Product Order Book'!$A:$A,$A158,'Product Order Book'!$E:$E,Q$3)&gt;0,"✓ Takes",IF(IFERROR(VLOOKUP($A158,'Whitespace Analysis'!$A:$AH,26,0),0)=1,"◎ Should","– N/A"))</f>
        <v>✓ Takes</v>
      </c>
      <c r="R158" s="156" t="str">
        <f>IF(COUNTIFS('Product Order Book'!$A:$A,$A158,'Product Order Book'!$E:$E,R$3)&gt;0,"✓ Takes",IF(IFERROR(VLOOKUP($A158,'Whitespace Analysis'!$A:$AH,16,0),0)=1,"◎ Should","– N/A"))</f>
        <v>– N/A</v>
      </c>
      <c r="S158" s="156" t="str">
        <f>IF(COUNTIFS('Product Order Book'!$A:$A,$A158,'Product Order Book'!$E:$E,S$3)&gt;0,"✓ Takes",IF(IFERROR(VLOOKUP($A158,'Whitespace Analysis'!$A:$AH,18,0),0)=1,"◎ Should","– N/A"))</f>
        <v>– N/A</v>
      </c>
      <c r="T158" s="156" t="str">
        <f>IF(COUNTIFS('Product Order Book'!$A:$A,$A158,'Product Order Book'!$E:$E,T$3)&gt;0,"✓ Takes",IF(IFERROR(VLOOKUP($A158,'Whitespace Analysis'!$A:$AH,28,0),0)=1,"◎ Should","– N/A"))</f>
        <v>– N/A</v>
      </c>
      <c r="U158" s="156" t="str">
        <f>IF(COUNTIFS('Product Order Book'!$A:$A,$A158,'Product Order Book'!$E:$E,U$3)&gt;0,"✓ Takes",IF(IFERROR(VLOOKUP($A158,'Whitespace Analysis'!$A:$AH,30,0),0)=1,"◎ Should","– N/A"))</f>
        <v>– N/A</v>
      </c>
      <c r="V158" s="156" t="str">
        <f>IF(COUNTIFS('Product Order Book'!$A:$A,$A158,'Product Order Book'!$E:$E,V$3)&gt;0,"✓ Takes",IF(IFERROR(VLOOKUP($A158,'Whitespace Analysis'!$A:$AH,14,0),0)=1,"◎ Should","– N/A"))</f>
        <v>◎ Should</v>
      </c>
    </row>
    <row r="159" spans="1:22" ht="15" customHeight="1">
      <c r="A159" s="154" t="str">
        <v>SEFE Energy Limited</v>
      </c>
      <c r="B159" s="155">
        <f>IFERROR(MIN(1,COUNTIFS('Product Order Book'!$A$2:$A$1057,$A159,'Product Order Book'!$E$2:$E$1057,B$3)/INDEX('Clean Package Product Lists'!$C:$C,MATCH(B$3,'Clean Package Product Lists'!$A:$A,0))),"")</f>
        <v>0</v>
      </c>
      <c r="C159" s="155">
        <f>IFERROR(MIN(1,COUNTIFS('Product Order Book'!$A$2:$A$1057,$A159,'Product Order Book'!$E$2:$E$1057,C$3)/INDEX('Clean Package Product Lists'!$C:$C,MATCH(C$3,'Clean Package Product Lists'!$A:$A,0))),"")</f>
        <v>0.7142857142857143</v>
      </c>
      <c r="D159" s="155">
        <f>IFERROR(MIN(1,COUNTIFS('Product Order Book'!$A$2:$A$1057,$A159,'Product Order Book'!$E$2:$E$1057,D$3)/INDEX('Clean Package Product Lists'!$C:$C,MATCH(D$3,'Clean Package Product Lists'!$A:$A,0))),"")</f>
        <v>0.33333333333333331</v>
      </c>
      <c r="E159" s="155">
        <f>IFERROR(MIN(1,COUNTIFS('Product Order Book'!$A$2:$A$1057,$A159,'Product Order Book'!$E$2:$E$1057,E$3)/INDEX('Clean Package Product Lists'!$C:$C,MATCH(E$3,'Clean Package Product Lists'!$A:$A,0))),"")</f>
        <v>0</v>
      </c>
      <c r="F159" s="155">
        <f>IFERROR(MIN(1,COUNTIFS('Product Order Book'!$A$2:$A$1057,$A159,'Product Order Book'!$E$2:$E$1057,F$3)/INDEX('Clean Package Product Lists'!$C:$C,MATCH(F$3,'Clean Package Product Lists'!$A:$A,0))),"")</f>
        <v>0</v>
      </c>
      <c r="G159" s="155">
        <f>IFERROR(MIN(1,COUNTIFS('Product Order Book'!$A$2:$A$1057,$A159,'Product Order Book'!$E$2:$E$1057,G$3)/INDEX('Clean Package Product Lists'!$C:$C,MATCH(G$3,'Clean Package Product Lists'!$A:$A,0))),"")</f>
        <v>0.54545454545454541</v>
      </c>
      <c r="H159" s="155">
        <f>IFERROR(MIN(1,COUNTIFS('Product Order Book'!$A$2:$A$1057,$A159,'Product Order Book'!$E$2:$E$1057,H$3)/INDEX('Clean Package Product Lists'!$C:$C,MATCH(H$3,'Clean Package Product Lists'!$A:$A,0))),"")</f>
        <v>0.75</v>
      </c>
      <c r="I159" s="155">
        <f>IFERROR(MIN(1,COUNTIFS('Product Order Book'!$A$2:$A$1057,$A159,'Product Order Book'!$E$2:$E$1057,I$3)/INDEX('Clean Package Product Lists'!$C:$C,MATCH(I$3,'Clean Package Product Lists'!$A:$A,0))),"")</f>
        <v>0</v>
      </c>
      <c r="J159" s="155">
        <f>IFERROR(MIN(1,COUNTIFS('Product Order Book'!$A$2:$A$1057,$A159,'Product Order Book'!$E$2:$E$1057,J$3)/INDEX('Clean Package Product Lists'!$C:$C,MATCH(J$3,'Clean Package Product Lists'!$A:$A,0))),"")</f>
        <v>0</v>
      </c>
      <c r="K159" s="155">
        <f>IFERROR(MIN(1,COUNTIFS('Product Order Book'!$A$2:$A$1057,$A159,'Product Order Book'!$E$2:$E$1057,K$3)/INDEX('Clean Package Product Lists'!$C:$C,MATCH(K$3,'Clean Package Product Lists'!$A:$A,0))),"")</f>
        <v>0</v>
      </c>
      <c r="L159" s="154"/>
      <c r="M159" s="156" t="str">
        <f>IF(COUNTIFS('Product Order Book'!$A:$A,$A159,'Product Order Book'!$E:$E,M$3)&gt;0,"✓ Takes",IF(IFERROR(VLOOKUP($A159,'Whitespace Analysis'!$A:$AH,12,0),0)=1,"◎ Should","– N/A"))</f>
        <v>◎ Should</v>
      </c>
      <c r="N159" s="156" t="str">
        <f>IF(COUNTIFS('Product Order Book'!$A:$A,$A159,'Product Order Book'!$E:$E,N$3)&gt;0,"✓ Takes",IF(IFERROR(VLOOKUP($A159,'Whitespace Analysis'!$A:$AH,20,0),0)=1,"◎ Should","– N/A"))</f>
        <v>✓ Takes</v>
      </c>
      <c r="O159" s="156" t="str">
        <f>IF(COUNTIFS('Product Order Book'!$A:$A,$A159,'Product Order Book'!$E:$E,O$3)&gt;0,"✓ Takes",IF(IFERROR(VLOOKUP($A159,'Whitespace Analysis'!$A:$AH,22,0),0)=1,"◎ Should","– N/A"))</f>
        <v>✓ Takes</v>
      </c>
      <c r="P159" s="156" t="str">
        <f>IF(COUNTIFS('Product Order Book'!$A:$A,$A159,'Product Order Book'!$E:$E,P$3)&gt;0,"✓ Takes",IF(IFERROR(VLOOKUP($A159,'Whitespace Analysis'!$A:$AH,24,0),0)=1,"◎ Should","– N/A"))</f>
        <v>◎ Should</v>
      </c>
      <c r="Q159" s="156" t="str">
        <f>IF(COUNTIFS('Product Order Book'!$A:$A,$A159,'Product Order Book'!$E:$E,Q$3)&gt;0,"✓ Takes",IF(IFERROR(VLOOKUP($A159,'Whitespace Analysis'!$A:$AH,26,0),0)=1,"◎ Should","– N/A"))</f>
        <v>◎ Should</v>
      </c>
      <c r="R159" s="156" t="str">
        <f>IF(COUNTIFS('Product Order Book'!$A:$A,$A159,'Product Order Book'!$E:$E,R$3)&gt;0,"✓ Takes",IF(IFERROR(VLOOKUP($A159,'Whitespace Analysis'!$A:$AH,16,0),0)=1,"◎ Should","– N/A"))</f>
        <v>✓ Takes</v>
      </c>
      <c r="S159" s="156" t="str">
        <f>IF(COUNTIFS('Product Order Book'!$A:$A,$A159,'Product Order Book'!$E:$E,S$3)&gt;0,"✓ Takes",IF(IFERROR(VLOOKUP($A159,'Whitespace Analysis'!$A:$AH,18,0),0)=1,"◎ Should","– N/A"))</f>
        <v>✓ Takes</v>
      </c>
      <c r="T159" s="156" t="str">
        <f>IF(COUNTIFS('Product Order Book'!$A:$A,$A159,'Product Order Book'!$E:$E,T$3)&gt;0,"✓ Takes",IF(IFERROR(VLOOKUP($A159,'Whitespace Analysis'!$A:$AH,28,0),0)=1,"◎ Should","– N/A"))</f>
        <v>– N/A</v>
      </c>
      <c r="U159" s="156" t="str">
        <f>IF(COUNTIFS('Product Order Book'!$A:$A,$A159,'Product Order Book'!$E:$E,U$3)&gt;0,"✓ Takes",IF(IFERROR(VLOOKUP($A159,'Whitespace Analysis'!$A:$AH,30,0),0)=1,"◎ Should","– N/A"))</f>
        <v>– N/A</v>
      </c>
      <c r="V159" s="156" t="str">
        <f>IF(COUNTIFS('Product Order Book'!$A:$A,$A159,'Product Order Book'!$E:$E,V$3)&gt;0,"✓ Takes",IF(IFERROR(VLOOKUP($A159,'Whitespace Analysis'!$A:$AH,14,0),0)=1,"◎ Should","– N/A"))</f>
        <v>◎ Should</v>
      </c>
    </row>
    <row r="160" spans="1:22" ht="15" customHeight="1">
      <c r="A160" s="154" t="str">
        <v>Sembcorp Energy UK Ltd</v>
      </c>
      <c r="B160" s="155">
        <f>IFERROR(MIN(1,COUNTIFS('Product Order Book'!$A$2:$A$1057,$A160,'Product Order Book'!$E$2:$E$1057,B$3)/INDEX('Clean Package Product Lists'!$C:$C,MATCH(B$3,'Clean Package Product Lists'!$A:$A,0))),"")</f>
        <v>1</v>
      </c>
      <c r="C160" s="155">
        <f>IFERROR(MIN(1,COUNTIFS('Product Order Book'!$A$2:$A$1057,$A160,'Product Order Book'!$E$2:$E$1057,C$3)/INDEX('Clean Package Product Lists'!$C:$C,MATCH(C$3,'Clean Package Product Lists'!$A:$A,0))),"")</f>
        <v>0</v>
      </c>
      <c r="D160" s="155">
        <f>IFERROR(MIN(1,COUNTIFS('Product Order Book'!$A$2:$A$1057,$A160,'Product Order Book'!$E$2:$E$1057,D$3)/INDEX('Clean Package Product Lists'!$C:$C,MATCH(D$3,'Clean Package Product Lists'!$A:$A,0))),"")</f>
        <v>0</v>
      </c>
      <c r="E160" s="155">
        <f>IFERROR(MIN(1,COUNTIFS('Product Order Book'!$A$2:$A$1057,$A160,'Product Order Book'!$E$2:$E$1057,E$3)/INDEX('Clean Package Product Lists'!$C:$C,MATCH(E$3,'Clean Package Product Lists'!$A:$A,0))),"")</f>
        <v>0</v>
      </c>
      <c r="F160" s="155">
        <f>IFERROR(MIN(1,COUNTIFS('Product Order Book'!$A$2:$A$1057,$A160,'Product Order Book'!$E$2:$E$1057,F$3)/INDEX('Clean Package Product Lists'!$C:$C,MATCH(F$3,'Clean Package Product Lists'!$A:$A,0))),"")</f>
        <v>0</v>
      </c>
      <c r="G160" s="155">
        <f>IFERROR(MIN(1,COUNTIFS('Product Order Book'!$A$2:$A$1057,$A160,'Product Order Book'!$E$2:$E$1057,G$3)/INDEX('Clean Package Product Lists'!$C:$C,MATCH(G$3,'Clean Package Product Lists'!$A:$A,0))),"")</f>
        <v>0</v>
      </c>
      <c r="H160" s="155">
        <f>IFERROR(MIN(1,COUNTIFS('Product Order Book'!$A$2:$A$1057,$A160,'Product Order Book'!$E$2:$E$1057,H$3)/INDEX('Clean Package Product Lists'!$C:$C,MATCH(H$3,'Clean Package Product Lists'!$A:$A,0))),"")</f>
        <v>0</v>
      </c>
      <c r="I160" s="155">
        <f>IFERROR(MIN(1,COUNTIFS('Product Order Book'!$A$2:$A$1057,$A160,'Product Order Book'!$E$2:$E$1057,I$3)/INDEX('Clean Package Product Lists'!$C:$C,MATCH(I$3,'Clean Package Product Lists'!$A:$A,0))),"")</f>
        <v>0</v>
      </c>
      <c r="J160" s="155">
        <f>IFERROR(MIN(1,COUNTIFS('Product Order Book'!$A$2:$A$1057,$A160,'Product Order Book'!$E$2:$E$1057,J$3)/INDEX('Clean Package Product Lists'!$C:$C,MATCH(J$3,'Clean Package Product Lists'!$A:$A,0))),"")</f>
        <v>0</v>
      </c>
      <c r="K160" s="155">
        <f>IFERROR(MIN(1,COUNTIFS('Product Order Book'!$A$2:$A$1057,$A160,'Product Order Book'!$E$2:$E$1057,K$3)/INDEX('Clean Package Product Lists'!$C:$C,MATCH(K$3,'Clean Package Product Lists'!$A:$A,0))),"")</f>
        <v>0</v>
      </c>
      <c r="L160" s="154"/>
      <c r="M160" s="156" t="str">
        <f>IF(COUNTIFS('Product Order Book'!$A:$A,$A160,'Product Order Book'!$E:$E,M$3)&gt;0,"✓ Takes",IF(IFERROR(VLOOKUP($A160,'Whitespace Analysis'!$A:$AH,12,0),0)=1,"◎ Should","– N/A"))</f>
        <v>✓ Takes</v>
      </c>
      <c r="N160" s="156" t="str">
        <f>IF(COUNTIFS('Product Order Book'!$A:$A,$A160,'Product Order Book'!$E:$E,N$3)&gt;0,"✓ Takes",IF(IFERROR(VLOOKUP($A160,'Whitespace Analysis'!$A:$AH,20,0),0)=1,"◎ Should","– N/A"))</f>
        <v>◎ Should</v>
      </c>
      <c r="O160" s="156" t="str">
        <f>IF(COUNTIFS('Product Order Book'!$A:$A,$A160,'Product Order Book'!$E:$E,O$3)&gt;0,"✓ Takes",IF(IFERROR(VLOOKUP($A160,'Whitespace Analysis'!$A:$AH,22,0),0)=1,"◎ Should","– N/A"))</f>
        <v>◎ Should</v>
      </c>
      <c r="P160" s="156" t="str">
        <f>IF(COUNTIFS('Product Order Book'!$A:$A,$A160,'Product Order Book'!$E:$E,P$3)&gt;0,"✓ Takes",IF(IFERROR(VLOOKUP($A160,'Whitespace Analysis'!$A:$AH,24,0),0)=1,"◎ Should","– N/A"))</f>
        <v>◎ Should</v>
      </c>
      <c r="Q160" s="156" t="str">
        <f>IF(COUNTIFS('Product Order Book'!$A:$A,$A160,'Product Order Book'!$E:$E,Q$3)&gt;0,"✓ Takes",IF(IFERROR(VLOOKUP($A160,'Whitespace Analysis'!$A:$AH,26,0),0)=1,"◎ Should","– N/A"))</f>
        <v>◎ Should</v>
      </c>
      <c r="R160" s="156" t="str">
        <f>IF(COUNTIFS('Product Order Book'!$A:$A,$A160,'Product Order Book'!$E:$E,R$3)&gt;0,"✓ Takes",IF(IFERROR(VLOOKUP($A160,'Whitespace Analysis'!$A:$AH,16,0),0)=1,"◎ Should","– N/A"))</f>
        <v>– N/A</v>
      </c>
      <c r="S160" s="156" t="str">
        <f>IF(COUNTIFS('Product Order Book'!$A:$A,$A160,'Product Order Book'!$E:$E,S$3)&gt;0,"✓ Takes",IF(IFERROR(VLOOKUP($A160,'Whitespace Analysis'!$A:$AH,18,0),0)=1,"◎ Should","– N/A"))</f>
        <v>– N/A</v>
      </c>
      <c r="T160" s="156" t="str">
        <f>IF(COUNTIFS('Product Order Book'!$A:$A,$A160,'Product Order Book'!$E:$E,T$3)&gt;0,"✓ Takes",IF(IFERROR(VLOOKUP($A160,'Whitespace Analysis'!$A:$AH,28,0),0)=1,"◎ Should","– N/A"))</f>
        <v>– N/A</v>
      </c>
      <c r="U160" s="156" t="str">
        <f>IF(COUNTIFS('Product Order Book'!$A:$A,$A160,'Product Order Book'!$E:$E,U$3)&gt;0,"✓ Takes",IF(IFERROR(VLOOKUP($A160,'Whitespace Analysis'!$A:$AH,30,0),0)=1,"◎ Should","– N/A"))</f>
        <v>– N/A</v>
      </c>
      <c r="V160" s="156" t="str">
        <f>IF(COUNTIFS('Product Order Book'!$A:$A,$A160,'Product Order Book'!$E:$E,V$3)&gt;0,"✓ Takes",IF(IFERROR(VLOOKUP($A160,'Whitespace Analysis'!$A:$AH,14,0),0)=1,"◎ Should","– N/A"))</f>
        <v>◎ Should</v>
      </c>
    </row>
    <row r="161" spans="1:22" ht="15" customHeight="1">
      <c r="A161" s="154" t="str">
        <v>Shell International BV</v>
      </c>
      <c r="B161" s="155">
        <f>IFERROR(MIN(1,COUNTIFS('Product Order Book'!$A$2:$A$1057,$A161,'Product Order Book'!$E$2:$E$1057,B$3)/INDEX('Clean Package Product Lists'!$C:$C,MATCH(B$3,'Clean Package Product Lists'!$A:$A,0))),"")</f>
        <v>1</v>
      </c>
      <c r="C161" s="155">
        <f>IFERROR(MIN(1,COUNTIFS('Product Order Book'!$A$2:$A$1057,$A161,'Product Order Book'!$E$2:$E$1057,C$3)/INDEX('Clean Package Product Lists'!$C:$C,MATCH(C$3,'Clean Package Product Lists'!$A:$A,0))),"")</f>
        <v>1</v>
      </c>
      <c r="D161" s="155">
        <f>IFERROR(MIN(1,COUNTIFS('Product Order Book'!$A$2:$A$1057,$A161,'Product Order Book'!$E$2:$E$1057,D$3)/INDEX('Clean Package Product Lists'!$C:$C,MATCH(D$3,'Clean Package Product Lists'!$A:$A,0))),"")</f>
        <v>1</v>
      </c>
      <c r="E161" s="155">
        <f>IFERROR(MIN(1,COUNTIFS('Product Order Book'!$A$2:$A$1057,$A161,'Product Order Book'!$E$2:$E$1057,E$3)/INDEX('Clean Package Product Lists'!$C:$C,MATCH(E$3,'Clean Package Product Lists'!$A:$A,0))),"")</f>
        <v>1</v>
      </c>
      <c r="F161" s="155">
        <f>IFERROR(MIN(1,COUNTIFS('Product Order Book'!$A$2:$A$1057,$A161,'Product Order Book'!$E$2:$E$1057,F$3)/INDEX('Clean Package Product Lists'!$C:$C,MATCH(F$3,'Clean Package Product Lists'!$A:$A,0))),"")</f>
        <v>1</v>
      </c>
      <c r="G161" s="155">
        <f>IFERROR(MIN(1,COUNTIFS('Product Order Book'!$A$2:$A$1057,$A161,'Product Order Book'!$E$2:$E$1057,G$3)/INDEX('Clean Package Product Lists'!$C:$C,MATCH(G$3,'Clean Package Product Lists'!$A:$A,0))),"")</f>
        <v>1</v>
      </c>
      <c r="H161" s="155">
        <f>IFERROR(MIN(1,COUNTIFS('Product Order Book'!$A$2:$A$1057,$A161,'Product Order Book'!$E$2:$E$1057,H$3)/INDEX('Clean Package Product Lists'!$C:$C,MATCH(H$3,'Clean Package Product Lists'!$A:$A,0))),"")</f>
        <v>1</v>
      </c>
      <c r="I161" s="155">
        <f>IFERROR(MIN(1,COUNTIFS('Product Order Book'!$A$2:$A$1057,$A161,'Product Order Book'!$E$2:$E$1057,I$3)/INDEX('Clean Package Product Lists'!$C:$C,MATCH(I$3,'Clean Package Product Lists'!$A:$A,0))),"")</f>
        <v>0</v>
      </c>
      <c r="J161" s="155">
        <f>IFERROR(MIN(1,COUNTIFS('Product Order Book'!$A$2:$A$1057,$A161,'Product Order Book'!$E$2:$E$1057,J$3)/INDEX('Clean Package Product Lists'!$C:$C,MATCH(J$3,'Clean Package Product Lists'!$A:$A,0))),"")</f>
        <v>0</v>
      </c>
      <c r="K161" s="155">
        <f>IFERROR(MIN(1,COUNTIFS('Product Order Book'!$A$2:$A$1057,$A161,'Product Order Book'!$E$2:$E$1057,K$3)/INDEX('Clean Package Product Lists'!$C:$C,MATCH(K$3,'Clean Package Product Lists'!$A:$A,0))),"")</f>
        <v>1</v>
      </c>
      <c r="L161" s="154"/>
      <c r="M161" s="156" t="str">
        <f>IF(COUNTIFS('Product Order Book'!$A:$A,$A161,'Product Order Book'!$E:$E,M$3)&gt;0,"✓ Takes",IF(IFERROR(VLOOKUP($A161,'Whitespace Analysis'!$A:$AH,12,0),0)=1,"◎ Should","– N/A"))</f>
        <v>✓ Takes</v>
      </c>
      <c r="N161" s="156" t="str">
        <f>IF(COUNTIFS('Product Order Book'!$A:$A,$A161,'Product Order Book'!$E:$E,N$3)&gt;0,"✓ Takes",IF(IFERROR(VLOOKUP($A161,'Whitespace Analysis'!$A:$AH,20,0),0)=1,"◎ Should","– N/A"))</f>
        <v>✓ Takes</v>
      </c>
      <c r="O161" s="156" t="str">
        <f>IF(COUNTIFS('Product Order Book'!$A:$A,$A161,'Product Order Book'!$E:$E,O$3)&gt;0,"✓ Takes",IF(IFERROR(VLOOKUP($A161,'Whitespace Analysis'!$A:$AH,22,0),0)=1,"◎ Should","– N/A"))</f>
        <v>✓ Takes</v>
      </c>
      <c r="P161" s="156" t="str">
        <f>IF(COUNTIFS('Product Order Book'!$A:$A,$A161,'Product Order Book'!$E:$E,P$3)&gt;0,"✓ Takes",IF(IFERROR(VLOOKUP($A161,'Whitespace Analysis'!$A:$AH,24,0),0)=1,"◎ Should","– N/A"))</f>
        <v>✓ Takes</v>
      </c>
      <c r="Q161" s="156" t="str">
        <f>IF(COUNTIFS('Product Order Book'!$A:$A,$A161,'Product Order Book'!$E:$E,Q$3)&gt;0,"✓ Takes",IF(IFERROR(VLOOKUP($A161,'Whitespace Analysis'!$A:$AH,26,0),0)=1,"◎ Should","– N/A"))</f>
        <v>✓ Takes</v>
      </c>
      <c r="R161" s="156" t="str">
        <f>IF(COUNTIFS('Product Order Book'!$A:$A,$A161,'Product Order Book'!$E:$E,R$3)&gt;0,"✓ Takes",IF(IFERROR(VLOOKUP($A161,'Whitespace Analysis'!$A:$AH,16,0),0)=1,"◎ Should","– N/A"))</f>
        <v>✓ Takes</v>
      </c>
      <c r="S161" s="156" t="str">
        <f>IF(COUNTIFS('Product Order Book'!$A:$A,$A161,'Product Order Book'!$E:$E,S$3)&gt;0,"✓ Takes",IF(IFERROR(VLOOKUP($A161,'Whitespace Analysis'!$A:$AH,18,0),0)=1,"◎ Should","– N/A"))</f>
        <v>✓ Takes</v>
      </c>
      <c r="T161" s="156" t="str">
        <f>IF(COUNTIFS('Product Order Book'!$A:$A,$A161,'Product Order Book'!$E:$E,T$3)&gt;0,"✓ Takes",IF(IFERROR(VLOOKUP($A161,'Whitespace Analysis'!$A:$AH,28,0),0)=1,"◎ Should","– N/A"))</f>
        <v>– N/A</v>
      </c>
      <c r="U161" s="156" t="str">
        <f>IF(COUNTIFS('Product Order Book'!$A:$A,$A161,'Product Order Book'!$E:$E,U$3)&gt;0,"✓ Takes",IF(IFERROR(VLOOKUP($A161,'Whitespace Analysis'!$A:$AH,30,0),0)=1,"◎ Should","– N/A"))</f>
        <v>– N/A</v>
      </c>
      <c r="V161" s="156" t="str">
        <f>IF(COUNTIFS('Product Order Book'!$A:$A,$A161,'Product Order Book'!$E:$E,V$3)&gt;0,"✓ Takes",IF(IFERROR(VLOOKUP($A161,'Whitespace Analysis'!$A:$AH,14,0),0)=1,"◎ Should","– N/A"))</f>
        <v>✓ Takes</v>
      </c>
    </row>
    <row r="162" spans="1:22" ht="15" customHeight="1">
      <c r="A162" s="154" t="str">
        <v>SINQ Power Limited</v>
      </c>
      <c r="B162" s="155">
        <f>IFERROR(MIN(1,COUNTIFS('Product Order Book'!$A$2:$A$1057,$A162,'Product Order Book'!$E$2:$E$1057,B$3)/INDEX('Clean Package Product Lists'!$C:$C,MATCH(B$3,'Clean Package Product Lists'!$A:$A,0))),"")</f>
        <v>1</v>
      </c>
      <c r="C162" s="155">
        <f>IFERROR(MIN(1,COUNTIFS('Product Order Book'!$A$2:$A$1057,$A162,'Product Order Book'!$E$2:$E$1057,C$3)/INDEX('Clean Package Product Lists'!$C:$C,MATCH(C$3,'Clean Package Product Lists'!$A:$A,0))),"")</f>
        <v>0</v>
      </c>
      <c r="D162" s="155">
        <f>IFERROR(MIN(1,COUNTIFS('Product Order Book'!$A$2:$A$1057,$A162,'Product Order Book'!$E$2:$E$1057,D$3)/INDEX('Clean Package Product Lists'!$C:$C,MATCH(D$3,'Clean Package Product Lists'!$A:$A,0))),"")</f>
        <v>0</v>
      </c>
      <c r="E162" s="155">
        <f>IFERROR(MIN(1,COUNTIFS('Product Order Book'!$A$2:$A$1057,$A162,'Product Order Book'!$E$2:$E$1057,E$3)/INDEX('Clean Package Product Lists'!$C:$C,MATCH(E$3,'Clean Package Product Lists'!$A:$A,0))),"")</f>
        <v>0</v>
      </c>
      <c r="F162" s="155">
        <f>IFERROR(MIN(1,COUNTIFS('Product Order Book'!$A$2:$A$1057,$A162,'Product Order Book'!$E$2:$E$1057,F$3)/INDEX('Clean Package Product Lists'!$C:$C,MATCH(F$3,'Clean Package Product Lists'!$A:$A,0))),"")</f>
        <v>0</v>
      </c>
      <c r="G162" s="155">
        <f>IFERROR(MIN(1,COUNTIFS('Product Order Book'!$A$2:$A$1057,$A162,'Product Order Book'!$E$2:$E$1057,G$3)/INDEX('Clean Package Product Lists'!$C:$C,MATCH(G$3,'Clean Package Product Lists'!$A:$A,0))),"")</f>
        <v>0</v>
      </c>
      <c r="H162" s="155">
        <f>IFERROR(MIN(1,COUNTIFS('Product Order Book'!$A$2:$A$1057,$A162,'Product Order Book'!$E$2:$E$1057,H$3)/INDEX('Clean Package Product Lists'!$C:$C,MATCH(H$3,'Clean Package Product Lists'!$A:$A,0))),"")</f>
        <v>0.25</v>
      </c>
      <c r="I162" s="155">
        <f>IFERROR(MIN(1,COUNTIFS('Product Order Book'!$A$2:$A$1057,$A162,'Product Order Book'!$E$2:$E$1057,I$3)/INDEX('Clean Package Product Lists'!$C:$C,MATCH(I$3,'Clean Package Product Lists'!$A:$A,0))),"")</f>
        <v>0</v>
      </c>
      <c r="J162" s="155">
        <f>IFERROR(MIN(1,COUNTIFS('Product Order Book'!$A$2:$A$1057,$A162,'Product Order Book'!$E$2:$E$1057,J$3)/INDEX('Clean Package Product Lists'!$C:$C,MATCH(J$3,'Clean Package Product Lists'!$A:$A,0))),"")</f>
        <v>0</v>
      </c>
      <c r="K162" s="155">
        <f>IFERROR(MIN(1,COUNTIFS('Product Order Book'!$A$2:$A$1057,$A162,'Product Order Book'!$E$2:$E$1057,K$3)/INDEX('Clean Package Product Lists'!$C:$C,MATCH(K$3,'Clean Package Product Lists'!$A:$A,0))),"")</f>
        <v>0</v>
      </c>
      <c r="L162" s="154"/>
      <c r="M162" s="156" t="str">
        <f>IF(COUNTIFS('Product Order Book'!$A:$A,$A162,'Product Order Book'!$E:$E,M$3)&gt;0,"✓ Takes",IF(IFERROR(VLOOKUP($A162,'Whitespace Analysis'!$A:$AH,12,0),0)=1,"◎ Should","– N/A"))</f>
        <v>✓ Takes</v>
      </c>
      <c r="N162" s="156" t="str">
        <f>IF(COUNTIFS('Product Order Book'!$A:$A,$A162,'Product Order Book'!$E:$E,N$3)&gt;0,"✓ Takes",IF(IFERROR(VLOOKUP($A162,'Whitespace Analysis'!$A:$AH,20,0),0)=1,"◎ Should","– N/A"))</f>
        <v>– N/A</v>
      </c>
      <c r="O162" s="156" t="str">
        <f>IF(COUNTIFS('Product Order Book'!$A:$A,$A162,'Product Order Book'!$E:$E,O$3)&gt;0,"✓ Takes",IF(IFERROR(VLOOKUP($A162,'Whitespace Analysis'!$A:$AH,22,0),0)=1,"◎ Should","– N/A"))</f>
        <v>– N/A</v>
      </c>
      <c r="P162" s="156" t="str">
        <f>IF(COUNTIFS('Product Order Book'!$A:$A,$A162,'Product Order Book'!$E:$E,P$3)&gt;0,"✓ Takes",IF(IFERROR(VLOOKUP($A162,'Whitespace Analysis'!$A:$AH,24,0),0)=1,"◎ Should","– N/A"))</f>
        <v>– N/A</v>
      </c>
      <c r="Q162" s="156" t="str">
        <f>IF(COUNTIFS('Product Order Book'!$A:$A,$A162,'Product Order Book'!$E:$E,Q$3)&gt;0,"✓ Takes",IF(IFERROR(VLOOKUP($A162,'Whitespace Analysis'!$A:$AH,26,0),0)=1,"◎ Should","– N/A"))</f>
        <v>– N/A</v>
      </c>
      <c r="R162" s="156" t="str">
        <f>IF(COUNTIFS('Product Order Book'!$A:$A,$A162,'Product Order Book'!$E:$E,R$3)&gt;0,"✓ Takes",IF(IFERROR(VLOOKUP($A162,'Whitespace Analysis'!$A:$AH,16,0),0)=1,"◎ Should","– N/A"))</f>
        <v>– N/A</v>
      </c>
      <c r="S162" s="156" t="str">
        <f>IF(COUNTIFS('Product Order Book'!$A:$A,$A162,'Product Order Book'!$E:$E,S$3)&gt;0,"✓ Takes",IF(IFERROR(VLOOKUP($A162,'Whitespace Analysis'!$A:$AH,18,0),0)=1,"◎ Should","– N/A"))</f>
        <v>✓ Takes</v>
      </c>
      <c r="T162" s="156" t="str">
        <f>IF(COUNTIFS('Product Order Book'!$A:$A,$A162,'Product Order Book'!$E:$E,T$3)&gt;0,"✓ Takes",IF(IFERROR(VLOOKUP($A162,'Whitespace Analysis'!$A:$AH,28,0),0)=1,"◎ Should","– N/A"))</f>
        <v>– N/A</v>
      </c>
      <c r="U162" s="156" t="str">
        <f>IF(COUNTIFS('Product Order Book'!$A:$A,$A162,'Product Order Book'!$E:$E,U$3)&gt;0,"✓ Takes",IF(IFERROR(VLOOKUP($A162,'Whitespace Analysis'!$A:$AH,30,0),0)=1,"◎ Should","– N/A"))</f>
        <v>– N/A</v>
      </c>
      <c r="V162" s="156" t="str">
        <f>IF(COUNTIFS('Product Order Book'!$A:$A,$A162,'Product Order Book'!$E:$E,V$3)&gt;0,"✓ Takes",IF(IFERROR(VLOOKUP($A162,'Whitespace Analysis'!$A:$AH,14,0),0)=1,"◎ Should","– N/A"))</f>
        <v>– N/A</v>
      </c>
    </row>
    <row r="163" spans="1:22" ht="15" customHeight="1">
      <c r="A163" s="154" t="str">
        <v>Slaughter and May Limited</v>
      </c>
      <c r="B163" s="155">
        <f>IFERROR(MIN(1,COUNTIFS('Product Order Book'!$A$2:$A$1057,$A163,'Product Order Book'!$E$2:$E$1057,B$3)/INDEX('Clean Package Product Lists'!$C:$C,MATCH(B$3,'Clean Package Product Lists'!$A:$A,0))),"")</f>
        <v>1</v>
      </c>
      <c r="C163" s="155">
        <f>IFERROR(MIN(1,COUNTIFS('Product Order Book'!$A$2:$A$1057,$A163,'Product Order Book'!$E$2:$E$1057,C$3)/INDEX('Clean Package Product Lists'!$C:$C,MATCH(C$3,'Clean Package Product Lists'!$A:$A,0))),"")</f>
        <v>0</v>
      </c>
      <c r="D163" s="155">
        <f>IFERROR(MIN(1,COUNTIFS('Product Order Book'!$A$2:$A$1057,$A163,'Product Order Book'!$E$2:$E$1057,D$3)/INDEX('Clean Package Product Lists'!$C:$C,MATCH(D$3,'Clean Package Product Lists'!$A:$A,0))),"")</f>
        <v>0</v>
      </c>
      <c r="E163" s="155">
        <f>IFERROR(MIN(1,COUNTIFS('Product Order Book'!$A$2:$A$1057,$A163,'Product Order Book'!$E$2:$E$1057,E$3)/INDEX('Clean Package Product Lists'!$C:$C,MATCH(E$3,'Clean Package Product Lists'!$A:$A,0))),"")</f>
        <v>0</v>
      </c>
      <c r="F163" s="155">
        <f>IFERROR(MIN(1,COUNTIFS('Product Order Book'!$A$2:$A$1057,$A163,'Product Order Book'!$E$2:$E$1057,F$3)/INDEX('Clean Package Product Lists'!$C:$C,MATCH(F$3,'Clean Package Product Lists'!$A:$A,0))),"")</f>
        <v>0</v>
      </c>
      <c r="G163" s="155">
        <f>IFERROR(MIN(1,COUNTIFS('Product Order Book'!$A$2:$A$1057,$A163,'Product Order Book'!$E$2:$E$1057,G$3)/INDEX('Clean Package Product Lists'!$C:$C,MATCH(G$3,'Clean Package Product Lists'!$A:$A,0))),"")</f>
        <v>0</v>
      </c>
      <c r="H163" s="155">
        <f>IFERROR(MIN(1,COUNTIFS('Product Order Book'!$A$2:$A$1057,$A163,'Product Order Book'!$E$2:$E$1057,H$3)/INDEX('Clean Package Product Lists'!$C:$C,MATCH(H$3,'Clean Package Product Lists'!$A:$A,0))),"")</f>
        <v>0</v>
      </c>
      <c r="I163" s="155">
        <f>IFERROR(MIN(1,COUNTIFS('Product Order Book'!$A$2:$A$1057,$A163,'Product Order Book'!$E$2:$E$1057,I$3)/INDEX('Clean Package Product Lists'!$C:$C,MATCH(I$3,'Clean Package Product Lists'!$A:$A,0))),"")</f>
        <v>0</v>
      </c>
      <c r="J163" s="155">
        <f>IFERROR(MIN(1,COUNTIFS('Product Order Book'!$A$2:$A$1057,$A163,'Product Order Book'!$E$2:$E$1057,J$3)/INDEX('Clean Package Product Lists'!$C:$C,MATCH(J$3,'Clean Package Product Lists'!$A:$A,0))),"")</f>
        <v>0</v>
      </c>
      <c r="K163" s="155">
        <f>IFERROR(MIN(1,COUNTIFS('Product Order Book'!$A$2:$A$1057,$A163,'Product Order Book'!$E$2:$E$1057,K$3)/INDEX('Clean Package Product Lists'!$C:$C,MATCH(K$3,'Clean Package Product Lists'!$A:$A,0))),"")</f>
        <v>0</v>
      </c>
      <c r="L163" s="154"/>
      <c r="M163" s="156" t="str">
        <f>IF(COUNTIFS('Product Order Book'!$A:$A,$A163,'Product Order Book'!$E:$E,M$3)&gt;0,"✓ Takes",IF(IFERROR(VLOOKUP($A163,'Whitespace Analysis'!$A:$AH,12,0),0)=1,"◎ Should","– N/A"))</f>
        <v>✓ Takes</v>
      </c>
      <c r="N163" s="156" t="str">
        <f>IF(COUNTIFS('Product Order Book'!$A:$A,$A163,'Product Order Book'!$E:$E,N$3)&gt;0,"✓ Takes",IF(IFERROR(VLOOKUP($A163,'Whitespace Analysis'!$A:$AH,20,0),0)=1,"◎ Should","– N/A"))</f>
        <v>– N/A</v>
      </c>
      <c r="O163" s="156" t="str">
        <f>IF(COUNTIFS('Product Order Book'!$A:$A,$A163,'Product Order Book'!$E:$E,O$3)&gt;0,"✓ Takes",IF(IFERROR(VLOOKUP($A163,'Whitespace Analysis'!$A:$AH,22,0),0)=1,"◎ Should","– N/A"))</f>
        <v>– N/A</v>
      </c>
      <c r="P163" s="156" t="str">
        <f>IF(COUNTIFS('Product Order Book'!$A:$A,$A163,'Product Order Book'!$E:$E,P$3)&gt;0,"✓ Takes",IF(IFERROR(VLOOKUP($A163,'Whitespace Analysis'!$A:$AH,24,0),0)=1,"◎ Should","– N/A"))</f>
        <v>– N/A</v>
      </c>
      <c r="Q163" s="156" t="str">
        <f>IF(COUNTIFS('Product Order Book'!$A:$A,$A163,'Product Order Book'!$E:$E,Q$3)&gt;0,"✓ Takes",IF(IFERROR(VLOOKUP($A163,'Whitespace Analysis'!$A:$AH,26,0),0)=1,"◎ Should","– N/A"))</f>
        <v>– N/A</v>
      </c>
      <c r="R163" s="156" t="str">
        <f>IF(COUNTIFS('Product Order Book'!$A:$A,$A163,'Product Order Book'!$E:$E,R$3)&gt;0,"✓ Takes",IF(IFERROR(VLOOKUP($A163,'Whitespace Analysis'!$A:$AH,16,0),0)=1,"◎ Should","– N/A"))</f>
        <v>– N/A</v>
      </c>
      <c r="S163" s="156" t="str">
        <f>IF(COUNTIFS('Product Order Book'!$A:$A,$A163,'Product Order Book'!$E:$E,S$3)&gt;0,"✓ Takes",IF(IFERROR(VLOOKUP($A163,'Whitespace Analysis'!$A:$AH,18,0),0)=1,"◎ Should","– N/A"))</f>
        <v>– N/A</v>
      </c>
      <c r="T163" s="156" t="str">
        <f>IF(COUNTIFS('Product Order Book'!$A:$A,$A163,'Product Order Book'!$E:$E,T$3)&gt;0,"✓ Takes",IF(IFERROR(VLOOKUP($A163,'Whitespace Analysis'!$A:$AH,28,0),0)=1,"◎ Should","– N/A"))</f>
        <v>– N/A</v>
      </c>
      <c r="U163" s="156" t="str">
        <f>IF(COUNTIFS('Product Order Book'!$A:$A,$A163,'Product Order Book'!$E:$E,U$3)&gt;0,"✓ Takes",IF(IFERROR(VLOOKUP($A163,'Whitespace Analysis'!$A:$AH,30,0),0)=1,"◎ Should","– N/A"))</f>
        <v>– N/A</v>
      </c>
      <c r="V163" s="156" t="str">
        <f>IF(COUNTIFS('Product Order Book'!$A:$A,$A163,'Product Order Book'!$E:$E,V$3)&gt;0,"✓ Takes",IF(IFERROR(VLOOKUP($A163,'Whitespace Analysis'!$A:$AH,14,0),0)=1,"◎ Should","– N/A"))</f>
        <v>– N/A</v>
      </c>
    </row>
    <row r="164" spans="1:22" ht="15" customHeight="1">
      <c r="A164" s="154" t="str">
        <v>Smart DCC Limited</v>
      </c>
      <c r="B164" s="155">
        <f>IFERROR(MIN(1,COUNTIFS('Product Order Book'!$A$2:$A$1057,$A164,'Product Order Book'!$E$2:$E$1057,B$3)/INDEX('Clean Package Product Lists'!$C:$C,MATCH(B$3,'Clean Package Product Lists'!$A:$A,0))),"")</f>
        <v>1</v>
      </c>
      <c r="C164" s="155">
        <f>IFERROR(MIN(1,COUNTIFS('Product Order Book'!$A$2:$A$1057,$A164,'Product Order Book'!$E$2:$E$1057,C$3)/INDEX('Clean Package Product Lists'!$C:$C,MATCH(C$3,'Clean Package Product Lists'!$A:$A,0))),"")</f>
        <v>0</v>
      </c>
      <c r="D164" s="155">
        <f>IFERROR(MIN(1,COUNTIFS('Product Order Book'!$A$2:$A$1057,$A164,'Product Order Book'!$E$2:$E$1057,D$3)/INDEX('Clean Package Product Lists'!$C:$C,MATCH(D$3,'Clean Package Product Lists'!$A:$A,0))),"")</f>
        <v>0</v>
      </c>
      <c r="E164" s="155">
        <f>IFERROR(MIN(1,COUNTIFS('Product Order Book'!$A$2:$A$1057,$A164,'Product Order Book'!$E$2:$E$1057,E$3)/INDEX('Clean Package Product Lists'!$C:$C,MATCH(E$3,'Clean Package Product Lists'!$A:$A,0))),"")</f>
        <v>0</v>
      </c>
      <c r="F164" s="155">
        <f>IFERROR(MIN(1,COUNTIFS('Product Order Book'!$A$2:$A$1057,$A164,'Product Order Book'!$E$2:$E$1057,F$3)/INDEX('Clean Package Product Lists'!$C:$C,MATCH(F$3,'Clean Package Product Lists'!$A:$A,0))),"")</f>
        <v>0</v>
      </c>
      <c r="G164" s="155">
        <f>IFERROR(MIN(1,COUNTIFS('Product Order Book'!$A$2:$A$1057,$A164,'Product Order Book'!$E$2:$E$1057,G$3)/INDEX('Clean Package Product Lists'!$C:$C,MATCH(G$3,'Clean Package Product Lists'!$A:$A,0))),"")</f>
        <v>0</v>
      </c>
      <c r="H164" s="155">
        <f>IFERROR(MIN(1,COUNTIFS('Product Order Book'!$A$2:$A$1057,$A164,'Product Order Book'!$E$2:$E$1057,H$3)/INDEX('Clean Package Product Lists'!$C:$C,MATCH(H$3,'Clean Package Product Lists'!$A:$A,0))),"")</f>
        <v>0</v>
      </c>
      <c r="I164" s="155">
        <f>IFERROR(MIN(1,COUNTIFS('Product Order Book'!$A$2:$A$1057,$A164,'Product Order Book'!$E$2:$E$1057,I$3)/INDEX('Clean Package Product Lists'!$C:$C,MATCH(I$3,'Clean Package Product Lists'!$A:$A,0))),"")</f>
        <v>0</v>
      </c>
      <c r="J164" s="155">
        <f>IFERROR(MIN(1,COUNTIFS('Product Order Book'!$A$2:$A$1057,$A164,'Product Order Book'!$E$2:$E$1057,J$3)/INDEX('Clean Package Product Lists'!$C:$C,MATCH(J$3,'Clean Package Product Lists'!$A:$A,0))),"")</f>
        <v>0</v>
      </c>
      <c r="K164" s="155">
        <f>IFERROR(MIN(1,COUNTIFS('Product Order Book'!$A$2:$A$1057,$A164,'Product Order Book'!$E$2:$E$1057,K$3)/INDEX('Clean Package Product Lists'!$C:$C,MATCH(K$3,'Clean Package Product Lists'!$A:$A,0))),"")</f>
        <v>0</v>
      </c>
      <c r="L164" s="154"/>
      <c r="M164" s="156" t="str">
        <f>IF(COUNTIFS('Product Order Book'!$A:$A,$A164,'Product Order Book'!$E:$E,M$3)&gt;0,"✓ Takes",IF(IFERROR(VLOOKUP($A164,'Whitespace Analysis'!$A:$AH,12,0),0)=1,"◎ Should","– N/A"))</f>
        <v>✓ Takes</v>
      </c>
      <c r="N164" s="156" t="str">
        <f>IF(COUNTIFS('Product Order Book'!$A:$A,$A164,'Product Order Book'!$E:$E,N$3)&gt;0,"✓ Takes",IF(IFERROR(VLOOKUP($A164,'Whitespace Analysis'!$A:$AH,20,0),0)=1,"◎ Should","– N/A"))</f>
        <v>– N/A</v>
      </c>
      <c r="O164" s="156" t="str">
        <f>IF(COUNTIFS('Product Order Book'!$A:$A,$A164,'Product Order Book'!$E:$E,O$3)&gt;0,"✓ Takes",IF(IFERROR(VLOOKUP($A164,'Whitespace Analysis'!$A:$AH,22,0),0)=1,"◎ Should","– N/A"))</f>
        <v>– N/A</v>
      </c>
      <c r="P164" s="156" t="str">
        <f>IF(COUNTIFS('Product Order Book'!$A:$A,$A164,'Product Order Book'!$E:$E,P$3)&gt;0,"✓ Takes",IF(IFERROR(VLOOKUP($A164,'Whitespace Analysis'!$A:$AH,24,0),0)=1,"◎ Should","– N/A"))</f>
        <v>– N/A</v>
      </c>
      <c r="Q164" s="156" t="str">
        <f>IF(COUNTIFS('Product Order Book'!$A:$A,$A164,'Product Order Book'!$E:$E,Q$3)&gt;0,"✓ Takes",IF(IFERROR(VLOOKUP($A164,'Whitespace Analysis'!$A:$AH,26,0),0)=1,"◎ Should","– N/A"))</f>
        <v>– N/A</v>
      </c>
      <c r="R164" s="156" t="str">
        <f>IF(COUNTIFS('Product Order Book'!$A:$A,$A164,'Product Order Book'!$E:$E,R$3)&gt;0,"✓ Takes",IF(IFERROR(VLOOKUP($A164,'Whitespace Analysis'!$A:$AH,16,0),0)=1,"◎ Should","– N/A"))</f>
        <v>– N/A</v>
      </c>
      <c r="S164" s="156" t="str">
        <f>IF(COUNTIFS('Product Order Book'!$A:$A,$A164,'Product Order Book'!$E:$E,S$3)&gt;0,"✓ Takes",IF(IFERROR(VLOOKUP($A164,'Whitespace Analysis'!$A:$AH,18,0),0)=1,"◎ Should","– N/A"))</f>
        <v>– N/A</v>
      </c>
      <c r="T164" s="156" t="str">
        <f>IF(COUNTIFS('Product Order Book'!$A:$A,$A164,'Product Order Book'!$E:$E,T$3)&gt;0,"✓ Takes",IF(IFERROR(VLOOKUP($A164,'Whitespace Analysis'!$A:$AH,28,0),0)=1,"◎ Should","– N/A"))</f>
        <v>– N/A</v>
      </c>
      <c r="U164" s="156" t="str">
        <f>IF(COUNTIFS('Product Order Book'!$A:$A,$A164,'Product Order Book'!$E:$E,U$3)&gt;0,"✓ Takes",IF(IFERROR(VLOOKUP($A164,'Whitespace Analysis'!$A:$AH,30,0),0)=1,"◎ Should","– N/A"))</f>
        <v>– N/A</v>
      </c>
      <c r="V164" s="156" t="str">
        <f>IF(COUNTIFS('Product Order Book'!$A:$A,$A164,'Product Order Book'!$E:$E,V$3)&gt;0,"✓ Takes",IF(IFERROR(VLOOKUP($A164,'Whitespace Analysis'!$A:$AH,14,0),0)=1,"◎ Should","– N/A"))</f>
        <v>◎ Should</v>
      </c>
    </row>
    <row r="165" spans="1:22" ht="15" customHeight="1">
      <c r="A165" s="154" t="str">
        <v>Smart Energy GB</v>
      </c>
      <c r="B165" s="155">
        <f>IFERROR(MIN(1,COUNTIFS('Product Order Book'!$A$2:$A$1057,$A165,'Product Order Book'!$E$2:$E$1057,B$3)/INDEX('Clean Package Product Lists'!$C:$C,MATCH(B$3,'Clean Package Product Lists'!$A:$A,0))),"")</f>
        <v>1</v>
      </c>
      <c r="C165" s="155">
        <f>IFERROR(MIN(1,COUNTIFS('Product Order Book'!$A$2:$A$1057,$A165,'Product Order Book'!$E$2:$E$1057,C$3)/INDEX('Clean Package Product Lists'!$C:$C,MATCH(C$3,'Clean Package Product Lists'!$A:$A,0))),"")</f>
        <v>0</v>
      </c>
      <c r="D165" s="155">
        <f>IFERROR(MIN(1,COUNTIFS('Product Order Book'!$A$2:$A$1057,$A165,'Product Order Book'!$E$2:$E$1057,D$3)/INDEX('Clean Package Product Lists'!$C:$C,MATCH(D$3,'Clean Package Product Lists'!$A:$A,0))),"")</f>
        <v>0</v>
      </c>
      <c r="E165" s="155">
        <f>IFERROR(MIN(1,COUNTIFS('Product Order Book'!$A$2:$A$1057,$A165,'Product Order Book'!$E$2:$E$1057,E$3)/INDEX('Clean Package Product Lists'!$C:$C,MATCH(E$3,'Clean Package Product Lists'!$A:$A,0))),"")</f>
        <v>0</v>
      </c>
      <c r="F165" s="155">
        <f>IFERROR(MIN(1,COUNTIFS('Product Order Book'!$A$2:$A$1057,$A165,'Product Order Book'!$E$2:$E$1057,F$3)/INDEX('Clean Package Product Lists'!$C:$C,MATCH(F$3,'Clean Package Product Lists'!$A:$A,0))),"")</f>
        <v>0</v>
      </c>
      <c r="G165" s="155">
        <f>IFERROR(MIN(1,COUNTIFS('Product Order Book'!$A$2:$A$1057,$A165,'Product Order Book'!$E$2:$E$1057,G$3)/INDEX('Clean Package Product Lists'!$C:$C,MATCH(G$3,'Clean Package Product Lists'!$A:$A,0))),"")</f>
        <v>0</v>
      </c>
      <c r="H165" s="155">
        <f>IFERROR(MIN(1,COUNTIFS('Product Order Book'!$A$2:$A$1057,$A165,'Product Order Book'!$E$2:$E$1057,H$3)/INDEX('Clean Package Product Lists'!$C:$C,MATCH(H$3,'Clean Package Product Lists'!$A:$A,0))),"")</f>
        <v>0</v>
      </c>
      <c r="I165" s="155">
        <f>IFERROR(MIN(1,COUNTIFS('Product Order Book'!$A$2:$A$1057,$A165,'Product Order Book'!$E$2:$E$1057,I$3)/INDEX('Clean Package Product Lists'!$C:$C,MATCH(I$3,'Clean Package Product Lists'!$A:$A,0))),"")</f>
        <v>0</v>
      </c>
      <c r="J165" s="155">
        <f>IFERROR(MIN(1,COUNTIFS('Product Order Book'!$A$2:$A$1057,$A165,'Product Order Book'!$E$2:$E$1057,J$3)/INDEX('Clean Package Product Lists'!$C:$C,MATCH(J$3,'Clean Package Product Lists'!$A:$A,0))),"")</f>
        <v>0</v>
      </c>
      <c r="K165" s="155">
        <f>IFERROR(MIN(1,COUNTIFS('Product Order Book'!$A$2:$A$1057,$A165,'Product Order Book'!$E$2:$E$1057,K$3)/INDEX('Clean Package Product Lists'!$C:$C,MATCH(K$3,'Clean Package Product Lists'!$A:$A,0))),"")</f>
        <v>0</v>
      </c>
      <c r="L165" s="154"/>
      <c r="M165" s="156" t="str">
        <f>IF(COUNTIFS('Product Order Book'!$A:$A,$A165,'Product Order Book'!$E:$E,M$3)&gt;0,"✓ Takes",IF(IFERROR(VLOOKUP($A165,'Whitespace Analysis'!$A:$AH,12,0),0)=1,"◎ Should","– N/A"))</f>
        <v>✓ Takes</v>
      </c>
      <c r="N165" s="156" t="str">
        <f>IF(COUNTIFS('Product Order Book'!$A:$A,$A165,'Product Order Book'!$E:$E,N$3)&gt;0,"✓ Takes",IF(IFERROR(VLOOKUP($A165,'Whitespace Analysis'!$A:$AH,20,0),0)=1,"◎ Should","– N/A"))</f>
        <v>– N/A</v>
      </c>
      <c r="O165" s="156" t="str">
        <f>IF(COUNTIFS('Product Order Book'!$A:$A,$A165,'Product Order Book'!$E:$E,O$3)&gt;0,"✓ Takes",IF(IFERROR(VLOOKUP($A165,'Whitespace Analysis'!$A:$AH,22,0),0)=1,"◎ Should","– N/A"))</f>
        <v>– N/A</v>
      </c>
      <c r="P165" s="156" t="str">
        <f>IF(COUNTIFS('Product Order Book'!$A:$A,$A165,'Product Order Book'!$E:$E,P$3)&gt;0,"✓ Takes",IF(IFERROR(VLOOKUP($A165,'Whitespace Analysis'!$A:$AH,24,0),0)=1,"◎ Should","– N/A"))</f>
        <v>– N/A</v>
      </c>
      <c r="Q165" s="156" t="str">
        <f>IF(COUNTIFS('Product Order Book'!$A:$A,$A165,'Product Order Book'!$E:$E,Q$3)&gt;0,"✓ Takes",IF(IFERROR(VLOOKUP($A165,'Whitespace Analysis'!$A:$AH,26,0),0)=1,"◎ Should","– N/A"))</f>
        <v>– N/A</v>
      </c>
      <c r="R165" s="156" t="str">
        <f>IF(COUNTIFS('Product Order Book'!$A:$A,$A165,'Product Order Book'!$E:$E,R$3)&gt;0,"✓ Takes",IF(IFERROR(VLOOKUP($A165,'Whitespace Analysis'!$A:$AH,16,0),0)=1,"◎ Should","– N/A"))</f>
        <v>– N/A</v>
      </c>
      <c r="S165" s="156" t="str">
        <f>IF(COUNTIFS('Product Order Book'!$A:$A,$A165,'Product Order Book'!$E:$E,S$3)&gt;0,"✓ Takes",IF(IFERROR(VLOOKUP($A165,'Whitespace Analysis'!$A:$AH,18,0),0)=1,"◎ Should","– N/A"))</f>
        <v>– N/A</v>
      </c>
      <c r="T165" s="156" t="str">
        <f>IF(COUNTIFS('Product Order Book'!$A:$A,$A165,'Product Order Book'!$E:$E,T$3)&gt;0,"✓ Takes",IF(IFERROR(VLOOKUP($A165,'Whitespace Analysis'!$A:$AH,28,0),0)=1,"◎ Should","– N/A"))</f>
        <v>– N/A</v>
      </c>
      <c r="U165" s="156" t="str">
        <f>IF(COUNTIFS('Product Order Book'!$A:$A,$A165,'Product Order Book'!$E:$E,U$3)&gt;0,"✓ Takes",IF(IFERROR(VLOOKUP($A165,'Whitespace Analysis'!$A:$AH,30,0),0)=1,"◎ Should","– N/A"))</f>
        <v>– N/A</v>
      </c>
      <c r="V165" s="156" t="str">
        <f>IF(COUNTIFS('Product Order Book'!$A:$A,$A165,'Product Order Book'!$E:$E,V$3)&gt;0,"✓ Takes",IF(IFERROR(VLOOKUP($A165,'Whitespace Analysis'!$A:$AH,14,0),0)=1,"◎ Should","– N/A"))</f>
        <v>◎ Should</v>
      </c>
    </row>
    <row r="166" spans="1:22" ht="15" customHeight="1">
      <c r="A166" s="154" t="str">
        <v>SmartestEnergy Limited</v>
      </c>
      <c r="B166" s="155">
        <f>IFERROR(MIN(1,COUNTIFS('Product Order Book'!$A$2:$A$1057,$A166,'Product Order Book'!$E$2:$E$1057,B$3)/INDEX('Clean Package Product Lists'!$C:$C,MATCH(B$3,'Clean Package Product Lists'!$A:$A,0))),"")</f>
        <v>1</v>
      </c>
      <c r="C166" s="155">
        <f>IFERROR(MIN(1,COUNTIFS('Product Order Book'!$A$2:$A$1057,$A166,'Product Order Book'!$E$2:$E$1057,C$3)/INDEX('Clean Package Product Lists'!$C:$C,MATCH(C$3,'Clean Package Product Lists'!$A:$A,0))),"")</f>
        <v>1</v>
      </c>
      <c r="D166" s="155">
        <f>IFERROR(MIN(1,COUNTIFS('Product Order Book'!$A$2:$A$1057,$A166,'Product Order Book'!$E$2:$E$1057,D$3)/INDEX('Clean Package Product Lists'!$C:$C,MATCH(D$3,'Clean Package Product Lists'!$A:$A,0))),"")</f>
        <v>0</v>
      </c>
      <c r="E166" s="155">
        <f>IFERROR(MIN(1,COUNTIFS('Product Order Book'!$A$2:$A$1057,$A166,'Product Order Book'!$E$2:$E$1057,E$3)/INDEX('Clean Package Product Lists'!$C:$C,MATCH(E$3,'Clean Package Product Lists'!$A:$A,0))),"")</f>
        <v>0</v>
      </c>
      <c r="F166" s="155">
        <f>IFERROR(MIN(1,COUNTIFS('Product Order Book'!$A$2:$A$1057,$A166,'Product Order Book'!$E$2:$E$1057,F$3)/INDEX('Clean Package Product Lists'!$C:$C,MATCH(F$3,'Clean Package Product Lists'!$A:$A,0))),"")</f>
        <v>0.66666666666666663</v>
      </c>
      <c r="G166" s="155">
        <f>IFERROR(MIN(1,COUNTIFS('Product Order Book'!$A$2:$A$1057,$A166,'Product Order Book'!$E$2:$E$1057,G$3)/INDEX('Clean Package Product Lists'!$C:$C,MATCH(G$3,'Clean Package Product Lists'!$A:$A,0))),"")</f>
        <v>0.63636363636363635</v>
      </c>
      <c r="H166" s="155">
        <f>IFERROR(MIN(1,COUNTIFS('Product Order Book'!$A$2:$A$1057,$A166,'Product Order Book'!$E$2:$E$1057,H$3)/INDEX('Clean Package Product Lists'!$C:$C,MATCH(H$3,'Clean Package Product Lists'!$A:$A,0))),"")</f>
        <v>1</v>
      </c>
      <c r="I166" s="155">
        <f>IFERROR(MIN(1,COUNTIFS('Product Order Book'!$A$2:$A$1057,$A166,'Product Order Book'!$E$2:$E$1057,I$3)/INDEX('Clean Package Product Lists'!$C:$C,MATCH(I$3,'Clean Package Product Lists'!$A:$A,0))),"")</f>
        <v>0</v>
      </c>
      <c r="J166" s="155">
        <f>IFERROR(MIN(1,COUNTIFS('Product Order Book'!$A$2:$A$1057,$A166,'Product Order Book'!$E$2:$E$1057,J$3)/INDEX('Clean Package Product Lists'!$C:$C,MATCH(J$3,'Clean Package Product Lists'!$A:$A,0))),"")</f>
        <v>0</v>
      </c>
      <c r="K166" s="155">
        <f>IFERROR(MIN(1,COUNTIFS('Product Order Book'!$A$2:$A$1057,$A166,'Product Order Book'!$E$2:$E$1057,K$3)/INDEX('Clean Package Product Lists'!$C:$C,MATCH(K$3,'Clean Package Product Lists'!$A:$A,0))),"")</f>
        <v>0</v>
      </c>
      <c r="L166" s="154"/>
      <c r="M166" s="156" t="str">
        <f>IF(COUNTIFS('Product Order Book'!$A:$A,$A166,'Product Order Book'!$E:$E,M$3)&gt;0,"✓ Takes",IF(IFERROR(VLOOKUP($A166,'Whitespace Analysis'!$A:$AH,12,0),0)=1,"◎ Should","– N/A"))</f>
        <v>✓ Takes</v>
      </c>
      <c r="N166" s="156" t="str">
        <f>IF(COUNTIFS('Product Order Book'!$A:$A,$A166,'Product Order Book'!$E:$E,N$3)&gt;0,"✓ Takes",IF(IFERROR(VLOOKUP($A166,'Whitespace Analysis'!$A:$AH,20,0),0)=1,"◎ Should","– N/A"))</f>
        <v>✓ Takes</v>
      </c>
      <c r="O166" s="156" t="str">
        <f>IF(COUNTIFS('Product Order Book'!$A:$A,$A166,'Product Order Book'!$E:$E,O$3)&gt;0,"✓ Takes",IF(IFERROR(VLOOKUP($A166,'Whitespace Analysis'!$A:$AH,22,0),0)=1,"◎ Should","– N/A"))</f>
        <v>– N/A</v>
      </c>
      <c r="P166" s="156" t="str">
        <f>IF(COUNTIFS('Product Order Book'!$A:$A,$A166,'Product Order Book'!$E:$E,P$3)&gt;0,"✓ Takes",IF(IFERROR(VLOOKUP($A166,'Whitespace Analysis'!$A:$AH,24,0),0)=1,"◎ Should","– N/A"))</f>
        <v>– N/A</v>
      </c>
      <c r="Q166" s="156" t="str">
        <f>IF(COUNTIFS('Product Order Book'!$A:$A,$A166,'Product Order Book'!$E:$E,Q$3)&gt;0,"✓ Takes",IF(IFERROR(VLOOKUP($A166,'Whitespace Analysis'!$A:$AH,26,0),0)=1,"◎ Should","– N/A"))</f>
        <v>✓ Takes</v>
      </c>
      <c r="R166" s="156" t="str">
        <f>IF(COUNTIFS('Product Order Book'!$A:$A,$A166,'Product Order Book'!$E:$E,R$3)&gt;0,"✓ Takes",IF(IFERROR(VLOOKUP($A166,'Whitespace Analysis'!$A:$AH,16,0),0)=1,"◎ Should","– N/A"))</f>
        <v>✓ Takes</v>
      </c>
      <c r="S166" s="156" t="str">
        <f>IF(COUNTIFS('Product Order Book'!$A:$A,$A166,'Product Order Book'!$E:$E,S$3)&gt;0,"✓ Takes",IF(IFERROR(VLOOKUP($A166,'Whitespace Analysis'!$A:$AH,18,0),0)=1,"◎ Should","– N/A"))</f>
        <v>✓ Takes</v>
      </c>
      <c r="T166" s="156" t="str">
        <f>IF(COUNTIFS('Product Order Book'!$A:$A,$A166,'Product Order Book'!$E:$E,T$3)&gt;0,"✓ Takes",IF(IFERROR(VLOOKUP($A166,'Whitespace Analysis'!$A:$AH,28,0),0)=1,"◎ Should","– N/A"))</f>
        <v>– N/A</v>
      </c>
      <c r="U166" s="156" t="str">
        <f>IF(COUNTIFS('Product Order Book'!$A:$A,$A166,'Product Order Book'!$E:$E,U$3)&gt;0,"✓ Takes",IF(IFERROR(VLOOKUP($A166,'Whitespace Analysis'!$A:$AH,30,0),0)=1,"◎ Should","– N/A"))</f>
        <v>– N/A</v>
      </c>
      <c r="V166" s="156" t="str">
        <f>IF(COUNTIFS('Product Order Book'!$A:$A,$A166,'Product Order Book'!$E:$E,V$3)&gt;0,"✓ Takes",IF(IFERROR(VLOOKUP($A166,'Whitespace Analysis'!$A:$AH,14,0),0)=1,"◎ Should","– N/A"))</f>
        <v>– N/A</v>
      </c>
    </row>
    <row r="167" spans="1:22" ht="15" customHeight="1">
      <c r="A167" s="154" t="str">
        <v>SMS Energy Services Ltd</v>
      </c>
      <c r="B167" s="155">
        <f>IFERROR(MIN(1,COUNTIFS('Product Order Book'!$A$2:$A$1057,$A167,'Product Order Book'!$E$2:$E$1057,B$3)/INDEX('Clean Package Product Lists'!$C:$C,MATCH(B$3,'Clean Package Product Lists'!$A:$A,0))),"")</f>
        <v>1</v>
      </c>
      <c r="C167" s="155">
        <f>IFERROR(MIN(1,COUNTIFS('Product Order Book'!$A$2:$A$1057,$A167,'Product Order Book'!$E$2:$E$1057,C$3)/INDEX('Clean Package Product Lists'!$C:$C,MATCH(C$3,'Clean Package Product Lists'!$A:$A,0))),"")</f>
        <v>0</v>
      </c>
      <c r="D167" s="155">
        <f>IFERROR(MIN(1,COUNTIFS('Product Order Book'!$A$2:$A$1057,$A167,'Product Order Book'!$E$2:$E$1057,D$3)/INDEX('Clean Package Product Lists'!$C:$C,MATCH(D$3,'Clean Package Product Lists'!$A:$A,0))),"")</f>
        <v>0</v>
      </c>
      <c r="E167" s="155">
        <f>IFERROR(MIN(1,COUNTIFS('Product Order Book'!$A$2:$A$1057,$A167,'Product Order Book'!$E$2:$E$1057,E$3)/INDEX('Clean Package Product Lists'!$C:$C,MATCH(E$3,'Clean Package Product Lists'!$A:$A,0))),"")</f>
        <v>0</v>
      </c>
      <c r="F167" s="155">
        <f>IFERROR(MIN(1,COUNTIFS('Product Order Book'!$A$2:$A$1057,$A167,'Product Order Book'!$E$2:$E$1057,F$3)/INDEX('Clean Package Product Lists'!$C:$C,MATCH(F$3,'Clean Package Product Lists'!$A:$A,0))),"")</f>
        <v>0</v>
      </c>
      <c r="G167" s="155">
        <f>IFERROR(MIN(1,COUNTIFS('Product Order Book'!$A$2:$A$1057,$A167,'Product Order Book'!$E$2:$E$1057,G$3)/INDEX('Clean Package Product Lists'!$C:$C,MATCH(G$3,'Clean Package Product Lists'!$A:$A,0))),"")</f>
        <v>0.63636363636363635</v>
      </c>
      <c r="H167" s="155">
        <f>IFERROR(MIN(1,COUNTIFS('Product Order Book'!$A$2:$A$1057,$A167,'Product Order Book'!$E$2:$E$1057,H$3)/INDEX('Clean Package Product Lists'!$C:$C,MATCH(H$3,'Clean Package Product Lists'!$A:$A,0))),"")</f>
        <v>0.25</v>
      </c>
      <c r="I167" s="155">
        <f>IFERROR(MIN(1,COUNTIFS('Product Order Book'!$A$2:$A$1057,$A167,'Product Order Book'!$E$2:$E$1057,I$3)/INDEX('Clean Package Product Lists'!$C:$C,MATCH(I$3,'Clean Package Product Lists'!$A:$A,0))),"")</f>
        <v>0</v>
      </c>
      <c r="J167" s="155">
        <f>IFERROR(MIN(1,COUNTIFS('Product Order Book'!$A$2:$A$1057,$A167,'Product Order Book'!$E$2:$E$1057,J$3)/INDEX('Clean Package Product Lists'!$C:$C,MATCH(J$3,'Clean Package Product Lists'!$A:$A,0))),"")</f>
        <v>0</v>
      </c>
      <c r="K167" s="155">
        <f>IFERROR(MIN(1,COUNTIFS('Product Order Book'!$A$2:$A$1057,$A167,'Product Order Book'!$E$2:$E$1057,K$3)/INDEX('Clean Package Product Lists'!$C:$C,MATCH(K$3,'Clean Package Product Lists'!$A:$A,0))),"")</f>
        <v>0</v>
      </c>
      <c r="L167" s="154"/>
      <c r="M167" s="156" t="str">
        <f>IF(COUNTIFS('Product Order Book'!$A:$A,$A167,'Product Order Book'!$E:$E,M$3)&gt;0,"✓ Takes",IF(IFERROR(VLOOKUP($A167,'Whitespace Analysis'!$A:$AH,12,0),0)=1,"◎ Should","– N/A"))</f>
        <v>✓ Takes</v>
      </c>
      <c r="N167" s="156" t="str">
        <f>IF(COUNTIFS('Product Order Book'!$A:$A,$A167,'Product Order Book'!$E:$E,N$3)&gt;0,"✓ Takes",IF(IFERROR(VLOOKUP($A167,'Whitespace Analysis'!$A:$AH,20,0),0)=1,"◎ Should","– N/A"))</f>
        <v>– N/A</v>
      </c>
      <c r="O167" s="156" t="str">
        <f>IF(COUNTIFS('Product Order Book'!$A:$A,$A167,'Product Order Book'!$E:$E,O$3)&gt;0,"✓ Takes",IF(IFERROR(VLOOKUP($A167,'Whitespace Analysis'!$A:$AH,22,0),0)=1,"◎ Should","– N/A"))</f>
        <v>– N/A</v>
      </c>
      <c r="P167" s="156" t="str">
        <f>IF(COUNTIFS('Product Order Book'!$A:$A,$A167,'Product Order Book'!$E:$E,P$3)&gt;0,"✓ Takes",IF(IFERROR(VLOOKUP($A167,'Whitespace Analysis'!$A:$AH,24,0),0)=1,"◎ Should","– N/A"))</f>
        <v>◎ Should</v>
      </c>
      <c r="Q167" s="156" t="str">
        <f>IF(COUNTIFS('Product Order Book'!$A:$A,$A167,'Product Order Book'!$E:$E,Q$3)&gt;0,"✓ Takes",IF(IFERROR(VLOOKUP($A167,'Whitespace Analysis'!$A:$AH,26,0),0)=1,"◎ Should","– N/A"))</f>
        <v>◎ Should</v>
      </c>
      <c r="R167" s="156" t="str">
        <f>IF(COUNTIFS('Product Order Book'!$A:$A,$A167,'Product Order Book'!$E:$E,R$3)&gt;0,"✓ Takes",IF(IFERROR(VLOOKUP($A167,'Whitespace Analysis'!$A:$AH,16,0),0)=1,"◎ Should","– N/A"))</f>
        <v>✓ Takes</v>
      </c>
      <c r="S167" s="156" t="str">
        <f>IF(COUNTIFS('Product Order Book'!$A:$A,$A167,'Product Order Book'!$E:$E,S$3)&gt;0,"✓ Takes",IF(IFERROR(VLOOKUP($A167,'Whitespace Analysis'!$A:$AH,18,0),0)=1,"◎ Should","– N/A"))</f>
        <v>✓ Takes</v>
      </c>
      <c r="T167" s="156" t="str">
        <f>IF(COUNTIFS('Product Order Book'!$A:$A,$A167,'Product Order Book'!$E:$E,T$3)&gt;0,"✓ Takes",IF(IFERROR(VLOOKUP($A167,'Whitespace Analysis'!$A:$AH,28,0),0)=1,"◎ Should","– N/A"))</f>
        <v>– N/A</v>
      </c>
      <c r="U167" s="156" t="str">
        <f>IF(COUNTIFS('Product Order Book'!$A:$A,$A167,'Product Order Book'!$E:$E,U$3)&gt;0,"✓ Takes",IF(IFERROR(VLOOKUP($A167,'Whitespace Analysis'!$A:$AH,30,0),0)=1,"◎ Should","– N/A"))</f>
        <v>– N/A</v>
      </c>
      <c r="V167" s="156" t="str">
        <f>IF(COUNTIFS('Product Order Book'!$A:$A,$A167,'Product Order Book'!$E:$E,V$3)&gt;0,"✓ Takes",IF(IFERROR(VLOOKUP($A167,'Whitespace Analysis'!$A:$AH,14,0),0)=1,"◎ Should","– N/A"))</f>
        <v>◎ Should</v>
      </c>
    </row>
    <row r="168" spans="1:22" ht="15" customHeight="1">
      <c r="A168" s="154" t="str">
        <v>SNRG Limited</v>
      </c>
      <c r="B168" s="155">
        <f>IFERROR(MIN(1,COUNTIFS('Product Order Book'!$A$2:$A$1057,$A168,'Product Order Book'!$E$2:$E$1057,B$3)/INDEX('Clean Package Product Lists'!$C:$C,MATCH(B$3,'Clean Package Product Lists'!$A:$A,0))),"")</f>
        <v>0</v>
      </c>
      <c r="C168" s="155">
        <f>IFERROR(MIN(1,COUNTIFS('Product Order Book'!$A$2:$A$1057,$A168,'Product Order Book'!$E$2:$E$1057,C$3)/INDEX('Clean Package Product Lists'!$C:$C,MATCH(C$3,'Clean Package Product Lists'!$A:$A,0))),"")</f>
        <v>0</v>
      </c>
      <c r="D168" s="155">
        <f>IFERROR(MIN(1,COUNTIFS('Product Order Book'!$A$2:$A$1057,$A168,'Product Order Book'!$E$2:$E$1057,D$3)/INDEX('Clean Package Product Lists'!$C:$C,MATCH(D$3,'Clean Package Product Lists'!$A:$A,0))),"")</f>
        <v>0.33333333333333331</v>
      </c>
      <c r="E168" s="155">
        <f>IFERROR(MIN(1,COUNTIFS('Product Order Book'!$A$2:$A$1057,$A168,'Product Order Book'!$E$2:$E$1057,E$3)/INDEX('Clean Package Product Lists'!$C:$C,MATCH(E$3,'Clean Package Product Lists'!$A:$A,0))),"")</f>
        <v>0</v>
      </c>
      <c r="F168" s="155">
        <f>IFERROR(MIN(1,COUNTIFS('Product Order Book'!$A$2:$A$1057,$A168,'Product Order Book'!$E$2:$E$1057,F$3)/INDEX('Clean Package Product Lists'!$C:$C,MATCH(F$3,'Clean Package Product Lists'!$A:$A,0))),"")</f>
        <v>0</v>
      </c>
      <c r="G168" s="155">
        <f>IFERROR(MIN(1,COUNTIFS('Product Order Book'!$A$2:$A$1057,$A168,'Product Order Book'!$E$2:$E$1057,G$3)/INDEX('Clean Package Product Lists'!$C:$C,MATCH(G$3,'Clean Package Product Lists'!$A:$A,0))),"")</f>
        <v>0</v>
      </c>
      <c r="H168" s="155">
        <f>IFERROR(MIN(1,COUNTIFS('Product Order Book'!$A$2:$A$1057,$A168,'Product Order Book'!$E$2:$E$1057,H$3)/INDEX('Clean Package Product Lists'!$C:$C,MATCH(H$3,'Clean Package Product Lists'!$A:$A,0))),"")</f>
        <v>0</v>
      </c>
      <c r="I168" s="155">
        <f>IFERROR(MIN(1,COUNTIFS('Product Order Book'!$A$2:$A$1057,$A168,'Product Order Book'!$E$2:$E$1057,I$3)/INDEX('Clean Package Product Lists'!$C:$C,MATCH(I$3,'Clean Package Product Lists'!$A:$A,0))),"")</f>
        <v>0</v>
      </c>
      <c r="J168" s="155">
        <f>IFERROR(MIN(1,COUNTIFS('Product Order Book'!$A$2:$A$1057,$A168,'Product Order Book'!$E$2:$E$1057,J$3)/INDEX('Clean Package Product Lists'!$C:$C,MATCH(J$3,'Clean Package Product Lists'!$A:$A,0))),"")</f>
        <v>1</v>
      </c>
      <c r="K168" s="155">
        <f>IFERROR(MIN(1,COUNTIFS('Product Order Book'!$A$2:$A$1057,$A168,'Product Order Book'!$E$2:$E$1057,K$3)/INDEX('Clean Package Product Lists'!$C:$C,MATCH(K$3,'Clean Package Product Lists'!$A:$A,0))),"")</f>
        <v>0</v>
      </c>
      <c r="L168" s="154"/>
      <c r="M168" s="156" t="str">
        <f>IF(COUNTIFS('Product Order Book'!$A:$A,$A168,'Product Order Book'!$E:$E,M$3)&gt;0,"✓ Takes",IF(IFERROR(VLOOKUP($A168,'Whitespace Analysis'!$A:$AH,12,0),0)=1,"◎ Should","– N/A"))</f>
        <v>◎ Should</v>
      </c>
      <c r="N168" s="156" t="str">
        <f>IF(COUNTIFS('Product Order Book'!$A:$A,$A168,'Product Order Book'!$E:$E,N$3)&gt;0,"✓ Takes",IF(IFERROR(VLOOKUP($A168,'Whitespace Analysis'!$A:$AH,20,0),0)=1,"◎ Should","– N/A"))</f>
        <v>– N/A</v>
      </c>
      <c r="O168" s="156" t="str">
        <f>IF(COUNTIFS('Product Order Book'!$A:$A,$A168,'Product Order Book'!$E:$E,O$3)&gt;0,"✓ Takes",IF(IFERROR(VLOOKUP($A168,'Whitespace Analysis'!$A:$AH,22,0),0)=1,"◎ Should","– N/A"))</f>
        <v>✓ Takes</v>
      </c>
      <c r="P168" s="156" t="str">
        <f>IF(COUNTIFS('Product Order Book'!$A:$A,$A168,'Product Order Book'!$E:$E,P$3)&gt;0,"✓ Takes",IF(IFERROR(VLOOKUP($A168,'Whitespace Analysis'!$A:$AH,24,0),0)=1,"◎ Should","– N/A"))</f>
        <v>– N/A</v>
      </c>
      <c r="Q168" s="156" t="str">
        <f>IF(COUNTIFS('Product Order Book'!$A:$A,$A168,'Product Order Book'!$E:$E,Q$3)&gt;0,"✓ Takes",IF(IFERROR(VLOOKUP($A168,'Whitespace Analysis'!$A:$AH,26,0),0)=1,"◎ Should","– N/A"))</f>
        <v>– N/A</v>
      </c>
      <c r="R168" s="156" t="str">
        <f>IF(COUNTIFS('Product Order Book'!$A:$A,$A168,'Product Order Book'!$E:$E,R$3)&gt;0,"✓ Takes",IF(IFERROR(VLOOKUP($A168,'Whitespace Analysis'!$A:$AH,16,0),0)=1,"◎ Should","– N/A"))</f>
        <v>– N/A</v>
      </c>
      <c r="S168" s="156" t="str">
        <f>IF(COUNTIFS('Product Order Book'!$A:$A,$A168,'Product Order Book'!$E:$E,S$3)&gt;0,"✓ Takes",IF(IFERROR(VLOOKUP($A168,'Whitespace Analysis'!$A:$AH,18,0),0)=1,"◎ Should","– N/A"))</f>
        <v>– N/A</v>
      </c>
      <c r="T168" s="156" t="str">
        <f>IF(COUNTIFS('Product Order Book'!$A:$A,$A168,'Product Order Book'!$E:$E,T$3)&gt;0,"✓ Takes",IF(IFERROR(VLOOKUP($A168,'Whitespace Analysis'!$A:$AH,28,0),0)=1,"◎ Should","– N/A"))</f>
        <v>◎ Should</v>
      </c>
      <c r="U168" s="156" t="str">
        <f>IF(COUNTIFS('Product Order Book'!$A:$A,$A168,'Product Order Book'!$E:$E,U$3)&gt;0,"✓ Takes",IF(IFERROR(VLOOKUP($A168,'Whitespace Analysis'!$A:$AH,30,0),0)=1,"◎ Should","– N/A"))</f>
        <v>✓ Takes</v>
      </c>
      <c r="V168" s="156" t="str">
        <f>IF(COUNTIFS('Product Order Book'!$A:$A,$A168,'Product Order Book'!$E:$E,V$3)&gt;0,"✓ Takes",IF(IFERROR(VLOOKUP($A168,'Whitespace Analysis'!$A:$AH,14,0),0)=1,"◎ Should","– N/A"))</f>
        <v>◎ Should</v>
      </c>
    </row>
    <row r="169" spans="1:22" ht="15" customHeight="1">
      <c r="A169" s="154" t="str">
        <v>SO Energy Trading Limited</v>
      </c>
      <c r="B169" s="155">
        <f>IFERROR(MIN(1,COUNTIFS('Product Order Book'!$A$2:$A$1057,$A169,'Product Order Book'!$E$2:$E$1057,B$3)/INDEX('Clean Package Product Lists'!$C:$C,MATCH(B$3,'Clean Package Product Lists'!$A:$A,0))),"")</f>
        <v>1</v>
      </c>
      <c r="C169" s="155">
        <f>IFERROR(MIN(1,COUNTIFS('Product Order Book'!$A$2:$A$1057,$A169,'Product Order Book'!$E$2:$E$1057,C$3)/INDEX('Clean Package Product Lists'!$C:$C,MATCH(C$3,'Clean Package Product Lists'!$A:$A,0))),"")</f>
        <v>0</v>
      </c>
      <c r="D169" s="155">
        <f>IFERROR(MIN(1,COUNTIFS('Product Order Book'!$A$2:$A$1057,$A169,'Product Order Book'!$E$2:$E$1057,D$3)/INDEX('Clean Package Product Lists'!$C:$C,MATCH(D$3,'Clean Package Product Lists'!$A:$A,0))),"")</f>
        <v>0</v>
      </c>
      <c r="E169" s="155">
        <f>IFERROR(MIN(1,COUNTIFS('Product Order Book'!$A$2:$A$1057,$A169,'Product Order Book'!$E$2:$E$1057,E$3)/INDEX('Clean Package Product Lists'!$C:$C,MATCH(E$3,'Clean Package Product Lists'!$A:$A,0))),"")</f>
        <v>0</v>
      </c>
      <c r="F169" s="155">
        <f>IFERROR(MIN(1,COUNTIFS('Product Order Book'!$A$2:$A$1057,$A169,'Product Order Book'!$E$2:$E$1057,F$3)/INDEX('Clean Package Product Lists'!$C:$C,MATCH(F$3,'Clean Package Product Lists'!$A:$A,0))),"")</f>
        <v>0</v>
      </c>
      <c r="G169" s="155">
        <f>IFERROR(MIN(1,COUNTIFS('Product Order Book'!$A$2:$A$1057,$A169,'Product Order Book'!$E$2:$E$1057,G$3)/INDEX('Clean Package Product Lists'!$C:$C,MATCH(G$3,'Clean Package Product Lists'!$A:$A,0))),"")</f>
        <v>0</v>
      </c>
      <c r="H169" s="155">
        <f>IFERROR(MIN(1,COUNTIFS('Product Order Book'!$A$2:$A$1057,$A169,'Product Order Book'!$E$2:$E$1057,H$3)/INDEX('Clean Package Product Lists'!$C:$C,MATCH(H$3,'Clean Package Product Lists'!$A:$A,0))),"")</f>
        <v>0.75</v>
      </c>
      <c r="I169" s="155">
        <f>IFERROR(MIN(1,COUNTIFS('Product Order Book'!$A$2:$A$1057,$A169,'Product Order Book'!$E$2:$E$1057,I$3)/INDEX('Clean Package Product Lists'!$C:$C,MATCH(I$3,'Clean Package Product Lists'!$A:$A,0))),"")</f>
        <v>0</v>
      </c>
      <c r="J169" s="155">
        <f>IFERROR(MIN(1,COUNTIFS('Product Order Book'!$A$2:$A$1057,$A169,'Product Order Book'!$E$2:$E$1057,J$3)/INDEX('Clean Package Product Lists'!$C:$C,MATCH(J$3,'Clean Package Product Lists'!$A:$A,0))),"")</f>
        <v>0</v>
      </c>
      <c r="K169" s="155">
        <f>IFERROR(MIN(1,COUNTIFS('Product Order Book'!$A$2:$A$1057,$A169,'Product Order Book'!$E$2:$E$1057,K$3)/INDEX('Clean Package Product Lists'!$C:$C,MATCH(K$3,'Clean Package Product Lists'!$A:$A,0))),"")</f>
        <v>0.2</v>
      </c>
      <c r="L169" s="154"/>
      <c r="M169" s="156" t="str">
        <f>IF(COUNTIFS('Product Order Book'!$A:$A,$A169,'Product Order Book'!$E:$E,M$3)&gt;0,"✓ Takes",IF(IFERROR(VLOOKUP($A169,'Whitespace Analysis'!$A:$AH,12,0),0)=1,"◎ Should","– N/A"))</f>
        <v>✓ Takes</v>
      </c>
      <c r="N169" s="156" t="str">
        <f>IF(COUNTIFS('Product Order Book'!$A:$A,$A169,'Product Order Book'!$E:$E,N$3)&gt;0,"✓ Takes",IF(IFERROR(VLOOKUP($A169,'Whitespace Analysis'!$A:$AH,20,0),0)=1,"◎ Should","– N/A"))</f>
        <v>– N/A</v>
      </c>
      <c r="O169" s="156" t="str">
        <f>IF(COUNTIFS('Product Order Book'!$A:$A,$A169,'Product Order Book'!$E:$E,O$3)&gt;0,"✓ Takes",IF(IFERROR(VLOOKUP($A169,'Whitespace Analysis'!$A:$AH,22,0),0)=1,"◎ Should","– N/A"))</f>
        <v>– N/A</v>
      </c>
      <c r="P169" s="156" t="str">
        <f>IF(COUNTIFS('Product Order Book'!$A:$A,$A169,'Product Order Book'!$E:$E,P$3)&gt;0,"✓ Takes",IF(IFERROR(VLOOKUP($A169,'Whitespace Analysis'!$A:$AH,24,0),0)=1,"◎ Should","– N/A"))</f>
        <v>◎ Should</v>
      </c>
      <c r="Q169" s="156" t="str">
        <f>IF(COUNTIFS('Product Order Book'!$A:$A,$A169,'Product Order Book'!$E:$E,Q$3)&gt;0,"✓ Takes",IF(IFERROR(VLOOKUP($A169,'Whitespace Analysis'!$A:$AH,26,0),0)=1,"◎ Should","– N/A"))</f>
        <v>– N/A</v>
      </c>
      <c r="R169" s="156" t="str">
        <f>IF(COUNTIFS('Product Order Book'!$A:$A,$A169,'Product Order Book'!$E:$E,R$3)&gt;0,"✓ Takes",IF(IFERROR(VLOOKUP($A169,'Whitespace Analysis'!$A:$AH,16,0),0)=1,"◎ Should","– N/A"))</f>
        <v>◎ Should</v>
      </c>
      <c r="S169" s="156" t="str">
        <f>IF(COUNTIFS('Product Order Book'!$A:$A,$A169,'Product Order Book'!$E:$E,S$3)&gt;0,"✓ Takes",IF(IFERROR(VLOOKUP($A169,'Whitespace Analysis'!$A:$AH,18,0),0)=1,"◎ Should","– N/A"))</f>
        <v>✓ Takes</v>
      </c>
      <c r="T169" s="156" t="str">
        <f>IF(COUNTIFS('Product Order Book'!$A:$A,$A169,'Product Order Book'!$E:$E,T$3)&gt;0,"✓ Takes",IF(IFERROR(VLOOKUP($A169,'Whitespace Analysis'!$A:$AH,28,0),0)=1,"◎ Should","– N/A"))</f>
        <v>– N/A</v>
      </c>
      <c r="U169" s="156" t="str">
        <f>IF(COUNTIFS('Product Order Book'!$A:$A,$A169,'Product Order Book'!$E:$E,U$3)&gt;0,"✓ Takes",IF(IFERROR(VLOOKUP($A169,'Whitespace Analysis'!$A:$AH,30,0),0)=1,"◎ Should","– N/A"))</f>
        <v>– N/A</v>
      </c>
      <c r="V169" s="156" t="str">
        <f>IF(COUNTIFS('Product Order Book'!$A:$A,$A169,'Product Order Book'!$E:$E,V$3)&gt;0,"✓ Takes",IF(IFERROR(VLOOKUP($A169,'Whitespace Analysis'!$A:$AH,14,0),0)=1,"◎ Should","– N/A"))</f>
        <v>✓ Takes</v>
      </c>
    </row>
    <row r="170" spans="1:22" ht="15" customHeight="1">
      <c r="A170" s="154" t="str">
        <v>Sonnedix UK Services Ltd</v>
      </c>
      <c r="B170" s="155">
        <f>IFERROR(MIN(1,COUNTIFS('Product Order Book'!$A$2:$A$1057,$A170,'Product Order Book'!$E$2:$E$1057,B$3)/INDEX('Clean Package Product Lists'!$C:$C,MATCH(B$3,'Clean Package Product Lists'!$A:$A,0))),"")</f>
        <v>0</v>
      </c>
      <c r="C170" s="155">
        <f>IFERROR(MIN(1,COUNTIFS('Product Order Book'!$A$2:$A$1057,$A170,'Product Order Book'!$E$2:$E$1057,C$3)/INDEX('Clean Package Product Lists'!$C:$C,MATCH(C$3,'Clean Package Product Lists'!$A:$A,0))),"")</f>
        <v>0.14285714285714285</v>
      </c>
      <c r="D170" s="155">
        <f>IFERROR(MIN(1,COUNTIFS('Product Order Book'!$A$2:$A$1057,$A170,'Product Order Book'!$E$2:$E$1057,D$3)/INDEX('Clean Package Product Lists'!$C:$C,MATCH(D$3,'Clean Package Product Lists'!$A:$A,0))),"")</f>
        <v>0</v>
      </c>
      <c r="E170" s="155">
        <f>IFERROR(MIN(1,COUNTIFS('Product Order Book'!$A$2:$A$1057,$A170,'Product Order Book'!$E$2:$E$1057,E$3)/INDEX('Clean Package Product Lists'!$C:$C,MATCH(E$3,'Clean Package Product Lists'!$A:$A,0))),"")</f>
        <v>0</v>
      </c>
      <c r="F170" s="155">
        <f>IFERROR(MIN(1,COUNTIFS('Product Order Book'!$A$2:$A$1057,$A170,'Product Order Book'!$E$2:$E$1057,F$3)/INDEX('Clean Package Product Lists'!$C:$C,MATCH(F$3,'Clean Package Product Lists'!$A:$A,0))),"")</f>
        <v>0.66666666666666663</v>
      </c>
      <c r="G170" s="155">
        <f>IFERROR(MIN(1,COUNTIFS('Product Order Book'!$A$2:$A$1057,$A170,'Product Order Book'!$E$2:$E$1057,G$3)/INDEX('Clean Package Product Lists'!$C:$C,MATCH(G$3,'Clean Package Product Lists'!$A:$A,0))),"")</f>
        <v>0</v>
      </c>
      <c r="H170" s="155">
        <f>IFERROR(MIN(1,COUNTIFS('Product Order Book'!$A$2:$A$1057,$A170,'Product Order Book'!$E$2:$E$1057,H$3)/INDEX('Clean Package Product Lists'!$C:$C,MATCH(H$3,'Clean Package Product Lists'!$A:$A,0))),"")</f>
        <v>0</v>
      </c>
      <c r="I170" s="155">
        <f>IFERROR(MIN(1,COUNTIFS('Product Order Book'!$A$2:$A$1057,$A170,'Product Order Book'!$E$2:$E$1057,I$3)/INDEX('Clean Package Product Lists'!$C:$C,MATCH(I$3,'Clean Package Product Lists'!$A:$A,0))),"")</f>
        <v>0</v>
      </c>
      <c r="J170" s="155">
        <f>IFERROR(MIN(1,COUNTIFS('Product Order Book'!$A$2:$A$1057,$A170,'Product Order Book'!$E$2:$E$1057,J$3)/INDEX('Clean Package Product Lists'!$C:$C,MATCH(J$3,'Clean Package Product Lists'!$A:$A,0))),"")</f>
        <v>0</v>
      </c>
      <c r="K170" s="155">
        <f>IFERROR(MIN(1,COUNTIFS('Product Order Book'!$A$2:$A$1057,$A170,'Product Order Book'!$E$2:$E$1057,K$3)/INDEX('Clean Package Product Lists'!$C:$C,MATCH(K$3,'Clean Package Product Lists'!$A:$A,0))),"")</f>
        <v>0</v>
      </c>
      <c r="L170" s="154"/>
      <c r="M170" s="156" t="str">
        <f>IF(COUNTIFS('Product Order Book'!$A:$A,$A170,'Product Order Book'!$E:$E,M$3)&gt;0,"✓ Takes",IF(IFERROR(VLOOKUP($A170,'Whitespace Analysis'!$A:$AH,12,0),0)=1,"◎ Should","– N/A"))</f>
        <v>◎ Should</v>
      </c>
      <c r="N170" s="156" t="str">
        <f>IF(COUNTIFS('Product Order Book'!$A:$A,$A170,'Product Order Book'!$E:$E,N$3)&gt;0,"✓ Takes",IF(IFERROR(VLOOKUP($A170,'Whitespace Analysis'!$A:$AH,20,0),0)=1,"◎ Should","– N/A"))</f>
        <v>✓ Takes</v>
      </c>
      <c r="O170" s="156" t="str">
        <f>IF(COUNTIFS('Product Order Book'!$A:$A,$A170,'Product Order Book'!$E:$E,O$3)&gt;0,"✓ Takes",IF(IFERROR(VLOOKUP($A170,'Whitespace Analysis'!$A:$AH,22,0),0)=1,"◎ Should","– N/A"))</f>
        <v>◎ Should</v>
      </c>
      <c r="P170" s="156" t="str">
        <f>IF(COUNTIFS('Product Order Book'!$A:$A,$A170,'Product Order Book'!$E:$E,P$3)&gt;0,"✓ Takes",IF(IFERROR(VLOOKUP($A170,'Whitespace Analysis'!$A:$AH,24,0),0)=1,"◎ Should","– N/A"))</f>
        <v>◎ Should</v>
      </c>
      <c r="Q170" s="156" t="str">
        <f>IF(COUNTIFS('Product Order Book'!$A:$A,$A170,'Product Order Book'!$E:$E,Q$3)&gt;0,"✓ Takes",IF(IFERROR(VLOOKUP($A170,'Whitespace Analysis'!$A:$AH,26,0),0)=1,"◎ Should","– N/A"))</f>
        <v>✓ Takes</v>
      </c>
      <c r="R170" s="156" t="str">
        <f>IF(COUNTIFS('Product Order Book'!$A:$A,$A170,'Product Order Book'!$E:$E,R$3)&gt;0,"✓ Takes",IF(IFERROR(VLOOKUP($A170,'Whitespace Analysis'!$A:$AH,16,0),0)=1,"◎ Should","– N/A"))</f>
        <v>– N/A</v>
      </c>
      <c r="S170" s="156" t="str">
        <f>IF(COUNTIFS('Product Order Book'!$A:$A,$A170,'Product Order Book'!$E:$E,S$3)&gt;0,"✓ Takes",IF(IFERROR(VLOOKUP($A170,'Whitespace Analysis'!$A:$AH,18,0),0)=1,"◎ Should","– N/A"))</f>
        <v>– N/A</v>
      </c>
      <c r="T170" s="156" t="str">
        <f>IF(COUNTIFS('Product Order Book'!$A:$A,$A170,'Product Order Book'!$E:$E,T$3)&gt;0,"✓ Takes",IF(IFERROR(VLOOKUP($A170,'Whitespace Analysis'!$A:$AH,28,0),0)=1,"◎ Should","– N/A"))</f>
        <v>– N/A</v>
      </c>
      <c r="U170" s="156" t="str">
        <f>IF(COUNTIFS('Product Order Book'!$A:$A,$A170,'Product Order Book'!$E:$E,U$3)&gt;0,"✓ Takes",IF(IFERROR(VLOOKUP($A170,'Whitespace Analysis'!$A:$AH,30,0),0)=1,"◎ Should","– N/A"))</f>
        <v>– N/A</v>
      </c>
      <c r="V170" s="156" t="str">
        <f>IF(COUNTIFS('Product Order Book'!$A:$A,$A170,'Product Order Book'!$E:$E,V$3)&gt;0,"✓ Takes",IF(IFERROR(VLOOKUP($A170,'Whitespace Analysis'!$A:$AH,14,0),0)=1,"◎ Should","– N/A"))</f>
        <v>◎ Should</v>
      </c>
    </row>
    <row r="171" spans="1:22" ht="15" customHeight="1">
      <c r="A171" s="154" t="str">
        <v>Squeaky Clean Energy Limited</v>
      </c>
      <c r="B171" s="155">
        <f>IFERROR(MIN(1,COUNTIFS('Product Order Book'!$A$2:$A$1057,$A171,'Product Order Book'!$E$2:$E$1057,B$3)/INDEX('Clean Package Product Lists'!$C:$C,MATCH(B$3,'Clean Package Product Lists'!$A:$A,0))),"")</f>
        <v>0</v>
      </c>
      <c r="C171" s="155">
        <f>IFERROR(MIN(1,COUNTIFS('Product Order Book'!$A$2:$A$1057,$A171,'Product Order Book'!$E$2:$E$1057,C$3)/INDEX('Clean Package Product Lists'!$C:$C,MATCH(C$3,'Clean Package Product Lists'!$A:$A,0))),"")</f>
        <v>0</v>
      </c>
      <c r="D171" s="155">
        <f>IFERROR(MIN(1,COUNTIFS('Product Order Book'!$A$2:$A$1057,$A171,'Product Order Book'!$E$2:$E$1057,D$3)/INDEX('Clean Package Product Lists'!$C:$C,MATCH(D$3,'Clean Package Product Lists'!$A:$A,0))),"")</f>
        <v>0</v>
      </c>
      <c r="E171" s="155">
        <f>IFERROR(MIN(1,COUNTIFS('Product Order Book'!$A$2:$A$1057,$A171,'Product Order Book'!$E$2:$E$1057,E$3)/INDEX('Clean Package Product Lists'!$C:$C,MATCH(E$3,'Clean Package Product Lists'!$A:$A,0))),"")</f>
        <v>0</v>
      </c>
      <c r="F171" s="155">
        <f>IFERROR(MIN(1,COUNTIFS('Product Order Book'!$A$2:$A$1057,$A171,'Product Order Book'!$E$2:$E$1057,F$3)/INDEX('Clean Package Product Lists'!$C:$C,MATCH(F$3,'Clean Package Product Lists'!$A:$A,0))),"")</f>
        <v>0</v>
      </c>
      <c r="G171" s="155">
        <f>IFERROR(MIN(1,COUNTIFS('Product Order Book'!$A$2:$A$1057,$A171,'Product Order Book'!$E$2:$E$1057,G$3)/INDEX('Clean Package Product Lists'!$C:$C,MATCH(G$3,'Clean Package Product Lists'!$A:$A,0))),"")</f>
        <v>0</v>
      </c>
      <c r="H171" s="155">
        <f>IFERROR(MIN(1,COUNTIFS('Product Order Book'!$A$2:$A$1057,$A171,'Product Order Book'!$E$2:$E$1057,H$3)/INDEX('Clean Package Product Lists'!$C:$C,MATCH(H$3,'Clean Package Product Lists'!$A:$A,0))),"")</f>
        <v>0.25</v>
      </c>
      <c r="I171" s="155">
        <f>IFERROR(MIN(1,COUNTIFS('Product Order Book'!$A$2:$A$1057,$A171,'Product Order Book'!$E$2:$E$1057,I$3)/INDEX('Clean Package Product Lists'!$C:$C,MATCH(I$3,'Clean Package Product Lists'!$A:$A,0))),"")</f>
        <v>0</v>
      </c>
      <c r="J171" s="155">
        <f>IFERROR(MIN(1,COUNTIFS('Product Order Book'!$A$2:$A$1057,$A171,'Product Order Book'!$E$2:$E$1057,J$3)/INDEX('Clean Package Product Lists'!$C:$C,MATCH(J$3,'Clean Package Product Lists'!$A:$A,0))),"")</f>
        <v>0</v>
      </c>
      <c r="K171" s="155">
        <f>IFERROR(MIN(1,COUNTIFS('Product Order Book'!$A$2:$A$1057,$A171,'Product Order Book'!$E$2:$E$1057,K$3)/INDEX('Clean Package Product Lists'!$C:$C,MATCH(K$3,'Clean Package Product Lists'!$A:$A,0))),"")</f>
        <v>0</v>
      </c>
      <c r="L171" s="154"/>
      <c r="M171" s="156" t="str">
        <f>IF(COUNTIFS('Product Order Book'!$A:$A,$A171,'Product Order Book'!$E:$E,M$3)&gt;0,"✓ Takes",IF(IFERROR(VLOOKUP($A171,'Whitespace Analysis'!$A:$AH,12,0),0)=1,"◎ Should","– N/A"))</f>
        <v>◎ Should</v>
      </c>
      <c r="N171" s="156" t="str">
        <f>IF(COUNTIFS('Product Order Book'!$A:$A,$A171,'Product Order Book'!$E:$E,N$3)&gt;0,"✓ Takes",IF(IFERROR(VLOOKUP($A171,'Whitespace Analysis'!$A:$AH,20,0),0)=1,"◎ Should","– N/A"))</f>
        <v>◎ Should</v>
      </c>
      <c r="O171" s="156" t="str">
        <f>IF(COUNTIFS('Product Order Book'!$A:$A,$A171,'Product Order Book'!$E:$E,O$3)&gt;0,"✓ Takes",IF(IFERROR(VLOOKUP($A171,'Whitespace Analysis'!$A:$AH,22,0),0)=1,"◎ Should","– N/A"))</f>
        <v>– N/A</v>
      </c>
      <c r="P171" s="156" t="str">
        <f>IF(COUNTIFS('Product Order Book'!$A:$A,$A171,'Product Order Book'!$E:$E,P$3)&gt;0,"✓ Takes",IF(IFERROR(VLOOKUP($A171,'Whitespace Analysis'!$A:$AH,24,0),0)=1,"◎ Should","– N/A"))</f>
        <v>◎ Should</v>
      </c>
      <c r="Q171" s="156" t="str">
        <f>IF(COUNTIFS('Product Order Book'!$A:$A,$A171,'Product Order Book'!$E:$E,Q$3)&gt;0,"✓ Takes",IF(IFERROR(VLOOKUP($A171,'Whitespace Analysis'!$A:$AH,26,0),0)=1,"◎ Should","– N/A"))</f>
        <v>◎ Should</v>
      </c>
      <c r="R171" s="156" t="str">
        <f>IF(COUNTIFS('Product Order Book'!$A:$A,$A171,'Product Order Book'!$E:$E,R$3)&gt;0,"✓ Takes",IF(IFERROR(VLOOKUP($A171,'Whitespace Analysis'!$A:$AH,16,0),0)=1,"◎ Should","– N/A"))</f>
        <v>◎ Should</v>
      </c>
      <c r="S171" s="156" t="str">
        <f>IF(COUNTIFS('Product Order Book'!$A:$A,$A171,'Product Order Book'!$E:$E,S$3)&gt;0,"✓ Takes",IF(IFERROR(VLOOKUP($A171,'Whitespace Analysis'!$A:$AH,18,0),0)=1,"◎ Should","– N/A"))</f>
        <v>✓ Takes</v>
      </c>
      <c r="T171" s="156" t="str">
        <f>IF(COUNTIFS('Product Order Book'!$A:$A,$A171,'Product Order Book'!$E:$E,T$3)&gt;0,"✓ Takes",IF(IFERROR(VLOOKUP($A171,'Whitespace Analysis'!$A:$AH,28,0),0)=1,"◎ Should","– N/A"))</f>
        <v>– N/A</v>
      </c>
      <c r="U171" s="156" t="str">
        <f>IF(COUNTIFS('Product Order Book'!$A:$A,$A171,'Product Order Book'!$E:$E,U$3)&gt;0,"✓ Takes",IF(IFERROR(VLOOKUP($A171,'Whitespace Analysis'!$A:$AH,30,0),0)=1,"◎ Should","– N/A"))</f>
        <v>– N/A</v>
      </c>
      <c r="V171" s="156" t="str">
        <f>IF(COUNTIFS('Product Order Book'!$A:$A,$A171,'Product Order Book'!$E:$E,V$3)&gt;0,"✓ Takes",IF(IFERROR(VLOOKUP($A171,'Whitespace Analysis'!$A:$AH,14,0),0)=1,"◎ Should","– N/A"))</f>
        <v>◎ Should</v>
      </c>
    </row>
    <row r="172" spans="1:22" ht="15" customHeight="1">
      <c r="A172" s="154" t="str">
        <v>Squire Patton Boggs (UK) LLP</v>
      </c>
      <c r="B172" s="155">
        <f>IFERROR(MIN(1,COUNTIFS('Product Order Book'!$A$2:$A$1057,$A172,'Product Order Book'!$E$2:$E$1057,B$3)/INDEX('Clean Package Product Lists'!$C:$C,MATCH(B$3,'Clean Package Product Lists'!$A:$A,0))),"")</f>
        <v>1</v>
      </c>
      <c r="C172" s="155">
        <f>IFERROR(MIN(1,COUNTIFS('Product Order Book'!$A$2:$A$1057,$A172,'Product Order Book'!$E$2:$E$1057,C$3)/INDEX('Clean Package Product Lists'!$C:$C,MATCH(C$3,'Clean Package Product Lists'!$A:$A,0))),"")</f>
        <v>0</v>
      </c>
      <c r="D172" s="155">
        <f>IFERROR(MIN(1,COUNTIFS('Product Order Book'!$A$2:$A$1057,$A172,'Product Order Book'!$E$2:$E$1057,D$3)/INDEX('Clean Package Product Lists'!$C:$C,MATCH(D$3,'Clean Package Product Lists'!$A:$A,0))),"")</f>
        <v>0</v>
      </c>
      <c r="E172" s="155">
        <f>IFERROR(MIN(1,COUNTIFS('Product Order Book'!$A$2:$A$1057,$A172,'Product Order Book'!$E$2:$E$1057,E$3)/INDEX('Clean Package Product Lists'!$C:$C,MATCH(E$3,'Clean Package Product Lists'!$A:$A,0))),"")</f>
        <v>0</v>
      </c>
      <c r="F172" s="155">
        <f>IFERROR(MIN(1,COUNTIFS('Product Order Book'!$A$2:$A$1057,$A172,'Product Order Book'!$E$2:$E$1057,F$3)/INDEX('Clean Package Product Lists'!$C:$C,MATCH(F$3,'Clean Package Product Lists'!$A:$A,0))),"")</f>
        <v>0</v>
      </c>
      <c r="G172" s="155">
        <f>IFERROR(MIN(1,COUNTIFS('Product Order Book'!$A$2:$A$1057,$A172,'Product Order Book'!$E$2:$E$1057,G$3)/INDEX('Clean Package Product Lists'!$C:$C,MATCH(G$3,'Clean Package Product Lists'!$A:$A,0))),"")</f>
        <v>0</v>
      </c>
      <c r="H172" s="155">
        <f>IFERROR(MIN(1,COUNTIFS('Product Order Book'!$A$2:$A$1057,$A172,'Product Order Book'!$E$2:$E$1057,H$3)/INDEX('Clean Package Product Lists'!$C:$C,MATCH(H$3,'Clean Package Product Lists'!$A:$A,0))),"")</f>
        <v>0</v>
      </c>
      <c r="I172" s="155">
        <f>IFERROR(MIN(1,COUNTIFS('Product Order Book'!$A$2:$A$1057,$A172,'Product Order Book'!$E$2:$E$1057,I$3)/INDEX('Clean Package Product Lists'!$C:$C,MATCH(I$3,'Clean Package Product Lists'!$A:$A,0))),"")</f>
        <v>0</v>
      </c>
      <c r="J172" s="155">
        <f>IFERROR(MIN(1,COUNTIFS('Product Order Book'!$A$2:$A$1057,$A172,'Product Order Book'!$E$2:$E$1057,J$3)/INDEX('Clean Package Product Lists'!$C:$C,MATCH(J$3,'Clean Package Product Lists'!$A:$A,0))),"")</f>
        <v>0</v>
      </c>
      <c r="K172" s="155">
        <f>IFERROR(MIN(1,COUNTIFS('Product Order Book'!$A$2:$A$1057,$A172,'Product Order Book'!$E$2:$E$1057,K$3)/INDEX('Clean Package Product Lists'!$C:$C,MATCH(K$3,'Clean Package Product Lists'!$A:$A,0))),"")</f>
        <v>0</v>
      </c>
      <c r="L172" s="154"/>
      <c r="M172" s="156" t="str">
        <f>IF(COUNTIFS('Product Order Book'!$A:$A,$A172,'Product Order Book'!$E:$E,M$3)&gt;0,"✓ Takes",IF(IFERROR(VLOOKUP($A172,'Whitespace Analysis'!$A:$AH,12,0),0)=1,"◎ Should","– N/A"))</f>
        <v>✓ Takes</v>
      </c>
      <c r="N172" s="156" t="str">
        <f>IF(COUNTIFS('Product Order Book'!$A:$A,$A172,'Product Order Book'!$E:$E,N$3)&gt;0,"✓ Takes",IF(IFERROR(VLOOKUP($A172,'Whitespace Analysis'!$A:$AH,20,0),0)=1,"◎ Should","– N/A"))</f>
        <v>– N/A</v>
      </c>
      <c r="O172" s="156" t="str">
        <f>IF(COUNTIFS('Product Order Book'!$A:$A,$A172,'Product Order Book'!$E:$E,O$3)&gt;0,"✓ Takes",IF(IFERROR(VLOOKUP($A172,'Whitespace Analysis'!$A:$AH,22,0),0)=1,"◎ Should","– N/A"))</f>
        <v>– N/A</v>
      </c>
      <c r="P172" s="156" t="str">
        <f>IF(COUNTIFS('Product Order Book'!$A:$A,$A172,'Product Order Book'!$E:$E,P$3)&gt;0,"✓ Takes",IF(IFERROR(VLOOKUP($A172,'Whitespace Analysis'!$A:$AH,24,0),0)=1,"◎ Should","– N/A"))</f>
        <v>– N/A</v>
      </c>
      <c r="Q172" s="156" t="str">
        <f>IF(COUNTIFS('Product Order Book'!$A:$A,$A172,'Product Order Book'!$E:$E,Q$3)&gt;0,"✓ Takes",IF(IFERROR(VLOOKUP($A172,'Whitespace Analysis'!$A:$AH,26,0),0)=1,"◎ Should","– N/A"))</f>
        <v>– N/A</v>
      </c>
      <c r="R172" s="156" t="str">
        <f>IF(COUNTIFS('Product Order Book'!$A:$A,$A172,'Product Order Book'!$E:$E,R$3)&gt;0,"✓ Takes",IF(IFERROR(VLOOKUP($A172,'Whitespace Analysis'!$A:$AH,16,0),0)=1,"◎ Should","– N/A"))</f>
        <v>– N/A</v>
      </c>
      <c r="S172" s="156" t="str">
        <f>IF(COUNTIFS('Product Order Book'!$A:$A,$A172,'Product Order Book'!$E:$E,S$3)&gt;0,"✓ Takes",IF(IFERROR(VLOOKUP($A172,'Whitespace Analysis'!$A:$AH,18,0),0)=1,"◎ Should","– N/A"))</f>
        <v>– N/A</v>
      </c>
      <c r="T172" s="156" t="str">
        <f>IF(COUNTIFS('Product Order Book'!$A:$A,$A172,'Product Order Book'!$E:$E,T$3)&gt;0,"✓ Takes",IF(IFERROR(VLOOKUP($A172,'Whitespace Analysis'!$A:$AH,28,0),0)=1,"◎ Should","– N/A"))</f>
        <v>– N/A</v>
      </c>
      <c r="U172" s="156" t="str">
        <f>IF(COUNTIFS('Product Order Book'!$A:$A,$A172,'Product Order Book'!$E:$E,U$3)&gt;0,"✓ Takes",IF(IFERROR(VLOOKUP($A172,'Whitespace Analysis'!$A:$AH,30,0),0)=1,"◎ Should","– N/A"))</f>
        <v>– N/A</v>
      </c>
      <c r="V172" s="156" t="str">
        <f>IF(COUNTIFS('Product Order Book'!$A:$A,$A172,'Product Order Book'!$E:$E,V$3)&gt;0,"✓ Takes",IF(IFERROR(VLOOKUP($A172,'Whitespace Analysis'!$A:$AH,14,0),0)=1,"◎ Should","– N/A"))</f>
        <v>– N/A</v>
      </c>
    </row>
    <row r="173" spans="1:22" ht="15" customHeight="1">
      <c r="A173" s="154" t="str">
        <v>SSE plc</v>
      </c>
      <c r="B173" s="155">
        <f>IFERROR(MIN(1,COUNTIFS('Product Order Book'!$A$2:$A$1057,$A173,'Product Order Book'!$E$2:$E$1057,B$3)/INDEX('Clean Package Product Lists'!$C:$C,MATCH(B$3,'Clean Package Product Lists'!$A:$A,0))),"")</f>
        <v>1</v>
      </c>
      <c r="C173" s="155">
        <f>IFERROR(MIN(1,COUNTIFS('Product Order Book'!$A$2:$A$1057,$A173,'Product Order Book'!$E$2:$E$1057,C$3)/INDEX('Clean Package Product Lists'!$C:$C,MATCH(C$3,'Clean Package Product Lists'!$A:$A,0))),"")</f>
        <v>1</v>
      </c>
      <c r="D173" s="155">
        <f>IFERROR(MIN(1,COUNTIFS('Product Order Book'!$A$2:$A$1057,$A173,'Product Order Book'!$E$2:$E$1057,D$3)/INDEX('Clean Package Product Lists'!$C:$C,MATCH(D$3,'Clean Package Product Lists'!$A:$A,0))),"")</f>
        <v>0</v>
      </c>
      <c r="E173" s="155">
        <f>IFERROR(MIN(1,COUNTIFS('Product Order Book'!$A$2:$A$1057,$A173,'Product Order Book'!$E$2:$E$1057,E$3)/INDEX('Clean Package Product Lists'!$C:$C,MATCH(E$3,'Clean Package Product Lists'!$A:$A,0))),"")</f>
        <v>0</v>
      </c>
      <c r="F173" s="155">
        <f>IFERROR(MIN(1,COUNTIFS('Product Order Book'!$A$2:$A$1057,$A173,'Product Order Book'!$E$2:$E$1057,F$3)/INDEX('Clean Package Product Lists'!$C:$C,MATCH(F$3,'Clean Package Product Lists'!$A:$A,0))),"")</f>
        <v>0</v>
      </c>
      <c r="G173" s="155">
        <f>IFERROR(MIN(1,COUNTIFS('Product Order Book'!$A$2:$A$1057,$A173,'Product Order Book'!$E$2:$E$1057,G$3)/INDEX('Clean Package Product Lists'!$C:$C,MATCH(G$3,'Clean Package Product Lists'!$A:$A,0))),"")</f>
        <v>0.54545454545454541</v>
      </c>
      <c r="H173" s="155">
        <f>IFERROR(MIN(1,COUNTIFS('Product Order Book'!$A$2:$A$1057,$A173,'Product Order Book'!$E$2:$E$1057,H$3)/INDEX('Clean Package Product Lists'!$C:$C,MATCH(H$3,'Clean Package Product Lists'!$A:$A,0))),"")</f>
        <v>0.25</v>
      </c>
      <c r="I173" s="155">
        <f>IFERROR(MIN(1,COUNTIFS('Product Order Book'!$A$2:$A$1057,$A173,'Product Order Book'!$E$2:$E$1057,I$3)/INDEX('Clean Package Product Lists'!$C:$C,MATCH(I$3,'Clean Package Product Lists'!$A:$A,0))),"")</f>
        <v>0</v>
      </c>
      <c r="J173" s="155">
        <f>IFERROR(MIN(1,COUNTIFS('Product Order Book'!$A$2:$A$1057,$A173,'Product Order Book'!$E$2:$E$1057,J$3)/INDEX('Clean Package Product Lists'!$C:$C,MATCH(J$3,'Clean Package Product Lists'!$A:$A,0))),"")</f>
        <v>1</v>
      </c>
      <c r="K173" s="155">
        <f>IFERROR(MIN(1,COUNTIFS('Product Order Book'!$A$2:$A$1057,$A173,'Product Order Book'!$E$2:$E$1057,K$3)/INDEX('Clean Package Product Lists'!$C:$C,MATCH(K$3,'Clean Package Product Lists'!$A:$A,0))),"")</f>
        <v>0</v>
      </c>
      <c r="L173" s="154"/>
      <c r="M173" s="156" t="str">
        <f>IF(COUNTIFS('Product Order Book'!$A:$A,$A173,'Product Order Book'!$E:$E,M$3)&gt;0,"✓ Takes",IF(IFERROR(VLOOKUP($A173,'Whitespace Analysis'!$A:$AH,12,0),0)=1,"◎ Should","– N/A"))</f>
        <v>✓ Takes</v>
      </c>
      <c r="N173" s="156" t="str">
        <f>IF(COUNTIFS('Product Order Book'!$A:$A,$A173,'Product Order Book'!$E:$E,N$3)&gt;0,"✓ Takes",IF(IFERROR(VLOOKUP($A173,'Whitespace Analysis'!$A:$AH,20,0),0)=1,"◎ Should","– N/A"))</f>
        <v>✓ Takes</v>
      </c>
      <c r="O173" s="156" t="str">
        <f>IF(COUNTIFS('Product Order Book'!$A:$A,$A173,'Product Order Book'!$E:$E,O$3)&gt;0,"✓ Takes",IF(IFERROR(VLOOKUP($A173,'Whitespace Analysis'!$A:$AH,22,0),0)=1,"◎ Should","– N/A"))</f>
        <v>◎ Should</v>
      </c>
      <c r="P173" s="156" t="str">
        <f>IF(COUNTIFS('Product Order Book'!$A:$A,$A173,'Product Order Book'!$E:$E,P$3)&gt;0,"✓ Takes",IF(IFERROR(VLOOKUP($A173,'Whitespace Analysis'!$A:$AH,24,0),0)=1,"◎ Should","– N/A"))</f>
        <v>– N/A</v>
      </c>
      <c r="Q173" s="156" t="str">
        <f>IF(COUNTIFS('Product Order Book'!$A:$A,$A173,'Product Order Book'!$E:$E,Q$3)&gt;0,"✓ Takes",IF(IFERROR(VLOOKUP($A173,'Whitespace Analysis'!$A:$AH,26,0),0)=1,"◎ Should","– N/A"))</f>
        <v>– N/A</v>
      </c>
      <c r="R173" s="156" t="str">
        <f>IF(COUNTIFS('Product Order Book'!$A:$A,$A173,'Product Order Book'!$E:$E,R$3)&gt;0,"✓ Takes",IF(IFERROR(VLOOKUP($A173,'Whitespace Analysis'!$A:$AH,16,0),0)=1,"◎ Should","– N/A"))</f>
        <v>✓ Takes</v>
      </c>
      <c r="S173" s="156" t="str">
        <f>IF(COUNTIFS('Product Order Book'!$A:$A,$A173,'Product Order Book'!$E:$E,S$3)&gt;0,"✓ Takes",IF(IFERROR(VLOOKUP($A173,'Whitespace Analysis'!$A:$AH,18,0),0)=1,"◎ Should","– N/A"))</f>
        <v>✓ Takes</v>
      </c>
      <c r="T173" s="156" t="str">
        <f>IF(COUNTIFS('Product Order Book'!$A:$A,$A173,'Product Order Book'!$E:$E,T$3)&gt;0,"✓ Takes",IF(IFERROR(VLOOKUP($A173,'Whitespace Analysis'!$A:$AH,28,0),0)=1,"◎ Should","– N/A"))</f>
        <v>– N/A</v>
      </c>
      <c r="U173" s="156" t="str">
        <f>IF(COUNTIFS('Product Order Book'!$A:$A,$A173,'Product Order Book'!$E:$E,U$3)&gt;0,"✓ Takes",IF(IFERROR(VLOOKUP($A173,'Whitespace Analysis'!$A:$AH,30,0),0)=1,"◎ Should","– N/A"))</f>
        <v>✓ Takes</v>
      </c>
      <c r="V173" s="156" t="str">
        <f>IF(COUNTIFS('Product Order Book'!$A:$A,$A173,'Product Order Book'!$E:$E,V$3)&gt;0,"✓ Takes",IF(IFERROR(VLOOKUP($A173,'Whitespace Analysis'!$A:$AH,14,0),0)=1,"◎ Should","– N/A"))</f>
        <v>◎ Should</v>
      </c>
    </row>
    <row r="174" spans="1:22" ht="15" customHeight="1">
      <c r="A174" s="154" t="str">
        <v>SSEN Transmission</v>
      </c>
      <c r="B174" s="155">
        <f>IFERROR(MIN(1,COUNTIFS('Product Order Book'!$A$2:$A$1057,$A174,'Product Order Book'!$E$2:$E$1057,B$3)/INDEX('Clean Package Product Lists'!$C:$C,MATCH(B$3,'Clean Package Product Lists'!$A:$A,0))),"")</f>
        <v>0</v>
      </c>
      <c r="C174" s="155">
        <f>IFERROR(MIN(1,COUNTIFS('Product Order Book'!$A$2:$A$1057,$A174,'Product Order Book'!$E$2:$E$1057,C$3)/INDEX('Clean Package Product Lists'!$C:$C,MATCH(C$3,'Clean Package Product Lists'!$A:$A,0))),"")</f>
        <v>0</v>
      </c>
      <c r="D174" s="155">
        <f>IFERROR(MIN(1,COUNTIFS('Product Order Book'!$A$2:$A$1057,$A174,'Product Order Book'!$E$2:$E$1057,D$3)/INDEX('Clean Package Product Lists'!$C:$C,MATCH(D$3,'Clean Package Product Lists'!$A:$A,0))),"")</f>
        <v>0.33333333333333331</v>
      </c>
      <c r="E174" s="155">
        <f>IFERROR(MIN(1,COUNTIFS('Product Order Book'!$A$2:$A$1057,$A174,'Product Order Book'!$E$2:$E$1057,E$3)/INDEX('Clean Package Product Lists'!$C:$C,MATCH(E$3,'Clean Package Product Lists'!$A:$A,0))),"")</f>
        <v>0</v>
      </c>
      <c r="F174" s="155">
        <f>IFERROR(MIN(1,COUNTIFS('Product Order Book'!$A$2:$A$1057,$A174,'Product Order Book'!$E$2:$E$1057,F$3)/INDEX('Clean Package Product Lists'!$C:$C,MATCH(F$3,'Clean Package Product Lists'!$A:$A,0))),"")</f>
        <v>0</v>
      </c>
      <c r="G174" s="155">
        <f>IFERROR(MIN(1,COUNTIFS('Product Order Book'!$A$2:$A$1057,$A174,'Product Order Book'!$E$2:$E$1057,G$3)/INDEX('Clean Package Product Lists'!$C:$C,MATCH(G$3,'Clean Package Product Lists'!$A:$A,0))),"")</f>
        <v>0</v>
      </c>
      <c r="H174" s="155">
        <f>IFERROR(MIN(1,COUNTIFS('Product Order Book'!$A$2:$A$1057,$A174,'Product Order Book'!$E$2:$E$1057,H$3)/INDEX('Clean Package Product Lists'!$C:$C,MATCH(H$3,'Clean Package Product Lists'!$A:$A,0))),"")</f>
        <v>0</v>
      </c>
      <c r="I174" s="155">
        <f>IFERROR(MIN(1,COUNTIFS('Product Order Book'!$A$2:$A$1057,$A174,'Product Order Book'!$E$2:$E$1057,I$3)/INDEX('Clean Package Product Lists'!$C:$C,MATCH(I$3,'Clean Package Product Lists'!$A:$A,0))),"")</f>
        <v>0</v>
      </c>
      <c r="J174" s="155">
        <f>IFERROR(MIN(1,COUNTIFS('Product Order Book'!$A$2:$A$1057,$A174,'Product Order Book'!$E$2:$E$1057,J$3)/INDEX('Clean Package Product Lists'!$C:$C,MATCH(J$3,'Clean Package Product Lists'!$A:$A,0))),"")</f>
        <v>0</v>
      </c>
      <c r="K174" s="155">
        <f>IFERROR(MIN(1,COUNTIFS('Product Order Book'!$A$2:$A$1057,$A174,'Product Order Book'!$E$2:$E$1057,K$3)/INDEX('Clean Package Product Lists'!$C:$C,MATCH(K$3,'Clean Package Product Lists'!$A:$A,0))),"")</f>
        <v>0</v>
      </c>
      <c r="L174" s="154"/>
      <c r="M174" s="156" t="str">
        <f>IF(COUNTIFS('Product Order Book'!$A:$A,$A174,'Product Order Book'!$E:$E,M$3)&gt;0,"✓ Takes",IF(IFERROR(VLOOKUP($A174,'Whitespace Analysis'!$A:$AH,12,0),0)=1,"◎ Should","– N/A"))</f>
        <v>– N/A</v>
      </c>
      <c r="N174" s="156" t="str">
        <f>IF(COUNTIFS('Product Order Book'!$A:$A,$A174,'Product Order Book'!$E:$E,N$3)&gt;0,"✓ Takes",IF(IFERROR(VLOOKUP($A174,'Whitespace Analysis'!$A:$AH,20,0),0)=1,"◎ Should","– N/A"))</f>
        <v>– N/A</v>
      </c>
      <c r="O174" s="156" t="str">
        <f>IF(COUNTIFS('Product Order Book'!$A:$A,$A174,'Product Order Book'!$E:$E,O$3)&gt;0,"✓ Takes",IF(IFERROR(VLOOKUP($A174,'Whitespace Analysis'!$A:$AH,22,0),0)=1,"◎ Should","– N/A"))</f>
        <v>✓ Takes</v>
      </c>
      <c r="P174" s="156" t="str">
        <f>IF(COUNTIFS('Product Order Book'!$A:$A,$A174,'Product Order Book'!$E:$E,P$3)&gt;0,"✓ Takes",IF(IFERROR(VLOOKUP($A174,'Whitespace Analysis'!$A:$AH,24,0),0)=1,"◎ Should","– N/A"))</f>
        <v>– N/A</v>
      </c>
      <c r="Q174" s="156" t="str">
        <f>IF(COUNTIFS('Product Order Book'!$A:$A,$A174,'Product Order Book'!$E:$E,Q$3)&gt;0,"✓ Takes",IF(IFERROR(VLOOKUP($A174,'Whitespace Analysis'!$A:$AH,26,0),0)=1,"◎ Should","– N/A"))</f>
        <v>– N/A</v>
      </c>
      <c r="R174" s="156" t="str">
        <f>IF(COUNTIFS('Product Order Book'!$A:$A,$A174,'Product Order Book'!$E:$E,R$3)&gt;0,"✓ Takes",IF(IFERROR(VLOOKUP($A174,'Whitespace Analysis'!$A:$AH,16,0),0)=1,"◎ Should","– N/A"))</f>
        <v>– N/A</v>
      </c>
      <c r="S174" s="156" t="str">
        <f>IF(COUNTIFS('Product Order Book'!$A:$A,$A174,'Product Order Book'!$E:$E,S$3)&gt;0,"✓ Takes",IF(IFERROR(VLOOKUP($A174,'Whitespace Analysis'!$A:$AH,18,0),0)=1,"◎ Should","– N/A"))</f>
        <v>– N/A</v>
      </c>
      <c r="T174" s="156" t="str">
        <f>IF(COUNTIFS('Product Order Book'!$A:$A,$A174,'Product Order Book'!$E:$E,T$3)&gt;0,"✓ Takes",IF(IFERROR(VLOOKUP($A174,'Whitespace Analysis'!$A:$AH,28,0),0)=1,"◎ Should","– N/A"))</f>
        <v>– N/A</v>
      </c>
      <c r="U174" s="156" t="str">
        <f>IF(COUNTIFS('Product Order Book'!$A:$A,$A174,'Product Order Book'!$E:$E,U$3)&gt;0,"✓ Takes",IF(IFERROR(VLOOKUP($A174,'Whitespace Analysis'!$A:$AH,30,0),0)=1,"◎ Should","– N/A"))</f>
        <v>– N/A</v>
      </c>
      <c r="V174" s="156" t="str">
        <f>IF(COUNTIFS('Product Order Book'!$A:$A,$A174,'Product Order Book'!$E:$E,V$3)&gt;0,"✓ Takes",IF(IFERROR(VLOOKUP($A174,'Whitespace Analysis'!$A:$AH,14,0),0)=1,"◎ Should","– N/A"))</f>
        <v>– N/A</v>
      </c>
    </row>
    <row r="175" spans="1:22" ht="15" customHeight="1">
      <c r="A175" s="154" t="str">
        <v>Statera Energy Limited</v>
      </c>
      <c r="B175" s="155">
        <f>IFERROR(MIN(1,COUNTIFS('Product Order Book'!$A$2:$A$1057,$A175,'Product Order Book'!$E$2:$E$1057,B$3)/INDEX('Clean Package Product Lists'!$C:$C,MATCH(B$3,'Clean Package Product Lists'!$A:$A,0))),"")</f>
        <v>1</v>
      </c>
      <c r="C175" s="155">
        <f>IFERROR(MIN(1,COUNTIFS('Product Order Book'!$A$2:$A$1057,$A175,'Product Order Book'!$E$2:$E$1057,C$3)/INDEX('Clean Package Product Lists'!$C:$C,MATCH(C$3,'Clean Package Product Lists'!$A:$A,0))),"")</f>
        <v>0</v>
      </c>
      <c r="D175" s="155">
        <f>IFERROR(MIN(1,COUNTIFS('Product Order Book'!$A$2:$A$1057,$A175,'Product Order Book'!$E$2:$E$1057,D$3)/INDEX('Clean Package Product Lists'!$C:$C,MATCH(D$3,'Clean Package Product Lists'!$A:$A,0))),"")</f>
        <v>0</v>
      </c>
      <c r="E175" s="155">
        <f>IFERROR(MIN(1,COUNTIFS('Product Order Book'!$A$2:$A$1057,$A175,'Product Order Book'!$E$2:$E$1057,E$3)/INDEX('Clean Package Product Lists'!$C:$C,MATCH(E$3,'Clean Package Product Lists'!$A:$A,0))),"")</f>
        <v>0</v>
      </c>
      <c r="F175" s="155">
        <f>IFERROR(MIN(1,COUNTIFS('Product Order Book'!$A$2:$A$1057,$A175,'Product Order Book'!$E$2:$E$1057,F$3)/INDEX('Clean Package Product Lists'!$C:$C,MATCH(F$3,'Clean Package Product Lists'!$A:$A,0))),"")</f>
        <v>0.33333333333333331</v>
      </c>
      <c r="G175" s="155">
        <f>IFERROR(MIN(1,COUNTIFS('Product Order Book'!$A$2:$A$1057,$A175,'Product Order Book'!$E$2:$E$1057,G$3)/INDEX('Clean Package Product Lists'!$C:$C,MATCH(G$3,'Clean Package Product Lists'!$A:$A,0))),"")</f>
        <v>0</v>
      </c>
      <c r="H175" s="155">
        <f>IFERROR(MIN(1,COUNTIFS('Product Order Book'!$A$2:$A$1057,$A175,'Product Order Book'!$E$2:$E$1057,H$3)/INDEX('Clean Package Product Lists'!$C:$C,MATCH(H$3,'Clean Package Product Lists'!$A:$A,0))),"")</f>
        <v>0</v>
      </c>
      <c r="I175" s="155">
        <f>IFERROR(MIN(1,COUNTIFS('Product Order Book'!$A$2:$A$1057,$A175,'Product Order Book'!$E$2:$E$1057,I$3)/INDEX('Clean Package Product Lists'!$C:$C,MATCH(I$3,'Clean Package Product Lists'!$A:$A,0))),"")</f>
        <v>0</v>
      </c>
      <c r="J175" s="155">
        <f>IFERROR(MIN(1,COUNTIFS('Product Order Book'!$A$2:$A$1057,$A175,'Product Order Book'!$E$2:$E$1057,J$3)/INDEX('Clean Package Product Lists'!$C:$C,MATCH(J$3,'Clean Package Product Lists'!$A:$A,0))),"")</f>
        <v>0</v>
      </c>
      <c r="K175" s="155">
        <f>IFERROR(MIN(1,COUNTIFS('Product Order Book'!$A$2:$A$1057,$A175,'Product Order Book'!$E$2:$E$1057,K$3)/INDEX('Clean Package Product Lists'!$C:$C,MATCH(K$3,'Clean Package Product Lists'!$A:$A,0))),"")</f>
        <v>0</v>
      </c>
      <c r="L175" s="154"/>
      <c r="M175" s="156" t="str">
        <f>IF(COUNTIFS('Product Order Book'!$A:$A,$A175,'Product Order Book'!$E:$E,M$3)&gt;0,"✓ Takes",IF(IFERROR(VLOOKUP($A175,'Whitespace Analysis'!$A:$AH,12,0),0)=1,"◎ Should","– N/A"))</f>
        <v>✓ Takes</v>
      </c>
      <c r="N175" s="156" t="str">
        <f>IF(COUNTIFS('Product Order Book'!$A:$A,$A175,'Product Order Book'!$E:$E,N$3)&gt;0,"✓ Takes",IF(IFERROR(VLOOKUP($A175,'Whitespace Analysis'!$A:$AH,20,0),0)=1,"◎ Should","– N/A"))</f>
        <v>– N/A</v>
      </c>
      <c r="O175" s="156" t="str">
        <f>IF(COUNTIFS('Product Order Book'!$A:$A,$A175,'Product Order Book'!$E:$E,O$3)&gt;0,"✓ Takes",IF(IFERROR(VLOOKUP($A175,'Whitespace Analysis'!$A:$AH,22,0),0)=1,"◎ Should","– N/A"))</f>
        <v>– N/A</v>
      </c>
      <c r="P175" s="156" t="str">
        <f>IF(COUNTIFS('Product Order Book'!$A:$A,$A175,'Product Order Book'!$E:$E,P$3)&gt;0,"✓ Takes",IF(IFERROR(VLOOKUP($A175,'Whitespace Analysis'!$A:$AH,24,0),0)=1,"◎ Should","– N/A"))</f>
        <v>◎ Should</v>
      </c>
      <c r="Q175" s="156" t="str">
        <f>IF(COUNTIFS('Product Order Book'!$A:$A,$A175,'Product Order Book'!$E:$E,Q$3)&gt;0,"✓ Takes",IF(IFERROR(VLOOKUP($A175,'Whitespace Analysis'!$A:$AH,26,0),0)=1,"◎ Should","– N/A"))</f>
        <v>✓ Takes</v>
      </c>
      <c r="R175" s="156" t="str">
        <f>IF(COUNTIFS('Product Order Book'!$A:$A,$A175,'Product Order Book'!$E:$E,R$3)&gt;0,"✓ Takes",IF(IFERROR(VLOOKUP($A175,'Whitespace Analysis'!$A:$AH,16,0),0)=1,"◎ Should","– N/A"))</f>
        <v>– N/A</v>
      </c>
      <c r="S175" s="156" t="str">
        <f>IF(COUNTIFS('Product Order Book'!$A:$A,$A175,'Product Order Book'!$E:$E,S$3)&gt;0,"✓ Takes",IF(IFERROR(VLOOKUP($A175,'Whitespace Analysis'!$A:$AH,18,0),0)=1,"◎ Should","– N/A"))</f>
        <v>– N/A</v>
      </c>
      <c r="T175" s="156" t="str">
        <f>IF(COUNTIFS('Product Order Book'!$A:$A,$A175,'Product Order Book'!$E:$E,T$3)&gt;0,"✓ Takes",IF(IFERROR(VLOOKUP($A175,'Whitespace Analysis'!$A:$AH,28,0),0)=1,"◎ Should","– N/A"))</f>
        <v>– N/A</v>
      </c>
      <c r="U175" s="156" t="str">
        <f>IF(COUNTIFS('Product Order Book'!$A:$A,$A175,'Product Order Book'!$E:$E,U$3)&gt;0,"✓ Takes",IF(IFERROR(VLOOKUP($A175,'Whitespace Analysis'!$A:$AH,30,0),0)=1,"◎ Should","– N/A"))</f>
        <v>– N/A</v>
      </c>
      <c r="V175" s="156" t="str">
        <f>IF(COUNTIFS('Product Order Book'!$A:$A,$A175,'Product Order Book'!$E:$E,V$3)&gt;0,"✓ Takes",IF(IFERROR(VLOOKUP($A175,'Whitespace Analysis'!$A:$AH,14,0),0)=1,"◎ Should","– N/A"))</f>
        <v>◎ Should</v>
      </c>
    </row>
    <row r="176" spans="1:22" ht="15" customHeight="1">
      <c r="A176" s="154" t="str">
        <v>Statkraft UK Ltd</v>
      </c>
      <c r="B176" s="155">
        <f>IFERROR(MIN(1,COUNTIFS('Product Order Book'!$A$2:$A$1057,$A176,'Product Order Book'!$E$2:$E$1057,B$3)/INDEX('Clean Package Product Lists'!$C:$C,MATCH(B$3,'Clean Package Product Lists'!$A:$A,0))),"")</f>
        <v>1</v>
      </c>
      <c r="C176" s="155">
        <f>IFERROR(MIN(1,COUNTIFS('Product Order Book'!$A$2:$A$1057,$A176,'Product Order Book'!$E$2:$E$1057,C$3)/INDEX('Clean Package Product Lists'!$C:$C,MATCH(C$3,'Clean Package Product Lists'!$A:$A,0))),"")</f>
        <v>0.42857142857142855</v>
      </c>
      <c r="D176" s="155">
        <f>IFERROR(MIN(1,COUNTIFS('Product Order Book'!$A$2:$A$1057,$A176,'Product Order Book'!$E$2:$E$1057,D$3)/INDEX('Clean Package Product Lists'!$C:$C,MATCH(D$3,'Clean Package Product Lists'!$A:$A,0))),"")</f>
        <v>0</v>
      </c>
      <c r="E176" s="155">
        <f>IFERROR(MIN(1,COUNTIFS('Product Order Book'!$A$2:$A$1057,$A176,'Product Order Book'!$E$2:$E$1057,E$3)/INDEX('Clean Package Product Lists'!$C:$C,MATCH(E$3,'Clean Package Product Lists'!$A:$A,0))),"")</f>
        <v>0.5</v>
      </c>
      <c r="F176" s="155">
        <f>IFERROR(MIN(1,COUNTIFS('Product Order Book'!$A$2:$A$1057,$A176,'Product Order Book'!$E$2:$E$1057,F$3)/INDEX('Clean Package Product Lists'!$C:$C,MATCH(F$3,'Clean Package Product Lists'!$A:$A,0))),"")</f>
        <v>0</v>
      </c>
      <c r="G176" s="155">
        <f>IFERROR(MIN(1,COUNTIFS('Product Order Book'!$A$2:$A$1057,$A176,'Product Order Book'!$E$2:$E$1057,G$3)/INDEX('Clean Package Product Lists'!$C:$C,MATCH(G$3,'Clean Package Product Lists'!$A:$A,0))),"")</f>
        <v>0.18181818181818182</v>
      </c>
      <c r="H176" s="155">
        <f>IFERROR(MIN(1,COUNTIFS('Product Order Book'!$A$2:$A$1057,$A176,'Product Order Book'!$E$2:$E$1057,H$3)/INDEX('Clean Package Product Lists'!$C:$C,MATCH(H$3,'Clean Package Product Lists'!$A:$A,0))),"")</f>
        <v>0.75</v>
      </c>
      <c r="I176" s="155">
        <f>IFERROR(MIN(1,COUNTIFS('Product Order Book'!$A$2:$A$1057,$A176,'Product Order Book'!$E$2:$E$1057,I$3)/INDEX('Clean Package Product Lists'!$C:$C,MATCH(I$3,'Clean Package Product Lists'!$A:$A,0))),"")</f>
        <v>0</v>
      </c>
      <c r="J176" s="155">
        <f>IFERROR(MIN(1,COUNTIFS('Product Order Book'!$A$2:$A$1057,$A176,'Product Order Book'!$E$2:$E$1057,J$3)/INDEX('Clean Package Product Lists'!$C:$C,MATCH(J$3,'Clean Package Product Lists'!$A:$A,0))),"")</f>
        <v>0</v>
      </c>
      <c r="K176" s="155">
        <f>IFERROR(MIN(1,COUNTIFS('Product Order Book'!$A$2:$A$1057,$A176,'Product Order Book'!$E$2:$E$1057,K$3)/INDEX('Clean Package Product Lists'!$C:$C,MATCH(K$3,'Clean Package Product Lists'!$A:$A,0))),"")</f>
        <v>0.2</v>
      </c>
      <c r="L176" s="154"/>
      <c r="M176" s="156" t="str">
        <f>IF(COUNTIFS('Product Order Book'!$A:$A,$A176,'Product Order Book'!$E:$E,M$3)&gt;0,"✓ Takes",IF(IFERROR(VLOOKUP($A176,'Whitespace Analysis'!$A:$AH,12,0),0)=1,"◎ Should","– N/A"))</f>
        <v>✓ Takes</v>
      </c>
      <c r="N176" s="156" t="str">
        <f>IF(COUNTIFS('Product Order Book'!$A:$A,$A176,'Product Order Book'!$E:$E,N$3)&gt;0,"✓ Takes",IF(IFERROR(VLOOKUP($A176,'Whitespace Analysis'!$A:$AH,20,0),0)=1,"◎ Should","– N/A"))</f>
        <v>✓ Takes</v>
      </c>
      <c r="O176" s="156" t="str">
        <f>IF(COUNTIFS('Product Order Book'!$A:$A,$A176,'Product Order Book'!$E:$E,O$3)&gt;0,"✓ Takes",IF(IFERROR(VLOOKUP($A176,'Whitespace Analysis'!$A:$AH,22,0),0)=1,"◎ Should","– N/A"))</f>
        <v>◎ Should</v>
      </c>
      <c r="P176" s="156" t="str">
        <f>IF(COUNTIFS('Product Order Book'!$A:$A,$A176,'Product Order Book'!$E:$E,P$3)&gt;0,"✓ Takes",IF(IFERROR(VLOOKUP($A176,'Whitespace Analysis'!$A:$AH,24,0),0)=1,"◎ Should","– N/A"))</f>
        <v>✓ Takes</v>
      </c>
      <c r="Q176" s="156" t="str">
        <f>IF(COUNTIFS('Product Order Book'!$A:$A,$A176,'Product Order Book'!$E:$E,Q$3)&gt;0,"✓ Takes",IF(IFERROR(VLOOKUP($A176,'Whitespace Analysis'!$A:$AH,26,0),0)=1,"◎ Should","– N/A"))</f>
        <v>◎ Should</v>
      </c>
      <c r="R176" s="156" t="str">
        <f>IF(COUNTIFS('Product Order Book'!$A:$A,$A176,'Product Order Book'!$E:$E,R$3)&gt;0,"✓ Takes",IF(IFERROR(VLOOKUP($A176,'Whitespace Analysis'!$A:$AH,16,0),0)=1,"◎ Should","– N/A"))</f>
        <v>✓ Takes</v>
      </c>
      <c r="S176" s="156" t="str">
        <f>IF(COUNTIFS('Product Order Book'!$A:$A,$A176,'Product Order Book'!$E:$E,S$3)&gt;0,"✓ Takes",IF(IFERROR(VLOOKUP($A176,'Whitespace Analysis'!$A:$AH,18,0),0)=1,"◎ Should","– N/A"))</f>
        <v>✓ Takes</v>
      </c>
      <c r="T176" s="156" t="str">
        <f>IF(COUNTIFS('Product Order Book'!$A:$A,$A176,'Product Order Book'!$E:$E,T$3)&gt;0,"✓ Takes",IF(IFERROR(VLOOKUP($A176,'Whitespace Analysis'!$A:$AH,28,0),0)=1,"◎ Should","– N/A"))</f>
        <v>– N/A</v>
      </c>
      <c r="U176" s="156" t="str">
        <f>IF(COUNTIFS('Product Order Book'!$A:$A,$A176,'Product Order Book'!$E:$E,U$3)&gt;0,"✓ Takes",IF(IFERROR(VLOOKUP($A176,'Whitespace Analysis'!$A:$AH,30,0),0)=1,"◎ Should","– N/A"))</f>
        <v>– N/A</v>
      </c>
      <c r="V176" s="156" t="str">
        <f>IF(COUNTIFS('Product Order Book'!$A:$A,$A176,'Product Order Book'!$E:$E,V$3)&gt;0,"✓ Takes",IF(IFERROR(VLOOKUP($A176,'Whitespace Analysis'!$A:$AH,14,0),0)=1,"◎ Should","– N/A"))</f>
        <v>✓ Takes</v>
      </c>
    </row>
    <row r="177" spans="1:22" ht="15" customHeight="1">
      <c r="A177" s="154" t="str">
        <v>STX Services BV</v>
      </c>
      <c r="B177" s="155">
        <f>IFERROR(MIN(1,COUNTIFS('Product Order Book'!$A$2:$A$1057,$A177,'Product Order Book'!$E$2:$E$1057,B$3)/INDEX('Clean Package Product Lists'!$C:$C,MATCH(B$3,'Clean Package Product Lists'!$A:$A,0))),"")</f>
        <v>0</v>
      </c>
      <c r="C177" s="155">
        <f>IFERROR(MIN(1,COUNTIFS('Product Order Book'!$A$2:$A$1057,$A177,'Product Order Book'!$E$2:$E$1057,C$3)/INDEX('Clean Package Product Lists'!$C:$C,MATCH(C$3,'Clean Package Product Lists'!$A:$A,0))),"")</f>
        <v>0.14285714285714285</v>
      </c>
      <c r="D177" s="155">
        <f>IFERROR(MIN(1,COUNTIFS('Product Order Book'!$A$2:$A$1057,$A177,'Product Order Book'!$E$2:$E$1057,D$3)/INDEX('Clean Package Product Lists'!$C:$C,MATCH(D$3,'Clean Package Product Lists'!$A:$A,0))),"")</f>
        <v>0</v>
      </c>
      <c r="E177" s="155">
        <f>IFERROR(MIN(1,COUNTIFS('Product Order Book'!$A$2:$A$1057,$A177,'Product Order Book'!$E$2:$E$1057,E$3)/INDEX('Clean Package Product Lists'!$C:$C,MATCH(E$3,'Clean Package Product Lists'!$A:$A,0))),"")</f>
        <v>0</v>
      </c>
      <c r="F177" s="155">
        <f>IFERROR(MIN(1,COUNTIFS('Product Order Book'!$A$2:$A$1057,$A177,'Product Order Book'!$E$2:$E$1057,F$3)/INDEX('Clean Package Product Lists'!$C:$C,MATCH(F$3,'Clean Package Product Lists'!$A:$A,0))),"")</f>
        <v>0</v>
      </c>
      <c r="G177" s="155">
        <f>IFERROR(MIN(1,COUNTIFS('Product Order Book'!$A$2:$A$1057,$A177,'Product Order Book'!$E$2:$E$1057,G$3)/INDEX('Clean Package Product Lists'!$C:$C,MATCH(G$3,'Clean Package Product Lists'!$A:$A,0))),"")</f>
        <v>0</v>
      </c>
      <c r="H177" s="155">
        <f>IFERROR(MIN(1,COUNTIFS('Product Order Book'!$A$2:$A$1057,$A177,'Product Order Book'!$E$2:$E$1057,H$3)/INDEX('Clean Package Product Lists'!$C:$C,MATCH(H$3,'Clean Package Product Lists'!$A:$A,0))),"")</f>
        <v>0</v>
      </c>
      <c r="I177" s="155">
        <f>IFERROR(MIN(1,COUNTIFS('Product Order Book'!$A$2:$A$1057,$A177,'Product Order Book'!$E$2:$E$1057,I$3)/INDEX('Clean Package Product Lists'!$C:$C,MATCH(I$3,'Clean Package Product Lists'!$A:$A,0))),"")</f>
        <v>0</v>
      </c>
      <c r="J177" s="155">
        <f>IFERROR(MIN(1,COUNTIFS('Product Order Book'!$A$2:$A$1057,$A177,'Product Order Book'!$E$2:$E$1057,J$3)/INDEX('Clean Package Product Lists'!$C:$C,MATCH(J$3,'Clean Package Product Lists'!$A:$A,0))),"")</f>
        <v>0</v>
      </c>
      <c r="K177" s="155">
        <f>IFERROR(MIN(1,COUNTIFS('Product Order Book'!$A$2:$A$1057,$A177,'Product Order Book'!$E$2:$E$1057,K$3)/INDEX('Clean Package Product Lists'!$C:$C,MATCH(K$3,'Clean Package Product Lists'!$A:$A,0))),"")</f>
        <v>0</v>
      </c>
      <c r="L177" s="154"/>
      <c r="M177" s="156" t="str">
        <f>IF(COUNTIFS('Product Order Book'!$A:$A,$A177,'Product Order Book'!$E:$E,M$3)&gt;0,"✓ Takes",IF(IFERROR(VLOOKUP($A177,'Whitespace Analysis'!$A:$AH,12,0),0)=1,"◎ Should","– N/A"))</f>
        <v>◎ Should</v>
      </c>
      <c r="N177" s="156" t="str">
        <f>IF(COUNTIFS('Product Order Book'!$A:$A,$A177,'Product Order Book'!$E:$E,N$3)&gt;0,"✓ Takes",IF(IFERROR(VLOOKUP($A177,'Whitespace Analysis'!$A:$AH,20,0),0)=1,"◎ Should","– N/A"))</f>
        <v>✓ Takes</v>
      </c>
      <c r="O177" s="156" t="str">
        <f>IF(COUNTIFS('Product Order Book'!$A:$A,$A177,'Product Order Book'!$E:$E,O$3)&gt;0,"✓ Takes",IF(IFERROR(VLOOKUP($A177,'Whitespace Analysis'!$A:$AH,22,0),0)=1,"◎ Should","– N/A"))</f>
        <v>– N/A</v>
      </c>
      <c r="P177" s="156" t="str">
        <f>IF(COUNTIFS('Product Order Book'!$A:$A,$A177,'Product Order Book'!$E:$E,P$3)&gt;0,"✓ Takes",IF(IFERROR(VLOOKUP($A177,'Whitespace Analysis'!$A:$AH,24,0),0)=1,"◎ Should","– N/A"))</f>
        <v>– N/A</v>
      </c>
      <c r="Q177" s="156" t="str">
        <f>IF(COUNTIFS('Product Order Book'!$A:$A,$A177,'Product Order Book'!$E:$E,Q$3)&gt;0,"✓ Takes",IF(IFERROR(VLOOKUP($A177,'Whitespace Analysis'!$A:$AH,26,0),0)=1,"◎ Should","– N/A"))</f>
        <v>– N/A</v>
      </c>
      <c r="R177" s="156" t="str">
        <f>IF(COUNTIFS('Product Order Book'!$A:$A,$A177,'Product Order Book'!$E:$E,R$3)&gt;0,"✓ Takes",IF(IFERROR(VLOOKUP($A177,'Whitespace Analysis'!$A:$AH,16,0),0)=1,"◎ Should","– N/A"))</f>
        <v>◎ Should</v>
      </c>
      <c r="S177" s="156" t="str">
        <f>IF(COUNTIFS('Product Order Book'!$A:$A,$A177,'Product Order Book'!$E:$E,S$3)&gt;0,"✓ Takes",IF(IFERROR(VLOOKUP($A177,'Whitespace Analysis'!$A:$AH,18,0),0)=1,"◎ Should","– N/A"))</f>
        <v>◎ Should</v>
      </c>
      <c r="T177" s="156" t="str">
        <f>IF(COUNTIFS('Product Order Book'!$A:$A,$A177,'Product Order Book'!$E:$E,T$3)&gt;0,"✓ Takes",IF(IFERROR(VLOOKUP($A177,'Whitespace Analysis'!$A:$AH,28,0),0)=1,"◎ Should","– N/A"))</f>
        <v>◎ Should</v>
      </c>
      <c r="U177" s="156" t="str">
        <f>IF(COUNTIFS('Product Order Book'!$A:$A,$A177,'Product Order Book'!$E:$E,U$3)&gt;0,"✓ Takes",IF(IFERROR(VLOOKUP($A177,'Whitespace Analysis'!$A:$AH,30,0),0)=1,"◎ Should","– N/A"))</f>
        <v>– N/A</v>
      </c>
      <c r="V177" s="156" t="str">
        <f>IF(COUNTIFS('Product Order Book'!$A:$A,$A177,'Product Order Book'!$E:$E,V$3)&gt;0,"✓ Takes",IF(IFERROR(VLOOKUP($A177,'Whitespace Analysis'!$A:$AH,14,0),0)=1,"◎ Should","– N/A"))</f>
        <v>– N/A</v>
      </c>
    </row>
    <row r="178" spans="1:22" ht="15" customHeight="1">
      <c r="A178" s="154" t="str">
        <v>SUEZ Recycling and Recovery UK Ltd</v>
      </c>
      <c r="B178" s="155">
        <f>IFERROR(MIN(1,COUNTIFS('Product Order Book'!$A$2:$A$1057,$A178,'Product Order Book'!$E$2:$E$1057,B$3)/INDEX('Clean Package Product Lists'!$C:$C,MATCH(B$3,'Clean Package Product Lists'!$A:$A,0))),"")</f>
        <v>0</v>
      </c>
      <c r="C178" s="155">
        <f>IFERROR(MIN(1,COUNTIFS('Product Order Book'!$A$2:$A$1057,$A178,'Product Order Book'!$E$2:$E$1057,C$3)/INDEX('Clean Package Product Lists'!$C:$C,MATCH(C$3,'Clean Package Product Lists'!$A:$A,0))),"")</f>
        <v>0.5714285714285714</v>
      </c>
      <c r="D178" s="155">
        <f>IFERROR(MIN(1,COUNTIFS('Product Order Book'!$A$2:$A$1057,$A178,'Product Order Book'!$E$2:$E$1057,D$3)/INDEX('Clean Package Product Lists'!$C:$C,MATCH(D$3,'Clean Package Product Lists'!$A:$A,0))),"")</f>
        <v>0</v>
      </c>
      <c r="E178" s="155">
        <f>IFERROR(MIN(1,COUNTIFS('Product Order Book'!$A$2:$A$1057,$A178,'Product Order Book'!$E$2:$E$1057,E$3)/INDEX('Clean Package Product Lists'!$C:$C,MATCH(E$3,'Clean Package Product Lists'!$A:$A,0))),"")</f>
        <v>0</v>
      </c>
      <c r="F178" s="155">
        <f>IFERROR(MIN(1,COUNTIFS('Product Order Book'!$A$2:$A$1057,$A178,'Product Order Book'!$E$2:$E$1057,F$3)/INDEX('Clean Package Product Lists'!$C:$C,MATCH(F$3,'Clean Package Product Lists'!$A:$A,0))),"")</f>
        <v>0</v>
      </c>
      <c r="G178" s="155">
        <f>IFERROR(MIN(1,COUNTIFS('Product Order Book'!$A$2:$A$1057,$A178,'Product Order Book'!$E$2:$E$1057,G$3)/INDEX('Clean Package Product Lists'!$C:$C,MATCH(G$3,'Clean Package Product Lists'!$A:$A,0))),"")</f>
        <v>0</v>
      </c>
      <c r="H178" s="155">
        <f>IFERROR(MIN(1,COUNTIFS('Product Order Book'!$A$2:$A$1057,$A178,'Product Order Book'!$E$2:$E$1057,H$3)/INDEX('Clean Package Product Lists'!$C:$C,MATCH(H$3,'Clean Package Product Lists'!$A:$A,0))),"")</f>
        <v>0</v>
      </c>
      <c r="I178" s="155">
        <f>IFERROR(MIN(1,COUNTIFS('Product Order Book'!$A$2:$A$1057,$A178,'Product Order Book'!$E$2:$E$1057,I$3)/INDEX('Clean Package Product Lists'!$C:$C,MATCH(I$3,'Clean Package Product Lists'!$A:$A,0))),"")</f>
        <v>0</v>
      </c>
      <c r="J178" s="155">
        <f>IFERROR(MIN(1,COUNTIFS('Product Order Book'!$A$2:$A$1057,$A178,'Product Order Book'!$E$2:$E$1057,J$3)/INDEX('Clean Package Product Lists'!$C:$C,MATCH(J$3,'Clean Package Product Lists'!$A:$A,0))),"")</f>
        <v>0</v>
      </c>
      <c r="K178" s="155">
        <f>IFERROR(MIN(1,COUNTIFS('Product Order Book'!$A$2:$A$1057,$A178,'Product Order Book'!$E$2:$E$1057,K$3)/INDEX('Clean Package Product Lists'!$C:$C,MATCH(K$3,'Clean Package Product Lists'!$A:$A,0))),"")</f>
        <v>0</v>
      </c>
      <c r="L178" s="154"/>
      <c r="M178" s="156" t="str">
        <f>IF(COUNTIFS('Product Order Book'!$A:$A,$A178,'Product Order Book'!$E:$E,M$3)&gt;0,"✓ Takes",IF(IFERROR(VLOOKUP($A178,'Whitespace Analysis'!$A:$AH,12,0),0)=1,"◎ Should","– N/A"))</f>
        <v>◎ Should</v>
      </c>
      <c r="N178" s="156" t="str">
        <f>IF(COUNTIFS('Product Order Book'!$A:$A,$A178,'Product Order Book'!$E:$E,N$3)&gt;0,"✓ Takes",IF(IFERROR(VLOOKUP($A178,'Whitespace Analysis'!$A:$AH,20,0),0)=1,"◎ Should","– N/A"))</f>
        <v>✓ Takes</v>
      </c>
      <c r="O178" s="156" t="str">
        <f>IF(COUNTIFS('Product Order Book'!$A:$A,$A178,'Product Order Book'!$E:$E,O$3)&gt;0,"✓ Takes",IF(IFERROR(VLOOKUP($A178,'Whitespace Analysis'!$A:$AH,22,0),0)=1,"◎ Should","– N/A"))</f>
        <v>◎ Should</v>
      </c>
      <c r="P178" s="156" t="str">
        <f>IF(COUNTIFS('Product Order Book'!$A:$A,$A178,'Product Order Book'!$E:$E,P$3)&gt;0,"✓ Takes",IF(IFERROR(VLOOKUP($A178,'Whitespace Analysis'!$A:$AH,24,0),0)=1,"◎ Should","– N/A"))</f>
        <v>– N/A</v>
      </c>
      <c r="Q178" s="156" t="str">
        <f>IF(COUNTIFS('Product Order Book'!$A:$A,$A178,'Product Order Book'!$E:$E,Q$3)&gt;0,"✓ Takes",IF(IFERROR(VLOOKUP($A178,'Whitespace Analysis'!$A:$AH,26,0),0)=1,"◎ Should","– N/A"))</f>
        <v>– N/A</v>
      </c>
      <c r="R178" s="156" t="str">
        <f>IF(COUNTIFS('Product Order Book'!$A:$A,$A178,'Product Order Book'!$E:$E,R$3)&gt;0,"✓ Takes",IF(IFERROR(VLOOKUP($A178,'Whitespace Analysis'!$A:$AH,16,0),0)=1,"◎ Should","– N/A"))</f>
        <v>– N/A</v>
      </c>
      <c r="S178" s="156" t="str">
        <f>IF(COUNTIFS('Product Order Book'!$A:$A,$A178,'Product Order Book'!$E:$E,S$3)&gt;0,"✓ Takes",IF(IFERROR(VLOOKUP($A178,'Whitespace Analysis'!$A:$AH,18,0),0)=1,"◎ Should","– N/A"))</f>
        <v>– N/A</v>
      </c>
      <c r="T178" s="156" t="str">
        <f>IF(COUNTIFS('Product Order Book'!$A:$A,$A178,'Product Order Book'!$E:$E,T$3)&gt;0,"✓ Takes",IF(IFERROR(VLOOKUP($A178,'Whitespace Analysis'!$A:$AH,28,0),0)=1,"◎ Should","– N/A"))</f>
        <v>◎ Should</v>
      </c>
      <c r="U178" s="156" t="str">
        <f>IF(COUNTIFS('Product Order Book'!$A:$A,$A178,'Product Order Book'!$E:$E,U$3)&gt;0,"✓ Takes",IF(IFERROR(VLOOKUP($A178,'Whitespace Analysis'!$A:$AH,30,0),0)=1,"◎ Should","– N/A"))</f>
        <v>◎ Should</v>
      </c>
      <c r="V178" s="156" t="str">
        <f>IF(COUNTIFS('Product Order Book'!$A:$A,$A178,'Product Order Book'!$E:$E,V$3)&gt;0,"✓ Takes",IF(IFERROR(VLOOKUP($A178,'Whitespace Analysis'!$A:$AH,14,0),0)=1,"◎ Should","– N/A"))</f>
        <v>◎ Should</v>
      </c>
    </row>
    <row r="179" spans="1:22" ht="15" customHeight="1">
      <c r="A179" s="154" t="str">
        <v>Switch Business Gas and Power Limited t/a Jellyfish Energy</v>
      </c>
      <c r="B179" s="155">
        <f>IFERROR(MIN(1,COUNTIFS('Product Order Book'!$A$2:$A$1057,$A179,'Product Order Book'!$E$2:$E$1057,B$3)/INDEX('Clean Package Product Lists'!$C:$C,MATCH(B$3,'Clean Package Product Lists'!$A:$A,0))),"")</f>
        <v>0</v>
      </c>
      <c r="C179" s="155">
        <f>IFERROR(MIN(1,COUNTIFS('Product Order Book'!$A$2:$A$1057,$A179,'Product Order Book'!$E$2:$E$1057,C$3)/INDEX('Clean Package Product Lists'!$C:$C,MATCH(C$3,'Clean Package Product Lists'!$A:$A,0))),"")</f>
        <v>0</v>
      </c>
      <c r="D179" s="155">
        <f>IFERROR(MIN(1,COUNTIFS('Product Order Book'!$A$2:$A$1057,$A179,'Product Order Book'!$E$2:$E$1057,D$3)/INDEX('Clean Package Product Lists'!$C:$C,MATCH(D$3,'Clean Package Product Lists'!$A:$A,0))),"")</f>
        <v>0.33333333333333331</v>
      </c>
      <c r="E179" s="155">
        <f>IFERROR(MIN(1,COUNTIFS('Product Order Book'!$A$2:$A$1057,$A179,'Product Order Book'!$E$2:$E$1057,E$3)/INDEX('Clean Package Product Lists'!$C:$C,MATCH(E$3,'Clean Package Product Lists'!$A:$A,0))),"")</f>
        <v>0</v>
      </c>
      <c r="F179" s="155">
        <f>IFERROR(MIN(1,COUNTIFS('Product Order Book'!$A$2:$A$1057,$A179,'Product Order Book'!$E$2:$E$1057,F$3)/INDEX('Clean Package Product Lists'!$C:$C,MATCH(F$3,'Clean Package Product Lists'!$A:$A,0))),"")</f>
        <v>0</v>
      </c>
      <c r="G179" s="155">
        <f>IFERROR(MIN(1,COUNTIFS('Product Order Book'!$A$2:$A$1057,$A179,'Product Order Book'!$E$2:$E$1057,G$3)/INDEX('Clean Package Product Lists'!$C:$C,MATCH(G$3,'Clean Package Product Lists'!$A:$A,0))),"")</f>
        <v>0</v>
      </c>
      <c r="H179" s="155">
        <f>IFERROR(MIN(1,COUNTIFS('Product Order Book'!$A$2:$A$1057,$A179,'Product Order Book'!$E$2:$E$1057,H$3)/INDEX('Clean Package Product Lists'!$C:$C,MATCH(H$3,'Clean Package Product Lists'!$A:$A,0))),"")</f>
        <v>0</v>
      </c>
      <c r="I179" s="155">
        <f>IFERROR(MIN(1,COUNTIFS('Product Order Book'!$A$2:$A$1057,$A179,'Product Order Book'!$E$2:$E$1057,I$3)/INDEX('Clean Package Product Lists'!$C:$C,MATCH(I$3,'Clean Package Product Lists'!$A:$A,0))),"")</f>
        <v>0</v>
      </c>
      <c r="J179" s="155">
        <f>IFERROR(MIN(1,COUNTIFS('Product Order Book'!$A$2:$A$1057,$A179,'Product Order Book'!$E$2:$E$1057,J$3)/INDEX('Clean Package Product Lists'!$C:$C,MATCH(J$3,'Clean Package Product Lists'!$A:$A,0))),"")</f>
        <v>0</v>
      </c>
      <c r="K179" s="155">
        <f>IFERROR(MIN(1,COUNTIFS('Product Order Book'!$A$2:$A$1057,$A179,'Product Order Book'!$E$2:$E$1057,K$3)/INDEX('Clean Package Product Lists'!$C:$C,MATCH(K$3,'Clean Package Product Lists'!$A:$A,0))),"")</f>
        <v>0</v>
      </c>
      <c r="L179" s="154"/>
      <c r="M179" s="156" t="str">
        <f>IF(COUNTIFS('Product Order Book'!$A:$A,$A179,'Product Order Book'!$E:$E,M$3)&gt;0,"✓ Takes",IF(IFERROR(VLOOKUP($A179,'Whitespace Analysis'!$A:$AH,12,0),0)=1,"◎ Should","– N/A"))</f>
        <v>◎ Should</v>
      </c>
      <c r="N179" s="156" t="str">
        <f>IF(COUNTIFS('Product Order Book'!$A:$A,$A179,'Product Order Book'!$E:$E,N$3)&gt;0,"✓ Takes",IF(IFERROR(VLOOKUP($A179,'Whitespace Analysis'!$A:$AH,20,0),0)=1,"◎ Should","– N/A"))</f>
        <v>– N/A</v>
      </c>
      <c r="O179" s="156" t="str">
        <f>IF(COUNTIFS('Product Order Book'!$A:$A,$A179,'Product Order Book'!$E:$E,O$3)&gt;0,"✓ Takes",IF(IFERROR(VLOOKUP($A179,'Whitespace Analysis'!$A:$AH,22,0),0)=1,"◎ Should","– N/A"))</f>
        <v>✓ Takes</v>
      </c>
      <c r="P179" s="156" t="str">
        <f>IF(COUNTIFS('Product Order Book'!$A:$A,$A179,'Product Order Book'!$E:$E,P$3)&gt;0,"✓ Takes",IF(IFERROR(VLOOKUP($A179,'Whitespace Analysis'!$A:$AH,24,0),0)=1,"◎ Should","– N/A"))</f>
        <v>– N/A</v>
      </c>
      <c r="Q179" s="156" t="str">
        <f>IF(COUNTIFS('Product Order Book'!$A:$A,$A179,'Product Order Book'!$E:$E,Q$3)&gt;0,"✓ Takes",IF(IFERROR(VLOOKUP($A179,'Whitespace Analysis'!$A:$AH,26,0),0)=1,"◎ Should","– N/A"))</f>
        <v>– N/A</v>
      </c>
      <c r="R179" s="156" t="str">
        <f>IF(COUNTIFS('Product Order Book'!$A:$A,$A179,'Product Order Book'!$E:$E,R$3)&gt;0,"✓ Takes",IF(IFERROR(VLOOKUP($A179,'Whitespace Analysis'!$A:$AH,16,0),0)=1,"◎ Should","– N/A"))</f>
        <v>◎ Should</v>
      </c>
      <c r="S179" s="156" t="str">
        <f>IF(COUNTIFS('Product Order Book'!$A:$A,$A179,'Product Order Book'!$E:$E,S$3)&gt;0,"✓ Takes",IF(IFERROR(VLOOKUP($A179,'Whitespace Analysis'!$A:$AH,18,0),0)=1,"◎ Should","– N/A"))</f>
        <v>◎ Should</v>
      </c>
      <c r="T179" s="156" t="str">
        <f>IF(COUNTIFS('Product Order Book'!$A:$A,$A179,'Product Order Book'!$E:$E,T$3)&gt;0,"✓ Takes",IF(IFERROR(VLOOKUP($A179,'Whitespace Analysis'!$A:$AH,28,0),0)=1,"◎ Should","– N/A"))</f>
        <v>◎ Should</v>
      </c>
      <c r="U179" s="156" t="str">
        <f>IF(COUNTIFS('Product Order Book'!$A:$A,$A179,'Product Order Book'!$E:$E,U$3)&gt;0,"✓ Takes",IF(IFERROR(VLOOKUP($A179,'Whitespace Analysis'!$A:$AH,30,0),0)=1,"◎ Should","– N/A"))</f>
        <v>– N/A</v>
      </c>
      <c r="V179" s="156" t="str">
        <f>IF(COUNTIFS('Product Order Book'!$A:$A,$A179,'Product Order Book'!$E:$E,V$3)&gt;0,"✓ Takes",IF(IFERROR(VLOOKUP($A179,'Whitespace Analysis'!$A:$AH,14,0),0)=1,"◎ Should","– N/A"))</f>
        <v>– N/A</v>
      </c>
    </row>
    <row r="180" spans="1:22" ht="15" customHeight="1">
      <c r="A180" s="154" t="str">
        <v>TEDOM Power UK Limited</v>
      </c>
      <c r="B180" s="155">
        <f>IFERROR(MIN(1,COUNTIFS('Product Order Book'!$A$2:$A$1057,$A180,'Product Order Book'!$E$2:$E$1057,B$3)/INDEX('Clean Package Product Lists'!$C:$C,MATCH(B$3,'Clean Package Product Lists'!$A:$A,0))),"")</f>
        <v>0</v>
      </c>
      <c r="C180" s="155">
        <f>IFERROR(MIN(1,COUNTIFS('Product Order Book'!$A$2:$A$1057,$A180,'Product Order Book'!$E$2:$E$1057,C$3)/INDEX('Clean Package Product Lists'!$C:$C,MATCH(C$3,'Clean Package Product Lists'!$A:$A,0))),"")</f>
        <v>0</v>
      </c>
      <c r="D180" s="155">
        <f>IFERROR(MIN(1,COUNTIFS('Product Order Book'!$A$2:$A$1057,$A180,'Product Order Book'!$E$2:$E$1057,D$3)/INDEX('Clean Package Product Lists'!$C:$C,MATCH(D$3,'Clean Package Product Lists'!$A:$A,0))),"")</f>
        <v>0</v>
      </c>
      <c r="E180" s="155">
        <f>IFERROR(MIN(1,COUNTIFS('Product Order Book'!$A$2:$A$1057,$A180,'Product Order Book'!$E$2:$E$1057,E$3)/INDEX('Clean Package Product Lists'!$C:$C,MATCH(E$3,'Clean Package Product Lists'!$A:$A,0))),"")</f>
        <v>0</v>
      </c>
      <c r="F180" s="155">
        <f>IFERROR(MIN(1,COUNTIFS('Product Order Book'!$A$2:$A$1057,$A180,'Product Order Book'!$E$2:$E$1057,F$3)/INDEX('Clean Package Product Lists'!$C:$C,MATCH(F$3,'Clean Package Product Lists'!$A:$A,0))),"")</f>
        <v>0</v>
      </c>
      <c r="G180" s="155">
        <f>IFERROR(MIN(1,COUNTIFS('Product Order Book'!$A$2:$A$1057,$A180,'Product Order Book'!$E$2:$E$1057,G$3)/INDEX('Clean Package Product Lists'!$C:$C,MATCH(G$3,'Clean Package Product Lists'!$A:$A,0))),"")</f>
        <v>0</v>
      </c>
      <c r="H180" s="155">
        <f>IFERROR(MIN(1,COUNTIFS('Product Order Book'!$A$2:$A$1057,$A180,'Product Order Book'!$E$2:$E$1057,H$3)/INDEX('Clean Package Product Lists'!$C:$C,MATCH(H$3,'Clean Package Product Lists'!$A:$A,0))),"")</f>
        <v>0</v>
      </c>
      <c r="I180" s="155">
        <f>IFERROR(MIN(1,COUNTIFS('Product Order Book'!$A$2:$A$1057,$A180,'Product Order Book'!$E$2:$E$1057,I$3)/INDEX('Clean Package Product Lists'!$C:$C,MATCH(I$3,'Clean Package Product Lists'!$A:$A,0))),"")</f>
        <v>0</v>
      </c>
      <c r="J180" s="155">
        <f>IFERROR(MIN(1,COUNTIFS('Product Order Book'!$A$2:$A$1057,$A180,'Product Order Book'!$E$2:$E$1057,J$3)/INDEX('Clean Package Product Lists'!$C:$C,MATCH(J$3,'Clean Package Product Lists'!$A:$A,0))),"")</f>
        <v>1</v>
      </c>
      <c r="K180" s="155">
        <f>IFERROR(MIN(1,COUNTIFS('Product Order Book'!$A$2:$A$1057,$A180,'Product Order Book'!$E$2:$E$1057,K$3)/INDEX('Clean Package Product Lists'!$C:$C,MATCH(K$3,'Clean Package Product Lists'!$A:$A,0))),"")</f>
        <v>0</v>
      </c>
      <c r="L180" s="154"/>
      <c r="M180" s="156" t="str">
        <f>IF(COUNTIFS('Product Order Book'!$A:$A,$A180,'Product Order Book'!$E:$E,M$3)&gt;0,"✓ Takes",IF(IFERROR(VLOOKUP($A180,'Whitespace Analysis'!$A:$AH,12,0),0)=1,"◎ Should","– N/A"))</f>
        <v>– N/A</v>
      </c>
      <c r="N180" s="156" t="str">
        <f>IF(COUNTIFS('Product Order Book'!$A:$A,$A180,'Product Order Book'!$E:$E,N$3)&gt;0,"✓ Takes",IF(IFERROR(VLOOKUP($A180,'Whitespace Analysis'!$A:$AH,20,0),0)=1,"◎ Should","– N/A"))</f>
        <v>– N/A</v>
      </c>
      <c r="O180" s="156" t="str">
        <f>IF(COUNTIFS('Product Order Book'!$A:$A,$A180,'Product Order Book'!$E:$E,O$3)&gt;0,"✓ Takes",IF(IFERROR(VLOOKUP($A180,'Whitespace Analysis'!$A:$AH,22,0),0)=1,"◎ Should","– N/A"))</f>
        <v>– N/A</v>
      </c>
      <c r="P180" s="156" t="str">
        <f>IF(COUNTIFS('Product Order Book'!$A:$A,$A180,'Product Order Book'!$E:$E,P$3)&gt;0,"✓ Takes",IF(IFERROR(VLOOKUP($A180,'Whitespace Analysis'!$A:$AH,24,0),0)=1,"◎ Should","– N/A"))</f>
        <v>– N/A</v>
      </c>
      <c r="Q180" s="156" t="str">
        <f>IF(COUNTIFS('Product Order Book'!$A:$A,$A180,'Product Order Book'!$E:$E,Q$3)&gt;0,"✓ Takes",IF(IFERROR(VLOOKUP($A180,'Whitespace Analysis'!$A:$AH,26,0),0)=1,"◎ Should","– N/A"))</f>
        <v>– N/A</v>
      </c>
      <c r="R180" s="156" t="str">
        <f>IF(COUNTIFS('Product Order Book'!$A:$A,$A180,'Product Order Book'!$E:$E,R$3)&gt;0,"✓ Takes",IF(IFERROR(VLOOKUP($A180,'Whitespace Analysis'!$A:$AH,16,0),0)=1,"◎ Should","– N/A"))</f>
        <v>– N/A</v>
      </c>
      <c r="S180" s="156" t="str">
        <f>IF(COUNTIFS('Product Order Book'!$A:$A,$A180,'Product Order Book'!$E:$E,S$3)&gt;0,"✓ Takes",IF(IFERROR(VLOOKUP($A180,'Whitespace Analysis'!$A:$AH,18,0),0)=1,"◎ Should","– N/A"))</f>
        <v>– N/A</v>
      </c>
      <c r="T180" s="156" t="str">
        <f>IF(COUNTIFS('Product Order Book'!$A:$A,$A180,'Product Order Book'!$E:$E,T$3)&gt;0,"✓ Takes",IF(IFERROR(VLOOKUP($A180,'Whitespace Analysis'!$A:$AH,28,0),0)=1,"◎ Should","– N/A"))</f>
        <v>– N/A</v>
      </c>
      <c r="U180" s="156" t="str">
        <f>IF(COUNTIFS('Product Order Book'!$A:$A,$A180,'Product Order Book'!$E:$E,U$3)&gt;0,"✓ Takes",IF(IFERROR(VLOOKUP($A180,'Whitespace Analysis'!$A:$AH,30,0),0)=1,"◎ Should","– N/A"))</f>
        <v>✓ Takes</v>
      </c>
      <c r="V180" s="156" t="str">
        <f>IF(COUNTIFS('Product Order Book'!$A:$A,$A180,'Product Order Book'!$E:$E,V$3)&gt;0,"✓ Takes",IF(IFERROR(VLOOKUP($A180,'Whitespace Analysis'!$A:$AH,14,0),0)=1,"◎ Should","– N/A"))</f>
        <v>– N/A</v>
      </c>
    </row>
    <row r="181" spans="1:22" ht="15" customHeight="1">
      <c r="A181" s="154" t="str">
        <v>Tem Energy Ltd</v>
      </c>
      <c r="B181" s="155">
        <f>IFERROR(MIN(1,COUNTIFS('Product Order Book'!$A$2:$A$1057,$A181,'Product Order Book'!$E$2:$E$1057,B$3)/INDEX('Clean Package Product Lists'!$C:$C,MATCH(B$3,'Clean Package Product Lists'!$A:$A,0))),"")</f>
        <v>0</v>
      </c>
      <c r="C181" s="155">
        <f>IFERROR(MIN(1,COUNTIFS('Product Order Book'!$A$2:$A$1057,$A181,'Product Order Book'!$E$2:$E$1057,C$3)/INDEX('Clean Package Product Lists'!$C:$C,MATCH(C$3,'Clean Package Product Lists'!$A:$A,0))),"")</f>
        <v>0</v>
      </c>
      <c r="D181" s="155">
        <f>IFERROR(MIN(1,COUNTIFS('Product Order Book'!$A$2:$A$1057,$A181,'Product Order Book'!$E$2:$E$1057,D$3)/INDEX('Clean Package Product Lists'!$C:$C,MATCH(D$3,'Clean Package Product Lists'!$A:$A,0))),"")</f>
        <v>0</v>
      </c>
      <c r="E181" s="155">
        <f>IFERROR(MIN(1,COUNTIFS('Product Order Book'!$A$2:$A$1057,$A181,'Product Order Book'!$E$2:$E$1057,E$3)/INDEX('Clean Package Product Lists'!$C:$C,MATCH(E$3,'Clean Package Product Lists'!$A:$A,0))),"")</f>
        <v>0</v>
      </c>
      <c r="F181" s="155">
        <f>IFERROR(MIN(1,COUNTIFS('Product Order Book'!$A$2:$A$1057,$A181,'Product Order Book'!$E$2:$E$1057,F$3)/INDEX('Clean Package Product Lists'!$C:$C,MATCH(F$3,'Clean Package Product Lists'!$A:$A,0))),"")</f>
        <v>0</v>
      </c>
      <c r="G181" s="155">
        <f>IFERROR(MIN(1,COUNTIFS('Product Order Book'!$A$2:$A$1057,$A181,'Product Order Book'!$E$2:$E$1057,G$3)/INDEX('Clean Package Product Lists'!$C:$C,MATCH(G$3,'Clean Package Product Lists'!$A:$A,0))),"")</f>
        <v>0</v>
      </c>
      <c r="H181" s="155">
        <f>IFERROR(MIN(1,COUNTIFS('Product Order Book'!$A$2:$A$1057,$A181,'Product Order Book'!$E$2:$E$1057,H$3)/INDEX('Clean Package Product Lists'!$C:$C,MATCH(H$3,'Clean Package Product Lists'!$A:$A,0))),"")</f>
        <v>0</v>
      </c>
      <c r="I181" s="155">
        <f>IFERROR(MIN(1,COUNTIFS('Product Order Book'!$A$2:$A$1057,$A181,'Product Order Book'!$E$2:$E$1057,I$3)/INDEX('Clean Package Product Lists'!$C:$C,MATCH(I$3,'Clean Package Product Lists'!$A:$A,0))),"")</f>
        <v>0</v>
      </c>
      <c r="J181" s="155">
        <f>IFERROR(MIN(1,COUNTIFS('Product Order Book'!$A$2:$A$1057,$A181,'Product Order Book'!$E$2:$E$1057,J$3)/INDEX('Clean Package Product Lists'!$C:$C,MATCH(J$3,'Clean Package Product Lists'!$A:$A,0))),"")</f>
        <v>1</v>
      </c>
      <c r="K181" s="155">
        <f>IFERROR(MIN(1,COUNTIFS('Product Order Book'!$A$2:$A$1057,$A181,'Product Order Book'!$E$2:$E$1057,K$3)/INDEX('Clean Package Product Lists'!$C:$C,MATCH(K$3,'Clean Package Product Lists'!$A:$A,0))),"")</f>
        <v>0</v>
      </c>
      <c r="L181" s="154"/>
      <c r="M181" s="156" t="str">
        <f>IF(COUNTIFS('Product Order Book'!$A:$A,$A181,'Product Order Book'!$E:$E,M$3)&gt;0,"✓ Takes",IF(IFERROR(VLOOKUP($A181,'Whitespace Analysis'!$A:$AH,12,0),0)=1,"◎ Should","– N/A"))</f>
        <v>◎ Should</v>
      </c>
      <c r="N181" s="156" t="str">
        <f>IF(COUNTIFS('Product Order Book'!$A:$A,$A181,'Product Order Book'!$E:$E,N$3)&gt;0,"✓ Takes",IF(IFERROR(VLOOKUP($A181,'Whitespace Analysis'!$A:$AH,20,0),0)=1,"◎ Should","– N/A"))</f>
        <v>– N/A</v>
      </c>
      <c r="O181" s="156" t="str">
        <f>IF(COUNTIFS('Product Order Book'!$A:$A,$A181,'Product Order Book'!$E:$E,O$3)&gt;0,"✓ Takes",IF(IFERROR(VLOOKUP($A181,'Whitespace Analysis'!$A:$AH,22,0),0)=1,"◎ Should","– N/A"))</f>
        <v>– N/A</v>
      </c>
      <c r="P181" s="156" t="str">
        <f>IF(COUNTIFS('Product Order Book'!$A:$A,$A181,'Product Order Book'!$E:$E,P$3)&gt;0,"✓ Takes",IF(IFERROR(VLOOKUP($A181,'Whitespace Analysis'!$A:$AH,24,0),0)=1,"◎ Should","– N/A"))</f>
        <v>– N/A</v>
      </c>
      <c r="Q181" s="156" t="str">
        <f>IF(COUNTIFS('Product Order Book'!$A:$A,$A181,'Product Order Book'!$E:$E,Q$3)&gt;0,"✓ Takes",IF(IFERROR(VLOOKUP($A181,'Whitespace Analysis'!$A:$AH,26,0),0)=1,"◎ Should","– N/A"))</f>
        <v>– N/A</v>
      </c>
      <c r="R181" s="156" t="str">
        <f>IF(COUNTIFS('Product Order Book'!$A:$A,$A181,'Product Order Book'!$E:$E,R$3)&gt;0,"✓ Takes",IF(IFERROR(VLOOKUP($A181,'Whitespace Analysis'!$A:$AH,16,0),0)=1,"◎ Should","– N/A"))</f>
        <v>– N/A</v>
      </c>
      <c r="S181" s="156" t="str">
        <f>IF(COUNTIFS('Product Order Book'!$A:$A,$A181,'Product Order Book'!$E:$E,S$3)&gt;0,"✓ Takes",IF(IFERROR(VLOOKUP($A181,'Whitespace Analysis'!$A:$AH,18,0),0)=1,"◎ Should","– N/A"))</f>
        <v>– N/A</v>
      </c>
      <c r="T181" s="156" t="str">
        <f>IF(COUNTIFS('Product Order Book'!$A:$A,$A181,'Product Order Book'!$E:$E,T$3)&gt;0,"✓ Takes",IF(IFERROR(VLOOKUP($A181,'Whitespace Analysis'!$A:$AH,28,0),0)=1,"◎ Should","– N/A"))</f>
        <v>◎ Should</v>
      </c>
      <c r="U181" s="156" t="str">
        <f>IF(COUNTIFS('Product Order Book'!$A:$A,$A181,'Product Order Book'!$E:$E,U$3)&gt;0,"✓ Takes",IF(IFERROR(VLOOKUP($A181,'Whitespace Analysis'!$A:$AH,30,0),0)=1,"◎ Should","– N/A"))</f>
        <v>✓ Takes</v>
      </c>
      <c r="V181" s="156" t="str">
        <f>IF(COUNTIFS('Product Order Book'!$A:$A,$A181,'Product Order Book'!$E:$E,V$3)&gt;0,"✓ Takes",IF(IFERROR(VLOOKUP($A181,'Whitespace Analysis'!$A:$AH,14,0),0)=1,"◎ Should","– N/A"))</f>
        <v>◎ Should</v>
      </c>
    </row>
    <row r="182" spans="1:22" ht="15" customHeight="1">
      <c r="A182" s="154" t="str">
        <v>Tesla Motors Netherlands B.V.</v>
      </c>
      <c r="B182" s="155">
        <f>IFERROR(MIN(1,COUNTIFS('Product Order Book'!$A$2:$A$1057,$A182,'Product Order Book'!$E$2:$E$1057,B$3)/INDEX('Clean Package Product Lists'!$C:$C,MATCH(B$3,'Clean Package Product Lists'!$A:$A,0))),"")</f>
        <v>1</v>
      </c>
      <c r="C182" s="155">
        <f>IFERROR(MIN(1,COUNTIFS('Product Order Book'!$A$2:$A$1057,$A182,'Product Order Book'!$E$2:$E$1057,C$3)/INDEX('Clean Package Product Lists'!$C:$C,MATCH(C$3,'Clean Package Product Lists'!$A:$A,0))),"")</f>
        <v>0</v>
      </c>
      <c r="D182" s="155">
        <f>IFERROR(MIN(1,COUNTIFS('Product Order Book'!$A$2:$A$1057,$A182,'Product Order Book'!$E$2:$E$1057,D$3)/INDEX('Clean Package Product Lists'!$C:$C,MATCH(D$3,'Clean Package Product Lists'!$A:$A,0))),"")</f>
        <v>0</v>
      </c>
      <c r="E182" s="155">
        <f>IFERROR(MIN(1,COUNTIFS('Product Order Book'!$A$2:$A$1057,$A182,'Product Order Book'!$E$2:$E$1057,E$3)/INDEX('Clean Package Product Lists'!$C:$C,MATCH(E$3,'Clean Package Product Lists'!$A:$A,0))),"")</f>
        <v>1</v>
      </c>
      <c r="F182" s="155">
        <f>IFERROR(MIN(1,COUNTIFS('Product Order Book'!$A$2:$A$1057,$A182,'Product Order Book'!$E$2:$E$1057,F$3)/INDEX('Clean Package Product Lists'!$C:$C,MATCH(F$3,'Clean Package Product Lists'!$A:$A,0))),"")</f>
        <v>0</v>
      </c>
      <c r="G182" s="155">
        <f>IFERROR(MIN(1,COUNTIFS('Product Order Book'!$A$2:$A$1057,$A182,'Product Order Book'!$E$2:$E$1057,G$3)/INDEX('Clean Package Product Lists'!$C:$C,MATCH(G$3,'Clean Package Product Lists'!$A:$A,0))),"")</f>
        <v>0</v>
      </c>
      <c r="H182" s="155">
        <f>IFERROR(MIN(1,COUNTIFS('Product Order Book'!$A$2:$A$1057,$A182,'Product Order Book'!$E$2:$E$1057,H$3)/INDEX('Clean Package Product Lists'!$C:$C,MATCH(H$3,'Clean Package Product Lists'!$A:$A,0))),"")</f>
        <v>0</v>
      </c>
      <c r="I182" s="155">
        <f>IFERROR(MIN(1,COUNTIFS('Product Order Book'!$A$2:$A$1057,$A182,'Product Order Book'!$E$2:$E$1057,I$3)/INDEX('Clean Package Product Lists'!$C:$C,MATCH(I$3,'Clean Package Product Lists'!$A:$A,0))),"")</f>
        <v>0</v>
      </c>
      <c r="J182" s="155">
        <f>IFERROR(MIN(1,COUNTIFS('Product Order Book'!$A$2:$A$1057,$A182,'Product Order Book'!$E$2:$E$1057,J$3)/INDEX('Clean Package Product Lists'!$C:$C,MATCH(J$3,'Clean Package Product Lists'!$A:$A,0))),"")</f>
        <v>0</v>
      </c>
      <c r="K182" s="155">
        <f>IFERROR(MIN(1,COUNTIFS('Product Order Book'!$A$2:$A$1057,$A182,'Product Order Book'!$E$2:$E$1057,K$3)/INDEX('Clean Package Product Lists'!$C:$C,MATCH(K$3,'Clean Package Product Lists'!$A:$A,0))),"")</f>
        <v>1</v>
      </c>
      <c r="L182" s="154"/>
      <c r="M182" s="156" t="str">
        <f>IF(COUNTIFS('Product Order Book'!$A:$A,$A182,'Product Order Book'!$E:$E,M$3)&gt;0,"✓ Takes",IF(IFERROR(VLOOKUP($A182,'Whitespace Analysis'!$A:$AH,12,0),0)=1,"◎ Should","– N/A"))</f>
        <v>✓ Takes</v>
      </c>
      <c r="N182" s="156" t="str">
        <f>IF(COUNTIFS('Product Order Book'!$A:$A,$A182,'Product Order Book'!$E:$E,N$3)&gt;0,"✓ Takes",IF(IFERROR(VLOOKUP($A182,'Whitespace Analysis'!$A:$AH,20,0),0)=1,"◎ Should","– N/A"))</f>
        <v>– N/A</v>
      </c>
      <c r="O182" s="156" t="str">
        <f>IF(COUNTIFS('Product Order Book'!$A:$A,$A182,'Product Order Book'!$E:$E,O$3)&gt;0,"✓ Takes",IF(IFERROR(VLOOKUP($A182,'Whitespace Analysis'!$A:$AH,22,0),0)=1,"◎ Should","– N/A"))</f>
        <v>– N/A</v>
      </c>
      <c r="P182" s="156" t="str">
        <f>IF(COUNTIFS('Product Order Book'!$A:$A,$A182,'Product Order Book'!$E:$E,P$3)&gt;0,"✓ Takes",IF(IFERROR(VLOOKUP($A182,'Whitespace Analysis'!$A:$AH,24,0),0)=1,"◎ Should","– N/A"))</f>
        <v>✓ Takes</v>
      </c>
      <c r="Q182" s="156" t="str">
        <f>IF(COUNTIFS('Product Order Book'!$A:$A,$A182,'Product Order Book'!$E:$E,Q$3)&gt;0,"✓ Takes",IF(IFERROR(VLOOKUP($A182,'Whitespace Analysis'!$A:$AH,26,0),0)=1,"◎ Should","– N/A"))</f>
        <v>◎ Should</v>
      </c>
      <c r="R182" s="156" t="str">
        <f>IF(COUNTIFS('Product Order Book'!$A:$A,$A182,'Product Order Book'!$E:$E,R$3)&gt;0,"✓ Takes",IF(IFERROR(VLOOKUP($A182,'Whitespace Analysis'!$A:$AH,16,0),0)=1,"◎ Should","– N/A"))</f>
        <v>◎ Should</v>
      </c>
      <c r="S182" s="156" t="str">
        <f>IF(COUNTIFS('Product Order Book'!$A:$A,$A182,'Product Order Book'!$E:$E,S$3)&gt;0,"✓ Takes",IF(IFERROR(VLOOKUP($A182,'Whitespace Analysis'!$A:$AH,18,0),0)=1,"◎ Should","– N/A"))</f>
        <v>◎ Should</v>
      </c>
      <c r="T182" s="156" t="str">
        <f>IF(COUNTIFS('Product Order Book'!$A:$A,$A182,'Product Order Book'!$E:$E,T$3)&gt;0,"✓ Takes",IF(IFERROR(VLOOKUP($A182,'Whitespace Analysis'!$A:$AH,28,0),0)=1,"◎ Should","– N/A"))</f>
        <v>– N/A</v>
      </c>
      <c r="U182" s="156" t="str">
        <f>IF(COUNTIFS('Product Order Book'!$A:$A,$A182,'Product Order Book'!$E:$E,U$3)&gt;0,"✓ Takes",IF(IFERROR(VLOOKUP($A182,'Whitespace Analysis'!$A:$AH,30,0),0)=1,"◎ Should","– N/A"))</f>
        <v>◎ Should</v>
      </c>
      <c r="V182" s="156" t="str">
        <f>IF(COUNTIFS('Product Order Book'!$A:$A,$A182,'Product Order Book'!$E:$E,V$3)&gt;0,"✓ Takes",IF(IFERROR(VLOOKUP($A182,'Whitespace Analysis'!$A:$AH,14,0),0)=1,"◎ Should","– N/A"))</f>
        <v>✓ Takes</v>
      </c>
    </row>
    <row r="183" spans="1:22" ht="15" customHeight="1">
      <c r="A183" s="154" t="str">
        <v>Thames Water Utilities Limited</v>
      </c>
      <c r="B183" s="155">
        <f>IFERROR(MIN(1,COUNTIFS('Product Order Book'!$A$2:$A$1057,$A183,'Product Order Book'!$E$2:$E$1057,B$3)/INDEX('Clean Package Product Lists'!$C:$C,MATCH(B$3,'Clean Package Product Lists'!$A:$A,0))),"")</f>
        <v>1</v>
      </c>
      <c r="C183" s="155">
        <f>IFERROR(MIN(1,COUNTIFS('Product Order Book'!$A$2:$A$1057,$A183,'Product Order Book'!$E$2:$E$1057,C$3)/INDEX('Clean Package Product Lists'!$C:$C,MATCH(C$3,'Clean Package Product Lists'!$A:$A,0))),"")</f>
        <v>0.14285714285714285</v>
      </c>
      <c r="D183" s="155">
        <f>IFERROR(MIN(1,COUNTIFS('Product Order Book'!$A$2:$A$1057,$A183,'Product Order Book'!$E$2:$E$1057,D$3)/INDEX('Clean Package Product Lists'!$C:$C,MATCH(D$3,'Clean Package Product Lists'!$A:$A,0))),"")</f>
        <v>0.33333333333333331</v>
      </c>
      <c r="E183" s="155">
        <f>IFERROR(MIN(1,COUNTIFS('Product Order Book'!$A$2:$A$1057,$A183,'Product Order Book'!$E$2:$E$1057,E$3)/INDEX('Clean Package Product Lists'!$C:$C,MATCH(E$3,'Clean Package Product Lists'!$A:$A,0))),"")</f>
        <v>0</v>
      </c>
      <c r="F183" s="155">
        <f>IFERROR(MIN(1,COUNTIFS('Product Order Book'!$A$2:$A$1057,$A183,'Product Order Book'!$E$2:$E$1057,F$3)/INDEX('Clean Package Product Lists'!$C:$C,MATCH(F$3,'Clean Package Product Lists'!$A:$A,0))),"")</f>
        <v>0</v>
      </c>
      <c r="G183" s="155">
        <f>IFERROR(MIN(1,COUNTIFS('Product Order Book'!$A$2:$A$1057,$A183,'Product Order Book'!$E$2:$E$1057,G$3)/INDEX('Clean Package Product Lists'!$C:$C,MATCH(G$3,'Clean Package Product Lists'!$A:$A,0))),"")</f>
        <v>0</v>
      </c>
      <c r="H183" s="155">
        <f>IFERROR(MIN(1,COUNTIFS('Product Order Book'!$A$2:$A$1057,$A183,'Product Order Book'!$E$2:$E$1057,H$3)/INDEX('Clean Package Product Lists'!$C:$C,MATCH(H$3,'Clean Package Product Lists'!$A:$A,0))),"")</f>
        <v>0.75</v>
      </c>
      <c r="I183" s="155">
        <f>IFERROR(MIN(1,COUNTIFS('Product Order Book'!$A$2:$A$1057,$A183,'Product Order Book'!$E$2:$E$1057,I$3)/INDEX('Clean Package Product Lists'!$C:$C,MATCH(I$3,'Clean Package Product Lists'!$A:$A,0))),"")</f>
        <v>0</v>
      </c>
      <c r="J183" s="155">
        <f>IFERROR(MIN(1,COUNTIFS('Product Order Book'!$A$2:$A$1057,$A183,'Product Order Book'!$E$2:$E$1057,J$3)/INDEX('Clean Package Product Lists'!$C:$C,MATCH(J$3,'Clean Package Product Lists'!$A:$A,0))),"")</f>
        <v>0</v>
      </c>
      <c r="K183" s="155">
        <f>IFERROR(MIN(1,COUNTIFS('Product Order Book'!$A$2:$A$1057,$A183,'Product Order Book'!$E$2:$E$1057,K$3)/INDEX('Clean Package Product Lists'!$C:$C,MATCH(K$3,'Clean Package Product Lists'!$A:$A,0))),"")</f>
        <v>0</v>
      </c>
      <c r="L183" s="154"/>
      <c r="M183" s="156" t="str">
        <f>IF(COUNTIFS('Product Order Book'!$A:$A,$A183,'Product Order Book'!$E:$E,M$3)&gt;0,"✓ Takes",IF(IFERROR(VLOOKUP($A183,'Whitespace Analysis'!$A:$AH,12,0),0)=1,"◎ Should","– N/A"))</f>
        <v>✓ Takes</v>
      </c>
      <c r="N183" s="156" t="str">
        <f>IF(COUNTIFS('Product Order Book'!$A:$A,$A183,'Product Order Book'!$E:$E,N$3)&gt;0,"✓ Takes",IF(IFERROR(VLOOKUP($A183,'Whitespace Analysis'!$A:$AH,20,0),0)=1,"◎ Should","– N/A"))</f>
        <v>✓ Takes</v>
      </c>
      <c r="O183" s="156" t="str">
        <f>IF(COUNTIFS('Product Order Book'!$A:$A,$A183,'Product Order Book'!$E:$E,O$3)&gt;0,"✓ Takes",IF(IFERROR(VLOOKUP($A183,'Whitespace Analysis'!$A:$AH,22,0),0)=1,"◎ Should","– N/A"))</f>
        <v>✓ Takes</v>
      </c>
      <c r="P183" s="156" t="str">
        <f>IF(COUNTIFS('Product Order Book'!$A:$A,$A183,'Product Order Book'!$E:$E,P$3)&gt;0,"✓ Takes",IF(IFERROR(VLOOKUP($A183,'Whitespace Analysis'!$A:$AH,24,0),0)=1,"◎ Should","– N/A"))</f>
        <v>– N/A</v>
      </c>
      <c r="Q183" s="156" t="str">
        <f>IF(COUNTIFS('Product Order Book'!$A:$A,$A183,'Product Order Book'!$E:$E,Q$3)&gt;0,"✓ Takes",IF(IFERROR(VLOOKUP($A183,'Whitespace Analysis'!$A:$AH,26,0),0)=1,"◎ Should","– N/A"))</f>
        <v>– N/A</v>
      </c>
      <c r="R183" s="156" t="str">
        <f>IF(COUNTIFS('Product Order Book'!$A:$A,$A183,'Product Order Book'!$E:$E,R$3)&gt;0,"✓ Takes",IF(IFERROR(VLOOKUP($A183,'Whitespace Analysis'!$A:$AH,16,0),0)=1,"◎ Should","– N/A"))</f>
        <v>– N/A</v>
      </c>
      <c r="S183" s="156" t="str">
        <f>IF(COUNTIFS('Product Order Book'!$A:$A,$A183,'Product Order Book'!$E:$E,S$3)&gt;0,"✓ Takes",IF(IFERROR(VLOOKUP($A183,'Whitespace Analysis'!$A:$AH,18,0),0)=1,"◎ Should","– N/A"))</f>
        <v>✓ Takes</v>
      </c>
      <c r="T183" s="156" t="str">
        <f>IF(COUNTIFS('Product Order Book'!$A:$A,$A183,'Product Order Book'!$E:$E,T$3)&gt;0,"✓ Takes",IF(IFERROR(VLOOKUP($A183,'Whitespace Analysis'!$A:$AH,28,0),0)=1,"◎ Should","– N/A"))</f>
        <v>◎ Should</v>
      </c>
      <c r="U183" s="156" t="str">
        <f>IF(COUNTIFS('Product Order Book'!$A:$A,$A183,'Product Order Book'!$E:$E,U$3)&gt;0,"✓ Takes",IF(IFERROR(VLOOKUP($A183,'Whitespace Analysis'!$A:$AH,30,0),0)=1,"◎ Should","– N/A"))</f>
        <v>◎ Should</v>
      </c>
      <c r="V183" s="156" t="str">
        <f>IF(COUNTIFS('Product Order Book'!$A:$A,$A183,'Product Order Book'!$E:$E,V$3)&gt;0,"✓ Takes",IF(IFERROR(VLOOKUP($A183,'Whitespace Analysis'!$A:$AH,14,0),0)=1,"◎ Should","– N/A"))</f>
        <v>◎ Should</v>
      </c>
    </row>
    <row r="184" spans="1:22" ht="15" customHeight="1">
      <c r="A184" s="154" t="str">
        <v>The Association for Decentralised Energy</v>
      </c>
      <c r="B184" s="155">
        <f>IFERROR(MIN(1,COUNTIFS('Product Order Book'!$A$2:$A$1057,$A184,'Product Order Book'!$E$2:$E$1057,B$3)/INDEX('Clean Package Product Lists'!$C:$C,MATCH(B$3,'Clean Package Product Lists'!$A:$A,0))),"")</f>
        <v>1</v>
      </c>
      <c r="C184" s="155">
        <f>IFERROR(MIN(1,COUNTIFS('Product Order Book'!$A$2:$A$1057,$A184,'Product Order Book'!$E$2:$E$1057,C$3)/INDEX('Clean Package Product Lists'!$C:$C,MATCH(C$3,'Clean Package Product Lists'!$A:$A,0))),"")</f>
        <v>0</v>
      </c>
      <c r="D184" s="155">
        <f>IFERROR(MIN(1,COUNTIFS('Product Order Book'!$A$2:$A$1057,$A184,'Product Order Book'!$E$2:$E$1057,D$3)/INDEX('Clean Package Product Lists'!$C:$C,MATCH(D$3,'Clean Package Product Lists'!$A:$A,0))),"")</f>
        <v>0</v>
      </c>
      <c r="E184" s="155">
        <f>IFERROR(MIN(1,COUNTIFS('Product Order Book'!$A$2:$A$1057,$A184,'Product Order Book'!$E$2:$E$1057,E$3)/INDEX('Clean Package Product Lists'!$C:$C,MATCH(E$3,'Clean Package Product Lists'!$A:$A,0))),"")</f>
        <v>0</v>
      </c>
      <c r="F184" s="155">
        <f>IFERROR(MIN(1,COUNTIFS('Product Order Book'!$A$2:$A$1057,$A184,'Product Order Book'!$E$2:$E$1057,F$3)/INDEX('Clean Package Product Lists'!$C:$C,MATCH(F$3,'Clean Package Product Lists'!$A:$A,0))),"")</f>
        <v>0</v>
      </c>
      <c r="G184" s="155">
        <f>IFERROR(MIN(1,COUNTIFS('Product Order Book'!$A$2:$A$1057,$A184,'Product Order Book'!$E$2:$E$1057,G$3)/INDEX('Clean Package Product Lists'!$C:$C,MATCH(G$3,'Clean Package Product Lists'!$A:$A,0))),"")</f>
        <v>0</v>
      </c>
      <c r="H184" s="155">
        <f>IFERROR(MIN(1,COUNTIFS('Product Order Book'!$A$2:$A$1057,$A184,'Product Order Book'!$E$2:$E$1057,H$3)/INDEX('Clean Package Product Lists'!$C:$C,MATCH(H$3,'Clean Package Product Lists'!$A:$A,0))),"")</f>
        <v>0</v>
      </c>
      <c r="I184" s="155">
        <f>IFERROR(MIN(1,COUNTIFS('Product Order Book'!$A$2:$A$1057,$A184,'Product Order Book'!$E$2:$E$1057,I$3)/INDEX('Clean Package Product Lists'!$C:$C,MATCH(I$3,'Clean Package Product Lists'!$A:$A,0))),"")</f>
        <v>0</v>
      </c>
      <c r="J184" s="155">
        <f>IFERROR(MIN(1,COUNTIFS('Product Order Book'!$A$2:$A$1057,$A184,'Product Order Book'!$E$2:$E$1057,J$3)/INDEX('Clean Package Product Lists'!$C:$C,MATCH(J$3,'Clean Package Product Lists'!$A:$A,0))),"")</f>
        <v>0</v>
      </c>
      <c r="K184" s="155">
        <f>IFERROR(MIN(1,COUNTIFS('Product Order Book'!$A$2:$A$1057,$A184,'Product Order Book'!$E$2:$E$1057,K$3)/INDEX('Clean Package Product Lists'!$C:$C,MATCH(K$3,'Clean Package Product Lists'!$A:$A,0))),"")</f>
        <v>0</v>
      </c>
      <c r="L184" s="154"/>
      <c r="M184" s="156" t="str">
        <f>IF(COUNTIFS('Product Order Book'!$A:$A,$A184,'Product Order Book'!$E:$E,M$3)&gt;0,"✓ Takes",IF(IFERROR(VLOOKUP($A184,'Whitespace Analysis'!$A:$AH,12,0),0)=1,"◎ Should","– N/A"))</f>
        <v>✓ Takes</v>
      </c>
      <c r="N184" s="156" t="str">
        <f>IF(COUNTIFS('Product Order Book'!$A:$A,$A184,'Product Order Book'!$E:$E,N$3)&gt;0,"✓ Takes",IF(IFERROR(VLOOKUP($A184,'Whitespace Analysis'!$A:$AH,20,0),0)=1,"◎ Should","– N/A"))</f>
        <v>– N/A</v>
      </c>
      <c r="O184" s="156" t="str">
        <f>IF(COUNTIFS('Product Order Book'!$A:$A,$A184,'Product Order Book'!$E:$E,O$3)&gt;0,"✓ Takes",IF(IFERROR(VLOOKUP($A184,'Whitespace Analysis'!$A:$AH,22,0),0)=1,"◎ Should","– N/A"))</f>
        <v>– N/A</v>
      </c>
      <c r="P184" s="156" t="str">
        <f>IF(COUNTIFS('Product Order Book'!$A:$A,$A184,'Product Order Book'!$E:$E,P$3)&gt;0,"✓ Takes",IF(IFERROR(VLOOKUP($A184,'Whitespace Analysis'!$A:$AH,24,0),0)=1,"◎ Should","– N/A"))</f>
        <v>– N/A</v>
      </c>
      <c r="Q184" s="156" t="str">
        <f>IF(COUNTIFS('Product Order Book'!$A:$A,$A184,'Product Order Book'!$E:$E,Q$3)&gt;0,"✓ Takes",IF(IFERROR(VLOOKUP($A184,'Whitespace Analysis'!$A:$AH,26,0),0)=1,"◎ Should","– N/A"))</f>
        <v>– N/A</v>
      </c>
      <c r="R184" s="156" t="str">
        <f>IF(COUNTIFS('Product Order Book'!$A:$A,$A184,'Product Order Book'!$E:$E,R$3)&gt;0,"✓ Takes",IF(IFERROR(VLOOKUP($A184,'Whitespace Analysis'!$A:$AH,16,0),0)=1,"◎ Should","– N/A"))</f>
        <v>– N/A</v>
      </c>
      <c r="S184" s="156" t="str">
        <f>IF(COUNTIFS('Product Order Book'!$A:$A,$A184,'Product Order Book'!$E:$E,S$3)&gt;0,"✓ Takes",IF(IFERROR(VLOOKUP($A184,'Whitespace Analysis'!$A:$AH,18,0),0)=1,"◎ Should","– N/A"))</f>
        <v>– N/A</v>
      </c>
      <c r="T184" s="156" t="str">
        <f>IF(COUNTIFS('Product Order Book'!$A:$A,$A184,'Product Order Book'!$E:$E,T$3)&gt;0,"✓ Takes",IF(IFERROR(VLOOKUP($A184,'Whitespace Analysis'!$A:$AH,28,0),0)=1,"◎ Should","– N/A"))</f>
        <v>– N/A</v>
      </c>
      <c r="U184" s="156" t="str">
        <f>IF(COUNTIFS('Product Order Book'!$A:$A,$A184,'Product Order Book'!$E:$E,U$3)&gt;0,"✓ Takes",IF(IFERROR(VLOOKUP($A184,'Whitespace Analysis'!$A:$AH,30,0),0)=1,"◎ Should","– N/A"))</f>
        <v>– N/A</v>
      </c>
      <c r="V184" s="156" t="str">
        <f>IF(COUNTIFS('Product Order Book'!$A:$A,$A184,'Product Order Book'!$E:$E,V$3)&gt;0,"✓ Takes",IF(IFERROR(VLOOKUP($A184,'Whitespace Analysis'!$A:$AH,14,0),0)=1,"◎ Should","– N/A"))</f>
        <v>– N/A</v>
      </c>
    </row>
    <row r="185" spans="1:22" ht="15" customHeight="1">
      <c r="A185" s="154" t="str">
        <v>The Crown Estate</v>
      </c>
      <c r="B185" s="155">
        <f>IFERROR(MIN(1,COUNTIFS('Product Order Book'!$A$2:$A$1057,$A185,'Product Order Book'!$E$2:$E$1057,B$3)/INDEX('Clean Package Product Lists'!$C:$C,MATCH(B$3,'Clean Package Product Lists'!$A:$A,0))),"")</f>
        <v>1</v>
      </c>
      <c r="C185" s="155">
        <f>IFERROR(MIN(1,COUNTIFS('Product Order Book'!$A$2:$A$1057,$A185,'Product Order Book'!$E$2:$E$1057,C$3)/INDEX('Clean Package Product Lists'!$C:$C,MATCH(C$3,'Clean Package Product Lists'!$A:$A,0))),"")</f>
        <v>0</v>
      </c>
      <c r="D185" s="155">
        <f>IFERROR(MIN(1,COUNTIFS('Product Order Book'!$A$2:$A$1057,$A185,'Product Order Book'!$E$2:$E$1057,D$3)/INDEX('Clean Package Product Lists'!$C:$C,MATCH(D$3,'Clean Package Product Lists'!$A:$A,0))),"")</f>
        <v>0</v>
      </c>
      <c r="E185" s="155">
        <f>IFERROR(MIN(1,COUNTIFS('Product Order Book'!$A$2:$A$1057,$A185,'Product Order Book'!$E$2:$E$1057,E$3)/INDEX('Clean Package Product Lists'!$C:$C,MATCH(E$3,'Clean Package Product Lists'!$A:$A,0))),"")</f>
        <v>0</v>
      </c>
      <c r="F185" s="155">
        <f>IFERROR(MIN(1,COUNTIFS('Product Order Book'!$A$2:$A$1057,$A185,'Product Order Book'!$E$2:$E$1057,F$3)/INDEX('Clean Package Product Lists'!$C:$C,MATCH(F$3,'Clean Package Product Lists'!$A:$A,0))),"")</f>
        <v>0</v>
      </c>
      <c r="G185" s="155">
        <f>IFERROR(MIN(1,COUNTIFS('Product Order Book'!$A$2:$A$1057,$A185,'Product Order Book'!$E$2:$E$1057,G$3)/INDEX('Clean Package Product Lists'!$C:$C,MATCH(G$3,'Clean Package Product Lists'!$A:$A,0))),"")</f>
        <v>0</v>
      </c>
      <c r="H185" s="155">
        <f>IFERROR(MIN(1,COUNTIFS('Product Order Book'!$A$2:$A$1057,$A185,'Product Order Book'!$E$2:$E$1057,H$3)/INDEX('Clean Package Product Lists'!$C:$C,MATCH(H$3,'Clean Package Product Lists'!$A:$A,0))),"")</f>
        <v>0</v>
      </c>
      <c r="I185" s="155">
        <f>IFERROR(MIN(1,COUNTIFS('Product Order Book'!$A$2:$A$1057,$A185,'Product Order Book'!$E$2:$E$1057,I$3)/INDEX('Clean Package Product Lists'!$C:$C,MATCH(I$3,'Clean Package Product Lists'!$A:$A,0))),"")</f>
        <v>0</v>
      </c>
      <c r="J185" s="155">
        <f>IFERROR(MIN(1,COUNTIFS('Product Order Book'!$A$2:$A$1057,$A185,'Product Order Book'!$E$2:$E$1057,J$3)/INDEX('Clean Package Product Lists'!$C:$C,MATCH(J$3,'Clean Package Product Lists'!$A:$A,0))),"")</f>
        <v>0</v>
      </c>
      <c r="K185" s="155">
        <f>IFERROR(MIN(1,COUNTIFS('Product Order Book'!$A$2:$A$1057,$A185,'Product Order Book'!$E$2:$E$1057,K$3)/INDEX('Clean Package Product Lists'!$C:$C,MATCH(K$3,'Clean Package Product Lists'!$A:$A,0))),"")</f>
        <v>0.2</v>
      </c>
      <c r="L185" s="154"/>
      <c r="M185" s="156" t="str">
        <f>IF(COUNTIFS('Product Order Book'!$A:$A,$A185,'Product Order Book'!$E:$E,M$3)&gt;0,"✓ Takes",IF(IFERROR(VLOOKUP($A185,'Whitespace Analysis'!$A:$AH,12,0),0)=1,"◎ Should","– N/A"))</f>
        <v>✓ Takes</v>
      </c>
      <c r="N185" s="156" t="str">
        <f>IF(COUNTIFS('Product Order Book'!$A:$A,$A185,'Product Order Book'!$E:$E,N$3)&gt;0,"✓ Takes",IF(IFERROR(VLOOKUP($A185,'Whitespace Analysis'!$A:$AH,20,0),0)=1,"◎ Should","– N/A"))</f>
        <v>– N/A</v>
      </c>
      <c r="O185" s="156" t="str">
        <f>IF(COUNTIFS('Product Order Book'!$A:$A,$A185,'Product Order Book'!$E:$E,O$3)&gt;0,"✓ Takes",IF(IFERROR(VLOOKUP($A185,'Whitespace Analysis'!$A:$AH,22,0),0)=1,"◎ Should","– N/A"))</f>
        <v>– N/A</v>
      </c>
      <c r="P185" s="156" t="str">
        <f>IF(COUNTIFS('Product Order Book'!$A:$A,$A185,'Product Order Book'!$E:$E,P$3)&gt;0,"✓ Takes",IF(IFERROR(VLOOKUP($A185,'Whitespace Analysis'!$A:$AH,24,0),0)=1,"◎ Should","– N/A"))</f>
        <v>– N/A</v>
      </c>
      <c r="Q185" s="156" t="str">
        <f>IF(COUNTIFS('Product Order Book'!$A:$A,$A185,'Product Order Book'!$E:$E,Q$3)&gt;0,"✓ Takes",IF(IFERROR(VLOOKUP($A185,'Whitespace Analysis'!$A:$AH,26,0),0)=1,"◎ Should","– N/A"))</f>
        <v>– N/A</v>
      </c>
      <c r="R185" s="156" t="str">
        <f>IF(COUNTIFS('Product Order Book'!$A:$A,$A185,'Product Order Book'!$E:$E,R$3)&gt;0,"✓ Takes",IF(IFERROR(VLOOKUP($A185,'Whitespace Analysis'!$A:$AH,16,0),0)=1,"◎ Should","– N/A"))</f>
        <v>– N/A</v>
      </c>
      <c r="S185" s="156" t="str">
        <f>IF(COUNTIFS('Product Order Book'!$A:$A,$A185,'Product Order Book'!$E:$E,S$3)&gt;0,"✓ Takes",IF(IFERROR(VLOOKUP($A185,'Whitespace Analysis'!$A:$AH,18,0),0)=1,"◎ Should","– N/A"))</f>
        <v>– N/A</v>
      </c>
      <c r="T185" s="156" t="str">
        <f>IF(COUNTIFS('Product Order Book'!$A:$A,$A185,'Product Order Book'!$E:$E,T$3)&gt;0,"✓ Takes",IF(IFERROR(VLOOKUP($A185,'Whitespace Analysis'!$A:$AH,28,0),0)=1,"◎ Should","– N/A"))</f>
        <v>– N/A</v>
      </c>
      <c r="U185" s="156" t="str">
        <f>IF(COUNTIFS('Product Order Book'!$A:$A,$A185,'Product Order Book'!$E:$E,U$3)&gt;0,"✓ Takes",IF(IFERROR(VLOOKUP($A185,'Whitespace Analysis'!$A:$AH,30,0),0)=1,"◎ Should","– N/A"))</f>
        <v>– N/A</v>
      </c>
      <c r="V185" s="156" t="str">
        <f>IF(COUNTIFS('Product Order Book'!$A:$A,$A185,'Product Order Book'!$E:$E,V$3)&gt;0,"✓ Takes",IF(IFERROR(VLOOKUP($A185,'Whitespace Analysis'!$A:$AH,14,0),0)=1,"◎ Should","– N/A"))</f>
        <v>✓ Takes</v>
      </c>
    </row>
    <row r="186" spans="1:22" ht="15" customHeight="1">
      <c r="A186" s="154" t="str">
        <v>The Energy Consortium</v>
      </c>
      <c r="B186" s="155">
        <f>IFERROR(MIN(1,COUNTIFS('Product Order Book'!$A$2:$A$1057,$A186,'Product Order Book'!$E$2:$E$1057,B$3)/INDEX('Clean Package Product Lists'!$C:$C,MATCH(B$3,'Clean Package Product Lists'!$A:$A,0))),"")</f>
        <v>1</v>
      </c>
      <c r="C186" s="155">
        <f>IFERROR(MIN(1,COUNTIFS('Product Order Book'!$A$2:$A$1057,$A186,'Product Order Book'!$E$2:$E$1057,C$3)/INDEX('Clean Package Product Lists'!$C:$C,MATCH(C$3,'Clean Package Product Lists'!$A:$A,0))),"")</f>
        <v>0</v>
      </c>
      <c r="D186" s="155">
        <f>IFERROR(MIN(1,COUNTIFS('Product Order Book'!$A$2:$A$1057,$A186,'Product Order Book'!$E$2:$E$1057,D$3)/INDEX('Clean Package Product Lists'!$C:$C,MATCH(D$3,'Clean Package Product Lists'!$A:$A,0))),"")</f>
        <v>0.66666666666666663</v>
      </c>
      <c r="E186" s="155">
        <f>IFERROR(MIN(1,COUNTIFS('Product Order Book'!$A$2:$A$1057,$A186,'Product Order Book'!$E$2:$E$1057,E$3)/INDEX('Clean Package Product Lists'!$C:$C,MATCH(E$3,'Clean Package Product Lists'!$A:$A,0))),"")</f>
        <v>0</v>
      </c>
      <c r="F186" s="155">
        <f>IFERROR(MIN(1,COUNTIFS('Product Order Book'!$A$2:$A$1057,$A186,'Product Order Book'!$E$2:$E$1057,F$3)/INDEX('Clean Package Product Lists'!$C:$C,MATCH(F$3,'Clean Package Product Lists'!$A:$A,0))),"")</f>
        <v>0</v>
      </c>
      <c r="G186" s="155">
        <f>IFERROR(MIN(1,COUNTIFS('Product Order Book'!$A$2:$A$1057,$A186,'Product Order Book'!$E$2:$E$1057,G$3)/INDEX('Clean Package Product Lists'!$C:$C,MATCH(G$3,'Clean Package Product Lists'!$A:$A,0))),"")</f>
        <v>0</v>
      </c>
      <c r="H186" s="155">
        <f>IFERROR(MIN(1,COUNTIFS('Product Order Book'!$A$2:$A$1057,$A186,'Product Order Book'!$E$2:$E$1057,H$3)/INDEX('Clean Package Product Lists'!$C:$C,MATCH(H$3,'Clean Package Product Lists'!$A:$A,0))),"")</f>
        <v>0</v>
      </c>
      <c r="I186" s="155">
        <f>IFERROR(MIN(1,COUNTIFS('Product Order Book'!$A$2:$A$1057,$A186,'Product Order Book'!$E$2:$E$1057,I$3)/INDEX('Clean Package Product Lists'!$C:$C,MATCH(I$3,'Clean Package Product Lists'!$A:$A,0))),"")</f>
        <v>0</v>
      </c>
      <c r="J186" s="155">
        <f>IFERROR(MIN(1,COUNTIFS('Product Order Book'!$A$2:$A$1057,$A186,'Product Order Book'!$E$2:$E$1057,J$3)/INDEX('Clean Package Product Lists'!$C:$C,MATCH(J$3,'Clean Package Product Lists'!$A:$A,0))),"")</f>
        <v>0</v>
      </c>
      <c r="K186" s="155">
        <f>IFERROR(MIN(1,COUNTIFS('Product Order Book'!$A$2:$A$1057,$A186,'Product Order Book'!$E$2:$E$1057,K$3)/INDEX('Clean Package Product Lists'!$C:$C,MATCH(K$3,'Clean Package Product Lists'!$A:$A,0))),"")</f>
        <v>0</v>
      </c>
      <c r="L186" s="154"/>
      <c r="M186" s="156" t="str">
        <f>IF(COUNTIFS('Product Order Book'!$A:$A,$A186,'Product Order Book'!$E:$E,M$3)&gt;0,"✓ Takes",IF(IFERROR(VLOOKUP($A186,'Whitespace Analysis'!$A:$AH,12,0),0)=1,"◎ Should","– N/A"))</f>
        <v>✓ Takes</v>
      </c>
      <c r="N186" s="156" t="str">
        <f>IF(COUNTIFS('Product Order Book'!$A:$A,$A186,'Product Order Book'!$E:$E,N$3)&gt;0,"✓ Takes",IF(IFERROR(VLOOKUP($A186,'Whitespace Analysis'!$A:$AH,20,0),0)=1,"◎ Should","– N/A"))</f>
        <v>– N/A</v>
      </c>
      <c r="O186" s="156" t="str">
        <f>IF(COUNTIFS('Product Order Book'!$A:$A,$A186,'Product Order Book'!$E:$E,O$3)&gt;0,"✓ Takes",IF(IFERROR(VLOOKUP($A186,'Whitespace Analysis'!$A:$AH,22,0),0)=1,"◎ Should","– N/A"))</f>
        <v>✓ Takes</v>
      </c>
      <c r="P186" s="156" t="str">
        <f>IF(COUNTIFS('Product Order Book'!$A:$A,$A186,'Product Order Book'!$E:$E,P$3)&gt;0,"✓ Takes",IF(IFERROR(VLOOKUP($A186,'Whitespace Analysis'!$A:$AH,24,0),0)=1,"◎ Should","– N/A"))</f>
        <v>– N/A</v>
      </c>
      <c r="Q186" s="156" t="str">
        <f>IF(COUNTIFS('Product Order Book'!$A:$A,$A186,'Product Order Book'!$E:$E,Q$3)&gt;0,"✓ Takes",IF(IFERROR(VLOOKUP($A186,'Whitespace Analysis'!$A:$AH,26,0),0)=1,"◎ Should","– N/A"))</f>
        <v>– N/A</v>
      </c>
      <c r="R186" s="156" t="str">
        <f>IF(COUNTIFS('Product Order Book'!$A:$A,$A186,'Product Order Book'!$E:$E,R$3)&gt;0,"✓ Takes",IF(IFERROR(VLOOKUP($A186,'Whitespace Analysis'!$A:$AH,16,0),0)=1,"◎ Should","– N/A"))</f>
        <v>◎ Should</v>
      </c>
      <c r="S186" s="156" t="str">
        <f>IF(COUNTIFS('Product Order Book'!$A:$A,$A186,'Product Order Book'!$E:$E,S$3)&gt;0,"✓ Takes",IF(IFERROR(VLOOKUP($A186,'Whitespace Analysis'!$A:$AH,18,0),0)=1,"◎ Should","– N/A"))</f>
        <v>◎ Should</v>
      </c>
      <c r="T186" s="156" t="str">
        <f>IF(COUNTIFS('Product Order Book'!$A:$A,$A186,'Product Order Book'!$E:$E,T$3)&gt;0,"✓ Takes",IF(IFERROR(VLOOKUP($A186,'Whitespace Analysis'!$A:$AH,28,0),0)=1,"◎ Should","– N/A"))</f>
        <v>◎ Should</v>
      </c>
      <c r="U186" s="156" t="str">
        <f>IF(COUNTIFS('Product Order Book'!$A:$A,$A186,'Product Order Book'!$E:$E,U$3)&gt;0,"✓ Takes",IF(IFERROR(VLOOKUP($A186,'Whitespace Analysis'!$A:$AH,30,0),0)=1,"◎ Should","– N/A"))</f>
        <v>– N/A</v>
      </c>
      <c r="V186" s="156" t="str">
        <f>IF(COUNTIFS('Product Order Book'!$A:$A,$A186,'Product Order Book'!$E:$E,V$3)&gt;0,"✓ Takes",IF(IFERROR(VLOOKUP($A186,'Whitespace Analysis'!$A:$AH,14,0),0)=1,"◎ Should","– N/A"))</f>
        <v>– N/A</v>
      </c>
    </row>
    <row r="187" spans="1:22" ht="15" customHeight="1">
      <c r="A187" s="154" t="str">
        <v>The Food and Drink Federation</v>
      </c>
      <c r="B187" s="155">
        <f>IFERROR(MIN(1,COUNTIFS('Product Order Book'!$A$2:$A$1057,$A187,'Product Order Book'!$E$2:$E$1057,B$3)/INDEX('Clean Package Product Lists'!$C:$C,MATCH(B$3,'Clean Package Product Lists'!$A:$A,0))),"")</f>
        <v>1</v>
      </c>
      <c r="C187" s="155">
        <f>IFERROR(MIN(1,COUNTIFS('Product Order Book'!$A$2:$A$1057,$A187,'Product Order Book'!$E$2:$E$1057,C$3)/INDEX('Clean Package Product Lists'!$C:$C,MATCH(C$3,'Clean Package Product Lists'!$A:$A,0))),"")</f>
        <v>0</v>
      </c>
      <c r="D187" s="155">
        <f>IFERROR(MIN(1,COUNTIFS('Product Order Book'!$A$2:$A$1057,$A187,'Product Order Book'!$E$2:$E$1057,D$3)/INDEX('Clean Package Product Lists'!$C:$C,MATCH(D$3,'Clean Package Product Lists'!$A:$A,0))),"")</f>
        <v>0</v>
      </c>
      <c r="E187" s="155">
        <f>IFERROR(MIN(1,COUNTIFS('Product Order Book'!$A$2:$A$1057,$A187,'Product Order Book'!$E$2:$E$1057,E$3)/INDEX('Clean Package Product Lists'!$C:$C,MATCH(E$3,'Clean Package Product Lists'!$A:$A,0))),"")</f>
        <v>0</v>
      </c>
      <c r="F187" s="155">
        <f>IFERROR(MIN(1,COUNTIFS('Product Order Book'!$A$2:$A$1057,$A187,'Product Order Book'!$E$2:$E$1057,F$3)/INDEX('Clean Package Product Lists'!$C:$C,MATCH(F$3,'Clean Package Product Lists'!$A:$A,0))),"")</f>
        <v>0</v>
      </c>
      <c r="G187" s="155">
        <f>IFERROR(MIN(1,COUNTIFS('Product Order Book'!$A$2:$A$1057,$A187,'Product Order Book'!$E$2:$E$1057,G$3)/INDEX('Clean Package Product Lists'!$C:$C,MATCH(G$3,'Clean Package Product Lists'!$A:$A,0))),"")</f>
        <v>0</v>
      </c>
      <c r="H187" s="155">
        <f>IFERROR(MIN(1,COUNTIFS('Product Order Book'!$A$2:$A$1057,$A187,'Product Order Book'!$E$2:$E$1057,H$3)/INDEX('Clean Package Product Lists'!$C:$C,MATCH(H$3,'Clean Package Product Lists'!$A:$A,0))),"")</f>
        <v>0</v>
      </c>
      <c r="I187" s="155">
        <f>IFERROR(MIN(1,COUNTIFS('Product Order Book'!$A$2:$A$1057,$A187,'Product Order Book'!$E$2:$E$1057,I$3)/INDEX('Clean Package Product Lists'!$C:$C,MATCH(I$3,'Clean Package Product Lists'!$A:$A,0))),"")</f>
        <v>0</v>
      </c>
      <c r="J187" s="155">
        <f>IFERROR(MIN(1,COUNTIFS('Product Order Book'!$A$2:$A$1057,$A187,'Product Order Book'!$E$2:$E$1057,J$3)/INDEX('Clean Package Product Lists'!$C:$C,MATCH(J$3,'Clean Package Product Lists'!$A:$A,0))),"")</f>
        <v>0</v>
      </c>
      <c r="K187" s="155">
        <f>IFERROR(MIN(1,COUNTIFS('Product Order Book'!$A$2:$A$1057,$A187,'Product Order Book'!$E$2:$E$1057,K$3)/INDEX('Clean Package Product Lists'!$C:$C,MATCH(K$3,'Clean Package Product Lists'!$A:$A,0))),"")</f>
        <v>0</v>
      </c>
      <c r="L187" s="154"/>
      <c r="M187" s="156" t="str">
        <f>IF(COUNTIFS('Product Order Book'!$A:$A,$A187,'Product Order Book'!$E:$E,M$3)&gt;0,"✓ Takes",IF(IFERROR(VLOOKUP($A187,'Whitespace Analysis'!$A:$AH,12,0),0)=1,"◎ Should","– N/A"))</f>
        <v>✓ Takes</v>
      </c>
      <c r="N187" s="156" t="str">
        <f>IF(COUNTIFS('Product Order Book'!$A:$A,$A187,'Product Order Book'!$E:$E,N$3)&gt;0,"✓ Takes",IF(IFERROR(VLOOKUP($A187,'Whitespace Analysis'!$A:$AH,20,0),0)=1,"◎ Should","– N/A"))</f>
        <v>– N/A</v>
      </c>
      <c r="O187" s="156" t="str">
        <f>IF(COUNTIFS('Product Order Book'!$A:$A,$A187,'Product Order Book'!$E:$E,O$3)&gt;0,"✓ Takes",IF(IFERROR(VLOOKUP($A187,'Whitespace Analysis'!$A:$AH,22,0),0)=1,"◎ Should","– N/A"))</f>
        <v>– N/A</v>
      </c>
      <c r="P187" s="156" t="str">
        <f>IF(COUNTIFS('Product Order Book'!$A:$A,$A187,'Product Order Book'!$E:$E,P$3)&gt;0,"✓ Takes",IF(IFERROR(VLOOKUP($A187,'Whitespace Analysis'!$A:$AH,24,0),0)=1,"◎ Should","– N/A"))</f>
        <v>– N/A</v>
      </c>
      <c r="Q187" s="156" t="str">
        <f>IF(COUNTIFS('Product Order Book'!$A:$A,$A187,'Product Order Book'!$E:$E,Q$3)&gt;0,"✓ Takes",IF(IFERROR(VLOOKUP($A187,'Whitespace Analysis'!$A:$AH,26,0),0)=1,"◎ Should","– N/A"))</f>
        <v>– N/A</v>
      </c>
      <c r="R187" s="156" t="str">
        <f>IF(COUNTIFS('Product Order Book'!$A:$A,$A187,'Product Order Book'!$E:$E,R$3)&gt;0,"✓ Takes",IF(IFERROR(VLOOKUP($A187,'Whitespace Analysis'!$A:$AH,16,0),0)=1,"◎ Should","– N/A"))</f>
        <v>– N/A</v>
      </c>
      <c r="S187" s="156" t="str">
        <f>IF(COUNTIFS('Product Order Book'!$A:$A,$A187,'Product Order Book'!$E:$E,S$3)&gt;0,"✓ Takes",IF(IFERROR(VLOOKUP($A187,'Whitespace Analysis'!$A:$AH,18,0),0)=1,"◎ Should","– N/A"))</f>
        <v>– N/A</v>
      </c>
      <c r="T187" s="156" t="str">
        <f>IF(COUNTIFS('Product Order Book'!$A:$A,$A187,'Product Order Book'!$E:$E,T$3)&gt;0,"✓ Takes",IF(IFERROR(VLOOKUP($A187,'Whitespace Analysis'!$A:$AH,28,0),0)=1,"◎ Should","– N/A"))</f>
        <v>◎ Should</v>
      </c>
      <c r="U187" s="156" t="str">
        <f>IF(COUNTIFS('Product Order Book'!$A:$A,$A187,'Product Order Book'!$E:$E,U$3)&gt;0,"✓ Takes",IF(IFERROR(VLOOKUP($A187,'Whitespace Analysis'!$A:$AH,30,0),0)=1,"◎ Should","– N/A"))</f>
        <v>◎ Should</v>
      </c>
      <c r="V187" s="156" t="str">
        <f>IF(COUNTIFS('Product Order Book'!$A:$A,$A187,'Product Order Book'!$E:$E,V$3)&gt;0,"✓ Takes",IF(IFERROR(VLOOKUP($A187,'Whitespace Analysis'!$A:$AH,14,0),0)=1,"◎ Should","– N/A"))</f>
        <v>◎ Should</v>
      </c>
    </row>
    <row r="188" spans="1:22" ht="15" customHeight="1">
      <c r="A188" s="154" t="str">
        <v>Thrive Renewables PLC</v>
      </c>
      <c r="B188" s="155">
        <f>IFERROR(MIN(1,COUNTIFS('Product Order Book'!$A$2:$A$1057,$A188,'Product Order Book'!$E$2:$E$1057,B$3)/INDEX('Clean Package Product Lists'!$C:$C,MATCH(B$3,'Clean Package Product Lists'!$A:$A,0))),"")</f>
        <v>0</v>
      </c>
      <c r="C188" s="155">
        <f>IFERROR(MIN(1,COUNTIFS('Product Order Book'!$A$2:$A$1057,$A188,'Product Order Book'!$E$2:$E$1057,C$3)/INDEX('Clean Package Product Lists'!$C:$C,MATCH(C$3,'Clean Package Product Lists'!$A:$A,0))),"")</f>
        <v>0.14285714285714285</v>
      </c>
      <c r="D188" s="155">
        <f>IFERROR(MIN(1,COUNTIFS('Product Order Book'!$A$2:$A$1057,$A188,'Product Order Book'!$E$2:$E$1057,D$3)/INDEX('Clean Package Product Lists'!$C:$C,MATCH(D$3,'Clean Package Product Lists'!$A:$A,0))),"")</f>
        <v>0</v>
      </c>
      <c r="E188" s="155">
        <f>IFERROR(MIN(1,COUNTIFS('Product Order Book'!$A$2:$A$1057,$A188,'Product Order Book'!$E$2:$E$1057,E$3)/INDEX('Clean Package Product Lists'!$C:$C,MATCH(E$3,'Clean Package Product Lists'!$A:$A,0))),"")</f>
        <v>0</v>
      </c>
      <c r="F188" s="155">
        <f>IFERROR(MIN(1,COUNTIFS('Product Order Book'!$A$2:$A$1057,$A188,'Product Order Book'!$E$2:$E$1057,F$3)/INDEX('Clean Package Product Lists'!$C:$C,MATCH(F$3,'Clean Package Product Lists'!$A:$A,0))),"")</f>
        <v>0</v>
      </c>
      <c r="G188" s="155">
        <f>IFERROR(MIN(1,COUNTIFS('Product Order Book'!$A$2:$A$1057,$A188,'Product Order Book'!$E$2:$E$1057,G$3)/INDEX('Clean Package Product Lists'!$C:$C,MATCH(G$3,'Clean Package Product Lists'!$A:$A,0))),"")</f>
        <v>0</v>
      </c>
      <c r="H188" s="155">
        <f>IFERROR(MIN(1,COUNTIFS('Product Order Book'!$A$2:$A$1057,$A188,'Product Order Book'!$E$2:$E$1057,H$3)/INDEX('Clean Package Product Lists'!$C:$C,MATCH(H$3,'Clean Package Product Lists'!$A:$A,0))),"")</f>
        <v>0</v>
      </c>
      <c r="I188" s="155">
        <f>IFERROR(MIN(1,COUNTIFS('Product Order Book'!$A$2:$A$1057,$A188,'Product Order Book'!$E$2:$E$1057,I$3)/INDEX('Clean Package Product Lists'!$C:$C,MATCH(I$3,'Clean Package Product Lists'!$A:$A,0))),"")</f>
        <v>0</v>
      </c>
      <c r="J188" s="155">
        <f>IFERROR(MIN(1,COUNTIFS('Product Order Book'!$A$2:$A$1057,$A188,'Product Order Book'!$E$2:$E$1057,J$3)/INDEX('Clean Package Product Lists'!$C:$C,MATCH(J$3,'Clean Package Product Lists'!$A:$A,0))),"")</f>
        <v>0</v>
      </c>
      <c r="K188" s="155">
        <f>IFERROR(MIN(1,COUNTIFS('Product Order Book'!$A$2:$A$1057,$A188,'Product Order Book'!$E$2:$E$1057,K$3)/INDEX('Clean Package Product Lists'!$C:$C,MATCH(K$3,'Clean Package Product Lists'!$A:$A,0))),"")</f>
        <v>0</v>
      </c>
      <c r="L188" s="154"/>
      <c r="M188" s="156" t="str">
        <f>IF(COUNTIFS('Product Order Book'!$A:$A,$A188,'Product Order Book'!$E:$E,M$3)&gt;0,"✓ Takes",IF(IFERROR(VLOOKUP($A188,'Whitespace Analysis'!$A:$AH,12,0),0)=1,"◎ Should","– N/A"))</f>
        <v>◎ Should</v>
      </c>
      <c r="N188" s="156" t="str">
        <f>IF(COUNTIFS('Product Order Book'!$A:$A,$A188,'Product Order Book'!$E:$E,N$3)&gt;0,"✓ Takes",IF(IFERROR(VLOOKUP($A188,'Whitespace Analysis'!$A:$AH,20,0),0)=1,"◎ Should","– N/A"))</f>
        <v>✓ Takes</v>
      </c>
      <c r="O188" s="156" t="str">
        <f>IF(COUNTIFS('Product Order Book'!$A:$A,$A188,'Product Order Book'!$E:$E,O$3)&gt;0,"✓ Takes",IF(IFERROR(VLOOKUP($A188,'Whitespace Analysis'!$A:$AH,22,0),0)=1,"◎ Should","– N/A"))</f>
        <v>◎ Should</v>
      </c>
      <c r="P188" s="156" t="str">
        <f>IF(COUNTIFS('Product Order Book'!$A:$A,$A188,'Product Order Book'!$E:$E,P$3)&gt;0,"✓ Takes",IF(IFERROR(VLOOKUP($A188,'Whitespace Analysis'!$A:$AH,24,0),0)=1,"◎ Should","– N/A"))</f>
        <v>– N/A</v>
      </c>
      <c r="Q188" s="156" t="str">
        <f>IF(COUNTIFS('Product Order Book'!$A:$A,$A188,'Product Order Book'!$E:$E,Q$3)&gt;0,"✓ Takes",IF(IFERROR(VLOOKUP($A188,'Whitespace Analysis'!$A:$AH,26,0),0)=1,"◎ Should","– N/A"))</f>
        <v>– N/A</v>
      </c>
      <c r="R188" s="156" t="str">
        <f>IF(COUNTIFS('Product Order Book'!$A:$A,$A188,'Product Order Book'!$E:$E,R$3)&gt;0,"✓ Takes",IF(IFERROR(VLOOKUP($A188,'Whitespace Analysis'!$A:$AH,16,0),0)=1,"◎ Should","– N/A"))</f>
        <v>– N/A</v>
      </c>
      <c r="S188" s="156" t="str">
        <f>IF(COUNTIFS('Product Order Book'!$A:$A,$A188,'Product Order Book'!$E:$E,S$3)&gt;0,"✓ Takes",IF(IFERROR(VLOOKUP($A188,'Whitespace Analysis'!$A:$AH,18,0),0)=1,"◎ Should","– N/A"))</f>
        <v>– N/A</v>
      </c>
      <c r="T188" s="156" t="str">
        <f>IF(COUNTIFS('Product Order Book'!$A:$A,$A188,'Product Order Book'!$E:$E,T$3)&gt;0,"✓ Takes",IF(IFERROR(VLOOKUP($A188,'Whitespace Analysis'!$A:$AH,28,0),0)=1,"◎ Should","– N/A"))</f>
        <v>– N/A</v>
      </c>
      <c r="U188" s="156" t="str">
        <f>IF(COUNTIFS('Product Order Book'!$A:$A,$A188,'Product Order Book'!$E:$E,U$3)&gt;0,"✓ Takes",IF(IFERROR(VLOOKUP($A188,'Whitespace Analysis'!$A:$AH,30,0),0)=1,"◎ Should","– N/A"))</f>
        <v>– N/A</v>
      </c>
      <c r="V188" s="156" t="str">
        <f>IF(COUNTIFS('Product Order Book'!$A:$A,$A188,'Product Order Book'!$E:$E,V$3)&gt;0,"✓ Takes",IF(IFERROR(VLOOKUP($A188,'Whitespace Analysis'!$A:$AH,14,0),0)=1,"◎ Should","– N/A"))</f>
        <v>◎ Should</v>
      </c>
    </row>
    <row r="189" spans="1:22" ht="15" customHeight="1">
      <c r="A189" s="154" t="str">
        <v>TMA Data Management Limited</v>
      </c>
      <c r="B189" s="155">
        <f>IFERROR(MIN(1,COUNTIFS('Product Order Book'!$A$2:$A$1057,$A189,'Product Order Book'!$E$2:$E$1057,B$3)/INDEX('Clean Package Product Lists'!$C:$C,MATCH(B$3,'Clean Package Product Lists'!$A:$A,0))),"")</f>
        <v>1</v>
      </c>
      <c r="C189" s="155">
        <f>IFERROR(MIN(1,COUNTIFS('Product Order Book'!$A$2:$A$1057,$A189,'Product Order Book'!$E$2:$E$1057,C$3)/INDEX('Clean Package Product Lists'!$C:$C,MATCH(C$3,'Clean Package Product Lists'!$A:$A,0))),"")</f>
        <v>0</v>
      </c>
      <c r="D189" s="155">
        <f>IFERROR(MIN(1,COUNTIFS('Product Order Book'!$A$2:$A$1057,$A189,'Product Order Book'!$E$2:$E$1057,D$3)/INDEX('Clean Package Product Lists'!$C:$C,MATCH(D$3,'Clean Package Product Lists'!$A:$A,0))),"")</f>
        <v>0</v>
      </c>
      <c r="E189" s="155">
        <f>IFERROR(MIN(1,COUNTIFS('Product Order Book'!$A$2:$A$1057,$A189,'Product Order Book'!$E$2:$E$1057,E$3)/INDEX('Clean Package Product Lists'!$C:$C,MATCH(E$3,'Clean Package Product Lists'!$A:$A,0))),"")</f>
        <v>0</v>
      </c>
      <c r="F189" s="155">
        <f>IFERROR(MIN(1,COUNTIFS('Product Order Book'!$A$2:$A$1057,$A189,'Product Order Book'!$E$2:$E$1057,F$3)/INDEX('Clean Package Product Lists'!$C:$C,MATCH(F$3,'Clean Package Product Lists'!$A:$A,0))),"")</f>
        <v>0</v>
      </c>
      <c r="G189" s="155">
        <f>IFERROR(MIN(1,COUNTIFS('Product Order Book'!$A$2:$A$1057,$A189,'Product Order Book'!$E$2:$E$1057,G$3)/INDEX('Clean Package Product Lists'!$C:$C,MATCH(G$3,'Clean Package Product Lists'!$A:$A,0))),"")</f>
        <v>0</v>
      </c>
      <c r="H189" s="155">
        <f>IFERROR(MIN(1,COUNTIFS('Product Order Book'!$A$2:$A$1057,$A189,'Product Order Book'!$E$2:$E$1057,H$3)/INDEX('Clean Package Product Lists'!$C:$C,MATCH(H$3,'Clean Package Product Lists'!$A:$A,0))),"")</f>
        <v>0</v>
      </c>
      <c r="I189" s="155">
        <f>IFERROR(MIN(1,COUNTIFS('Product Order Book'!$A$2:$A$1057,$A189,'Product Order Book'!$E$2:$E$1057,I$3)/INDEX('Clean Package Product Lists'!$C:$C,MATCH(I$3,'Clean Package Product Lists'!$A:$A,0))),"")</f>
        <v>0</v>
      </c>
      <c r="J189" s="155">
        <f>IFERROR(MIN(1,COUNTIFS('Product Order Book'!$A$2:$A$1057,$A189,'Product Order Book'!$E$2:$E$1057,J$3)/INDEX('Clean Package Product Lists'!$C:$C,MATCH(J$3,'Clean Package Product Lists'!$A:$A,0))),"")</f>
        <v>0</v>
      </c>
      <c r="K189" s="155">
        <f>IFERROR(MIN(1,COUNTIFS('Product Order Book'!$A$2:$A$1057,$A189,'Product Order Book'!$E$2:$E$1057,K$3)/INDEX('Clean Package Product Lists'!$C:$C,MATCH(K$3,'Clean Package Product Lists'!$A:$A,0))),"")</f>
        <v>0</v>
      </c>
      <c r="L189" s="154"/>
      <c r="M189" s="156" t="str">
        <f>IF(COUNTIFS('Product Order Book'!$A:$A,$A189,'Product Order Book'!$E:$E,M$3)&gt;0,"✓ Takes",IF(IFERROR(VLOOKUP($A189,'Whitespace Analysis'!$A:$AH,12,0),0)=1,"◎ Should","– N/A"))</f>
        <v>✓ Takes</v>
      </c>
      <c r="N189" s="156" t="str">
        <f>IF(COUNTIFS('Product Order Book'!$A:$A,$A189,'Product Order Book'!$E:$E,N$3)&gt;0,"✓ Takes",IF(IFERROR(VLOOKUP($A189,'Whitespace Analysis'!$A:$AH,20,0),0)=1,"◎ Should","– N/A"))</f>
        <v>– N/A</v>
      </c>
      <c r="O189" s="156" t="str">
        <f>IF(COUNTIFS('Product Order Book'!$A:$A,$A189,'Product Order Book'!$E:$E,O$3)&gt;0,"✓ Takes",IF(IFERROR(VLOOKUP($A189,'Whitespace Analysis'!$A:$AH,22,0),0)=1,"◎ Should","– N/A"))</f>
        <v>– N/A</v>
      </c>
      <c r="P189" s="156" t="str">
        <f>IF(COUNTIFS('Product Order Book'!$A:$A,$A189,'Product Order Book'!$E:$E,P$3)&gt;0,"✓ Takes",IF(IFERROR(VLOOKUP($A189,'Whitespace Analysis'!$A:$AH,24,0),0)=1,"◎ Should","– N/A"))</f>
        <v>– N/A</v>
      </c>
      <c r="Q189" s="156" t="str">
        <f>IF(COUNTIFS('Product Order Book'!$A:$A,$A189,'Product Order Book'!$E:$E,Q$3)&gt;0,"✓ Takes",IF(IFERROR(VLOOKUP($A189,'Whitespace Analysis'!$A:$AH,26,0),0)=1,"◎ Should","– N/A"))</f>
        <v>– N/A</v>
      </c>
      <c r="R189" s="156" t="str">
        <f>IF(COUNTIFS('Product Order Book'!$A:$A,$A189,'Product Order Book'!$E:$E,R$3)&gt;0,"✓ Takes",IF(IFERROR(VLOOKUP($A189,'Whitespace Analysis'!$A:$AH,16,0),0)=1,"◎ Should","– N/A"))</f>
        <v>– N/A</v>
      </c>
      <c r="S189" s="156" t="str">
        <f>IF(COUNTIFS('Product Order Book'!$A:$A,$A189,'Product Order Book'!$E:$E,S$3)&gt;0,"✓ Takes",IF(IFERROR(VLOOKUP($A189,'Whitespace Analysis'!$A:$AH,18,0),0)=1,"◎ Should","– N/A"))</f>
        <v>– N/A</v>
      </c>
      <c r="T189" s="156" t="str">
        <f>IF(COUNTIFS('Product Order Book'!$A:$A,$A189,'Product Order Book'!$E:$E,T$3)&gt;0,"✓ Takes",IF(IFERROR(VLOOKUP($A189,'Whitespace Analysis'!$A:$AH,28,0),0)=1,"◎ Should","– N/A"))</f>
        <v>– N/A</v>
      </c>
      <c r="U189" s="156" t="str">
        <f>IF(COUNTIFS('Product Order Book'!$A:$A,$A189,'Product Order Book'!$E:$E,U$3)&gt;0,"✓ Takes",IF(IFERROR(VLOOKUP($A189,'Whitespace Analysis'!$A:$AH,30,0),0)=1,"◎ Should","– N/A"))</f>
        <v>– N/A</v>
      </c>
      <c r="V189" s="156" t="str">
        <f>IF(COUNTIFS('Product Order Book'!$A:$A,$A189,'Product Order Book'!$E:$E,V$3)&gt;0,"✓ Takes",IF(IFERROR(VLOOKUP($A189,'Whitespace Analysis'!$A:$AH,14,0),0)=1,"◎ Should","– N/A"))</f>
        <v>◎ Should</v>
      </c>
    </row>
    <row r="190" spans="1:22" ht="15" customHeight="1">
      <c r="A190" s="154" t="str">
        <v>TotalEnergies Gas &amp; Power Limited</v>
      </c>
      <c r="B190" s="155">
        <f>IFERROR(MIN(1,COUNTIFS('Product Order Book'!$A$2:$A$1057,$A190,'Product Order Book'!$E$2:$E$1057,B$3)/INDEX('Clean Package Product Lists'!$C:$C,MATCH(B$3,'Clean Package Product Lists'!$A:$A,0))),"")</f>
        <v>1</v>
      </c>
      <c r="C190" s="155">
        <f>IFERROR(MIN(1,COUNTIFS('Product Order Book'!$A$2:$A$1057,$A190,'Product Order Book'!$E$2:$E$1057,C$3)/INDEX('Clean Package Product Lists'!$C:$C,MATCH(C$3,'Clean Package Product Lists'!$A:$A,0))),"")</f>
        <v>0.7142857142857143</v>
      </c>
      <c r="D190" s="155">
        <f>IFERROR(MIN(1,COUNTIFS('Product Order Book'!$A$2:$A$1057,$A190,'Product Order Book'!$E$2:$E$1057,D$3)/INDEX('Clean Package Product Lists'!$C:$C,MATCH(D$3,'Clean Package Product Lists'!$A:$A,0))),"")</f>
        <v>0</v>
      </c>
      <c r="E190" s="155">
        <f>IFERROR(MIN(1,COUNTIFS('Product Order Book'!$A$2:$A$1057,$A190,'Product Order Book'!$E$2:$E$1057,E$3)/INDEX('Clean Package Product Lists'!$C:$C,MATCH(E$3,'Clean Package Product Lists'!$A:$A,0))),"")</f>
        <v>0.25</v>
      </c>
      <c r="F190" s="155">
        <f>IFERROR(MIN(1,COUNTIFS('Product Order Book'!$A$2:$A$1057,$A190,'Product Order Book'!$E$2:$E$1057,F$3)/INDEX('Clean Package Product Lists'!$C:$C,MATCH(F$3,'Clean Package Product Lists'!$A:$A,0))),"")</f>
        <v>0</v>
      </c>
      <c r="G190" s="155">
        <f>IFERROR(MIN(1,COUNTIFS('Product Order Book'!$A$2:$A$1057,$A190,'Product Order Book'!$E$2:$E$1057,G$3)/INDEX('Clean Package Product Lists'!$C:$C,MATCH(G$3,'Clean Package Product Lists'!$A:$A,0))),"")</f>
        <v>0.54545454545454541</v>
      </c>
      <c r="H190" s="155">
        <f>IFERROR(MIN(1,COUNTIFS('Product Order Book'!$A$2:$A$1057,$A190,'Product Order Book'!$E$2:$E$1057,H$3)/INDEX('Clean Package Product Lists'!$C:$C,MATCH(H$3,'Clean Package Product Lists'!$A:$A,0))),"")</f>
        <v>0.75</v>
      </c>
      <c r="I190" s="155">
        <f>IFERROR(MIN(1,COUNTIFS('Product Order Book'!$A$2:$A$1057,$A190,'Product Order Book'!$E$2:$E$1057,I$3)/INDEX('Clean Package Product Lists'!$C:$C,MATCH(I$3,'Clean Package Product Lists'!$A:$A,0))),"")</f>
        <v>0</v>
      </c>
      <c r="J190" s="155">
        <f>IFERROR(MIN(1,COUNTIFS('Product Order Book'!$A$2:$A$1057,$A190,'Product Order Book'!$E$2:$E$1057,J$3)/INDEX('Clean Package Product Lists'!$C:$C,MATCH(J$3,'Clean Package Product Lists'!$A:$A,0))),"")</f>
        <v>0</v>
      </c>
      <c r="K190" s="155">
        <f>IFERROR(MIN(1,COUNTIFS('Product Order Book'!$A$2:$A$1057,$A190,'Product Order Book'!$E$2:$E$1057,K$3)/INDEX('Clean Package Product Lists'!$C:$C,MATCH(K$3,'Clean Package Product Lists'!$A:$A,0))),"")</f>
        <v>0</v>
      </c>
      <c r="L190" s="154"/>
      <c r="M190" s="156" t="str">
        <f>IF(COUNTIFS('Product Order Book'!$A:$A,$A190,'Product Order Book'!$E:$E,M$3)&gt;0,"✓ Takes",IF(IFERROR(VLOOKUP($A190,'Whitespace Analysis'!$A:$AH,12,0),0)=1,"◎ Should","– N/A"))</f>
        <v>✓ Takes</v>
      </c>
      <c r="N190" s="156" t="str">
        <f>IF(COUNTIFS('Product Order Book'!$A:$A,$A190,'Product Order Book'!$E:$E,N$3)&gt;0,"✓ Takes",IF(IFERROR(VLOOKUP($A190,'Whitespace Analysis'!$A:$AH,20,0),0)=1,"◎ Should","– N/A"))</f>
        <v>✓ Takes</v>
      </c>
      <c r="O190" s="156" t="str">
        <f>IF(COUNTIFS('Product Order Book'!$A:$A,$A190,'Product Order Book'!$E:$E,O$3)&gt;0,"✓ Takes",IF(IFERROR(VLOOKUP($A190,'Whitespace Analysis'!$A:$AH,22,0),0)=1,"◎ Should","– N/A"))</f>
        <v>◎ Should</v>
      </c>
      <c r="P190" s="156" t="str">
        <f>IF(COUNTIFS('Product Order Book'!$A:$A,$A190,'Product Order Book'!$E:$E,P$3)&gt;0,"✓ Takes",IF(IFERROR(VLOOKUP($A190,'Whitespace Analysis'!$A:$AH,24,0),0)=1,"◎ Should","– N/A"))</f>
        <v>✓ Takes</v>
      </c>
      <c r="Q190" s="156" t="str">
        <f>IF(COUNTIFS('Product Order Book'!$A:$A,$A190,'Product Order Book'!$E:$E,Q$3)&gt;0,"✓ Takes",IF(IFERROR(VLOOKUP($A190,'Whitespace Analysis'!$A:$AH,26,0),0)=1,"◎ Should","– N/A"))</f>
        <v>◎ Should</v>
      </c>
      <c r="R190" s="156" t="str">
        <f>IF(COUNTIFS('Product Order Book'!$A:$A,$A190,'Product Order Book'!$E:$E,R$3)&gt;0,"✓ Takes",IF(IFERROR(VLOOKUP($A190,'Whitespace Analysis'!$A:$AH,16,0),0)=1,"◎ Should","– N/A"))</f>
        <v>✓ Takes</v>
      </c>
      <c r="S190" s="156" t="str">
        <f>IF(COUNTIFS('Product Order Book'!$A:$A,$A190,'Product Order Book'!$E:$E,S$3)&gt;0,"✓ Takes",IF(IFERROR(VLOOKUP($A190,'Whitespace Analysis'!$A:$AH,18,0),0)=1,"◎ Should","– N/A"))</f>
        <v>✓ Takes</v>
      </c>
      <c r="T190" s="156" t="str">
        <f>IF(COUNTIFS('Product Order Book'!$A:$A,$A190,'Product Order Book'!$E:$E,T$3)&gt;0,"✓ Takes",IF(IFERROR(VLOOKUP($A190,'Whitespace Analysis'!$A:$AH,28,0),0)=1,"◎ Should","– N/A"))</f>
        <v>– N/A</v>
      </c>
      <c r="U190" s="156" t="str">
        <f>IF(COUNTIFS('Product Order Book'!$A:$A,$A190,'Product Order Book'!$E:$E,U$3)&gt;0,"✓ Takes",IF(IFERROR(VLOOKUP($A190,'Whitespace Analysis'!$A:$AH,30,0),0)=1,"◎ Should","– N/A"))</f>
        <v>– N/A</v>
      </c>
      <c r="V190" s="156" t="str">
        <f>IF(COUNTIFS('Product Order Book'!$A:$A,$A190,'Product Order Book'!$E:$E,V$3)&gt;0,"✓ Takes",IF(IFERROR(VLOOKUP($A190,'Whitespace Analysis'!$A:$AH,14,0),0)=1,"◎ Should","– N/A"))</f>
        <v>◎ Should</v>
      </c>
    </row>
    <row r="191" spans="1:22" ht="15" customHeight="1">
      <c r="A191" s="154" t="str">
        <v>Tradelink Solutions Ltd</v>
      </c>
      <c r="B191" s="155">
        <f>IFERROR(MIN(1,COUNTIFS('Product Order Book'!$A$2:$A$1057,$A191,'Product Order Book'!$E$2:$E$1057,B$3)/INDEX('Clean Package Product Lists'!$C:$C,MATCH(B$3,'Clean Package Product Lists'!$A:$A,0))),"")</f>
        <v>1</v>
      </c>
      <c r="C191" s="155">
        <f>IFERROR(MIN(1,COUNTIFS('Product Order Book'!$A$2:$A$1057,$A191,'Product Order Book'!$E$2:$E$1057,C$3)/INDEX('Clean Package Product Lists'!$C:$C,MATCH(C$3,'Clean Package Product Lists'!$A:$A,0))),"")</f>
        <v>0.2857142857142857</v>
      </c>
      <c r="D191" s="155">
        <f>IFERROR(MIN(1,COUNTIFS('Product Order Book'!$A$2:$A$1057,$A191,'Product Order Book'!$E$2:$E$1057,D$3)/INDEX('Clean Package Product Lists'!$C:$C,MATCH(D$3,'Clean Package Product Lists'!$A:$A,0))),"")</f>
        <v>0</v>
      </c>
      <c r="E191" s="155">
        <f>IFERROR(MIN(1,COUNTIFS('Product Order Book'!$A$2:$A$1057,$A191,'Product Order Book'!$E$2:$E$1057,E$3)/INDEX('Clean Package Product Lists'!$C:$C,MATCH(E$3,'Clean Package Product Lists'!$A:$A,0))),"")</f>
        <v>0</v>
      </c>
      <c r="F191" s="155">
        <f>IFERROR(MIN(1,COUNTIFS('Product Order Book'!$A$2:$A$1057,$A191,'Product Order Book'!$E$2:$E$1057,F$3)/INDEX('Clean Package Product Lists'!$C:$C,MATCH(F$3,'Clean Package Product Lists'!$A:$A,0))),"")</f>
        <v>0</v>
      </c>
      <c r="G191" s="155">
        <f>IFERROR(MIN(1,COUNTIFS('Product Order Book'!$A$2:$A$1057,$A191,'Product Order Book'!$E$2:$E$1057,G$3)/INDEX('Clean Package Product Lists'!$C:$C,MATCH(G$3,'Clean Package Product Lists'!$A:$A,0))),"")</f>
        <v>0</v>
      </c>
      <c r="H191" s="155">
        <f>IFERROR(MIN(1,COUNTIFS('Product Order Book'!$A$2:$A$1057,$A191,'Product Order Book'!$E$2:$E$1057,H$3)/INDEX('Clean Package Product Lists'!$C:$C,MATCH(H$3,'Clean Package Product Lists'!$A:$A,0))),"")</f>
        <v>0</v>
      </c>
      <c r="I191" s="155">
        <f>IFERROR(MIN(1,COUNTIFS('Product Order Book'!$A$2:$A$1057,$A191,'Product Order Book'!$E$2:$E$1057,I$3)/INDEX('Clean Package Product Lists'!$C:$C,MATCH(I$3,'Clean Package Product Lists'!$A:$A,0))),"")</f>
        <v>0</v>
      </c>
      <c r="J191" s="155">
        <f>IFERROR(MIN(1,COUNTIFS('Product Order Book'!$A$2:$A$1057,$A191,'Product Order Book'!$E$2:$E$1057,J$3)/INDEX('Clean Package Product Lists'!$C:$C,MATCH(J$3,'Clean Package Product Lists'!$A:$A,0))),"")</f>
        <v>0</v>
      </c>
      <c r="K191" s="155">
        <f>IFERROR(MIN(1,COUNTIFS('Product Order Book'!$A$2:$A$1057,$A191,'Product Order Book'!$E$2:$E$1057,K$3)/INDEX('Clean Package Product Lists'!$C:$C,MATCH(K$3,'Clean Package Product Lists'!$A:$A,0))),"")</f>
        <v>0</v>
      </c>
      <c r="L191" s="154"/>
      <c r="M191" s="156" t="str">
        <f>IF(COUNTIFS('Product Order Book'!$A:$A,$A191,'Product Order Book'!$E:$E,M$3)&gt;0,"✓ Takes",IF(IFERROR(VLOOKUP($A191,'Whitespace Analysis'!$A:$AH,12,0),0)=1,"◎ Should","– N/A"))</f>
        <v>✓ Takes</v>
      </c>
      <c r="N191" s="156" t="str">
        <f>IF(COUNTIFS('Product Order Book'!$A:$A,$A191,'Product Order Book'!$E:$E,N$3)&gt;0,"✓ Takes",IF(IFERROR(VLOOKUP($A191,'Whitespace Analysis'!$A:$AH,20,0),0)=1,"◎ Should","– N/A"))</f>
        <v>✓ Takes</v>
      </c>
      <c r="O191" s="156" t="str">
        <f>IF(COUNTIFS('Product Order Book'!$A:$A,$A191,'Product Order Book'!$E:$E,O$3)&gt;0,"✓ Takes",IF(IFERROR(VLOOKUP($A191,'Whitespace Analysis'!$A:$AH,22,0),0)=1,"◎ Should","– N/A"))</f>
        <v>– N/A</v>
      </c>
      <c r="P191" s="156" t="str">
        <f>IF(COUNTIFS('Product Order Book'!$A:$A,$A191,'Product Order Book'!$E:$E,P$3)&gt;0,"✓ Takes",IF(IFERROR(VLOOKUP($A191,'Whitespace Analysis'!$A:$AH,24,0),0)=1,"◎ Should","– N/A"))</f>
        <v>◎ Should</v>
      </c>
      <c r="Q191" s="156" t="str">
        <f>IF(COUNTIFS('Product Order Book'!$A:$A,$A191,'Product Order Book'!$E:$E,Q$3)&gt;0,"✓ Takes",IF(IFERROR(VLOOKUP($A191,'Whitespace Analysis'!$A:$AH,26,0),0)=1,"◎ Should","– N/A"))</f>
        <v>– N/A</v>
      </c>
      <c r="R191" s="156" t="str">
        <f>IF(COUNTIFS('Product Order Book'!$A:$A,$A191,'Product Order Book'!$E:$E,R$3)&gt;0,"✓ Takes",IF(IFERROR(VLOOKUP($A191,'Whitespace Analysis'!$A:$AH,16,0),0)=1,"◎ Should","– N/A"))</f>
        <v>◎ Should</v>
      </c>
      <c r="S191" s="156" t="str">
        <f>IF(COUNTIFS('Product Order Book'!$A:$A,$A191,'Product Order Book'!$E:$E,S$3)&gt;0,"✓ Takes",IF(IFERROR(VLOOKUP($A191,'Whitespace Analysis'!$A:$AH,18,0),0)=1,"◎ Should","– N/A"))</f>
        <v>◎ Should</v>
      </c>
      <c r="T191" s="156" t="str">
        <f>IF(COUNTIFS('Product Order Book'!$A:$A,$A191,'Product Order Book'!$E:$E,T$3)&gt;0,"✓ Takes",IF(IFERROR(VLOOKUP($A191,'Whitespace Analysis'!$A:$AH,28,0),0)=1,"◎ Should","– N/A"))</f>
        <v>– N/A</v>
      </c>
      <c r="U191" s="156" t="str">
        <f>IF(COUNTIFS('Product Order Book'!$A:$A,$A191,'Product Order Book'!$E:$E,U$3)&gt;0,"✓ Takes",IF(IFERROR(VLOOKUP($A191,'Whitespace Analysis'!$A:$AH,30,0),0)=1,"◎ Should","– N/A"))</f>
        <v>– N/A</v>
      </c>
      <c r="V191" s="156" t="str">
        <f>IF(COUNTIFS('Product Order Book'!$A:$A,$A191,'Product Order Book'!$E:$E,V$3)&gt;0,"✓ Takes",IF(IFERROR(VLOOKUP($A191,'Whitespace Analysis'!$A:$AH,14,0),0)=1,"◎ Should","– N/A"))</f>
        <v>◎ Should</v>
      </c>
    </row>
    <row r="192" spans="1:22" ht="15" customHeight="1">
      <c r="A192" s="154" t="str">
        <v>Triple Point Servco Ltd</v>
      </c>
      <c r="B192" s="155">
        <f>IFERROR(MIN(1,COUNTIFS('Product Order Book'!$A$2:$A$1057,$A192,'Product Order Book'!$E$2:$E$1057,B$3)/INDEX('Clean Package Product Lists'!$C:$C,MATCH(B$3,'Clean Package Product Lists'!$A:$A,0))),"")</f>
        <v>0</v>
      </c>
      <c r="C192" s="155">
        <f>IFERROR(MIN(1,COUNTIFS('Product Order Book'!$A$2:$A$1057,$A192,'Product Order Book'!$E$2:$E$1057,C$3)/INDEX('Clean Package Product Lists'!$C:$C,MATCH(C$3,'Clean Package Product Lists'!$A:$A,0))),"")</f>
        <v>0</v>
      </c>
      <c r="D192" s="155">
        <f>IFERROR(MIN(1,COUNTIFS('Product Order Book'!$A$2:$A$1057,$A192,'Product Order Book'!$E$2:$E$1057,D$3)/INDEX('Clean Package Product Lists'!$C:$C,MATCH(D$3,'Clean Package Product Lists'!$A:$A,0))),"")</f>
        <v>0</v>
      </c>
      <c r="E192" s="155">
        <f>IFERROR(MIN(1,COUNTIFS('Product Order Book'!$A$2:$A$1057,$A192,'Product Order Book'!$E$2:$E$1057,E$3)/INDEX('Clean Package Product Lists'!$C:$C,MATCH(E$3,'Clean Package Product Lists'!$A:$A,0))),"")</f>
        <v>0</v>
      </c>
      <c r="F192" s="155">
        <f>IFERROR(MIN(1,COUNTIFS('Product Order Book'!$A$2:$A$1057,$A192,'Product Order Book'!$E$2:$E$1057,F$3)/INDEX('Clean Package Product Lists'!$C:$C,MATCH(F$3,'Clean Package Product Lists'!$A:$A,0))),"")</f>
        <v>0.33333333333333331</v>
      </c>
      <c r="G192" s="155">
        <f>IFERROR(MIN(1,COUNTIFS('Product Order Book'!$A$2:$A$1057,$A192,'Product Order Book'!$E$2:$E$1057,G$3)/INDEX('Clean Package Product Lists'!$C:$C,MATCH(G$3,'Clean Package Product Lists'!$A:$A,0))),"")</f>
        <v>0</v>
      </c>
      <c r="H192" s="155">
        <f>IFERROR(MIN(1,COUNTIFS('Product Order Book'!$A$2:$A$1057,$A192,'Product Order Book'!$E$2:$E$1057,H$3)/INDEX('Clean Package Product Lists'!$C:$C,MATCH(H$3,'Clean Package Product Lists'!$A:$A,0))),"")</f>
        <v>0</v>
      </c>
      <c r="I192" s="155">
        <f>IFERROR(MIN(1,COUNTIFS('Product Order Book'!$A$2:$A$1057,$A192,'Product Order Book'!$E$2:$E$1057,I$3)/INDEX('Clean Package Product Lists'!$C:$C,MATCH(I$3,'Clean Package Product Lists'!$A:$A,0))),"")</f>
        <v>0</v>
      </c>
      <c r="J192" s="155">
        <f>IFERROR(MIN(1,COUNTIFS('Product Order Book'!$A$2:$A$1057,$A192,'Product Order Book'!$E$2:$E$1057,J$3)/INDEX('Clean Package Product Lists'!$C:$C,MATCH(J$3,'Clean Package Product Lists'!$A:$A,0))),"")</f>
        <v>0</v>
      </c>
      <c r="K192" s="155">
        <f>IFERROR(MIN(1,COUNTIFS('Product Order Book'!$A$2:$A$1057,$A192,'Product Order Book'!$E$2:$E$1057,K$3)/INDEX('Clean Package Product Lists'!$C:$C,MATCH(K$3,'Clean Package Product Lists'!$A:$A,0))),"")</f>
        <v>0</v>
      </c>
      <c r="L192" s="154"/>
      <c r="M192" s="156" t="str">
        <f>IF(COUNTIFS('Product Order Book'!$A:$A,$A192,'Product Order Book'!$E:$E,M$3)&gt;0,"✓ Takes",IF(IFERROR(VLOOKUP($A192,'Whitespace Analysis'!$A:$AH,12,0),0)=1,"◎ Should","– N/A"))</f>
        <v>◎ Should</v>
      </c>
      <c r="N192" s="156" t="str">
        <f>IF(COUNTIFS('Product Order Book'!$A:$A,$A192,'Product Order Book'!$E:$E,N$3)&gt;0,"✓ Takes",IF(IFERROR(VLOOKUP($A192,'Whitespace Analysis'!$A:$AH,20,0),0)=1,"◎ Should","– N/A"))</f>
        <v>◎ Should</v>
      </c>
      <c r="O192" s="156" t="str">
        <f>IF(COUNTIFS('Product Order Book'!$A:$A,$A192,'Product Order Book'!$E:$E,O$3)&gt;0,"✓ Takes",IF(IFERROR(VLOOKUP($A192,'Whitespace Analysis'!$A:$AH,22,0),0)=1,"◎ Should","– N/A"))</f>
        <v>◎ Should</v>
      </c>
      <c r="P192" s="156" t="str">
        <f>IF(COUNTIFS('Product Order Book'!$A:$A,$A192,'Product Order Book'!$E:$E,P$3)&gt;0,"✓ Takes",IF(IFERROR(VLOOKUP($A192,'Whitespace Analysis'!$A:$AH,24,0),0)=1,"◎ Should","– N/A"))</f>
        <v>◎ Should</v>
      </c>
      <c r="Q192" s="156" t="str">
        <f>IF(COUNTIFS('Product Order Book'!$A:$A,$A192,'Product Order Book'!$E:$E,Q$3)&gt;0,"✓ Takes",IF(IFERROR(VLOOKUP($A192,'Whitespace Analysis'!$A:$AH,26,0),0)=1,"◎ Should","– N/A"))</f>
        <v>✓ Takes</v>
      </c>
      <c r="R192" s="156" t="str">
        <f>IF(COUNTIFS('Product Order Book'!$A:$A,$A192,'Product Order Book'!$E:$E,R$3)&gt;0,"✓ Takes",IF(IFERROR(VLOOKUP($A192,'Whitespace Analysis'!$A:$AH,16,0),0)=1,"◎ Should","– N/A"))</f>
        <v>– N/A</v>
      </c>
      <c r="S192" s="156" t="str">
        <f>IF(COUNTIFS('Product Order Book'!$A:$A,$A192,'Product Order Book'!$E:$E,S$3)&gt;0,"✓ Takes",IF(IFERROR(VLOOKUP($A192,'Whitespace Analysis'!$A:$AH,18,0),0)=1,"◎ Should","– N/A"))</f>
        <v>– N/A</v>
      </c>
      <c r="T192" s="156" t="str">
        <f>IF(COUNTIFS('Product Order Book'!$A:$A,$A192,'Product Order Book'!$E:$E,T$3)&gt;0,"✓ Takes",IF(IFERROR(VLOOKUP($A192,'Whitespace Analysis'!$A:$AH,28,0),0)=1,"◎ Should","– N/A"))</f>
        <v>– N/A</v>
      </c>
      <c r="U192" s="156" t="str">
        <f>IF(COUNTIFS('Product Order Book'!$A:$A,$A192,'Product Order Book'!$E:$E,U$3)&gt;0,"✓ Takes",IF(IFERROR(VLOOKUP($A192,'Whitespace Analysis'!$A:$AH,30,0),0)=1,"◎ Should","– N/A"))</f>
        <v>– N/A</v>
      </c>
      <c r="V192" s="156" t="str">
        <f>IF(COUNTIFS('Product Order Book'!$A:$A,$A192,'Product Order Book'!$E:$E,V$3)&gt;0,"✓ Takes",IF(IFERROR(VLOOKUP($A192,'Whitespace Analysis'!$A:$AH,14,0),0)=1,"◎ Should","– N/A"))</f>
        <v>– N/A</v>
      </c>
    </row>
    <row r="193" spans="1:22" ht="15" customHeight="1">
      <c r="A193" s="154" t="str">
        <v>U4LUK RENEWABLES LTD</v>
      </c>
      <c r="B193" s="155">
        <f>IFERROR(MIN(1,COUNTIFS('Product Order Book'!$A$2:$A$1057,$A193,'Product Order Book'!$E$2:$E$1057,B$3)/INDEX('Clean Package Product Lists'!$C:$C,MATCH(B$3,'Clean Package Product Lists'!$A:$A,0))),"")</f>
        <v>0</v>
      </c>
      <c r="C193" s="155">
        <f>IFERROR(MIN(1,COUNTIFS('Product Order Book'!$A$2:$A$1057,$A193,'Product Order Book'!$E$2:$E$1057,C$3)/INDEX('Clean Package Product Lists'!$C:$C,MATCH(C$3,'Clean Package Product Lists'!$A:$A,0))),"")</f>
        <v>0</v>
      </c>
      <c r="D193" s="155">
        <f>IFERROR(MIN(1,COUNTIFS('Product Order Book'!$A$2:$A$1057,$A193,'Product Order Book'!$E$2:$E$1057,D$3)/INDEX('Clean Package Product Lists'!$C:$C,MATCH(D$3,'Clean Package Product Lists'!$A:$A,0))),"")</f>
        <v>0.33333333333333331</v>
      </c>
      <c r="E193" s="155">
        <f>IFERROR(MIN(1,COUNTIFS('Product Order Book'!$A$2:$A$1057,$A193,'Product Order Book'!$E$2:$E$1057,E$3)/INDEX('Clean Package Product Lists'!$C:$C,MATCH(E$3,'Clean Package Product Lists'!$A:$A,0))),"")</f>
        <v>0</v>
      </c>
      <c r="F193" s="155">
        <f>IFERROR(MIN(1,COUNTIFS('Product Order Book'!$A$2:$A$1057,$A193,'Product Order Book'!$E$2:$E$1057,F$3)/INDEX('Clean Package Product Lists'!$C:$C,MATCH(F$3,'Clean Package Product Lists'!$A:$A,0))),"")</f>
        <v>0</v>
      </c>
      <c r="G193" s="155">
        <f>IFERROR(MIN(1,COUNTIFS('Product Order Book'!$A$2:$A$1057,$A193,'Product Order Book'!$E$2:$E$1057,G$3)/INDEX('Clean Package Product Lists'!$C:$C,MATCH(G$3,'Clean Package Product Lists'!$A:$A,0))),"")</f>
        <v>0</v>
      </c>
      <c r="H193" s="155">
        <f>IFERROR(MIN(1,COUNTIFS('Product Order Book'!$A$2:$A$1057,$A193,'Product Order Book'!$E$2:$E$1057,H$3)/INDEX('Clean Package Product Lists'!$C:$C,MATCH(H$3,'Clean Package Product Lists'!$A:$A,0))),"")</f>
        <v>0</v>
      </c>
      <c r="I193" s="155">
        <f>IFERROR(MIN(1,COUNTIFS('Product Order Book'!$A$2:$A$1057,$A193,'Product Order Book'!$E$2:$E$1057,I$3)/INDEX('Clean Package Product Lists'!$C:$C,MATCH(I$3,'Clean Package Product Lists'!$A:$A,0))),"")</f>
        <v>0</v>
      </c>
      <c r="J193" s="155">
        <f>IFERROR(MIN(1,COUNTIFS('Product Order Book'!$A$2:$A$1057,$A193,'Product Order Book'!$E$2:$E$1057,J$3)/INDEX('Clean Package Product Lists'!$C:$C,MATCH(J$3,'Clean Package Product Lists'!$A:$A,0))),"")</f>
        <v>0</v>
      </c>
      <c r="K193" s="155">
        <f>IFERROR(MIN(1,COUNTIFS('Product Order Book'!$A$2:$A$1057,$A193,'Product Order Book'!$E$2:$E$1057,K$3)/INDEX('Clean Package Product Lists'!$C:$C,MATCH(K$3,'Clean Package Product Lists'!$A:$A,0))),"")</f>
        <v>0</v>
      </c>
      <c r="L193" s="154"/>
      <c r="M193" s="156" t="str">
        <f>IF(COUNTIFS('Product Order Book'!$A:$A,$A193,'Product Order Book'!$E:$E,M$3)&gt;0,"✓ Takes",IF(IFERROR(VLOOKUP($A193,'Whitespace Analysis'!$A:$AH,12,0),0)=1,"◎ Should","– N/A"))</f>
        <v>– N/A</v>
      </c>
      <c r="N193" s="156" t="str">
        <f>IF(COUNTIFS('Product Order Book'!$A:$A,$A193,'Product Order Book'!$E:$E,N$3)&gt;0,"✓ Takes",IF(IFERROR(VLOOKUP($A193,'Whitespace Analysis'!$A:$AH,20,0),0)=1,"◎ Should","– N/A"))</f>
        <v>– N/A</v>
      </c>
      <c r="O193" s="156" t="str">
        <f>IF(COUNTIFS('Product Order Book'!$A:$A,$A193,'Product Order Book'!$E:$E,O$3)&gt;0,"✓ Takes",IF(IFERROR(VLOOKUP($A193,'Whitespace Analysis'!$A:$AH,22,0),0)=1,"◎ Should","– N/A"))</f>
        <v>✓ Takes</v>
      </c>
      <c r="P193" s="156" t="str">
        <f>IF(COUNTIFS('Product Order Book'!$A:$A,$A193,'Product Order Book'!$E:$E,P$3)&gt;0,"✓ Takes",IF(IFERROR(VLOOKUP($A193,'Whitespace Analysis'!$A:$AH,24,0),0)=1,"◎ Should","– N/A"))</f>
        <v>– N/A</v>
      </c>
      <c r="Q193" s="156" t="str">
        <f>IF(COUNTIFS('Product Order Book'!$A:$A,$A193,'Product Order Book'!$E:$E,Q$3)&gt;0,"✓ Takes",IF(IFERROR(VLOOKUP($A193,'Whitespace Analysis'!$A:$AH,26,0),0)=1,"◎ Should","– N/A"))</f>
        <v>– N/A</v>
      </c>
      <c r="R193" s="156" t="str">
        <f>IF(COUNTIFS('Product Order Book'!$A:$A,$A193,'Product Order Book'!$E:$E,R$3)&gt;0,"✓ Takes",IF(IFERROR(VLOOKUP($A193,'Whitespace Analysis'!$A:$AH,16,0),0)=1,"◎ Should","– N/A"))</f>
        <v>– N/A</v>
      </c>
      <c r="S193" s="156" t="str">
        <f>IF(COUNTIFS('Product Order Book'!$A:$A,$A193,'Product Order Book'!$E:$E,S$3)&gt;0,"✓ Takes",IF(IFERROR(VLOOKUP($A193,'Whitespace Analysis'!$A:$AH,18,0),0)=1,"◎ Should","– N/A"))</f>
        <v>– N/A</v>
      </c>
      <c r="T193" s="156" t="str">
        <f>IF(COUNTIFS('Product Order Book'!$A:$A,$A193,'Product Order Book'!$E:$E,T$3)&gt;0,"✓ Takes",IF(IFERROR(VLOOKUP($A193,'Whitespace Analysis'!$A:$AH,28,0),0)=1,"◎ Should","– N/A"))</f>
        <v>– N/A</v>
      </c>
      <c r="U193" s="156" t="str">
        <f>IF(COUNTIFS('Product Order Book'!$A:$A,$A193,'Product Order Book'!$E:$E,U$3)&gt;0,"✓ Takes",IF(IFERROR(VLOOKUP($A193,'Whitespace Analysis'!$A:$AH,30,0),0)=1,"◎ Should","– N/A"))</f>
        <v>– N/A</v>
      </c>
      <c r="V193" s="156" t="str">
        <f>IF(COUNTIFS('Product Order Book'!$A:$A,$A193,'Product Order Book'!$E:$E,V$3)&gt;0,"✓ Takes",IF(IFERROR(VLOOKUP($A193,'Whitespace Analysis'!$A:$AH,14,0),0)=1,"◎ Should","– N/A"))</f>
        <v>– N/A</v>
      </c>
    </row>
    <row r="194" spans="1:22" ht="15" customHeight="1">
      <c r="A194" s="154" t="str">
        <v>Unify Energy Limited</v>
      </c>
      <c r="B194" s="155">
        <f>IFERROR(MIN(1,COUNTIFS('Product Order Book'!$A$2:$A$1057,$A194,'Product Order Book'!$E$2:$E$1057,B$3)/INDEX('Clean Package Product Lists'!$C:$C,MATCH(B$3,'Clean Package Product Lists'!$A:$A,0))),"")</f>
        <v>1</v>
      </c>
      <c r="C194" s="155">
        <f>IFERROR(MIN(1,COUNTIFS('Product Order Book'!$A$2:$A$1057,$A194,'Product Order Book'!$E$2:$E$1057,C$3)/INDEX('Clean Package Product Lists'!$C:$C,MATCH(C$3,'Clean Package Product Lists'!$A:$A,0))),"")</f>
        <v>0.7142857142857143</v>
      </c>
      <c r="D194" s="155">
        <f>IFERROR(MIN(1,COUNTIFS('Product Order Book'!$A$2:$A$1057,$A194,'Product Order Book'!$E$2:$E$1057,D$3)/INDEX('Clean Package Product Lists'!$C:$C,MATCH(D$3,'Clean Package Product Lists'!$A:$A,0))),"")</f>
        <v>0</v>
      </c>
      <c r="E194" s="155">
        <f>IFERROR(MIN(1,COUNTIFS('Product Order Book'!$A$2:$A$1057,$A194,'Product Order Book'!$E$2:$E$1057,E$3)/INDEX('Clean Package Product Lists'!$C:$C,MATCH(E$3,'Clean Package Product Lists'!$A:$A,0))),"")</f>
        <v>0</v>
      </c>
      <c r="F194" s="155">
        <f>IFERROR(MIN(1,COUNTIFS('Product Order Book'!$A$2:$A$1057,$A194,'Product Order Book'!$E$2:$E$1057,F$3)/INDEX('Clean Package Product Lists'!$C:$C,MATCH(F$3,'Clean Package Product Lists'!$A:$A,0))),"")</f>
        <v>0</v>
      </c>
      <c r="G194" s="155">
        <f>IFERROR(MIN(1,COUNTIFS('Product Order Book'!$A$2:$A$1057,$A194,'Product Order Book'!$E$2:$E$1057,G$3)/INDEX('Clean Package Product Lists'!$C:$C,MATCH(G$3,'Clean Package Product Lists'!$A:$A,0))),"")</f>
        <v>0</v>
      </c>
      <c r="H194" s="155">
        <f>IFERROR(MIN(1,COUNTIFS('Product Order Book'!$A$2:$A$1057,$A194,'Product Order Book'!$E$2:$E$1057,H$3)/INDEX('Clean Package Product Lists'!$C:$C,MATCH(H$3,'Clean Package Product Lists'!$A:$A,0))),"")</f>
        <v>0.75</v>
      </c>
      <c r="I194" s="155">
        <f>IFERROR(MIN(1,COUNTIFS('Product Order Book'!$A$2:$A$1057,$A194,'Product Order Book'!$E$2:$E$1057,I$3)/INDEX('Clean Package Product Lists'!$C:$C,MATCH(I$3,'Clean Package Product Lists'!$A:$A,0))),"")</f>
        <v>0</v>
      </c>
      <c r="J194" s="155">
        <f>IFERROR(MIN(1,COUNTIFS('Product Order Book'!$A$2:$A$1057,$A194,'Product Order Book'!$E$2:$E$1057,J$3)/INDEX('Clean Package Product Lists'!$C:$C,MATCH(J$3,'Clean Package Product Lists'!$A:$A,0))),"")</f>
        <v>0</v>
      </c>
      <c r="K194" s="155">
        <f>IFERROR(MIN(1,COUNTIFS('Product Order Book'!$A$2:$A$1057,$A194,'Product Order Book'!$E$2:$E$1057,K$3)/INDEX('Clean Package Product Lists'!$C:$C,MATCH(K$3,'Clean Package Product Lists'!$A:$A,0))),"")</f>
        <v>0</v>
      </c>
      <c r="L194" s="154"/>
      <c r="M194" s="156" t="str">
        <f>IF(COUNTIFS('Product Order Book'!$A:$A,$A194,'Product Order Book'!$E:$E,M$3)&gt;0,"✓ Takes",IF(IFERROR(VLOOKUP($A194,'Whitespace Analysis'!$A:$AH,12,0),0)=1,"◎ Should","– N/A"))</f>
        <v>✓ Takes</v>
      </c>
      <c r="N194" s="156" t="str">
        <f>IF(COUNTIFS('Product Order Book'!$A:$A,$A194,'Product Order Book'!$E:$E,N$3)&gt;0,"✓ Takes",IF(IFERROR(VLOOKUP($A194,'Whitespace Analysis'!$A:$AH,20,0),0)=1,"◎ Should","– N/A"))</f>
        <v>✓ Takes</v>
      </c>
      <c r="O194" s="156" t="str">
        <f>IF(COUNTIFS('Product Order Book'!$A:$A,$A194,'Product Order Book'!$E:$E,O$3)&gt;0,"✓ Takes",IF(IFERROR(VLOOKUP($A194,'Whitespace Analysis'!$A:$AH,22,0),0)=1,"◎ Should","– N/A"))</f>
        <v>– N/A</v>
      </c>
      <c r="P194" s="156" t="str">
        <f>IF(COUNTIFS('Product Order Book'!$A:$A,$A194,'Product Order Book'!$E:$E,P$3)&gt;0,"✓ Takes",IF(IFERROR(VLOOKUP($A194,'Whitespace Analysis'!$A:$AH,24,0),0)=1,"◎ Should","– N/A"))</f>
        <v>◎ Should</v>
      </c>
      <c r="Q194" s="156" t="str">
        <f>IF(COUNTIFS('Product Order Book'!$A:$A,$A194,'Product Order Book'!$E:$E,Q$3)&gt;0,"✓ Takes",IF(IFERROR(VLOOKUP($A194,'Whitespace Analysis'!$A:$AH,26,0),0)=1,"◎ Should","– N/A"))</f>
        <v>– N/A</v>
      </c>
      <c r="R194" s="156" t="str">
        <f>IF(COUNTIFS('Product Order Book'!$A:$A,$A194,'Product Order Book'!$E:$E,R$3)&gt;0,"✓ Takes",IF(IFERROR(VLOOKUP($A194,'Whitespace Analysis'!$A:$AH,16,0),0)=1,"◎ Should","– N/A"))</f>
        <v>◎ Should</v>
      </c>
      <c r="S194" s="156" t="str">
        <f>IF(COUNTIFS('Product Order Book'!$A:$A,$A194,'Product Order Book'!$E:$E,S$3)&gt;0,"✓ Takes",IF(IFERROR(VLOOKUP($A194,'Whitespace Analysis'!$A:$AH,18,0),0)=1,"◎ Should","– N/A"))</f>
        <v>✓ Takes</v>
      </c>
      <c r="T194" s="156" t="str">
        <f>IF(COUNTIFS('Product Order Book'!$A:$A,$A194,'Product Order Book'!$E:$E,T$3)&gt;0,"✓ Takes",IF(IFERROR(VLOOKUP($A194,'Whitespace Analysis'!$A:$AH,28,0),0)=1,"◎ Should","– N/A"))</f>
        <v>– N/A</v>
      </c>
      <c r="U194" s="156" t="str">
        <f>IF(COUNTIFS('Product Order Book'!$A:$A,$A194,'Product Order Book'!$E:$E,U$3)&gt;0,"✓ Takes",IF(IFERROR(VLOOKUP($A194,'Whitespace Analysis'!$A:$AH,30,0),0)=1,"◎ Should","– N/A"))</f>
        <v>– N/A</v>
      </c>
      <c r="V194" s="156" t="str">
        <f>IF(COUNTIFS('Product Order Book'!$A:$A,$A194,'Product Order Book'!$E:$E,V$3)&gt;0,"✓ Takes",IF(IFERROR(VLOOKUP($A194,'Whitespace Analysis'!$A:$AH,14,0),0)=1,"◎ Should","– N/A"))</f>
        <v>◎ Should</v>
      </c>
    </row>
    <row r="195" spans="1:22" ht="15" customHeight="1">
      <c r="A195" s="154" t="str">
        <v>Uniper UK Limited</v>
      </c>
      <c r="B195" s="155">
        <f>IFERROR(MIN(1,COUNTIFS('Product Order Book'!$A$2:$A$1057,$A195,'Product Order Book'!$E$2:$E$1057,B$3)/INDEX('Clean Package Product Lists'!$C:$C,MATCH(B$3,'Clean Package Product Lists'!$A:$A,0))),"")</f>
        <v>0</v>
      </c>
      <c r="C195" s="155">
        <f>IFERROR(MIN(1,COUNTIFS('Product Order Book'!$A$2:$A$1057,$A195,'Product Order Book'!$E$2:$E$1057,C$3)/INDEX('Clean Package Product Lists'!$C:$C,MATCH(C$3,'Clean Package Product Lists'!$A:$A,0))),"")</f>
        <v>0</v>
      </c>
      <c r="D195" s="155">
        <f>IFERROR(MIN(1,COUNTIFS('Product Order Book'!$A$2:$A$1057,$A195,'Product Order Book'!$E$2:$E$1057,D$3)/INDEX('Clean Package Product Lists'!$C:$C,MATCH(D$3,'Clean Package Product Lists'!$A:$A,0))),"")</f>
        <v>0</v>
      </c>
      <c r="E195" s="155">
        <f>IFERROR(MIN(1,COUNTIFS('Product Order Book'!$A$2:$A$1057,$A195,'Product Order Book'!$E$2:$E$1057,E$3)/INDEX('Clean Package Product Lists'!$C:$C,MATCH(E$3,'Clean Package Product Lists'!$A:$A,0))),"")</f>
        <v>0</v>
      </c>
      <c r="F195" s="155">
        <f>IFERROR(MIN(1,COUNTIFS('Product Order Book'!$A$2:$A$1057,$A195,'Product Order Book'!$E$2:$E$1057,F$3)/INDEX('Clean Package Product Lists'!$C:$C,MATCH(F$3,'Clean Package Product Lists'!$A:$A,0))),"")</f>
        <v>0.33333333333333331</v>
      </c>
      <c r="G195" s="155">
        <f>IFERROR(MIN(1,COUNTIFS('Product Order Book'!$A$2:$A$1057,$A195,'Product Order Book'!$E$2:$E$1057,G$3)/INDEX('Clean Package Product Lists'!$C:$C,MATCH(G$3,'Clean Package Product Lists'!$A:$A,0))),"")</f>
        <v>0</v>
      </c>
      <c r="H195" s="155">
        <f>IFERROR(MIN(1,COUNTIFS('Product Order Book'!$A$2:$A$1057,$A195,'Product Order Book'!$E$2:$E$1057,H$3)/INDEX('Clean Package Product Lists'!$C:$C,MATCH(H$3,'Clean Package Product Lists'!$A:$A,0))),"")</f>
        <v>0</v>
      </c>
      <c r="I195" s="155">
        <f>IFERROR(MIN(1,COUNTIFS('Product Order Book'!$A$2:$A$1057,$A195,'Product Order Book'!$E$2:$E$1057,I$3)/INDEX('Clean Package Product Lists'!$C:$C,MATCH(I$3,'Clean Package Product Lists'!$A:$A,0))),"")</f>
        <v>0</v>
      </c>
      <c r="J195" s="155">
        <f>IFERROR(MIN(1,COUNTIFS('Product Order Book'!$A$2:$A$1057,$A195,'Product Order Book'!$E$2:$E$1057,J$3)/INDEX('Clean Package Product Lists'!$C:$C,MATCH(J$3,'Clean Package Product Lists'!$A:$A,0))),"")</f>
        <v>0</v>
      </c>
      <c r="K195" s="155">
        <f>IFERROR(MIN(1,COUNTIFS('Product Order Book'!$A$2:$A$1057,$A195,'Product Order Book'!$E$2:$E$1057,K$3)/INDEX('Clean Package Product Lists'!$C:$C,MATCH(K$3,'Clean Package Product Lists'!$A:$A,0))),"")</f>
        <v>0</v>
      </c>
      <c r="L195" s="154"/>
      <c r="M195" s="156" t="str">
        <f>IF(COUNTIFS('Product Order Book'!$A:$A,$A195,'Product Order Book'!$E:$E,M$3)&gt;0,"✓ Takes",IF(IFERROR(VLOOKUP($A195,'Whitespace Analysis'!$A:$AH,12,0),0)=1,"◎ Should","– N/A"))</f>
        <v>◎ Should</v>
      </c>
      <c r="N195" s="156" t="str">
        <f>IF(COUNTIFS('Product Order Book'!$A:$A,$A195,'Product Order Book'!$E:$E,N$3)&gt;0,"✓ Takes",IF(IFERROR(VLOOKUP($A195,'Whitespace Analysis'!$A:$AH,20,0),0)=1,"◎ Should","– N/A"))</f>
        <v>◎ Should</v>
      </c>
      <c r="O195" s="156" t="str">
        <f>IF(COUNTIFS('Product Order Book'!$A:$A,$A195,'Product Order Book'!$E:$E,O$3)&gt;0,"✓ Takes",IF(IFERROR(VLOOKUP($A195,'Whitespace Analysis'!$A:$AH,22,0),0)=1,"◎ Should","– N/A"))</f>
        <v>◎ Should</v>
      </c>
      <c r="P195" s="156" t="str">
        <f>IF(COUNTIFS('Product Order Book'!$A:$A,$A195,'Product Order Book'!$E:$E,P$3)&gt;0,"✓ Takes",IF(IFERROR(VLOOKUP($A195,'Whitespace Analysis'!$A:$AH,24,0),0)=1,"◎ Should","– N/A"))</f>
        <v>– N/A</v>
      </c>
      <c r="Q195" s="156" t="str">
        <f>IF(COUNTIFS('Product Order Book'!$A:$A,$A195,'Product Order Book'!$E:$E,Q$3)&gt;0,"✓ Takes",IF(IFERROR(VLOOKUP($A195,'Whitespace Analysis'!$A:$AH,26,0),0)=1,"◎ Should","– N/A"))</f>
        <v>✓ Takes</v>
      </c>
      <c r="R195" s="156" t="str">
        <f>IF(COUNTIFS('Product Order Book'!$A:$A,$A195,'Product Order Book'!$E:$E,R$3)&gt;0,"✓ Takes",IF(IFERROR(VLOOKUP($A195,'Whitespace Analysis'!$A:$AH,16,0),0)=1,"◎ Should","– N/A"))</f>
        <v>– N/A</v>
      </c>
      <c r="S195" s="156" t="str">
        <f>IF(COUNTIFS('Product Order Book'!$A:$A,$A195,'Product Order Book'!$E:$E,S$3)&gt;0,"✓ Takes",IF(IFERROR(VLOOKUP($A195,'Whitespace Analysis'!$A:$AH,18,0),0)=1,"◎ Should","– N/A"))</f>
        <v>– N/A</v>
      </c>
      <c r="T195" s="156" t="str">
        <f>IF(COUNTIFS('Product Order Book'!$A:$A,$A195,'Product Order Book'!$E:$E,T$3)&gt;0,"✓ Takes",IF(IFERROR(VLOOKUP($A195,'Whitespace Analysis'!$A:$AH,28,0),0)=1,"◎ Should","– N/A"))</f>
        <v>– N/A</v>
      </c>
      <c r="U195" s="156" t="str">
        <f>IF(COUNTIFS('Product Order Book'!$A:$A,$A195,'Product Order Book'!$E:$E,U$3)&gt;0,"✓ Takes",IF(IFERROR(VLOOKUP($A195,'Whitespace Analysis'!$A:$AH,30,0),0)=1,"◎ Should","– N/A"))</f>
        <v>– N/A</v>
      </c>
      <c r="V195" s="156" t="str">
        <f>IF(COUNTIFS('Product Order Book'!$A:$A,$A195,'Product Order Book'!$E:$E,V$3)&gt;0,"✓ Takes",IF(IFERROR(VLOOKUP($A195,'Whitespace Analysis'!$A:$AH,14,0),0)=1,"◎ Should","– N/A"))</f>
        <v>◎ Should</v>
      </c>
    </row>
    <row r="196" spans="1:22" ht="15" customHeight="1">
      <c r="A196" s="154" t="str">
        <v>United Gas &amp; Power Ltd</v>
      </c>
      <c r="B196" s="155">
        <f>IFERROR(MIN(1,COUNTIFS('Product Order Book'!$A$2:$A$1057,$A196,'Product Order Book'!$E$2:$E$1057,B$3)/INDEX('Clean Package Product Lists'!$C:$C,MATCH(B$3,'Clean Package Product Lists'!$A:$A,0))),"")</f>
        <v>1</v>
      </c>
      <c r="C196" s="155">
        <f>IFERROR(MIN(1,COUNTIFS('Product Order Book'!$A$2:$A$1057,$A196,'Product Order Book'!$E$2:$E$1057,C$3)/INDEX('Clean Package Product Lists'!$C:$C,MATCH(C$3,'Clean Package Product Lists'!$A:$A,0))),"")</f>
        <v>0</v>
      </c>
      <c r="D196" s="155">
        <f>IFERROR(MIN(1,COUNTIFS('Product Order Book'!$A$2:$A$1057,$A196,'Product Order Book'!$E$2:$E$1057,D$3)/INDEX('Clean Package Product Lists'!$C:$C,MATCH(D$3,'Clean Package Product Lists'!$A:$A,0))),"")</f>
        <v>0</v>
      </c>
      <c r="E196" s="155">
        <f>IFERROR(MIN(1,COUNTIFS('Product Order Book'!$A$2:$A$1057,$A196,'Product Order Book'!$E$2:$E$1057,E$3)/INDEX('Clean Package Product Lists'!$C:$C,MATCH(E$3,'Clean Package Product Lists'!$A:$A,0))),"")</f>
        <v>0</v>
      </c>
      <c r="F196" s="155">
        <f>IFERROR(MIN(1,COUNTIFS('Product Order Book'!$A$2:$A$1057,$A196,'Product Order Book'!$E$2:$E$1057,F$3)/INDEX('Clean Package Product Lists'!$C:$C,MATCH(F$3,'Clean Package Product Lists'!$A:$A,0))),"")</f>
        <v>0</v>
      </c>
      <c r="G196" s="155">
        <f>IFERROR(MIN(1,COUNTIFS('Product Order Book'!$A$2:$A$1057,$A196,'Product Order Book'!$E$2:$E$1057,G$3)/INDEX('Clean Package Product Lists'!$C:$C,MATCH(G$3,'Clean Package Product Lists'!$A:$A,0))),"")</f>
        <v>0</v>
      </c>
      <c r="H196" s="155">
        <f>IFERROR(MIN(1,COUNTIFS('Product Order Book'!$A$2:$A$1057,$A196,'Product Order Book'!$E$2:$E$1057,H$3)/INDEX('Clean Package Product Lists'!$C:$C,MATCH(H$3,'Clean Package Product Lists'!$A:$A,0))),"")</f>
        <v>0.25</v>
      </c>
      <c r="I196" s="155">
        <f>IFERROR(MIN(1,COUNTIFS('Product Order Book'!$A$2:$A$1057,$A196,'Product Order Book'!$E$2:$E$1057,I$3)/INDEX('Clean Package Product Lists'!$C:$C,MATCH(I$3,'Clean Package Product Lists'!$A:$A,0))),"")</f>
        <v>0</v>
      </c>
      <c r="J196" s="155">
        <f>IFERROR(MIN(1,COUNTIFS('Product Order Book'!$A$2:$A$1057,$A196,'Product Order Book'!$E$2:$E$1057,J$3)/INDEX('Clean Package Product Lists'!$C:$C,MATCH(J$3,'Clean Package Product Lists'!$A:$A,0))),"")</f>
        <v>0</v>
      </c>
      <c r="K196" s="155">
        <f>IFERROR(MIN(1,COUNTIFS('Product Order Book'!$A$2:$A$1057,$A196,'Product Order Book'!$E$2:$E$1057,K$3)/INDEX('Clean Package Product Lists'!$C:$C,MATCH(K$3,'Clean Package Product Lists'!$A:$A,0))),"")</f>
        <v>1</v>
      </c>
      <c r="L196" s="154"/>
      <c r="M196" s="156" t="str">
        <f>IF(COUNTIFS('Product Order Book'!$A:$A,$A196,'Product Order Book'!$E:$E,M$3)&gt;0,"✓ Takes",IF(IFERROR(VLOOKUP($A196,'Whitespace Analysis'!$A:$AH,12,0),0)=1,"◎ Should","– N/A"))</f>
        <v>✓ Takes</v>
      </c>
      <c r="N196" s="156" t="str">
        <f>IF(COUNTIFS('Product Order Book'!$A:$A,$A196,'Product Order Book'!$E:$E,N$3)&gt;0,"✓ Takes",IF(IFERROR(VLOOKUP($A196,'Whitespace Analysis'!$A:$AH,20,0),0)=1,"◎ Should","– N/A"))</f>
        <v>– N/A</v>
      </c>
      <c r="O196" s="156" t="str">
        <f>IF(COUNTIFS('Product Order Book'!$A:$A,$A196,'Product Order Book'!$E:$E,O$3)&gt;0,"✓ Takes",IF(IFERROR(VLOOKUP($A196,'Whitespace Analysis'!$A:$AH,22,0),0)=1,"◎ Should","– N/A"))</f>
        <v>– N/A</v>
      </c>
      <c r="P196" s="156" t="str">
        <f>IF(COUNTIFS('Product Order Book'!$A:$A,$A196,'Product Order Book'!$E:$E,P$3)&gt;0,"✓ Takes",IF(IFERROR(VLOOKUP($A196,'Whitespace Analysis'!$A:$AH,24,0),0)=1,"◎ Should","– N/A"))</f>
        <v>◎ Should</v>
      </c>
      <c r="Q196" s="156" t="str">
        <f>IF(COUNTIFS('Product Order Book'!$A:$A,$A196,'Product Order Book'!$E:$E,Q$3)&gt;0,"✓ Takes",IF(IFERROR(VLOOKUP($A196,'Whitespace Analysis'!$A:$AH,26,0),0)=1,"◎ Should","– N/A"))</f>
        <v>– N/A</v>
      </c>
      <c r="R196" s="156" t="str">
        <f>IF(COUNTIFS('Product Order Book'!$A:$A,$A196,'Product Order Book'!$E:$E,R$3)&gt;0,"✓ Takes",IF(IFERROR(VLOOKUP($A196,'Whitespace Analysis'!$A:$AH,16,0),0)=1,"◎ Should","– N/A"))</f>
        <v>◎ Should</v>
      </c>
      <c r="S196" s="156" t="str">
        <f>IF(COUNTIFS('Product Order Book'!$A:$A,$A196,'Product Order Book'!$E:$E,S$3)&gt;0,"✓ Takes",IF(IFERROR(VLOOKUP($A196,'Whitespace Analysis'!$A:$AH,18,0),0)=1,"◎ Should","– N/A"))</f>
        <v>✓ Takes</v>
      </c>
      <c r="T196" s="156" t="str">
        <f>IF(COUNTIFS('Product Order Book'!$A:$A,$A196,'Product Order Book'!$E:$E,T$3)&gt;0,"✓ Takes",IF(IFERROR(VLOOKUP($A196,'Whitespace Analysis'!$A:$AH,28,0),0)=1,"◎ Should","– N/A"))</f>
        <v>– N/A</v>
      </c>
      <c r="U196" s="156" t="str">
        <f>IF(COUNTIFS('Product Order Book'!$A:$A,$A196,'Product Order Book'!$E:$E,U$3)&gt;0,"✓ Takes",IF(IFERROR(VLOOKUP($A196,'Whitespace Analysis'!$A:$AH,30,0),0)=1,"◎ Should","– N/A"))</f>
        <v>– N/A</v>
      </c>
      <c r="V196" s="156" t="str">
        <f>IF(COUNTIFS('Product Order Book'!$A:$A,$A196,'Product Order Book'!$E:$E,V$3)&gt;0,"✓ Takes",IF(IFERROR(VLOOKUP($A196,'Whitespace Analysis'!$A:$AH,14,0),0)=1,"◎ Should","– N/A"))</f>
        <v>✓ Takes</v>
      </c>
    </row>
    <row r="197" spans="1:22" ht="15" customHeight="1">
      <c r="A197" s="154" t="str">
        <v>United Utilities Water Limited</v>
      </c>
      <c r="B197" s="155">
        <f>IFERROR(MIN(1,COUNTIFS('Product Order Book'!$A$2:$A$1057,$A197,'Product Order Book'!$E$2:$E$1057,B$3)/INDEX('Clean Package Product Lists'!$C:$C,MATCH(B$3,'Clean Package Product Lists'!$A:$A,0))),"")</f>
        <v>0</v>
      </c>
      <c r="C197" s="155">
        <f>IFERROR(MIN(1,COUNTIFS('Product Order Book'!$A$2:$A$1057,$A197,'Product Order Book'!$E$2:$E$1057,C$3)/INDEX('Clean Package Product Lists'!$C:$C,MATCH(C$3,'Clean Package Product Lists'!$A:$A,0))),"")</f>
        <v>0</v>
      </c>
      <c r="D197" s="155">
        <f>IFERROR(MIN(1,COUNTIFS('Product Order Book'!$A$2:$A$1057,$A197,'Product Order Book'!$E$2:$E$1057,D$3)/INDEX('Clean Package Product Lists'!$C:$C,MATCH(D$3,'Clean Package Product Lists'!$A:$A,0))),"")</f>
        <v>0</v>
      </c>
      <c r="E197" s="155">
        <f>IFERROR(MIN(1,COUNTIFS('Product Order Book'!$A$2:$A$1057,$A197,'Product Order Book'!$E$2:$E$1057,E$3)/INDEX('Clean Package Product Lists'!$C:$C,MATCH(E$3,'Clean Package Product Lists'!$A:$A,0))),"")</f>
        <v>0</v>
      </c>
      <c r="F197" s="155">
        <f>IFERROR(MIN(1,COUNTIFS('Product Order Book'!$A$2:$A$1057,$A197,'Product Order Book'!$E$2:$E$1057,F$3)/INDEX('Clean Package Product Lists'!$C:$C,MATCH(F$3,'Clean Package Product Lists'!$A:$A,0))),"")</f>
        <v>0</v>
      </c>
      <c r="G197" s="155">
        <f>IFERROR(MIN(1,COUNTIFS('Product Order Book'!$A$2:$A$1057,$A197,'Product Order Book'!$E$2:$E$1057,G$3)/INDEX('Clean Package Product Lists'!$C:$C,MATCH(G$3,'Clean Package Product Lists'!$A:$A,0))),"")</f>
        <v>0</v>
      </c>
      <c r="H197" s="155">
        <f>IFERROR(MIN(1,COUNTIFS('Product Order Book'!$A$2:$A$1057,$A197,'Product Order Book'!$E$2:$E$1057,H$3)/INDEX('Clean Package Product Lists'!$C:$C,MATCH(H$3,'Clean Package Product Lists'!$A:$A,0))),"")</f>
        <v>0</v>
      </c>
      <c r="I197" s="155">
        <f>IFERROR(MIN(1,COUNTIFS('Product Order Book'!$A$2:$A$1057,$A197,'Product Order Book'!$E$2:$E$1057,I$3)/INDEX('Clean Package Product Lists'!$C:$C,MATCH(I$3,'Clean Package Product Lists'!$A:$A,0))),"")</f>
        <v>0</v>
      </c>
      <c r="J197" s="155">
        <f>IFERROR(MIN(1,COUNTIFS('Product Order Book'!$A$2:$A$1057,$A197,'Product Order Book'!$E$2:$E$1057,J$3)/INDEX('Clean Package Product Lists'!$C:$C,MATCH(J$3,'Clean Package Product Lists'!$A:$A,0))),"")</f>
        <v>1</v>
      </c>
      <c r="K197" s="155">
        <f>IFERROR(MIN(1,COUNTIFS('Product Order Book'!$A$2:$A$1057,$A197,'Product Order Book'!$E$2:$E$1057,K$3)/INDEX('Clean Package Product Lists'!$C:$C,MATCH(K$3,'Clean Package Product Lists'!$A:$A,0))),"")</f>
        <v>0</v>
      </c>
      <c r="L197" s="154"/>
      <c r="M197" s="156" t="str">
        <f>IF(COUNTIFS('Product Order Book'!$A:$A,$A197,'Product Order Book'!$E:$E,M$3)&gt;0,"✓ Takes",IF(IFERROR(VLOOKUP($A197,'Whitespace Analysis'!$A:$AH,12,0),0)=1,"◎ Should","– N/A"))</f>
        <v>◎ Should</v>
      </c>
      <c r="N197" s="156" t="str">
        <f>IF(COUNTIFS('Product Order Book'!$A:$A,$A197,'Product Order Book'!$E:$E,N$3)&gt;0,"✓ Takes",IF(IFERROR(VLOOKUP($A197,'Whitespace Analysis'!$A:$AH,20,0),0)=1,"◎ Should","– N/A"))</f>
        <v>◎ Should</v>
      </c>
      <c r="O197" s="156" t="str">
        <f>IF(COUNTIFS('Product Order Book'!$A:$A,$A197,'Product Order Book'!$E:$E,O$3)&gt;0,"✓ Takes",IF(IFERROR(VLOOKUP($A197,'Whitespace Analysis'!$A:$AH,22,0),0)=1,"◎ Should","– N/A"))</f>
        <v>◎ Should</v>
      </c>
      <c r="P197" s="156" t="str">
        <f>IF(COUNTIFS('Product Order Book'!$A:$A,$A197,'Product Order Book'!$E:$E,P$3)&gt;0,"✓ Takes",IF(IFERROR(VLOOKUP($A197,'Whitespace Analysis'!$A:$AH,24,0),0)=1,"◎ Should","– N/A"))</f>
        <v>– N/A</v>
      </c>
      <c r="Q197" s="156" t="str">
        <f>IF(COUNTIFS('Product Order Book'!$A:$A,$A197,'Product Order Book'!$E:$E,Q$3)&gt;0,"✓ Takes",IF(IFERROR(VLOOKUP($A197,'Whitespace Analysis'!$A:$AH,26,0),0)=1,"◎ Should","– N/A"))</f>
        <v>– N/A</v>
      </c>
      <c r="R197" s="156" t="str">
        <f>IF(COUNTIFS('Product Order Book'!$A:$A,$A197,'Product Order Book'!$E:$E,R$3)&gt;0,"✓ Takes",IF(IFERROR(VLOOKUP($A197,'Whitespace Analysis'!$A:$AH,16,0),0)=1,"◎ Should","– N/A"))</f>
        <v>– N/A</v>
      </c>
      <c r="S197" s="156" t="str">
        <f>IF(COUNTIFS('Product Order Book'!$A:$A,$A197,'Product Order Book'!$E:$E,S$3)&gt;0,"✓ Takes",IF(IFERROR(VLOOKUP($A197,'Whitespace Analysis'!$A:$AH,18,0),0)=1,"◎ Should","– N/A"))</f>
        <v>– N/A</v>
      </c>
      <c r="T197" s="156" t="str">
        <f>IF(COUNTIFS('Product Order Book'!$A:$A,$A197,'Product Order Book'!$E:$E,T$3)&gt;0,"✓ Takes",IF(IFERROR(VLOOKUP($A197,'Whitespace Analysis'!$A:$AH,28,0),0)=1,"◎ Should","– N/A"))</f>
        <v>◎ Should</v>
      </c>
      <c r="U197" s="156" t="str">
        <f>IF(COUNTIFS('Product Order Book'!$A:$A,$A197,'Product Order Book'!$E:$E,U$3)&gt;0,"✓ Takes",IF(IFERROR(VLOOKUP($A197,'Whitespace Analysis'!$A:$AH,30,0),0)=1,"◎ Should","– N/A"))</f>
        <v>✓ Takes</v>
      </c>
      <c r="V197" s="156" t="str">
        <f>IF(COUNTIFS('Product Order Book'!$A:$A,$A197,'Product Order Book'!$E:$E,V$3)&gt;0,"✓ Takes",IF(IFERROR(VLOOKUP($A197,'Whitespace Analysis'!$A:$AH,14,0),0)=1,"◎ Should","– N/A"))</f>
        <v>◎ Should</v>
      </c>
    </row>
    <row r="198" spans="1:22" ht="15" customHeight="1">
      <c r="A198" s="154" t="str">
        <v>UPM-Kymmene (UK) Ltd</v>
      </c>
      <c r="B198" s="155">
        <f>IFERROR(MIN(1,COUNTIFS('Product Order Book'!$A$2:$A$1057,$A198,'Product Order Book'!$E$2:$E$1057,B$3)/INDEX('Clean Package Product Lists'!$C:$C,MATCH(B$3,'Clean Package Product Lists'!$A:$A,0))),"")</f>
        <v>0</v>
      </c>
      <c r="C198" s="155">
        <f>IFERROR(MIN(1,COUNTIFS('Product Order Book'!$A$2:$A$1057,$A198,'Product Order Book'!$E$2:$E$1057,C$3)/INDEX('Clean Package Product Lists'!$C:$C,MATCH(C$3,'Clean Package Product Lists'!$A:$A,0))),"")</f>
        <v>0.2857142857142857</v>
      </c>
      <c r="D198" s="155">
        <f>IFERROR(MIN(1,COUNTIFS('Product Order Book'!$A$2:$A$1057,$A198,'Product Order Book'!$E$2:$E$1057,D$3)/INDEX('Clean Package Product Lists'!$C:$C,MATCH(D$3,'Clean Package Product Lists'!$A:$A,0))),"")</f>
        <v>0</v>
      </c>
      <c r="E198" s="155">
        <f>IFERROR(MIN(1,COUNTIFS('Product Order Book'!$A$2:$A$1057,$A198,'Product Order Book'!$E$2:$E$1057,E$3)/INDEX('Clean Package Product Lists'!$C:$C,MATCH(E$3,'Clean Package Product Lists'!$A:$A,0))),"")</f>
        <v>0</v>
      </c>
      <c r="F198" s="155">
        <f>IFERROR(MIN(1,COUNTIFS('Product Order Book'!$A$2:$A$1057,$A198,'Product Order Book'!$E$2:$E$1057,F$3)/INDEX('Clean Package Product Lists'!$C:$C,MATCH(F$3,'Clean Package Product Lists'!$A:$A,0))),"")</f>
        <v>0</v>
      </c>
      <c r="G198" s="155">
        <f>IFERROR(MIN(1,COUNTIFS('Product Order Book'!$A$2:$A$1057,$A198,'Product Order Book'!$E$2:$E$1057,G$3)/INDEX('Clean Package Product Lists'!$C:$C,MATCH(G$3,'Clean Package Product Lists'!$A:$A,0))),"")</f>
        <v>0</v>
      </c>
      <c r="H198" s="155">
        <f>IFERROR(MIN(1,COUNTIFS('Product Order Book'!$A$2:$A$1057,$A198,'Product Order Book'!$E$2:$E$1057,H$3)/INDEX('Clean Package Product Lists'!$C:$C,MATCH(H$3,'Clean Package Product Lists'!$A:$A,0))),"")</f>
        <v>0</v>
      </c>
      <c r="I198" s="155">
        <f>IFERROR(MIN(1,COUNTIFS('Product Order Book'!$A$2:$A$1057,$A198,'Product Order Book'!$E$2:$E$1057,I$3)/INDEX('Clean Package Product Lists'!$C:$C,MATCH(I$3,'Clean Package Product Lists'!$A:$A,0))),"")</f>
        <v>0</v>
      </c>
      <c r="J198" s="155">
        <f>IFERROR(MIN(1,COUNTIFS('Product Order Book'!$A$2:$A$1057,$A198,'Product Order Book'!$E$2:$E$1057,J$3)/INDEX('Clean Package Product Lists'!$C:$C,MATCH(J$3,'Clean Package Product Lists'!$A:$A,0))),"")</f>
        <v>0</v>
      </c>
      <c r="K198" s="155">
        <f>IFERROR(MIN(1,COUNTIFS('Product Order Book'!$A$2:$A$1057,$A198,'Product Order Book'!$E$2:$E$1057,K$3)/INDEX('Clean Package Product Lists'!$C:$C,MATCH(K$3,'Clean Package Product Lists'!$A:$A,0))),"")</f>
        <v>0</v>
      </c>
      <c r="L198" s="154"/>
      <c r="M198" s="156" t="str">
        <f>IF(COUNTIFS('Product Order Book'!$A:$A,$A198,'Product Order Book'!$E:$E,M$3)&gt;0,"✓ Takes",IF(IFERROR(VLOOKUP($A198,'Whitespace Analysis'!$A:$AH,12,0),0)=1,"◎ Should","– N/A"))</f>
        <v>◎ Should</v>
      </c>
      <c r="N198" s="156" t="str">
        <f>IF(COUNTIFS('Product Order Book'!$A:$A,$A198,'Product Order Book'!$E:$E,N$3)&gt;0,"✓ Takes",IF(IFERROR(VLOOKUP($A198,'Whitespace Analysis'!$A:$AH,20,0),0)=1,"◎ Should","– N/A"))</f>
        <v>✓ Takes</v>
      </c>
      <c r="O198" s="156" t="str">
        <f>IF(COUNTIFS('Product Order Book'!$A:$A,$A198,'Product Order Book'!$E:$E,O$3)&gt;0,"✓ Takes",IF(IFERROR(VLOOKUP($A198,'Whitespace Analysis'!$A:$AH,22,0),0)=1,"◎ Should","– N/A"))</f>
        <v>◎ Should</v>
      </c>
      <c r="P198" s="156" t="str">
        <f>IF(COUNTIFS('Product Order Book'!$A:$A,$A198,'Product Order Book'!$E:$E,P$3)&gt;0,"✓ Takes",IF(IFERROR(VLOOKUP($A198,'Whitespace Analysis'!$A:$AH,24,0),0)=1,"◎ Should","– N/A"))</f>
        <v>– N/A</v>
      </c>
      <c r="Q198" s="156" t="str">
        <f>IF(COUNTIFS('Product Order Book'!$A:$A,$A198,'Product Order Book'!$E:$E,Q$3)&gt;0,"✓ Takes",IF(IFERROR(VLOOKUP($A198,'Whitespace Analysis'!$A:$AH,26,0),0)=1,"◎ Should","– N/A"))</f>
        <v>– N/A</v>
      </c>
      <c r="R198" s="156" t="str">
        <f>IF(COUNTIFS('Product Order Book'!$A:$A,$A198,'Product Order Book'!$E:$E,R$3)&gt;0,"✓ Takes",IF(IFERROR(VLOOKUP($A198,'Whitespace Analysis'!$A:$AH,16,0),0)=1,"◎ Should","– N/A"))</f>
        <v>– N/A</v>
      </c>
      <c r="S198" s="156" t="str">
        <f>IF(COUNTIFS('Product Order Book'!$A:$A,$A198,'Product Order Book'!$E:$E,S$3)&gt;0,"✓ Takes",IF(IFERROR(VLOOKUP($A198,'Whitespace Analysis'!$A:$AH,18,0),0)=1,"◎ Should","– N/A"))</f>
        <v>– N/A</v>
      </c>
      <c r="T198" s="156" t="str">
        <f>IF(COUNTIFS('Product Order Book'!$A:$A,$A198,'Product Order Book'!$E:$E,T$3)&gt;0,"✓ Takes",IF(IFERROR(VLOOKUP($A198,'Whitespace Analysis'!$A:$AH,28,0),0)=1,"◎ Should","– N/A"))</f>
        <v>◎ Should</v>
      </c>
      <c r="U198" s="156" t="str">
        <f>IF(COUNTIFS('Product Order Book'!$A:$A,$A198,'Product Order Book'!$E:$E,U$3)&gt;0,"✓ Takes",IF(IFERROR(VLOOKUP($A198,'Whitespace Analysis'!$A:$AH,30,0),0)=1,"◎ Should","– N/A"))</f>
        <v>◎ Should</v>
      </c>
      <c r="V198" s="156" t="str">
        <f>IF(COUNTIFS('Product Order Book'!$A:$A,$A198,'Product Order Book'!$E:$E,V$3)&gt;0,"✓ Takes",IF(IFERROR(VLOOKUP($A198,'Whitespace Analysis'!$A:$AH,14,0),0)=1,"◎ Should","– N/A"))</f>
        <v>◎ Should</v>
      </c>
    </row>
    <row r="199" spans="1:22" ht="15" customHeight="1">
      <c r="A199" s="154" t="str">
        <v>UrbanChain Ltd.</v>
      </c>
      <c r="B199" s="155">
        <f>IFERROR(MIN(1,COUNTIFS('Product Order Book'!$A$2:$A$1057,$A199,'Product Order Book'!$E$2:$E$1057,B$3)/INDEX('Clean Package Product Lists'!$C:$C,MATCH(B$3,'Clean Package Product Lists'!$A:$A,0))),"")</f>
        <v>1</v>
      </c>
      <c r="C199" s="155">
        <f>IFERROR(MIN(1,COUNTIFS('Product Order Book'!$A$2:$A$1057,$A199,'Product Order Book'!$E$2:$E$1057,C$3)/INDEX('Clean Package Product Lists'!$C:$C,MATCH(C$3,'Clean Package Product Lists'!$A:$A,0))),"")</f>
        <v>0</v>
      </c>
      <c r="D199" s="155">
        <f>IFERROR(MIN(1,COUNTIFS('Product Order Book'!$A$2:$A$1057,$A199,'Product Order Book'!$E$2:$E$1057,D$3)/INDEX('Clean Package Product Lists'!$C:$C,MATCH(D$3,'Clean Package Product Lists'!$A:$A,0))),"")</f>
        <v>0</v>
      </c>
      <c r="E199" s="155">
        <f>IFERROR(MIN(1,COUNTIFS('Product Order Book'!$A$2:$A$1057,$A199,'Product Order Book'!$E$2:$E$1057,E$3)/INDEX('Clean Package Product Lists'!$C:$C,MATCH(E$3,'Clean Package Product Lists'!$A:$A,0))),"")</f>
        <v>0</v>
      </c>
      <c r="F199" s="155">
        <f>IFERROR(MIN(1,COUNTIFS('Product Order Book'!$A$2:$A$1057,$A199,'Product Order Book'!$E$2:$E$1057,F$3)/INDEX('Clean Package Product Lists'!$C:$C,MATCH(F$3,'Clean Package Product Lists'!$A:$A,0))),"")</f>
        <v>0.66666666666666663</v>
      </c>
      <c r="G199" s="155">
        <f>IFERROR(MIN(1,COUNTIFS('Product Order Book'!$A$2:$A$1057,$A199,'Product Order Book'!$E$2:$E$1057,G$3)/INDEX('Clean Package Product Lists'!$C:$C,MATCH(G$3,'Clean Package Product Lists'!$A:$A,0))),"")</f>
        <v>0</v>
      </c>
      <c r="H199" s="155">
        <f>IFERROR(MIN(1,COUNTIFS('Product Order Book'!$A$2:$A$1057,$A199,'Product Order Book'!$E$2:$E$1057,H$3)/INDEX('Clean Package Product Lists'!$C:$C,MATCH(H$3,'Clean Package Product Lists'!$A:$A,0))),"")</f>
        <v>1</v>
      </c>
      <c r="I199" s="155">
        <f>IFERROR(MIN(1,COUNTIFS('Product Order Book'!$A$2:$A$1057,$A199,'Product Order Book'!$E$2:$E$1057,I$3)/INDEX('Clean Package Product Lists'!$C:$C,MATCH(I$3,'Clean Package Product Lists'!$A:$A,0))),"")</f>
        <v>0</v>
      </c>
      <c r="J199" s="155">
        <f>IFERROR(MIN(1,COUNTIFS('Product Order Book'!$A$2:$A$1057,$A199,'Product Order Book'!$E$2:$E$1057,J$3)/INDEX('Clean Package Product Lists'!$C:$C,MATCH(J$3,'Clean Package Product Lists'!$A:$A,0))),"")</f>
        <v>0</v>
      </c>
      <c r="K199" s="155">
        <f>IFERROR(MIN(1,COUNTIFS('Product Order Book'!$A$2:$A$1057,$A199,'Product Order Book'!$E$2:$E$1057,K$3)/INDEX('Clean Package Product Lists'!$C:$C,MATCH(K$3,'Clean Package Product Lists'!$A:$A,0))),"")</f>
        <v>0</v>
      </c>
      <c r="L199" s="154"/>
      <c r="M199" s="156" t="str">
        <f>IF(COUNTIFS('Product Order Book'!$A:$A,$A199,'Product Order Book'!$E:$E,M$3)&gt;0,"✓ Takes",IF(IFERROR(VLOOKUP($A199,'Whitespace Analysis'!$A:$AH,12,0),0)=1,"◎ Should","– N/A"))</f>
        <v>✓ Takes</v>
      </c>
      <c r="N199" s="156" t="str">
        <f>IF(COUNTIFS('Product Order Book'!$A:$A,$A199,'Product Order Book'!$E:$E,N$3)&gt;0,"✓ Takes",IF(IFERROR(VLOOKUP($A199,'Whitespace Analysis'!$A:$AH,20,0),0)=1,"◎ Should","– N/A"))</f>
        <v>– N/A</v>
      </c>
      <c r="O199" s="156" t="str">
        <f>IF(COUNTIFS('Product Order Book'!$A:$A,$A199,'Product Order Book'!$E:$E,O$3)&gt;0,"✓ Takes",IF(IFERROR(VLOOKUP($A199,'Whitespace Analysis'!$A:$AH,22,0),0)=1,"◎ Should","– N/A"))</f>
        <v>– N/A</v>
      </c>
      <c r="P199" s="156" t="str">
        <f>IF(COUNTIFS('Product Order Book'!$A:$A,$A199,'Product Order Book'!$E:$E,P$3)&gt;0,"✓ Takes",IF(IFERROR(VLOOKUP($A199,'Whitespace Analysis'!$A:$AH,24,0),0)=1,"◎ Should","– N/A"))</f>
        <v>◎ Should</v>
      </c>
      <c r="Q199" s="156" t="str">
        <f>IF(COUNTIFS('Product Order Book'!$A:$A,$A199,'Product Order Book'!$E:$E,Q$3)&gt;0,"✓ Takes",IF(IFERROR(VLOOKUP($A199,'Whitespace Analysis'!$A:$AH,26,0),0)=1,"◎ Should","– N/A"))</f>
        <v>✓ Takes</v>
      </c>
      <c r="R199" s="156" t="str">
        <f>IF(COUNTIFS('Product Order Book'!$A:$A,$A199,'Product Order Book'!$E:$E,R$3)&gt;0,"✓ Takes",IF(IFERROR(VLOOKUP($A199,'Whitespace Analysis'!$A:$AH,16,0),0)=1,"◎ Should","– N/A"))</f>
        <v>◎ Should</v>
      </c>
      <c r="S199" s="156" t="str">
        <f>IF(COUNTIFS('Product Order Book'!$A:$A,$A199,'Product Order Book'!$E:$E,S$3)&gt;0,"✓ Takes",IF(IFERROR(VLOOKUP($A199,'Whitespace Analysis'!$A:$AH,18,0),0)=1,"◎ Should","– N/A"))</f>
        <v>✓ Takes</v>
      </c>
      <c r="T199" s="156" t="str">
        <f>IF(COUNTIFS('Product Order Book'!$A:$A,$A199,'Product Order Book'!$E:$E,T$3)&gt;0,"✓ Takes",IF(IFERROR(VLOOKUP($A199,'Whitespace Analysis'!$A:$AH,28,0),0)=1,"◎ Should","– N/A"))</f>
        <v>– N/A</v>
      </c>
      <c r="U199" s="156" t="str">
        <f>IF(COUNTIFS('Product Order Book'!$A:$A,$A199,'Product Order Book'!$E:$E,U$3)&gt;0,"✓ Takes",IF(IFERROR(VLOOKUP($A199,'Whitespace Analysis'!$A:$AH,30,0),0)=1,"◎ Should","– N/A"))</f>
        <v>– N/A</v>
      </c>
      <c r="V199" s="156" t="str">
        <f>IF(COUNTIFS('Product Order Book'!$A:$A,$A199,'Product Order Book'!$E:$E,V$3)&gt;0,"✓ Takes",IF(IFERROR(VLOOKUP($A199,'Whitespace Analysis'!$A:$AH,14,0),0)=1,"◎ Should","– N/A"))</f>
        <v>◎ Should</v>
      </c>
    </row>
    <row r="200" spans="1:22" ht="15" customHeight="1">
      <c r="A200" s="154" t="str">
        <v>Utilita Energy Limited</v>
      </c>
      <c r="B200" s="155">
        <f>IFERROR(MIN(1,COUNTIFS('Product Order Book'!$A$2:$A$1057,$A200,'Product Order Book'!$E$2:$E$1057,B$3)/INDEX('Clean Package Product Lists'!$C:$C,MATCH(B$3,'Clean Package Product Lists'!$A:$A,0))),"")</f>
        <v>1</v>
      </c>
      <c r="C200" s="155">
        <f>IFERROR(MIN(1,COUNTIFS('Product Order Book'!$A$2:$A$1057,$A200,'Product Order Book'!$E$2:$E$1057,C$3)/INDEX('Clean Package Product Lists'!$C:$C,MATCH(C$3,'Clean Package Product Lists'!$A:$A,0))),"")</f>
        <v>0</v>
      </c>
      <c r="D200" s="155">
        <f>IFERROR(MIN(1,COUNTIFS('Product Order Book'!$A$2:$A$1057,$A200,'Product Order Book'!$E$2:$E$1057,D$3)/INDEX('Clean Package Product Lists'!$C:$C,MATCH(D$3,'Clean Package Product Lists'!$A:$A,0))),"")</f>
        <v>0</v>
      </c>
      <c r="E200" s="155">
        <f>IFERROR(MIN(1,COUNTIFS('Product Order Book'!$A$2:$A$1057,$A200,'Product Order Book'!$E$2:$E$1057,E$3)/INDEX('Clean Package Product Lists'!$C:$C,MATCH(E$3,'Clean Package Product Lists'!$A:$A,0))),"")</f>
        <v>0</v>
      </c>
      <c r="F200" s="155">
        <f>IFERROR(MIN(1,COUNTIFS('Product Order Book'!$A$2:$A$1057,$A200,'Product Order Book'!$E$2:$E$1057,F$3)/INDEX('Clean Package Product Lists'!$C:$C,MATCH(F$3,'Clean Package Product Lists'!$A:$A,0))),"")</f>
        <v>0</v>
      </c>
      <c r="G200" s="155">
        <f>IFERROR(MIN(1,COUNTIFS('Product Order Book'!$A$2:$A$1057,$A200,'Product Order Book'!$E$2:$E$1057,G$3)/INDEX('Clean Package Product Lists'!$C:$C,MATCH(G$3,'Clean Package Product Lists'!$A:$A,0))),"")</f>
        <v>1</v>
      </c>
      <c r="H200" s="155">
        <f>IFERROR(MIN(1,COUNTIFS('Product Order Book'!$A$2:$A$1057,$A200,'Product Order Book'!$E$2:$E$1057,H$3)/INDEX('Clean Package Product Lists'!$C:$C,MATCH(H$3,'Clean Package Product Lists'!$A:$A,0))),"")</f>
        <v>1</v>
      </c>
      <c r="I200" s="155">
        <f>IFERROR(MIN(1,COUNTIFS('Product Order Book'!$A$2:$A$1057,$A200,'Product Order Book'!$E$2:$E$1057,I$3)/INDEX('Clean Package Product Lists'!$C:$C,MATCH(I$3,'Clean Package Product Lists'!$A:$A,0))),"")</f>
        <v>0</v>
      </c>
      <c r="J200" s="155">
        <f>IFERROR(MIN(1,COUNTIFS('Product Order Book'!$A$2:$A$1057,$A200,'Product Order Book'!$E$2:$E$1057,J$3)/INDEX('Clean Package Product Lists'!$C:$C,MATCH(J$3,'Clean Package Product Lists'!$A:$A,0))),"")</f>
        <v>0</v>
      </c>
      <c r="K200" s="155">
        <f>IFERROR(MIN(1,COUNTIFS('Product Order Book'!$A$2:$A$1057,$A200,'Product Order Book'!$E$2:$E$1057,K$3)/INDEX('Clean Package Product Lists'!$C:$C,MATCH(K$3,'Clean Package Product Lists'!$A:$A,0))),"")</f>
        <v>1</v>
      </c>
      <c r="L200" s="154"/>
      <c r="M200" s="156" t="str">
        <f>IF(COUNTIFS('Product Order Book'!$A:$A,$A200,'Product Order Book'!$E:$E,M$3)&gt;0,"✓ Takes",IF(IFERROR(VLOOKUP($A200,'Whitespace Analysis'!$A:$AH,12,0),0)=1,"◎ Should","– N/A"))</f>
        <v>✓ Takes</v>
      </c>
      <c r="N200" s="156" t="str">
        <f>IF(COUNTIFS('Product Order Book'!$A:$A,$A200,'Product Order Book'!$E:$E,N$3)&gt;0,"✓ Takes",IF(IFERROR(VLOOKUP($A200,'Whitespace Analysis'!$A:$AH,20,0),0)=1,"◎ Should","– N/A"))</f>
        <v>– N/A</v>
      </c>
      <c r="O200" s="156" t="str">
        <f>IF(COUNTIFS('Product Order Book'!$A:$A,$A200,'Product Order Book'!$E:$E,O$3)&gt;0,"✓ Takes",IF(IFERROR(VLOOKUP($A200,'Whitespace Analysis'!$A:$AH,22,0),0)=1,"◎ Should","– N/A"))</f>
        <v>– N/A</v>
      </c>
      <c r="P200" s="156" t="str">
        <f>IF(COUNTIFS('Product Order Book'!$A:$A,$A200,'Product Order Book'!$E:$E,P$3)&gt;0,"✓ Takes",IF(IFERROR(VLOOKUP($A200,'Whitespace Analysis'!$A:$AH,24,0),0)=1,"◎ Should","– N/A"))</f>
        <v>◎ Should</v>
      </c>
      <c r="Q200" s="156" t="str">
        <f>IF(COUNTIFS('Product Order Book'!$A:$A,$A200,'Product Order Book'!$E:$E,Q$3)&gt;0,"✓ Takes",IF(IFERROR(VLOOKUP($A200,'Whitespace Analysis'!$A:$AH,26,0),0)=1,"◎ Should","– N/A"))</f>
        <v>– N/A</v>
      </c>
      <c r="R200" s="156" t="str">
        <f>IF(COUNTIFS('Product Order Book'!$A:$A,$A200,'Product Order Book'!$E:$E,R$3)&gt;0,"✓ Takes",IF(IFERROR(VLOOKUP($A200,'Whitespace Analysis'!$A:$AH,16,0),0)=1,"◎ Should","– N/A"))</f>
        <v>✓ Takes</v>
      </c>
      <c r="S200" s="156" t="str">
        <f>IF(COUNTIFS('Product Order Book'!$A:$A,$A200,'Product Order Book'!$E:$E,S$3)&gt;0,"✓ Takes",IF(IFERROR(VLOOKUP($A200,'Whitespace Analysis'!$A:$AH,18,0),0)=1,"◎ Should","– N/A"))</f>
        <v>✓ Takes</v>
      </c>
      <c r="T200" s="156" t="str">
        <f>IF(COUNTIFS('Product Order Book'!$A:$A,$A200,'Product Order Book'!$E:$E,T$3)&gt;0,"✓ Takes",IF(IFERROR(VLOOKUP($A200,'Whitespace Analysis'!$A:$AH,28,0),0)=1,"◎ Should","– N/A"))</f>
        <v>– N/A</v>
      </c>
      <c r="U200" s="156" t="str">
        <f>IF(COUNTIFS('Product Order Book'!$A:$A,$A200,'Product Order Book'!$E:$E,U$3)&gt;0,"✓ Takes",IF(IFERROR(VLOOKUP($A200,'Whitespace Analysis'!$A:$AH,30,0),0)=1,"◎ Should","– N/A"))</f>
        <v>– N/A</v>
      </c>
      <c r="V200" s="156" t="str">
        <f>IF(COUNTIFS('Product Order Book'!$A:$A,$A200,'Product Order Book'!$E:$E,V$3)&gt;0,"✓ Takes",IF(IFERROR(VLOOKUP($A200,'Whitespace Analysis'!$A:$AH,14,0),0)=1,"◎ Should","– N/A"))</f>
        <v>✓ Takes</v>
      </c>
    </row>
    <row r="201" spans="1:22" ht="15" customHeight="1">
      <c r="A201" s="154" t="str">
        <v>Utility Aid Limited</v>
      </c>
      <c r="B201" s="155">
        <f>IFERROR(MIN(1,COUNTIFS('Product Order Book'!$A$2:$A$1057,$A201,'Product Order Book'!$E$2:$E$1057,B$3)/INDEX('Clean Package Product Lists'!$C:$C,MATCH(B$3,'Clean Package Product Lists'!$A:$A,0))),"")</f>
        <v>1</v>
      </c>
      <c r="C201" s="155">
        <f>IFERROR(MIN(1,COUNTIFS('Product Order Book'!$A$2:$A$1057,$A201,'Product Order Book'!$E$2:$E$1057,C$3)/INDEX('Clean Package Product Lists'!$C:$C,MATCH(C$3,'Clean Package Product Lists'!$A:$A,0))),"")</f>
        <v>0</v>
      </c>
      <c r="D201" s="155">
        <f>IFERROR(MIN(1,COUNTIFS('Product Order Book'!$A$2:$A$1057,$A201,'Product Order Book'!$E$2:$E$1057,D$3)/INDEX('Clean Package Product Lists'!$C:$C,MATCH(D$3,'Clean Package Product Lists'!$A:$A,0))),"")</f>
        <v>0</v>
      </c>
      <c r="E201" s="155">
        <f>IFERROR(MIN(1,COUNTIFS('Product Order Book'!$A$2:$A$1057,$A201,'Product Order Book'!$E$2:$E$1057,E$3)/INDEX('Clean Package Product Lists'!$C:$C,MATCH(E$3,'Clean Package Product Lists'!$A:$A,0))),"")</f>
        <v>0</v>
      </c>
      <c r="F201" s="155">
        <f>IFERROR(MIN(1,COUNTIFS('Product Order Book'!$A$2:$A$1057,$A201,'Product Order Book'!$E$2:$E$1057,F$3)/INDEX('Clean Package Product Lists'!$C:$C,MATCH(F$3,'Clean Package Product Lists'!$A:$A,0))),"")</f>
        <v>0</v>
      </c>
      <c r="G201" s="155">
        <f>IFERROR(MIN(1,COUNTIFS('Product Order Book'!$A$2:$A$1057,$A201,'Product Order Book'!$E$2:$E$1057,G$3)/INDEX('Clean Package Product Lists'!$C:$C,MATCH(G$3,'Clean Package Product Lists'!$A:$A,0))),"")</f>
        <v>0</v>
      </c>
      <c r="H201" s="155">
        <f>IFERROR(MIN(1,COUNTIFS('Product Order Book'!$A$2:$A$1057,$A201,'Product Order Book'!$E$2:$E$1057,H$3)/INDEX('Clean Package Product Lists'!$C:$C,MATCH(H$3,'Clean Package Product Lists'!$A:$A,0))),"")</f>
        <v>0</v>
      </c>
      <c r="I201" s="155">
        <f>IFERROR(MIN(1,COUNTIFS('Product Order Book'!$A$2:$A$1057,$A201,'Product Order Book'!$E$2:$E$1057,I$3)/INDEX('Clean Package Product Lists'!$C:$C,MATCH(I$3,'Clean Package Product Lists'!$A:$A,0))),"")</f>
        <v>0</v>
      </c>
      <c r="J201" s="155">
        <f>IFERROR(MIN(1,COUNTIFS('Product Order Book'!$A$2:$A$1057,$A201,'Product Order Book'!$E$2:$E$1057,J$3)/INDEX('Clean Package Product Lists'!$C:$C,MATCH(J$3,'Clean Package Product Lists'!$A:$A,0))),"")</f>
        <v>0</v>
      </c>
      <c r="K201" s="155">
        <f>IFERROR(MIN(1,COUNTIFS('Product Order Book'!$A$2:$A$1057,$A201,'Product Order Book'!$E$2:$E$1057,K$3)/INDEX('Clean Package Product Lists'!$C:$C,MATCH(K$3,'Clean Package Product Lists'!$A:$A,0))),"")</f>
        <v>0</v>
      </c>
      <c r="L201" s="154"/>
      <c r="M201" s="156" t="str">
        <f>IF(COUNTIFS('Product Order Book'!$A:$A,$A201,'Product Order Book'!$E:$E,M$3)&gt;0,"✓ Takes",IF(IFERROR(VLOOKUP($A201,'Whitespace Analysis'!$A:$AH,12,0),0)=1,"◎ Should","– N/A"))</f>
        <v>✓ Takes</v>
      </c>
      <c r="N201" s="156" t="str">
        <f>IF(COUNTIFS('Product Order Book'!$A:$A,$A201,'Product Order Book'!$E:$E,N$3)&gt;0,"✓ Takes",IF(IFERROR(VLOOKUP($A201,'Whitespace Analysis'!$A:$AH,20,0),0)=1,"◎ Should","– N/A"))</f>
        <v>– N/A</v>
      </c>
      <c r="O201" s="156" t="str">
        <f>IF(COUNTIFS('Product Order Book'!$A:$A,$A201,'Product Order Book'!$E:$E,O$3)&gt;0,"✓ Takes",IF(IFERROR(VLOOKUP($A201,'Whitespace Analysis'!$A:$AH,22,0),0)=1,"◎ Should","– N/A"))</f>
        <v>– N/A</v>
      </c>
      <c r="P201" s="156" t="str">
        <f>IF(COUNTIFS('Product Order Book'!$A:$A,$A201,'Product Order Book'!$E:$E,P$3)&gt;0,"✓ Takes",IF(IFERROR(VLOOKUP($A201,'Whitespace Analysis'!$A:$AH,24,0),0)=1,"◎ Should","– N/A"))</f>
        <v>– N/A</v>
      </c>
      <c r="Q201" s="156" t="str">
        <f>IF(COUNTIFS('Product Order Book'!$A:$A,$A201,'Product Order Book'!$E:$E,Q$3)&gt;0,"✓ Takes",IF(IFERROR(VLOOKUP($A201,'Whitespace Analysis'!$A:$AH,26,0),0)=1,"◎ Should","– N/A"))</f>
        <v>– N/A</v>
      </c>
      <c r="R201" s="156" t="str">
        <f>IF(COUNTIFS('Product Order Book'!$A:$A,$A201,'Product Order Book'!$E:$E,R$3)&gt;0,"✓ Takes",IF(IFERROR(VLOOKUP($A201,'Whitespace Analysis'!$A:$AH,16,0),0)=1,"◎ Should","– N/A"))</f>
        <v>◎ Should</v>
      </c>
      <c r="S201" s="156" t="str">
        <f>IF(COUNTIFS('Product Order Book'!$A:$A,$A201,'Product Order Book'!$E:$E,S$3)&gt;0,"✓ Takes",IF(IFERROR(VLOOKUP($A201,'Whitespace Analysis'!$A:$AH,18,0),0)=1,"◎ Should","– N/A"))</f>
        <v>◎ Should</v>
      </c>
      <c r="T201" s="156" t="str">
        <f>IF(COUNTIFS('Product Order Book'!$A:$A,$A201,'Product Order Book'!$E:$E,T$3)&gt;0,"✓ Takes",IF(IFERROR(VLOOKUP($A201,'Whitespace Analysis'!$A:$AH,28,0),0)=1,"◎ Should","– N/A"))</f>
        <v>◎ Should</v>
      </c>
      <c r="U201" s="156" t="str">
        <f>IF(COUNTIFS('Product Order Book'!$A:$A,$A201,'Product Order Book'!$E:$E,U$3)&gt;0,"✓ Takes",IF(IFERROR(VLOOKUP($A201,'Whitespace Analysis'!$A:$AH,30,0),0)=1,"◎ Should","– N/A"))</f>
        <v>– N/A</v>
      </c>
      <c r="V201" s="156" t="str">
        <f>IF(COUNTIFS('Product Order Book'!$A:$A,$A201,'Product Order Book'!$E:$E,V$3)&gt;0,"✓ Takes",IF(IFERROR(VLOOKUP($A201,'Whitespace Analysis'!$A:$AH,14,0),0)=1,"◎ Should","– N/A"))</f>
        <v>– N/A</v>
      </c>
    </row>
    <row r="202" spans="1:22" ht="15" customHeight="1">
      <c r="A202" s="154" t="str">
        <v>Utility Regulator</v>
      </c>
      <c r="B202" s="155">
        <f>IFERROR(MIN(1,COUNTIFS('Product Order Book'!$A$2:$A$1057,$A202,'Product Order Book'!$E$2:$E$1057,B$3)/INDEX('Clean Package Product Lists'!$C:$C,MATCH(B$3,'Clean Package Product Lists'!$A:$A,0))),"")</f>
        <v>1</v>
      </c>
      <c r="C202" s="155">
        <f>IFERROR(MIN(1,COUNTIFS('Product Order Book'!$A$2:$A$1057,$A202,'Product Order Book'!$E$2:$E$1057,C$3)/INDEX('Clean Package Product Lists'!$C:$C,MATCH(C$3,'Clean Package Product Lists'!$A:$A,0))),"")</f>
        <v>0</v>
      </c>
      <c r="D202" s="155">
        <f>IFERROR(MIN(1,COUNTIFS('Product Order Book'!$A$2:$A$1057,$A202,'Product Order Book'!$E$2:$E$1057,D$3)/INDEX('Clean Package Product Lists'!$C:$C,MATCH(D$3,'Clean Package Product Lists'!$A:$A,0))),"")</f>
        <v>0</v>
      </c>
      <c r="E202" s="155">
        <f>IFERROR(MIN(1,COUNTIFS('Product Order Book'!$A$2:$A$1057,$A202,'Product Order Book'!$E$2:$E$1057,E$3)/INDEX('Clean Package Product Lists'!$C:$C,MATCH(E$3,'Clean Package Product Lists'!$A:$A,0))),"")</f>
        <v>0</v>
      </c>
      <c r="F202" s="155">
        <f>IFERROR(MIN(1,COUNTIFS('Product Order Book'!$A$2:$A$1057,$A202,'Product Order Book'!$E$2:$E$1057,F$3)/INDEX('Clean Package Product Lists'!$C:$C,MATCH(F$3,'Clean Package Product Lists'!$A:$A,0))),"")</f>
        <v>0</v>
      </c>
      <c r="G202" s="155">
        <f>IFERROR(MIN(1,COUNTIFS('Product Order Book'!$A$2:$A$1057,$A202,'Product Order Book'!$E$2:$E$1057,G$3)/INDEX('Clean Package Product Lists'!$C:$C,MATCH(G$3,'Clean Package Product Lists'!$A:$A,0))),"")</f>
        <v>0</v>
      </c>
      <c r="H202" s="155">
        <f>IFERROR(MIN(1,COUNTIFS('Product Order Book'!$A$2:$A$1057,$A202,'Product Order Book'!$E$2:$E$1057,H$3)/INDEX('Clean Package Product Lists'!$C:$C,MATCH(H$3,'Clean Package Product Lists'!$A:$A,0))),"")</f>
        <v>0</v>
      </c>
      <c r="I202" s="155">
        <f>IFERROR(MIN(1,COUNTIFS('Product Order Book'!$A$2:$A$1057,$A202,'Product Order Book'!$E$2:$E$1057,I$3)/INDEX('Clean Package Product Lists'!$C:$C,MATCH(I$3,'Clean Package Product Lists'!$A:$A,0))),"")</f>
        <v>0</v>
      </c>
      <c r="J202" s="155">
        <f>IFERROR(MIN(1,COUNTIFS('Product Order Book'!$A$2:$A$1057,$A202,'Product Order Book'!$E$2:$E$1057,J$3)/INDEX('Clean Package Product Lists'!$C:$C,MATCH(J$3,'Clean Package Product Lists'!$A:$A,0))),"")</f>
        <v>0</v>
      </c>
      <c r="K202" s="155">
        <f>IFERROR(MIN(1,COUNTIFS('Product Order Book'!$A$2:$A$1057,$A202,'Product Order Book'!$E$2:$E$1057,K$3)/INDEX('Clean Package Product Lists'!$C:$C,MATCH(K$3,'Clean Package Product Lists'!$A:$A,0))),"")</f>
        <v>0</v>
      </c>
      <c r="L202" s="154"/>
      <c r="M202" s="156" t="str">
        <f>IF(COUNTIFS('Product Order Book'!$A:$A,$A202,'Product Order Book'!$E:$E,M$3)&gt;0,"✓ Takes",IF(IFERROR(VLOOKUP($A202,'Whitespace Analysis'!$A:$AH,12,0),0)=1,"◎ Should","– N/A"))</f>
        <v>✓ Takes</v>
      </c>
      <c r="N202" s="156" t="str">
        <f>IF(COUNTIFS('Product Order Book'!$A:$A,$A202,'Product Order Book'!$E:$E,N$3)&gt;0,"✓ Takes",IF(IFERROR(VLOOKUP($A202,'Whitespace Analysis'!$A:$AH,20,0),0)=1,"◎ Should","– N/A"))</f>
        <v>– N/A</v>
      </c>
      <c r="O202" s="156" t="str">
        <f>IF(COUNTIFS('Product Order Book'!$A:$A,$A202,'Product Order Book'!$E:$E,O$3)&gt;0,"✓ Takes",IF(IFERROR(VLOOKUP($A202,'Whitespace Analysis'!$A:$AH,22,0),0)=1,"◎ Should","– N/A"))</f>
        <v>– N/A</v>
      </c>
      <c r="P202" s="156" t="str">
        <f>IF(COUNTIFS('Product Order Book'!$A:$A,$A202,'Product Order Book'!$E:$E,P$3)&gt;0,"✓ Takes",IF(IFERROR(VLOOKUP($A202,'Whitespace Analysis'!$A:$AH,24,0),0)=1,"◎ Should","– N/A"))</f>
        <v>– N/A</v>
      </c>
      <c r="Q202" s="156" t="str">
        <f>IF(COUNTIFS('Product Order Book'!$A:$A,$A202,'Product Order Book'!$E:$E,Q$3)&gt;0,"✓ Takes",IF(IFERROR(VLOOKUP($A202,'Whitespace Analysis'!$A:$AH,26,0),0)=1,"◎ Should","– N/A"))</f>
        <v>– N/A</v>
      </c>
      <c r="R202" s="156" t="str">
        <f>IF(COUNTIFS('Product Order Book'!$A:$A,$A202,'Product Order Book'!$E:$E,R$3)&gt;0,"✓ Takes",IF(IFERROR(VLOOKUP($A202,'Whitespace Analysis'!$A:$AH,16,0),0)=1,"◎ Should","– N/A"))</f>
        <v>– N/A</v>
      </c>
      <c r="S202" s="156" t="str">
        <f>IF(COUNTIFS('Product Order Book'!$A:$A,$A202,'Product Order Book'!$E:$E,S$3)&gt;0,"✓ Takes",IF(IFERROR(VLOOKUP($A202,'Whitespace Analysis'!$A:$AH,18,0),0)=1,"◎ Should","– N/A"))</f>
        <v>– N/A</v>
      </c>
      <c r="T202" s="156" t="str">
        <f>IF(COUNTIFS('Product Order Book'!$A:$A,$A202,'Product Order Book'!$E:$E,T$3)&gt;0,"✓ Takes",IF(IFERROR(VLOOKUP($A202,'Whitespace Analysis'!$A:$AH,28,0),0)=1,"◎ Should","– N/A"))</f>
        <v>– N/A</v>
      </c>
      <c r="U202" s="156" t="str">
        <f>IF(COUNTIFS('Product Order Book'!$A:$A,$A202,'Product Order Book'!$E:$E,U$3)&gt;0,"✓ Takes",IF(IFERROR(VLOOKUP($A202,'Whitespace Analysis'!$A:$AH,30,0),0)=1,"◎ Should","– N/A"))</f>
        <v>– N/A</v>
      </c>
      <c r="V202" s="156" t="str">
        <f>IF(COUNTIFS('Product Order Book'!$A:$A,$A202,'Product Order Book'!$E:$E,V$3)&gt;0,"✓ Takes",IF(IFERROR(VLOOKUP($A202,'Whitespace Analysis'!$A:$AH,14,0),0)=1,"◎ Should","– N/A"))</f>
        <v>– N/A</v>
      </c>
    </row>
    <row r="203" spans="1:22" ht="15" customHeight="1">
      <c r="A203" s="154" t="str">
        <v>Utility Warehouse Limited</v>
      </c>
      <c r="B203" s="155">
        <f>IFERROR(MIN(1,COUNTIFS('Product Order Book'!$A$2:$A$1057,$A203,'Product Order Book'!$E$2:$E$1057,B$3)/INDEX('Clean Package Product Lists'!$C:$C,MATCH(B$3,'Clean Package Product Lists'!$A:$A,0))),"")</f>
        <v>1</v>
      </c>
      <c r="C203" s="155">
        <f>IFERROR(MIN(1,COUNTIFS('Product Order Book'!$A$2:$A$1057,$A203,'Product Order Book'!$E$2:$E$1057,C$3)/INDEX('Clean Package Product Lists'!$C:$C,MATCH(C$3,'Clean Package Product Lists'!$A:$A,0))),"")</f>
        <v>0</v>
      </c>
      <c r="D203" s="155">
        <f>IFERROR(MIN(1,COUNTIFS('Product Order Book'!$A$2:$A$1057,$A203,'Product Order Book'!$E$2:$E$1057,D$3)/INDEX('Clean Package Product Lists'!$C:$C,MATCH(D$3,'Clean Package Product Lists'!$A:$A,0))),"")</f>
        <v>0</v>
      </c>
      <c r="E203" s="155">
        <f>IFERROR(MIN(1,COUNTIFS('Product Order Book'!$A$2:$A$1057,$A203,'Product Order Book'!$E$2:$E$1057,E$3)/INDEX('Clean Package Product Lists'!$C:$C,MATCH(E$3,'Clean Package Product Lists'!$A:$A,0))),"")</f>
        <v>0</v>
      </c>
      <c r="F203" s="155">
        <f>IFERROR(MIN(1,COUNTIFS('Product Order Book'!$A$2:$A$1057,$A203,'Product Order Book'!$E$2:$E$1057,F$3)/INDEX('Clean Package Product Lists'!$C:$C,MATCH(F$3,'Clean Package Product Lists'!$A:$A,0))),"")</f>
        <v>0</v>
      </c>
      <c r="G203" s="155">
        <f>IFERROR(MIN(1,COUNTIFS('Product Order Book'!$A$2:$A$1057,$A203,'Product Order Book'!$E$2:$E$1057,G$3)/INDEX('Clean Package Product Lists'!$C:$C,MATCH(G$3,'Clean Package Product Lists'!$A:$A,0))),"")</f>
        <v>0.36363636363636365</v>
      </c>
      <c r="H203" s="155">
        <f>IFERROR(MIN(1,COUNTIFS('Product Order Book'!$A$2:$A$1057,$A203,'Product Order Book'!$E$2:$E$1057,H$3)/INDEX('Clean Package Product Lists'!$C:$C,MATCH(H$3,'Clean Package Product Lists'!$A:$A,0))),"")</f>
        <v>0.75</v>
      </c>
      <c r="I203" s="155">
        <f>IFERROR(MIN(1,COUNTIFS('Product Order Book'!$A$2:$A$1057,$A203,'Product Order Book'!$E$2:$E$1057,I$3)/INDEX('Clean Package Product Lists'!$C:$C,MATCH(I$3,'Clean Package Product Lists'!$A:$A,0))),"")</f>
        <v>0</v>
      </c>
      <c r="J203" s="155">
        <f>IFERROR(MIN(1,COUNTIFS('Product Order Book'!$A$2:$A$1057,$A203,'Product Order Book'!$E$2:$E$1057,J$3)/INDEX('Clean Package Product Lists'!$C:$C,MATCH(J$3,'Clean Package Product Lists'!$A:$A,0))),"")</f>
        <v>0</v>
      </c>
      <c r="K203" s="155">
        <f>IFERROR(MIN(1,COUNTIFS('Product Order Book'!$A$2:$A$1057,$A203,'Product Order Book'!$E$2:$E$1057,K$3)/INDEX('Clean Package Product Lists'!$C:$C,MATCH(K$3,'Clean Package Product Lists'!$A:$A,0))),"")</f>
        <v>1</v>
      </c>
      <c r="L203" s="154"/>
      <c r="M203" s="156" t="str">
        <f>IF(COUNTIFS('Product Order Book'!$A:$A,$A203,'Product Order Book'!$E:$E,M$3)&gt;0,"✓ Takes",IF(IFERROR(VLOOKUP($A203,'Whitespace Analysis'!$A:$AH,12,0),0)=1,"◎ Should","– N/A"))</f>
        <v>✓ Takes</v>
      </c>
      <c r="N203" s="156" t="str">
        <f>IF(COUNTIFS('Product Order Book'!$A:$A,$A203,'Product Order Book'!$E:$E,N$3)&gt;0,"✓ Takes",IF(IFERROR(VLOOKUP($A203,'Whitespace Analysis'!$A:$AH,20,0),0)=1,"◎ Should","– N/A"))</f>
        <v>– N/A</v>
      </c>
      <c r="O203" s="156" t="str">
        <f>IF(COUNTIFS('Product Order Book'!$A:$A,$A203,'Product Order Book'!$E:$E,O$3)&gt;0,"✓ Takes",IF(IFERROR(VLOOKUP($A203,'Whitespace Analysis'!$A:$AH,22,0),0)=1,"◎ Should","– N/A"))</f>
        <v>– N/A</v>
      </c>
      <c r="P203" s="156" t="str">
        <f>IF(COUNTIFS('Product Order Book'!$A:$A,$A203,'Product Order Book'!$E:$E,P$3)&gt;0,"✓ Takes",IF(IFERROR(VLOOKUP($A203,'Whitespace Analysis'!$A:$AH,24,0),0)=1,"◎ Should","– N/A"))</f>
        <v>◎ Should</v>
      </c>
      <c r="Q203" s="156" t="str">
        <f>IF(COUNTIFS('Product Order Book'!$A:$A,$A203,'Product Order Book'!$E:$E,Q$3)&gt;0,"✓ Takes",IF(IFERROR(VLOOKUP($A203,'Whitespace Analysis'!$A:$AH,26,0),0)=1,"◎ Should","– N/A"))</f>
        <v>– N/A</v>
      </c>
      <c r="R203" s="156" t="str">
        <f>IF(COUNTIFS('Product Order Book'!$A:$A,$A203,'Product Order Book'!$E:$E,R$3)&gt;0,"✓ Takes",IF(IFERROR(VLOOKUP($A203,'Whitespace Analysis'!$A:$AH,16,0),0)=1,"◎ Should","– N/A"))</f>
        <v>✓ Takes</v>
      </c>
      <c r="S203" s="156" t="str">
        <f>IF(COUNTIFS('Product Order Book'!$A:$A,$A203,'Product Order Book'!$E:$E,S$3)&gt;0,"✓ Takes",IF(IFERROR(VLOOKUP($A203,'Whitespace Analysis'!$A:$AH,18,0),0)=1,"◎ Should","– N/A"))</f>
        <v>✓ Takes</v>
      </c>
      <c r="T203" s="156" t="str">
        <f>IF(COUNTIFS('Product Order Book'!$A:$A,$A203,'Product Order Book'!$E:$E,T$3)&gt;0,"✓ Takes",IF(IFERROR(VLOOKUP($A203,'Whitespace Analysis'!$A:$AH,28,0),0)=1,"◎ Should","– N/A"))</f>
        <v>– N/A</v>
      </c>
      <c r="U203" s="156" t="str">
        <f>IF(COUNTIFS('Product Order Book'!$A:$A,$A203,'Product Order Book'!$E:$E,U$3)&gt;0,"✓ Takes",IF(IFERROR(VLOOKUP($A203,'Whitespace Analysis'!$A:$AH,30,0),0)=1,"◎ Should","– N/A"))</f>
        <v>– N/A</v>
      </c>
      <c r="V203" s="156" t="str">
        <f>IF(COUNTIFS('Product Order Book'!$A:$A,$A203,'Product Order Book'!$E:$E,V$3)&gt;0,"✓ Takes",IF(IFERROR(VLOOKUP($A203,'Whitespace Analysis'!$A:$AH,14,0),0)=1,"◎ Should","– N/A"))</f>
        <v>✓ Takes</v>
      </c>
    </row>
    <row r="204" spans="1:22" ht="15" customHeight="1">
      <c r="A204" s="154" t="str">
        <v>Valda Energy Ltd</v>
      </c>
      <c r="B204" s="155">
        <f>IFERROR(MIN(1,COUNTIFS('Product Order Book'!$A$2:$A$1057,$A204,'Product Order Book'!$E$2:$E$1057,B$3)/INDEX('Clean Package Product Lists'!$C:$C,MATCH(B$3,'Clean Package Product Lists'!$A:$A,0))),"")</f>
        <v>0</v>
      </c>
      <c r="C204" s="155">
        <f>IFERROR(MIN(1,COUNTIFS('Product Order Book'!$A$2:$A$1057,$A204,'Product Order Book'!$E$2:$E$1057,C$3)/INDEX('Clean Package Product Lists'!$C:$C,MATCH(C$3,'Clean Package Product Lists'!$A:$A,0))),"")</f>
        <v>0</v>
      </c>
      <c r="D204" s="155">
        <f>IFERROR(MIN(1,COUNTIFS('Product Order Book'!$A$2:$A$1057,$A204,'Product Order Book'!$E$2:$E$1057,D$3)/INDEX('Clean Package Product Lists'!$C:$C,MATCH(D$3,'Clean Package Product Lists'!$A:$A,0))),"")</f>
        <v>0</v>
      </c>
      <c r="E204" s="155">
        <f>IFERROR(MIN(1,COUNTIFS('Product Order Book'!$A$2:$A$1057,$A204,'Product Order Book'!$E$2:$E$1057,E$3)/INDEX('Clean Package Product Lists'!$C:$C,MATCH(E$3,'Clean Package Product Lists'!$A:$A,0))),"")</f>
        <v>0</v>
      </c>
      <c r="F204" s="155">
        <f>IFERROR(MIN(1,COUNTIFS('Product Order Book'!$A$2:$A$1057,$A204,'Product Order Book'!$E$2:$E$1057,F$3)/INDEX('Clean Package Product Lists'!$C:$C,MATCH(F$3,'Clean Package Product Lists'!$A:$A,0))),"")</f>
        <v>0</v>
      </c>
      <c r="G204" s="155">
        <f>IFERROR(MIN(1,COUNTIFS('Product Order Book'!$A$2:$A$1057,$A204,'Product Order Book'!$E$2:$E$1057,G$3)/INDEX('Clean Package Product Lists'!$C:$C,MATCH(G$3,'Clean Package Product Lists'!$A:$A,0))),"")</f>
        <v>0</v>
      </c>
      <c r="H204" s="155">
        <f>IFERROR(MIN(1,COUNTIFS('Product Order Book'!$A$2:$A$1057,$A204,'Product Order Book'!$E$2:$E$1057,H$3)/INDEX('Clean Package Product Lists'!$C:$C,MATCH(H$3,'Clean Package Product Lists'!$A:$A,0))),"")</f>
        <v>0.25</v>
      </c>
      <c r="I204" s="155">
        <f>IFERROR(MIN(1,COUNTIFS('Product Order Book'!$A$2:$A$1057,$A204,'Product Order Book'!$E$2:$E$1057,I$3)/INDEX('Clean Package Product Lists'!$C:$C,MATCH(I$3,'Clean Package Product Lists'!$A:$A,0))),"")</f>
        <v>0</v>
      </c>
      <c r="J204" s="155">
        <f>IFERROR(MIN(1,COUNTIFS('Product Order Book'!$A$2:$A$1057,$A204,'Product Order Book'!$E$2:$E$1057,J$3)/INDEX('Clean Package Product Lists'!$C:$C,MATCH(J$3,'Clean Package Product Lists'!$A:$A,0))),"")</f>
        <v>0</v>
      </c>
      <c r="K204" s="155">
        <f>IFERROR(MIN(1,COUNTIFS('Product Order Book'!$A$2:$A$1057,$A204,'Product Order Book'!$E$2:$E$1057,K$3)/INDEX('Clean Package Product Lists'!$C:$C,MATCH(K$3,'Clean Package Product Lists'!$A:$A,0))),"")</f>
        <v>0</v>
      </c>
      <c r="L204" s="154"/>
      <c r="M204" s="156" t="str">
        <f>IF(COUNTIFS('Product Order Book'!$A:$A,$A204,'Product Order Book'!$E:$E,M$3)&gt;0,"✓ Takes",IF(IFERROR(VLOOKUP($A204,'Whitespace Analysis'!$A:$AH,12,0),0)=1,"◎ Should","– N/A"))</f>
        <v>◎ Should</v>
      </c>
      <c r="N204" s="156" t="str">
        <f>IF(COUNTIFS('Product Order Book'!$A:$A,$A204,'Product Order Book'!$E:$E,N$3)&gt;0,"✓ Takes",IF(IFERROR(VLOOKUP($A204,'Whitespace Analysis'!$A:$AH,20,0),0)=1,"◎ Should","– N/A"))</f>
        <v>– N/A</v>
      </c>
      <c r="O204" s="156" t="str">
        <f>IF(COUNTIFS('Product Order Book'!$A:$A,$A204,'Product Order Book'!$E:$E,O$3)&gt;0,"✓ Takes",IF(IFERROR(VLOOKUP($A204,'Whitespace Analysis'!$A:$AH,22,0),0)=1,"◎ Should","– N/A"))</f>
        <v>– N/A</v>
      </c>
      <c r="P204" s="156" t="str">
        <f>IF(COUNTIFS('Product Order Book'!$A:$A,$A204,'Product Order Book'!$E:$E,P$3)&gt;0,"✓ Takes",IF(IFERROR(VLOOKUP($A204,'Whitespace Analysis'!$A:$AH,24,0),0)=1,"◎ Should","– N/A"))</f>
        <v>◎ Should</v>
      </c>
      <c r="Q204" s="156" t="str">
        <f>IF(COUNTIFS('Product Order Book'!$A:$A,$A204,'Product Order Book'!$E:$E,Q$3)&gt;0,"✓ Takes",IF(IFERROR(VLOOKUP($A204,'Whitespace Analysis'!$A:$AH,26,0),0)=1,"◎ Should","– N/A"))</f>
        <v>– N/A</v>
      </c>
      <c r="R204" s="156" t="str">
        <f>IF(COUNTIFS('Product Order Book'!$A:$A,$A204,'Product Order Book'!$E:$E,R$3)&gt;0,"✓ Takes",IF(IFERROR(VLOOKUP($A204,'Whitespace Analysis'!$A:$AH,16,0),0)=1,"◎ Should","– N/A"))</f>
        <v>◎ Should</v>
      </c>
      <c r="S204" s="156" t="str">
        <f>IF(COUNTIFS('Product Order Book'!$A:$A,$A204,'Product Order Book'!$E:$E,S$3)&gt;0,"✓ Takes",IF(IFERROR(VLOOKUP($A204,'Whitespace Analysis'!$A:$AH,18,0),0)=1,"◎ Should","– N/A"))</f>
        <v>✓ Takes</v>
      </c>
      <c r="T204" s="156" t="str">
        <f>IF(COUNTIFS('Product Order Book'!$A:$A,$A204,'Product Order Book'!$E:$E,T$3)&gt;0,"✓ Takes",IF(IFERROR(VLOOKUP($A204,'Whitespace Analysis'!$A:$AH,28,0),0)=1,"◎ Should","– N/A"))</f>
        <v>– N/A</v>
      </c>
      <c r="U204" s="156" t="str">
        <f>IF(COUNTIFS('Product Order Book'!$A:$A,$A204,'Product Order Book'!$E:$E,U$3)&gt;0,"✓ Takes",IF(IFERROR(VLOOKUP($A204,'Whitespace Analysis'!$A:$AH,30,0),0)=1,"◎ Should","– N/A"))</f>
        <v>– N/A</v>
      </c>
      <c r="V204" s="156" t="str">
        <f>IF(COUNTIFS('Product Order Book'!$A:$A,$A204,'Product Order Book'!$E:$E,V$3)&gt;0,"✓ Takes",IF(IFERROR(VLOOKUP($A204,'Whitespace Analysis'!$A:$AH,14,0),0)=1,"◎ Should","– N/A"))</f>
        <v>◎ Should</v>
      </c>
    </row>
    <row r="205" spans="1:22" ht="15" customHeight="1">
      <c r="A205" s="154" t="str">
        <v>Vattenfall Energy Trading GmbH</v>
      </c>
      <c r="B205" s="155">
        <f>IFERROR(MIN(1,COUNTIFS('Product Order Book'!$A$2:$A$1057,$A205,'Product Order Book'!$E$2:$E$1057,B$3)/INDEX('Clean Package Product Lists'!$C:$C,MATCH(B$3,'Clean Package Product Lists'!$A:$A,0))),"")</f>
        <v>0</v>
      </c>
      <c r="C205" s="155">
        <f>IFERROR(MIN(1,COUNTIFS('Product Order Book'!$A$2:$A$1057,$A205,'Product Order Book'!$E$2:$E$1057,C$3)/INDEX('Clean Package Product Lists'!$C:$C,MATCH(C$3,'Clean Package Product Lists'!$A:$A,0))),"")</f>
        <v>1</v>
      </c>
      <c r="D205" s="155">
        <f>IFERROR(MIN(1,COUNTIFS('Product Order Book'!$A$2:$A$1057,$A205,'Product Order Book'!$E$2:$E$1057,D$3)/INDEX('Clean Package Product Lists'!$C:$C,MATCH(D$3,'Clean Package Product Lists'!$A:$A,0))),"")</f>
        <v>0</v>
      </c>
      <c r="E205" s="155">
        <f>IFERROR(MIN(1,COUNTIFS('Product Order Book'!$A$2:$A$1057,$A205,'Product Order Book'!$E$2:$E$1057,E$3)/INDEX('Clean Package Product Lists'!$C:$C,MATCH(E$3,'Clean Package Product Lists'!$A:$A,0))),"")</f>
        <v>0</v>
      </c>
      <c r="F205" s="155">
        <f>IFERROR(MIN(1,COUNTIFS('Product Order Book'!$A$2:$A$1057,$A205,'Product Order Book'!$E$2:$E$1057,F$3)/INDEX('Clean Package Product Lists'!$C:$C,MATCH(F$3,'Clean Package Product Lists'!$A:$A,0))),"")</f>
        <v>0</v>
      </c>
      <c r="G205" s="155">
        <f>IFERROR(MIN(1,COUNTIFS('Product Order Book'!$A$2:$A$1057,$A205,'Product Order Book'!$E$2:$E$1057,G$3)/INDEX('Clean Package Product Lists'!$C:$C,MATCH(G$3,'Clean Package Product Lists'!$A:$A,0))),"")</f>
        <v>0</v>
      </c>
      <c r="H205" s="155">
        <f>IFERROR(MIN(1,COUNTIFS('Product Order Book'!$A$2:$A$1057,$A205,'Product Order Book'!$E$2:$E$1057,H$3)/INDEX('Clean Package Product Lists'!$C:$C,MATCH(H$3,'Clean Package Product Lists'!$A:$A,0))),"")</f>
        <v>0</v>
      </c>
      <c r="I205" s="155">
        <f>IFERROR(MIN(1,COUNTIFS('Product Order Book'!$A$2:$A$1057,$A205,'Product Order Book'!$E$2:$E$1057,I$3)/INDEX('Clean Package Product Lists'!$C:$C,MATCH(I$3,'Clean Package Product Lists'!$A:$A,0))),"")</f>
        <v>0</v>
      </c>
      <c r="J205" s="155">
        <f>IFERROR(MIN(1,COUNTIFS('Product Order Book'!$A$2:$A$1057,$A205,'Product Order Book'!$E$2:$E$1057,J$3)/INDEX('Clean Package Product Lists'!$C:$C,MATCH(J$3,'Clean Package Product Lists'!$A:$A,0))),"")</f>
        <v>0</v>
      </c>
      <c r="K205" s="155">
        <f>IFERROR(MIN(1,COUNTIFS('Product Order Book'!$A$2:$A$1057,$A205,'Product Order Book'!$E$2:$E$1057,K$3)/INDEX('Clean Package Product Lists'!$C:$C,MATCH(K$3,'Clean Package Product Lists'!$A:$A,0))),"")</f>
        <v>0.4</v>
      </c>
      <c r="L205" s="154"/>
      <c r="M205" s="156" t="str">
        <f>IF(COUNTIFS('Product Order Book'!$A:$A,$A205,'Product Order Book'!$E:$E,M$3)&gt;0,"✓ Takes",IF(IFERROR(VLOOKUP($A205,'Whitespace Analysis'!$A:$AH,12,0),0)=1,"◎ Should","– N/A"))</f>
        <v>◎ Should</v>
      </c>
      <c r="N205" s="156" t="str">
        <f>IF(COUNTIFS('Product Order Book'!$A:$A,$A205,'Product Order Book'!$E:$E,N$3)&gt;0,"✓ Takes",IF(IFERROR(VLOOKUP($A205,'Whitespace Analysis'!$A:$AH,20,0),0)=1,"◎ Should","– N/A"))</f>
        <v>✓ Takes</v>
      </c>
      <c r="O205" s="156" t="str">
        <f>IF(COUNTIFS('Product Order Book'!$A:$A,$A205,'Product Order Book'!$E:$E,O$3)&gt;0,"✓ Takes",IF(IFERROR(VLOOKUP($A205,'Whitespace Analysis'!$A:$AH,22,0),0)=1,"◎ Should","– N/A"))</f>
        <v>– N/A</v>
      </c>
      <c r="P205" s="156" t="str">
        <f>IF(COUNTIFS('Product Order Book'!$A:$A,$A205,'Product Order Book'!$E:$E,P$3)&gt;0,"✓ Takes",IF(IFERROR(VLOOKUP($A205,'Whitespace Analysis'!$A:$AH,24,0),0)=1,"◎ Should","– N/A"))</f>
        <v>◎ Should</v>
      </c>
      <c r="Q205" s="156" t="str">
        <f>IF(COUNTIFS('Product Order Book'!$A:$A,$A205,'Product Order Book'!$E:$E,Q$3)&gt;0,"✓ Takes",IF(IFERROR(VLOOKUP($A205,'Whitespace Analysis'!$A:$AH,26,0),0)=1,"◎ Should","– N/A"))</f>
        <v>◎ Should</v>
      </c>
      <c r="R205" s="156" t="str">
        <f>IF(COUNTIFS('Product Order Book'!$A:$A,$A205,'Product Order Book'!$E:$E,R$3)&gt;0,"✓ Takes",IF(IFERROR(VLOOKUP($A205,'Whitespace Analysis'!$A:$AH,16,0),0)=1,"◎ Should","– N/A"))</f>
        <v>◎ Should</v>
      </c>
      <c r="S205" s="156" t="str">
        <f>IF(COUNTIFS('Product Order Book'!$A:$A,$A205,'Product Order Book'!$E:$E,S$3)&gt;0,"✓ Takes",IF(IFERROR(VLOOKUP($A205,'Whitespace Analysis'!$A:$AH,18,0),0)=1,"◎ Should","– N/A"))</f>
        <v>◎ Should</v>
      </c>
      <c r="T205" s="156" t="str">
        <f>IF(COUNTIFS('Product Order Book'!$A:$A,$A205,'Product Order Book'!$E:$E,T$3)&gt;0,"✓ Takes",IF(IFERROR(VLOOKUP($A205,'Whitespace Analysis'!$A:$AH,28,0),0)=1,"◎ Should","– N/A"))</f>
        <v>– N/A</v>
      </c>
      <c r="U205" s="156" t="str">
        <f>IF(COUNTIFS('Product Order Book'!$A:$A,$A205,'Product Order Book'!$E:$E,U$3)&gt;0,"✓ Takes",IF(IFERROR(VLOOKUP($A205,'Whitespace Analysis'!$A:$AH,30,0),0)=1,"◎ Should","– N/A"))</f>
        <v>– N/A</v>
      </c>
      <c r="V205" s="156" t="str">
        <f>IF(COUNTIFS('Product Order Book'!$A:$A,$A205,'Product Order Book'!$E:$E,V$3)&gt;0,"✓ Takes",IF(IFERROR(VLOOKUP($A205,'Whitespace Analysis'!$A:$AH,14,0),0)=1,"◎ Should","– N/A"))</f>
        <v>✓ Takes</v>
      </c>
    </row>
    <row r="206" spans="1:22" ht="15" customHeight="1">
      <c r="A206" s="154" t="str">
        <v>Vattenfall Wind Power Limited</v>
      </c>
      <c r="B206" s="155">
        <f>IFERROR(MIN(1,COUNTIFS('Product Order Book'!$A$2:$A$1057,$A206,'Product Order Book'!$E$2:$E$1057,B$3)/INDEX('Clean Package Product Lists'!$C:$C,MATCH(B$3,'Clean Package Product Lists'!$A:$A,0))),"")</f>
        <v>1</v>
      </c>
      <c r="C206" s="155">
        <f>IFERROR(MIN(1,COUNTIFS('Product Order Book'!$A$2:$A$1057,$A206,'Product Order Book'!$E$2:$E$1057,C$3)/INDEX('Clean Package Product Lists'!$C:$C,MATCH(C$3,'Clean Package Product Lists'!$A:$A,0))),"")</f>
        <v>0</v>
      </c>
      <c r="D206" s="155">
        <f>IFERROR(MIN(1,COUNTIFS('Product Order Book'!$A$2:$A$1057,$A206,'Product Order Book'!$E$2:$E$1057,D$3)/INDEX('Clean Package Product Lists'!$C:$C,MATCH(D$3,'Clean Package Product Lists'!$A:$A,0))),"")</f>
        <v>0</v>
      </c>
      <c r="E206" s="155">
        <f>IFERROR(MIN(1,COUNTIFS('Product Order Book'!$A$2:$A$1057,$A206,'Product Order Book'!$E$2:$E$1057,E$3)/INDEX('Clean Package Product Lists'!$C:$C,MATCH(E$3,'Clean Package Product Lists'!$A:$A,0))),"")</f>
        <v>0</v>
      </c>
      <c r="F206" s="155">
        <f>IFERROR(MIN(1,COUNTIFS('Product Order Book'!$A$2:$A$1057,$A206,'Product Order Book'!$E$2:$E$1057,F$3)/INDEX('Clean Package Product Lists'!$C:$C,MATCH(F$3,'Clean Package Product Lists'!$A:$A,0))),"")</f>
        <v>0</v>
      </c>
      <c r="G206" s="155">
        <f>IFERROR(MIN(1,COUNTIFS('Product Order Book'!$A$2:$A$1057,$A206,'Product Order Book'!$E$2:$E$1057,G$3)/INDEX('Clean Package Product Lists'!$C:$C,MATCH(G$3,'Clean Package Product Lists'!$A:$A,0))),"")</f>
        <v>0</v>
      </c>
      <c r="H206" s="155">
        <f>IFERROR(MIN(1,COUNTIFS('Product Order Book'!$A$2:$A$1057,$A206,'Product Order Book'!$E$2:$E$1057,H$3)/INDEX('Clean Package Product Lists'!$C:$C,MATCH(H$3,'Clean Package Product Lists'!$A:$A,0))),"")</f>
        <v>0</v>
      </c>
      <c r="I206" s="155">
        <f>IFERROR(MIN(1,COUNTIFS('Product Order Book'!$A$2:$A$1057,$A206,'Product Order Book'!$E$2:$E$1057,I$3)/INDEX('Clean Package Product Lists'!$C:$C,MATCH(I$3,'Clean Package Product Lists'!$A:$A,0))),"")</f>
        <v>0</v>
      </c>
      <c r="J206" s="155">
        <f>IFERROR(MIN(1,COUNTIFS('Product Order Book'!$A$2:$A$1057,$A206,'Product Order Book'!$E$2:$E$1057,J$3)/INDEX('Clean Package Product Lists'!$C:$C,MATCH(J$3,'Clean Package Product Lists'!$A:$A,0))),"")</f>
        <v>0</v>
      </c>
      <c r="K206" s="155">
        <f>IFERROR(MIN(1,COUNTIFS('Product Order Book'!$A$2:$A$1057,$A206,'Product Order Book'!$E$2:$E$1057,K$3)/INDEX('Clean Package Product Lists'!$C:$C,MATCH(K$3,'Clean Package Product Lists'!$A:$A,0))),"")</f>
        <v>0</v>
      </c>
      <c r="L206" s="154"/>
      <c r="M206" s="156" t="str">
        <f>IF(COUNTIFS('Product Order Book'!$A:$A,$A206,'Product Order Book'!$E:$E,M$3)&gt;0,"✓ Takes",IF(IFERROR(VLOOKUP($A206,'Whitespace Analysis'!$A:$AH,12,0),0)=1,"◎ Should","– N/A"))</f>
        <v>✓ Takes</v>
      </c>
      <c r="N206" s="156" t="str">
        <f>IF(COUNTIFS('Product Order Book'!$A:$A,$A206,'Product Order Book'!$E:$E,N$3)&gt;0,"✓ Takes",IF(IFERROR(VLOOKUP($A206,'Whitespace Analysis'!$A:$AH,20,0),0)=1,"◎ Should","– N/A"))</f>
        <v>◎ Should</v>
      </c>
      <c r="O206" s="156" t="str">
        <f>IF(COUNTIFS('Product Order Book'!$A:$A,$A206,'Product Order Book'!$E:$E,O$3)&gt;0,"✓ Takes",IF(IFERROR(VLOOKUP($A206,'Whitespace Analysis'!$A:$AH,22,0),0)=1,"◎ Should","– N/A"))</f>
        <v>◎ Should</v>
      </c>
      <c r="P206" s="156" t="str">
        <f>IF(COUNTIFS('Product Order Book'!$A:$A,$A206,'Product Order Book'!$E:$E,P$3)&gt;0,"✓ Takes",IF(IFERROR(VLOOKUP($A206,'Whitespace Analysis'!$A:$AH,24,0),0)=1,"◎ Should","– N/A"))</f>
        <v>◎ Should</v>
      </c>
      <c r="Q206" s="156" t="str">
        <f>IF(COUNTIFS('Product Order Book'!$A:$A,$A206,'Product Order Book'!$E:$E,Q$3)&gt;0,"✓ Takes",IF(IFERROR(VLOOKUP($A206,'Whitespace Analysis'!$A:$AH,26,0),0)=1,"◎ Should","– N/A"))</f>
        <v>◎ Should</v>
      </c>
      <c r="R206" s="156" t="str">
        <f>IF(COUNTIFS('Product Order Book'!$A:$A,$A206,'Product Order Book'!$E:$E,R$3)&gt;0,"✓ Takes",IF(IFERROR(VLOOKUP($A206,'Whitespace Analysis'!$A:$AH,16,0),0)=1,"◎ Should","– N/A"))</f>
        <v>– N/A</v>
      </c>
      <c r="S206" s="156" t="str">
        <f>IF(COUNTIFS('Product Order Book'!$A:$A,$A206,'Product Order Book'!$E:$E,S$3)&gt;0,"✓ Takes",IF(IFERROR(VLOOKUP($A206,'Whitespace Analysis'!$A:$AH,18,0),0)=1,"◎ Should","– N/A"))</f>
        <v>– N/A</v>
      </c>
      <c r="T206" s="156" t="str">
        <f>IF(COUNTIFS('Product Order Book'!$A:$A,$A206,'Product Order Book'!$E:$E,T$3)&gt;0,"✓ Takes",IF(IFERROR(VLOOKUP($A206,'Whitespace Analysis'!$A:$AH,28,0),0)=1,"◎ Should","– N/A"))</f>
        <v>– N/A</v>
      </c>
      <c r="U206" s="156" t="str">
        <f>IF(COUNTIFS('Product Order Book'!$A:$A,$A206,'Product Order Book'!$E:$E,U$3)&gt;0,"✓ Takes",IF(IFERROR(VLOOKUP($A206,'Whitespace Analysis'!$A:$AH,30,0),0)=1,"◎ Should","– N/A"))</f>
        <v>– N/A</v>
      </c>
      <c r="V206" s="156" t="str">
        <f>IF(COUNTIFS('Product Order Book'!$A:$A,$A206,'Product Order Book'!$E:$E,V$3)&gt;0,"✓ Takes",IF(IFERROR(VLOOKUP($A206,'Whitespace Analysis'!$A:$AH,14,0),0)=1,"◎ Should","– N/A"))</f>
        <v>◎ Should</v>
      </c>
    </row>
    <row r="207" spans="1:22" ht="15" customHeight="1">
      <c r="A207" s="154" t="str">
        <v>Vestas Northern Europe</v>
      </c>
      <c r="B207" s="155">
        <f>IFERROR(MIN(1,COUNTIFS('Product Order Book'!$A$2:$A$1057,$A207,'Product Order Book'!$E$2:$E$1057,B$3)/INDEX('Clean Package Product Lists'!$C:$C,MATCH(B$3,'Clean Package Product Lists'!$A:$A,0))),"")</f>
        <v>0</v>
      </c>
      <c r="C207" s="155">
        <f>IFERROR(MIN(1,COUNTIFS('Product Order Book'!$A$2:$A$1057,$A207,'Product Order Book'!$E$2:$E$1057,C$3)/INDEX('Clean Package Product Lists'!$C:$C,MATCH(C$3,'Clean Package Product Lists'!$A:$A,0))),"")</f>
        <v>0.14285714285714285</v>
      </c>
      <c r="D207" s="155">
        <f>IFERROR(MIN(1,COUNTIFS('Product Order Book'!$A$2:$A$1057,$A207,'Product Order Book'!$E$2:$E$1057,D$3)/INDEX('Clean Package Product Lists'!$C:$C,MATCH(D$3,'Clean Package Product Lists'!$A:$A,0))),"")</f>
        <v>0</v>
      </c>
      <c r="E207" s="155">
        <f>IFERROR(MIN(1,COUNTIFS('Product Order Book'!$A$2:$A$1057,$A207,'Product Order Book'!$E$2:$E$1057,E$3)/INDEX('Clean Package Product Lists'!$C:$C,MATCH(E$3,'Clean Package Product Lists'!$A:$A,0))),"")</f>
        <v>0</v>
      </c>
      <c r="F207" s="155">
        <f>IFERROR(MIN(1,COUNTIFS('Product Order Book'!$A$2:$A$1057,$A207,'Product Order Book'!$E$2:$E$1057,F$3)/INDEX('Clean Package Product Lists'!$C:$C,MATCH(F$3,'Clean Package Product Lists'!$A:$A,0))),"")</f>
        <v>0</v>
      </c>
      <c r="G207" s="155">
        <f>IFERROR(MIN(1,COUNTIFS('Product Order Book'!$A$2:$A$1057,$A207,'Product Order Book'!$E$2:$E$1057,G$3)/INDEX('Clean Package Product Lists'!$C:$C,MATCH(G$3,'Clean Package Product Lists'!$A:$A,0))),"")</f>
        <v>0</v>
      </c>
      <c r="H207" s="155">
        <f>IFERROR(MIN(1,COUNTIFS('Product Order Book'!$A$2:$A$1057,$A207,'Product Order Book'!$E$2:$E$1057,H$3)/INDEX('Clean Package Product Lists'!$C:$C,MATCH(H$3,'Clean Package Product Lists'!$A:$A,0))),"")</f>
        <v>0</v>
      </c>
      <c r="I207" s="155">
        <f>IFERROR(MIN(1,COUNTIFS('Product Order Book'!$A$2:$A$1057,$A207,'Product Order Book'!$E$2:$E$1057,I$3)/INDEX('Clean Package Product Lists'!$C:$C,MATCH(I$3,'Clean Package Product Lists'!$A:$A,0))),"")</f>
        <v>0</v>
      </c>
      <c r="J207" s="155">
        <f>IFERROR(MIN(1,COUNTIFS('Product Order Book'!$A$2:$A$1057,$A207,'Product Order Book'!$E$2:$E$1057,J$3)/INDEX('Clean Package Product Lists'!$C:$C,MATCH(J$3,'Clean Package Product Lists'!$A:$A,0))),"")</f>
        <v>0</v>
      </c>
      <c r="K207" s="155">
        <f>IFERROR(MIN(1,COUNTIFS('Product Order Book'!$A$2:$A$1057,$A207,'Product Order Book'!$E$2:$E$1057,K$3)/INDEX('Clean Package Product Lists'!$C:$C,MATCH(K$3,'Clean Package Product Lists'!$A:$A,0))),"")</f>
        <v>0</v>
      </c>
      <c r="L207" s="154"/>
      <c r="M207" s="156" t="str">
        <f>IF(COUNTIFS('Product Order Book'!$A:$A,$A207,'Product Order Book'!$E:$E,M$3)&gt;0,"✓ Takes",IF(IFERROR(VLOOKUP($A207,'Whitespace Analysis'!$A:$AH,12,0),0)=1,"◎ Should","– N/A"))</f>
        <v>◎ Should</v>
      </c>
      <c r="N207" s="156" t="str">
        <f>IF(COUNTIFS('Product Order Book'!$A:$A,$A207,'Product Order Book'!$E:$E,N$3)&gt;0,"✓ Takes",IF(IFERROR(VLOOKUP($A207,'Whitespace Analysis'!$A:$AH,20,0),0)=1,"◎ Should","– N/A"))</f>
        <v>✓ Takes</v>
      </c>
      <c r="O207" s="156" t="str">
        <f>IF(COUNTIFS('Product Order Book'!$A:$A,$A207,'Product Order Book'!$E:$E,O$3)&gt;0,"✓ Takes",IF(IFERROR(VLOOKUP($A207,'Whitespace Analysis'!$A:$AH,22,0),0)=1,"◎ Should","– N/A"))</f>
        <v>◎ Should</v>
      </c>
      <c r="P207" s="156" t="str">
        <f>IF(COUNTIFS('Product Order Book'!$A:$A,$A207,'Product Order Book'!$E:$E,P$3)&gt;0,"✓ Takes",IF(IFERROR(VLOOKUP($A207,'Whitespace Analysis'!$A:$AH,24,0),0)=1,"◎ Should","– N/A"))</f>
        <v>– N/A</v>
      </c>
      <c r="Q207" s="156" t="str">
        <f>IF(COUNTIFS('Product Order Book'!$A:$A,$A207,'Product Order Book'!$E:$E,Q$3)&gt;0,"✓ Takes",IF(IFERROR(VLOOKUP($A207,'Whitespace Analysis'!$A:$AH,26,0),0)=1,"◎ Should","– N/A"))</f>
        <v>– N/A</v>
      </c>
      <c r="R207" s="156" t="str">
        <f>IF(COUNTIFS('Product Order Book'!$A:$A,$A207,'Product Order Book'!$E:$E,R$3)&gt;0,"✓ Takes",IF(IFERROR(VLOOKUP($A207,'Whitespace Analysis'!$A:$AH,16,0),0)=1,"◎ Should","– N/A"))</f>
        <v>– N/A</v>
      </c>
      <c r="S207" s="156" t="str">
        <f>IF(COUNTIFS('Product Order Book'!$A:$A,$A207,'Product Order Book'!$E:$E,S$3)&gt;0,"✓ Takes",IF(IFERROR(VLOOKUP($A207,'Whitespace Analysis'!$A:$AH,18,0),0)=1,"◎ Should","– N/A"))</f>
        <v>– N/A</v>
      </c>
      <c r="T207" s="156" t="str">
        <f>IF(COUNTIFS('Product Order Book'!$A:$A,$A207,'Product Order Book'!$E:$E,T$3)&gt;0,"✓ Takes",IF(IFERROR(VLOOKUP($A207,'Whitespace Analysis'!$A:$AH,28,0),0)=1,"◎ Should","– N/A"))</f>
        <v>◎ Should</v>
      </c>
      <c r="U207" s="156" t="str">
        <f>IF(COUNTIFS('Product Order Book'!$A:$A,$A207,'Product Order Book'!$E:$E,U$3)&gt;0,"✓ Takes",IF(IFERROR(VLOOKUP($A207,'Whitespace Analysis'!$A:$AH,30,0),0)=1,"◎ Should","– N/A"))</f>
        <v>◎ Should</v>
      </c>
      <c r="V207" s="156" t="str">
        <f>IF(COUNTIFS('Product Order Book'!$A:$A,$A207,'Product Order Book'!$E:$E,V$3)&gt;0,"✓ Takes",IF(IFERROR(VLOOKUP($A207,'Whitespace Analysis'!$A:$AH,14,0),0)=1,"◎ Should","– N/A"))</f>
        <v>◎ Should</v>
      </c>
    </row>
    <row r="208" spans="1:22" ht="15" customHeight="1">
      <c r="A208" s="154" t="str">
        <v>Viridor Energy Limited</v>
      </c>
      <c r="B208" s="155">
        <f>IFERROR(MIN(1,COUNTIFS('Product Order Book'!$A$2:$A$1057,$A208,'Product Order Book'!$E$2:$E$1057,B$3)/INDEX('Clean Package Product Lists'!$C:$C,MATCH(B$3,'Clean Package Product Lists'!$A:$A,0))),"")</f>
        <v>0</v>
      </c>
      <c r="C208" s="155">
        <f>IFERROR(MIN(1,COUNTIFS('Product Order Book'!$A$2:$A$1057,$A208,'Product Order Book'!$E$2:$E$1057,C$3)/INDEX('Clean Package Product Lists'!$C:$C,MATCH(C$3,'Clean Package Product Lists'!$A:$A,0))),"")</f>
        <v>0</v>
      </c>
      <c r="D208" s="155">
        <f>IFERROR(MIN(1,COUNTIFS('Product Order Book'!$A$2:$A$1057,$A208,'Product Order Book'!$E$2:$E$1057,D$3)/INDEX('Clean Package Product Lists'!$C:$C,MATCH(D$3,'Clean Package Product Lists'!$A:$A,0))),"")</f>
        <v>0</v>
      </c>
      <c r="E208" s="155">
        <f>IFERROR(MIN(1,COUNTIFS('Product Order Book'!$A$2:$A$1057,$A208,'Product Order Book'!$E$2:$E$1057,E$3)/INDEX('Clean Package Product Lists'!$C:$C,MATCH(E$3,'Clean Package Product Lists'!$A:$A,0))),"")</f>
        <v>0</v>
      </c>
      <c r="F208" s="155">
        <f>IFERROR(MIN(1,COUNTIFS('Product Order Book'!$A$2:$A$1057,$A208,'Product Order Book'!$E$2:$E$1057,F$3)/INDEX('Clean Package Product Lists'!$C:$C,MATCH(F$3,'Clean Package Product Lists'!$A:$A,0))),"")</f>
        <v>0</v>
      </c>
      <c r="G208" s="155">
        <f>IFERROR(MIN(1,COUNTIFS('Product Order Book'!$A$2:$A$1057,$A208,'Product Order Book'!$E$2:$E$1057,G$3)/INDEX('Clean Package Product Lists'!$C:$C,MATCH(G$3,'Clean Package Product Lists'!$A:$A,0))),"")</f>
        <v>0</v>
      </c>
      <c r="H208" s="155">
        <f>IFERROR(MIN(1,COUNTIFS('Product Order Book'!$A$2:$A$1057,$A208,'Product Order Book'!$E$2:$E$1057,H$3)/INDEX('Clean Package Product Lists'!$C:$C,MATCH(H$3,'Clean Package Product Lists'!$A:$A,0))),"")</f>
        <v>0.25</v>
      </c>
      <c r="I208" s="155">
        <f>IFERROR(MIN(1,COUNTIFS('Product Order Book'!$A$2:$A$1057,$A208,'Product Order Book'!$E$2:$E$1057,I$3)/INDEX('Clean Package Product Lists'!$C:$C,MATCH(I$3,'Clean Package Product Lists'!$A:$A,0))),"")</f>
        <v>0</v>
      </c>
      <c r="J208" s="155">
        <f>IFERROR(MIN(1,COUNTIFS('Product Order Book'!$A$2:$A$1057,$A208,'Product Order Book'!$E$2:$E$1057,J$3)/INDEX('Clean Package Product Lists'!$C:$C,MATCH(J$3,'Clean Package Product Lists'!$A:$A,0))),"")</f>
        <v>0</v>
      </c>
      <c r="K208" s="155">
        <f>IFERROR(MIN(1,COUNTIFS('Product Order Book'!$A$2:$A$1057,$A208,'Product Order Book'!$E$2:$E$1057,K$3)/INDEX('Clean Package Product Lists'!$C:$C,MATCH(K$3,'Clean Package Product Lists'!$A:$A,0))),"")</f>
        <v>0</v>
      </c>
      <c r="L208" s="154"/>
      <c r="M208" s="156" t="str">
        <f>IF(COUNTIFS('Product Order Book'!$A:$A,$A208,'Product Order Book'!$E:$E,M$3)&gt;0,"✓ Takes",IF(IFERROR(VLOOKUP($A208,'Whitespace Analysis'!$A:$AH,12,0),0)=1,"◎ Should","– N/A"))</f>
        <v>◎ Should</v>
      </c>
      <c r="N208" s="156" t="str">
        <f>IF(COUNTIFS('Product Order Book'!$A:$A,$A208,'Product Order Book'!$E:$E,N$3)&gt;0,"✓ Takes",IF(IFERROR(VLOOKUP($A208,'Whitespace Analysis'!$A:$AH,20,0),0)=1,"◎ Should","– N/A"))</f>
        <v>◎ Should</v>
      </c>
      <c r="O208" s="156" t="str">
        <f>IF(COUNTIFS('Product Order Book'!$A:$A,$A208,'Product Order Book'!$E:$E,O$3)&gt;0,"✓ Takes",IF(IFERROR(VLOOKUP($A208,'Whitespace Analysis'!$A:$AH,22,0),0)=1,"◎ Should","– N/A"))</f>
        <v>◎ Should</v>
      </c>
      <c r="P208" s="156" t="str">
        <f>IF(COUNTIFS('Product Order Book'!$A:$A,$A208,'Product Order Book'!$E:$E,P$3)&gt;0,"✓ Takes",IF(IFERROR(VLOOKUP($A208,'Whitespace Analysis'!$A:$AH,24,0),0)=1,"◎ Should","– N/A"))</f>
        <v>– N/A</v>
      </c>
      <c r="Q208" s="156" t="str">
        <f>IF(COUNTIFS('Product Order Book'!$A:$A,$A208,'Product Order Book'!$E:$E,Q$3)&gt;0,"✓ Takes",IF(IFERROR(VLOOKUP($A208,'Whitespace Analysis'!$A:$AH,26,0),0)=1,"◎ Should","– N/A"))</f>
        <v>– N/A</v>
      </c>
      <c r="R208" s="156" t="str">
        <f>IF(COUNTIFS('Product Order Book'!$A:$A,$A208,'Product Order Book'!$E:$E,R$3)&gt;0,"✓ Takes",IF(IFERROR(VLOOKUP($A208,'Whitespace Analysis'!$A:$AH,16,0),0)=1,"◎ Should","– N/A"))</f>
        <v>– N/A</v>
      </c>
      <c r="S208" s="156" t="str">
        <f>IF(COUNTIFS('Product Order Book'!$A:$A,$A208,'Product Order Book'!$E:$E,S$3)&gt;0,"✓ Takes",IF(IFERROR(VLOOKUP($A208,'Whitespace Analysis'!$A:$AH,18,0),0)=1,"◎ Should","– N/A"))</f>
        <v>✓ Takes</v>
      </c>
      <c r="T208" s="156" t="str">
        <f>IF(COUNTIFS('Product Order Book'!$A:$A,$A208,'Product Order Book'!$E:$E,T$3)&gt;0,"✓ Takes",IF(IFERROR(VLOOKUP($A208,'Whitespace Analysis'!$A:$AH,28,0),0)=1,"◎ Should","– N/A"))</f>
        <v>◎ Should</v>
      </c>
      <c r="U208" s="156" t="str">
        <f>IF(COUNTIFS('Product Order Book'!$A:$A,$A208,'Product Order Book'!$E:$E,U$3)&gt;0,"✓ Takes",IF(IFERROR(VLOOKUP($A208,'Whitespace Analysis'!$A:$AH,30,0),0)=1,"◎ Should","– N/A"))</f>
        <v>◎ Should</v>
      </c>
      <c r="V208" s="156" t="str">
        <f>IF(COUNTIFS('Product Order Book'!$A:$A,$A208,'Product Order Book'!$E:$E,V$3)&gt;0,"✓ Takes",IF(IFERROR(VLOOKUP($A208,'Whitespace Analysis'!$A:$AH,14,0),0)=1,"◎ Should","– N/A"))</f>
        <v>◎ Should</v>
      </c>
    </row>
    <row r="209" spans="1:22" ht="15" customHeight="1">
      <c r="A209" s="154" t="str">
        <v>Virmati Energy Ltd</v>
      </c>
      <c r="B209" s="155">
        <f>IFERROR(MIN(1,COUNTIFS('Product Order Book'!$A$2:$A$1057,$A209,'Product Order Book'!$E$2:$E$1057,B$3)/INDEX('Clean Package Product Lists'!$C:$C,MATCH(B$3,'Clean Package Product Lists'!$A:$A,0))),"")</f>
        <v>0</v>
      </c>
      <c r="C209" s="155">
        <f>IFERROR(MIN(1,COUNTIFS('Product Order Book'!$A$2:$A$1057,$A209,'Product Order Book'!$E$2:$E$1057,C$3)/INDEX('Clean Package Product Lists'!$C:$C,MATCH(C$3,'Clean Package Product Lists'!$A:$A,0))),"")</f>
        <v>0</v>
      </c>
      <c r="D209" s="155">
        <f>IFERROR(MIN(1,COUNTIFS('Product Order Book'!$A$2:$A$1057,$A209,'Product Order Book'!$E$2:$E$1057,D$3)/INDEX('Clean Package Product Lists'!$C:$C,MATCH(D$3,'Clean Package Product Lists'!$A:$A,0))),"")</f>
        <v>0</v>
      </c>
      <c r="E209" s="155">
        <f>IFERROR(MIN(1,COUNTIFS('Product Order Book'!$A$2:$A$1057,$A209,'Product Order Book'!$E$2:$E$1057,E$3)/INDEX('Clean Package Product Lists'!$C:$C,MATCH(E$3,'Clean Package Product Lists'!$A:$A,0))),"")</f>
        <v>0</v>
      </c>
      <c r="F209" s="155">
        <f>IFERROR(MIN(1,COUNTIFS('Product Order Book'!$A$2:$A$1057,$A209,'Product Order Book'!$E$2:$E$1057,F$3)/INDEX('Clean Package Product Lists'!$C:$C,MATCH(F$3,'Clean Package Product Lists'!$A:$A,0))),"")</f>
        <v>0.33333333333333331</v>
      </c>
      <c r="G209" s="155">
        <f>IFERROR(MIN(1,COUNTIFS('Product Order Book'!$A$2:$A$1057,$A209,'Product Order Book'!$E$2:$E$1057,G$3)/INDEX('Clean Package Product Lists'!$C:$C,MATCH(G$3,'Clean Package Product Lists'!$A:$A,0))),"")</f>
        <v>0</v>
      </c>
      <c r="H209" s="155">
        <f>IFERROR(MIN(1,COUNTIFS('Product Order Book'!$A$2:$A$1057,$A209,'Product Order Book'!$E$2:$E$1057,H$3)/INDEX('Clean Package Product Lists'!$C:$C,MATCH(H$3,'Clean Package Product Lists'!$A:$A,0))),"")</f>
        <v>0</v>
      </c>
      <c r="I209" s="155">
        <f>IFERROR(MIN(1,COUNTIFS('Product Order Book'!$A$2:$A$1057,$A209,'Product Order Book'!$E$2:$E$1057,I$3)/INDEX('Clean Package Product Lists'!$C:$C,MATCH(I$3,'Clean Package Product Lists'!$A:$A,0))),"")</f>
        <v>0</v>
      </c>
      <c r="J209" s="155">
        <f>IFERROR(MIN(1,COUNTIFS('Product Order Book'!$A$2:$A$1057,$A209,'Product Order Book'!$E$2:$E$1057,J$3)/INDEX('Clean Package Product Lists'!$C:$C,MATCH(J$3,'Clean Package Product Lists'!$A:$A,0))),"")</f>
        <v>0</v>
      </c>
      <c r="K209" s="155">
        <f>IFERROR(MIN(1,COUNTIFS('Product Order Book'!$A$2:$A$1057,$A209,'Product Order Book'!$E$2:$E$1057,K$3)/INDEX('Clean Package Product Lists'!$C:$C,MATCH(K$3,'Clean Package Product Lists'!$A:$A,0))),"")</f>
        <v>0</v>
      </c>
      <c r="L209" s="154"/>
      <c r="M209" s="156" t="str">
        <f>IF(COUNTIFS('Product Order Book'!$A:$A,$A209,'Product Order Book'!$E:$E,M$3)&gt;0,"✓ Takes",IF(IFERROR(VLOOKUP($A209,'Whitespace Analysis'!$A:$AH,12,0),0)=1,"◎ Should","– N/A"))</f>
        <v>– N/A</v>
      </c>
      <c r="N209" s="156" t="str">
        <f>IF(COUNTIFS('Product Order Book'!$A:$A,$A209,'Product Order Book'!$E:$E,N$3)&gt;0,"✓ Takes",IF(IFERROR(VLOOKUP($A209,'Whitespace Analysis'!$A:$AH,20,0),0)=1,"◎ Should","– N/A"))</f>
        <v>– N/A</v>
      </c>
      <c r="O209" s="156" t="str">
        <f>IF(COUNTIFS('Product Order Book'!$A:$A,$A209,'Product Order Book'!$E:$E,O$3)&gt;0,"✓ Takes",IF(IFERROR(VLOOKUP($A209,'Whitespace Analysis'!$A:$AH,22,0),0)=1,"◎ Should","– N/A"))</f>
        <v>– N/A</v>
      </c>
      <c r="P209" s="156" t="str">
        <f>IF(COUNTIFS('Product Order Book'!$A:$A,$A209,'Product Order Book'!$E:$E,P$3)&gt;0,"✓ Takes",IF(IFERROR(VLOOKUP($A209,'Whitespace Analysis'!$A:$AH,24,0),0)=1,"◎ Should","– N/A"))</f>
        <v>– N/A</v>
      </c>
      <c r="Q209" s="156" t="str">
        <f>IF(COUNTIFS('Product Order Book'!$A:$A,$A209,'Product Order Book'!$E:$E,Q$3)&gt;0,"✓ Takes",IF(IFERROR(VLOOKUP($A209,'Whitespace Analysis'!$A:$AH,26,0),0)=1,"◎ Should","– N/A"))</f>
        <v>✓ Takes</v>
      </c>
      <c r="R209" s="156" t="str">
        <f>IF(COUNTIFS('Product Order Book'!$A:$A,$A209,'Product Order Book'!$E:$E,R$3)&gt;0,"✓ Takes",IF(IFERROR(VLOOKUP($A209,'Whitespace Analysis'!$A:$AH,16,0),0)=1,"◎ Should","– N/A"))</f>
        <v>– N/A</v>
      </c>
      <c r="S209" s="156" t="str">
        <f>IF(COUNTIFS('Product Order Book'!$A:$A,$A209,'Product Order Book'!$E:$E,S$3)&gt;0,"✓ Takes",IF(IFERROR(VLOOKUP($A209,'Whitespace Analysis'!$A:$AH,18,0),0)=1,"◎ Should","– N/A"))</f>
        <v>– N/A</v>
      </c>
      <c r="T209" s="156" t="str">
        <f>IF(COUNTIFS('Product Order Book'!$A:$A,$A209,'Product Order Book'!$E:$E,T$3)&gt;0,"✓ Takes",IF(IFERROR(VLOOKUP($A209,'Whitespace Analysis'!$A:$AH,28,0),0)=1,"◎ Should","– N/A"))</f>
        <v>– N/A</v>
      </c>
      <c r="U209" s="156" t="str">
        <f>IF(COUNTIFS('Product Order Book'!$A:$A,$A209,'Product Order Book'!$E:$E,U$3)&gt;0,"✓ Takes",IF(IFERROR(VLOOKUP($A209,'Whitespace Analysis'!$A:$AH,30,0),0)=1,"◎ Should","– N/A"))</f>
        <v>– N/A</v>
      </c>
      <c r="V209" s="156" t="str">
        <f>IF(COUNTIFS('Product Order Book'!$A:$A,$A209,'Product Order Book'!$E:$E,V$3)&gt;0,"✓ Takes",IF(IFERROR(VLOOKUP($A209,'Whitespace Analysis'!$A:$AH,14,0),0)=1,"◎ Should","– N/A"))</f>
        <v>– N/A</v>
      </c>
    </row>
    <row r="210" spans="1:22" ht="15" customHeight="1">
      <c r="A210" s="154" t="str">
        <v>Vodafone Ltd</v>
      </c>
      <c r="B210" s="155">
        <f>IFERROR(MIN(1,COUNTIFS('Product Order Book'!$A$2:$A$1057,$A210,'Product Order Book'!$E$2:$E$1057,B$3)/INDEX('Clean Package Product Lists'!$C:$C,MATCH(B$3,'Clean Package Product Lists'!$A:$A,0))),"")</f>
        <v>0</v>
      </c>
      <c r="C210" s="155">
        <f>IFERROR(MIN(1,COUNTIFS('Product Order Book'!$A$2:$A$1057,$A210,'Product Order Book'!$E$2:$E$1057,C$3)/INDEX('Clean Package Product Lists'!$C:$C,MATCH(C$3,'Clean Package Product Lists'!$A:$A,0))),"")</f>
        <v>0</v>
      </c>
      <c r="D210" s="155">
        <f>IFERROR(MIN(1,COUNTIFS('Product Order Book'!$A$2:$A$1057,$A210,'Product Order Book'!$E$2:$E$1057,D$3)/INDEX('Clean Package Product Lists'!$C:$C,MATCH(D$3,'Clean Package Product Lists'!$A:$A,0))),"")</f>
        <v>0</v>
      </c>
      <c r="E210" s="155">
        <f>IFERROR(MIN(1,COUNTIFS('Product Order Book'!$A$2:$A$1057,$A210,'Product Order Book'!$E$2:$E$1057,E$3)/INDEX('Clean Package Product Lists'!$C:$C,MATCH(E$3,'Clean Package Product Lists'!$A:$A,0))),"")</f>
        <v>0</v>
      </c>
      <c r="F210" s="155">
        <f>IFERROR(MIN(1,COUNTIFS('Product Order Book'!$A$2:$A$1057,$A210,'Product Order Book'!$E$2:$E$1057,F$3)/INDEX('Clean Package Product Lists'!$C:$C,MATCH(F$3,'Clean Package Product Lists'!$A:$A,0))),"")</f>
        <v>0</v>
      </c>
      <c r="G210" s="155">
        <f>IFERROR(MIN(1,COUNTIFS('Product Order Book'!$A$2:$A$1057,$A210,'Product Order Book'!$E$2:$E$1057,G$3)/INDEX('Clean Package Product Lists'!$C:$C,MATCH(G$3,'Clean Package Product Lists'!$A:$A,0))),"")</f>
        <v>0</v>
      </c>
      <c r="H210" s="155">
        <f>IFERROR(MIN(1,COUNTIFS('Product Order Book'!$A$2:$A$1057,$A210,'Product Order Book'!$E$2:$E$1057,H$3)/INDEX('Clean Package Product Lists'!$C:$C,MATCH(H$3,'Clean Package Product Lists'!$A:$A,0))),"")</f>
        <v>0</v>
      </c>
      <c r="I210" s="155">
        <f>IFERROR(MIN(1,COUNTIFS('Product Order Book'!$A$2:$A$1057,$A210,'Product Order Book'!$E$2:$E$1057,I$3)/INDEX('Clean Package Product Lists'!$C:$C,MATCH(I$3,'Clean Package Product Lists'!$A:$A,0))),"")</f>
        <v>0</v>
      </c>
      <c r="J210" s="155">
        <f>IFERROR(MIN(1,COUNTIFS('Product Order Book'!$A$2:$A$1057,$A210,'Product Order Book'!$E$2:$E$1057,J$3)/INDEX('Clean Package Product Lists'!$C:$C,MATCH(J$3,'Clean Package Product Lists'!$A:$A,0))),"")</f>
        <v>1</v>
      </c>
      <c r="K210" s="155">
        <f>IFERROR(MIN(1,COUNTIFS('Product Order Book'!$A$2:$A$1057,$A210,'Product Order Book'!$E$2:$E$1057,K$3)/INDEX('Clean Package Product Lists'!$C:$C,MATCH(K$3,'Clean Package Product Lists'!$A:$A,0))),"")</f>
        <v>0</v>
      </c>
      <c r="L210" s="154"/>
      <c r="M210" s="156" t="str">
        <f>IF(COUNTIFS('Product Order Book'!$A:$A,$A210,'Product Order Book'!$E:$E,M$3)&gt;0,"✓ Takes",IF(IFERROR(VLOOKUP($A210,'Whitespace Analysis'!$A:$AH,12,0),0)=1,"◎ Should","– N/A"))</f>
        <v>◎ Should</v>
      </c>
      <c r="N210" s="156" t="str">
        <f>IF(COUNTIFS('Product Order Book'!$A:$A,$A210,'Product Order Book'!$E:$E,N$3)&gt;0,"✓ Takes",IF(IFERROR(VLOOKUP($A210,'Whitespace Analysis'!$A:$AH,20,0),0)=1,"◎ Should","– N/A"))</f>
        <v>– N/A</v>
      </c>
      <c r="O210" s="156" t="str">
        <f>IF(COUNTIFS('Product Order Book'!$A:$A,$A210,'Product Order Book'!$E:$E,O$3)&gt;0,"✓ Takes",IF(IFERROR(VLOOKUP($A210,'Whitespace Analysis'!$A:$AH,22,0),0)=1,"◎ Should","– N/A"))</f>
        <v>– N/A</v>
      </c>
      <c r="P210" s="156" t="str">
        <f>IF(COUNTIFS('Product Order Book'!$A:$A,$A210,'Product Order Book'!$E:$E,P$3)&gt;0,"✓ Takes",IF(IFERROR(VLOOKUP($A210,'Whitespace Analysis'!$A:$AH,24,0),0)=1,"◎ Should","– N/A"))</f>
        <v>– N/A</v>
      </c>
      <c r="Q210" s="156" t="str">
        <f>IF(COUNTIFS('Product Order Book'!$A:$A,$A210,'Product Order Book'!$E:$E,Q$3)&gt;0,"✓ Takes",IF(IFERROR(VLOOKUP($A210,'Whitespace Analysis'!$A:$AH,26,0),0)=1,"◎ Should","– N/A"))</f>
        <v>– N/A</v>
      </c>
      <c r="R210" s="156" t="str">
        <f>IF(COUNTIFS('Product Order Book'!$A:$A,$A210,'Product Order Book'!$E:$E,R$3)&gt;0,"✓ Takes",IF(IFERROR(VLOOKUP($A210,'Whitespace Analysis'!$A:$AH,16,0),0)=1,"◎ Should","– N/A"))</f>
        <v>– N/A</v>
      </c>
      <c r="S210" s="156" t="str">
        <f>IF(COUNTIFS('Product Order Book'!$A:$A,$A210,'Product Order Book'!$E:$E,S$3)&gt;0,"✓ Takes",IF(IFERROR(VLOOKUP($A210,'Whitespace Analysis'!$A:$AH,18,0),0)=1,"◎ Should","– N/A"))</f>
        <v>– N/A</v>
      </c>
      <c r="T210" s="156" t="str">
        <f>IF(COUNTIFS('Product Order Book'!$A:$A,$A210,'Product Order Book'!$E:$E,T$3)&gt;0,"✓ Takes",IF(IFERROR(VLOOKUP($A210,'Whitespace Analysis'!$A:$AH,28,0),0)=1,"◎ Should","– N/A"))</f>
        <v>◎ Should</v>
      </c>
      <c r="U210" s="156" t="str">
        <f>IF(COUNTIFS('Product Order Book'!$A:$A,$A210,'Product Order Book'!$E:$E,U$3)&gt;0,"✓ Takes",IF(IFERROR(VLOOKUP($A210,'Whitespace Analysis'!$A:$AH,30,0),0)=1,"◎ Should","– N/A"))</f>
        <v>✓ Takes</v>
      </c>
      <c r="V210" s="156" t="str">
        <f>IF(COUNTIFS('Product Order Book'!$A:$A,$A210,'Product Order Book'!$E:$E,V$3)&gt;0,"✓ Takes",IF(IFERROR(VLOOKUP($A210,'Whitespace Analysis'!$A:$AH,14,0),0)=1,"◎ Should","– N/A"))</f>
        <v>◎ Should</v>
      </c>
    </row>
    <row r="211" spans="1:22" ht="15" customHeight="1">
      <c r="A211" s="154" t="str">
        <v>VPI Holding Ltd</v>
      </c>
      <c r="B211" s="155">
        <f>IFERROR(MIN(1,COUNTIFS('Product Order Book'!$A$2:$A$1057,$A211,'Product Order Book'!$E$2:$E$1057,B$3)/INDEX('Clean Package Product Lists'!$C:$C,MATCH(B$3,'Clean Package Product Lists'!$A:$A,0))),"")</f>
        <v>1</v>
      </c>
      <c r="C211" s="155">
        <f>IFERROR(MIN(1,COUNTIFS('Product Order Book'!$A$2:$A$1057,$A211,'Product Order Book'!$E$2:$E$1057,C$3)/INDEX('Clean Package Product Lists'!$C:$C,MATCH(C$3,'Clean Package Product Lists'!$A:$A,0))),"")</f>
        <v>0</v>
      </c>
      <c r="D211" s="155">
        <f>IFERROR(MIN(1,COUNTIFS('Product Order Book'!$A$2:$A$1057,$A211,'Product Order Book'!$E$2:$E$1057,D$3)/INDEX('Clean Package Product Lists'!$C:$C,MATCH(D$3,'Clean Package Product Lists'!$A:$A,0))),"")</f>
        <v>0</v>
      </c>
      <c r="E211" s="155">
        <f>IFERROR(MIN(1,COUNTIFS('Product Order Book'!$A$2:$A$1057,$A211,'Product Order Book'!$E$2:$E$1057,E$3)/INDEX('Clean Package Product Lists'!$C:$C,MATCH(E$3,'Clean Package Product Lists'!$A:$A,0))),"")</f>
        <v>0</v>
      </c>
      <c r="F211" s="155">
        <f>IFERROR(MIN(1,COUNTIFS('Product Order Book'!$A$2:$A$1057,$A211,'Product Order Book'!$E$2:$E$1057,F$3)/INDEX('Clean Package Product Lists'!$C:$C,MATCH(F$3,'Clean Package Product Lists'!$A:$A,0))),"")</f>
        <v>0</v>
      </c>
      <c r="G211" s="155">
        <f>IFERROR(MIN(1,COUNTIFS('Product Order Book'!$A$2:$A$1057,$A211,'Product Order Book'!$E$2:$E$1057,G$3)/INDEX('Clean Package Product Lists'!$C:$C,MATCH(G$3,'Clean Package Product Lists'!$A:$A,0))),"")</f>
        <v>0</v>
      </c>
      <c r="H211" s="155">
        <f>IFERROR(MIN(1,COUNTIFS('Product Order Book'!$A$2:$A$1057,$A211,'Product Order Book'!$E$2:$E$1057,H$3)/INDEX('Clean Package Product Lists'!$C:$C,MATCH(H$3,'Clean Package Product Lists'!$A:$A,0))),"")</f>
        <v>0</v>
      </c>
      <c r="I211" s="155">
        <f>IFERROR(MIN(1,COUNTIFS('Product Order Book'!$A$2:$A$1057,$A211,'Product Order Book'!$E$2:$E$1057,I$3)/INDEX('Clean Package Product Lists'!$C:$C,MATCH(I$3,'Clean Package Product Lists'!$A:$A,0))),"")</f>
        <v>0</v>
      </c>
      <c r="J211" s="155">
        <f>IFERROR(MIN(1,COUNTIFS('Product Order Book'!$A$2:$A$1057,$A211,'Product Order Book'!$E$2:$E$1057,J$3)/INDEX('Clean Package Product Lists'!$C:$C,MATCH(J$3,'Clean Package Product Lists'!$A:$A,0))),"")</f>
        <v>0</v>
      </c>
      <c r="K211" s="155">
        <f>IFERROR(MIN(1,COUNTIFS('Product Order Book'!$A$2:$A$1057,$A211,'Product Order Book'!$E$2:$E$1057,K$3)/INDEX('Clean Package Product Lists'!$C:$C,MATCH(K$3,'Clean Package Product Lists'!$A:$A,0))),"")</f>
        <v>0</v>
      </c>
      <c r="L211" s="154"/>
      <c r="M211" s="156" t="str">
        <f>IF(COUNTIFS('Product Order Book'!$A:$A,$A211,'Product Order Book'!$E:$E,M$3)&gt;0,"✓ Takes",IF(IFERROR(VLOOKUP($A211,'Whitespace Analysis'!$A:$AH,12,0),0)=1,"◎ Should","– N/A"))</f>
        <v>✓ Takes</v>
      </c>
      <c r="N211" s="156" t="str">
        <f>IF(COUNTIFS('Product Order Book'!$A:$A,$A211,'Product Order Book'!$E:$E,N$3)&gt;0,"✓ Takes",IF(IFERROR(VLOOKUP($A211,'Whitespace Analysis'!$A:$AH,20,0),0)=1,"◎ Should","– N/A"))</f>
        <v>– N/A</v>
      </c>
      <c r="O211" s="156" t="str">
        <f>IF(COUNTIFS('Product Order Book'!$A:$A,$A211,'Product Order Book'!$E:$E,O$3)&gt;0,"✓ Takes",IF(IFERROR(VLOOKUP($A211,'Whitespace Analysis'!$A:$AH,22,0),0)=1,"◎ Should","– N/A"))</f>
        <v>– N/A</v>
      </c>
      <c r="P211" s="156" t="str">
        <f>IF(COUNTIFS('Product Order Book'!$A:$A,$A211,'Product Order Book'!$E:$E,P$3)&gt;0,"✓ Takes",IF(IFERROR(VLOOKUP($A211,'Whitespace Analysis'!$A:$AH,24,0),0)=1,"◎ Should","– N/A"))</f>
        <v>◎ Should</v>
      </c>
      <c r="Q211" s="156" t="str">
        <f>IF(COUNTIFS('Product Order Book'!$A:$A,$A211,'Product Order Book'!$E:$E,Q$3)&gt;0,"✓ Takes",IF(IFERROR(VLOOKUP($A211,'Whitespace Analysis'!$A:$AH,26,0),0)=1,"◎ Should","– N/A"))</f>
        <v>◎ Should</v>
      </c>
      <c r="R211" s="156" t="str">
        <f>IF(COUNTIFS('Product Order Book'!$A:$A,$A211,'Product Order Book'!$E:$E,R$3)&gt;0,"✓ Takes",IF(IFERROR(VLOOKUP($A211,'Whitespace Analysis'!$A:$AH,16,0),0)=1,"◎ Should","– N/A"))</f>
        <v>– N/A</v>
      </c>
      <c r="S211" s="156" t="str">
        <f>IF(COUNTIFS('Product Order Book'!$A:$A,$A211,'Product Order Book'!$E:$E,S$3)&gt;0,"✓ Takes",IF(IFERROR(VLOOKUP($A211,'Whitespace Analysis'!$A:$AH,18,0),0)=1,"◎ Should","– N/A"))</f>
        <v>– N/A</v>
      </c>
      <c r="T211" s="156" t="str">
        <f>IF(COUNTIFS('Product Order Book'!$A:$A,$A211,'Product Order Book'!$E:$E,T$3)&gt;0,"✓ Takes",IF(IFERROR(VLOOKUP($A211,'Whitespace Analysis'!$A:$AH,28,0),0)=1,"◎ Should","– N/A"))</f>
        <v>– N/A</v>
      </c>
      <c r="U211" s="156" t="str">
        <f>IF(COUNTIFS('Product Order Book'!$A:$A,$A211,'Product Order Book'!$E:$E,U$3)&gt;0,"✓ Takes",IF(IFERROR(VLOOKUP($A211,'Whitespace Analysis'!$A:$AH,30,0),0)=1,"◎ Should","– N/A"))</f>
        <v>– N/A</v>
      </c>
      <c r="V211" s="156" t="str">
        <f>IF(COUNTIFS('Product Order Book'!$A:$A,$A211,'Product Order Book'!$E:$E,V$3)&gt;0,"✓ Takes",IF(IFERROR(VLOOKUP($A211,'Whitespace Analysis'!$A:$AH,14,0),0)=1,"◎ Should","– N/A"))</f>
        <v>◎ Should</v>
      </c>
    </row>
    <row r="212" spans="1:22" ht="15" customHeight="1">
      <c r="A212" s="154" t="str">
        <v>VPI Power Ltd</v>
      </c>
      <c r="B212" s="155">
        <f>IFERROR(MIN(1,COUNTIFS('Product Order Book'!$A$2:$A$1057,$A212,'Product Order Book'!$E$2:$E$1057,B$3)/INDEX('Clean Package Product Lists'!$C:$C,MATCH(B$3,'Clean Package Product Lists'!$A:$A,0))),"")</f>
        <v>0</v>
      </c>
      <c r="C212" s="155">
        <f>IFERROR(MIN(1,COUNTIFS('Product Order Book'!$A$2:$A$1057,$A212,'Product Order Book'!$E$2:$E$1057,C$3)/INDEX('Clean Package Product Lists'!$C:$C,MATCH(C$3,'Clean Package Product Lists'!$A:$A,0))),"")</f>
        <v>0</v>
      </c>
      <c r="D212" s="155">
        <f>IFERROR(MIN(1,COUNTIFS('Product Order Book'!$A$2:$A$1057,$A212,'Product Order Book'!$E$2:$E$1057,D$3)/INDEX('Clean Package Product Lists'!$C:$C,MATCH(D$3,'Clean Package Product Lists'!$A:$A,0))),"")</f>
        <v>0</v>
      </c>
      <c r="E212" s="155">
        <f>IFERROR(MIN(1,COUNTIFS('Product Order Book'!$A$2:$A$1057,$A212,'Product Order Book'!$E$2:$E$1057,E$3)/INDEX('Clean Package Product Lists'!$C:$C,MATCH(E$3,'Clean Package Product Lists'!$A:$A,0))),"")</f>
        <v>0</v>
      </c>
      <c r="F212" s="155">
        <f>IFERROR(MIN(1,COUNTIFS('Product Order Book'!$A$2:$A$1057,$A212,'Product Order Book'!$E$2:$E$1057,F$3)/INDEX('Clean Package Product Lists'!$C:$C,MATCH(F$3,'Clean Package Product Lists'!$A:$A,0))),"")</f>
        <v>0</v>
      </c>
      <c r="G212" s="155">
        <f>IFERROR(MIN(1,COUNTIFS('Product Order Book'!$A$2:$A$1057,$A212,'Product Order Book'!$E$2:$E$1057,G$3)/INDEX('Clean Package Product Lists'!$C:$C,MATCH(G$3,'Clean Package Product Lists'!$A:$A,0))),"")</f>
        <v>0</v>
      </c>
      <c r="H212" s="155">
        <f>IFERROR(MIN(1,COUNTIFS('Product Order Book'!$A$2:$A$1057,$A212,'Product Order Book'!$E$2:$E$1057,H$3)/INDEX('Clean Package Product Lists'!$C:$C,MATCH(H$3,'Clean Package Product Lists'!$A:$A,0))),"")</f>
        <v>0</v>
      </c>
      <c r="I212" s="155">
        <f>IFERROR(MIN(1,COUNTIFS('Product Order Book'!$A$2:$A$1057,$A212,'Product Order Book'!$E$2:$E$1057,I$3)/INDEX('Clean Package Product Lists'!$C:$C,MATCH(I$3,'Clean Package Product Lists'!$A:$A,0))),"")</f>
        <v>0</v>
      </c>
      <c r="J212" s="155">
        <f>IFERROR(MIN(1,COUNTIFS('Product Order Book'!$A$2:$A$1057,$A212,'Product Order Book'!$E$2:$E$1057,J$3)/INDEX('Clean Package Product Lists'!$C:$C,MATCH(J$3,'Clean Package Product Lists'!$A:$A,0))),"")</f>
        <v>0</v>
      </c>
      <c r="K212" s="155">
        <f>IFERROR(MIN(1,COUNTIFS('Product Order Book'!$A$2:$A$1057,$A212,'Product Order Book'!$E$2:$E$1057,K$3)/INDEX('Clean Package Product Lists'!$C:$C,MATCH(K$3,'Clean Package Product Lists'!$A:$A,0))),"")</f>
        <v>0</v>
      </c>
      <c r="L212" s="154"/>
      <c r="M212" s="156" t="str">
        <f>IF(COUNTIFS('Product Order Book'!$A:$A,$A212,'Product Order Book'!$E:$E,M$3)&gt;0,"✓ Takes",IF(IFERROR(VLOOKUP($A212,'Whitespace Analysis'!$A:$AH,12,0),0)=1,"◎ Should","– N/A"))</f>
        <v>– N/A</v>
      </c>
      <c r="N212" s="156" t="str">
        <f>IF(COUNTIFS('Product Order Book'!$A:$A,$A212,'Product Order Book'!$E:$E,N$3)&gt;0,"✓ Takes",IF(IFERROR(VLOOKUP($A212,'Whitespace Analysis'!$A:$AH,20,0),0)=1,"◎ Should","– N/A"))</f>
        <v>– N/A</v>
      </c>
      <c r="O212" s="156" t="str">
        <f>IF(COUNTIFS('Product Order Book'!$A:$A,$A212,'Product Order Book'!$E:$E,O$3)&gt;0,"✓ Takes",IF(IFERROR(VLOOKUP($A212,'Whitespace Analysis'!$A:$AH,22,0),0)=1,"◎ Should","– N/A"))</f>
        <v>– N/A</v>
      </c>
      <c r="P212" s="156" t="str">
        <f>IF(COUNTIFS('Product Order Book'!$A:$A,$A212,'Product Order Book'!$E:$E,P$3)&gt;0,"✓ Takes",IF(IFERROR(VLOOKUP($A212,'Whitespace Analysis'!$A:$AH,24,0),0)=1,"◎ Should","– N/A"))</f>
        <v>– N/A</v>
      </c>
      <c r="Q212" s="156" t="str">
        <f>IF(COUNTIFS('Product Order Book'!$A:$A,$A212,'Product Order Book'!$E:$E,Q$3)&gt;0,"✓ Takes",IF(IFERROR(VLOOKUP($A212,'Whitespace Analysis'!$A:$AH,26,0),0)=1,"◎ Should","– N/A"))</f>
        <v>– N/A</v>
      </c>
      <c r="R212" s="156" t="str">
        <f>IF(COUNTIFS('Product Order Book'!$A:$A,$A212,'Product Order Book'!$E:$E,R$3)&gt;0,"✓ Takes",IF(IFERROR(VLOOKUP($A212,'Whitespace Analysis'!$A:$AH,16,0),0)=1,"◎ Should","– N/A"))</f>
        <v>– N/A</v>
      </c>
      <c r="S212" s="156" t="str">
        <f>IF(COUNTIFS('Product Order Book'!$A:$A,$A212,'Product Order Book'!$E:$E,S$3)&gt;0,"✓ Takes",IF(IFERROR(VLOOKUP($A212,'Whitespace Analysis'!$A:$AH,18,0),0)=1,"◎ Should","– N/A"))</f>
        <v>– N/A</v>
      </c>
      <c r="T212" s="156" t="str">
        <f>IF(COUNTIFS('Product Order Book'!$A:$A,$A212,'Product Order Book'!$E:$E,T$3)&gt;0,"✓ Takes",IF(IFERROR(VLOOKUP($A212,'Whitespace Analysis'!$A:$AH,28,0),0)=1,"◎ Should","– N/A"))</f>
        <v>– N/A</v>
      </c>
      <c r="U212" s="156" t="str">
        <f>IF(COUNTIFS('Product Order Book'!$A:$A,$A212,'Product Order Book'!$E:$E,U$3)&gt;0,"✓ Takes",IF(IFERROR(VLOOKUP($A212,'Whitespace Analysis'!$A:$AH,30,0),0)=1,"◎ Should","– N/A"))</f>
        <v>– N/A</v>
      </c>
      <c r="V212" s="156" t="str">
        <f>IF(COUNTIFS('Product Order Book'!$A:$A,$A212,'Product Order Book'!$E:$E,V$3)&gt;0,"✓ Takes",IF(IFERROR(VLOOKUP($A212,'Whitespace Analysis'!$A:$AH,14,0),0)=1,"◎ Should","– N/A"))</f>
        <v>– N/A</v>
      </c>
    </row>
    <row r="213" spans="1:22" ht="15" customHeight="1">
      <c r="A213" s="154" t="str">
        <v>Wales and West Utilities Ltd</v>
      </c>
      <c r="B213" s="155">
        <f>IFERROR(MIN(1,COUNTIFS('Product Order Book'!$A$2:$A$1057,$A213,'Product Order Book'!$E$2:$E$1057,B$3)/INDEX('Clean Package Product Lists'!$C:$C,MATCH(B$3,'Clean Package Product Lists'!$A:$A,0))),"")</f>
        <v>1</v>
      </c>
      <c r="C213" s="155">
        <f>IFERROR(MIN(1,COUNTIFS('Product Order Book'!$A$2:$A$1057,$A213,'Product Order Book'!$E$2:$E$1057,C$3)/INDEX('Clean Package Product Lists'!$C:$C,MATCH(C$3,'Clean Package Product Lists'!$A:$A,0))),"")</f>
        <v>0</v>
      </c>
      <c r="D213" s="155">
        <f>IFERROR(MIN(1,COUNTIFS('Product Order Book'!$A$2:$A$1057,$A213,'Product Order Book'!$E$2:$E$1057,D$3)/INDEX('Clean Package Product Lists'!$C:$C,MATCH(D$3,'Clean Package Product Lists'!$A:$A,0))),"")</f>
        <v>0</v>
      </c>
      <c r="E213" s="155">
        <f>IFERROR(MIN(1,COUNTIFS('Product Order Book'!$A$2:$A$1057,$A213,'Product Order Book'!$E$2:$E$1057,E$3)/INDEX('Clean Package Product Lists'!$C:$C,MATCH(E$3,'Clean Package Product Lists'!$A:$A,0))),"")</f>
        <v>0</v>
      </c>
      <c r="F213" s="155">
        <f>IFERROR(MIN(1,COUNTIFS('Product Order Book'!$A$2:$A$1057,$A213,'Product Order Book'!$E$2:$E$1057,F$3)/INDEX('Clean Package Product Lists'!$C:$C,MATCH(F$3,'Clean Package Product Lists'!$A:$A,0))),"")</f>
        <v>0</v>
      </c>
      <c r="G213" s="155">
        <f>IFERROR(MIN(1,COUNTIFS('Product Order Book'!$A$2:$A$1057,$A213,'Product Order Book'!$E$2:$E$1057,G$3)/INDEX('Clean Package Product Lists'!$C:$C,MATCH(G$3,'Clean Package Product Lists'!$A:$A,0))),"")</f>
        <v>0</v>
      </c>
      <c r="H213" s="155">
        <f>IFERROR(MIN(1,COUNTIFS('Product Order Book'!$A$2:$A$1057,$A213,'Product Order Book'!$E$2:$E$1057,H$3)/INDEX('Clean Package Product Lists'!$C:$C,MATCH(H$3,'Clean Package Product Lists'!$A:$A,0))),"")</f>
        <v>0</v>
      </c>
      <c r="I213" s="155">
        <f>IFERROR(MIN(1,COUNTIFS('Product Order Book'!$A$2:$A$1057,$A213,'Product Order Book'!$E$2:$E$1057,I$3)/INDEX('Clean Package Product Lists'!$C:$C,MATCH(I$3,'Clean Package Product Lists'!$A:$A,0))),"")</f>
        <v>0</v>
      </c>
      <c r="J213" s="155">
        <f>IFERROR(MIN(1,COUNTIFS('Product Order Book'!$A$2:$A$1057,$A213,'Product Order Book'!$E$2:$E$1057,J$3)/INDEX('Clean Package Product Lists'!$C:$C,MATCH(J$3,'Clean Package Product Lists'!$A:$A,0))),"")</f>
        <v>0</v>
      </c>
      <c r="K213" s="155">
        <f>IFERROR(MIN(1,COUNTIFS('Product Order Book'!$A$2:$A$1057,$A213,'Product Order Book'!$E$2:$E$1057,K$3)/INDEX('Clean Package Product Lists'!$C:$C,MATCH(K$3,'Clean Package Product Lists'!$A:$A,0))),"")</f>
        <v>0.2</v>
      </c>
      <c r="L213" s="154"/>
      <c r="M213" s="156" t="str">
        <f>IF(COUNTIFS('Product Order Book'!$A:$A,$A213,'Product Order Book'!$E:$E,M$3)&gt;0,"✓ Takes",IF(IFERROR(VLOOKUP($A213,'Whitespace Analysis'!$A:$AH,12,0),0)=1,"◎ Should","– N/A"))</f>
        <v>✓ Takes</v>
      </c>
      <c r="N213" s="156" t="str">
        <f>IF(COUNTIFS('Product Order Book'!$A:$A,$A213,'Product Order Book'!$E:$E,N$3)&gt;0,"✓ Takes",IF(IFERROR(VLOOKUP($A213,'Whitespace Analysis'!$A:$AH,20,0),0)=1,"◎ Should","– N/A"))</f>
        <v>– N/A</v>
      </c>
      <c r="O213" s="156" t="str">
        <f>IF(COUNTIFS('Product Order Book'!$A:$A,$A213,'Product Order Book'!$E:$E,O$3)&gt;0,"✓ Takes",IF(IFERROR(VLOOKUP($A213,'Whitespace Analysis'!$A:$AH,22,0),0)=1,"◎ Should","– N/A"))</f>
        <v>– N/A</v>
      </c>
      <c r="P213" s="156" t="str">
        <f>IF(COUNTIFS('Product Order Book'!$A:$A,$A213,'Product Order Book'!$E:$E,P$3)&gt;0,"✓ Takes",IF(IFERROR(VLOOKUP($A213,'Whitespace Analysis'!$A:$AH,24,0),0)=1,"◎ Should","– N/A"))</f>
        <v>– N/A</v>
      </c>
      <c r="Q213" s="156" t="str">
        <f>IF(COUNTIFS('Product Order Book'!$A:$A,$A213,'Product Order Book'!$E:$E,Q$3)&gt;0,"✓ Takes",IF(IFERROR(VLOOKUP($A213,'Whitespace Analysis'!$A:$AH,26,0),0)=1,"◎ Should","– N/A"))</f>
        <v>– N/A</v>
      </c>
      <c r="R213" s="156" t="str">
        <f>IF(COUNTIFS('Product Order Book'!$A:$A,$A213,'Product Order Book'!$E:$E,R$3)&gt;0,"✓ Takes",IF(IFERROR(VLOOKUP($A213,'Whitespace Analysis'!$A:$AH,16,0),0)=1,"◎ Should","– N/A"))</f>
        <v>– N/A</v>
      </c>
      <c r="S213" s="156" t="str">
        <f>IF(COUNTIFS('Product Order Book'!$A:$A,$A213,'Product Order Book'!$E:$E,S$3)&gt;0,"✓ Takes",IF(IFERROR(VLOOKUP($A213,'Whitespace Analysis'!$A:$AH,18,0),0)=1,"◎ Should","– N/A"))</f>
        <v>– N/A</v>
      </c>
      <c r="T213" s="156" t="str">
        <f>IF(COUNTIFS('Product Order Book'!$A:$A,$A213,'Product Order Book'!$E:$E,T$3)&gt;0,"✓ Takes",IF(IFERROR(VLOOKUP($A213,'Whitespace Analysis'!$A:$AH,28,0),0)=1,"◎ Should","– N/A"))</f>
        <v>– N/A</v>
      </c>
      <c r="U213" s="156" t="str">
        <f>IF(COUNTIFS('Product Order Book'!$A:$A,$A213,'Product Order Book'!$E:$E,U$3)&gt;0,"✓ Takes",IF(IFERROR(VLOOKUP($A213,'Whitespace Analysis'!$A:$AH,30,0),0)=1,"◎ Should","– N/A"))</f>
        <v>– N/A</v>
      </c>
      <c r="V213" s="156" t="str">
        <f>IF(COUNTIFS('Product Order Book'!$A:$A,$A213,'Product Order Book'!$E:$E,V$3)&gt;0,"✓ Takes",IF(IFERROR(VLOOKUP($A213,'Whitespace Analysis'!$A:$AH,14,0),0)=1,"◎ Should","– N/A"))</f>
        <v>✓ Takes</v>
      </c>
    </row>
    <row r="214" spans="1:22" ht="15" customHeight="1">
      <c r="A214" s="154" t="str">
        <v>West Mercia Energy</v>
      </c>
      <c r="B214" s="155">
        <f>IFERROR(MIN(1,COUNTIFS('Product Order Book'!$A$2:$A$1057,$A214,'Product Order Book'!$E$2:$E$1057,B$3)/INDEX('Clean Package Product Lists'!$C:$C,MATCH(B$3,'Clean Package Product Lists'!$A:$A,0))),"")</f>
        <v>0</v>
      </c>
      <c r="C214" s="155">
        <f>IFERROR(MIN(1,COUNTIFS('Product Order Book'!$A$2:$A$1057,$A214,'Product Order Book'!$E$2:$E$1057,C$3)/INDEX('Clean Package Product Lists'!$C:$C,MATCH(C$3,'Clean Package Product Lists'!$A:$A,0))),"")</f>
        <v>0</v>
      </c>
      <c r="D214" s="155">
        <f>IFERROR(MIN(1,COUNTIFS('Product Order Book'!$A$2:$A$1057,$A214,'Product Order Book'!$E$2:$E$1057,D$3)/INDEX('Clean Package Product Lists'!$C:$C,MATCH(D$3,'Clean Package Product Lists'!$A:$A,0))),"")</f>
        <v>0</v>
      </c>
      <c r="E214" s="155">
        <f>IFERROR(MIN(1,COUNTIFS('Product Order Book'!$A$2:$A$1057,$A214,'Product Order Book'!$E$2:$E$1057,E$3)/INDEX('Clean Package Product Lists'!$C:$C,MATCH(E$3,'Clean Package Product Lists'!$A:$A,0))),"")</f>
        <v>0</v>
      </c>
      <c r="F214" s="155">
        <f>IFERROR(MIN(1,COUNTIFS('Product Order Book'!$A$2:$A$1057,$A214,'Product Order Book'!$E$2:$E$1057,F$3)/INDEX('Clean Package Product Lists'!$C:$C,MATCH(F$3,'Clean Package Product Lists'!$A:$A,0))),"")</f>
        <v>0</v>
      </c>
      <c r="G214" s="155">
        <f>IFERROR(MIN(1,COUNTIFS('Product Order Book'!$A$2:$A$1057,$A214,'Product Order Book'!$E$2:$E$1057,G$3)/INDEX('Clean Package Product Lists'!$C:$C,MATCH(G$3,'Clean Package Product Lists'!$A:$A,0))),"")</f>
        <v>0</v>
      </c>
      <c r="H214" s="155">
        <f>IFERROR(MIN(1,COUNTIFS('Product Order Book'!$A$2:$A$1057,$A214,'Product Order Book'!$E$2:$E$1057,H$3)/INDEX('Clean Package Product Lists'!$C:$C,MATCH(H$3,'Clean Package Product Lists'!$A:$A,0))),"")</f>
        <v>0.25</v>
      </c>
      <c r="I214" s="155">
        <f>IFERROR(MIN(1,COUNTIFS('Product Order Book'!$A$2:$A$1057,$A214,'Product Order Book'!$E$2:$E$1057,I$3)/INDEX('Clean Package Product Lists'!$C:$C,MATCH(I$3,'Clean Package Product Lists'!$A:$A,0))),"")</f>
        <v>0</v>
      </c>
      <c r="J214" s="155">
        <f>IFERROR(MIN(1,COUNTIFS('Product Order Book'!$A$2:$A$1057,$A214,'Product Order Book'!$E$2:$E$1057,J$3)/INDEX('Clean Package Product Lists'!$C:$C,MATCH(J$3,'Clean Package Product Lists'!$A:$A,0))),"")</f>
        <v>0</v>
      </c>
      <c r="K214" s="155">
        <f>IFERROR(MIN(1,COUNTIFS('Product Order Book'!$A$2:$A$1057,$A214,'Product Order Book'!$E$2:$E$1057,K$3)/INDEX('Clean Package Product Lists'!$C:$C,MATCH(K$3,'Clean Package Product Lists'!$A:$A,0))),"")</f>
        <v>0</v>
      </c>
      <c r="L214" s="154"/>
      <c r="M214" s="156" t="str">
        <f>IF(COUNTIFS('Product Order Book'!$A:$A,$A214,'Product Order Book'!$E:$E,M$3)&gt;0,"✓ Takes",IF(IFERROR(VLOOKUP($A214,'Whitespace Analysis'!$A:$AH,12,0),0)=1,"◎ Should","– N/A"))</f>
        <v>◎ Should</v>
      </c>
      <c r="N214" s="156" t="str">
        <f>IF(COUNTIFS('Product Order Book'!$A:$A,$A214,'Product Order Book'!$E:$E,N$3)&gt;0,"✓ Takes",IF(IFERROR(VLOOKUP($A214,'Whitespace Analysis'!$A:$AH,20,0),0)=1,"◎ Should","– N/A"))</f>
        <v>– N/A</v>
      </c>
      <c r="O214" s="156" t="str">
        <f>IF(COUNTIFS('Product Order Book'!$A:$A,$A214,'Product Order Book'!$E:$E,O$3)&gt;0,"✓ Takes",IF(IFERROR(VLOOKUP($A214,'Whitespace Analysis'!$A:$AH,22,0),0)=1,"◎ Should","– N/A"))</f>
        <v>– N/A</v>
      </c>
      <c r="P214" s="156" t="str">
        <f>IF(COUNTIFS('Product Order Book'!$A:$A,$A214,'Product Order Book'!$E:$E,P$3)&gt;0,"✓ Takes",IF(IFERROR(VLOOKUP($A214,'Whitespace Analysis'!$A:$AH,24,0),0)=1,"◎ Should","– N/A"))</f>
        <v>– N/A</v>
      </c>
      <c r="Q214" s="156" t="str">
        <f>IF(COUNTIFS('Product Order Book'!$A:$A,$A214,'Product Order Book'!$E:$E,Q$3)&gt;0,"✓ Takes",IF(IFERROR(VLOOKUP($A214,'Whitespace Analysis'!$A:$AH,26,0),0)=1,"◎ Should","– N/A"))</f>
        <v>– N/A</v>
      </c>
      <c r="R214" s="156" t="str">
        <f>IF(COUNTIFS('Product Order Book'!$A:$A,$A214,'Product Order Book'!$E:$E,R$3)&gt;0,"✓ Takes",IF(IFERROR(VLOOKUP($A214,'Whitespace Analysis'!$A:$AH,16,0),0)=1,"◎ Should","– N/A"))</f>
        <v>◎ Should</v>
      </c>
      <c r="S214" s="156" t="str">
        <f>IF(COUNTIFS('Product Order Book'!$A:$A,$A214,'Product Order Book'!$E:$E,S$3)&gt;0,"✓ Takes",IF(IFERROR(VLOOKUP($A214,'Whitespace Analysis'!$A:$AH,18,0),0)=1,"◎ Should","– N/A"))</f>
        <v>✓ Takes</v>
      </c>
      <c r="T214" s="156" t="str">
        <f>IF(COUNTIFS('Product Order Book'!$A:$A,$A214,'Product Order Book'!$E:$E,T$3)&gt;0,"✓ Takes",IF(IFERROR(VLOOKUP($A214,'Whitespace Analysis'!$A:$AH,28,0),0)=1,"◎ Should","– N/A"))</f>
        <v>◎ Should</v>
      </c>
      <c r="U214" s="156" t="str">
        <f>IF(COUNTIFS('Product Order Book'!$A:$A,$A214,'Product Order Book'!$E:$E,U$3)&gt;0,"✓ Takes",IF(IFERROR(VLOOKUP($A214,'Whitespace Analysis'!$A:$AH,30,0),0)=1,"◎ Should","– N/A"))</f>
        <v>– N/A</v>
      </c>
      <c r="V214" s="156" t="str">
        <f>IF(COUNTIFS('Product Order Book'!$A:$A,$A214,'Product Order Book'!$E:$E,V$3)&gt;0,"✓ Takes",IF(IFERROR(VLOOKUP($A214,'Whitespace Analysis'!$A:$AH,14,0),0)=1,"◎ Should","– N/A"))</f>
        <v>– N/A</v>
      </c>
    </row>
    <row r="215" spans="1:22" ht="15" customHeight="1">
      <c r="A215" s="154" t="str">
        <v>West of England Combined Authority</v>
      </c>
      <c r="B215" s="155">
        <f>IFERROR(MIN(1,COUNTIFS('Product Order Book'!$A$2:$A$1057,$A215,'Product Order Book'!$E$2:$E$1057,B$3)/INDEX('Clean Package Product Lists'!$C:$C,MATCH(B$3,'Clean Package Product Lists'!$A:$A,0))),"")</f>
        <v>0</v>
      </c>
      <c r="C215" s="155">
        <f>IFERROR(MIN(1,COUNTIFS('Product Order Book'!$A$2:$A$1057,$A215,'Product Order Book'!$E$2:$E$1057,C$3)/INDEX('Clean Package Product Lists'!$C:$C,MATCH(C$3,'Clean Package Product Lists'!$A:$A,0))),"")</f>
        <v>0.14285714285714285</v>
      </c>
      <c r="D215" s="155">
        <f>IFERROR(MIN(1,COUNTIFS('Product Order Book'!$A$2:$A$1057,$A215,'Product Order Book'!$E$2:$E$1057,D$3)/INDEX('Clean Package Product Lists'!$C:$C,MATCH(D$3,'Clean Package Product Lists'!$A:$A,0))),"")</f>
        <v>0.33333333333333331</v>
      </c>
      <c r="E215" s="155">
        <f>IFERROR(MIN(1,COUNTIFS('Product Order Book'!$A$2:$A$1057,$A215,'Product Order Book'!$E$2:$E$1057,E$3)/INDEX('Clean Package Product Lists'!$C:$C,MATCH(E$3,'Clean Package Product Lists'!$A:$A,0))),"")</f>
        <v>0</v>
      </c>
      <c r="F215" s="155">
        <f>IFERROR(MIN(1,COUNTIFS('Product Order Book'!$A$2:$A$1057,$A215,'Product Order Book'!$E$2:$E$1057,F$3)/INDEX('Clean Package Product Lists'!$C:$C,MATCH(F$3,'Clean Package Product Lists'!$A:$A,0))),"")</f>
        <v>0</v>
      </c>
      <c r="G215" s="155">
        <f>IFERROR(MIN(1,COUNTIFS('Product Order Book'!$A$2:$A$1057,$A215,'Product Order Book'!$E$2:$E$1057,G$3)/INDEX('Clean Package Product Lists'!$C:$C,MATCH(G$3,'Clean Package Product Lists'!$A:$A,0))),"")</f>
        <v>0</v>
      </c>
      <c r="H215" s="155">
        <f>IFERROR(MIN(1,COUNTIFS('Product Order Book'!$A$2:$A$1057,$A215,'Product Order Book'!$E$2:$E$1057,H$3)/INDEX('Clean Package Product Lists'!$C:$C,MATCH(H$3,'Clean Package Product Lists'!$A:$A,0))),"")</f>
        <v>0</v>
      </c>
      <c r="I215" s="155">
        <f>IFERROR(MIN(1,COUNTIFS('Product Order Book'!$A$2:$A$1057,$A215,'Product Order Book'!$E$2:$E$1057,I$3)/INDEX('Clean Package Product Lists'!$C:$C,MATCH(I$3,'Clean Package Product Lists'!$A:$A,0))),"")</f>
        <v>0</v>
      </c>
      <c r="J215" s="155">
        <f>IFERROR(MIN(1,COUNTIFS('Product Order Book'!$A$2:$A$1057,$A215,'Product Order Book'!$E$2:$E$1057,J$3)/INDEX('Clean Package Product Lists'!$C:$C,MATCH(J$3,'Clean Package Product Lists'!$A:$A,0))),"")</f>
        <v>0</v>
      </c>
      <c r="K215" s="155">
        <f>IFERROR(MIN(1,COUNTIFS('Product Order Book'!$A$2:$A$1057,$A215,'Product Order Book'!$E$2:$E$1057,K$3)/INDEX('Clean Package Product Lists'!$C:$C,MATCH(K$3,'Clean Package Product Lists'!$A:$A,0))),"")</f>
        <v>0</v>
      </c>
      <c r="L215" s="154"/>
      <c r="M215" s="156" t="str">
        <f>IF(COUNTIFS('Product Order Book'!$A:$A,$A215,'Product Order Book'!$E:$E,M$3)&gt;0,"✓ Takes",IF(IFERROR(VLOOKUP($A215,'Whitespace Analysis'!$A:$AH,12,0),0)=1,"◎ Should","– N/A"))</f>
        <v>◎ Should</v>
      </c>
      <c r="N215" s="156" t="str">
        <f>IF(COUNTIFS('Product Order Book'!$A:$A,$A215,'Product Order Book'!$E:$E,N$3)&gt;0,"✓ Takes",IF(IFERROR(VLOOKUP($A215,'Whitespace Analysis'!$A:$AH,20,0),0)=1,"◎ Should","– N/A"))</f>
        <v>✓ Takes</v>
      </c>
      <c r="O215" s="156" t="str">
        <f>IF(COUNTIFS('Product Order Book'!$A:$A,$A215,'Product Order Book'!$E:$E,O$3)&gt;0,"✓ Takes",IF(IFERROR(VLOOKUP($A215,'Whitespace Analysis'!$A:$AH,22,0),0)=1,"◎ Should","– N/A"))</f>
        <v>✓ Takes</v>
      </c>
      <c r="P215" s="156" t="str">
        <f>IF(COUNTIFS('Product Order Book'!$A:$A,$A215,'Product Order Book'!$E:$E,P$3)&gt;0,"✓ Takes",IF(IFERROR(VLOOKUP($A215,'Whitespace Analysis'!$A:$AH,24,0),0)=1,"◎ Should","– N/A"))</f>
        <v>– N/A</v>
      </c>
      <c r="Q215" s="156" t="str">
        <f>IF(COUNTIFS('Product Order Book'!$A:$A,$A215,'Product Order Book'!$E:$E,Q$3)&gt;0,"✓ Takes",IF(IFERROR(VLOOKUP($A215,'Whitespace Analysis'!$A:$AH,26,0),0)=1,"◎ Should","– N/A"))</f>
        <v>– N/A</v>
      </c>
      <c r="R215" s="156" t="str">
        <f>IF(COUNTIFS('Product Order Book'!$A:$A,$A215,'Product Order Book'!$E:$E,R$3)&gt;0,"✓ Takes",IF(IFERROR(VLOOKUP($A215,'Whitespace Analysis'!$A:$AH,16,0),0)=1,"◎ Should","– N/A"))</f>
        <v>– N/A</v>
      </c>
      <c r="S215" s="156" t="str">
        <f>IF(COUNTIFS('Product Order Book'!$A:$A,$A215,'Product Order Book'!$E:$E,S$3)&gt;0,"✓ Takes",IF(IFERROR(VLOOKUP($A215,'Whitespace Analysis'!$A:$AH,18,0),0)=1,"◎ Should","– N/A"))</f>
        <v>– N/A</v>
      </c>
      <c r="T215" s="156" t="str">
        <f>IF(COUNTIFS('Product Order Book'!$A:$A,$A215,'Product Order Book'!$E:$E,T$3)&gt;0,"✓ Takes",IF(IFERROR(VLOOKUP($A215,'Whitespace Analysis'!$A:$AH,28,0),0)=1,"◎ Should","– N/A"))</f>
        <v>◎ Should</v>
      </c>
      <c r="U215" s="156" t="str">
        <f>IF(COUNTIFS('Product Order Book'!$A:$A,$A215,'Product Order Book'!$E:$E,U$3)&gt;0,"✓ Takes",IF(IFERROR(VLOOKUP($A215,'Whitespace Analysis'!$A:$AH,30,0),0)=1,"◎ Should","– N/A"))</f>
        <v>◎ Should</v>
      </c>
      <c r="V215" s="156" t="str">
        <f>IF(COUNTIFS('Product Order Book'!$A:$A,$A215,'Product Order Book'!$E:$E,V$3)&gt;0,"✓ Takes",IF(IFERROR(VLOOKUP($A215,'Whitespace Analysis'!$A:$AH,14,0),0)=1,"◎ Should","– N/A"))</f>
        <v>◎ Should</v>
      </c>
    </row>
    <row r="216" spans="1:22" ht="15" customHeight="1">
      <c r="A216" s="154" t="str">
        <v>White &amp; Case LLP</v>
      </c>
      <c r="B216" s="155">
        <f>IFERROR(MIN(1,COUNTIFS('Product Order Book'!$A$2:$A$1057,$A216,'Product Order Book'!$E$2:$E$1057,B$3)/INDEX('Clean Package Product Lists'!$C:$C,MATCH(B$3,'Clean Package Product Lists'!$A:$A,0))),"")</f>
        <v>1</v>
      </c>
      <c r="C216" s="155">
        <f>IFERROR(MIN(1,COUNTIFS('Product Order Book'!$A$2:$A$1057,$A216,'Product Order Book'!$E$2:$E$1057,C$3)/INDEX('Clean Package Product Lists'!$C:$C,MATCH(C$3,'Clean Package Product Lists'!$A:$A,0))),"")</f>
        <v>0</v>
      </c>
      <c r="D216" s="155">
        <f>IFERROR(MIN(1,COUNTIFS('Product Order Book'!$A$2:$A$1057,$A216,'Product Order Book'!$E$2:$E$1057,D$3)/INDEX('Clean Package Product Lists'!$C:$C,MATCH(D$3,'Clean Package Product Lists'!$A:$A,0))),"")</f>
        <v>0</v>
      </c>
      <c r="E216" s="155">
        <f>IFERROR(MIN(1,COUNTIFS('Product Order Book'!$A$2:$A$1057,$A216,'Product Order Book'!$E$2:$E$1057,E$3)/INDEX('Clean Package Product Lists'!$C:$C,MATCH(E$3,'Clean Package Product Lists'!$A:$A,0))),"")</f>
        <v>0</v>
      </c>
      <c r="F216" s="155">
        <f>IFERROR(MIN(1,COUNTIFS('Product Order Book'!$A$2:$A$1057,$A216,'Product Order Book'!$E$2:$E$1057,F$3)/INDEX('Clean Package Product Lists'!$C:$C,MATCH(F$3,'Clean Package Product Lists'!$A:$A,0))),"")</f>
        <v>0</v>
      </c>
      <c r="G216" s="155">
        <f>IFERROR(MIN(1,COUNTIFS('Product Order Book'!$A$2:$A$1057,$A216,'Product Order Book'!$E$2:$E$1057,G$3)/INDEX('Clean Package Product Lists'!$C:$C,MATCH(G$3,'Clean Package Product Lists'!$A:$A,0))),"")</f>
        <v>0</v>
      </c>
      <c r="H216" s="155">
        <f>IFERROR(MIN(1,COUNTIFS('Product Order Book'!$A$2:$A$1057,$A216,'Product Order Book'!$E$2:$E$1057,H$3)/INDEX('Clean Package Product Lists'!$C:$C,MATCH(H$3,'Clean Package Product Lists'!$A:$A,0))),"")</f>
        <v>0</v>
      </c>
      <c r="I216" s="155">
        <f>IFERROR(MIN(1,COUNTIFS('Product Order Book'!$A$2:$A$1057,$A216,'Product Order Book'!$E$2:$E$1057,I$3)/INDEX('Clean Package Product Lists'!$C:$C,MATCH(I$3,'Clean Package Product Lists'!$A:$A,0))),"")</f>
        <v>0</v>
      </c>
      <c r="J216" s="155">
        <f>IFERROR(MIN(1,COUNTIFS('Product Order Book'!$A$2:$A$1057,$A216,'Product Order Book'!$E$2:$E$1057,J$3)/INDEX('Clean Package Product Lists'!$C:$C,MATCH(J$3,'Clean Package Product Lists'!$A:$A,0))),"")</f>
        <v>0</v>
      </c>
      <c r="K216" s="155">
        <f>IFERROR(MIN(1,COUNTIFS('Product Order Book'!$A$2:$A$1057,$A216,'Product Order Book'!$E$2:$E$1057,K$3)/INDEX('Clean Package Product Lists'!$C:$C,MATCH(K$3,'Clean Package Product Lists'!$A:$A,0))),"")</f>
        <v>0</v>
      </c>
      <c r="L216" s="154"/>
      <c r="M216" s="156" t="str">
        <f>IF(COUNTIFS('Product Order Book'!$A:$A,$A216,'Product Order Book'!$E:$E,M$3)&gt;0,"✓ Takes",IF(IFERROR(VLOOKUP($A216,'Whitespace Analysis'!$A:$AH,12,0),0)=1,"◎ Should","– N/A"))</f>
        <v>✓ Takes</v>
      </c>
      <c r="N216" s="156" t="str">
        <f>IF(COUNTIFS('Product Order Book'!$A:$A,$A216,'Product Order Book'!$E:$E,N$3)&gt;0,"✓ Takes",IF(IFERROR(VLOOKUP($A216,'Whitespace Analysis'!$A:$AH,20,0),0)=1,"◎ Should","– N/A"))</f>
        <v>– N/A</v>
      </c>
      <c r="O216" s="156" t="str">
        <f>IF(COUNTIFS('Product Order Book'!$A:$A,$A216,'Product Order Book'!$E:$E,O$3)&gt;0,"✓ Takes",IF(IFERROR(VLOOKUP($A216,'Whitespace Analysis'!$A:$AH,22,0),0)=1,"◎ Should","– N/A"))</f>
        <v>– N/A</v>
      </c>
      <c r="P216" s="156" t="str">
        <f>IF(COUNTIFS('Product Order Book'!$A:$A,$A216,'Product Order Book'!$E:$E,P$3)&gt;0,"✓ Takes",IF(IFERROR(VLOOKUP($A216,'Whitespace Analysis'!$A:$AH,24,0),0)=1,"◎ Should","– N/A"))</f>
        <v>– N/A</v>
      </c>
      <c r="Q216" s="156" t="str">
        <f>IF(COUNTIFS('Product Order Book'!$A:$A,$A216,'Product Order Book'!$E:$E,Q$3)&gt;0,"✓ Takes",IF(IFERROR(VLOOKUP($A216,'Whitespace Analysis'!$A:$AH,26,0),0)=1,"◎ Should","– N/A"))</f>
        <v>– N/A</v>
      </c>
      <c r="R216" s="156" t="str">
        <f>IF(COUNTIFS('Product Order Book'!$A:$A,$A216,'Product Order Book'!$E:$E,R$3)&gt;0,"✓ Takes",IF(IFERROR(VLOOKUP($A216,'Whitespace Analysis'!$A:$AH,16,0),0)=1,"◎ Should","– N/A"))</f>
        <v>– N/A</v>
      </c>
      <c r="S216" s="156" t="str">
        <f>IF(COUNTIFS('Product Order Book'!$A:$A,$A216,'Product Order Book'!$E:$E,S$3)&gt;0,"✓ Takes",IF(IFERROR(VLOOKUP($A216,'Whitespace Analysis'!$A:$AH,18,0),0)=1,"◎ Should","– N/A"))</f>
        <v>– N/A</v>
      </c>
      <c r="T216" s="156" t="str">
        <f>IF(COUNTIFS('Product Order Book'!$A:$A,$A216,'Product Order Book'!$E:$E,T$3)&gt;0,"✓ Takes",IF(IFERROR(VLOOKUP($A216,'Whitespace Analysis'!$A:$AH,28,0),0)=1,"◎ Should","– N/A"))</f>
        <v>– N/A</v>
      </c>
      <c r="U216" s="156" t="str">
        <f>IF(COUNTIFS('Product Order Book'!$A:$A,$A216,'Product Order Book'!$E:$E,U$3)&gt;0,"✓ Takes",IF(IFERROR(VLOOKUP($A216,'Whitespace Analysis'!$A:$AH,30,0),0)=1,"◎ Should","– N/A"))</f>
        <v>– N/A</v>
      </c>
      <c r="V216" s="156" t="str">
        <f>IF(COUNTIFS('Product Order Book'!$A:$A,$A216,'Product Order Book'!$E:$E,V$3)&gt;0,"✓ Takes",IF(IFERROR(VLOOKUP($A216,'Whitespace Analysis'!$A:$AH,14,0),0)=1,"◎ Should","– N/A"))</f>
        <v>– N/A</v>
      </c>
    </row>
    <row r="217" spans="1:22" ht="15" customHeight="1">
      <c r="A217" s="154" t="str">
        <v>Windcluster 2000 Ltd</v>
      </c>
      <c r="B217" s="155">
        <f>IFERROR(MIN(1,COUNTIFS('Product Order Book'!$A$2:$A$1057,$A217,'Product Order Book'!$E$2:$E$1057,B$3)/INDEX('Clean Package Product Lists'!$C:$C,MATCH(B$3,'Clean Package Product Lists'!$A:$A,0))),"")</f>
        <v>0</v>
      </c>
      <c r="C217" s="155">
        <f>IFERROR(MIN(1,COUNTIFS('Product Order Book'!$A$2:$A$1057,$A217,'Product Order Book'!$E$2:$E$1057,C$3)/INDEX('Clean Package Product Lists'!$C:$C,MATCH(C$3,'Clean Package Product Lists'!$A:$A,0))),"")</f>
        <v>0.14285714285714285</v>
      </c>
      <c r="D217" s="155">
        <f>IFERROR(MIN(1,COUNTIFS('Product Order Book'!$A$2:$A$1057,$A217,'Product Order Book'!$E$2:$E$1057,D$3)/INDEX('Clean Package Product Lists'!$C:$C,MATCH(D$3,'Clean Package Product Lists'!$A:$A,0))),"")</f>
        <v>0</v>
      </c>
      <c r="E217" s="155">
        <f>IFERROR(MIN(1,COUNTIFS('Product Order Book'!$A$2:$A$1057,$A217,'Product Order Book'!$E$2:$E$1057,E$3)/INDEX('Clean Package Product Lists'!$C:$C,MATCH(E$3,'Clean Package Product Lists'!$A:$A,0))),"")</f>
        <v>0</v>
      </c>
      <c r="F217" s="155">
        <f>IFERROR(MIN(1,COUNTIFS('Product Order Book'!$A$2:$A$1057,$A217,'Product Order Book'!$E$2:$E$1057,F$3)/INDEX('Clean Package Product Lists'!$C:$C,MATCH(F$3,'Clean Package Product Lists'!$A:$A,0))),"")</f>
        <v>0</v>
      </c>
      <c r="G217" s="155">
        <f>IFERROR(MIN(1,COUNTIFS('Product Order Book'!$A$2:$A$1057,$A217,'Product Order Book'!$E$2:$E$1057,G$3)/INDEX('Clean Package Product Lists'!$C:$C,MATCH(G$3,'Clean Package Product Lists'!$A:$A,0))),"")</f>
        <v>0</v>
      </c>
      <c r="H217" s="155">
        <f>IFERROR(MIN(1,COUNTIFS('Product Order Book'!$A$2:$A$1057,$A217,'Product Order Book'!$E$2:$E$1057,H$3)/INDEX('Clean Package Product Lists'!$C:$C,MATCH(H$3,'Clean Package Product Lists'!$A:$A,0))),"")</f>
        <v>0</v>
      </c>
      <c r="I217" s="155">
        <f>IFERROR(MIN(1,COUNTIFS('Product Order Book'!$A$2:$A$1057,$A217,'Product Order Book'!$E$2:$E$1057,I$3)/INDEX('Clean Package Product Lists'!$C:$C,MATCH(I$3,'Clean Package Product Lists'!$A:$A,0))),"")</f>
        <v>0</v>
      </c>
      <c r="J217" s="155">
        <f>IFERROR(MIN(1,COUNTIFS('Product Order Book'!$A$2:$A$1057,$A217,'Product Order Book'!$E$2:$E$1057,J$3)/INDEX('Clean Package Product Lists'!$C:$C,MATCH(J$3,'Clean Package Product Lists'!$A:$A,0))),"")</f>
        <v>0</v>
      </c>
      <c r="K217" s="155">
        <f>IFERROR(MIN(1,COUNTIFS('Product Order Book'!$A$2:$A$1057,$A217,'Product Order Book'!$E$2:$E$1057,K$3)/INDEX('Clean Package Product Lists'!$C:$C,MATCH(K$3,'Clean Package Product Lists'!$A:$A,0))),"")</f>
        <v>0</v>
      </c>
      <c r="L217" s="154"/>
      <c r="M217" s="156" t="str">
        <f>IF(COUNTIFS('Product Order Book'!$A:$A,$A217,'Product Order Book'!$E:$E,M$3)&gt;0,"✓ Takes",IF(IFERROR(VLOOKUP($A217,'Whitespace Analysis'!$A:$AH,12,0),0)=1,"◎ Should","– N/A"))</f>
        <v>◎ Should</v>
      </c>
      <c r="N217" s="156" t="str">
        <f>IF(COUNTIFS('Product Order Book'!$A:$A,$A217,'Product Order Book'!$E:$E,N$3)&gt;0,"✓ Takes",IF(IFERROR(VLOOKUP($A217,'Whitespace Analysis'!$A:$AH,20,0),0)=1,"◎ Should","– N/A"))</f>
        <v>✓ Takes</v>
      </c>
      <c r="O217" s="156" t="str">
        <f>IF(COUNTIFS('Product Order Book'!$A:$A,$A217,'Product Order Book'!$E:$E,O$3)&gt;0,"✓ Takes",IF(IFERROR(VLOOKUP($A217,'Whitespace Analysis'!$A:$AH,22,0),0)=1,"◎ Should","– N/A"))</f>
        <v>◎ Should</v>
      </c>
      <c r="P217" s="156" t="str">
        <f>IF(COUNTIFS('Product Order Book'!$A:$A,$A217,'Product Order Book'!$E:$E,P$3)&gt;0,"✓ Takes",IF(IFERROR(VLOOKUP($A217,'Whitespace Analysis'!$A:$AH,24,0),0)=1,"◎ Should","– N/A"))</f>
        <v>– N/A</v>
      </c>
      <c r="Q217" s="156" t="str">
        <f>IF(COUNTIFS('Product Order Book'!$A:$A,$A217,'Product Order Book'!$E:$E,Q$3)&gt;0,"✓ Takes",IF(IFERROR(VLOOKUP($A217,'Whitespace Analysis'!$A:$AH,26,0),0)=1,"◎ Should","– N/A"))</f>
        <v>– N/A</v>
      </c>
      <c r="R217" s="156" t="str">
        <f>IF(COUNTIFS('Product Order Book'!$A:$A,$A217,'Product Order Book'!$E:$E,R$3)&gt;0,"✓ Takes",IF(IFERROR(VLOOKUP($A217,'Whitespace Analysis'!$A:$AH,16,0),0)=1,"◎ Should","– N/A"))</f>
        <v>– N/A</v>
      </c>
      <c r="S217" s="156" t="str">
        <f>IF(COUNTIFS('Product Order Book'!$A:$A,$A217,'Product Order Book'!$E:$E,S$3)&gt;0,"✓ Takes",IF(IFERROR(VLOOKUP($A217,'Whitespace Analysis'!$A:$AH,18,0),0)=1,"◎ Should","– N/A"))</f>
        <v>– N/A</v>
      </c>
      <c r="T217" s="156" t="str">
        <f>IF(COUNTIFS('Product Order Book'!$A:$A,$A217,'Product Order Book'!$E:$E,T$3)&gt;0,"✓ Takes",IF(IFERROR(VLOOKUP($A217,'Whitespace Analysis'!$A:$AH,28,0),0)=1,"◎ Should","– N/A"))</f>
        <v>– N/A</v>
      </c>
      <c r="U217" s="156" t="str">
        <f>IF(COUNTIFS('Product Order Book'!$A:$A,$A217,'Product Order Book'!$E:$E,U$3)&gt;0,"✓ Takes",IF(IFERROR(VLOOKUP($A217,'Whitespace Analysis'!$A:$AH,30,0),0)=1,"◎ Should","– N/A"))</f>
        <v>– N/A</v>
      </c>
      <c r="V217" s="156" t="str">
        <f>IF(COUNTIFS('Product Order Book'!$A:$A,$A217,'Product Order Book'!$E:$E,V$3)&gt;0,"✓ Takes",IF(IFERROR(VLOOKUP($A217,'Whitespace Analysis'!$A:$AH,14,0),0)=1,"◎ Should","– N/A"))</f>
        <v>◎ Should</v>
      </c>
    </row>
    <row r="218" spans="1:22" ht="15" customHeight="1">
      <c r="A218" s="154" t="str">
        <v>Xela Energy Ltd</v>
      </c>
      <c r="B218" s="155">
        <f>IFERROR(MIN(1,COUNTIFS('Product Order Book'!$A$2:$A$1057,$A218,'Product Order Book'!$E$2:$E$1057,B$3)/INDEX('Clean Package Product Lists'!$C:$C,MATCH(B$3,'Clean Package Product Lists'!$A:$A,0))),"")</f>
        <v>0</v>
      </c>
      <c r="C218" s="155">
        <f>IFERROR(MIN(1,COUNTIFS('Product Order Book'!$A$2:$A$1057,$A218,'Product Order Book'!$E$2:$E$1057,C$3)/INDEX('Clean Package Product Lists'!$C:$C,MATCH(C$3,'Clean Package Product Lists'!$A:$A,0))),"")</f>
        <v>0</v>
      </c>
      <c r="D218" s="155">
        <f>IFERROR(MIN(1,COUNTIFS('Product Order Book'!$A$2:$A$1057,$A218,'Product Order Book'!$E$2:$E$1057,D$3)/INDEX('Clean Package Product Lists'!$C:$C,MATCH(D$3,'Clean Package Product Lists'!$A:$A,0))),"")</f>
        <v>0.33333333333333331</v>
      </c>
      <c r="E218" s="155">
        <f>IFERROR(MIN(1,COUNTIFS('Product Order Book'!$A$2:$A$1057,$A218,'Product Order Book'!$E$2:$E$1057,E$3)/INDEX('Clean Package Product Lists'!$C:$C,MATCH(E$3,'Clean Package Product Lists'!$A:$A,0))),"")</f>
        <v>0</v>
      </c>
      <c r="F218" s="155">
        <f>IFERROR(MIN(1,COUNTIFS('Product Order Book'!$A$2:$A$1057,$A218,'Product Order Book'!$E$2:$E$1057,F$3)/INDEX('Clean Package Product Lists'!$C:$C,MATCH(F$3,'Clean Package Product Lists'!$A:$A,0))),"")</f>
        <v>0</v>
      </c>
      <c r="G218" s="155">
        <f>IFERROR(MIN(1,COUNTIFS('Product Order Book'!$A$2:$A$1057,$A218,'Product Order Book'!$E$2:$E$1057,G$3)/INDEX('Clean Package Product Lists'!$C:$C,MATCH(G$3,'Clean Package Product Lists'!$A:$A,0))),"")</f>
        <v>0</v>
      </c>
      <c r="H218" s="155">
        <f>IFERROR(MIN(1,COUNTIFS('Product Order Book'!$A$2:$A$1057,$A218,'Product Order Book'!$E$2:$E$1057,H$3)/INDEX('Clean Package Product Lists'!$C:$C,MATCH(H$3,'Clean Package Product Lists'!$A:$A,0))),"")</f>
        <v>0</v>
      </c>
      <c r="I218" s="155">
        <f>IFERROR(MIN(1,COUNTIFS('Product Order Book'!$A$2:$A$1057,$A218,'Product Order Book'!$E$2:$E$1057,I$3)/INDEX('Clean Package Product Lists'!$C:$C,MATCH(I$3,'Clean Package Product Lists'!$A:$A,0))),"")</f>
        <v>0</v>
      </c>
      <c r="J218" s="155">
        <f>IFERROR(MIN(1,COUNTIFS('Product Order Book'!$A$2:$A$1057,$A218,'Product Order Book'!$E$2:$E$1057,J$3)/INDEX('Clean Package Product Lists'!$C:$C,MATCH(J$3,'Clean Package Product Lists'!$A:$A,0))),"")</f>
        <v>0</v>
      </c>
      <c r="K218" s="155">
        <f>IFERROR(MIN(1,COUNTIFS('Product Order Book'!$A$2:$A$1057,$A218,'Product Order Book'!$E$2:$E$1057,K$3)/INDEX('Clean Package Product Lists'!$C:$C,MATCH(K$3,'Clean Package Product Lists'!$A:$A,0))),"")</f>
        <v>0</v>
      </c>
      <c r="L218" s="154"/>
      <c r="M218" s="156" t="str">
        <f>IF(COUNTIFS('Product Order Book'!$A:$A,$A218,'Product Order Book'!$E:$E,M$3)&gt;0,"✓ Takes",IF(IFERROR(VLOOKUP($A218,'Whitespace Analysis'!$A:$AH,12,0),0)=1,"◎ Should","– N/A"))</f>
        <v>– N/A</v>
      </c>
      <c r="N218" s="156" t="str">
        <f>IF(COUNTIFS('Product Order Book'!$A:$A,$A218,'Product Order Book'!$E:$E,N$3)&gt;0,"✓ Takes",IF(IFERROR(VLOOKUP($A218,'Whitespace Analysis'!$A:$AH,20,0),0)=1,"◎ Should","– N/A"))</f>
        <v>– N/A</v>
      </c>
      <c r="O218" s="156" t="str">
        <f>IF(COUNTIFS('Product Order Book'!$A:$A,$A218,'Product Order Book'!$E:$E,O$3)&gt;0,"✓ Takes",IF(IFERROR(VLOOKUP($A218,'Whitespace Analysis'!$A:$AH,22,0),0)=1,"◎ Should","– N/A"))</f>
        <v>✓ Takes</v>
      </c>
      <c r="P218" s="156" t="str">
        <f>IF(COUNTIFS('Product Order Book'!$A:$A,$A218,'Product Order Book'!$E:$E,P$3)&gt;0,"✓ Takes",IF(IFERROR(VLOOKUP($A218,'Whitespace Analysis'!$A:$AH,24,0),0)=1,"◎ Should","– N/A"))</f>
        <v>– N/A</v>
      </c>
      <c r="Q218" s="156" t="str">
        <f>IF(COUNTIFS('Product Order Book'!$A:$A,$A218,'Product Order Book'!$E:$E,Q$3)&gt;0,"✓ Takes",IF(IFERROR(VLOOKUP($A218,'Whitespace Analysis'!$A:$AH,26,0),0)=1,"◎ Should","– N/A"))</f>
        <v>– N/A</v>
      </c>
      <c r="R218" s="156" t="str">
        <f>IF(COUNTIFS('Product Order Book'!$A:$A,$A218,'Product Order Book'!$E:$E,R$3)&gt;0,"✓ Takes",IF(IFERROR(VLOOKUP($A218,'Whitespace Analysis'!$A:$AH,16,0),0)=1,"◎ Should","– N/A"))</f>
        <v>– N/A</v>
      </c>
      <c r="S218" s="156" t="str">
        <f>IF(COUNTIFS('Product Order Book'!$A:$A,$A218,'Product Order Book'!$E:$E,S$3)&gt;0,"✓ Takes",IF(IFERROR(VLOOKUP($A218,'Whitespace Analysis'!$A:$AH,18,0),0)=1,"◎ Should","– N/A"))</f>
        <v>– N/A</v>
      </c>
      <c r="T218" s="156" t="str">
        <f>IF(COUNTIFS('Product Order Book'!$A:$A,$A218,'Product Order Book'!$E:$E,T$3)&gt;0,"✓ Takes",IF(IFERROR(VLOOKUP($A218,'Whitespace Analysis'!$A:$AH,28,0),0)=1,"◎ Should","– N/A"))</f>
        <v>– N/A</v>
      </c>
      <c r="U218" s="156" t="str">
        <f>IF(COUNTIFS('Product Order Book'!$A:$A,$A218,'Product Order Book'!$E:$E,U$3)&gt;0,"✓ Takes",IF(IFERROR(VLOOKUP($A218,'Whitespace Analysis'!$A:$AH,30,0),0)=1,"◎ Should","– N/A"))</f>
        <v>– N/A</v>
      </c>
      <c r="V218" s="156" t="str">
        <f>IF(COUNTIFS('Product Order Book'!$A:$A,$A218,'Product Order Book'!$E:$E,V$3)&gt;0,"✓ Takes",IF(IFERROR(VLOOKUP($A218,'Whitespace Analysis'!$A:$AH,14,0),0)=1,"◎ Should","– N/A"))</f>
        <v>– N/A</v>
      </c>
    </row>
    <row r="219" spans="1:22" ht="15" customHeight="1">
      <c r="A219" s="154" t="str">
        <v>Xoserve Limited</v>
      </c>
      <c r="B219" s="155">
        <f>IFERROR(MIN(1,COUNTIFS('Product Order Book'!$A$2:$A$1057,$A219,'Product Order Book'!$E$2:$E$1057,B$3)/INDEX('Clean Package Product Lists'!$C:$C,MATCH(B$3,'Clean Package Product Lists'!$A:$A,0))),"")</f>
        <v>1</v>
      </c>
      <c r="C219" s="155">
        <f>IFERROR(MIN(1,COUNTIFS('Product Order Book'!$A$2:$A$1057,$A219,'Product Order Book'!$E$2:$E$1057,C$3)/INDEX('Clean Package Product Lists'!$C:$C,MATCH(C$3,'Clean Package Product Lists'!$A:$A,0))),"")</f>
        <v>0</v>
      </c>
      <c r="D219" s="155">
        <f>IFERROR(MIN(1,COUNTIFS('Product Order Book'!$A$2:$A$1057,$A219,'Product Order Book'!$E$2:$E$1057,D$3)/INDEX('Clean Package Product Lists'!$C:$C,MATCH(D$3,'Clean Package Product Lists'!$A:$A,0))),"")</f>
        <v>0</v>
      </c>
      <c r="E219" s="155">
        <f>IFERROR(MIN(1,COUNTIFS('Product Order Book'!$A$2:$A$1057,$A219,'Product Order Book'!$E$2:$E$1057,E$3)/INDEX('Clean Package Product Lists'!$C:$C,MATCH(E$3,'Clean Package Product Lists'!$A:$A,0))),"")</f>
        <v>0</v>
      </c>
      <c r="F219" s="155">
        <f>IFERROR(MIN(1,COUNTIFS('Product Order Book'!$A$2:$A$1057,$A219,'Product Order Book'!$E$2:$E$1057,F$3)/INDEX('Clean Package Product Lists'!$C:$C,MATCH(F$3,'Clean Package Product Lists'!$A:$A,0))),"")</f>
        <v>0</v>
      </c>
      <c r="G219" s="155">
        <f>IFERROR(MIN(1,COUNTIFS('Product Order Book'!$A$2:$A$1057,$A219,'Product Order Book'!$E$2:$E$1057,G$3)/INDEX('Clean Package Product Lists'!$C:$C,MATCH(G$3,'Clean Package Product Lists'!$A:$A,0))),"")</f>
        <v>0</v>
      </c>
      <c r="H219" s="155">
        <f>IFERROR(MIN(1,COUNTIFS('Product Order Book'!$A$2:$A$1057,$A219,'Product Order Book'!$E$2:$E$1057,H$3)/INDEX('Clean Package Product Lists'!$C:$C,MATCH(H$3,'Clean Package Product Lists'!$A:$A,0))),"")</f>
        <v>0</v>
      </c>
      <c r="I219" s="155">
        <f>IFERROR(MIN(1,COUNTIFS('Product Order Book'!$A$2:$A$1057,$A219,'Product Order Book'!$E$2:$E$1057,I$3)/INDEX('Clean Package Product Lists'!$C:$C,MATCH(I$3,'Clean Package Product Lists'!$A:$A,0))),"")</f>
        <v>0</v>
      </c>
      <c r="J219" s="155">
        <f>IFERROR(MIN(1,COUNTIFS('Product Order Book'!$A$2:$A$1057,$A219,'Product Order Book'!$E$2:$E$1057,J$3)/INDEX('Clean Package Product Lists'!$C:$C,MATCH(J$3,'Clean Package Product Lists'!$A:$A,0))),"")</f>
        <v>0</v>
      </c>
      <c r="K219" s="155">
        <f>IFERROR(MIN(1,COUNTIFS('Product Order Book'!$A$2:$A$1057,$A219,'Product Order Book'!$E$2:$E$1057,K$3)/INDEX('Clean Package Product Lists'!$C:$C,MATCH(K$3,'Clean Package Product Lists'!$A:$A,0))),"")</f>
        <v>0</v>
      </c>
      <c r="L219" s="154"/>
      <c r="M219" s="156" t="str">
        <f>IF(COUNTIFS('Product Order Book'!$A:$A,$A219,'Product Order Book'!$E:$E,M$3)&gt;0,"✓ Takes",IF(IFERROR(VLOOKUP($A219,'Whitespace Analysis'!$A:$AH,12,0),0)=1,"◎ Should","– N/A"))</f>
        <v>✓ Takes</v>
      </c>
      <c r="N219" s="156" t="str">
        <f>IF(COUNTIFS('Product Order Book'!$A:$A,$A219,'Product Order Book'!$E:$E,N$3)&gt;0,"✓ Takes",IF(IFERROR(VLOOKUP($A219,'Whitespace Analysis'!$A:$AH,20,0),0)=1,"◎ Should","– N/A"))</f>
        <v>– N/A</v>
      </c>
      <c r="O219" s="156" t="str">
        <f>IF(COUNTIFS('Product Order Book'!$A:$A,$A219,'Product Order Book'!$E:$E,O$3)&gt;0,"✓ Takes",IF(IFERROR(VLOOKUP($A219,'Whitespace Analysis'!$A:$AH,22,0),0)=1,"◎ Should","– N/A"))</f>
        <v>– N/A</v>
      </c>
      <c r="P219" s="156" t="str">
        <f>IF(COUNTIFS('Product Order Book'!$A:$A,$A219,'Product Order Book'!$E:$E,P$3)&gt;0,"✓ Takes",IF(IFERROR(VLOOKUP($A219,'Whitespace Analysis'!$A:$AH,24,0),0)=1,"◎ Should","– N/A"))</f>
        <v>– N/A</v>
      </c>
      <c r="Q219" s="156" t="str">
        <f>IF(COUNTIFS('Product Order Book'!$A:$A,$A219,'Product Order Book'!$E:$E,Q$3)&gt;0,"✓ Takes",IF(IFERROR(VLOOKUP($A219,'Whitespace Analysis'!$A:$AH,26,0),0)=1,"◎ Should","– N/A"))</f>
        <v>– N/A</v>
      </c>
      <c r="R219" s="156" t="str">
        <f>IF(COUNTIFS('Product Order Book'!$A:$A,$A219,'Product Order Book'!$E:$E,R$3)&gt;0,"✓ Takes",IF(IFERROR(VLOOKUP($A219,'Whitespace Analysis'!$A:$AH,16,0),0)=1,"◎ Should","– N/A"))</f>
        <v>– N/A</v>
      </c>
      <c r="S219" s="156" t="str">
        <f>IF(COUNTIFS('Product Order Book'!$A:$A,$A219,'Product Order Book'!$E:$E,S$3)&gt;0,"✓ Takes",IF(IFERROR(VLOOKUP($A219,'Whitespace Analysis'!$A:$AH,18,0),0)=1,"◎ Should","– N/A"))</f>
        <v>– N/A</v>
      </c>
      <c r="T219" s="156" t="str">
        <f>IF(COUNTIFS('Product Order Book'!$A:$A,$A219,'Product Order Book'!$E:$E,T$3)&gt;0,"✓ Takes",IF(IFERROR(VLOOKUP($A219,'Whitespace Analysis'!$A:$AH,28,0),0)=1,"◎ Should","– N/A"))</f>
        <v>– N/A</v>
      </c>
      <c r="U219" s="156" t="str">
        <f>IF(COUNTIFS('Product Order Book'!$A:$A,$A219,'Product Order Book'!$E:$E,U$3)&gt;0,"✓ Takes",IF(IFERROR(VLOOKUP($A219,'Whitespace Analysis'!$A:$AH,30,0),0)=1,"◎ Should","– N/A"))</f>
        <v>– N/A</v>
      </c>
      <c r="V219" s="156" t="str">
        <f>IF(COUNTIFS('Product Order Book'!$A:$A,$A219,'Product Order Book'!$E:$E,V$3)&gt;0,"✓ Takes",IF(IFERROR(VLOOKUP($A219,'Whitespace Analysis'!$A:$AH,14,0),0)=1,"◎ Should","– N/A"))</f>
        <v>– N/A</v>
      </c>
    </row>
    <row r="220" spans="1:22" ht="15" customHeight="1">
      <c r="A220" s="154" t="str">
        <v>YnNi Teg</v>
      </c>
      <c r="B220" s="155">
        <f>IFERROR(MIN(1,COUNTIFS('Product Order Book'!$A$2:$A$1057,$A220,'Product Order Book'!$E$2:$E$1057,B$3)/INDEX('Clean Package Product Lists'!$C:$C,MATCH(B$3,'Clean Package Product Lists'!$A:$A,0))),"")</f>
        <v>0</v>
      </c>
      <c r="C220" s="155">
        <f>IFERROR(MIN(1,COUNTIFS('Product Order Book'!$A$2:$A$1057,$A220,'Product Order Book'!$E$2:$E$1057,C$3)/INDEX('Clean Package Product Lists'!$C:$C,MATCH(C$3,'Clean Package Product Lists'!$A:$A,0))),"")</f>
        <v>0</v>
      </c>
      <c r="D220" s="155">
        <f>IFERROR(MIN(1,COUNTIFS('Product Order Book'!$A$2:$A$1057,$A220,'Product Order Book'!$E$2:$E$1057,D$3)/INDEX('Clean Package Product Lists'!$C:$C,MATCH(D$3,'Clean Package Product Lists'!$A:$A,0))),"")</f>
        <v>0.33333333333333331</v>
      </c>
      <c r="E220" s="155">
        <f>IFERROR(MIN(1,COUNTIFS('Product Order Book'!$A$2:$A$1057,$A220,'Product Order Book'!$E$2:$E$1057,E$3)/INDEX('Clean Package Product Lists'!$C:$C,MATCH(E$3,'Clean Package Product Lists'!$A:$A,0))),"")</f>
        <v>0</v>
      </c>
      <c r="F220" s="155">
        <f>IFERROR(MIN(1,COUNTIFS('Product Order Book'!$A$2:$A$1057,$A220,'Product Order Book'!$E$2:$E$1057,F$3)/INDEX('Clean Package Product Lists'!$C:$C,MATCH(F$3,'Clean Package Product Lists'!$A:$A,0))),"")</f>
        <v>0</v>
      </c>
      <c r="G220" s="155">
        <f>IFERROR(MIN(1,COUNTIFS('Product Order Book'!$A$2:$A$1057,$A220,'Product Order Book'!$E$2:$E$1057,G$3)/INDEX('Clean Package Product Lists'!$C:$C,MATCH(G$3,'Clean Package Product Lists'!$A:$A,0))),"")</f>
        <v>0</v>
      </c>
      <c r="H220" s="155">
        <f>IFERROR(MIN(1,COUNTIFS('Product Order Book'!$A$2:$A$1057,$A220,'Product Order Book'!$E$2:$E$1057,H$3)/INDEX('Clean Package Product Lists'!$C:$C,MATCH(H$3,'Clean Package Product Lists'!$A:$A,0))),"")</f>
        <v>0</v>
      </c>
      <c r="I220" s="155">
        <f>IFERROR(MIN(1,COUNTIFS('Product Order Book'!$A$2:$A$1057,$A220,'Product Order Book'!$E$2:$E$1057,I$3)/INDEX('Clean Package Product Lists'!$C:$C,MATCH(I$3,'Clean Package Product Lists'!$A:$A,0))),"")</f>
        <v>0</v>
      </c>
      <c r="J220" s="155">
        <f>IFERROR(MIN(1,COUNTIFS('Product Order Book'!$A$2:$A$1057,$A220,'Product Order Book'!$E$2:$E$1057,J$3)/INDEX('Clean Package Product Lists'!$C:$C,MATCH(J$3,'Clean Package Product Lists'!$A:$A,0))),"")</f>
        <v>0</v>
      </c>
      <c r="K220" s="155">
        <f>IFERROR(MIN(1,COUNTIFS('Product Order Book'!$A$2:$A$1057,$A220,'Product Order Book'!$E$2:$E$1057,K$3)/INDEX('Clean Package Product Lists'!$C:$C,MATCH(K$3,'Clean Package Product Lists'!$A:$A,0))),"")</f>
        <v>0</v>
      </c>
      <c r="L220" s="154"/>
      <c r="M220" s="156" t="str">
        <f>IF(COUNTIFS('Product Order Book'!$A:$A,$A220,'Product Order Book'!$E:$E,M$3)&gt;0,"✓ Takes",IF(IFERROR(VLOOKUP($A220,'Whitespace Analysis'!$A:$AH,12,0),0)=1,"◎ Should","– N/A"))</f>
        <v>◎ Should</v>
      </c>
      <c r="N220" s="156" t="str">
        <f>IF(COUNTIFS('Product Order Book'!$A:$A,$A220,'Product Order Book'!$E:$E,N$3)&gt;0,"✓ Takes",IF(IFERROR(VLOOKUP($A220,'Whitespace Analysis'!$A:$AH,20,0),0)=1,"◎ Should","– N/A"))</f>
        <v>◎ Should</v>
      </c>
      <c r="O220" s="156" t="str">
        <f>IF(COUNTIFS('Product Order Book'!$A:$A,$A220,'Product Order Book'!$E:$E,O$3)&gt;0,"✓ Takes",IF(IFERROR(VLOOKUP($A220,'Whitespace Analysis'!$A:$AH,22,0),0)=1,"◎ Should","– N/A"))</f>
        <v>✓ Takes</v>
      </c>
      <c r="P220" s="156" t="str">
        <f>IF(COUNTIFS('Product Order Book'!$A:$A,$A220,'Product Order Book'!$E:$E,P$3)&gt;0,"✓ Takes",IF(IFERROR(VLOOKUP($A220,'Whitespace Analysis'!$A:$AH,24,0),0)=1,"◎ Should","– N/A"))</f>
        <v>– N/A</v>
      </c>
      <c r="Q220" s="156" t="str">
        <f>IF(COUNTIFS('Product Order Book'!$A:$A,$A220,'Product Order Book'!$E:$E,Q$3)&gt;0,"✓ Takes",IF(IFERROR(VLOOKUP($A220,'Whitespace Analysis'!$A:$AH,26,0),0)=1,"◎ Should","– N/A"))</f>
        <v>– N/A</v>
      </c>
      <c r="R220" s="156" t="str">
        <f>IF(COUNTIFS('Product Order Book'!$A:$A,$A220,'Product Order Book'!$E:$E,R$3)&gt;0,"✓ Takes",IF(IFERROR(VLOOKUP($A220,'Whitespace Analysis'!$A:$AH,16,0),0)=1,"◎ Should","– N/A"))</f>
        <v>– N/A</v>
      </c>
      <c r="S220" s="156" t="str">
        <f>IF(COUNTIFS('Product Order Book'!$A:$A,$A220,'Product Order Book'!$E:$E,S$3)&gt;0,"✓ Takes",IF(IFERROR(VLOOKUP($A220,'Whitespace Analysis'!$A:$AH,18,0),0)=1,"◎ Should","– N/A"))</f>
        <v>– N/A</v>
      </c>
      <c r="T220" s="156" t="str">
        <f>IF(COUNTIFS('Product Order Book'!$A:$A,$A220,'Product Order Book'!$E:$E,T$3)&gt;0,"✓ Takes",IF(IFERROR(VLOOKUP($A220,'Whitespace Analysis'!$A:$AH,28,0),0)=1,"◎ Should","– N/A"))</f>
        <v>– N/A</v>
      </c>
      <c r="U220" s="156" t="str">
        <f>IF(COUNTIFS('Product Order Book'!$A:$A,$A220,'Product Order Book'!$E:$E,U$3)&gt;0,"✓ Takes",IF(IFERROR(VLOOKUP($A220,'Whitespace Analysis'!$A:$AH,30,0),0)=1,"◎ Should","– N/A"))</f>
        <v>– N/A</v>
      </c>
      <c r="V220" s="156" t="str">
        <f>IF(COUNTIFS('Product Order Book'!$A:$A,$A220,'Product Order Book'!$E:$E,V$3)&gt;0,"✓ Takes",IF(IFERROR(VLOOKUP($A220,'Whitespace Analysis'!$A:$AH,14,0),0)=1,"◎ Should","– N/A"))</f>
        <v>◎ Should</v>
      </c>
    </row>
    <row r="221" spans="1:22" ht="15" customHeight="1">
      <c r="A221" s="154" t="str">
        <v>Yorkshire Gas and Power</v>
      </c>
      <c r="B221" s="155">
        <f>IFERROR(MIN(1,COUNTIFS('Product Order Book'!$A$2:$A$1057,$A221,'Product Order Book'!$E$2:$E$1057,B$3)/INDEX('Clean Package Product Lists'!$C:$C,MATCH(B$3,'Clean Package Product Lists'!$A:$A,0))),"")</f>
        <v>0</v>
      </c>
      <c r="C221" s="155">
        <f>IFERROR(MIN(1,COUNTIFS('Product Order Book'!$A$2:$A$1057,$A221,'Product Order Book'!$E$2:$E$1057,C$3)/INDEX('Clean Package Product Lists'!$C:$C,MATCH(C$3,'Clean Package Product Lists'!$A:$A,0))),"")</f>
        <v>0</v>
      </c>
      <c r="D221" s="155">
        <f>IFERROR(MIN(1,COUNTIFS('Product Order Book'!$A$2:$A$1057,$A221,'Product Order Book'!$E$2:$E$1057,D$3)/INDEX('Clean Package Product Lists'!$C:$C,MATCH(D$3,'Clean Package Product Lists'!$A:$A,0))),"")</f>
        <v>0</v>
      </c>
      <c r="E221" s="155">
        <f>IFERROR(MIN(1,COUNTIFS('Product Order Book'!$A$2:$A$1057,$A221,'Product Order Book'!$E$2:$E$1057,E$3)/INDEX('Clean Package Product Lists'!$C:$C,MATCH(E$3,'Clean Package Product Lists'!$A:$A,0))),"")</f>
        <v>0</v>
      </c>
      <c r="F221" s="155">
        <f>IFERROR(MIN(1,COUNTIFS('Product Order Book'!$A$2:$A$1057,$A221,'Product Order Book'!$E$2:$E$1057,F$3)/INDEX('Clean Package Product Lists'!$C:$C,MATCH(F$3,'Clean Package Product Lists'!$A:$A,0))),"")</f>
        <v>0</v>
      </c>
      <c r="G221" s="155">
        <f>IFERROR(MIN(1,COUNTIFS('Product Order Book'!$A$2:$A$1057,$A221,'Product Order Book'!$E$2:$E$1057,G$3)/INDEX('Clean Package Product Lists'!$C:$C,MATCH(G$3,'Clean Package Product Lists'!$A:$A,0))),"")</f>
        <v>0</v>
      </c>
      <c r="H221" s="155">
        <f>IFERROR(MIN(1,COUNTIFS('Product Order Book'!$A$2:$A$1057,$A221,'Product Order Book'!$E$2:$E$1057,H$3)/INDEX('Clean Package Product Lists'!$C:$C,MATCH(H$3,'Clean Package Product Lists'!$A:$A,0))),"")</f>
        <v>0.75</v>
      </c>
      <c r="I221" s="155">
        <f>IFERROR(MIN(1,COUNTIFS('Product Order Book'!$A$2:$A$1057,$A221,'Product Order Book'!$E$2:$E$1057,I$3)/INDEX('Clean Package Product Lists'!$C:$C,MATCH(I$3,'Clean Package Product Lists'!$A:$A,0))),"")</f>
        <v>0</v>
      </c>
      <c r="J221" s="155">
        <f>IFERROR(MIN(1,COUNTIFS('Product Order Book'!$A$2:$A$1057,$A221,'Product Order Book'!$E$2:$E$1057,J$3)/INDEX('Clean Package Product Lists'!$C:$C,MATCH(J$3,'Clean Package Product Lists'!$A:$A,0))),"")</f>
        <v>0</v>
      </c>
      <c r="K221" s="155">
        <f>IFERROR(MIN(1,COUNTIFS('Product Order Book'!$A$2:$A$1057,$A221,'Product Order Book'!$E$2:$E$1057,K$3)/INDEX('Clean Package Product Lists'!$C:$C,MATCH(K$3,'Clean Package Product Lists'!$A:$A,0))),"")</f>
        <v>0</v>
      </c>
      <c r="L221" s="154"/>
      <c r="M221" s="156" t="str">
        <f>IF(COUNTIFS('Product Order Book'!$A:$A,$A221,'Product Order Book'!$E:$E,M$3)&gt;0,"✓ Takes",IF(IFERROR(VLOOKUP($A221,'Whitespace Analysis'!$A:$AH,12,0),0)=1,"◎ Should","– N/A"))</f>
        <v>◎ Should</v>
      </c>
      <c r="N221" s="156" t="str">
        <f>IF(COUNTIFS('Product Order Book'!$A:$A,$A221,'Product Order Book'!$E:$E,N$3)&gt;0,"✓ Takes",IF(IFERROR(VLOOKUP($A221,'Whitespace Analysis'!$A:$AH,20,0),0)=1,"◎ Should","– N/A"))</f>
        <v>– N/A</v>
      </c>
      <c r="O221" s="156" t="str">
        <f>IF(COUNTIFS('Product Order Book'!$A:$A,$A221,'Product Order Book'!$E:$E,O$3)&gt;0,"✓ Takes",IF(IFERROR(VLOOKUP($A221,'Whitespace Analysis'!$A:$AH,22,0),0)=1,"◎ Should","– N/A"))</f>
        <v>– N/A</v>
      </c>
      <c r="P221" s="156" t="str">
        <f>IF(COUNTIFS('Product Order Book'!$A:$A,$A221,'Product Order Book'!$E:$E,P$3)&gt;0,"✓ Takes",IF(IFERROR(VLOOKUP($A221,'Whitespace Analysis'!$A:$AH,24,0),0)=1,"◎ Should","– N/A"))</f>
        <v>◎ Should</v>
      </c>
      <c r="Q221" s="156" t="str">
        <f>IF(COUNTIFS('Product Order Book'!$A:$A,$A221,'Product Order Book'!$E:$E,Q$3)&gt;0,"✓ Takes",IF(IFERROR(VLOOKUP($A221,'Whitespace Analysis'!$A:$AH,26,0),0)=1,"◎ Should","– N/A"))</f>
        <v>– N/A</v>
      </c>
      <c r="R221" s="156" t="str">
        <f>IF(COUNTIFS('Product Order Book'!$A:$A,$A221,'Product Order Book'!$E:$E,R$3)&gt;0,"✓ Takes",IF(IFERROR(VLOOKUP($A221,'Whitespace Analysis'!$A:$AH,16,0),0)=1,"◎ Should","– N/A"))</f>
        <v>◎ Should</v>
      </c>
      <c r="S221" s="156" t="str">
        <f>IF(COUNTIFS('Product Order Book'!$A:$A,$A221,'Product Order Book'!$E:$E,S$3)&gt;0,"✓ Takes",IF(IFERROR(VLOOKUP($A221,'Whitespace Analysis'!$A:$AH,18,0),0)=1,"◎ Should","– N/A"))</f>
        <v>✓ Takes</v>
      </c>
      <c r="T221" s="156" t="str">
        <f>IF(COUNTIFS('Product Order Book'!$A:$A,$A221,'Product Order Book'!$E:$E,T$3)&gt;0,"✓ Takes",IF(IFERROR(VLOOKUP($A221,'Whitespace Analysis'!$A:$AH,28,0),0)=1,"◎ Should","– N/A"))</f>
        <v>– N/A</v>
      </c>
      <c r="U221" s="156" t="str">
        <f>IF(COUNTIFS('Product Order Book'!$A:$A,$A221,'Product Order Book'!$E:$E,U$3)&gt;0,"✓ Takes",IF(IFERROR(VLOOKUP($A221,'Whitespace Analysis'!$A:$AH,30,0),0)=1,"◎ Should","– N/A"))</f>
        <v>– N/A</v>
      </c>
      <c r="V221" s="156" t="str">
        <f>IF(COUNTIFS('Product Order Book'!$A:$A,$A221,'Product Order Book'!$E:$E,V$3)&gt;0,"✓ Takes",IF(IFERROR(VLOOKUP($A221,'Whitespace Analysis'!$A:$AH,14,0),0)=1,"◎ Should","– N/A"))</f>
        <v>◎ Should</v>
      </c>
    </row>
    <row r="222" spans="1:22">
      <c r="A222" s="154" t="str">
        <v>Yorkshire Water Services Limited</v>
      </c>
      <c r="B222" s="155">
        <f>IFERROR(MIN(1,COUNTIFS('Product Order Book'!$A$2:$A$1057,$A222,'Product Order Book'!$E$2:$E$1057,B$3)/INDEX('Clean Package Product Lists'!$C:$C,MATCH(B$3,'Clean Package Product Lists'!$A:$A,0))),"")</f>
        <v>0</v>
      </c>
      <c r="C222" s="155">
        <f>IFERROR(MIN(1,COUNTIFS('Product Order Book'!$A$2:$A$1057,$A222,'Product Order Book'!$E$2:$E$1057,C$3)/INDEX('Clean Package Product Lists'!$C:$C,MATCH(C$3,'Clean Package Product Lists'!$A:$A,0))),"")</f>
        <v>0</v>
      </c>
      <c r="D222" s="155">
        <f>IFERROR(MIN(1,COUNTIFS('Product Order Book'!$A$2:$A$1057,$A222,'Product Order Book'!$E$2:$E$1057,D$3)/INDEX('Clean Package Product Lists'!$C:$C,MATCH(D$3,'Clean Package Product Lists'!$A:$A,0))),"")</f>
        <v>0</v>
      </c>
      <c r="E222" s="155">
        <f>IFERROR(MIN(1,COUNTIFS('Product Order Book'!$A$2:$A$1057,$A222,'Product Order Book'!$E$2:$E$1057,E$3)/INDEX('Clean Package Product Lists'!$C:$C,MATCH(E$3,'Clean Package Product Lists'!$A:$A,0))),"")</f>
        <v>0</v>
      </c>
      <c r="F222" s="155">
        <f>IFERROR(MIN(1,COUNTIFS('Product Order Book'!$A$2:$A$1057,$A222,'Product Order Book'!$E$2:$E$1057,F$3)/INDEX('Clean Package Product Lists'!$C:$C,MATCH(F$3,'Clean Package Product Lists'!$A:$A,0))),"")</f>
        <v>0</v>
      </c>
      <c r="G222" s="155">
        <f>IFERROR(MIN(1,COUNTIFS('Product Order Book'!$A$2:$A$1057,$A222,'Product Order Book'!$E$2:$E$1057,G$3)/INDEX('Clean Package Product Lists'!$C:$C,MATCH(G$3,'Clean Package Product Lists'!$A:$A,0))),"")</f>
        <v>0</v>
      </c>
      <c r="H222" s="155">
        <f>IFERROR(MIN(1,COUNTIFS('Product Order Book'!$A$2:$A$1057,$A222,'Product Order Book'!$E$2:$E$1057,H$3)/INDEX('Clean Package Product Lists'!$C:$C,MATCH(H$3,'Clean Package Product Lists'!$A:$A,0))),"")</f>
        <v>0.25</v>
      </c>
      <c r="I222" s="155">
        <f>IFERROR(MIN(1,COUNTIFS('Product Order Book'!$A$2:$A$1057,$A222,'Product Order Book'!$E$2:$E$1057,I$3)/INDEX('Clean Package Product Lists'!$C:$C,MATCH(I$3,'Clean Package Product Lists'!$A:$A,0))),"")</f>
        <v>0</v>
      </c>
      <c r="J222" s="155">
        <f>IFERROR(MIN(1,COUNTIFS('Product Order Book'!$A$2:$A$1057,$A222,'Product Order Book'!$E$2:$E$1057,J$3)/INDEX('Clean Package Product Lists'!$C:$C,MATCH(J$3,'Clean Package Product Lists'!$A:$A,0))),"")</f>
        <v>0</v>
      </c>
      <c r="K222" s="155">
        <f>IFERROR(MIN(1,COUNTIFS('Product Order Book'!$A$2:$A$1057,$A222,'Product Order Book'!$E$2:$E$1057,K$3)/INDEX('Clean Package Product Lists'!$C:$C,MATCH(K$3,'Clean Package Product Lists'!$A:$A,0))),"")</f>
        <v>0</v>
      </c>
      <c r="M222" s="156" t="str">
        <f>IF(COUNTIFS('Product Order Book'!$A:$A,$A222,'Product Order Book'!$E:$E,M$3)&gt;0,"✓ Takes",IF(IFERROR(VLOOKUP($A222,'Whitespace Analysis'!$A:$AH,12,0),0)=1,"◎ Should","– N/A"))</f>
        <v>◎ Should</v>
      </c>
      <c r="N222" s="156" t="str">
        <f>IF(COUNTIFS('Product Order Book'!$A:$A,$A222,'Product Order Book'!$E:$E,N$3)&gt;0,"✓ Takes",IF(IFERROR(VLOOKUP($A222,'Whitespace Analysis'!$A:$AH,20,0),0)=1,"◎ Should","– N/A"))</f>
        <v>– N/A</v>
      </c>
      <c r="O222" s="156" t="str">
        <f>IF(COUNTIFS('Product Order Book'!$A:$A,$A222,'Product Order Book'!$E:$E,O$3)&gt;0,"✓ Takes",IF(IFERROR(VLOOKUP($A222,'Whitespace Analysis'!$A:$AH,22,0),0)=1,"◎ Should","– N/A"))</f>
        <v>– N/A</v>
      </c>
      <c r="P222" s="156" t="str">
        <f>IF(COUNTIFS('Product Order Book'!$A:$A,$A222,'Product Order Book'!$E:$E,P$3)&gt;0,"✓ Takes",IF(IFERROR(VLOOKUP($A222,'Whitespace Analysis'!$A:$AH,24,0),0)=1,"◎ Should","– N/A"))</f>
        <v>– N/A</v>
      </c>
      <c r="Q222" s="156" t="str">
        <f>IF(COUNTIFS('Product Order Book'!$A:$A,$A222,'Product Order Book'!$E:$E,Q$3)&gt;0,"✓ Takes",IF(IFERROR(VLOOKUP($A222,'Whitespace Analysis'!$A:$AH,26,0),0)=1,"◎ Should","– N/A"))</f>
        <v>– N/A</v>
      </c>
      <c r="R222" s="156" t="str">
        <f>IF(COUNTIFS('Product Order Book'!$A:$A,$A222,'Product Order Book'!$E:$E,R$3)&gt;0,"✓ Takes",IF(IFERROR(VLOOKUP($A222,'Whitespace Analysis'!$A:$AH,16,0),0)=1,"◎ Should","– N/A"))</f>
        <v>– N/A</v>
      </c>
      <c r="S222" s="156" t="str">
        <f>IF(COUNTIFS('Product Order Book'!$A:$A,$A222,'Product Order Book'!$E:$E,S$3)&gt;0,"✓ Takes",IF(IFERROR(VLOOKUP($A222,'Whitespace Analysis'!$A:$AH,18,0),0)=1,"◎ Should","– N/A"))</f>
        <v>✓ Takes</v>
      </c>
      <c r="T222" s="156" t="str">
        <f>IF(COUNTIFS('Product Order Book'!$A:$A,$A222,'Product Order Book'!$E:$E,T$3)&gt;0,"✓ Takes",IF(IFERROR(VLOOKUP($A222,'Whitespace Analysis'!$A:$AH,28,0),0)=1,"◎ Should","– N/A"))</f>
        <v>◎ Should</v>
      </c>
      <c r="U222" s="156" t="str">
        <f>IF(COUNTIFS('Product Order Book'!$A:$A,$A222,'Product Order Book'!$E:$E,U$3)&gt;0,"✓ Takes",IF(IFERROR(VLOOKUP($A222,'Whitespace Analysis'!$A:$AH,30,0),0)=1,"◎ Should","– N/A"))</f>
        <v>◎ Should</v>
      </c>
      <c r="V222" s="156" t="str">
        <f>IF(COUNTIFS('Product Order Book'!$A:$A,$A222,'Product Order Book'!$E:$E,V$3)&gt;0,"✓ Takes",IF(IFERROR(VLOOKUP($A222,'Whitespace Analysis'!$A:$AH,14,0),0)=1,"◎ Should","– N/A"))</f>
        <v>◎ Should</v>
      </c>
    </row>
    <row r="223" spans="1:22">
      <c r="A223" s="154" t="str">
        <v>Yü Energy Retail Limited</v>
      </c>
      <c r="B223" s="155">
        <f>IFERROR(MIN(1,COUNTIFS('Product Order Book'!$A$2:$A$1057,$A223,'Product Order Book'!$E$2:$E$1057,B$3)/INDEX('Clean Package Product Lists'!$C:$C,MATCH(B$3,'Clean Package Product Lists'!$A:$A,0))),"")</f>
        <v>0</v>
      </c>
      <c r="C223" s="155">
        <f>IFERROR(MIN(1,COUNTIFS('Product Order Book'!$A$2:$A$1057,$A223,'Product Order Book'!$E$2:$E$1057,C$3)/INDEX('Clean Package Product Lists'!$C:$C,MATCH(C$3,'Clean Package Product Lists'!$A:$A,0))),"")</f>
        <v>0</v>
      </c>
      <c r="D223" s="155">
        <f>IFERROR(MIN(1,COUNTIFS('Product Order Book'!$A$2:$A$1057,$A223,'Product Order Book'!$E$2:$E$1057,D$3)/INDEX('Clean Package Product Lists'!$C:$C,MATCH(D$3,'Clean Package Product Lists'!$A:$A,0))),"")</f>
        <v>0</v>
      </c>
      <c r="E223" s="155">
        <f>IFERROR(MIN(1,COUNTIFS('Product Order Book'!$A$2:$A$1057,$A223,'Product Order Book'!$E$2:$E$1057,E$3)/INDEX('Clean Package Product Lists'!$C:$C,MATCH(E$3,'Clean Package Product Lists'!$A:$A,0))),"")</f>
        <v>0</v>
      </c>
      <c r="F223" s="155">
        <f>IFERROR(MIN(1,COUNTIFS('Product Order Book'!$A$2:$A$1057,$A223,'Product Order Book'!$E$2:$E$1057,F$3)/INDEX('Clean Package Product Lists'!$C:$C,MATCH(F$3,'Clean Package Product Lists'!$A:$A,0))),"")</f>
        <v>0</v>
      </c>
      <c r="G223" s="155">
        <f>IFERROR(MIN(1,COUNTIFS('Product Order Book'!$A$2:$A$1057,$A223,'Product Order Book'!$E$2:$E$1057,G$3)/INDEX('Clean Package Product Lists'!$C:$C,MATCH(G$3,'Clean Package Product Lists'!$A:$A,0))),"")</f>
        <v>1</v>
      </c>
      <c r="H223" s="155">
        <f>IFERROR(MIN(1,COUNTIFS('Product Order Book'!$A$2:$A$1057,$A223,'Product Order Book'!$E$2:$E$1057,H$3)/INDEX('Clean Package Product Lists'!$C:$C,MATCH(H$3,'Clean Package Product Lists'!$A:$A,0))),"")</f>
        <v>1</v>
      </c>
      <c r="I223" s="155">
        <f>IFERROR(MIN(1,COUNTIFS('Product Order Book'!$A$2:$A$1057,$A223,'Product Order Book'!$E$2:$E$1057,I$3)/INDEX('Clean Package Product Lists'!$C:$C,MATCH(I$3,'Clean Package Product Lists'!$A:$A,0))),"")</f>
        <v>0</v>
      </c>
      <c r="J223" s="155">
        <f>IFERROR(MIN(1,COUNTIFS('Product Order Book'!$A$2:$A$1057,$A223,'Product Order Book'!$E$2:$E$1057,J$3)/INDEX('Clean Package Product Lists'!$C:$C,MATCH(J$3,'Clean Package Product Lists'!$A:$A,0))),"")</f>
        <v>0</v>
      </c>
      <c r="K223" s="155">
        <f>IFERROR(MIN(1,COUNTIFS('Product Order Book'!$A$2:$A$1057,$A223,'Product Order Book'!$E$2:$E$1057,K$3)/INDEX('Clean Package Product Lists'!$C:$C,MATCH(K$3,'Clean Package Product Lists'!$A:$A,0))),"")</f>
        <v>0</v>
      </c>
      <c r="M223" s="156" t="str">
        <f>IF(COUNTIFS('Product Order Book'!$A:$A,$A223,'Product Order Book'!$E:$E,M$3)&gt;0,"✓ Takes",IF(IFERROR(VLOOKUP($A223,'Whitespace Analysis'!$A:$AH,12,0),0)=1,"◎ Should","– N/A"))</f>
        <v>◎ Should</v>
      </c>
      <c r="N223" s="156" t="str">
        <f>IF(COUNTIFS('Product Order Book'!$A:$A,$A223,'Product Order Book'!$E:$E,N$3)&gt;0,"✓ Takes",IF(IFERROR(VLOOKUP($A223,'Whitespace Analysis'!$A:$AH,20,0),0)=1,"◎ Should","– N/A"))</f>
        <v>– N/A</v>
      </c>
      <c r="O223" s="156" t="str">
        <f>IF(COUNTIFS('Product Order Book'!$A:$A,$A223,'Product Order Book'!$E:$E,O$3)&gt;0,"✓ Takes",IF(IFERROR(VLOOKUP($A223,'Whitespace Analysis'!$A:$AH,22,0),0)=1,"◎ Should","– N/A"))</f>
        <v>– N/A</v>
      </c>
      <c r="P223" s="156" t="str">
        <f>IF(COUNTIFS('Product Order Book'!$A:$A,$A223,'Product Order Book'!$E:$E,P$3)&gt;0,"✓ Takes",IF(IFERROR(VLOOKUP($A223,'Whitespace Analysis'!$A:$AH,24,0),0)=1,"◎ Should","– N/A"))</f>
        <v>◎ Should</v>
      </c>
      <c r="Q223" s="156" t="str">
        <f>IF(COUNTIFS('Product Order Book'!$A:$A,$A223,'Product Order Book'!$E:$E,Q$3)&gt;0,"✓ Takes",IF(IFERROR(VLOOKUP($A223,'Whitespace Analysis'!$A:$AH,26,0),0)=1,"◎ Should","– N/A"))</f>
        <v>– N/A</v>
      </c>
      <c r="R223" s="156" t="str">
        <f>IF(COUNTIFS('Product Order Book'!$A:$A,$A223,'Product Order Book'!$E:$E,R$3)&gt;0,"✓ Takes",IF(IFERROR(VLOOKUP($A223,'Whitespace Analysis'!$A:$AH,16,0),0)=1,"◎ Should","– N/A"))</f>
        <v>✓ Takes</v>
      </c>
      <c r="S223" s="156" t="str">
        <f>IF(COUNTIFS('Product Order Book'!$A:$A,$A223,'Product Order Book'!$E:$E,S$3)&gt;0,"✓ Takes",IF(IFERROR(VLOOKUP($A223,'Whitespace Analysis'!$A:$AH,18,0),0)=1,"◎ Should","– N/A"))</f>
        <v>✓ Takes</v>
      </c>
      <c r="T223" s="156" t="str">
        <f>IF(COUNTIFS('Product Order Book'!$A:$A,$A223,'Product Order Book'!$E:$E,T$3)&gt;0,"✓ Takes",IF(IFERROR(VLOOKUP($A223,'Whitespace Analysis'!$A:$AH,28,0),0)=1,"◎ Should","– N/A"))</f>
        <v>– N/A</v>
      </c>
      <c r="U223" s="156" t="str">
        <f>IF(COUNTIFS('Product Order Book'!$A:$A,$A223,'Product Order Book'!$E:$E,U$3)&gt;0,"✓ Takes",IF(IFERROR(VLOOKUP($A223,'Whitespace Analysis'!$A:$AH,30,0),0)=1,"◎ Should","– N/A"))</f>
        <v>– N/A</v>
      </c>
      <c r="V223" s="156" t="str">
        <f>IF(COUNTIFS('Product Order Book'!$A:$A,$A223,'Product Order Book'!$E:$E,V$3)&gt;0,"✓ Takes",IF(IFERROR(VLOOKUP($A223,'Whitespace Analysis'!$A:$AH,14,0),0)=1,"◎ Should","– N/A"))</f>
        <v>◎ Should</v>
      </c>
    </row>
    <row r="224" spans="1:22">
      <c r="A224" s="154" t="str">
        <v>Zenergi Limited</v>
      </c>
      <c r="B224" s="155">
        <f>IFERROR(MIN(1,COUNTIFS('Product Order Book'!$A$2:$A$1057,$A224,'Product Order Book'!$E$2:$E$1057,B$3)/INDEX('Clean Package Product Lists'!$C:$C,MATCH(B$3,'Clean Package Product Lists'!$A:$A,0))),"")</f>
        <v>0</v>
      </c>
      <c r="C224" s="155">
        <f>IFERROR(MIN(1,COUNTIFS('Product Order Book'!$A$2:$A$1057,$A224,'Product Order Book'!$E$2:$E$1057,C$3)/INDEX('Clean Package Product Lists'!$C:$C,MATCH(C$3,'Clean Package Product Lists'!$A:$A,0))),"")</f>
        <v>0</v>
      </c>
      <c r="D224" s="155">
        <f>IFERROR(MIN(1,COUNTIFS('Product Order Book'!$A$2:$A$1057,$A224,'Product Order Book'!$E$2:$E$1057,D$3)/INDEX('Clean Package Product Lists'!$C:$C,MATCH(D$3,'Clean Package Product Lists'!$A:$A,0))),"")</f>
        <v>0</v>
      </c>
      <c r="E224" s="155">
        <f>IFERROR(MIN(1,COUNTIFS('Product Order Book'!$A$2:$A$1057,$A224,'Product Order Book'!$E$2:$E$1057,E$3)/INDEX('Clean Package Product Lists'!$C:$C,MATCH(E$3,'Clean Package Product Lists'!$A:$A,0))),"")</f>
        <v>0</v>
      </c>
      <c r="F224" s="155">
        <f>IFERROR(MIN(1,COUNTIFS('Product Order Book'!$A$2:$A$1057,$A224,'Product Order Book'!$E$2:$E$1057,F$3)/INDEX('Clean Package Product Lists'!$C:$C,MATCH(F$3,'Clean Package Product Lists'!$A:$A,0))),"")</f>
        <v>0</v>
      </c>
      <c r="G224" s="155">
        <f>IFERROR(MIN(1,COUNTIFS('Product Order Book'!$A$2:$A$1057,$A224,'Product Order Book'!$E$2:$E$1057,G$3)/INDEX('Clean Package Product Lists'!$C:$C,MATCH(G$3,'Clean Package Product Lists'!$A:$A,0))),"")</f>
        <v>9.0909090909090912E-2</v>
      </c>
      <c r="H224" s="155">
        <f>IFERROR(MIN(1,COUNTIFS('Product Order Book'!$A$2:$A$1057,$A224,'Product Order Book'!$E$2:$E$1057,H$3)/INDEX('Clean Package Product Lists'!$C:$C,MATCH(H$3,'Clean Package Product Lists'!$A:$A,0))),"")</f>
        <v>0.25</v>
      </c>
      <c r="I224" s="155">
        <f>IFERROR(MIN(1,COUNTIFS('Product Order Book'!$A$2:$A$1057,$A224,'Product Order Book'!$E$2:$E$1057,I$3)/INDEX('Clean Package Product Lists'!$C:$C,MATCH(I$3,'Clean Package Product Lists'!$A:$A,0))),"")</f>
        <v>0</v>
      </c>
      <c r="J224" s="155">
        <f>IFERROR(MIN(1,COUNTIFS('Product Order Book'!$A$2:$A$1057,$A224,'Product Order Book'!$E$2:$E$1057,J$3)/INDEX('Clean Package Product Lists'!$C:$C,MATCH(J$3,'Clean Package Product Lists'!$A:$A,0))),"")</f>
        <v>0</v>
      </c>
      <c r="K224" s="155">
        <f>IFERROR(MIN(1,COUNTIFS('Product Order Book'!$A$2:$A$1057,$A224,'Product Order Book'!$E$2:$E$1057,K$3)/INDEX('Clean Package Product Lists'!$C:$C,MATCH(K$3,'Clean Package Product Lists'!$A:$A,0))),"")</f>
        <v>0</v>
      </c>
      <c r="M224" s="156" t="str">
        <f>IF(COUNTIFS('Product Order Book'!$A:$A,$A224,'Product Order Book'!$E:$E,M$3)&gt;0,"✓ Takes",IF(IFERROR(VLOOKUP($A224,'Whitespace Analysis'!$A:$AH,12,0),0)=1,"◎ Should","– N/A"))</f>
        <v>◎ Should</v>
      </c>
      <c r="N224" s="156" t="str">
        <f>IF(COUNTIFS('Product Order Book'!$A:$A,$A224,'Product Order Book'!$E:$E,N$3)&gt;0,"✓ Takes",IF(IFERROR(VLOOKUP($A224,'Whitespace Analysis'!$A:$AH,20,0),0)=1,"◎ Should","– N/A"))</f>
        <v>– N/A</v>
      </c>
      <c r="O224" s="156" t="str">
        <f>IF(COUNTIFS('Product Order Book'!$A:$A,$A224,'Product Order Book'!$E:$E,O$3)&gt;0,"✓ Takes",IF(IFERROR(VLOOKUP($A224,'Whitespace Analysis'!$A:$AH,22,0),0)=1,"◎ Should","– N/A"))</f>
        <v>– N/A</v>
      </c>
      <c r="P224" s="156" t="str">
        <f>IF(COUNTIFS('Product Order Book'!$A:$A,$A224,'Product Order Book'!$E:$E,P$3)&gt;0,"✓ Takes",IF(IFERROR(VLOOKUP($A224,'Whitespace Analysis'!$A:$AH,24,0),0)=1,"◎ Should","– N/A"))</f>
        <v>– N/A</v>
      </c>
      <c r="Q224" s="156" t="str">
        <f>IF(COUNTIFS('Product Order Book'!$A:$A,$A224,'Product Order Book'!$E:$E,Q$3)&gt;0,"✓ Takes",IF(IFERROR(VLOOKUP($A224,'Whitespace Analysis'!$A:$AH,26,0),0)=1,"◎ Should","– N/A"))</f>
        <v>– N/A</v>
      </c>
      <c r="R224" s="156" t="str">
        <f>IF(COUNTIFS('Product Order Book'!$A:$A,$A224,'Product Order Book'!$E:$E,R$3)&gt;0,"✓ Takes",IF(IFERROR(VLOOKUP($A224,'Whitespace Analysis'!$A:$AH,16,0),0)=1,"◎ Should","– N/A"))</f>
        <v>✓ Takes</v>
      </c>
      <c r="S224" s="156" t="str">
        <f>IF(COUNTIFS('Product Order Book'!$A:$A,$A224,'Product Order Book'!$E:$E,S$3)&gt;0,"✓ Takes",IF(IFERROR(VLOOKUP($A224,'Whitespace Analysis'!$A:$AH,18,0),0)=1,"◎ Should","– N/A"))</f>
        <v>✓ Takes</v>
      </c>
      <c r="T224" s="156" t="str">
        <f>IF(COUNTIFS('Product Order Book'!$A:$A,$A224,'Product Order Book'!$E:$E,T$3)&gt;0,"✓ Takes",IF(IFERROR(VLOOKUP($A224,'Whitespace Analysis'!$A:$AH,28,0),0)=1,"◎ Should","– N/A"))</f>
        <v>◎ Should</v>
      </c>
      <c r="U224" s="156" t="str">
        <f>IF(COUNTIFS('Product Order Book'!$A:$A,$A224,'Product Order Book'!$E:$E,U$3)&gt;0,"✓ Takes",IF(IFERROR(VLOOKUP($A224,'Whitespace Analysis'!$A:$AH,30,0),0)=1,"◎ Should","– N/A"))</f>
        <v>– N/A</v>
      </c>
      <c r="V224" s="156" t="str">
        <f>IF(COUNTIFS('Product Order Book'!$A:$A,$A224,'Product Order Book'!$E:$E,V$3)&gt;0,"✓ Takes",IF(IFERROR(VLOOKUP($A224,'Whitespace Analysis'!$A:$AH,14,0),0)=1,"◎ Should","– N/A"))</f>
        <v>– N/A</v>
      </c>
    </row>
    <row r="225" spans="1:22">
      <c r="A225" s="154" t="str">
        <v>Zero Trace Procurement Limited</v>
      </c>
      <c r="B225" s="155">
        <f>IFERROR(MIN(1,COUNTIFS('Product Order Book'!$A$2:$A$1057,$A225,'Product Order Book'!$E$2:$E$1057,B$3)/INDEX('Clean Package Product Lists'!$C:$C,MATCH(B$3,'Clean Package Product Lists'!$A:$A,0))),"")</f>
        <v>1</v>
      </c>
      <c r="C225" s="155">
        <f>IFERROR(MIN(1,COUNTIFS('Product Order Book'!$A$2:$A$1057,$A225,'Product Order Book'!$E$2:$E$1057,C$3)/INDEX('Clean Package Product Lists'!$C:$C,MATCH(C$3,'Clean Package Product Lists'!$A:$A,0))),"")</f>
        <v>0</v>
      </c>
      <c r="D225" s="155">
        <f>IFERROR(MIN(1,COUNTIFS('Product Order Book'!$A$2:$A$1057,$A225,'Product Order Book'!$E$2:$E$1057,D$3)/INDEX('Clean Package Product Lists'!$C:$C,MATCH(D$3,'Clean Package Product Lists'!$A:$A,0))),"")</f>
        <v>0</v>
      </c>
      <c r="E225" s="155">
        <f>IFERROR(MIN(1,COUNTIFS('Product Order Book'!$A$2:$A$1057,$A225,'Product Order Book'!$E$2:$E$1057,E$3)/INDEX('Clean Package Product Lists'!$C:$C,MATCH(E$3,'Clean Package Product Lists'!$A:$A,0))),"")</f>
        <v>0</v>
      </c>
      <c r="F225" s="155">
        <f>IFERROR(MIN(1,COUNTIFS('Product Order Book'!$A$2:$A$1057,$A225,'Product Order Book'!$E$2:$E$1057,F$3)/INDEX('Clean Package Product Lists'!$C:$C,MATCH(F$3,'Clean Package Product Lists'!$A:$A,0))),"")</f>
        <v>0</v>
      </c>
      <c r="G225" s="155">
        <f>IFERROR(MIN(1,COUNTIFS('Product Order Book'!$A$2:$A$1057,$A225,'Product Order Book'!$E$2:$E$1057,G$3)/INDEX('Clean Package Product Lists'!$C:$C,MATCH(G$3,'Clean Package Product Lists'!$A:$A,0))),"")</f>
        <v>0</v>
      </c>
      <c r="H225" s="155">
        <f>IFERROR(MIN(1,COUNTIFS('Product Order Book'!$A$2:$A$1057,$A225,'Product Order Book'!$E$2:$E$1057,H$3)/INDEX('Clean Package Product Lists'!$C:$C,MATCH(H$3,'Clean Package Product Lists'!$A:$A,0))),"")</f>
        <v>0.25</v>
      </c>
      <c r="I225" s="155">
        <f>IFERROR(MIN(1,COUNTIFS('Product Order Book'!$A$2:$A$1057,$A225,'Product Order Book'!$E$2:$E$1057,I$3)/INDEX('Clean Package Product Lists'!$C:$C,MATCH(I$3,'Clean Package Product Lists'!$A:$A,0))),"")</f>
        <v>0</v>
      </c>
      <c r="J225" s="155">
        <f>IFERROR(MIN(1,COUNTIFS('Product Order Book'!$A$2:$A$1057,$A225,'Product Order Book'!$E$2:$E$1057,J$3)/INDEX('Clean Package Product Lists'!$C:$C,MATCH(J$3,'Clean Package Product Lists'!$A:$A,0))),"")</f>
        <v>0</v>
      </c>
      <c r="K225" s="155">
        <f>IFERROR(MIN(1,COUNTIFS('Product Order Book'!$A$2:$A$1057,$A225,'Product Order Book'!$E$2:$E$1057,K$3)/INDEX('Clean Package Product Lists'!$C:$C,MATCH(K$3,'Clean Package Product Lists'!$A:$A,0))),"")</f>
        <v>0</v>
      </c>
      <c r="M225" s="156" t="str">
        <f>IF(COUNTIFS('Product Order Book'!$A:$A,$A225,'Product Order Book'!$E:$E,M$3)&gt;0,"✓ Takes",IF(IFERROR(VLOOKUP($A225,'Whitespace Analysis'!$A:$AH,12,0),0)=1,"◎ Should","– N/A"))</f>
        <v>✓ Takes</v>
      </c>
      <c r="N225" s="156" t="str">
        <f>IF(COUNTIFS('Product Order Book'!$A:$A,$A225,'Product Order Book'!$E:$E,N$3)&gt;0,"✓ Takes",IF(IFERROR(VLOOKUP($A225,'Whitespace Analysis'!$A:$AH,20,0),0)=1,"◎ Should","– N/A"))</f>
        <v>– N/A</v>
      </c>
      <c r="O225" s="156" t="str">
        <f>IF(COUNTIFS('Product Order Book'!$A:$A,$A225,'Product Order Book'!$E:$E,O$3)&gt;0,"✓ Takes",IF(IFERROR(VLOOKUP($A225,'Whitespace Analysis'!$A:$AH,22,0),0)=1,"◎ Should","– N/A"))</f>
        <v>– N/A</v>
      </c>
      <c r="P225" s="156" t="str">
        <f>IF(COUNTIFS('Product Order Book'!$A:$A,$A225,'Product Order Book'!$E:$E,P$3)&gt;0,"✓ Takes",IF(IFERROR(VLOOKUP($A225,'Whitespace Analysis'!$A:$AH,24,0),0)=1,"◎ Should","– N/A"))</f>
        <v>– N/A</v>
      </c>
      <c r="Q225" s="156" t="str">
        <f>IF(COUNTIFS('Product Order Book'!$A:$A,$A225,'Product Order Book'!$E:$E,Q$3)&gt;0,"✓ Takes",IF(IFERROR(VLOOKUP($A225,'Whitespace Analysis'!$A:$AH,26,0),0)=1,"◎ Should","– N/A"))</f>
        <v>– N/A</v>
      </c>
      <c r="R225" s="156" t="str">
        <f>IF(COUNTIFS('Product Order Book'!$A:$A,$A225,'Product Order Book'!$E:$E,R$3)&gt;0,"✓ Takes",IF(IFERROR(VLOOKUP($A225,'Whitespace Analysis'!$A:$AH,16,0),0)=1,"◎ Should","– N/A"))</f>
        <v>◎ Should</v>
      </c>
      <c r="S225" s="156" t="str">
        <f>IF(COUNTIFS('Product Order Book'!$A:$A,$A225,'Product Order Book'!$E:$E,S$3)&gt;0,"✓ Takes",IF(IFERROR(VLOOKUP($A225,'Whitespace Analysis'!$A:$AH,18,0),0)=1,"◎ Should","– N/A"))</f>
        <v>✓ Takes</v>
      </c>
      <c r="T225" s="156" t="str">
        <f>IF(COUNTIFS('Product Order Book'!$A:$A,$A225,'Product Order Book'!$E:$E,T$3)&gt;0,"✓ Takes",IF(IFERROR(VLOOKUP($A225,'Whitespace Analysis'!$A:$AH,28,0),0)=1,"◎ Should","– N/A"))</f>
        <v>◎ Should</v>
      </c>
      <c r="U225" s="156" t="str">
        <f>IF(COUNTIFS('Product Order Book'!$A:$A,$A225,'Product Order Book'!$E:$E,U$3)&gt;0,"✓ Takes",IF(IFERROR(VLOOKUP($A225,'Whitespace Analysis'!$A:$AH,30,0),0)=1,"◎ Should","– N/A"))</f>
        <v>– N/A</v>
      </c>
      <c r="V225" s="156" t="str">
        <f>IF(COUNTIFS('Product Order Book'!$A:$A,$A225,'Product Order Book'!$E:$E,V$3)&gt;0,"✓ Takes",IF(IFERROR(VLOOKUP($A225,'Whitespace Analysis'!$A:$AH,14,0),0)=1,"◎ Should","– N/A"))</f>
        <v>– N/A</v>
      </c>
    </row>
  </sheetData>
  <sortState xmlns:xlrd2="http://schemas.microsoft.com/office/spreadsheetml/2017/richdata2" ref="AA4:AB14">
    <sortCondition descending="1" ref="AB4:AB14"/>
  </sortState>
  <mergeCells count="3">
    <mergeCell ref="A1:W1"/>
    <mergeCell ref="B2:K2"/>
    <mergeCell ref="M2:V2"/>
  </mergeCells>
  <conditionalFormatting sqref="B4:K225">
    <cfRule type="colorScale" priority="5">
      <colorScale>
        <cfvo type="min"/>
        <cfvo type="percent" val="50"/>
        <cfvo type="max"/>
        <color rgb="FFFFFFFF"/>
        <color rgb="FFFFEB9C"/>
        <color rgb="FF63BE7B"/>
      </colorScale>
    </cfRule>
  </conditionalFormatting>
  <conditionalFormatting sqref="M4:V225">
    <cfRule type="containsText" dxfId="2" priority="2" operator="containsText" text="✓ Takes">
      <formula>NOT(ISERROR(SEARCH("✓ Takes",M4)))</formula>
    </cfRule>
    <cfRule type="containsText" dxfId="1" priority="3" operator="containsText" text="◎ Should">
      <formula>NOT(ISERROR(SEARCH("◎ Should",M4)))</formula>
    </cfRule>
    <cfRule type="containsText" dxfId="0" priority="4" operator="containsText" text="– N/A">
      <formula>NOT(ISERROR(SEARCH("– N/A",M4)))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86EEA-E180-4F6A-B0A1-F15524E4649C}">
  <sheetPr codeName="Sheet6"/>
  <dimension ref="A1:E49"/>
  <sheetViews>
    <sheetView showGridLines="0" zoomScale="115" zoomScaleNormal="115" workbookViewId="0">
      <pane ySplit="2" topLeftCell="A3" activePane="bottomLeft" state="frozen"/>
      <selection pane="bottomLeft" activeCell="H11" sqref="H11"/>
    </sheetView>
  </sheetViews>
  <sheetFormatPr defaultRowHeight="15"/>
  <cols>
    <col min="1" max="1" width="36" customWidth="1"/>
    <col min="2" max="2" width="46" customWidth="1"/>
    <col min="3" max="3" width="12" customWidth="1"/>
  </cols>
  <sheetData>
    <row r="1" spans="1:5" ht="27.95" customHeight="1">
      <c r="A1" s="202" t="s">
        <v>3119</v>
      </c>
      <c r="B1" s="204"/>
      <c r="C1" s="204"/>
    </row>
    <row r="3" spans="1:5" ht="27.95" customHeight="1">
      <c r="A3" s="165" t="s">
        <v>2634</v>
      </c>
      <c r="B3" s="165" t="s">
        <v>3120</v>
      </c>
      <c r="C3" s="165" t="s">
        <v>3095</v>
      </c>
    </row>
    <row r="4" spans="1:5" ht="15.95" customHeight="1">
      <c r="A4" s="166" t="s">
        <v>20</v>
      </c>
      <c r="B4" s="167" t="s">
        <v>2653</v>
      </c>
      <c r="C4" s="167">
        <v>1</v>
      </c>
      <c r="E4" t="s">
        <v>1829</v>
      </c>
    </row>
    <row r="5" spans="1:5" ht="15.95" customHeight="1">
      <c r="A5" s="168" t="s">
        <v>25</v>
      </c>
      <c r="B5" s="169" t="s">
        <v>1808</v>
      </c>
      <c r="C5" s="169">
        <v>7</v>
      </c>
      <c r="E5" t="s">
        <v>1845</v>
      </c>
    </row>
    <row r="6" spans="1:5" ht="15.95" customHeight="1">
      <c r="A6" s="169"/>
      <c r="B6" s="169" t="s">
        <v>1820</v>
      </c>
      <c r="C6" s="169"/>
      <c r="E6" t="s">
        <v>2653</v>
      </c>
    </row>
    <row r="7" spans="1:5" ht="15.95" customHeight="1">
      <c r="A7" s="169"/>
      <c r="B7" s="169" t="s">
        <v>1819</v>
      </c>
      <c r="C7" s="169"/>
      <c r="E7" t="s">
        <v>1810</v>
      </c>
    </row>
    <row r="8" spans="1:5" ht="15.95" customHeight="1">
      <c r="A8" s="169"/>
      <c r="B8" s="169" t="s">
        <v>1826</v>
      </c>
      <c r="C8" s="169"/>
      <c r="E8" t="s">
        <v>1821</v>
      </c>
    </row>
    <row r="9" spans="1:5" ht="15.95" customHeight="1">
      <c r="A9" s="169"/>
      <c r="B9" s="169" t="s">
        <v>1833</v>
      </c>
      <c r="C9" s="169"/>
      <c r="E9" t="s">
        <v>1828</v>
      </c>
    </row>
    <row r="10" spans="1:5" ht="15.95" customHeight="1">
      <c r="A10" s="169"/>
      <c r="B10" s="169" t="s">
        <v>1916</v>
      </c>
      <c r="C10" s="169"/>
      <c r="E10" t="s">
        <v>1835</v>
      </c>
    </row>
    <row r="11" spans="1:5" ht="15.95" customHeight="1">
      <c r="A11" s="169"/>
      <c r="B11" s="169" t="s">
        <v>1838</v>
      </c>
      <c r="C11" s="169"/>
      <c r="E11" t="s">
        <v>1841</v>
      </c>
    </row>
    <row r="12" spans="1:5" ht="15.95" customHeight="1">
      <c r="A12" s="170" t="s">
        <v>27</v>
      </c>
      <c r="B12" s="171" t="s">
        <v>1794</v>
      </c>
      <c r="C12" s="171">
        <v>3</v>
      </c>
      <c r="E12" t="s">
        <v>1843</v>
      </c>
    </row>
    <row r="13" spans="1:5" ht="15.95" customHeight="1">
      <c r="A13" s="171"/>
      <c r="B13" s="171" t="s">
        <v>2624</v>
      </c>
      <c r="C13" s="171"/>
      <c r="E13" t="s">
        <v>1808</v>
      </c>
    </row>
    <row r="14" spans="1:5" ht="15.95" customHeight="1">
      <c r="A14" s="171"/>
      <c r="B14" s="171" t="s">
        <v>2625</v>
      </c>
      <c r="C14" s="171"/>
      <c r="E14" t="s">
        <v>1819</v>
      </c>
    </row>
    <row r="15" spans="1:5" ht="15.95" customHeight="1">
      <c r="A15" s="172" t="s">
        <v>29</v>
      </c>
      <c r="B15" s="173" t="s">
        <v>1797</v>
      </c>
      <c r="C15" s="173">
        <v>4</v>
      </c>
      <c r="E15" t="s">
        <v>1826</v>
      </c>
    </row>
    <row r="16" spans="1:5" ht="15.95" customHeight="1">
      <c r="A16" s="173"/>
      <c r="B16" s="173" t="s">
        <v>1827</v>
      </c>
      <c r="C16" s="173"/>
      <c r="E16" t="s">
        <v>1833</v>
      </c>
    </row>
    <row r="17" spans="1:5" ht="15.95" customHeight="1">
      <c r="A17" s="173"/>
      <c r="B17" s="173" t="s">
        <v>1898</v>
      </c>
      <c r="C17" s="173"/>
      <c r="E17" t="s">
        <v>1838</v>
      </c>
    </row>
    <row r="18" spans="1:5" ht="15.95" customHeight="1">
      <c r="A18" s="173"/>
      <c r="B18" s="173" t="s">
        <v>1840</v>
      </c>
      <c r="C18" s="173"/>
      <c r="E18" t="s">
        <v>1814</v>
      </c>
    </row>
    <row r="19" spans="1:5" ht="15.95" customHeight="1">
      <c r="A19" s="166" t="s">
        <v>31</v>
      </c>
      <c r="B19" s="167" t="s">
        <v>2619</v>
      </c>
      <c r="C19" s="167">
        <v>3</v>
      </c>
      <c r="E19" t="s">
        <v>1824</v>
      </c>
    </row>
    <row r="20" spans="1:5" ht="15.95" customHeight="1">
      <c r="A20" s="167"/>
      <c r="B20" s="167" t="s">
        <v>1845</v>
      </c>
      <c r="C20" s="167"/>
      <c r="E20" t="s">
        <v>1842</v>
      </c>
    </row>
    <row r="21" spans="1:5" ht="15.95" customHeight="1">
      <c r="A21" s="167"/>
      <c r="B21" s="167" t="s">
        <v>2624</v>
      </c>
      <c r="C21" s="167"/>
      <c r="E21" t="s">
        <v>1851</v>
      </c>
    </row>
    <row r="22" spans="1:5" ht="15.95" customHeight="1">
      <c r="A22" s="168" t="s">
        <v>21</v>
      </c>
      <c r="B22" s="169" t="s">
        <v>1810</v>
      </c>
      <c r="C22" s="169">
        <v>11</v>
      </c>
      <c r="E22" t="s">
        <v>1853</v>
      </c>
    </row>
    <row r="23" spans="1:5" ht="15.95" customHeight="1">
      <c r="A23" s="169"/>
      <c r="B23" s="169" t="s">
        <v>1821</v>
      </c>
      <c r="C23" s="169"/>
      <c r="E23" t="s">
        <v>1794</v>
      </c>
    </row>
    <row r="24" spans="1:5" ht="15.95" customHeight="1">
      <c r="A24" s="169"/>
      <c r="B24" s="169" t="s">
        <v>1813</v>
      </c>
      <c r="C24" s="169"/>
      <c r="E24" t="s">
        <v>1811</v>
      </c>
    </row>
    <row r="25" spans="1:5" ht="15.95" customHeight="1">
      <c r="A25" s="169"/>
      <c r="B25" s="169" t="s">
        <v>1830</v>
      </c>
      <c r="C25" s="169"/>
      <c r="E25" t="s">
        <v>1822</v>
      </c>
    </row>
    <row r="26" spans="1:5" ht="15.95" customHeight="1">
      <c r="A26" s="169"/>
      <c r="B26" s="169" t="s">
        <v>1823</v>
      </c>
      <c r="C26" s="169"/>
      <c r="E26" t="s">
        <v>1864</v>
      </c>
    </row>
    <row r="27" spans="1:5" ht="15.95" customHeight="1">
      <c r="A27" s="169"/>
      <c r="B27" s="169" t="s">
        <v>1836</v>
      </c>
      <c r="C27" s="169"/>
      <c r="E27" t="s">
        <v>1799</v>
      </c>
    </row>
    <row r="28" spans="1:5" ht="15.95" customHeight="1">
      <c r="A28" s="169"/>
      <c r="B28" s="169" t="s">
        <v>1828</v>
      </c>
      <c r="C28" s="169"/>
      <c r="E28" t="s">
        <v>1898</v>
      </c>
    </row>
    <row r="29" spans="1:5" ht="15.95" customHeight="1">
      <c r="A29" s="169"/>
      <c r="B29" s="169" t="s">
        <v>1835</v>
      </c>
      <c r="C29" s="169"/>
      <c r="E29" t="s">
        <v>1827</v>
      </c>
    </row>
    <row r="30" spans="1:5" ht="15.95" customHeight="1">
      <c r="A30" s="169"/>
      <c r="B30" s="169" t="s">
        <v>1841</v>
      </c>
      <c r="C30" s="169"/>
      <c r="E30" t="s">
        <v>1820</v>
      </c>
    </row>
    <row r="31" spans="1:5" ht="15.95" customHeight="1">
      <c r="A31" s="169"/>
      <c r="B31" s="169" t="s">
        <v>1843</v>
      </c>
      <c r="C31" s="169"/>
      <c r="E31" t="s">
        <v>1916</v>
      </c>
    </row>
    <row r="32" spans="1:5" ht="15.95" customHeight="1">
      <c r="A32" s="169"/>
      <c r="B32" s="169" t="s">
        <v>1930</v>
      </c>
      <c r="C32" s="169"/>
      <c r="E32" t="s">
        <v>2619</v>
      </c>
    </row>
    <row r="33" spans="1:5" ht="15.95" customHeight="1">
      <c r="A33" s="170" t="s">
        <v>23</v>
      </c>
      <c r="B33" s="171" t="s">
        <v>2626</v>
      </c>
      <c r="C33" s="171">
        <v>4</v>
      </c>
      <c r="E33" t="s">
        <v>1813</v>
      </c>
    </row>
    <row r="34" spans="1:5" ht="15.95" customHeight="1">
      <c r="A34" s="171"/>
      <c r="B34" s="171" t="s">
        <v>1811</v>
      </c>
      <c r="C34" s="171"/>
      <c r="E34" t="s">
        <v>1823</v>
      </c>
    </row>
    <row r="35" spans="1:5" ht="15.95" customHeight="1">
      <c r="A35" s="171"/>
      <c r="B35" s="171" t="s">
        <v>1822</v>
      </c>
      <c r="C35" s="171"/>
      <c r="E35" t="s">
        <v>1830</v>
      </c>
    </row>
    <row r="36" spans="1:5" ht="15.95" customHeight="1">
      <c r="A36" s="171"/>
      <c r="B36" s="171" t="s">
        <v>1829</v>
      </c>
      <c r="C36" s="171"/>
      <c r="E36" t="s">
        <v>1836</v>
      </c>
    </row>
    <row r="37" spans="1:5" ht="15.95" customHeight="1">
      <c r="A37" s="172" t="s">
        <v>1931</v>
      </c>
      <c r="B37" s="173" t="s">
        <v>1816</v>
      </c>
      <c r="C37" s="173">
        <v>1</v>
      </c>
      <c r="E37" t="s">
        <v>1817</v>
      </c>
    </row>
    <row r="38" spans="1:5" ht="15.95" customHeight="1">
      <c r="A38" s="166" t="s">
        <v>35</v>
      </c>
      <c r="B38" s="167" t="s">
        <v>1817</v>
      </c>
      <c r="C38" s="167">
        <v>1</v>
      </c>
      <c r="E38" t="s">
        <v>1797</v>
      </c>
    </row>
    <row r="39" spans="1:5" ht="15.95" customHeight="1">
      <c r="A39" s="168" t="s">
        <v>1695</v>
      </c>
      <c r="B39" s="169" t="s">
        <v>1814</v>
      </c>
      <c r="C39" s="169">
        <v>5</v>
      </c>
      <c r="E39" t="s">
        <v>2624</v>
      </c>
    </row>
    <row r="40" spans="1:5" ht="15.95" customHeight="1">
      <c r="A40" s="169"/>
      <c r="B40" s="169" t="s">
        <v>1824</v>
      </c>
      <c r="C40" s="169"/>
      <c r="E40" t="s">
        <v>1930</v>
      </c>
    </row>
    <row r="41" spans="1:5" ht="15.95" customHeight="1">
      <c r="A41" s="169"/>
      <c r="B41" s="169" t="s">
        <v>1842</v>
      </c>
      <c r="C41" s="169"/>
      <c r="E41" t="s">
        <v>1816</v>
      </c>
    </row>
    <row r="42" spans="1:5" ht="15.95" customHeight="1">
      <c r="A42" s="169"/>
      <c r="B42" s="169" t="s">
        <v>1851</v>
      </c>
      <c r="C42" s="169"/>
      <c r="E42" t="s">
        <v>1907</v>
      </c>
    </row>
    <row r="43" spans="1:5" ht="15.95" customHeight="1">
      <c r="A43" s="169"/>
      <c r="B43" s="169" t="s">
        <v>1853</v>
      </c>
      <c r="C43" s="169"/>
      <c r="E43" t="s">
        <v>2625</v>
      </c>
    </row>
    <row r="44" spans="1:5">
      <c r="E44" t="s">
        <v>1840</v>
      </c>
    </row>
    <row r="45" spans="1:5">
      <c r="E45" t="s">
        <v>1809</v>
      </c>
    </row>
    <row r="46" spans="1:5">
      <c r="E46" t="s">
        <v>2626</v>
      </c>
    </row>
    <row r="47" spans="1:5">
      <c r="E47" t="s">
        <v>1906</v>
      </c>
    </row>
    <row r="48" spans="1:5">
      <c r="E48" t="s">
        <v>1926</v>
      </c>
    </row>
    <row r="49" spans="5:5">
      <c r="E49" t="s">
        <v>2629</v>
      </c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E9DEB893E8F46827E166CF7368FD3" ma:contentTypeVersion="12" ma:contentTypeDescription="Create a new document." ma:contentTypeScope="" ma:versionID="8296810bb1ca0afdd00f942dfcec5a62">
  <xsd:schema xmlns:xsd="http://www.w3.org/2001/XMLSchema" xmlns:xs="http://www.w3.org/2001/XMLSchema" xmlns:p="http://schemas.microsoft.com/office/2006/metadata/properties" xmlns:ns2="40509db2-1382-48c8-800d-fac458f2d5a8" xmlns:ns3="95df41b7-8e99-48a7-a4f9-24163d8a82eb" targetNamespace="http://schemas.microsoft.com/office/2006/metadata/properties" ma:root="true" ma:fieldsID="2aa65b6515033d9ed79f9b89f9bea9d9" ns2:_="" ns3:_="">
    <xsd:import namespace="40509db2-1382-48c8-800d-fac458f2d5a8"/>
    <xsd:import namespace="95df41b7-8e99-48a7-a4f9-24163d8a82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509db2-1382-48c8-800d-fac458f2d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a4c9f1-39e7-459c-9834-dfe0e5c784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f41b7-8e99-48a7-a4f9-24163d8a82e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484e53-a6f6-4525-87bd-d3f766cd7a57}" ma:internalName="TaxCatchAll" ma:showField="CatchAllData" ma:web="95df41b7-8e99-48a7-a4f9-24163d8a82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df41b7-8e99-48a7-a4f9-24163d8a82eb" xsi:nil="true"/>
    <lcf76f155ced4ddcb4097134ff3c332f xmlns="40509db2-1382-48c8-800d-fac458f2d5a8">
      <Terms xmlns="http://schemas.microsoft.com/office/infopath/2007/PartnerControls"/>
    </lcf76f155ced4ddcb4097134ff3c332f>
  </documentManagement>
</p:properties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3FC5A1-634A-4EE6-A77B-181F2ECFD76C}"/>
</file>

<file path=customXml/itemProps2.xml><?xml version="1.0" encoding="utf-8"?>
<ds:datastoreItem xmlns:ds="http://schemas.openxmlformats.org/officeDocument/2006/customXml" ds:itemID="{1B22C803-6CDA-4456-93E9-F286EEC973F9}"/>
</file>

<file path=customXml/itemProps3.xml><?xml version="1.0" encoding="utf-8"?>
<ds:datastoreItem xmlns:ds="http://schemas.openxmlformats.org/officeDocument/2006/customXml" ds:itemID="{AFB0E891-F38D-4C7D-B18F-C0EF48F673D8}"/>
</file>

<file path=customXml/itemProps4.xml><?xml version="1.0" encoding="utf-8"?>
<ds:datastoreItem xmlns:ds="http://schemas.openxmlformats.org/officeDocument/2006/customXml" ds:itemID="{64342B77-69D8-414D-9326-CE33378E58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Hall</dc:creator>
  <cp:keywords/>
  <dc:description/>
  <cp:lastModifiedBy>Ben Hall</cp:lastModifiedBy>
  <cp:revision/>
  <dcterms:created xsi:type="dcterms:W3CDTF">2024-10-16T12:56:56Z</dcterms:created>
  <dcterms:modified xsi:type="dcterms:W3CDTF">2026-05-18T07:42:05Z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0x01010099DE9DEB893E8F46827E166CF7368FD3</vt:lpwstr>
  </property>
  <property fmtid="{D5CDD505-2E9C-101B-9397-08002B2CF9AE}" pid="3" name="MediaServiceImageTags">
    <vt:lpwstr/>
  </property>
</Properties>
</file>